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ections" sheetId="1" r:id="rId4"/>
    <sheet state="visible" name="infections_new" sheetId="2" r:id="rId5"/>
    <sheet state="visible" name="deaths" sheetId="3" r:id="rId6"/>
    <sheet state="visible" name="deaths_new" sheetId="4" r:id="rId7"/>
    <sheet state="visible" name="recovered" sheetId="5" r:id="rId8"/>
    <sheet state="visible" name="recovered_new" sheetId="6" r:id="rId9"/>
    <sheet state="visible" name="Daily Counts searches+news+infe" sheetId="7" r:id="rId10"/>
    <sheet state="visible" name="Top Queries on Google (past 30d" sheetId="8" r:id="rId11"/>
    <sheet state="visible" name="Questions (ENGLISH)" sheetId="9" r:id="rId12"/>
  </sheets>
  <definedNames/>
  <calcPr/>
</workbook>
</file>

<file path=xl/sharedStrings.xml><?xml version="1.0" encoding="utf-8"?>
<sst xmlns="http://schemas.openxmlformats.org/spreadsheetml/2006/main" count="982" uniqueCount="157">
  <si>
    <t>Date</t>
  </si>
  <si>
    <t>Coronavirus Seach Volume (Indexed)</t>
  </si>
  <si>
    <t>Symptoms Seach Volume (Indexed)</t>
  </si>
  <si>
    <t>Coronavirus News Search (Indexed)</t>
  </si>
  <si>
    <t>News Articles Published</t>
  </si>
  <si>
    <t>Unique News Outlets</t>
  </si>
  <si>
    <t>Avg Articles per News Outlet</t>
  </si>
  <si>
    <t>Infections (Global)</t>
  </si>
  <si>
    <t>Death Toll (Global)</t>
  </si>
  <si>
    <t>Recovered (Global)</t>
  </si>
  <si>
    <t>Infections (X-China)</t>
  </si>
  <si>
    <t>Death Toll (X-China)</t>
  </si>
  <si>
    <t>Recovered (X-China)</t>
  </si>
  <si>
    <t>Daily New Infections (Global)</t>
  </si>
  <si>
    <t>Daily New Infections (China)</t>
  </si>
  <si>
    <t>Daily New Infections (X-China)</t>
  </si>
  <si>
    <t>DJI Close</t>
  </si>
  <si>
    <t>NASDAQ Close</t>
  </si>
  <si>
    <t>S&amp;P Close</t>
  </si>
  <si>
    <t>DJI Change</t>
  </si>
  <si>
    <t>NASDAQ Change</t>
  </si>
  <si>
    <t>S&amp;P Change</t>
  </si>
  <si>
    <t>Category</t>
  </si>
  <si>
    <t>Trend Type</t>
  </si>
  <si>
    <t>Search Query</t>
  </si>
  <si>
    <t>RISING Growth Rate</t>
  </si>
  <si>
    <t>TOP Search Index (within Category)</t>
  </si>
  <si>
    <t>RISING - Breakout</t>
  </si>
  <si>
    <t>All categories</t>
  </si>
  <si>
    <t>TOP</t>
  </si>
  <si>
    <t>coronavirus</t>
  </si>
  <si>
    <t>google</t>
  </si>
  <si>
    <t>facebook</t>
  </si>
  <si>
    <t>youtube</t>
  </si>
  <si>
    <t>you</t>
  </si>
  <si>
    <t>video</t>
  </si>
  <si>
    <t>news</t>
  </si>
  <si>
    <t>corona</t>
  </si>
  <si>
    <t>weather</t>
  </si>
  <si>
    <t>amazon</t>
  </si>
  <si>
    <t>translate</t>
  </si>
  <si>
    <t>instagram</t>
  </si>
  <si>
    <t>gmail</t>
  </si>
  <si>
    <t>corona virus</t>
  </si>
  <si>
    <t>mail</t>
  </si>
  <si>
    <t>whatsapp</t>
  </si>
  <si>
    <t>clima</t>
  </si>
  <si>
    <t>hotmail</t>
  </si>
  <si>
    <t>twitter</t>
  </si>
  <si>
    <t>yahoo</t>
  </si>
  <si>
    <t>traductor</t>
  </si>
  <si>
    <t>samsung</t>
  </si>
  <si>
    <t>as</t>
  </si>
  <si>
    <t>google translate</t>
  </si>
  <si>
    <t>bbc</t>
  </si>
  <si>
    <t>RISING</t>
  </si>
  <si>
    <t>covid 19</t>
  </si>
  <si>
    <t>sir john tenniel</t>
  </si>
  <si>
    <t>roberto gómez bolaños</t>
  </si>
  <si>
    <t>leap day</t>
  </si>
  <si>
    <t>coronavirus tips</t>
  </si>
  <si>
    <t>coronavirus italia</t>
  </si>
  <si>
    <t>coronavirus france</t>
  </si>
  <si>
    <t>super tuesday</t>
  </si>
  <si>
    <t>india vs south africa</t>
  </si>
  <si>
    <t>coronavirus update</t>
  </si>
  <si>
    <t>koronawirus</t>
  </si>
  <si>
    <t>coronavirus deutschland</t>
  </si>
  <si>
    <t>tom hanks</t>
  </si>
  <si>
    <t>coronavirus symptoms</t>
  </si>
  <si>
    <t>coronavirus india</t>
  </si>
  <si>
    <t>symptoms of coronavirus</t>
  </si>
  <si>
    <t>dow jones</t>
  </si>
  <si>
    <t>enquete bbb</t>
  </si>
  <si>
    <t>coronavirus in india</t>
  </si>
  <si>
    <t>champions league</t>
  </si>
  <si>
    <t>ansa</t>
  </si>
  <si>
    <t>champions</t>
  </si>
  <si>
    <t>Source</t>
  </si>
  <si>
    <t>Date Range</t>
  </si>
  <si>
    <t>Geo</t>
  </si>
  <si>
    <t>Question Seed</t>
  </si>
  <si>
    <t>Question Query</t>
  </si>
  <si>
    <t>Indexed Searches within Question Seed</t>
  </si>
  <si>
    <t>Rising</t>
  </si>
  <si>
    <t>Is question</t>
  </si>
  <si>
    <t>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</t>
  </si>
  <si>
    <t>1/15/20 - 3/4/20</t>
  </si>
  <si>
    <t>Worldwide</t>
  </si>
  <si>
    <t>what</t>
  </si>
  <si>
    <t>what is coronavirus</t>
  </si>
  <si>
    <t>yes</t>
  </si>
  <si>
    <t>what the coronavirus</t>
  </si>
  <si>
    <t>what is the coronavirus</t>
  </si>
  <si>
    <t>what symptoms of coronavirus</t>
  </si>
  <si>
    <t>what are coronavirus symptoms</t>
  </si>
  <si>
    <t>what is coronavirus virus</t>
  </si>
  <si>
    <t>what are symptoms of coronavirus</t>
  </si>
  <si>
    <t>what are the symptoms coronavirus</t>
  </si>
  <si>
    <t>what is a coronavirus</t>
  </si>
  <si>
    <t>what are the symptoms of coronavirus</t>
  </si>
  <si>
    <t>what are the symptoms of the coronavirus</t>
  </si>
  <si>
    <t>what is corona</t>
  </si>
  <si>
    <t>what is coronavirus symptoms</t>
  </si>
  <si>
    <t>what is coronavirus china</t>
  </si>
  <si>
    <t>Breakout</t>
  </si>
  <si>
    <t>what is corona virus</t>
  </si>
  <si>
    <t>what is the coronavirus virus</t>
  </si>
  <si>
    <t>what caused coronavirus</t>
  </si>
  <si>
    <t>what does coronavirus do</t>
  </si>
  <si>
    <t>what is the coronavirus symptoms</t>
  </si>
  <si>
    <t>what does coronavirus mean</t>
  </si>
  <si>
    <t>where</t>
  </si>
  <si>
    <t>where is coronavirus</t>
  </si>
  <si>
    <t>Yes</t>
  </si>
  <si>
    <t>where is the coronavirus</t>
  </si>
  <si>
    <t>where coronavirus come from</t>
  </si>
  <si>
    <t>where did coronavirus come from</t>
  </si>
  <si>
    <t>where did the coronavirus</t>
  </si>
  <si>
    <t>where the coronavirus come from</t>
  </si>
  <si>
    <t>where did coronavirus originate</t>
  </si>
  <si>
    <t>where did the coronavirus come from</t>
  </si>
  <si>
    <t>where coronavirus in usa</t>
  </si>
  <si>
    <t>where did coronavirus start</t>
  </si>
  <si>
    <t>is</t>
  </si>
  <si>
    <t>is the coronavirus</t>
  </si>
  <si>
    <t>is coronavirus deadly</t>
  </si>
  <si>
    <t>is there a coronavirus cure</t>
  </si>
  <si>
    <t>is there cure for coronavirus</t>
  </si>
  <si>
    <t>is coronavirus new</t>
  </si>
  <si>
    <t>is coronavirus airborne</t>
  </si>
  <si>
    <t>is coronavirus the flu</t>
  </si>
  <si>
    <t>is there a cure for coronavirus</t>
  </si>
  <si>
    <t>is coronavirus dangerous</t>
  </si>
  <si>
    <t>is the coronavirus deadly</t>
  </si>
  <si>
    <t>how</t>
  </si>
  <si>
    <t>how many have coronavirus</t>
  </si>
  <si>
    <t>how many coronavirus cases</t>
  </si>
  <si>
    <t>how many people have coronavirus</t>
  </si>
  <si>
    <t>how many people died coronavirus</t>
  </si>
  <si>
    <t>how many died from coronavirus</t>
  </si>
  <si>
    <t>how coronavirus spread</t>
  </si>
  <si>
    <t>how many people died from coronavirus</t>
  </si>
  <si>
    <t>how coronavirus start</t>
  </si>
  <si>
    <t>how many cases of coronavirus</t>
  </si>
  <si>
    <t>how did coronavirus start</t>
  </si>
  <si>
    <t>how many have died from coronavirus</t>
  </si>
  <si>
    <t>how did the coronavirus</t>
  </si>
  <si>
    <t>how many people have the coronavirus</t>
  </si>
  <si>
    <t>how many people have died from coronavirus</t>
  </si>
  <si>
    <t>how to get coronavirus</t>
  </si>
  <si>
    <t>do</t>
  </si>
  <si>
    <t>do i have coronavirus</t>
  </si>
  <si>
    <t>do masks help coronavirus</t>
  </si>
  <si>
    <t>do masks work coronavirus</t>
  </si>
  <si>
    <t>do i have the coronavirus</t>
  </si>
  <si>
    <t>do masks prevent coronavirus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</si>
</sst>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8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b/>
      <sz val="12.0"/>
      <color rgb="FF000000"/>
      <name val="Arial"/>
    </font>
    <font>
      <sz val="12.0"/>
      <color rgb="FF000000"/>
      <name val="Arial"/>
    </font>
    <font>
      <color rgb="FF000000"/>
      <name val="Arial"/>
    </font>
    <font>
      <sz val="12.0"/>
      <color rgb="FF000000"/>
      <name val="Calibri"/>
    </font>
    <font>
      <u/>
      <sz val="12.0"/>
      <color rgb="FF0563C1"/>
      <name val="Calibri"/>
    </font>
  </fonts>
  <fills count="3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E"/>
        <bgColor rgb="FFFFFFFE"/>
      </patternFill>
    </fill>
    <fill>
      <patternFill patternType="solid">
        <fgColor rgb="FFF3F3F3"/>
        <bgColor rgb="FFF3F3F3"/>
      </patternFill>
    </fill>
    <fill>
      <patternFill patternType="solid">
        <fgColor rgb="FFF9FDFB"/>
        <bgColor rgb="FFF9FDFB"/>
      </patternFill>
    </fill>
    <fill>
      <patternFill patternType="solid">
        <fgColor rgb="FFFBFEFC"/>
        <bgColor rgb="FFFBFEFC"/>
      </patternFill>
    </fill>
    <fill>
      <patternFill patternType="solid">
        <fgColor rgb="FFFFFFFD"/>
        <bgColor rgb="FFFFFFFD"/>
      </patternFill>
    </fill>
    <fill>
      <patternFill patternType="solid">
        <fgColor rgb="FFFCF4F3"/>
        <bgColor rgb="FFFCF4F3"/>
      </patternFill>
    </fill>
    <fill>
      <patternFill patternType="solid">
        <fgColor rgb="FFFCF3F2"/>
        <bgColor rgb="FFFCF3F2"/>
      </patternFill>
    </fill>
    <fill>
      <patternFill patternType="solid">
        <fgColor rgb="FFFDF5F5"/>
        <bgColor rgb="FFFDF5F5"/>
      </patternFill>
    </fill>
    <fill>
      <patternFill patternType="solid">
        <fgColor rgb="FFFCF1F0"/>
        <bgColor rgb="FFFCF1F0"/>
      </patternFill>
    </fill>
    <fill>
      <patternFill patternType="solid">
        <fgColor rgb="FFFCF0EF"/>
        <bgColor rgb="FFFCF0EF"/>
      </patternFill>
    </fill>
    <fill>
      <patternFill patternType="solid">
        <fgColor rgb="FFFCF2F1"/>
        <bgColor rgb="FFFCF2F1"/>
      </patternFill>
    </fill>
    <fill>
      <patternFill patternType="solid">
        <fgColor rgb="FFF8FCFA"/>
        <bgColor rgb="FFF8FCFA"/>
      </patternFill>
    </fill>
    <fill>
      <patternFill patternType="solid">
        <fgColor rgb="FFFBFEFD"/>
        <bgColor rgb="FFFBFEFD"/>
      </patternFill>
    </fill>
    <fill>
      <patternFill patternType="solid">
        <fgColor rgb="FFFDF9F9"/>
        <bgColor rgb="FFFDF9F9"/>
      </patternFill>
    </fill>
    <fill>
      <patternFill patternType="solid">
        <fgColor rgb="FFFBECEB"/>
        <bgColor rgb="FFFBECEB"/>
      </patternFill>
    </fill>
    <fill>
      <patternFill patternType="solid">
        <fgColor rgb="FFFFFEFB"/>
        <bgColor rgb="FFFFFEFB"/>
      </patternFill>
    </fill>
    <fill>
      <patternFill patternType="solid">
        <fgColor rgb="FFFFFFFC"/>
        <bgColor rgb="FFFFFFFC"/>
      </patternFill>
    </fill>
    <fill>
      <patternFill patternType="solid">
        <fgColor rgb="FFFFFEFA"/>
        <bgColor rgb="FFFFFEFA"/>
      </patternFill>
    </fill>
    <fill>
      <patternFill patternType="solid">
        <fgColor rgb="FFFEFCFC"/>
        <bgColor rgb="FFFEFCFC"/>
      </patternFill>
    </fill>
    <fill>
      <patternFill patternType="solid">
        <fgColor rgb="FFFCFEFD"/>
        <bgColor rgb="FFFCFEFD"/>
      </patternFill>
    </fill>
    <fill>
      <patternFill patternType="solid">
        <fgColor rgb="FFFDFEFE"/>
        <bgColor rgb="FFFDFEFE"/>
      </patternFill>
    </fill>
    <fill>
      <patternFill patternType="solid">
        <fgColor rgb="FFFDF9F8"/>
        <bgColor rgb="FFFDF9F8"/>
      </patternFill>
    </fill>
    <fill>
      <patternFill patternType="solid">
        <fgColor rgb="FFFEFDFD"/>
        <bgColor rgb="FFFEFDFD"/>
      </patternFill>
    </fill>
    <fill>
      <patternFill patternType="solid">
        <fgColor rgb="FFFEFBFB"/>
        <bgColor rgb="FFFEFBFB"/>
      </patternFill>
    </fill>
    <fill>
      <patternFill patternType="solid">
        <fgColor rgb="FFFFFDF7"/>
        <bgColor rgb="FFFFFDF7"/>
      </patternFill>
    </fill>
    <fill>
      <patternFill patternType="solid">
        <fgColor rgb="FFFBEDEC"/>
        <bgColor rgb="FFFBEDEC"/>
      </patternFill>
    </fill>
    <fill>
      <patternFill patternType="solid">
        <fgColor rgb="FFFBEBEA"/>
        <bgColor rgb="FFFBEBEA"/>
      </patternFill>
    </fill>
    <fill>
      <patternFill patternType="solid">
        <fgColor rgb="FFFCEFEE"/>
        <bgColor rgb="FFFCEFEE"/>
      </patternFill>
    </fill>
    <fill>
      <patternFill patternType="solid">
        <fgColor rgb="FFFDF8F8"/>
        <bgColor rgb="FFFDF8F8"/>
      </patternFill>
    </fill>
    <fill>
      <patternFill patternType="solid">
        <fgColor rgb="FFFDF7F7"/>
        <bgColor rgb="FFFDF7F7"/>
      </patternFill>
    </fill>
    <fill>
      <patternFill patternType="solid">
        <fgColor rgb="FFF7FCFA"/>
        <bgColor rgb="FFF7FCFA"/>
      </patternFill>
    </fill>
    <fill>
      <patternFill patternType="solid">
        <fgColor rgb="FFFFFEF8"/>
        <bgColor rgb="FFFFFEF8"/>
      </patternFill>
    </fill>
    <fill>
      <patternFill patternType="solid">
        <fgColor rgb="FFFEFEFF"/>
        <bgColor rgb="FFFEFEFF"/>
      </patternFill>
    </fill>
    <fill>
      <patternFill patternType="solid">
        <fgColor rgb="FFFFFBEF"/>
        <bgColor rgb="FFFFFBEF"/>
      </patternFill>
    </fill>
    <fill>
      <patternFill patternType="solid">
        <fgColor rgb="FFFCFDFF"/>
        <bgColor rgb="FFFCFDFF"/>
      </patternFill>
    </fill>
    <fill>
      <patternFill patternType="solid">
        <fgColor rgb="FFFFF7DE"/>
        <bgColor rgb="FFFFF7DE"/>
      </patternFill>
    </fill>
    <fill>
      <patternFill patternType="solid">
        <fgColor rgb="FFF8FBFF"/>
        <bgColor rgb="FFF8FBFF"/>
      </patternFill>
    </fill>
    <fill>
      <patternFill patternType="solid">
        <fgColor rgb="FFFAFCFF"/>
        <bgColor rgb="FFFAFCFF"/>
      </patternFill>
    </fill>
    <fill>
      <patternFill patternType="solid">
        <fgColor rgb="FFFFFDF8"/>
        <bgColor rgb="FFFFFDF8"/>
      </patternFill>
    </fill>
    <fill>
      <patternFill patternType="solid">
        <fgColor rgb="FFFFF4D3"/>
        <bgColor rgb="FFFFF4D3"/>
      </patternFill>
    </fill>
    <fill>
      <patternFill patternType="solid">
        <fgColor rgb="FFFEFEFE"/>
        <bgColor rgb="FFFEFEFE"/>
      </patternFill>
    </fill>
    <fill>
      <patternFill patternType="solid">
        <fgColor rgb="FFF4F8FF"/>
        <bgColor rgb="FFF4F8FF"/>
      </patternFill>
    </fill>
    <fill>
      <patternFill patternType="solid">
        <fgColor rgb="FFEAF2FE"/>
        <bgColor rgb="FFEAF2FE"/>
      </patternFill>
    </fill>
    <fill>
      <patternFill patternType="solid">
        <fgColor rgb="FFF2F7FF"/>
        <bgColor rgb="FFF2F7FF"/>
      </patternFill>
    </fill>
    <fill>
      <patternFill patternType="solid">
        <fgColor rgb="FFFFFDF6"/>
        <bgColor rgb="FFFFFDF6"/>
      </patternFill>
    </fill>
    <fill>
      <patternFill patternType="solid">
        <fgColor rgb="FFFFF2CE"/>
        <bgColor rgb="FFFFF2CE"/>
      </patternFill>
    </fill>
    <fill>
      <patternFill patternType="solid">
        <fgColor rgb="FFFEFFFE"/>
        <bgColor rgb="FFFEFFFE"/>
      </patternFill>
    </fill>
    <fill>
      <patternFill patternType="solid">
        <fgColor rgb="FFEFF5FF"/>
        <bgColor rgb="FFEFF5FF"/>
      </patternFill>
    </fill>
    <fill>
      <patternFill patternType="solid">
        <fgColor rgb="FFEBF2FE"/>
        <bgColor rgb="FFEBF2FE"/>
      </patternFill>
    </fill>
    <fill>
      <patternFill patternType="solid">
        <fgColor rgb="FFFFF3D0"/>
        <bgColor rgb="FFFFF3D0"/>
      </patternFill>
    </fill>
    <fill>
      <patternFill patternType="solid">
        <fgColor rgb="FFFFFDFD"/>
        <bgColor rgb="FFFFFDFD"/>
      </patternFill>
    </fill>
    <fill>
      <patternFill patternType="solid">
        <fgColor rgb="FFF6FCF9"/>
        <bgColor rgb="FFF6FCF9"/>
      </patternFill>
    </fill>
    <fill>
      <patternFill patternType="solid">
        <fgColor rgb="FFF0F9F5"/>
        <bgColor rgb="FFF0F9F5"/>
      </patternFill>
    </fill>
    <fill>
      <patternFill patternType="solid">
        <fgColor rgb="FFE9F1FE"/>
        <bgColor rgb="FFE9F1FE"/>
      </patternFill>
    </fill>
    <fill>
      <patternFill patternType="solid">
        <fgColor rgb="FFE1ECFE"/>
        <bgColor rgb="FFE1ECFE"/>
      </patternFill>
    </fill>
    <fill>
      <patternFill patternType="solid">
        <fgColor rgb="FFFFF5D9"/>
        <bgColor rgb="FFFFF5D9"/>
      </patternFill>
    </fill>
    <fill>
      <patternFill patternType="solid">
        <fgColor rgb="FFFFFBFB"/>
        <bgColor rgb="FFFFFBFB"/>
      </patternFill>
    </fill>
    <fill>
      <patternFill patternType="solid">
        <fgColor rgb="FFE6F5EE"/>
        <bgColor rgb="FFE6F5EE"/>
      </patternFill>
    </fill>
    <fill>
      <patternFill patternType="solid">
        <fgColor rgb="FFE1F3EA"/>
        <bgColor rgb="FFE1F3EA"/>
      </patternFill>
    </fill>
    <fill>
      <patternFill patternType="solid">
        <fgColor rgb="FFE5F5ED"/>
        <bgColor rgb="FFE5F5ED"/>
      </patternFill>
    </fill>
    <fill>
      <patternFill patternType="solid">
        <fgColor rgb="FFE7F0FE"/>
        <bgColor rgb="FFE7F0FE"/>
      </patternFill>
    </fill>
    <fill>
      <patternFill patternType="solid">
        <fgColor rgb="FFE3EDFE"/>
        <bgColor rgb="FFE3EDFE"/>
      </patternFill>
    </fill>
    <fill>
      <patternFill patternType="solid">
        <fgColor rgb="FFFFFEF9"/>
        <bgColor rgb="FFFFFEF9"/>
      </patternFill>
    </fill>
    <fill>
      <patternFill patternType="solid">
        <fgColor rgb="FFFFF4D6"/>
        <bgColor rgb="FFFFF4D6"/>
      </patternFill>
    </fill>
    <fill>
      <patternFill patternType="solid">
        <fgColor rgb="FFFEFAF9"/>
        <bgColor rgb="FFFEFAF9"/>
      </patternFill>
    </fill>
    <fill>
      <patternFill patternType="solid">
        <fgColor rgb="FFE5EFFE"/>
        <bgColor rgb="FFE5EFFE"/>
      </patternFill>
    </fill>
    <fill>
      <patternFill patternType="solid">
        <fgColor rgb="FFD5E4FD"/>
        <bgColor rgb="FFD5E4FD"/>
      </patternFill>
    </fill>
    <fill>
      <patternFill patternType="solid">
        <fgColor rgb="FFDCE8FD"/>
        <bgColor rgb="FFDCE8FD"/>
      </patternFill>
    </fill>
    <fill>
      <patternFill patternType="solid">
        <fgColor rgb="FFFFFCF4"/>
        <bgColor rgb="FFFFFCF4"/>
      </patternFill>
    </fill>
    <fill>
      <patternFill patternType="solid">
        <fgColor rgb="FFFFF2CF"/>
        <bgColor rgb="FFFFF2CF"/>
      </patternFill>
    </fill>
    <fill>
      <patternFill patternType="solid">
        <fgColor rgb="FFFEF9F8"/>
        <bgColor rgb="FFFEF9F8"/>
      </patternFill>
    </fill>
    <fill>
      <patternFill patternType="solid">
        <fgColor rgb="FFE0EBFE"/>
        <bgColor rgb="FFE0EBFE"/>
      </patternFill>
    </fill>
    <fill>
      <patternFill patternType="solid">
        <fgColor rgb="FFD2E2FD"/>
        <bgColor rgb="FFD2E2FD"/>
      </patternFill>
    </fill>
    <fill>
      <patternFill patternType="solid">
        <fgColor rgb="FFFFFCF1"/>
        <bgColor rgb="FFFFFCF1"/>
      </patternFill>
    </fill>
    <fill>
      <patternFill patternType="solid">
        <fgColor rgb="FFFFF1C8"/>
        <bgColor rgb="FFFFF1C8"/>
      </patternFill>
    </fill>
    <fill>
      <patternFill patternType="solid">
        <fgColor rgb="FFFFFEFD"/>
        <bgColor rgb="FFFFFEFD"/>
      </patternFill>
    </fill>
    <fill>
      <patternFill patternType="solid">
        <fgColor rgb="FFFBE9E7"/>
        <bgColor rgb="FFFBE9E7"/>
      </patternFill>
    </fill>
    <fill>
      <patternFill patternType="solid">
        <fgColor rgb="FFFAE5E3"/>
        <bgColor rgb="FFFAE5E3"/>
      </patternFill>
    </fill>
    <fill>
      <patternFill patternType="solid">
        <fgColor rgb="FFFFFBF0"/>
        <bgColor rgb="FFFFFBF0"/>
      </patternFill>
    </fill>
    <fill>
      <patternFill patternType="solid">
        <fgColor rgb="FFFFF0C6"/>
        <bgColor rgb="FFFFF0C6"/>
      </patternFill>
    </fill>
    <fill>
      <patternFill patternType="solid">
        <fgColor rgb="FFFFFBFA"/>
        <bgColor rgb="FFFFFBFA"/>
      </patternFill>
    </fill>
    <fill>
      <patternFill patternType="solid">
        <fgColor rgb="FFDEEAFE"/>
        <bgColor rgb="FFDEEAFE"/>
      </patternFill>
    </fill>
    <fill>
      <patternFill patternType="solid">
        <fgColor rgb="FFCCDFFD"/>
        <bgColor rgb="FFCCDFFD"/>
      </patternFill>
    </fill>
    <fill>
      <patternFill patternType="solid">
        <fgColor rgb="FFFFFBED"/>
        <bgColor rgb="FFFFFBED"/>
      </patternFill>
    </fill>
    <fill>
      <patternFill patternType="solid">
        <fgColor rgb="FFFFEEBF"/>
        <bgColor rgb="FFFFEEBF"/>
      </patternFill>
    </fill>
    <fill>
      <patternFill patternType="solid">
        <fgColor rgb="FFFFFDFC"/>
        <bgColor rgb="FFFFFDFC"/>
      </patternFill>
    </fill>
    <fill>
      <patternFill patternType="solid">
        <fgColor rgb="FFFCEEED"/>
        <bgColor rgb="FFFCEEED"/>
      </patternFill>
    </fill>
    <fill>
      <patternFill patternType="solid">
        <fgColor rgb="FFFDF6F6"/>
        <bgColor rgb="FFFDF6F6"/>
      </patternFill>
    </fill>
    <fill>
      <patternFill patternType="solid">
        <fgColor rgb="FFFEFAFA"/>
        <bgColor rgb="FFFEFAFA"/>
      </patternFill>
    </fill>
    <fill>
      <patternFill patternType="solid">
        <fgColor rgb="FFCBDDFC"/>
        <bgColor rgb="FFCBDDFC"/>
      </patternFill>
    </fill>
    <fill>
      <patternFill patternType="solid">
        <fgColor rgb="FFFFFBEE"/>
        <bgColor rgb="FFFFFBEE"/>
      </patternFill>
    </fill>
    <fill>
      <patternFill patternType="solid">
        <fgColor rgb="FFFFEFC2"/>
        <bgColor rgb="FFFFEFC2"/>
      </patternFill>
    </fill>
    <fill>
      <patternFill patternType="solid">
        <fgColor rgb="FFFFFCFC"/>
        <bgColor rgb="FFFFFCFC"/>
      </patternFill>
    </fill>
    <fill>
      <patternFill patternType="solid">
        <fgColor rgb="FFFDF1F0"/>
        <bgColor rgb="FFFDF1F0"/>
      </patternFill>
    </fill>
    <fill>
      <patternFill patternType="solid">
        <fgColor rgb="FFDEF2E8"/>
        <bgColor rgb="FFDEF2E8"/>
      </patternFill>
    </fill>
    <fill>
      <patternFill patternType="solid">
        <fgColor rgb="FFE1F3EB"/>
        <bgColor rgb="FFE1F3EB"/>
      </patternFill>
    </fill>
    <fill>
      <patternFill patternType="solid">
        <fgColor rgb="FFCEE0FD"/>
        <bgColor rgb="FFCEE0FD"/>
      </patternFill>
    </fill>
    <fill>
      <patternFill patternType="solid">
        <fgColor rgb="FFFCEEEC"/>
        <bgColor rgb="FFFCEEEC"/>
      </patternFill>
    </fill>
    <fill>
      <patternFill patternType="solid">
        <fgColor rgb="FFFDF5F4"/>
        <bgColor rgb="FFFDF5F4"/>
      </patternFill>
    </fill>
    <fill>
      <patternFill patternType="solid">
        <fgColor rgb="FFFAE7E5"/>
        <bgColor rgb="FFFAE7E5"/>
      </patternFill>
    </fill>
    <fill>
      <patternFill patternType="solid">
        <fgColor rgb="FFFEF9F9"/>
        <bgColor rgb="FFFEF9F9"/>
      </patternFill>
    </fill>
    <fill>
      <patternFill patternType="solid">
        <fgColor rgb="FFF8D7D4"/>
        <bgColor rgb="FFF8D7D4"/>
      </patternFill>
    </fill>
    <fill>
      <patternFill patternType="solid">
        <fgColor rgb="FFEDF3FE"/>
        <bgColor rgb="FFEDF3FE"/>
      </patternFill>
    </fill>
    <fill>
      <patternFill patternType="solid">
        <fgColor rgb="FFFEF8F7"/>
        <bgColor rgb="FFFEF8F7"/>
      </patternFill>
    </fill>
    <fill>
      <patternFill patternType="solid">
        <fgColor rgb="FFFFF0C5"/>
        <bgColor rgb="FFFFF0C5"/>
      </patternFill>
    </fill>
    <fill>
      <patternFill patternType="solid">
        <fgColor rgb="FFFEF6F6"/>
        <bgColor rgb="FFFEF6F6"/>
      </patternFill>
    </fill>
    <fill>
      <patternFill patternType="solid">
        <fgColor rgb="FFF9DDDB"/>
        <bgColor rgb="FFF9DDDB"/>
      </patternFill>
    </fill>
    <fill>
      <patternFill patternType="solid">
        <fgColor rgb="FFF9E4E2"/>
        <bgColor rgb="FFF9E4E2"/>
      </patternFill>
    </fill>
    <fill>
      <patternFill patternType="solid">
        <fgColor rgb="FFF7D9D6"/>
        <bgColor rgb="FFF7D9D6"/>
      </patternFill>
    </fill>
    <fill>
      <patternFill patternType="solid">
        <fgColor rgb="FFF9E3E1"/>
        <bgColor rgb="FFF9E3E1"/>
      </patternFill>
    </fill>
    <fill>
      <patternFill patternType="solid">
        <fgColor rgb="FFF1F6FF"/>
        <bgColor rgb="FFF1F6FF"/>
      </patternFill>
    </fill>
    <fill>
      <patternFill patternType="solid">
        <fgColor rgb="FFDFEBFE"/>
        <bgColor rgb="FFDFEBFE"/>
      </patternFill>
    </fill>
    <fill>
      <patternFill patternType="solid">
        <fgColor rgb="FFFFF0C7"/>
        <bgColor rgb="FFFFF0C7"/>
      </patternFill>
    </fill>
    <fill>
      <patternFill patternType="solid">
        <fgColor rgb="FFF9DFDD"/>
        <bgColor rgb="FFF9DFDD"/>
      </patternFill>
    </fill>
    <fill>
      <patternFill patternType="solid">
        <fgColor rgb="FFF8DFDC"/>
        <bgColor rgb="FFF8DFDC"/>
      </patternFill>
    </fill>
    <fill>
      <patternFill patternType="solid">
        <fgColor rgb="FFFDF7F6"/>
        <bgColor rgb="FFFDF7F6"/>
      </patternFill>
    </fill>
    <fill>
      <patternFill patternType="solid">
        <fgColor rgb="FFFAE9E8"/>
        <bgColor rgb="FFFAE9E8"/>
      </patternFill>
    </fill>
    <fill>
      <patternFill patternType="solid">
        <fgColor rgb="FFFFFBF1"/>
        <bgColor rgb="FFFFFBF1"/>
      </patternFill>
    </fill>
    <fill>
      <patternFill patternType="solid">
        <fgColor rgb="FFFFF1C9"/>
        <bgColor rgb="FFFFF1C9"/>
      </patternFill>
    </fill>
    <fill>
      <patternFill patternType="solid">
        <fgColor rgb="FFFDF4F3"/>
        <bgColor rgb="FFFDF4F3"/>
      </patternFill>
    </fill>
    <fill>
      <patternFill patternType="solid">
        <fgColor rgb="FFFAE4E2"/>
        <bgColor rgb="FFFAE4E2"/>
      </patternFill>
    </fill>
    <fill>
      <patternFill patternType="solid">
        <fgColor rgb="FFDDEAFE"/>
        <bgColor rgb="FFDDEAFE"/>
      </patternFill>
    </fill>
    <fill>
      <patternFill patternType="solid">
        <fgColor rgb="FFFDF2F1"/>
        <bgColor rgb="FFFDF2F1"/>
      </patternFill>
    </fill>
    <fill>
      <patternFill patternType="solid">
        <fgColor rgb="FFFAE1DF"/>
        <bgColor rgb="FFFAE1DF"/>
      </patternFill>
    </fill>
    <fill>
      <patternFill patternType="solid">
        <fgColor rgb="FFF7FCF9"/>
        <bgColor rgb="FFF7FCF9"/>
      </patternFill>
    </fill>
    <fill>
      <patternFill patternType="solid">
        <fgColor rgb="FFFBE8E7"/>
        <bgColor rgb="FFFBE8E7"/>
      </patternFill>
    </fill>
    <fill>
      <patternFill patternType="solid">
        <fgColor rgb="FFFAEAE8"/>
        <bgColor rgb="FFFAEAE8"/>
      </patternFill>
    </fill>
    <fill>
      <patternFill patternType="solid">
        <fgColor rgb="FFE5EEFE"/>
        <bgColor rgb="FFE5EEFE"/>
      </patternFill>
    </fill>
    <fill>
      <patternFill patternType="solid">
        <fgColor rgb="FFFDF0EF"/>
        <bgColor rgb="FFFDF0EF"/>
      </patternFill>
    </fill>
    <fill>
      <patternFill patternType="solid">
        <fgColor rgb="FFFBE5E4"/>
        <bgColor rgb="FFFBE5E4"/>
      </patternFill>
    </fill>
    <fill>
      <patternFill patternType="solid">
        <fgColor rgb="FFFBEAE8"/>
        <bgColor rgb="FFFBEAE8"/>
      </patternFill>
    </fill>
    <fill>
      <patternFill patternType="solid">
        <fgColor rgb="FFFBEEEC"/>
        <bgColor rgb="FFFBEEEC"/>
      </patternFill>
    </fill>
    <fill>
      <patternFill patternType="solid">
        <fgColor rgb="FFFFF0C4"/>
        <bgColor rgb="FFFFF0C4"/>
      </patternFill>
    </fill>
    <fill>
      <patternFill patternType="solid">
        <fgColor rgb="FFE67C73"/>
        <bgColor rgb="FFE67C73"/>
      </patternFill>
    </fill>
    <fill>
      <patternFill patternType="solid">
        <fgColor rgb="FFF8FDFA"/>
        <bgColor rgb="FFF8FDFA"/>
      </patternFill>
    </fill>
    <fill>
      <patternFill patternType="solid">
        <fgColor rgb="FFFDFFFE"/>
        <bgColor rgb="FFFDFFFE"/>
      </patternFill>
    </fill>
    <fill>
      <patternFill patternType="solid">
        <fgColor rgb="FFFBE6E4"/>
        <bgColor rgb="FFFBE6E4"/>
      </patternFill>
    </fill>
    <fill>
      <patternFill patternType="solid">
        <fgColor rgb="FFF5C8C4"/>
        <bgColor rgb="FFF5C8C4"/>
      </patternFill>
    </fill>
    <fill>
      <patternFill patternType="solid">
        <fgColor rgb="FFFEFFFF"/>
        <bgColor rgb="FFFEFFFF"/>
      </patternFill>
    </fill>
    <fill>
      <patternFill patternType="solid">
        <fgColor rgb="FFFFF3D2"/>
        <bgColor rgb="FFFFF3D2"/>
      </patternFill>
    </fill>
    <fill>
      <patternFill patternType="solid">
        <fgColor rgb="FFFAFDFC"/>
        <bgColor rgb="FFFAFDFC"/>
      </patternFill>
    </fill>
    <fill>
      <patternFill patternType="solid">
        <fgColor rgb="FFFCEDEC"/>
        <bgColor rgb="FFFCEDEC"/>
      </patternFill>
    </fill>
    <fill>
      <patternFill patternType="solid">
        <fgColor rgb="FFFFFCF2"/>
        <bgColor rgb="FFFFFCF2"/>
      </patternFill>
    </fill>
    <fill>
      <patternFill patternType="solid">
        <fgColor rgb="FFFAE3E1"/>
        <bgColor rgb="FFFAE3E1"/>
      </patternFill>
    </fill>
    <fill>
      <patternFill patternType="solid">
        <fgColor rgb="FFF6FAFF"/>
        <bgColor rgb="FFF6FAFF"/>
      </patternFill>
    </fill>
    <fill>
      <patternFill patternType="solid">
        <fgColor rgb="FFFAE2E0"/>
        <bgColor rgb="FFFAE2E0"/>
      </patternFill>
    </fill>
    <fill>
      <patternFill patternType="solid">
        <fgColor rgb="FFFBEEED"/>
        <bgColor rgb="FFFBEEED"/>
      </patternFill>
    </fill>
    <fill>
      <patternFill patternType="solid">
        <fgColor rgb="FFFFFCF3"/>
        <bgColor rgb="FFFFFCF3"/>
      </patternFill>
    </fill>
    <fill>
      <patternFill patternType="solid">
        <fgColor rgb="FFFFFCFB"/>
        <bgColor rgb="FFFFFCFB"/>
      </patternFill>
    </fill>
    <fill>
      <patternFill patternType="solid">
        <fgColor rgb="FFF8FDFB"/>
        <bgColor rgb="FFF8FDFB"/>
      </patternFill>
    </fill>
    <fill>
      <patternFill patternType="solid">
        <fgColor rgb="FFF4FBF8"/>
        <bgColor rgb="FFF4FBF8"/>
      </patternFill>
    </fill>
    <fill>
      <patternFill patternType="solid">
        <fgColor rgb="FFF3FAF7"/>
        <bgColor rgb="FFF3FAF7"/>
      </patternFill>
    </fill>
    <fill>
      <patternFill patternType="solid">
        <fgColor rgb="FFEDF8F3"/>
        <bgColor rgb="FFEDF8F3"/>
      </patternFill>
    </fill>
    <fill>
      <patternFill patternType="solid">
        <fgColor rgb="FFFFF3CF"/>
        <bgColor rgb="FFFFF3CF"/>
      </patternFill>
    </fill>
    <fill>
      <patternFill patternType="solid">
        <fgColor rgb="FFFDF3F2"/>
        <bgColor rgb="FFFDF3F2"/>
      </patternFill>
    </fill>
    <fill>
      <patternFill patternType="solid">
        <fgColor rgb="FFFFFEFE"/>
        <bgColor rgb="FFFFFEFE"/>
      </patternFill>
    </fill>
    <fill>
      <patternFill patternType="solid">
        <fgColor rgb="FFC6E8D7"/>
        <bgColor rgb="FFC6E8D7"/>
      </patternFill>
    </fill>
    <fill>
      <patternFill patternType="solid">
        <fgColor rgb="FFC2E7D5"/>
        <bgColor rgb="FFC2E7D5"/>
      </patternFill>
    </fill>
    <fill>
      <patternFill patternType="solid">
        <fgColor rgb="FFBBD4FC"/>
        <bgColor rgb="FFBBD4FC"/>
      </patternFill>
    </fill>
    <fill>
      <patternFill patternType="solid">
        <fgColor rgb="FFD8E6FD"/>
        <bgColor rgb="FFD8E6FD"/>
      </patternFill>
    </fill>
    <fill>
      <patternFill patternType="solid">
        <fgColor rgb="FFB6D0FB"/>
        <bgColor rgb="FFB6D0FB"/>
      </patternFill>
    </fill>
    <fill>
      <patternFill patternType="solid">
        <fgColor rgb="FFFFFAEB"/>
        <bgColor rgb="FFFFFAEB"/>
      </patternFill>
    </fill>
    <fill>
      <patternFill patternType="solid">
        <fgColor rgb="FFFFEDBB"/>
        <bgColor rgb="FFFFEDBB"/>
      </patternFill>
    </fill>
    <fill>
      <patternFill patternType="solid">
        <fgColor rgb="FFAAC9FB"/>
        <bgColor rgb="FFAAC9FB"/>
      </patternFill>
    </fill>
    <fill>
      <patternFill patternType="solid">
        <fgColor rgb="FFFFF9E7"/>
        <bgColor rgb="FFFFF9E7"/>
      </patternFill>
    </fill>
    <fill>
      <patternFill patternType="solid">
        <fgColor rgb="FFFFEBB3"/>
        <bgColor rgb="FFFFEBB3"/>
      </patternFill>
    </fill>
    <fill>
      <patternFill patternType="solid">
        <fgColor rgb="FFFAE0DE"/>
        <bgColor rgb="FFFAE0DE"/>
      </patternFill>
    </fill>
    <fill>
      <patternFill patternType="solid">
        <fgColor rgb="FFCEECDD"/>
        <bgColor rgb="FFCEECDD"/>
      </patternFill>
    </fill>
    <fill>
      <patternFill patternType="solid">
        <fgColor rgb="FFD3EEE1"/>
        <bgColor rgb="FFD3EEE1"/>
      </patternFill>
    </fill>
    <fill>
      <patternFill patternType="solid">
        <fgColor rgb="FFCDEBDC"/>
        <bgColor rgb="FFCDEBDC"/>
      </patternFill>
    </fill>
    <fill>
      <patternFill patternType="solid">
        <fgColor rgb="FFC7DBFC"/>
        <bgColor rgb="FFC7DBFC"/>
      </patternFill>
    </fill>
    <fill>
      <patternFill patternType="solid">
        <fgColor rgb="FFC0D7FC"/>
        <bgColor rgb="FFC0D7FC"/>
      </patternFill>
    </fill>
    <fill>
      <patternFill patternType="solid">
        <fgColor rgb="FFA1C2FA"/>
        <bgColor rgb="FFA1C2FA"/>
      </patternFill>
    </fill>
    <fill>
      <patternFill patternType="solid">
        <fgColor rgb="FFFFF8E2"/>
        <bgColor rgb="FFFFF8E2"/>
      </patternFill>
    </fill>
    <fill>
      <patternFill patternType="solid">
        <fgColor rgb="FFFFE9AC"/>
        <bgColor rgb="FFFFE9AC"/>
      </patternFill>
    </fill>
    <fill>
      <patternFill patternType="solid">
        <fgColor rgb="FFF9E0DE"/>
        <bgColor rgb="FFF9E0DE"/>
      </patternFill>
    </fill>
    <fill>
      <patternFill patternType="solid">
        <fgColor rgb="FFFEFCFB"/>
        <bgColor rgb="FFFEFCFB"/>
      </patternFill>
    </fill>
    <fill>
      <patternFill patternType="solid">
        <fgColor rgb="FFA5C5FA"/>
        <bgColor rgb="FFA5C5FA"/>
      </patternFill>
    </fill>
    <fill>
      <patternFill patternType="solid">
        <fgColor rgb="FFFFF6DE"/>
        <bgColor rgb="FFFFF6DE"/>
      </patternFill>
    </fill>
    <fill>
      <patternFill patternType="solid">
        <fgColor rgb="FFFFE8A9"/>
        <bgColor rgb="FFFFE8A9"/>
      </patternFill>
    </fill>
    <fill>
      <patternFill patternType="solid">
        <fgColor rgb="FFBDE4D1"/>
        <bgColor rgb="FFBDE4D1"/>
      </patternFill>
    </fill>
    <fill>
      <patternFill patternType="solid">
        <fgColor rgb="FFB8E2CE"/>
        <bgColor rgb="FFB8E2CE"/>
      </patternFill>
    </fill>
    <fill>
      <patternFill patternType="solid">
        <fgColor rgb="FFB8E3CE"/>
        <bgColor rgb="FFB8E3CE"/>
      </patternFill>
    </fill>
    <fill>
      <patternFill patternType="solid">
        <fgColor rgb="FFC5DAFC"/>
        <bgColor rgb="FFC5DAFC"/>
      </patternFill>
    </fill>
    <fill>
      <patternFill patternType="solid">
        <fgColor rgb="FF9DC0FA"/>
        <bgColor rgb="FF9DC0FA"/>
      </patternFill>
    </fill>
    <fill>
      <patternFill patternType="solid">
        <fgColor rgb="FFFFF5D8"/>
        <bgColor rgb="FFFFF5D8"/>
      </patternFill>
    </fill>
    <fill>
      <patternFill patternType="solid">
        <fgColor rgb="FFFFE59D"/>
        <bgColor rgb="FFFFE59D"/>
      </patternFill>
    </fill>
    <fill>
      <patternFill patternType="solid">
        <fgColor rgb="FFEBF7F2"/>
        <bgColor rgb="FFEBF7F2"/>
      </patternFill>
    </fill>
    <fill>
      <patternFill patternType="solid">
        <fgColor rgb="FFFFFAEA"/>
        <bgColor rgb="FFFFFAEA"/>
      </patternFill>
    </fill>
    <fill>
      <patternFill patternType="solid">
        <fgColor rgb="FFFFEAAF"/>
        <bgColor rgb="FFFFEAAF"/>
      </patternFill>
    </fill>
    <fill>
      <patternFill patternType="solid">
        <fgColor rgb="FFF9DEDC"/>
        <bgColor rgb="FFF9DEDC"/>
      </patternFill>
    </fill>
    <fill>
      <patternFill patternType="solid">
        <fgColor rgb="FFEEA9A3"/>
        <bgColor rgb="FFEEA9A3"/>
      </patternFill>
    </fill>
    <fill>
      <patternFill patternType="solid">
        <fgColor rgb="FFF0B4AE"/>
        <bgColor rgb="FFF0B4AE"/>
      </patternFill>
    </fill>
    <fill>
      <patternFill patternType="solid">
        <fgColor rgb="FFF0B1AC"/>
        <bgColor rgb="FFF0B1AC"/>
      </patternFill>
    </fill>
    <fill>
      <patternFill patternType="solid">
        <fgColor rgb="FFFFEAB1"/>
        <bgColor rgb="FFFFEAB1"/>
      </patternFill>
    </fill>
    <fill>
      <patternFill patternType="solid">
        <fgColor rgb="FFFEF8F8"/>
        <bgColor rgb="FFFEF8F8"/>
      </patternFill>
    </fill>
    <fill>
      <patternFill patternType="solid">
        <fgColor rgb="FFC1D7FC"/>
        <bgColor rgb="FFC1D7FC"/>
      </patternFill>
    </fill>
    <fill>
      <patternFill patternType="solid">
        <fgColor rgb="FF99BEFA"/>
        <bgColor rgb="FF99BEFA"/>
      </patternFill>
    </fill>
    <fill>
      <patternFill patternType="solid">
        <fgColor rgb="FFFFF4D4"/>
        <bgColor rgb="FFFFF4D4"/>
      </patternFill>
    </fill>
    <fill>
      <patternFill patternType="solid">
        <fgColor rgb="FFFFE7A2"/>
        <bgColor rgb="FFFFE7A2"/>
      </patternFill>
    </fill>
    <fill>
      <patternFill patternType="solid">
        <fgColor rgb="FFF9DCDA"/>
        <bgColor rgb="FFF9DCDA"/>
      </patternFill>
    </fill>
    <fill>
      <patternFill patternType="solid">
        <fgColor rgb="FFC3D9FC"/>
        <bgColor rgb="FFC3D9FC"/>
      </patternFill>
    </fill>
    <fill>
      <patternFill patternType="solid">
        <fgColor rgb="FFFFE69E"/>
        <bgColor rgb="FFFFE69E"/>
      </patternFill>
    </fill>
    <fill>
      <patternFill patternType="solid">
        <fgColor rgb="FFF9DBD9"/>
        <bgColor rgb="FFF9DBD9"/>
      </patternFill>
    </fill>
    <fill>
      <patternFill patternType="solid">
        <fgColor rgb="FFFEF6F5"/>
        <bgColor rgb="FFFEF6F5"/>
      </patternFill>
    </fill>
    <fill>
      <patternFill patternType="solid">
        <fgColor rgb="FFD1EDDF"/>
        <bgColor rgb="FFD1EDDF"/>
      </patternFill>
    </fill>
    <fill>
      <patternFill patternType="solid">
        <fgColor rgb="FFD3EDE0"/>
        <bgColor rgb="FFD3EDE0"/>
      </patternFill>
    </fill>
    <fill>
      <patternFill patternType="solid">
        <fgColor rgb="FFBDD5FC"/>
        <bgColor rgb="FFBDD5FC"/>
      </patternFill>
    </fill>
    <fill>
      <patternFill patternType="solid">
        <fgColor rgb="FF92B9F9"/>
        <bgColor rgb="FF92B9F9"/>
      </patternFill>
    </fill>
    <fill>
      <patternFill patternType="solid">
        <fgColor rgb="FFF8DBD8"/>
        <bgColor rgb="FFF8DBD8"/>
      </patternFill>
    </fill>
    <fill>
      <patternFill patternType="solid">
        <fgColor rgb="FFFEF7F6"/>
        <bgColor rgb="FFFEF7F6"/>
      </patternFill>
    </fill>
    <fill>
      <patternFill patternType="solid">
        <fgColor rgb="FFF2BDB9"/>
        <bgColor rgb="FFF2BDB9"/>
      </patternFill>
    </fill>
    <fill>
      <patternFill patternType="solid">
        <fgColor rgb="FFF1B6B1"/>
        <bgColor rgb="FFF1B6B1"/>
      </patternFill>
    </fill>
    <fill>
      <patternFill patternType="solid">
        <fgColor rgb="FFBAD2FB"/>
        <bgColor rgb="FFBAD2FB"/>
      </patternFill>
    </fill>
    <fill>
      <patternFill patternType="solid">
        <fgColor rgb="FF8AB4F9"/>
        <bgColor rgb="FF8AB4F9"/>
      </patternFill>
    </fill>
    <fill>
      <patternFill patternType="solid">
        <fgColor rgb="FFFFF2CD"/>
        <bgColor rgb="FFFFF2CD"/>
      </patternFill>
    </fill>
    <fill>
      <patternFill patternType="solid">
        <fgColor rgb="FFFFE6A1"/>
        <bgColor rgb="FFFFE6A1"/>
      </patternFill>
    </fill>
    <fill>
      <patternFill patternType="solid">
        <fgColor rgb="FFF8D9D7"/>
        <bgColor rgb="FFF8D9D7"/>
      </patternFill>
    </fill>
    <fill>
      <patternFill patternType="solid">
        <fgColor rgb="FFC9EADA"/>
        <bgColor rgb="FFC9EADA"/>
      </patternFill>
    </fill>
    <fill>
      <patternFill patternType="solid">
        <fgColor rgb="FFCFECDE"/>
        <bgColor rgb="FFCFECDE"/>
      </patternFill>
    </fill>
    <fill>
      <patternFill patternType="solid">
        <fgColor rgb="FFC9E9D9"/>
        <bgColor rgb="FFC9E9D9"/>
      </patternFill>
    </fill>
    <fill>
      <patternFill patternType="solid">
        <fgColor rgb="FF88B3F9"/>
        <bgColor rgb="FF88B3F9"/>
      </patternFill>
    </fill>
    <fill>
      <patternFill patternType="solid">
        <fgColor rgb="FFFFE69F"/>
        <bgColor rgb="FFFFE69F"/>
      </patternFill>
    </fill>
    <fill>
      <patternFill patternType="solid">
        <fgColor rgb="FFF8D8D5"/>
        <bgColor rgb="FFF8D8D5"/>
      </patternFill>
    </fill>
    <fill>
      <patternFill patternType="solid">
        <fgColor rgb="FFF1FAF5"/>
        <bgColor rgb="FFF1FAF5"/>
      </patternFill>
    </fill>
    <fill>
      <patternFill patternType="solid">
        <fgColor rgb="FFE3F4EC"/>
        <bgColor rgb="FFE3F4EC"/>
      </patternFill>
    </fill>
    <fill>
      <patternFill patternType="solid">
        <fgColor rgb="FFFFF8E3"/>
        <bgColor rgb="FFFFF8E3"/>
      </patternFill>
    </fill>
    <fill>
      <patternFill patternType="solid">
        <fgColor rgb="FFFFE7A4"/>
        <bgColor rgb="FFFFE7A4"/>
      </patternFill>
    </fill>
    <fill>
      <patternFill patternType="solid">
        <fgColor rgb="FFF8D6D4"/>
        <bgColor rgb="FFF8D6D4"/>
      </patternFill>
    </fill>
    <fill>
      <patternFill patternType="solid">
        <fgColor rgb="FF8FD2B1"/>
        <bgColor rgb="FF8FD2B1"/>
      </patternFill>
    </fill>
    <fill>
      <patternFill patternType="solid">
        <fgColor rgb="FF93D4B4"/>
        <bgColor rgb="FF93D4B4"/>
      </patternFill>
    </fill>
    <fill>
      <patternFill patternType="solid">
        <fgColor rgb="FF8BD0AE"/>
        <bgColor rgb="FF8BD0AE"/>
      </patternFill>
    </fill>
    <fill>
      <patternFill patternType="solid">
        <fgColor rgb="FFB8D1FB"/>
        <bgColor rgb="FFB8D1FB"/>
      </patternFill>
    </fill>
    <fill>
      <patternFill patternType="solid">
        <fgColor rgb="FF85B0F8"/>
        <bgColor rgb="FF85B0F8"/>
      </patternFill>
    </fill>
    <fill>
      <patternFill patternType="solid">
        <fgColor rgb="FFFFE6A2"/>
        <bgColor rgb="FFFFE6A2"/>
      </patternFill>
    </fill>
    <fill>
      <patternFill patternType="solid">
        <fgColor rgb="FFF7D5D2"/>
        <bgColor rgb="FFF7D5D2"/>
      </patternFill>
    </fill>
    <fill>
      <patternFill patternType="solid">
        <fgColor rgb="FFA7C6FA"/>
        <bgColor rgb="FFA7C6FA"/>
      </patternFill>
    </fill>
    <fill>
      <patternFill patternType="solid">
        <fgColor rgb="FFABC9FB"/>
        <bgColor rgb="FFABC9FB"/>
      </patternFill>
    </fill>
    <fill>
      <patternFill patternType="solid">
        <fgColor rgb="FF76A6F7"/>
        <bgColor rgb="FF76A6F7"/>
      </patternFill>
    </fill>
    <fill>
      <patternFill patternType="solid">
        <fgColor rgb="FFFFEFC0"/>
        <bgColor rgb="FFFFEFC0"/>
      </patternFill>
    </fill>
    <fill>
      <patternFill patternType="solid">
        <fgColor rgb="FFFFE18F"/>
        <bgColor rgb="FFFFE18F"/>
      </patternFill>
    </fill>
    <fill>
      <patternFill patternType="solid">
        <fgColor rgb="FFF7D3D0"/>
        <bgColor rgb="FFF7D3D0"/>
      </patternFill>
    </fill>
    <fill>
      <patternFill patternType="solid">
        <fgColor rgb="FF98BCF9"/>
        <bgColor rgb="FF98BCF9"/>
      </patternFill>
    </fill>
    <fill>
      <patternFill patternType="solid">
        <fgColor rgb="FF96BCF9"/>
        <bgColor rgb="FF96BCF9"/>
      </patternFill>
    </fill>
    <fill>
      <patternFill patternType="solid">
        <fgColor rgb="FF6CA0F7"/>
        <bgColor rgb="FF6CA0F7"/>
      </patternFill>
    </fill>
    <fill>
      <patternFill patternType="solid">
        <fgColor rgb="FFFFECB7"/>
        <bgColor rgb="FFFFECB7"/>
      </patternFill>
    </fill>
    <fill>
      <patternFill patternType="solid">
        <fgColor rgb="FFFFE08C"/>
        <bgColor rgb="FFFFE08C"/>
      </patternFill>
    </fill>
    <fill>
      <patternFill patternType="solid">
        <fgColor rgb="FFF7D1CE"/>
        <bgColor rgb="FFF7D1CE"/>
      </patternFill>
    </fill>
    <fill>
      <patternFill patternType="solid">
        <fgColor rgb="FFFCEBEA"/>
        <bgColor rgb="FFFCEBEA"/>
      </patternFill>
    </fill>
    <fill>
      <patternFill patternType="solid">
        <fgColor rgb="FFF0B2AD"/>
        <bgColor rgb="FFF0B2AD"/>
      </patternFill>
    </fill>
    <fill>
      <patternFill patternType="solid">
        <fgColor rgb="FF83AFF8"/>
        <bgColor rgb="FF83AFF8"/>
      </patternFill>
    </fill>
    <fill>
      <patternFill patternType="solid">
        <fgColor rgb="FF81AEF8"/>
        <bgColor rgb="FF81AEF8"/>
      </patternFill>
    </fill>
    <fill>
      <patternFill patternType="solid">
        <fgColor rgb="FF5F98F6"/>
        <bgColor rgb="FF5F98F6"/>
      </patternFill>
    </fill>
    <fill>
      <patternFill patternType="solid">
        <fgColor rgb="FFFFE8A7"/>
        <bgColor rgb="FFFFE8A7"/>
      </patternFill>
    </fill>
    <fill>
      <patternFill patternType="solid">
        <fgColor rgb="FFFFDE84"/>
        <bgColor rgb="FFFFDE84"/>
      </patternFill>
    </fill>
    <fill>
      <patternFill patternType="solid">
        <fgColor rgb="FFF6CFCB"/>
        <bgColor rgb="FFF6CFCB"/>
      </patternFill>
    </fill>
    <fill>
      <patternFill patternType="solid">
        <fgColor rgb="FFADDEC6"/>
        <bgColor rgb="FFADDEC6"/>
      </patternFill>
    </fill>
    <fill>
      <patternFill patternType="solid">
        <fgColor rgb="FFBCE4D0"/>
        <bgColor rgb="FFBCE4D0"/>
      </patternFill>
    </fill>
    <fill>
      <patternFill patternType="solid">
        <fgColor rgb="FFB7E2CD"/>
        <bgColor rgb="FFB7E2CD"/>
      </patternFill>
    </fill>
    <fill>
      <patternFill patternType="solid">
        <fgColor rgb="FF4C8CF5"/>
        <bgColor rgb="FF4C8CF5"/>
      </patternFill>
    </fill>
    <fill>
      <patternFill patternType="solid">
        <fgColor rgb="FF4285F4"/>
        <bgColor rgb="FF4285F4"/>
      </patternFill>
    </fill>
    <fill>
      <patternFill patternType="solid">
        <fgColor rgb="FF4487F5"/>
        <bgColor rgb="FF4487F5"/>
      </patternFill>
    </fill>
    <fill>
      <patternFill patternType="solid">
        <fgColor rgb="FFFFE089"/>
        <bgColor rgb="FFFFE089"/>
      </patternFill>
    </fill>
    <fill>
      <patternFill patternType="solid">
        <fgColor rgb="FFFFDC79"/>
        <bgColor rgb="FFFFDC79"/>
      </patternFill>
    </fill>
    <fill>
      <patternFill patternType="solid">
        <fgColor rgb="FFF6CECA"/>
        <bgColor rgb="FFF6CECA"/>
      </patternFill>
    </fill>
    <fill>
      <patternFill patternType="solid">
        <fgColor rgb="FF7CCAA4"/>
        <bgColor rgb="FF7CCAA4"/>
      </patternFill>
    </fill>
    <fill>
      <patternFill patternType="solid">
        <fgColor rgb="FF7ECBA5"/>
        <bgColor rgb="FF7ECBA5"/>
      </patternFill>
    </fill>
    <fill>
      <patternFill patternType="solid">
        <fgColor rgb="FF79C9A2"/>
        <bgColor rgb="FF79C9A2"/>
      </patternFill>
    </fill>
    <fill>
      <patternFill patternType="solid">
        <fgColor rgb="FF4E8DF5"/>
        <bgColor rgb="FF4E8DF5"/>
      </patternFill>
    </fill>
    <fill>
      <patternFill patternType="solid">
        <fgColor rgb="FFFFDF87"/>
        <bgColor rgb="FFFFDF87"/>
      </patternFill>
    </fill>
    <fill>
      <patternFill patternType="solid">
        <fgColor rgb="FFFFDC7B"/>
        <bgColor rgb="FFFFDC7B"/>
      </patternFill>
    </fill>
    <fill>
      <patternFill patternType="solid">
        <fgColor rgb="FFF5C7C3"/>
        <bgColor rgb="FFF5C7C3"/>
      </patternFill>
    </fill>
    <fill>
      <patternFill patternType="solid">
        <fgColor rgb="FFF2BBB7"/>
        <bgColor rgb="FFF2BBB7"/>
      </patternFill>
    </fill>
    <fill>
      <patternFill patternType="solid">
        <fgColor rgb="FF5B95F6"/>
        <bgColor rgb="FF5B95F6"/>
      </patternFill>
    </fill>
    <fill>
      <patternFill patternType="solid">
        <fgColor rgb="FF5793F6"/>
        <bgColor rgb="FF5793F6"/>
      </patternFill>
    </fill>
    <fill>
      <patternFill patternType="solid">
        <fgColor rgb="FFFFEEBD"/>
        <bgColor rgb="FFFFEEBD"/>
      </patternFill>
    </fill>
    <fill>
      <patternFill patternType="solid">
        <fgColor rgb="FFFFDE81"/>
        <bgColor rgb="FFFFDE81"/>
      </patternFill>
    </fill>
    <fill>
      <patternFill patternType="solid">
        <fgColor rgb="FFF4C3BF"/>
        <bgColor rgb="FFF4C3BF"/>
      </patternFill>
    </fill>
    <fill>
      <patternFill patternType="solid">
        <fgColor rgb="FF57BB8A"/>
        <bgColor rgb="FF57BB8A"/>
      </patternFill>
    </fill>
    <fill>
      <patternFill patternType="solid">
        <fgColor rgb="FF4688F5"/>
        <bgColor rgb="FF4688F5"/>
      </patternFill>
    </fill>
    <fill>
      <patternFill patternType="solid">
        <fgColor rgb="FFFFDC7D"/>
        <bgColor rgb="FFFFDC7D"/>
      </patternFill>
    </fill>
    <fill>
      <patternFill patternType="solid">
        <fgColor rgb="FFF3BEBA"/>
        <bgColor rgb="FFF3BEBA"/>
      </patternFill>
    </fill>
    <fill>
      <patternFill patternType="solid">
        <fgColor rgb="FFF7D2CE"/>
        <bgColor rgb="FFF7D2CE"/>
      </patternFill>
    </fill>
    <fill>
      <patternFill patternType="solid">
        <fgColor rgb="FF4A8AF5"/>
        <bgColor rgb="FF4A8AF5"/>
      </patternFill>
    </fill>
    <fill>
      <patternFill patternType="solid">
        <fgColor rgb="FFFFDB76"/>
        <bgColor rgb="FFFFDB76"/>
      </patternFill>
    </fill>
    <fill>
      <patternFill patternType="solid">
        <fgColor rgb="FFFFD970"/>
        <bgColor rgb="FFFFD970"/>
      </patternFill>
    </fill>
    <fill>
      <patternFill patternType="solid">
        <fgColor rgb="FFF2B9B4"/>
        <bgColor rgb="FFF2B9B4"/>
      </patternFill>
    </fill>
    <fill>
      <patternFill patternType="solid">
        <fgColor rgb="FF508EF5"/>
        <bgColor rgb="FF508EF5"/>
      </patternFill>
    </fill>
    <fill>
      <patternFill patternType="solid">
        <fgColor rgb="FF5490F5"/>
        <bgColor rgb="FF5490F5"/>
      </patternFill>
    </fill>
    <fill>
      <patternFill patternType="solid">
        <fgColor rgb="FFFFD76A"/>
        <bgColor rgb="FFFFD76A"/>
      </patternFill>
    </fill>
    <fill>
      <patternFill patternType="solid">
        <fgColor rgb="FFFFD86A"/>
        <bgColor rgb="FFFFD86A"/>
      </patternFill>
    </fill>
    <fill>
      <patternFill patternType="solid">
        <fgColor rgb="FFF1B3AD"/>
        <bgColor rgb="FFF1B3AD"/>
      </patternFill>
    </fill>
    <fill>
      <patternFill patternType="solid">
        <fgColor rgb="FFF3C0BC"/>
        <bgColor rgb="FFF3C0BC"/>
      </patternFill>
    </fill>
    <fill>
      <patternFill patternType="solid">
        <fgColor rgb="FFF1B9B5"/>
        <bgColor rgb="FFF1B9B5"/>
      </patternFill>
    </fill>
    <fill>
      <patternFill patternType="solid">
        <fgColor rgb="FFEFABA5"/>
        <bgColor rgb="FFEFABA5"/>
      </patternFill>
    </fill>
    <fill>
      <patternFill patternType="solid">
        <fgColor rgb="FFEFADA8"/>
        <bgColor rgb="FFEFADA8"/>
      </patternFill>
    </fill>
    <fill>
      <patternFill patternType="solid">
        <fgColor rgb="FFFFD767"/>
        <bgColor rgb="FFFFD767"/>
      </patternFill>
    </fill>
    <fill>
      <patternFill patternType="solid">
        <fgColor rgb="FFF0ACA6"/>
        <bgColor rgb="FFF0ACA6"/>
      </patternFill>
    </fill>
    <fill>
      <patternFill patternType="solid">
        <fgColor rgb="FFF2B8B3"/>
        <bgColor rgb="FFF2B8B3"/>
      </patternFill>
    </fill>
    <fill>
      <patternFill patternType="solid">
        <fgColor rgb="FFB4E1CB"/>
        <bgColor rgb="FFB4E1CB"/>
      </patternFill>
    </fill>
    <fill>
      <patternFill patternType="solid">
        <fgColor rgb="FFC4E7D6"/>
        <bgColor rgb="FFC4E7D6"/>
      </patternFill>
    </fill>
    <fill>
      <patternFill patternType="solid">
        <fgColor rgb="FF5D97F6"/>
        <bgColor rgb="FF5D97F6"/>
      </patternFill>
    </fill>
    <fill>
      <patternFill patternType="solid">
        <fgColor rgb="FF6CA1F7"/>
        <bgColor rgb="FF6CA1F7"/>
      </patternFill>
    </fill>
    <fill>
      <patternFill patternType="solid">
        <fgColor rgb="FFFFD666"/>
        <bgColor rgb="FFFFD666"/>
      </patternFill>
    </fill>
    <fill>
      <patternFill patternType="solid">
        <fgColor rgb="FFEDA19A"/>
        <bgColor rgb="FFEDA19A"/>
      </patternFill>
    </fill>
    <fill>
      <patternFill patternType="solid">
        <fgColor rgb="FFEA8F87"/>
        <bgColor rgb="FFEA8F87"/>
      </patternFill>
    </fill>
    <fill>
      <patternFill patternType="solid">
        <fgColor rgb="FFFFD96F"/>
        <bgColor rgb="FFFFD96F"/>
      </patternFill>
    </fill>
    <fill>
      <patternFill patternType="solid">
        <fgColor rgb="FFEB958E"/>
        <bgColor rgb="FFEB958E"/>
      </patternFill>
    </fill>
    <fill>
      <patternFill patternType="solid">
        <fgColor rgb="FFE98880"/>
        <bgColor rgb="FFE98880"/>
      </patternFill>
    </fill>
    <fill>
      <patternFill patternType="solid">
        <fgColor rgb="FFCCEBDC"/>
        <bgColor rgb="FFCCEBDC"/>
      </patternFill>
    </fill>
    <fill>
      <patternFill patternType="solid">
        <fgColor rgb="FFFFDA73"/>
        <bgColor rgb="FFFFDA73"/>
      </patternFill>
    </fill>
    <fill>
      <patternFill patternType="solid">
        <fgColor rgb="FFE98981"/>
        <bgColor rgb="FFE98981"/>
      </patternFill>
    </fill>
    <fill>
      <patternFill patternType="solid">
        <fgColor rgb="FFFFEBB4"/>
        <bgColor rgb="FFFFEBB4"/>
      </patternFill>
    </fill>
    <fill>
      <patternFill patternType="solid">
        <fgColor rgb="FFFFDC7A"/>
        <bgColor rgb="FFFFDC7A"/>
      </patternFill>
    </fill>
    <fill>
      <patternFill patternType="solid">
        <fgColor rgb="FFE78078"/>
        <bgColor rgb="FFE7807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2" fontId="2" numFmtId="164" xfId="0" applyFill="1" applyFont="1" applyNumberFormat="1"/>
    <xf borderId="0" fillId="0" fontId="1" numFmtId="0" xfId="0" applyFont="1"/>
    <xf borderId="0" fillId="0" fontId="1" numFmtId="49" xfId="0" applyFont="1" applyNumberFormat="1"/>
    <xf borderId="0" fillId="0" fontId="1" numFmtId="4" xfId="0" applyFont="1" applyNumberFormat="1"/>
    <xf borderId="0" fillId="0" fontId="3" numFmtId="0" xfId="0" applyAlignment="1" applyFont="1">
      <alignment readingOrder="0" shrinkToFit="0" vertical="bottom" wrapText="1"/>
    </xf>
    <xf borderId="0" fillId="3" fontId="3" numFmtId="0" xfId="0" applyAlignment="1" applyFill="1" applyFont="1">
      <alignment horizontal="center" readingOrder="0" shrinkToFit="0" vertical="bottom" wrapText="1"/>
    </xf>
    <xf borderId="0" fillId="4" fontId="3" numFmtId="0" xfId="0" applyAlignment="1" applyFill="1" applyFont="1">
      <alignment horizontal="center" readingOrder="0" shrinkToFit="0" vertical="bottom" wrapText="1"/>
    </xf>
    <xf borderId="0" fillId="5" fontId="3" numFmtId="0" xfId="0" applyAlignment="1" applyFill="1" applyFont="1">
      <alignment horizontal="center" readingOrder="0" shrinkToFit="0" vertical="bottom" wrapText="1"/>
    </xf>
    <xf borderId="0" fillId="6" fontId="3" numFmtId="0" xfId="0" applyAlignment="1" applyFill="1" applyFont="1">
      <alignment horizontal="center" readingOrder="0" shrinkToFit="0" vertical="bottom" wrapText="1"/>
    </xf>
    <xf borderId="0" fillId="0" fontId="4" numFmtId="165" xfId="0" applyAlignment="1" applyFont="1" applyNumberFormat="1">
      <alignment horizontal="right" readingOrder="0" vertical="bottom"/>
    </xf>
    <xf borderId="0" fillId="2" fontId="4" numFmtId="0" xfId="0" applyAlignment="1" applyFont="1">
      <alignment horizontal="center" readingOrder="0" vertical="bottom"/>
    </xf>
    <xf borderId="0" fillId="2" fontId="5" numFmtId="0" xfId="0" applyAlignment="1" applyFont="1">
      <alignment horizontal="right" readingOrder="0" vertical="bottom"/>
    </xf>
    <xf borderId="0" fillId="0" fontId="4" numFmtId="0" xfId="0" applyAlignment="1" applyFont="1">
      <alignment horizontal="center" readingOrder="0" vertical="bottom"/>
    </xf>
    <xf borderId="0" fillId="7" fontId="4" numFmtId="0" xfId="0" applyAlignment="1" applyFill="1" applyFont="1">
      <alignment horizontal="center" readingOrder="0" vertical="bottom"/>
    </xf>
    <xf borderId="0" fillId="8" fontId="5" numFmtId="0" xfId="0" applyAlignment="1" applyFill="1" applyFont="1">
      <alignment vertical="bottom"/>
    </xf>
    <xf borderId="0" fillId="0" fontId="4" numFmtId="0" xfId="0" applyAlignment="1" applyFont="1">
      <alignment horizontal="center" vertical="bottom"/>
    </xf>
    <xf borderId="0" fillId="9" fontId="4" numFmtId="0" xfId="0" applyAlignment="1" applyFill="1" applyFont="1">
      <alignment horizontal="center" readingOrder="0" vertical="bottom"/>
    </xf>
    <xf borderId="0" fillId="10" fontId="4" numFmtId="0" xfId="0" applyAlignment="1" applyFill="1" applyFont="1">
      <alignment horizontal="center" readingOrder="0" vertical="bottom"/>
    </xf>
    <xf borderId="0" fillId="11" fontId="4" numFmtId="0" xfId="0" applyAlignment="1" applyFill="1" applyFont="1">
      <alignment horizontal="center" readingOrder="0" vertical="bottom"/>
    </xf>
    <xf borderId="0" fillId="12" fontId="4" numFmtId="0" xfId="0" applyAlignment="1" applyFill="1" applyFont="1">
      <alignment horizontal="center" readingOrder="0" vertical="bottom"/>
    </xf>
    <xf borderId="0" fillId="13" fontId="4" numFmtId="0" xfId="0" applyAlignment="1" applyFill="1" applyFont="1">
      <alignment horizontal="center" readingOrder="0" vertical="bottom"/>
    </xf>
    <xf borderId="0" fillId="14" fontId="4" numFmtId="0" xfId="0" applyAlignment="1" applyFill="1" applyFont="1">
      <alignment horizontal="center" readingOrder="0" vertical="bottom"/>
    </xf>
    <xf borderId="0" fillId="15" fontId="4" numFmtId="0" xfId="0" applyAlignment="1" applyFill="1" applyFont="1">
      <alignment horizontal="center" readingOrder="0" vertical="bottom"/>
    </xf>
    <xf borderId="0" fillId="16" fontId="4" numFmtId="0" xfId="0" applyAlignment="1" applyFill="1" applyFont="1">
      <alignment horizontal="center" readingOrder="0" vertical="bottom"/>
    </xf>
    <xf borderId="0" fillId="17" fontId="4" numFmtId="0" xfId="0" applyAlignment="1" applyFill="1" applyFont="1">
      <alignment horizontal="center" readingOrder="0" vertical="bottom"/>
    </xf>
    <xf borderId="0" fillId="18" fontId="4" numFmtId="0" xfId="0" applyAlignment="1" applyFill="1" applyFont="1">
      <alignment horizontal="center" readingOrder="0" vertical="bottom"/>
    </xf>
    <xf borderId="0" fillId="19" fontId="4" numFmtId="0" xfId="0" applyAlignment="1" applyFill="1" applyFont="1">
      <alignment horizontal="center" readingOrder="0" vertical="bottom"/>
    </xf>
    <xf borderId="0" fillId="20" fontId="4" numFmtId="0" xfId="0" applyAlignment="1" applyFill="1" applyFont="1">
      <alignment horizontal="center" readingOrder="0" vertical="bottom"/>
    </xf>
    <xf borderId="0" fillId="21" fontId="4" numFmtId="0" xfId="0" applyAlignment="1" applyFill="1" applyFont="1">
      <alignment horizontal="center" readingOrder="0" vertical="bottom"/>
    </xf>
    <xf borderId="0" fillId="22" fontId="4" numFmtId="0" xfId="0" applyAlignment="1" applyFill="1" applyFont="1">
      <alignment horizontal="center" readingOrder="0" vertical="bottom"/>
    </xf>
    <xf borderId="0" fillId="23" fontId="4" numFmtId="0" xfId="0" applyAlignment="1" applyFill="1" applyFont="1">
      <alignment horizontal="center" readingOrder="0" vertical="bottom"/>
    </xf>
    <xf borderId="0" fillId="24" fontId="4" numFmtId="0" xfId="0" applyAlignment="1" applyFill="1" applyFont="1">
      <alignment horizontal="center" readingOrder="0" vertical="bottom"/>
    </xf>
    <xf borderId="0" fillId="25" fontId="4" numFmtId="0" xfId="0" applyAlignment="1" applyFill="1" applyFont="1">
      <alignment horizontal="center" readingOrder="0" vertical="bottom"/>
    </xf>
    <xf borderId="0" fillId="26" fontId="4" numFmtId="0" xfId="0" applyAlignment="1" applyFill="1" applyFont="1">
      <alignment horizontal="center" readingOrder="0" vertical="bottom"/>
    </xf>
    <xf borderId="0" fillId="27" fontId="4" numFmtId="0" xfId="0" applyAlignment="1" applyFill="1" applyFont="1">
      <alignment horizontal="center" readingOrder="0" vertical="bottom"/>
    </xf>
    <xf borderId="0" fillId="28" fontId="4" numFmtId="0" xfId="0" applyAlignment="1" applyFill="1" applyFont="1">
      <alignment horizontal="center" readingOrder="0" vertical="bottom"/>
    </xf>
    <xf borderId="0" fillId="29" fontId="4" numFmtId="0" xfId="0" applyAlignment="1" applyFill="1" applyFont="1">
      <alignment horizontal="center" readingOrder="0" vertical="bottom"/>
    </xf>
    <xf borderId="0" fillId="30" fontId="4" numFmtId="0" xfId="0" applyAlignment="1" applyFill="1" applyFont="1">
      <alignment horizontal="center" readingOrder="0" vertical="bottom"/>
    </xf>
    <xf borderId="0" fillId="31" fontId="4" numFmtId="0" xfId="0" applyAlignment="1" applyFill="1" applyFont="1">
      <alignment horizontal="center" readingOrder="0" vertical="bottom"/>
    </xf>
    <xf borderId="0" fillId="32" fontId="4" numFmtId="0" xfId="0" applyAlignment="1" applyFill="1" applyFont="1">
      <alignment horizontal="center" readingOrder="0" vertical="bottom"/>
    </xf>
    <xf borderId="0" fillId="33" fontId="4" numFmtId="0" xfId="0" applyAlignment="1" applyFill="1" applyFont="1">
      <alignment horizontal="center" readingOrder="0" vertical="bottom"/>
    </xf>
    <xf borderId="0" fillId="34" fontId="4" numFmtId="0" xfId="0" applyAlignment="1" applyFill="1" applyFont="1">
      <alignment horizontal="center" readingOrder="0" vertical="bottom"/>
    </xf>
    <xf borderId="0" fillId="35" fontId="4" numFmtId="0" xfId="0" applyAlignment="1" applyFill="1" applyFont="1">
      <alignment horizontal="center" readingOrder="0" vertical="bottom"/>
    </xf>
    <xf borderId="0" fillId="36" fontId="4" numFmtId="0" xfId="0" applyAlignment="1" applyFill="1" applyFont="1">
      <alignment horizontal="center" readingOrder="0" vertical="bottom"/>
    </xf>
    <xf borderId="0" fillId="37" fontId="4" numFmtId="0" xfId="0" applyAlignment="1" applyFill="1" applyFont="1">
      <alignment horizontal="center" readingOrder="0" vertical="bottom"/>
    </xf>
    <xf borderId="0" fillId="38" fontId="4" numFmtId="0" xfId="0" applyAlignment="1" applyFill="1" applyFont="1">
      <alignment horizontal="center" readingOrder="0" vertical="bottom"/>
    </xf>
    <xf borderId="0" fillId="39" fontId="4" numFmtId="0" xfId="0" applyAlignment="1" applyFill="1" applyFont="1">
      <alignment horizontal="center" readingOrder="0" vertical="bottom"/>
    </xf>
    <xf borderId="0" fillId="40" fontId="4" numFmtId="0" xfId="0" applyAlignment="1" applyFill="1" applyFont="1">
      <alignment horizontal="center" readingOrder="0" vertical="bottom"/>
    </xf>
    <xf borderId="0" fillId="41" fontId="4" numFmtId="0" xfId="0" applyAlignment="1" applyFill="1" applyFont="1">
      <alignment horizontal="center" readingOrder="0" vertical="bottom"/>
    </xf>
    <xf borderId="0" fillId="42" fontId="4" numFmtId="0" xfId="0" applyAlignment="1" applyFill="1" applyFont="1">
      <alignment horizontal="center" readingOrder="0" vertical="bottom"/>
    </xf>
    <xf borderId="0" fillId="43" fontId="4" numFmtId="0" xfId="0" applyAlignment="1" applyFill="1" applyFont="1">
      <alignment horizontal="center" readingOrder="0" vertical="bottom"/>
    </xf>
    <xf borderId="0" fillId="44" fontId="4" numFmtId="0" xfId="0" applyAlignment="1" applyFill="1" applyFont="1">
      <alignment horizontal="center" readingOrder="0" vertical="bottom"/>
    </xf>
    <xf borderId="0" fillId="45" fontId="4" numFmtId="0" xfId="0" applyAlignment="1" applyFill="1" applyFont="1">
      <alignment horizontal="center" readingOrder="0" vertical="bottom"/>
    </xf>
    <xf borderId="0" fillId="46" fontId="4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47" fontId="4" numFmtId="0" xfId="0" applyAlignment="1" applyFill="1" applyFont="1">
      <alignment horizontal="center" readingOrder="0" vertical="bottom"/>
    </xf>
    <xf borderId="0" fillId="48" fontId="4" numFmtId="0" xfId="0" applyAlignment="1" applyFill="1" applyFont="1">
      <alignment horizontal="center" readingOrder="0" vertical="bottom"/>
    </xf>
    <xf borderId="0" fillId="49" fontId="5" numFmtId="0" xfId="0" applyAlignment="1" applyFill="1" applyFont="1">
      <alignment horizontal="right" readingOrder="0" vertical="bottom"/>
    </xf>
    <xf borderId="0" fillId="50" fontId="4" numFmtId="0" xfId="0" applyAlignment="1" applyFill="1" applyFont="1">
      <alignment horizontal="center" readingOrder="0" vertical="bottom"/>
    </xf>
    <xf borderId="0" fillId="51" fontId="4" numFmtId="0" xfId="0" applyAlignment="1" applyFill="1" applyFont="1">
      <alignment horizontal="center" readingOrder="0" vertical="bottom"/>
    </xf>
    <xf borderId="0" fillId="52" fontId="4" numFmtId="0" xfId="0" applyAlignment="1" applyFill="1" applyFont="1">
      <alignment horizontal="center" readingOrder="0" vertical="bottom"/>
    </xf>
    <xf borderId="0" fillId="53" fontId="4" numFmtId="0" xfId="0" applyAlignment="1" applyFill="1" applyFont="1">
      <alignment horizontal="center" readingOrder="0" vertical="bottom"/>
    </xf>
    <xf borderId="0" fillId="54" fontId="4" numFmtId="0" xfId="0" applyAlignment="1" applyFill="1" applyFont="1">
      <alignment horizontal="center" readingOrder="0" vertical="bottom"/>
    </xf>
    <xf borderId="0" fillId="55" fontId="4" numFmtId="0" xfId="0" applyAlignment="1" applyFill="1" applyFont="1">
      <alignment horizontal="center" readingOrder="0" vertical="bottom"/>
    </xf>
    <xf borderId="0" fillId="56" fontId="4" numFmtId="0" xfId="0" applyAlignment="1" applyFill="1" applyFont="1">
      <alignment horizontal="center" readingOrder="0" vertical="bottom"/>
    </xf>
    <xf borderId="0" fillId="57" fontId="4" numFmtId="0" xfId="0" applyAlignment="1" applyFill="1" applyFont="1">
      <alignment horizontal="center" readingOrder="0" vertical="bottom"/>
    </xf>
    <xf borderId="0" fillId="58" fontId="4" numFmtId="0" xfId="0" applyAlignment="1" applyFill="1" applyFont="1">
      <alignment horizontal="center" readingOrder="0" vertical="bottom"/>
    </xf>
    <xf borderId="0" fillId="59" fontId="4" numFmtId="0" xfId="0" applyAlignment="1" applyFill="1" applyFont="1">
      <alignment horizontal="center" readingOrder="0" vertical="bottom"/>
    </xf>
    <xf borderId="0" fillId="60" fontId="4" numFmtId="0" xfId="0" applyAlignment="1" applyFill="1" applyFont="1">
      <alignment horizontal="center" readingOrder="0" vertical="bottom"/>
    </xf>
    <xf borderId="0" fillId="61" fontId="4" numFmtId="0" xfId="0" applyAlignment="1" applyFill="1" applyFont="1">
      <alignment horizontal="center" readingOrder="0" vertical="bottom"/>
    </xf>
    <xf borderId="0" fillId="62" fontId="4" numFmtId="3" xfId="0" applyAlignment="1" applyFill="1" applyFont="1" applyNumberFormat="1">
      <alignment horizontal="center" readingOrder="0" vertical="bottom"/>
    </xf>
    <xf borderId="0" fillId="2" fontId="4" numFmtId="3" xfId="0" applyAlignment="1" applyFont="1" applyNumberFormat="1">
      <alignment horizontal="center" readingOrder="0" vertical="bottom"/>
    </xf>
    <xf borderId="0" fillId="63" fontId="4" numFmtId="0" xfId="0" applyAlignment="1" applyFill="1" applyFont="1">
      <alignment horizontal="center" readingOrder="0" vertical="bottom"/>
    </xf>
    <xf borderId="0" fillId="64" fontId="4" numFmtId="0" xfId="0" applyAlignment="1" applyFill="1" applyFont="1">
      <alignment horizontal="center" readingOrder="0" vertical="bottom"/>
    </xf>
    <xf borderId="0" fillId="65" fontId="4" numFmtId="0" xfId="0" applyAlignment="1" applyFill="1" applyFont="1">
      <alignment horizontal="center" readingOrder="0" vertical="bottom"/>
    </xf>
    <xf borderId="0" fillId="66" fontId="4" numFmtId="0" xfId="0" applyAlignment="1" applyFill="1" applyFont="1">
      <alignment horizontal="center" readingOrder="0" vertical="bottom"/>
    </xf>
    <xf borderId="0" fillId="67" fontId="4" numFmtId="0" xfId="0" applyAlignment="1" applyFill="1" applyFont="1">
      <alignment horizontal="center" readingOrder="0" vertical="bottom"/>
    </xf>
    <xf borderId="0" fillId="68" fontId="4" numFmtId="0" xfId="0" applyAlignment="1" applyFill="1" applyFont="1">
      <alignment horizontal="center" readingOrder="0" vertical="bottom"/>
    </xf>
    <xf borderId="0" fillId="69" fontId="4" numFmtId="0" xfId="0" applyAlignment="1" applyFill="1" applyFont="1">
      <alignment horizontal="center" readingOrder="0" vertical="bottom"/>
    </xf>
    <xf borderId="0" fillId="70" fontId="4" numFmtId="3" xfId="0" applyAlignment="1" applyFill="1" applyFont="1" applyNumberFormat="1">
      <alignment horizontal="center" readingOrder="0" vertical="bottom"/>
    </xf>
    <xf borderId="0" fillId="71" fontId="4" numFmtId="0" xfId="0" applyAlignment="1" applyFill="1" applyFont="1">
      <alignment horizontal="center" readingOrder="0" vertical="bottom"/>
    </xf>
    <xf borderId="0" fillId="72" fontId="4" numFmtId="0" xfId="0" applyAlignment="1" applyFill="1" applyFont="1">
      <alignment horizontal="center" readingOrder="0" vertical="bottom"/>
    </xf>
    <xf borderId="0" fillId="73" fontId="5" numFmtId="0" xfId="0" applyAlignment="1" applyFill="1" applyFont="1">
      <alignment horizontal="right" readingOrder="0" vertical="bottom"/>
    </xf>
    <xf borderId="0" fillId="74" fontId="4" numFmtId="0" xfId="0" applyAlignment="1" applyFill="1" applyFont="1">
      <alignment horizontal="center" readingOrder="0" vertical="bottom"/>
    </xf>
    <xf borderId="0" fillId="75" fontId="4" numFmtId="0" xfId="0" applyAlignment="1" applyFill="1" applyFont="1">
      <alignment horizontal="center" readingOrder="0" vertical="bottom"/>
    </xf>
    <xf borderId="0" fillId="76" fontId="4" numFmtId="3" xfId="0" applyAlignment="1" applyFill="1" applyFont="1" applyNumberFormat="1">
      <alignment horizontal="center" readingOrder="0" vertical="bottom"/>
    </xf>
    <xf borderId="0" fillId="77" fontId="4" numFmtId="0" xfId="0" applyAlignment="1" applyFill="1" applyFont="1">
      <alignment horizontal="center" readingOrder="0" vertical="bottom"/>
    </xf>
    <xf borderId="0" fillId="78" fontId="4" numFmtId="0" xfId="0" applyAlignment="1" applyFill="1" applyFont="1">
      <alignment horizontal="center" readingOrder="0" vertical="bottom"/>
    </xf>
    <xf borderId="0" fillId="79" fontId="4" numFmtId="0" xfId="0" applyAlignment="1" applyFill="1" applyFont="1">
      <alignment horizontal="center" readingOrder="0" vertical="bottom"/>
    </xf>
    <xf borderId="0" fillId="80" fontId="4" numFmtId="0" xfId="0" applyAlignment="1" applyFill="1" applyFont="1">
      <alignment horizontal="center" readingOrder="0" vertical="bottom"/>
    </xf>
    <xf borderId="0" fillId="81" fontId="4" numFmtId="3" xfId="0" applyAlignment="1" applyFill="1" applyFont="1" applyNumberFormat="1">
      <alignment horizontal="center" readingOrder="0" vertical="bottom"/>
    </xf>
    <xf borderId="0" fillId="82" fontId="4" numFmtId="3" xfId="0" applyAlignment="1" applyFill="1" applyFont="1" applyNumberFormat="1">
      <alignment horizontal="center" readingOrder="0" vertical="bottom"/>
    </xf>
    <xf borderId="0" fillId="0" fontId="4" numFmtId="3" xfId="0" applyAlignment="1" applyFont="1" applyNumberFormat="1">
      <alignment horizontal="center" readingOrder="0" vertical="bottom"/>
    </xf>
    <xf borderId="0" fillId="83" fontId="4" numFmtId="3" xfId="0" applyAlignment="1" applyFill="1" applyFont="1" applyNumberFormat="1">
      <alignment horizontal="center" readingOrder="0" vertical="bottom"/>
    </xf>
    <xf borderId="0" fillId="84" fontId="4" numFmtId="0" xfId="0" applyAlignment="1" applyFill="1" applyFont="1">
      <alignment horizontal="center" readingOrder="0" vertical="bottom"/>
    </xf>
    <xf borderId="0" fillId="85" fontId="4" numFmtId="0" xfId="0" applyAlignment="1" applyFill="1" applyFont="1">
      <alignment horizontal="center" readingOrder="0" vertical="bottom"/>
    </xf>
    <xf borderId="0" fillId="86" fontId="4" numFmtId="3" xfId="0" applyAlignment="1" applyFill="1" applyFont="1" applyNumberFormat="1">
      <alignment horizontal="center" readingOrder="0" vertical="bottom"/>
    </xf>
    <xf borderId="0" fillId="57" fontId="4" numFmtId="3" xfId="0" applyAlignment="1" applyFont="1" applyNumberFormat="1">
      <alignment horizontal="center" readingOrder="0" vertical="bottom"/>
    </xf>
    <xf borderId="0" fillId="87" fontId="4" numFmtId="0" xfId="0" applyAlignment="1" applyFill="1" applyFont="1">
      <alignment horizontal="center" readingOrder="0" vertical="bottom"/>
    </xf>
    <xf borderId="0" fillId="88" fontId="4" numFmtId="0" xfId="0" applyAlignment="1" applyFill="1" applyFont="1">
      <alignment horizontal="center" readingOrder="0" vertical="bottom"/>
    </xf>
    <xf borderId="0" fillId="89" fontId="4" numFmtId="0" xfId="0" applyAlignment="1" applyFill="1" applyFont="1">
      <alignment horizontal="center" readingOrder="0" vertical="bottom"/>
    </xf>
    <xf borderId="0" fillId="90" fontId="4" numFmtId="0" xfId="0" applyAlignment="1" applyFill="1" applyFont="1">
      <alignment horizontal="center" readingOrder="0" vertical="bottom"/>
    </xf>
    <xf borderId="0" fillId="91" fontId="4" numFmtId="3" xfId="0" applyAlignment="1" applyFill="1" applyFont="1" applyNumberFormat="1">
      <alignment horizontal="center" readingOrder="0" vertical="bottom"/>
    </xf>
    <xf borderId="0" fillId="92" fontId="4" numFmtId="3" xfId="0" applyAlignment="1" applyFill="1" applyFont="1" applyNumberFormat="1">
      <alignment horizontal="center" readingOrder="0" vertical="bottom"/>
    </xf>
    <xf borderId="0" fillId="93" fontId="4" numFmtId="3" xfId="0" applyAlignment="1" applyFill="1" applyFont="1" applyNumberFormat="1">
      <alignment horizontal="center" readingOrder="0" vertical="bottom"/>
    </xf>
    <xf borderId="0" fillId="94" fontId="4" numFmtId="0" xfId="0" applyAlignment="1" applyFill="1" applyFont="1">
      <alignment horizontal="center" readingOrder="0" vertical="bottom"/>
    </xf>
    <xf borderId="0" fillId="95" fontId="4" numFmtId="0" xfId="0" applyAlignment="1" applyFill="1" applyFont="1">
      <alignment horizontal="center" readingOrder="0" vertical="bottom"/>
    </xf>
    <xf borderId="0" fillId="96" fontId="4" numFmtId="0" xfId="0" applyAlignment="1" applyFill="1" applyFont="1">
      <alignment horizontal="center" readingOrder="0" vertical="bottom"/>
    </xf>
    <xf borderId="0" fillId="97" fontId="4" numFmtId="0" xfId="0" applyAlignment="1" applyFill="1" applyFont="1">
      <alignment horizontal="center" readingOrder="0" vertical="bottom"/>
    </xf>
    <xf borderId="0" fillId="98" fontId="4" numFmtId="3" xfId="0" applyAlignment="1" applyFill="1" applyFont="1" applyNumberFormat="1">
      <alignment horizontal="center" readingOrder="0" vertical="bottom"/>
    </xf>
    <xf borderId="0" fillId="99" fontId="4" numFmtId="3" xfId="0" applyAlignment="1" applyFill="1" applyFont="1" applyNumberFormat="1">
      <alignment horizontal="center" readingOrder="0" vertical="bottom"/>
    </xf>
    <xf borderId="0" fillId="100" fontId="4" numFmtId="3" xfId="0" applyAlignment="1" applyFill="1" applyFont="1" applyNumberFormat="1">
      <alignment horizontal="center" readingOrder="0" vertical="bottom"/>
    </xf>
    <xf borderId="0" fillId="101" fontId="4" numFmtId="0" xfId="0" applyAlignment="1" applyFill="1" applyFont="1">
      <alignment horizontal="center" readingOrder="0" vertical="bottom"/>
    </xf>
    <xf borderId="0" fillId="102" fontId="4" numFmtId="0" xfId="0" applyAlignment="1" applyFill="1" applyFont="1">
      <alignment horizontal="center" readingOrder="0" vertical="bottom"/>
    </xf>
    <xf borderId="0" fillId="103" fontId="4" numFmtId="0" xfId="0" applyAlignment="1" applyFill="1" applyFont="1">
      <alignment horizontal="center" readingOrder="0" vertical="bottom"/>
    </xf>
    <xf borderId="0" fillId="63" fontId="4" numFmtId="3" xfId="0" applyAlignment="1" applyFont="1" applyNumberFormat="1">
      <alignment horizontal="center" readingOrder="0" vertical="bottom"/>
    </xf>
    <xf borderId="0" fillId="104" fontId="4" numFmtId="3" xfId="0" applyAlignment="1" applyFill="1" applyFont="1" applyNumberFormat="1">
      <alignment horizontal="center" readingOrder="0" vertical="bottom"/>
    </xf>
    <xf borderId="0" fillId="105" fontId="4" numFmtId="0" xfId="0" applyAlignment="1" applyFill="1" applyFont="1">
      <alignment horizontal="center" readingOrder="0" vertical="bottom"/>
    </xf>
    <xf borderId="0" fillId="106" fontId="4" numFmtId="0" xfId="0" applyAlignment="1" applyFill="1" applyFont="1">
      <alignment horizontal="center" readingOrder="0" vertical="bottom"/>
    </xf>
    <xf borderId="0" fillId="52" fontId="4" numFmtId="3" xfId="0" applyAlignment="1" applyFont="1" applyNumberFormat="1">
      <alignment horizontal="center" readingOrder="0" vertical="bottom"/>
    </xf>
    <xf borderId="0" fillId="107" fontId="4" numFmtId="3" xfId="0" applyAlignment="1" applyFill="1" applyFont="1" applyNumberFormat="1">
      <alignment horizontal="center" readingOrder="0" vertical="bottom"/>
    </xf>
    <xf borderId="0" fillId="108" fontId="4" numFmtId="3" xfId="0" applyAlignment="1" applyFill="1" applyFont="1" applyNumberFormat="1">
      <alignment horizontal="center" readingOrder="0" vertical="bottom"/>
    </xf>
    <xf borderId="0" fillId="109" fontId="4" numFmtId="0" xfId="0" applyAlignment="1" applyFill="1" applyFont="1">
      <alignment horizontal="center" readingOrder="0" vertical="bottom"/>
    </xf>
    <xf borderId="0" fillId="110" fontId="4" numFmtId="3" xfId="0" applyAlignment="1" applyFill="1" applyFont="1" applyNumberFormat="1">
      <alignment horizontal="center" readingOrder="0" vertical="bottom"/>
    </xf>
    <xf borderId="0" fillId="84" fontId="4" numFmtId="3" xfId="0" applyAlignment="1" applyFont="1" applyNumberFormat="1">
      <alignment horizontal="center" readingOrder="0" vertical="bottom"/>
    </xf>
    <xf borderId="0" fillId="111" fontId="4" numFmtId="3" xfId="0" applyAlignment="1" applyFill="1" applyFont="1" applyNumberFormat="1">
      <alignment horizontal="center" readingOrder="0" vertical="bottom"/>
    </xf>
    <xf borderId="0" fillId="112" fontId="4" numFmtId="3" xfId="0" applyAlignment="1" applyFill="1" applyFont="1" applyNumberFormat="1">
      <alignment horizontal="center" readingOrder="0" vertical="bottom"/>
    </xf>
    <xf borderId="0" fillId="113" fontId="4" numFmtId="3" xfId="0" applyAlignment="1" applyFill="1" applyFont="1" applyNumberFormat="1">
      <alignment horizontal="center" readingOrder="0" vertical="bottom"/>
    </xf>
    <xf borderId="0" fillId="114" fontId="4" numFmtId="0" xfId="0" applyAlignment="1" applyFill="1" applyFont="1">
      <alignment horizontal="center" readingOrder="0" vertical="bottom"/>
    </xf>
    <xf borderId="0" fillId="115" fontId="4" numFmtId="0" xfId="0" applyAlignment="1" applyFill="1" applyFont="1">
      <alignment horizontal="center" readingOrder="0" vertical="bottom"/>
    </xf>
    <xf borderId="0" fillId="116" fontId="4" numFmtId="0" xfId="0" applyAlignment="1" applyFill="1" applyFont="1">
      <alignment horizontal="center" readingOrder="0" vertical="bottom"/>
    </xf>
    <xf borderId="0" fillId="117" fontId="4" numFmtId="0" xfId="0" applyAlignment="1" applyFill="1" applyFont="1">
      <alignment horizontal="center" readingOrder="0" vertical="bottom"/>
    </xf>
    <xf borderId="0" fillId="118" fontId="4" numFmtId="0" xfId="0" applyAlignment="1" applyFill="1" applyFont="1">
      <alignment horizontal="center" readingOrder="0" vertical="bottom"/>
    </xf>
    <xf borderId="0" fillId="119" fontId="4" numFmtId="3" xfId="0" applyAlignment="1" applyFill="1" applyFont="1" applyNumberFormat="1">
      <alignment horizontal="center" readingOrder="0" vertical="bottom"/>
    </xf>
    <xf borderId="0" fillId="105" fontId="4" numFmtId="3" xfId="0" applyAlignment="1" applyFont="1" applyNumberFormat="1">
      <alignment horizontal="center" readingOrder="0" vertical="bottom"/>
    </xf>
    <xf borderId="0" fillId="120" fontId="4" numFmtId="3" xfId="0" applyAlignment="1" applyFill="1" applyFont="1" applyNumberFormat="1">
      <alignment horizontal="center" readingOrder="0" vertical="bottom"/>
    </xf>
    <xf borderId="0" fillId="121" fontId="4" numFmtId="0" xfId="0" applyAlignment="1" applyFill="1" applyFont="1">
      <alignment horizontal="center" readingOrder="0" vertical="bottom"/>
    </xf>
    <xf borderId="0" fillId="122" fontId="4" numFmtId="0" xfId="0" applyAlignment="1" applyFill="1" applyFont="1">
      <alignment horizontal="center" readingOrder="0" vertical="bottom"/>
    </xf>
    <xf borderId="0" fillId="123" fontId="4" numFmtId="0" xfId="0" applyAlignment="1" applyFill="1" applyFont="1">
      <alignment horizontal="center" readingOrder="0" vertical="bottom"/>
    </xf>
    <xf borderId="0" fillId="124" fontId="4" numFmtId="0" xfId="0" applyAlignment="1" applyFill="1" applyFont="1">
      <alignment horizontal="center" readingOrder="0" vertical="bottom"/>
    </xf>
    <xf borderId="0" fillId="125" fontId="4" numFmtId="3" xfId="0" applyAlignment="1" applyFill="1" applyFont="1" applyNumberFormat="1">
      <alignment horizontal="center" readingOrder="0" vertical="bottom"/>
    </xf>
    <xf borderId="0" fillId="126" fontId="4" numFmtId="3" xfId="0" applyAlignment="1" applyFill="1" applyFont="1" applyNumberFormat="1">
      <alignment horizontal="center" readingOrder="0" vertical="bottom"/>
    </xf>
    <xf borderId="0" fillId="127" fontId="4" numFmtId="3" xfId="0" applyAlignment="1" applyFill="1" applyFont="1" applyNumberFormat="1">
      <alignment horizontal="center" readingOrder="0" vertical="bottom"/>
    </xf>
    <xf borderId="0" fillId="128" fontId="4" numFmtId="0" xfId="0" applyAlignment="1" applyFill="1" applyFont="1">
      <alignment horizontal="center" readingOrder="0" vertical="bottom"/>
    </xf>
    <xf borderId="0" fillId="129" fontId="4" numFmtId="3" xfId="0" applyAlignment="1" applyFill="1" applyFont="1" applyNumberFormat="1">
      <alignment horizontal="center" readingOrder="0" vertical="bottom"/>
    </xf>
    <xf borderId="0" fillId="130" fontId="4" numFmtId="3" xfId="0" applyAlignment="1" applyFill="1" applyFont="1" applyNumberFormat="1">
      <alignment horizontal="center" readingOrder="0" vertical="bottom"/>
    </xf>
    <xf borderId="0" fillId="131" fontId="4" numFmtId="0" xfId="0" applyAlignment="1" applyFill="1" applyFont="1">
      <alignment horizontal="center" readingOrder="0" vertical="bottom"/>
    </xf>
    <xf borderId="0" fillId="132" fontId="4" numFmtId="3" xfId="0" applyAlignment="1" applyFill="1" applyFont="1" applyNumberFormat="1">
      <alignment horizontal="center" readingOrder="0" vertical="bottom"/>
    </xf>
    <xf borderId="0" fillId="133" fontId="4" numFmtId="0" xfId="0" applyAlignment="1" applyFill="1" applyFont="1">
      <alignment horizontal="center" readingOrder="0" vertical="bottom"/>
    </xf>
    <xf borderId="0" fillId="134" fontId="4" numFmtId="0" xfId="0" applyAlignment="1" applyFill="1" applyFont="1">
      <alignment horizontal="center" readingOrder="0" vertical="bottom"/>
    </xf>
    <xf borderId="0" fillId="46" fontId="4" numFmtId="3" xfId="0" applyAlignment="1" applyFont="1" applyNumberFormat="1">
      <alignment horizontal="center" readingOrder="0" vertical="bottom"/>
    </xf>
    <xf borderId="0" fillId="135" fontId="4" numFmtId="3" xfId="0" applyAlignment="1" applyFill="1" applyFont="1" applyNumberFormat="1">
      <alignment horizontal="center" readingOrder="0" vertical="bottom"/>
    </xf>
    <xf borderId="0" fillId="136" fontId="4" numFmtId="3" xfId="0" applyAlignment="1" applyFill="1" applyFont="1" applyNumberFormat="1">
      <alignment horizontal="center" readingOrder="0" vertical="bottom"/>
    </xf>
    <xf borderId="0" fillId="34" fontId="4" numFmtId="3" xfId="0" applyAlignment="1" applyFont="1" applyNumberFormat="1">
      <alignment horizontal="center" readingOrder="0" vertical="bottom"/>
    </xf>
    <xf borderId="0" fillId="137" fontId="4" numFmtId="3" xfId="0" applyAlignment="1" applyFill="1" applyFont="1" applyNumberFormat="1">
      <alignment horizontal="center" readingOrder="0" vertical="bottom"/>
    </xf>
    <xf borderId="0" fillId="99" fontId="4" numFmtId="0" xfId="0" applyAlignment="1" applyFont="1">
      <alignment horizontal="center" readingOrder="0" vertical="bottom"/>
    </xf>
    <xf borderId="0" fillId="138" fontId="4" numFmtId="0" xfId="0" applyAlignment="1" applyFill="1" applyFont="1">
      <alignment horizontal="center" readingOrder="0" vertical="bottom"/>
    </xf>
    <xf borderId="0" fillId="139" fontId="4" numFmtId="3" xfId="0" applyAlignment="1" applyFill="1" applyFont="1" applyNumberFormat="1">
      <alignment horizontal="center" readingOrder="0" vertical="bottom"/>
    </xf>
    <xf borderId="0" fillId="140" fontId="4" numFmtId="3" xfId="0" applyAlignment="1" applyFill="1" applyFont="1" applyNumberFormat="1">
      <alignment horizontal="center" readingOrder="0" vertical="bottom"/>
    </xf>
    <xf borderId="0" fillId="141" fontId="4" numFmtId="0" xfId="0" applyAlignment="1" applyFill="1" applyFont="1">
      <alignment horizontal="center" readingOrder="0" vertical="bottom"/>
    </xf>
    <xf borderId="0" fillId="142" fontId="4" numFmtId="0" xfId="0" applyAlignment="1" applyFill="1" applyFont="1">
      <alignment horizontal="center" readingOrder="0" vertical="bottom"/>
    </xf>
    <xf borderId="0" fillId="143" fontId="4" numFmtId="3" xfId="0" applyAlignment="1" applyFill="1" applyFont="1" applyNumberFormat="1">
      <alignment horizontal="center" readingOrder="0" vertical="bottom"/>
    </xf>
    <xf borderId="0" fillId="144" fontId="4" numFmtId="3" xfId="0" applyAlignment="1" applyFill="1" applyFont="1" applyNumberFormat="1">
      <alignment horizontal="center" readingOrder="0" vertical="bottom"/>
    </xf>
    <xf borderId="0" fillId="145" fontId="4" numFmtId="0" xfId="0" applyAlignment="1" applyFill="1" applyFont="1">
      <alignment horizontal="center" readingOrder="0" vertical="bottom"/>
    </xf>
    <xf borderId="0" fillId="146" fontId="4" numFmtId="3" xfId="0" applyAlignment="1" applyFill="1" applyFont="1" applyNumberFormat="1">
      <alignment horizontal="center" readingOrder="0" vertical="bottom"/>
    </xf>
    <xf borderId="0" fillId="147" fontId="4" numFmtId="0" xfId="0" applyAlignment="1" applyFill="1" applyFont="1">
      <alignment horizontal="center" readingOrder="0" vertical="bottom"/>
    </xf>
    <xf borderId="0" fillId="148" fontId="4" numFmtId="3" xfId="0" applyAlignment="1" applyFill="1" applyFont="1" applyNumberFormat="1">
      <alignment horizontal="center" readingOrder="0" vertical="bottom"/>
    </xf>
    <xf borderId="0" fillId="149" fontId="4" numFmtId="0" xfId="0" applyAlignment="1" applyFill="1" applyFont="1">
      <alignment horizontal="center" readingOrder="0" vertical="bottom"/>
    </xf>
    <xf borderId="0" fillId="150" fontId="4" numFmtId="3" xfId="0" applyAlignment="1" applyFill="1" applyFont="1" applyNumberFormat="1">
      <alignment horizontal="center" readingOrder="0" vertical="bottom"/>
    </xf>
    <xf borderId="0" fillId="151" fontId="4" numFmtId="0" xfId="0" applyAlignment="1" applyFill="1" applyFont="1">
      <alignment horizontal="center" readingOrder="0" vertical="bottom"/>
    </xf>
    <xf borderId="0" fillId="152" fontId="4" numFmtId="3" xfId="0" applyAlignment="1" applyFill="1" applyFont="1" applyNumberFormat="1">
      <alignment horizontal="center" readingOrder="0" vertical="bottom"/>
    </xf>
    <xf borderId="0" fillId="0" fontId="5" numFmtId="3" xfId="0" applyAlignment="1" applyFont="1" applyNumberFormat="1">
      <alignment horizontal="right" readingOrder="0" vertical="bottom"/>
    </xf>
    <xf borderId="0" fillId="153" fontId="4" numFmtId="0" xfId="0" applyAlignment="1" applyFill="1" applyFont="1">
      <alignment horizontal="center" readingOrder="0" vertical="bottom"/>
    </xf>
    <xf borderId="0" fillId="154" fontId="4" numFmtId="0" xfId="0" applyAlignment="1" applyFill="1" applyFont="1">
      <alignment horizontal="center" readingOrder="0" vertical="bottom"/>
    </xf>
    <xf borderId="0" fillId="4" fontId="4" numFmtId="3" xfId="0" applyAlignment="1" applyFont="1" applyNumberFormat="1">
      <alignment horizontal="center" readingOrder="0" vertical="bottom"/>
    </xf>
    <xf borderId="0" fillId="155" fontId="4" numFmtId="0" xfId="0" applyAlignment="1" applyFill="1" applyFont="1">
      <alignment horizontal="center" readingOrder="0" vertical="bottom"/>
    </xf>
    <xf borderId="0" fillId="156" fontId="4" numFmtId="0" xfId="0" applyAlignment="1" applyFill="1" applyFont="1">
      <alignment horizontal="center" readingOrder="0" vertical="bottom"/>
    </xf>
    <xf borderId="0" fillId="157" fontId="4" numFmtId="0" xfId="0" applyAlignment="1" applyFill="1" applyFont="1">
      <alignment horizontal="center" readingOrder="0" vertical="bottom"/>
    </xf>
    <xf borderId="0" fillId="158" fontId="4" numFmtId="0" xfId="0" applyAlignment="1" applyFill="1" applyFont="1">
      <alignment horizontal="center" readingOrder="0" vertical="bottom"/>
    </xf>
    <xf borderId="0" fillId="159" fontId="4" numFmtId="0" xfId="0" applyAlignment="1" applyFill="1" applyFont="1">
      <alignment horizontal="center" readingOrder="0" vertical="bottom"/>
    </xf>
    <xf borderId="0" fillId="160" fontId="4" numFmtId="3" xfId="0" applyAlignment="1" applyFill="1" applyFont="1" applyNumberFormat="1">
      <alignment horizontal="center" readingOrder="0" vertical="bottom"/>
    </xf>
    <xf borderId="0" fillId="161" fontId="4" numFmtId="3" xfId="0" applyAlignment="1" applyFill="1" applyFont="1" applyNumberFormat="1">
      <alignment horizontal="center" readingOrder="0" vertical="bottom"/>
    </xf>
    <xf borderId="0" fillId="162" fontId="4" numFmtId="0" xfId="0" applyAlignment="1" applyFill="1" applyFont="1">
      <alignment horizontal="center" readingOrder="0" vertical="bottom"/>
    </xf>
    <xf borderId="0" fillId="163" fontId="4" numFmtId="0" xfId="0" applyAlignment="1" applyFill="1" applyFont="1">
      <alignment horizontal="center" readingOrder="0" vertical="bottom"/>
    </xf>
    <xf borderId="0" fillId="164" fontId="4" numFmtId="0" xfId="0" applyAlignment="1" applyFill="1" applyFont="1">
      <alignment horizontal="center" readingOrder="0" vertical="bottom"/>
    </xf>
    <xf borderId="0" fillId="165" fontId="4" numFmtId="0" xfId="0" applyAlignment="1" applyFill="1" applyFont="1">
      <alignment horizontal="center" readingOrder="0" vertical="bottom"/>
    </xf>
    <xf borderId="0" fillId="166" fontId="4" numFmtId="0" xfId="0" applyAlignment="1" applyFill="1" applyFont="1">
      <alignment horizontal="center" readingOrder="0" vertical="bottom"/>
    </xf>
    <xf borderId="0" fillId="167" fontId="4" numFmtId="0" xfId="0" applyAlignment="1" applyFill="1" applyFont="1">
      <alignment horizontal="center" readingOrder="0" vertical="bottom"/>
    </xf>
    <xf borderId="0" fillId="168" fontId="4" numFmtId="0" xfId="0" applyAlignment="1" applyFill="1" applyFont="1">
      <alignment horizontal="center" readingOrder="0" vertical="bottom"/>
    </xf>
    <xf borderId="0" fillId="169" fontId="4" numFmtId="3" xfId="0" applyAlignment="1" applyFill="1" applyFont="1" applyNumberFormat="1">
      <alignment horizontal="center" readingOrder="0" vertical="bottom"/>
    </xf>
    <xf borderId="0" fillId="170" fontId="4" numFmtId="0" xfId="0" applyAlignment="1" applyFill="1" applyFont="1">
      <alignment horizontal="center" readingOrder="0" vertical="bottom"/>
    </xf>
    <xf borderId="0" fillId="171" fontId="4" numFmtId="0" xfId="0" applyAlignment="1" applyFill="1" applyFont="1">
      <alignment horizontal="center" readingOrder="0" vertical="bottom"/>
    </xf>
    <xf borderId="0" fillId="172" fontId="4" numFmtId="3" xfId="0" applyAlignment="1" applyFill="1" applyFont="1" applyNumberFormat="1">
      <alignment horizontal="center" readingOrder="0" vertical="bottom"/>
    </xf>
    <xf borderId="0" fillId="173" fontId="4" numFmtId="3" xfId="0" applyAlignment="1" applyFill="1" applyFont="1" applyNumberFormat="1">
      <alignment horizontal="center" readingOrder="0" vertical="bottom"/>
    </xf>
    <xf borderId="0" fillId="174" fontId="4" numFmtId="0" xfId="0" applyAlignment="1" applyFill="1" applyFont="1">
      <alignment horizontal="center" readingOrder="0" vertical="bottom"/>
    </xf>
    <xf borderId="0" fillId="175" fontId="4" numFmtId="0" xfId="0" applyAlignment="1" applyFill="1" applyFont="1">
      <alignment horizontal="center" readingOrder="0" vertical="bottom"/>
    </xf>
    <xf borderId="0" fillId="176" fontId="4" numFmtId="0" xfId="0" applyAlignment="1" applyFill="1" applyFont="1">
      <alignment horizontal="center" readingOrder="0" vertical="bottom"/>
    </xf>
    <xf borderId="0" fillId="177" fontId="4" numFmtId="0" xfId="0" applyAlignment="1" applyFill="1" applyFont="1">
      <alignment horizontal="center" readingOrder="0" vertical="bottom"/>
    </xf>
    <xf borderId="0" fillId="178" fontId="5" numFmtId="0" xfId="0" applyAlignment="1" applyFill="1" applyFont="1">
      <alignment horizontal="right" readingOrder="0" vertical="bottom"/>
    </xf>
    <xf borderId="0" fillId="179" fontId="4" numFmtId="0" xfId="0" applyAlignment="1" applyFill="1" applyFont="1">
      <alignment horizontal="center" readingOrder="0" vertical="bottom"/>
    </xf>
    <xf borderId="0" fillId="180" fontId="4" numFmtId="0" xfId="0" applyAlignment="1" applyFill="1" applyFont="1">
      <alignment horizontal="center" readingOrder="0" vertical="bottom"/>
    </xf>
    <xf borderId="0" fillId="181" fontId="4" numFmtId="3" xfId="0" applyAlignment="1" applyFill="1" applyFont="1" applyNumberFormat="1">
      <alignment horizontal="center" readingOrder="0" vertical="bottom"/>
    </xf>
    <xf borderId="0" fillId="182" fontId="4" numFmtId="3" xfId="0" applyAlignment="1" applyFill="1" applyFont="1" applyNumberFormat="1">
      <alignment horizontal="center" readingOrder="0" vertical="bottom"/>
    </xf>
    <xf borderId="0" fillId="183" fontId="4" numFmtId="0" xfId="0" applyAlignment="1" applyFill="1" applyFont="1">
      <alignment horizontal="center" readingOrder="0" vertical="bottom"/>
    </xf>
    <xf borderId="0" fillId="184" fontId="4" numFmtId="0" xfId="0" applyAlignment="1" applyFill="1" applyFont="1">
      <alignment horizontal="center" readingOrder="0" vertical="bottom"/>
    </xf>
    <xf borderId="0" fillId="185" fontId="4" numFmtId="0" xfId="0" applyAlignment="1" applyFill="1" applyFont="1">
      <alignment horizontal="center" readingOrder="0" vertical="bottom"/>
    </xf>
    <xf borderId="0" fillId="186" fontId="4" numFmtId="3" xfId="0" applyAlignment="1" applyFill="1" applyFont="1" applyNumberFormat="1">
      <alignment horizontal="center" readingOrder="0" vertical="bottom"/>
    </xf>
    <xf borderId="0" fillId="187" fontId="4" numFmtId="0" xfId="0" applyAlignment="1" applyFill="1" applyFont="1">
      <alignment horizontal="center" readingOrder="0" vertical="bottom"/>
    </xf>
    <xf borderId="0" fillId="188" fontId="4" numFmtId="0" xfId="0" applyAlignment="1" applyFill="1" applyFont="1">
      <alignment horizontal="center" readingOrder="0" vertical="bottom"/>
    </xf>
    <xf borderId="0" fillId="189" fontId="4" numFmtId="0" xfId="0" applyAlignment="1" applyFill="1" applyFont="1">
      <alignment horizontal="center" readingOrder="0" vertical="bottom"/>
    </xf>
    <xf borderId="0" fillId="190" fontId="4" numFmtId="0" xfId="0" applyAlignment="1" applyFill="1" applyFont="1">
      <alignment horizontal="center" readingOrder="0" vertical="bottom"/>
    </xf>
    <xf borderId="0" fillId="191" fontId="4" numFmtId="0" xfId="0" applyAlignment="1" applyFill="1" applyFont="1">
      <alignment horizontal="center" readingOrder="0" vertical="bottom"/>
    </xf>
    <xf borderId="0" fillId="192" fontId="4" numFmtId="0" xfId="0" applyAlignment="1" applyFill="1" applyFont="1">
      <alignment horizontal="center" readingOrder="0" vertical="bottom"/>
    </xf>
    <xf borderId="0" fillId="193" fontId="4" numFmtId="3" xfId="0" applyAlignment="1" applyFill="1" applyFont="1" applyNumberFormat="1">
      <alignment horizontal="center" readingOrder="0" vertical="bottom"/>
    </xf>
    <xf borderId="0" fillId="194" fontId="4" numFmtId="0" xfId="0" applyAlignment="1" applyFill="1" applyFont="1">
      <alignment horizontal="center" readingOrder="0" vertical="bottom"/>
    </xf>
    <xf borderId="0" fillId="195" fontId="4" numFmtId="0" xfId="0" applyAlignment="1" applyFill="1" applyFont="1">
      <alignment horizontal="center" readingOrder="0" vertical="bottom"/>
    </xf>
    <xf borderId="0" fillId="196" fontId="4" numFmtId="3" xfId="0" applyAlignment="1" applyFill="1" applyFont="1" applyNumberFormat="1">
      <alignment horizontal="center" readingOrder="0" vertical="bottom"/>
    </xf>
    <xf borderId="0" fillId="197" fontId="4" numFmtId="3" xfId="0" applyAlignment="1" applyFill="1" applyFont="1" applyNumberFormat="1">
      <alignment horizontal="center" readingOrder="0" vertical="bottom"/>
    </xf>
    <xf borderId="0" fillId="71" fontId="4" numFmtId="3" xfId="0" applyAlignment="1" applyFont="1" applyNumberFormat="1">
      <alignment horizontal="center" readingOrder="0" vertical="bottom"/>
    </xf>
    <xf borderId="0" fillId="198" fontId="4" numFmtId="0" xfId="0" applyAlignment="1" applyFill="1" applyFont="1">
      <alignment horizontal="center" readingOrder="0" vertical="bottom"/>
    </xf>
    <xf borderId="0" fillId="199" fontId="4" numFmtId="0" xfId="0" applyAlignment="1" applyFill="1" applyFont="1">
      <alignment horizontal="center" readingOrder="0" vertical="bottom"/>
    </xf>
    <xf borderId="0" fillId="200" fontId="4" numFmtId="0" xfId="0" applyAlignment="1" applyFill="1" applyFont="1">
      <alignment horizontal="center" readingOrder="0" vertical="bottom"/>
    </xf>
    <xf borderId="0" fillId="201" fontId="4" numFmtId="3" xfId="0" applyAlignment="1" applyFill="1" applyFont="1" applyNumberFormat="1">
      <alignment horizontal="center" readingOrder="0" vertical="bottom"/>
    </xf>
    <xf borderId="0" fillId="202" fontId="4" numFmtId="3" xfId="0" applyAlignment="1" applyFill="1" applyFont="1" applyNumberFormat="1">
      <alignment horizontal="center" readingOrder="0" vertical="bottom"/>
    </xf>
    <xf borderId="0" fillId="203" fontId="4" numFmtId="0" xfId="0" applyAlignment="1" applyFill="1" applyFont="1">
      <alignment horizontal="center" readingOrder="0" vertical="bottom"/>
    </xf>
    <xf borderId="0" fillId="204" fontId="4" numFmtId="0" xfId="0" applyAlignment="1" applyFill="1" applyFont="1">
      <alignment horizontal="center" readingOrder="0" vertical="bottom"/>
    </xf>
    <xf borderId="0" fillId="205" fontId="4" numFmtId="0" xfId="0" applyAlignment="1" applyFill="1" applyFont="1">
      <alignment horizontal="center" readingOrder="0" vertical="bottom"/>
    </xf>
    <xf borderId="0" fillId="206" fontId="4" numFmtId="3" xfId="0" applyAlignment="1" applyFill="1" applyFont="1" applyNumberFormat="1">
      <alignment horizontal="center" readingOrder="0" vertical="bottom"/>
    </xf>
    <xf borderId="0" fillId="207" fontId="4" numFmtId="3" xfId="0" applyAlignment="1" applyFill="1" applyFont="1" applyNumberFormat="1">
      <alignment horizontal="center" readingOrder="0" vertical="bottom"/>
    </xf>
    <xf borderId="0" fillId="208" fontId="4" numFmtId="0" xfId="0" applyAlignment="1" applyFill="1" applyFont="1">
      <alignment horizontal="center" readingOrder="0" vertical="bottom"/>
    </xf>
    <xf borderId="0" fillId="146" fontId="4" numFmtId="0" xfId="0" applyAlignment="1" applyFont="1">
      <alignment horizontal="center" readingOrder="0" vertical="bottom"/>
    </xf>
    <xf borderId="0" fillId="209" fontId="4" numFmtId="3" xfId="0" applyAlignment="1" applyFill="1" applyFont="1" applyNumberFormat="1">
      <alignment horizontal="center" readingOrder="0" vertical="bottom"/>
    </xf>
    <xf borderId="0" fillId="210" fontId="4" numFmtId="3" xfId="0" applyAlignment="1" applyFill="1" applyFont="1" applyNumberFormat="1">
      <alignment horizontal="center" readingOrder="0" vertical="bottom"/>
    </xf>
    <xf borderId="0" fillId="0" fontId="5" numFmtId="0" xfId="0" applyAlignment="1" applyFont="1">
      <alignment horizontal="right" readingOrder="0" vertical="bottom"/>
    </xf>
    <xf borderId="0" fillId="211" fontId="4" numFmtId="3" xfId="0" applyAlignment="1" applyFill="1" applyFont="1" applyNumberFormat="1">
      <alignment horizontal="center" readingOrder="0" vertical="bottom"/>
    </xf>
    <xf borderId="0" fillId="212" fontId="4" numFmtId="0" xfId="0" applyAlignment="1" applyFill="1" applyFont="1">
      <alignment horizontal="center" readingOrder="0" vertical="bottom"/>
    </xf>
    <xf borderId="0" fillId="213" fontId="4" numFmtId="0" xfId="0" applyAlignment="1" applyFill="1" applyFont="1">
      <alignment horizontal="center" readingOrder="0" vertical="bottom"/>
    </xf>
    <xf borderId="0" fillId="214" fontId="4" numFmtId="0" xfId="0" applyAlignment="1" applyFill="1" applyFont="1">
      <alignment horizontal="center" readingOrder="0" vertical="bottom"/>
    </xf>
    <xf borderId="0" fillId="215" fontId="4" numFmtId="0" xfId="0" applyAlignment="1" applyFill="1" applyFont="1">
      <alignment horizontal="center" readingOrder="0" vertical="bottom"/>
    </xf>
    <xf borderId="0" fillId="76" fontId="4" numFmtId="0" xfId="0" applyAlignment="1" applyFont="1">
      <alignment horizontal="center" readingOrder="0" vertical="bottom"/>
    </xf>
    <xf borderId="0" fillId="209" fontId="4" numFmtId="0" xfId="0" applyAlignment="1" applyFont="1">
      <alignment horizontal="center" readingOrder="0" vertical="bottom"/>
    </xf>
    <xf borderId="0" fillId="216" fontId="4" numFmtId="3" xfId="0" applyAlignment="1" applyFill="1" applyFont="1" applyNumberFormat="1">
      <alignment horizontal="center" readingOrder="0" vertical="bottom"/>
    </xf>
    <xf borderId="0" fillId="0" fontId="5" numFmtId="3" xfId="0" applyAlignment="1" applyFont="1" applyNumberFormat="1">
      <alignment horizontal="center" readingOrder="0" vertical="bottom"/>
    </xf>
    <xf borderId="0" fillId="217" fontId="4" numFmtId="3" xfId="0" applyAlignment="1" applyFill="1" applyFont="1" applyNumberFormat="1">
      <alignment horizontal="center" readingOrder="0" vertical="bottom"/>
    </xf>
    <xf borderId="0" fillId="218" fontId="4" numFmtId="0" xfId="0" applyAlignment="1" applyFill="1" applyFont="1">
      <alignment horizontal="center" readingOrder="0" vertical="bottom"/>
    </xf>
    <xf borderId="0" fillId="219" fontId="4" numFmtId="0" xfId="0" applyAlignment="1" applyFill="1" applyFont="1">
      <alignment horizontal="center" readingOrder="0" vertical="bottom"/>
    </xf>
    <xf borderId="0" fillId="220" fontId="4" numFmtId="0" xfId="0" applyAlignment="1" applyFill="1" applyFont="1">
      <alignment horizontal="center" readingOrder="0" vertical="bottom"/>
    </xf>
    <xf borderId="0" fillId="221" fontId="4" numFmtId="0" xfId="0" applyAlignment="1" applyFill="1" applyFont="1">
      <alignment horizontal="center" readingOrder="0" vertical="bottom"/>
    </xf>
    <xf borderId="0" fillId="222" fontId="4" numFmtId="0" xfId="0" applyAlignment="1" applyFill="1" applyFont="1">
      <alignment horizontal="center" readingOrder="0" vertical="bottom"/>
    </xf>
    <xf borderId="0" fillId="223" fontId="4" numFmtId="0" xfId="0" applyAlignment="1" applyFill="1" applyFont="1">
      <alignment horizontal="center" readingOrder="0" vertical="bottom"/>
    </xf>
    <xf borderId="0" fillId="224" fontId="4" numFmtId="3" xfId="0" applyAlignment="1" applyFill="1" applyFont="1" applyNumberFormat="1">
      <alignment horizontal="center" readingOrder="0" vertical="bottom"/>
    </xf>
    <xf borderId="0" fillId="225" fontId="4" numFmtId="0" xfId="0" applyAlignment="1" applyFill="1" applyFont="1">
      <alignment horizontal="center" readingOrder="0" vertical="bottom"/>
    </xf>
    <xf borderId="0" fillId="226" fontId="4" numFmtId="0" xfId="0" applyAlignment="1" applyFill="1" applyFont="1">
      <alignment horizontal="center" readingOrder="0" vertical="bottom"/>
    </xf>
    <xf borderId="0" fillId="227" fontId="4" numFmtId="0" xfId="0" applyAlignment="1" applyFill="1" applyFont="1">
      <alignment horizontal="center" readingOrder="0" vertical="bottom"/>
    </xf>
    <xf borderId="0" fillId="228" fontId="4" numFmtId="0" xfId="0" applyAlignment="1" applyFill="1" applyFont="1">
      <alignment horizontal="center" readingOrder="0" vertical="bottom"/>
    </xf>
    <xf borderId="0" fillId="229" fontId="4" numFmtId="0" xfId="0" applyAlignment="1" applyFill="1" applyFont="1">
      <alignment horizontal="center" readingOrder="0" vertical="bottom"/>
    </xf>
    <xf borderId="0" fillId="230" fontId="4" numFmtId="3" xfId="0" applyAlignment="1" applyFill="1" applyFont="1" applyNumberFormat="1">
      <alignment horizontal="center" readingOrder="0" vertical="bottom"/>
    </xf>
    <xf borderId="0" fillId="231" fontId="4" numFmtId="0" xfId="0" applyAlignment="1" applyFill="1" applyFont="1">
      <alignment horizontal="center" readingOrder="0" vertical="bottom"/>
    </xf>
    <xf borderId="0" fillId="232" fontId="4" numFmtId="0" xfId="0" applyAlignment="1" applyFill="1" applyFont="1">
      <alignment horizontal="center" readingOrder="0" vertical="bottom"/>
    </xf>
    <xf borderId="0" fillId="233" fontId="4" numFmtId="0" xfId="0" applyAlignment="1" applyFill="1" applyFont="1">
      <alignment horizontal="center" readingOrder="0" vertical="bottom"/>
    </xf>
    <xf borderId="0" fillId="234" fontId="4" numFmtId="0" xfId="0" applyAlignment="1" applyFill="1" applyFont="1">
      <alignment horizontal="center" readingOrder="0" vertical="bottom"/>
    </xf>
    <xf borderId="0" fillId="235" fontId="4" numFmtId="3" xfId="0" applyAlignment="1" applyFill="1" applyFont="1" applyNumberFormat="1">
      <alignment horizontal="center" readingOrder="0" vertical="bottom"/>
    </xf>
    <xf borderId="0" fillId="236" fontId="4" numFmtId="0" xfId="0" applyAlignment="1" applyFill="1" applyFont="1">
      <alignment horizontal="center" readingOrder="0" vertical="bottom"/>
    </xf>
    <xf borderId="0" fillId="237" fontId="4" numFmtId="0" xfId="0" applyAlignment="1" applyFill="1" applyFont="1">
      <alignment horizontal="center" readingOrder="0" vertical="bottom"/>
    </xf>
    <xf borderId="0" fillId="238" fontId="4" numFmtId="0" xfId="0" applyAlignment="1" applyFill="1" applyFont="1">
      <alignment horizontal="center" readingOrder="0" vertical="bottom"/>
    </xf>
    <xf borderId="0" fillId="239" fontId="4" numFmtId="0" xfId="0" applyAlignment="1" applyFill="1" applyFont="1">
      <alignment horizontal="center" readingOrder="0" vertical="bottom"/>
    </xf>
    <xf borderId="0" fillId="240" fontId="4" numFmtId="0" xfId="0" applyAlignment="1" applyFill="1" applyFont="1">
      <alignment horizontal="center" readingOrder="0" vertical="bottom"/>
    </xf>
    <xf borderId="0" fillId="241" fontId="4" numFmtId="0" xfId="0" applyAlignment="1" applyFill="1" applyFont="1">
      <alignment horizontal="center" readingOrder="0" vertical="bottom"/>
    </xf>
    <xf borderId="0" fillId="242" fontId="4" numFmtId="3" xfId="0" applyAlignment="1" applyFill="1" applyFont="1" applyNumberFormat="1">
      <alignment horizontal="center" readingOrder="0" vertical="bottom"/>
    </xf>
    <xf borderId="0" fillId="16" fontId="4" numFmtId="3" xfId="0" applyAlignment="1" applyFont="1" applyNumberFormat="1">
      <alignment horizontal="center" readingOrder="0" vertical="bottom"/>
    </xf>
    <xf borderId="0" fillId="243" fontId="4" numFmtId="0" xfId="0" applyAlignment="1" applyFill="1" applyFont="1">
      <alignment horizontal="center" readingOrder="0" vertical="bottom"/>
    </xf>
    <xf borderId="0" fillId="244" fontId="5" numFmtId="0" xfId="0" applyAlignment="1" applyFill="1" applyFont="1">
      <alignment horizontal="right" readingOrder="0" vertical="bottom"/>
    </xf>
    <xf borderId="0" fillId="245" fontId="4" numFmtId="0" xfId="0" applyAlignment="1" applyFill="1" applyFont="1">
      <alignment horizontal="center" readingOrder="0" vertical="bottom"/>
    </xf>
    <xf borderId="0" fillId="246" fontId="4" numFmtId="0" xfId="0" applyAlignment="1" applyFill="1" applyFont="1">
      <alignment horizontal="center" readingOrder="0" vertical="bottom"/>
    </xf>
    <xf borderId="0" fillId="247" fontId="4" numFmtId="0" xfId="0" applyAlignment="1" applyFill="1" applyFont="1">
      <alignment horizontal="center" readingOrder="0" vertical="bottom"/>
    </xf>
    <xf borderId="0" fillId="248" fontId="4" numFmtId="3" xfId="0" applyAlignment="1" applyFill="1" applyFont="1" applyNumberFormat="1">
      <alignment horizontal="center" readingOrder="0" vertical="bottom"/>
    </xf>
    <xf borderId="0" fillId="249" fontId="4" numFmtId="0" xfId="0" applyAlignment="1" applyFill="1" applyFont="1">
      <alignment horizontal="center" readingOrder="0" vertical="bottom"/>
    </xf>
    <xf borderId="0" fillId="250" fontId="5" numFmtId="0" xfId="0" applyAlignment="1" applyFill="1" applyFont="1">
      <alignment horizontal="right" readingOrder="0" vertical="bottom"/>
    </xf>
    <xf borderId="0" fillId="251" fontId="4" numFmtId="0" xfId="0" applyAlignment="1" applyFill="1" applyFont="1">
      <alignment horizontal="center" readingOrder="0" vertical="bottom"/>
    </xf>
    <xf borderId="0" fillId="252" fontId="4" numFmtId="0" xfId="0" applyAlignment="1" applyFill="1" applyFont="1">
      <alignment horizontal="center" readingOrder="0" vertical="bottom"/>
    </xf>
    <xf borderId="0" fillId="253" fontId="4" numFmtId="0" xfId="0" applyAlignment="1" applyFill="1" applyFont="1">
      <alignment horizontal="center" readingOrder="0" vertical="bottom"/>
    </xf>
    <xf borderId="0" fillId="254" fontId="4" numFmtId="3" xfId="0" applyAlignment="1" applyFill="1" applyFont="1" applyNumberFormat="1">
      <alignment horizontal="center" readingOrder="0" vertical="bottom"/>
    </xf>
    <xf borderId="0" fillId="255" fontId="4" numFmtId="3" xfId="0" applyAlignment="1" applyFill="1" applyFont="1" applyNumberFormat="1">
      <alignment horizontal="center" readingOrder="0" vertical="bottom"/>
    </xf>
    <xf borderId="0" fillId="256" fontId="4" numFmtId="0" xfId="0" applyAlignment="1" applyFill="1" applyFont="1">
      <alignment horizontal="center" readingOrder="0" vertical="bottom"/>
    </xf>
    <xf borderId="0" fillId="257" fontId="4" numFmtId="0" xfId="0" applyAlignment="1" applyFill="1" applyFont="1">
      <alignment horizontal="center" readingOrder="0" vertical="bottom"/>
    </xf>
    <xf borderId="0" fillId="258" fontId="4" numFmtId="0" xfId="0" applyAlignment="1" applyFill="1" applyFont="1">
      <alignment horizontal="center" readingOrder="0" vertical="bottom"/>
    </xf>
    <xf borderId="0" fillId="259" fontId="4" numFmtId="0" xfId="0" applyAlignment="1" applyFill="1" applyFont="1">
      <alignment horizontal="center" readingOrder="0" vertical="bottom"/>
    </xf>
    <xf borderId="0" fillId="260" fontId="4" numFmtId="0" xfId="0" applyAlignment="1" applyFill="1" applyFont="1">
      <alignment horizontal="center" readingOrder="0" vertical="bottom"/>
    </xf>
    <xf borderId="0" fillId="261" fontId="4" numFmtId="0" xfId="0" applyAlignment="1" applyFill="1" applyFont="1">
      <alignment horizontal="center" readingOrder="0" vertical="bottom"/>
    </xf>
    <xf borderId="0" fillId="262" fontId="4" numFmtId="3" xfId="0" applyAlignment="1" applyFill="1" applyFont="1" applyNumberFormat="1">
      <alignment horizontal="center" readingOrder="0" vertical="bottom"/>
    </xf>
    <xf borderId="0" fillId="263" fontId="4" numFmtId="0" xfId="0" applyAlignment="1" applyFill="1" applyFont="1">
      <alignment horizontal="center" readingOrder="0" vertical="bottom"/>
    </xf>
    <xf borderId="0" fillId="264" fontId="4" numFmtId="0" xfId="0" applyAlignment="1" applyFill="1" applyFont="1">
      <alignment horizontal="center" readingOrder="0" vertical="bottom"/>
    </xf>
    <xf borderId="0" fillId="265" fontId="4" numFmtId="0" xfId="0" applyAlignment="1" applyFill="1" applyFont="1">
      <alignment horizontal="center" readingOrder="0" vertical="bottom"/>
    </xf>
    <xf borderId="0" fillId="266" fontId="4" numFmtId="0" xfId="0" applyAlignment="1" applyFill="1" applyFont="1">
      <alignment horizontal="center" readingOrder="0" vertical="bottom"/>
    </xf>
    <xf borderId="0" fillId="267" fontId="4" numFmtId="0" xfId="0" applyAlignment="1" applyFill="1" applyFont="1">
      <alignment horizontal="center" readingOrder="0" vertical="bottom"/>
    </xf>
    <xf borderId="0" fillId="268" fontId="4" numFmtId="0" xfId="0" applyAlignment="1" applyFill="1" applyFont="1">
      <alignment horizontal="center" readingOrder="0" vertical="bottom"/>
    </xf>
    <xf borderId="0" fillId="269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270" fontId="3" numFmtId="0" xfId="0" applyAlignment="1" applyFill="1" applyFont="1">
      <alignment horizontal="center" readingOrder="0" vertical="bottom"/>
    </xf>
    <xf borderId="0" fillId="271" fontId="4" numFmtId="3" xfId="0" applyAlignment="1" applyFill="1" applyFont="1" applyNumberFormat="1">
      <alignment horizontal="center" readingOrder="0" vertical="bottom"/>
    </xf>
    <xf borderId="0" fillId="272" fontId="4" numFmtId="0" xfId="0" applyAlignment="1" applyFill="1" applyFont="1">
      <alignment horizontal="center" readingOrder="0" vertical="bottom"/>
    </xf>
    <xf borderId="0" fillId="273" fontId="4" numFmtId="0" xfId="0" applyAlignment="1" applyFill="1" applyFont="1">
      <alignment horizontal="center" readingOrder="0" vertical="bottom"/>
    </xf>
    <xf borderId="0" fillId="274" fontId="4" numFmtId="0" xfId="0" applyAlignment="1" applyFill="1" applyFont="1">
      <alignment horizontal="center" readingOrder="0" vertical="bottom"/>
    </xf>
    <xf borderId="0" fillId="275" fontId="4" numFmtId="0" xfId="0" applyAlignment="1" applyFill="1" applyFont="1">
      <alignment horizontal="center" readingOrder="0" vertical="bottom"/>
    </xf>
    <xf borderId="0" fillId="276" fontId="3" numFmtId="0" xfId="0" applyAlignment="1" applyFill="1" applyFont="1">
      <alignment horizontal="center" readingOrder="0" vertical="bottom"/>
    </xf>
    <xf borderId="0" fillId="277" fontId="3" numFmtId="0" xfId="0" applyAlignment="1" applyFill="1" applyFont="1">
      <alignment horizontal="center" readingOrder="0" vertical="bottom"/>
    </xf>
    <xf borderId="0" fillId="278" fontId="4" numFmtId="3" xfId="0" applyAlignment="1" applyFill="1" applyFont="1" applyNumberFormat="1">
      <alignment horizontal="center" readingOrder="0" vertical="bottom"/>
    </xf>
    <xf borderId="0" fillId="279" fontId="4" numFmtId="3" xfId="0" applyAlignment="1" applyFill="1" applyFont="1" applyNumberFormat="1">
      <alignment horizontal="center" readingOrder="0" vertical="bottom"/>
    </xf>
    <xf borderId="0" fillId="140" fontId="4" numFmtId="0" xfId="0" applyAlignment="1" applyFont="1">
      <alignment horizontal="center" readingOrder="0" vertical="bottom"/>
    </xf>
    <xf borderId="0" fillId="280" fontId="4" numFmtId="0" xfId="0" applyAlignment="1" applyFill="1" applyFont="1">
      <alignment horizontal="center" readingOrder="0" vertical="bottom"/>
    </xf>
    <xf borderId="0" fillId="281" fontId="4" numFmtId="0" xfId="0" applyAlignment="1" applyFill="1" applyFont="1">
      <alignment horizontal="center" readingOrder="0" vertical="bottom"/>
    </xf>
    <xf borderId="0" fillId="282" fontId="3" numFmtId="0" xfId="0" applyAlignment="1" applyFill="1" applyFont="1">
      <alignment horizontal="center" readingOrder="0" vertical="bottom"/>
    </xf>
    <xf borderId="0" fillId="283" fontId="3" numFmtId="0" xfId="0" applyAlignment="1" applyFill="1" applyFont="1">
      <alignment horizontal="center" readingOrder="0" vertical="bottom"/>
    </xf>
    <xf borderId="0" fillId="284" fontId="4" numFmtId="3" xfId="0" applyAlignment="1" applyFill="1" applyFont="1" applyNumberFormat="1">
      <alignment horizontal="center" readingOrder="0" vertical="bottom"/>
    </xf>
    <xf borderId="0" fillId="285" fontId="4" numFmtId="0" xfId="0" applyAlignment="1" applyFill="1" applyFont="1">
      <alignment horizontal="center" readingOrder="0" vertical="bottom"/>
    </xf>
    <xf borderId="0" fillId="286" fontId="4" numFmtId="0" xfId="0" applyAlignment="1" applyFill="1" applyFont="1">
      <alignment horizontal="center" readingOrder="0" vertical="bottom"/>
    </xf>
    <xf borderId="0" fillId="252" fontId="3" numFmtId="0" xfId="0" applyAlignment="1" applyFont="1">
      <alignment horizontal="center" readingOrder="0" vertical="bottom"/>
    </xf>
    <xf borderId="0" fillId="287" fontId="3" numFmtId="0" xfId="0" applyAlignment="1" applyFill="1" applyFont="1">
      <alignment horizontal="center" readingOrder="0" vertical="bottom"/>
    </xf>
    <xf borderId="0" fillId="288" fontId="4" numFmtId="3" xfId="0" applyAlignment="1" applyFill="1" applyFont="1" applyNumberFormat="1">
      <alignment horizontal="center" readingOrder="0" vertical="bottom"/>
    </xf>
    <xf borderId="0" fillId="289" fontId="4" numFmtId="3" xfId="0" applyAlignment="1" applyFill="1" applyFont="1" applyNumberFormat="1">
      <alignment horizontal="center" readingOrder="0" vertical="bottom"/>
    </xf>
    <xf borderId="0" fillId="290" fontId="4" numFmtId="0" xfId="0" applyAlignment="1" applyFill="1" applyFont="1">
      <alignment horizontal="center" readingOrder="0" vertical="bottom"/>
    </xf>
    <xf borderId="0" fillId="291" fontId="3" numFmtId="0" xfId="0" applyAlignment="1" applyFill="1" applyFont="1">
      <alignment horizontal="center" readingOrder="0" vertical="bottom"/>
    </xf>
    <xf borderId="0" fillId="292" fontId="3" numFmtId="0" xfId="0" applyAlignment="1" applyFill="1" applyFont="1">
      <alignment horizontal="center" readingOrder="0" vertical="bottom"/>
    </xf>
    <xf borderId="0" fillId="293" fontId="4" numFmtId="3" xfId="0" applyAlignment="1" applyFill="1" applyFont="1" applyNumberFormat="1">
      <alignment horizontal="center" readingOrder="0" vertical="bottom"/>
    </xf>
    <xf borderId="0" fillId="294" fontId="4" numFmtId="0" xfId="0" applyAlignment="1" applyFill="1" applyFont="1">
      <alignment horizontal="center" readingOrder="0" vertical="bottom"/>
    </xf>
    <xf borderId="0" fillId="295" fontId="4" numFmtId="0" xfId="0" applyAlignment="1" applyFill="1" applyFont="1">
      <alignment horizontal="center" readingOrder="0" vertical="bottom"/>
    </xf>
    <xf borderId="0" fillId="296" fontId="3" numFmtId="0" xfId="0" applyAlignment="1" applyFill="1" applyFont="1">
      <alignment horizontal="center" readingOrder="0" vertical="bottom"/>
    </xf>
    <xf borderId="0" fillId="297" fontId="3" numFmtId="0" xfId="0" applyAlignment="1" applyFill="1" applyFont="1">
      <alignment horizontal="center" readingOrder="0" vertical="bottom"/>
    </xf>
    <xf borderId="0" fillId="298" fontId="4" numFmtId="3" xfId="0" applyAlignment="1" applyFill="1" applyFont="1" applyNumberFormat="1">
      <alignment horizontal="center" readingOrder="0" vertical="bottom"/>
    </xf>
    <xf borderId="0" fillId="299" fontId="4" numFmtId="3" xfId="0" applyAlignment="1" applyFill="1" applyFont="1" applyNumberFormat="1">
      <alignment horizontal="center" readingOrder="0" vertical="bottom"/>
    </xf>
    <xf borderId="0" fillId="300" fontId="4" numFmtId="0" xfId="0" applyAlignment="1" applyFill="1" applyFont="1">
      <alignment horizontal="center" readingOrder="0" vertical="bottom"/>
    </xf>
    <xf borderId="0" fillId="301" fontId="4" numFmtId="0" xfId="0" applyAlignment="1" applyFill="1" applyFont="1">
      <alignment horizontal="center" readingOrder="0" vertical="bottom"/>
    </xf>
    <xf borderId="0" fillId="302" fontId="4" numFmtId="0" xfId="0" applyAlignment="1" applyFill="1" applyFont="1">
      <alignment horizontal="center" readingOrder="0" vertical="bottom"/>
    </xf>
    <xf borderId="0" fillId="303" fontId="3" numFmtId="0" xfId="0" applyAlignment="1" applyFill="1" applyFont="1">
      <alignment horizontal="center" readingOrder="0" vertical="bottom"/>
    </xf>
    <xf borderId="0" fillId="304" fontId="4" numFmtId="3" xfId="0" applyAlignment="1" applyFill="1" applyFont="1" applyNumberFormat="1">
      <alignment horizontal="center" readingOrder="0" vertical="bottom"/>
    </xf>
    <xf borderId="0" fillId="305" fontId="4" numFmtId="3" xfId="0" applyAlignment="1" applyFill="1" applyFont="1" applyNumberFormat="1">
      <alignment horizontal="center" readingOrder="0" vertical="bottom"/>
    </xf>
    <xf borderId="0" fillId="306" fontId="4" numFmtId="0" xfId="0" applyAlignment="1" applyFill="1" applyFont="1">
      <alignment horizontal="center" readingOrder="0" vertical="bottom"/>
    </xf>
    <xf borderId="0" fillId="307" fontId="4" numFmtId="0" xfId="0" applyAlignment="1" applyFill="1" applyFont="1">
      <alignment horizontal="center" readingOrder="0" vertical="bottom"/>
    </xf>
    <xf borderId="0" fillId="308" fontId="4" numFmtId="0" xfId="0" applyAlignment="1" applyFill="1" applyFont="1">
      <alignment horizontal="center" readingOrder="0" vertical="bottom"/>
    </xf>
    <xf borderId="0" fillId="309" fontId="4" numFmtId="0" xfId="0" applyAlignment="1" applyFill="1" applyFont="1">
      <alignment horizontal="center" readingOrder="0" vertical="bottom"/>
    </xf>
    <xf borderId="0" fillId="310" fontId="3" numFmtId="0" xfId="0" applyAlignment="1" applyFill="1" applyFont="1">
      <alignment horizontal="center" readingOrder="0" vertical="bottom"/>
    </xf>
    <xf borderId="0" fillId="311" fontId="4" numFmtId="3" xfId="0" applyAlignment="1" applyFill="1" applyFont="1" applyNumberFormat="1">
      <alignment horizontal="center" readingOrder="0" vertical="bottom"/>
    </xf>
    <xf borderId="0" fillId="312" fontId="4" numFmtId="3" xfId="0" applyAlignment="1" applyFill="1" applyFont="1" applyNumberFormat="1">
      <alignment horizontal="center" readingOrder="0" vertical="bottom"/>
    </xf>
    <xf borderId="0" fillId="120" fontId="4" numFmtId="0" xfId="0" applyAlignment="1" applyFont="1">
      <alignment horizontal="center" readingOrder="0" vertical="bottom"/>
    </xf>
    <xf borderId="0" fillId="313" fontId="3" numFmtId="0" xfId="0" applyAlignment="1" applyFill="1" applyFont="1">
      <alignment horizontal="center" readingOrder="0" vertical="bottom"/>
    </xf>
    <xf borderId="0" fillId="314" fontId="4" numFmtId="3" xfId="0" applyAlignment="1" applyFill="1" applyFont="1" applyNumberFormat="1">
      <alignment horizontal="center" readingOrder="0" vertical="bottom"/>
    </xf>
    <xf borderId="0" fillId="315" fontId="4" numFmtId="3" xfId="0" applyAlignment="1" applyFill="1" applyFont="1" applyNumberFormat="1">
      <alignment horizontal="center" readingOrder="0" vertical="bottom"/>
    </xf>
    <xf borderId="0" fillId="316" fontId="4" numFmtId="0" xfId="0" applyAlignment="1" applyFill="1" applyFont="1">
      <alignment horizontal="center" readingOrder="0" vertical="bottom"/>
    </xf>
    <xf borderId="0" fillId="172" fontId="3" numFmtId="0" xfId="0" applyAlignment="1" applyFont="1">
      <alignment horizontal="center" readingOrder="0" vertical="bottom"/>
    </xf>
    <xf borderId="0" fillId="317" fontId="3" numFmtId="0" xfId="0" applyAlignment="1" applyFill="1" applyFont="1">
      <alignment horizontal="center" readingOrder="0" vertical="bottom"/>
    </xf>
    <xf borderId="0" fillId="318" fontId="4" numFmtId="3" xfId="0" applyAlignment="1" applyFill="1" applyFont="1" applyNumberFormat="1">
      <alignment horizontal="center" readingOrder="0" vertical="bottom"/>
    </xf>
    <xf borderId="0" fillId="319" fontId="3" numFmtId="0" xfId="0" applyAlignment="1" applyFill="1" applyFont="1">
      <alignment horizontal="center" readingOrder="0" vertical="bottom"/>
    </xf>
    <xf borderId="0" fillId="320" fontId="3" numFmtId="0" xfId="0" applyAlignment="1" applyFill="1" applyFont="1">
      <alignment horizontal="center" readingOrder="0" vertical="bottom"/>
    </xf>
    <xf borderId="0" fillId="321" fontId="4" numFmtId="3" xfId="0" applyAlignment="1" applyFill="1" applyFont="1" applyNumberFormat="1">
      <alignment horizontal="center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5" numFmtId="9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7" Type="http://schemas.openxmlformats.org/officeDocument/2006/relationships/drawing" Target="../drawings/drawing9.xml"/><Relationship Id="rId10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75"/>
  <cols>
    <col customWidth="1" min="2" max="2" width="27.71"/>
  </cols>
  <sheetData>
    <row r="1">
      <c r="A1" s="2" t="str">
        <f>IFERROR(__xludf.DUMMYFUNCTION("importdata(""https://raw.githubusercontent.com/CSSEGISandData/COVID-19/master/csse_covid_19_data/csse_covid_19_time_series/time_series_covid19_confirmed_global.csv"")"),"Province/State")</f>
        <v>Province/State</v>
      </c>
      <c r="B1" s="1" t="str">
        <f>IFERROR(__xludf.DUMMYFUNCTION("""COMPUTED_VALUE"""),"Country/Region")</f>
        <v>Country/Region</v>
      </c>
      <c r="C1" s="1" t="str">
        <f>IFERROR(__xludf.DUMMYFUNCTION("""COMPUTED_VALUE"""),"Lat")</f>
        <v>Lat</v>
      </c>
      <c r="D1" s="1" t="str">
        <f>IFERROR(__xludf.DUMMYFUNCTION("""COMPUTED_VALUE"""),"Long")</f>
        <v>Long</v>
      </c>
      <c r="E1" s="1">
        <f>IFERROR(__xludf.DUMMYFUNCTION("""COMPUTED_VALUE"""),43852.0)</f>
        <v>43852</v>
      </c>
      <c r="F1" s="1">
        <f>IFERROR(__xludf.DUMMYFUNCTION("""COMPUTED_VALUE"""),43853.0)</f>
        <v>43853</v>
      </c>
      <c r="G1" s="1">
        <f>IFERROR(__xludf.DUMMYFUNCTION("""COMPUTED_VALUE"""),43854.0)</f>
        <v>43854</v>
      </c>
      <c r="H1" s="1">
        <f>IFERROR(__xludf.DUMMYFUNCTION("""COMPUTED_VALUE"""),43855.0)</f>
        <v>43855</v>
      </c>
      <c r="I1" s="1">
        <f>IFERROR(__xludf.DUMMYFUNCTION("""COMPUTED_VALUE"""),43856.0)</f>
        <v>43856</v>
      </c>
      <c r="J1" s="1">
        <f>IFERROR(__xludf.DUMMYFUNCTION("""COMPUTED_VALUE"""),43857.0)</f>
        <v>43857</v>
      </c>
      <c r="K1" s="1">
        <f>IFERROR(__xludf.DUMMYFUNCTION("""COMPUTED_VALUE"""),43858.0)</f>
        <v>43858</v>
      </c>
      <c r="L1" s="1">
        <f>IFERROR(__xludf.DUMMYFUNCTION("""COMPUTED_VALUE"""),43859.0)</f>
        <v>43859</v>
      </c>
      <c r="M1" s="1">
        <f>IFERROR(__xludf.DUMMYFUNCTION("""COMPUTED_VALUE"""),43860.0)</f>
        <v>43860</v>
      </c>
      <c r="N1" s="1">
        <f>IFERROR(__xludf.DUMMYFUNCTION("""COMPUTED_VALUE"""),43861.0)</f>
        <v>43861</v>
      </c>
      <c r="O1" s="1">
        <f>IFERROR(__xludf.DUMMYFUNCTION("""COMPUTED_VALUE"""),43862.0)</f>
        <v>43862</v>
      </c>
      <c r="P1" s="1">
        <f>IFERROR(__xludf.DUMMYFUNCTION("""COMPUTED_VALUE"""),43863.0)</f>
        <v>43863</v>
      </c>
      <c r="Q1" s="1">
        <f>IFERROR(__xludf.DUMMYFUNCTION("""COMPUTED_VALUE"""),43864.0)</f>
        <v>43864</v>
      </c>
      <c r="R1" s="1">
        <f>IFERROR(__xludf.DUMMYFUNCTION("""COMPUTED_VALUE"""),43865.0)</f>
        <v>43865</v>
      </c>
      <c r="S1" s="1">
        <f>IFERROR(__xludf.DUMMYFUNCTION("""COMPUTED_VALUE"""),43866.0)</f>
        <v>43866</v>
      </c>
      <c r="T1" s="1">
        <f>IFERROR(__xludf.DUMMYFUNCTION("""COMPUTED_VALUE"""),43867.0)</f>
        <v>43867</v>
      </c>
      <c r="U1" s="1">
        <f>IFERROR(__xludf.DUMMYFUNCTION("""COMPUTED_VALUE"""),43868.0)</f>
        <v>43868</v>
      </c>
      <c r="V1" s="1">
        <f>IFERROR(__xludf.DUMMYFUNCTION("""COMPUTED_VALUE"""),43869.0)</f>
        <v>43869</v>
      </c>
      <c r="W1" s="1">
        <f>IFERROR(__xludf.DUMMYFUNCTION("""COMPUTED_VALUE"""),43870.0)</f>
        <v>43870</v>
      </c>
      <c r="X1" s="1">
        <f>IFERROR(__xludf.DUMMYFUNCTION("""COMPUTED_VALUE"""),43871.0)</f>
        <v>43871</v>
      </c>
      <c r="Y1" s="1">
        <f>IFERROR(__xludf.DUMMYFUNCTION("""COMPUTED_VALUE"""),43872.0)</f>
        <v>43872</v>
      </c>
      <c r="Z1" s="1">
        <f>IFERROR(__xludf.DUMMYFUNCTION("""COMPUTED_VALUE"""),43873.0)</f>
        <v>43873</v>
      </c>
      <c r="AA1" s="1">
        <f>IFERROR(__xludf.DUMMYFUNCTION("""COMPUTED_VALUE"""),43874.0)</f>
        <v>43874</v>
      </c>
      <c r="AB1" s="1">
        <f>IFERROR(__xludf.DUMMYFUNCTION("""COMPUTED_VALUE"""),43875.0)</f>
        <v>43875</v>
      </c>
      <c r="AC1" s="1">
        <f>IFERROR(__xludf.DUMMYFUNCTION("""COMPUTED_VALUE"""),43876.0)</f>
        <v>43876</v>
      </c>
      <c r="AD1" s="1">
        <f>IFERROR(__xludf.DUMMYFUNCTION("""COMPUTED_VALUE"""),43877.0)</f>
        <v>43877</v>
      </c>
      <c r="AE1" s="1">
        <f>IFERROR(__xludf.DUMMYFUNCTION("""COMPUTED_VALUE"""),43878.0)</f>
        <v>43878</v>
      </c>
      <c r="AF1" s="1">
        <f>IFERROR(__xludf.DUMMYFUNCTION("""COMPUTED_VALUE"""),43879.0)</f>
        <v>43879</v>
      </c>
      <c r="AG1" s="1">
        <f>IFERROR(__xludf.DUMMYFUNCTION("""COMPUTED_VALUE"""),43880.0)</f>
        <v>43880</v>
      </c>
      <c r="AH1" s="1">
        <f>IFERROR(__xludf.DUMMYFUNCTION("""COMPUTED_VALUE"""),43881.0)</f>
        <v>43881</v>
      </c>
      <c r="AI1" s="1">
        <f>IFERROR(__xludf.DUMMYFUNCTION("""COMPUTED_VALUE"""),43882.0)</f>
        <v>43882</v>
      </c>
      <c r="AJ1" s="1">
        <f>IFERROR(__xludf.DUMMYFUNCTION("""COMPUTED_VALUE"""),43883.0)</f>
        <v>43883</v>
      </c>
      <c r="AK1" s="1">
        <f>IFERROR(__xludf.DUMMYFUNCTION("""COMPUTED_VALUE"""),43884.0)</f>
        <v>43884</v>
      </c>
      <c r="AL1" s="1">
        <f>IFERROR(__xludf.DUMMYFUNCTION("""COMPUTED_VALUE"""),43885.0)</f>
        <v>43885</v>
      </c>
      <c r="AM1" s="1">
        <f>IFERROR(__xludf.DUMMYFUNCTION("""COMPUTED_VALUE"""),43886.0)</f>
        <v>43886</v>
      </c>
      <c r="AN1" s="1">
        <f>IFERROR(__xludf.DUMMYFUNCTION("""COMPUTED_VALUE"""),43887.0)</f>
        <v>43887</v>
      </c>
      <c r="AO1" s="1">
        <f>IFERROR(__xludf.DUMMYFUNCTION("""COMPUTED_VALUE"""),43888.0)</f>
        <v>43888</v>
      </c>
      <c r="AP1" s="1">
        <f>IFERROR(__xludf.DUMMYFUNCTION("""COMPUTED_VALUE"""),43889.0)</f>
        <v>43889</v>
      </c>
      <c r="AQ1" s="1">
        <f>IFERROR(__xludf.DUMMYFUNCTION("""COMPUTED_VALUE"""),43890.0)</f>
        <v>43890</v>
      </c>
      <c r="AR1" s="1">
        <f>IFERROR(__xludf.DUMMYFUNCTION("""COMPUTED_VALUE"""),43891.0)</f>
        <v>43891</v>
      </c>
      <c r="AS1" s="1">
        <f>IFERROR(__xludf.DUMMYFUNCTION("""COMPUTED_VALUE"""),43892.0)</f>
        <v>43892</v>
      </c>
      <c r="AT1" s="1">
        <f>IFERROR(__xludf.DUMMYFUNCTION("""COMPUTED_VALUE"""),43893.0)</f>
        <v>43893</v>
      </c>
      <c r="AU1" s="1">
        <f>IFERROR(__xludf.DUMMYFUNCTION("""COMPUTED_VALUE"""),43894.0)</f>
        <v>43894</v>
      </c>
      <c r="AV1" s="1">
        <f>IFERROR(__xludf.DUMMYFUNCTION("""COMPUTED_VALUE"""),43895.0)</f>
        <v>43895</v>
      </c>
      <c r="AW1" s="1">
        <f>IFERROR(__xludf.DUMMYFUNCTION("""COMPUTED_VALUE"""),43896.0)</f>
        <v>43896</v>
      </c>
      <c r="AX1" s="1">
        <f>IFERROR(__xludf.DUMMYFUNCTION("""COMPUTED_VALUE"""),43897.0)</f>
        <v>43897</v>
      </c>
      <c r="AY1" s="1">
        <f>IFERROR(__xludf.DUMMYFUNCTION("""COMPUTED_VALUE"""),43898.0)</f>
        <v>43898</v>
      </c>
      <c r="AZ1" s="1">
        <f>IFERROR(__xludf.DUMMYFUNCTION("""COMPUTED_VALUE"""),43899.0)</f>
        <v>43899</v>
      </c>
      <c r="BA1" s="1">
        <f>IFERROR(__xludf.DUMMYFUNCTION("""COMPUTED_VALUE"""),43900.0)</f>
        <v>43900</v>
      </c>
      <c r="BB1" s="1">
        <f>IFERROR(__xludf.DUMMYFUNCTION("""COMPUTED_VALUE"""),43901.0)</f>
        <v>43901</v>
      </c>
      <c r="BC1" s="1">
        <f>IFERROR(__xludf.DUMMYFUNCTION("""COMPUTED_VALUE"""),43902.0)</f>
        <v>43902</v>
      </c>
      <c r="BD1" s="1">
        <f>IFERROR(__xludf.DUMMYFUNCTION("""COMPUTED_VALUE"""),43903.0)</f>
        <v>43903</v>
      </c>
      <c r="BE1" s="1">
        <f>IFERROR(__xludf.DUMMYFUNCTION("""COMPUTED_VALUE"""),43904.0)</f>
        <v>43904</v>
      </c>
      <c r="BF1" s="1">
        <f>IFERROR(__xludf.DUMMYFUNCTION("""COMPUTED_VALUE"""),43905.0)</f>
        <v>43905</v>
      </c>
      <c r="BG1" s="1">
        <f>IFERROR(__xludf.DUMMYFUNCTION("""COMPUTED_VALUE"""),43906.0)</f>
        <v>43906</v>
      </c>
      <c r="BH1" s="1">
        <f>IFERROR(__xludf.DUMMYFUNCTION("""COMPUTED_VALUE"""),43907.0)</f>
        <v>43907</v>
      </c>
      <c r="BI1" s="1">
        <f>IFERROR(__xludf.DUMMYFUNCTION("""COMPUTED_VALUE"""),43908.0)</f>
        <v>43908</v>
      </c>
      <c r="BJ1" s="1">
        <f>IFERROR(__xludf.DUMMYFUNCTION("""COMPUTED_VALUE"""),43909.0)</f>
        <v>43909</v>
      </c>
      <c r="BK1" s="1">
        <f>IFERROR(__xludf.DUMMYFUNCTION("""COMPUTED_VALUE"""),43910.0)</f>
        <v>43910</v>
      </c>
      <c r="BL1" s="1">
        <f>IFERROR(__xludf.DUMMYFUNCTION("""COMPUTED_VALUE"""),43911.0)</f>
        <v>43911</v>
      </c>
      <c r="BM1" s="1">
        <f>IFERROR(__xludf.DUMMYFUNCTION("""COMPUTED_VALUE"""),43912.0)</f>
        <v>43912</v>
      </c>
      <c r="BN1" s="1">
        <f>IFERROR(__xludf.DUMMYFUNCTION("""COMPUTED_VALUE"""),43913.0)</f>
        <v>43913</v>
      </c>
      <c r="BO1" s="1">
        <f>IFERROR(__xludf.DUMMYFUNCTION("""COMPUTED_VALUE"""),43914.0)</f>
        <v>43914</v>
      </c>
      <c r="BP1" s="1">
        <f>IFERROR(__xludf.DUMMYFUNCTION("""COMPUTED_VALUE"""),43915.0)</f>
        <v>43915</v>
      </c>
      <c r="BQ1" s="1">
        <f>IFERROR(__xludf.DUMMYFUNCTION("""COMPUTED_VALUE"""),43916.0)</f>
        <v>43916</v>
      </c>
      <c r="BR1" s="1">
        <f>IFERROR(__xludf.DUMMYFUNCTION("""COMPUTED_VALUE"""),43917.0)</f>
        <v>43917</v>
      </c>
      <c r="BS1" s="1">
        <f>IFERROR(__xludf.DUMMYFUNCTION("""COMPUTED_VALUE"""),43918.0)</f>
        <v>43918</v>
      </c>
      <c r="BT1" s="1">
        <f>IFERROR(__xludf.DUMMYFUNCTION("""COMPUTED_VALUE"""),43919.0)</f>
        <v>43919</v>
      </c>
      <c r="BU1" s="1">
        <f>IFERROR(__xludf.DUMMYFUNCTION("""COMPUTED_VALUE"""),43920.0)</f>
        <v>43920</v>
      </c>
      <c r="BV1" s="1">
        <f>IFERROR(__xludf.DUMMYFUNCTION("""COMPUTED_VALUE"""),43921.0)</f>
        <v>43921</v>
      </c>
      <c r="BW1" s="1">
        <f>IFERROR(__xludf.DUMMYFUNCTION("""COMPUTED_VALUE"""),43922.0)</f>
        <v>43922</v>
      </c>
      <c r="BX1" s="1">
        <f>IFERROR(__xludf.DUMMYFUNCTION("""COMPUTED_VALUE"""),43923.0)</f>
        <v>43923</v>
      </c>
      <c r="BY1" s="1">
        <f>IFERROR(__xludf.DUMMYFUNCTION("""COMPUTED_VALUE"""),43924.0)</f>
        <v>43924</v>
      </c>
      <c r="BZ1" s="1">
        <f>IFERROR(__xludf.DUMMYFUNCTION("""COMPUTED_VALUE"""),43925.0)</f>
        <v>43925</v>
      </c>
      <c r="CA1" s="1">
        <f>IFERROR(__xludf.DUMMYFUNCTION("""COMPUTED_VALUE"""),43926.0)</f>
        <v>43926</v>
      </c>
      <c r="CB1" s="1">
        <f>IFERROR(__xludf.DUMMYFUNCTION("""COMPUTED_VALUE"""),43927.0)</f>
        <v>43927</v>
      </c>
      <c r="CC1" s="1"/>
      <c r="CD1" s="1"/>
    </row>
    <row r="2">
      <c r="A2" s="3" t="str">
        <f>IFERROR(__xludf.DUMMYFUNCTION("""COMPUTED_VALUE"""),"")</f>
        <v/>
      </c>
      <c r="B2" s="3" t="str">
        <f>IFERROR(__xludf.DUMMYFUNCTION("""COMPUTED_VALUE"""),"Afghanistan")</f>
        <v>Afghanistan</v>
      </c>
      <c r="C2" s="3">
        <f>IFERROR(__xludf.DUMMYFUNCTION("""COMPUTED_VALUE"""),33.0)</f>
        <v>33</v>
      </c>
      <c r="D2" s="3">
        <f>IFERROR(__xludf.DUMMYFUNCTION("""COMPUTED_VALUE"""),65.0)</f>
        <v>65</v>
      </c>
      <c r="E2" s="3">
        <f>IFERROR(__xludf.DUMMYFUNCTION("""COMPUTED_VALUE"""),0.0)</f>
        <v>0</v>
      </c>
      <c r="F2" s="3">
        <f>IFERROR(__xludf.DUMMYFUNCTION("""COMPUTED_VALUE"""),0.0)</f>
        <v>0</v>
      </c>
      <c r="G2" s="3">
        <f>IFERROR(__xludf.DUMMYFUNCTION("""COMPUTED_VALUE"""),0.0)</f>
        <v>0</v>
      </c>
      <c r="H2" s="3">
        <f>IFERROR(__xludf.DUMMYFUNCTION("""COMPUTED_VALUE"""),0.0)</f>
        <v>0</v>
      </c>
      <c r="I2" s="3">
        <f>IFERROR(__xludf.DUMMYFUNCTION("""COMPUTED_VALUE"""),0.0)</f>
        <v>0</v>
      </c>
      <c r="J2" s="3">
        <f>IFERROR(__xludf.DUMMYFUNCTION("""COMPUTED_VALUE"""),0.0)</f>
        <v>0</v>
      </c>
      <c r="K2" s="3">
        <f>IFERROR(__xludf.DUMMYFUNCTION("""COMPUTED_VALUE"""),0.0)</f>
        <v>0</v>
      </c>
      <c r="L2" s="3">
        <f>IFERROR(__xludf.DUMMYFUNCTION("""COMPUTED_VALUE"""),0.0)</f>
        <v>0</v>
      </c>
      <c r="M2" s="3">
        <f>IFERROR(__xludf.DUMMYFUNCTION("""COMPUTED_VALUE"""),0.0)</f>
        <v>0</v>
      </c>
      <c r="N2" s="3">
        <f>IFERROR(__xludf.DUMMYFUNCTION("""COMPUTED_VALUE"""),0.0)</f>
        <v>0</v>
      </c>
      <c r="O2" s="3">
        <f>IFERROR(__xludf.DUMMYFUNCTION("""COMPUTED_VALUE"""),0.0)</f>
        <v>0</v>
      </c>
      <c r="P2" s="3">
        <f>IFERROR(__xludf.DUMMYFUNCTION("""COMPUTED_VALUE"""),0.0)</f>
        <v>0</v>
      </c>
      <c r="Q2" s="3">
        <f>IFERROR(__xludf.DUMMYFUNCTION("""COMPUTED_VALUE"""),0.0)</f>
        <v>0</v>
      </c>
      <c r="R2" s="3">
        <f>IFERROR(__xludf.DUMMYFUNCTION("""COMPUTED_VALUE"""),0.0)</f>
        <v>0</v>
      </c>
      <c r="S2" s="3">
        <f>IFERROR(__xludf.DUMMYFUNCTION("""COMPUTED_VALUE"""),0.0)</f>
        <v>0</v>
      </c>
      <c r="T2" s="3">
        <f>IFERROR(__xludf.DUMMYFUNCTION("""COMPUTED_VALUE"""),0.0)</f>
        <v>0</v>
      </c>
      <c r="U2" s="3">
        <f>IFERROR(__xludf.DUMMYFUNCTION("""COMPUTED_VALUE"""),0.0)</f>
        <v>0</v>
      </c>
      <c r="V2" s="3">
        <f>IFERROR(__xludf.DUMMYFUNCTION("""COMPUTED_VALUE"""),0.0)</f>
        <v>0</v>
      </c>
      <c r="W2" s="3">
        <f>IFERROR(__xludf.DUMMYFUNCTION("""COMPUTED_VALUE"""),0.0)</f>
        <v>0</v>
      </c>
      <c r="X2" s="3">
        <f>IFERROR(__xludf.DUMMYFUNCTION("""COMPUTED_VALUE"""),0.0)</f>
        <v>0</v>
      </c>
      <c r="Y2" s="3">
        <f>IFERROR(__xludf.DUMMYFUNCTION("""COMPUTED_VALUE"""),0.0)</f>
        <v>0</v>
      </c>
      <c r="Z2" s="3">
        <f>IFERROR(__xludf.DUMMYFUNCTION("""COMPUTED_VALUE"""),0.0)</f>
        <v>0</v>
      </c>
      <c r="AA2" s="3">
        <f>IFERROR(__xludf.DUMMYFUNCTION("""COMPUTED_VALUE"""),0.0)</f>
        <v>0</v>
      </c>
      <c r="AB2" s="3">
        <f>IFERROR(__xludf.DUMMYFUNCTION("""COMPUTED_VALUE"""),0.0)</f>
        <v>0</v>
      </c>
      <c r="AC2" s="3">
        <f>IFERROR(__xludf.DUMMYFUNCTION("""COMPUTED_VALUE"""),0.0)</f>
        <v>0</v>
      </c>
      <c r="AD2" s="3">
        <f>IFERROR(__xludf.DUMMYFUNCTION("""COMPUTED_VALUE"""),0.0)</f>
        <v>0</v>
      </c>
      <c r="AE2" s="3">
        <f>IFERROR(__xludf.DUMMYFUNCTION("""COMPUTED_VALUE"""),0.0)</f>
        <v>0</v>
      </c>
      <c r="AF2" s="3">
        <f>IFERROR(__xludf.DUMMYFUNCTION("""COMPUTED_VALUE"""),0.0)</f>
        <v>0</v>
      </c>
      <c r="AG2" s="3">
        <f>IFERROR(__xludf.DUMMYFUNCTION("""COMPUTED_VALUE"""),0.0)</f>
        <v>0</v>
      </c>
      <c r="AH2" s="3">
        <f>IFERROR(__xludf.DUMMYFUNCTION("""COMPUTED_VALUE"""),0.0)</f>
        <v>0</v>
      </c>
      <c r="AI2" s="3">
        <f>IFERROR(__xludf.DUMMYFUNCTION("""COMPUTED_VALUE"""),0.0)</f>
        <v>0</v>
      </c>
      <c r="AJ2" s="3">
        <f>IFERROR(__xludf.DUMMYFUNCTION("""COMPUTED_VALUE"""),0.0)</f>
        <v>0</v>
      </c>
      <c r="AK2" s="3">
        <f>IFERROR(__xludf.DUMMYFUNCTION("""COMPUTED_VALUE"""),0.0)</f>
        <v>0</v>
      </c>
      <c r="AL2" s="3">
        <f>IFERROR(__xludf.DUMMYFUNCTION("""COMPUTED_VALUE"""),1.0)</f>
        <v>1</v>
      </c>
      <c r="AM2" s="3">
        <f>IFERROR(__xludf.DUMMYFUNCTION("""COMPUTED_VALUE"""),1.0)</f>
        <v>1</v>
      </c>
      <c r="AN2" s="3">
        <f>IFERROR(__xludf.DUMMYFUNCTION("""COMPUTED_VALUE"""),1.0)</f>
        <v>1</v>
      </c>
      <c r="AO2" s="3">
        <f>IFERROR(__xludf.DUMMYFUNCTION("""COMPUTED_VALUE"""),1.0)</f>
        <v>1</v>
      </c>
      <c r="AP2" s="3">
        <f>IFERROR(__xludf.DUMMYFUNCTION("""COMPUTED_VALUE"""),1.0)</f>
        <v>1</v>
      </c>
      <c r="AQ2" s="3">
        <f>IFERROR(__xludf.DUMMYFUNCTION("""COMPUTED_VALUE"""),1.0)</f>
        <v>1</v>
      </c>
      <c r="AR2" s="3">
        <f>IFERROR(__xludf.DUMMYFUNCTION("""COMPUTED_VALUE"""),1.0)</f>
        <v>1</v>
      </c>
      <c r="AS2" s="3">
        <f>IFERROR(__xludf.DUMMYFUNCTION("""COMPUTED_VALUE"""),1.0)</f>
        <v>1</v>
      </c>
      <c r="AT2" s="3">
        <f>IFERROR(__xludf.DUMMYFUNCTION("""COMPUTED_VALUE"""),1.0)</f>
        <v>1</v>
      </c>
      <c r="AU2" s="3">
        <f>IFERROR(__xludf.DUMMYFUNCTION("""COMPUTED_VALUE"""),1.0)</f>
        <v>1</v>
      </c>
      <c r="AV2" s="3">
        <f>IFERROR(__xludf.DUMMYFUNCTION("""COMPUTED_VALUE"""),1.0)</f>
        <v>1</v>
      </c>
      <c r="AW2" s="3">
        <f>IFERROR(__xludf.DUMMYFUNCTION("""COMPUTED_VALUE"""),1.0)</f>
        <v>1</v>
      </c>
      <c r="AX2" s="3">
        <f>IFERROR(__xludf.DUMMYFUNCTION("""COMPUTED_VALUE"""),1.0)</f>
        <v>1</v>
      </c>
      <c r="AY2" s="3">
        <f>IFERROR(__xludf.DUMMYFUNCTION("""COMPUTED_VALUE"""),4.0)</f>
        <v>4</v>
      </c>
      <c r="AZ2" s="3">
        <f>IFERROR(__xludf.DUMMYFUNCTION("""COMPUTED_VALUE"""),4.0)</f>
        <v>4</v>
      </c>
      <c r="BA2" s="3">
        <f>IFERROR(__xludf.DUMMYFUNCTION("""COMPUTED_VALUE"""),5.0)</f>
        <v>5</v>
      </c>
      <c r="BB2" s="3">
        <f>IFERROR(__xludf.DUMMYFUNCTION("""COMPUTED_VALUE"""),7.0)</f>
        <v>7</v>
      </c>
      <c r="BC2" s="3">
        <f>IFERROR(__xludf.DUMMYFUNCTION("""COMPUTED_VALUE"""),7.0)</f>
        <v>7</v>
      </c>
      <c r="BD2" s="3">
        <f>IFERROR(__xludf.DUMMYFUNCTION("""COMPUTED_VALUE"""),7.0)</f>
        <v>7</v>
      </c>
      <c r="BE2" s="3">
        <f>IFERROR(__xludf.DUMMYFUNCTION("""COMPUTED_VALUE"""),11.0)</f>
        <v>11</v>
      </c>
      <c r="BF2" s="3">
        <f>IFERROR(__xludf.DUMMYFUNCTION("""COMPUTED_VALUE"""),16.0)</f>
        <v>16</v>
      </c>
      <c r="BG2" s="3">
        <f>IFERROR(__xludf.DUMMYFUNCTION("""COMPUTED_VALUE"""),21.0)</f>
        <v>21</v>
      </c>
      <c r="BH2" s="3">
        <f>IFERROR(__xludf.DUMMYFUNCTION("""COMPUTED_VALUE"""),22.0)</f>
        <v>22</v>
      </c>
      <c r="BI2" s="3">
        <f>IFERROR(__xludf.DUMMYFUNCTION("""COMPUTED_VALUE"""),22.0)</f>
        <v>22</v>
      </c>
      <c r="BJ2" s="3">
        <f>IFERROR(__xludf.DUMMYFUNCTION("""COMPUTED_VALUE"""),22.0)</f>
        <v>22</v>
      </c>
      <c r="BK2" s="3">
        <f>IFERROR(__xludf.DUMMYFUNCTION("""COMPUTED_VALUE"""),24.0)</f>
        <v>24</v>
      </c>
      <c r="BL2" s="3">
        <f>IFERROR(__xludf.DUMMYFUNCTION("""COMPUTED_VALUE"""),24.0)</f>
        <v>24</v>
      </c>
      <c r="BM2" s="3">
        <f>IFERROR(__xludf.DUMMYFUNCTION("""COMPUTED_VALUE"""),40.0)</f>
        <v>40</v>
      </c>
      <c r="BN2" s="3">
        <f>IFERROR(__xludf.DUMMYFUNCTION("""COMPUTED_VALUE"""),40.0)</f>
        <v>40</v>
      </c>
      <c r="BO2" s="3">
        <f>IFERROR(__xludf.DUMMYFUNCTION("""COMPUTED_VALUE"""),74.0)</f>
        <v>74</v>
      </c>
      <c r="BP2" s="3">
        <f>IFERROR(__xludf.DUMMYFUNCTION("""COMPUTED_VALUE"""),84.0)</f>
        <v>84</v>
      </c>
      <c r="BQ2" s="3">
        <f>IFERROR(__xludf.DUMMYFUNCTION("""COMPUTED_VALUE"""),94.0)</f>
        <v>94</v>
      </c>
      <c r="BR2" s="3">
        <f>IFERROR(__xludf.DUMMYFUNCTION("""COMPUTED_VALUE"""),110.0)</f>
        <v>110</v>
      </c>
      <c r="BS2" s="3">
        <f>IFERROR(__xludf.DUMMYFUNCTION("""COMPUTED_VALUE"""),110.0)</f>
        <v>110</v>
      </c>
      <c r="BT2" s="3">
        <f>IFERROR(__xludf.DUMMYFUNCTION("""COMPUTED_VALUE"""),120.0)</f>
        <v>120</v>
      </c>
      <c r="BU2" s="3">
        <f>IFERROR(__xludf.DUMMYFUNCTION("""COMPUTED_VALUE"""),170.0)</f>
        <v>170</v>
      </c>
      <c r="BV2" s="3">
        <f>IFERROR(__xludf.DUMMYFUNCTION("""COMPUTED_VALUE"""),174.0)</f>
        <v>174</v>
      </c>
      <c r="BW2" s="3">
        <f>IFERROR(__xludf.DUMMYFUNCTION("""COMPUTED_VALUE"""),237.0)</f>
        <v>237</v>
      </c>
      <c r="BX2" s="3">
        <f>IFERROR(__xludf.DUMMYFUNCTION("""COMPUTED_VALUE"""),273.0)</f>
        <v>273</v>
      </c>
      <c r="BY2" s="3">
        <f>IFERROR(__xludf.DUMMYFUNCTION("""COMPUTED_VALUE"""),281.0)</f>
        <v>281</v>
      </c>
      <c r="BZ2" s="3">
        <f>IFERROR(__xludf.DUMMYFUNCTION("""COMPUTED_VALUE"""),299.0)</f>
        <v>299</v>
      </c>
      <c r="CA2" s="3">
        <f>IFERROR(__xludf.DUMMYFUNCTION("""COMPUTED_VALUE"""),349.0)</f>
        <v>349</v>
      </c>
      <c r="CB2" s="3">
        <f>IFERROR(__xludf.DUMMYFUNCTION("""COMPUTED_VALUE"""),367.0)</f>
        <v>367</v>
      </c>
    </row>
    <row r="3">
      <c r="A3" s="3" t="str">
        <f>IFERROR(__xludf.DUMMYFUNCTION("""COMPUTED_VALUE"""),"")</f>
        <v/>
      </c>
      <c r="B3" s="3" t="str">
        <f>IFERROR(__xludf.DUMMYFUNCTION("""COMPUTED_VALUE"""),"Albania")</f>
        <v>Albania</v>
      </c>
      <c r="C3" s="3">
        <f>IFERROR(__xludf.DUMMYFUNCTION("""COMPUTED_VALUE"""),41.1533)</f>
        <v>41.1533</v>
      </c>
      <c r="D3" s="3">
        <f>IFERROR(__xludf.DUMMYFUNCTION("""COMPUTED_VALUE"""),20.1683)</f>
        <v>20.1683</v>
      </c>
      <c r="E3" s="3">
        <f>IFERROR(__xludf.DUMMYFUNCTION("""COMPUTED_VALUE"""),0.0)</f>
        <v>0</v>
      </c>
      <c r="F3" s="3">
        <f>IFERROR(__xludf.DUMMYFUNCTION("""COMPUTED_VALUE"""),0.0)</f>
        <v>0</v>
      </c>
      <c r="G3" s="3">
        <f>IFERROR(__xludf.DUMMYFUNCTION("""COMPUTED_VALUE"""),0.0)</f>
        <v>0</v>
      </c>
      <c r="H3" s="3">
        <f>IFERROR(__xludf.DUMMYFUNCTION("""COMPUTED_VALUE"""),0.0)</f>
        <v>0</v>
      </c>
      <c r="I3" s="3">
        <f>IFERROR(__xludf.DUMMYFUNCTION("""COMPUTED_VALUE"""),0.0)</f>
        <v>0</v>
      </c>
      <c r="J3" s="3">
        <f>IFERROR(__xludf.DUMMYFUNCTION("""COMPUTED_VALUE"""),0.0)</f>
        <v>0</v>
      </c>
      <c r="K3" s="3">
        <f>IFERROR(__xludf.DUMMYFUNCTION("""COMPUTED_VALUE"""),0.0)</f>
        <v>0</v>
      </c>
      <c r="L3" s="3">
        <f>IFERROR(__xludf.DUMMYFUNCTION("""COMPUTED_VALUE"""),0.0)</f>
        <v>0</v>
      </c>
      <c r="M3" s="3">
        <f>IFERROR(__xludf.DUMMYFUNCTION("""COMPUTED_VALUE"""),0.0)</f>
        <v>0</v>
      </c>
      <c r="N3" s="3">
        <f>IFERROR(__xludf.DUMMYFUNCTION("""COMPUTED_VALUE"""),0.0)</f>
        <v>0</v>
      </c>
      <c r="O3" s="3">
        <f>IFERROR(__xludf.DUMMYFUNCTION("""COMPUTED_VALUE"""),0.0)</f>
        <v>0</v>
      </c>
      <c r="P3" s="3">
        <f>IFERROR(__xludf.DUMMYFUNCTION("""COMPUTED_VALUE"""),0.0)</f>
        <v>0</v>
      </c>
      <c r="Q3" s="3">
        <f>IFERROR(__xludf.DUMMYFUNCTION("""COMPUTED_VALUE"""),0.0)</f>
        <v>0</v>
      </c>
      <c r="R3" s="3">
        <f>IFERROR(__xludf.DUMMYFUNCTION("""COMPUTED_VALUE"""),0.0)</f>
        <v>0</v>
      </c>
      <c r="S3" s="3">
        <f>IFERROR(__xludf.DUMMYFUNCTION("""COMPUTED_VALUE"""),0.0)</f>
        <v>0</v>
      </c>
      <c r="T3" s="3">
        <f>IFERROR(__xludf.DUMMYFUNCTION("""COMPUTED_VALUE"""),0.0)</f>
        <v>0</v>
      </c>
      <c r="U3" s="3">
        <f>IFERROR(__xludf.DUMMYFUNCTION("""COMPUTED_VALUE"""),0.0)</f>
        <v>0</v>
      </c>
      <c r="V3" s="3">
        <f>IFERROR(__xludf.DUMMYFUNCTION("""COMPUTED_VALUE"""),0.0)</f>
        <v>0</v>
      </c>
      <c r="W3" s="3">
        <f>IFERROR(__xludf.DUMMYFUNCTION("""COMPUTED_VALUE"""),0.0)</f>
        <v>0</v>
      </c>
      <c r="X3" s="3">
        <f>IFERROR(__xludf.DUMMYFUNCTION("""COMPUTED_VALUE"""),0.0)</f>
        <v>0</v>
      </c>
      <c r="Y3" s="3">
        <f>IFERROR(__xludf.DUMMYFUNCTION("""COMPUTED_VALUE"""),0.0)</f>
        <v>0</v>
      </c>
      <c r="Z3" s="3">
        <f>IFERROR(__xludf.DUMMYFUNCTION("""COMPUTED_VALUE"""),0.0)</f>
        <v>0</v>
      </c>
      <c r="AA3" s="3">
        <f>IFERROR(__xludf.DUMMYFUNCTION("""COMPUTED_VALUE"""),0.0)</f>
        <v>0</v>
      </c>
      <c r="AB3" s="3">
        <f>IFERROR(__xludf.DUMMYFUNCTION("""COMPUTED_VALUE"""),0.0)</f>
        <v>0</v>
      </c>
      <c r="AC3" s="3">
        <f>IFERROR(__xludf.DUMMYFUNCTION("""COMPUTED_VALUE"""),0.0)</f>
        <v>0</v>
      </c>
      <c r="AD3" s="3">
        <f>IFERROR(__xludf.DUMMYFUNCTION("""COMPUTED_VALUE"""),0.0)</f>
        <v>0</v>
      </c>
      <c r="AE3" s="3">
        <f>IFERROR(__xludf.DUMMYFUNCTION("""COMPUTED_VALUE"""),0.0)</f>
        <v>0</v>
      </c>
      <c r="AF3" s="3">
        <f>IFERROR(__xludf.DUMMYFUNCTION("""COMPUTED_VALUE"""),0.0)</f>
        <v>0</v>
      </c>
      <c r="AG3" s="3">
        <f>IFERROR(__xludf.DUMMYFUNCTION("""COMPUTED_VALUE"""),0.0)</f>
        <v>0</v>
      </c>
      <c r="AH3" s="3">
        <f>IFERROR(__xludf.DUMMYFUNCTION("""COMPUTED_VALUE"""),0.0)</f>
        <v>0</v>
      </c>
      <c r="AI3" s="3">
        <f>IFERROR(__xludf.DUMMYFUNCTION("""COMPUTED_VALUE"""),0.0)</f>
        <v>0</v>
      </c>
      <c r="AJ3" s="3">
        <f>IFERROR(__xludf.DUMMYFUNCTION("""COMPUTED_VALUE"""),0.0)</f>
        <v>0</v>
      </c>
      <c r="AK3" s="3">
        <f>IFERROR(__xludf.DUMMYFUNCTION("""COMPUTED_VALUE"""),0.0)</f>
        <v>0</v>
      </c>
      <c r="AL3" s="3">
        <f>IFERROR(__xludf.DUMMYFUNCTION("""COMPUTED_VALUE"""),0.0)</f>
        <v>0</v>
      </c>
      <c r="AM3" s="3">
        <f>IFERROR(__xludf.DUMMYFUNCTION("""COMPUTED_VALUE"""),0.0)</f>
        <v>0</v>
      </c>
      <c r="AN3" s="3">
        <f>IFERROR(__xludf.DUMMYFUNCTION("""COMPUTED_VALUE"""),0.0)</f>
        <v>0</v>
      </c>
      <c r="AO3" s="3">
        <f>IFERROR(__xludf.DUMMYFUNCTION("""COMPUTED_VALUE"""),0.0)</f>
        <v>0</v>
      </c>
      <c r="AP3" s="3">
        <f>IFERROR(__xludf.DUMMYFUNCTION("""COMPUTED_VALUE"""),0.0)</f>
        <v>0</v>
      </c>
      <c r="AQ3" s="3">
        <f>IFERROR(__xludf.DUMMYFUNCTION("""COMPUTED_VALUE"""),0.0)</f>
        <v>0</v>
      </c>
      <c r="AR3" s="3">
        <f>IFERROR(__xludf.DUMMYFUNCTION("""COMPUTED_VALUE"""),0.0)</f>
        <v>0</v>
      </c>
      <c r="AS3" s="3">
        <f>IFERROR(__xludf.DUMMYFUNCTION("""COMPUTED_VALUE"""),0.0)</f>
        <v>0</v>
      </c>
      <c r="AT3" s="3">
        <f>IFERROR(__xludf.DUMMYFUNCTION("""COMPUTED_VALUE"""),0.0)</f>
        <v>0</v>
      </c>
      <c r="AU3" s="3">
        <f>IFERROR(__xludf.DUMMYFUNCTION("""COMPUTED_VALUE"""),0.0)</f>
        <v>0</v>
      </c>
      <c r="AV3" s="3">
        <f>IFERROR(__xludf.DUMMYFUNCTION("""COMPUTED_VALUE"""),0.0)</f>
        <v>0</v>
      </c>
      <c r="AW3" s="3">
        <f>IFERROR(__xludf.DUMMYFUNCTION("""COMPUTED_VALUE"""),0.0)</f>
        <v>0</v>
      </c>
      <c r="AX3" s="3">
        <f>IFERROR(__xludf.DUMMYFUNCTION("""COMPUTED_VALUE"""),0.0)</f>
        <v>0</v>
      </c>
      <c r="AY3" s="3">
        <f>IFERROR(__xludf.DUMMYFUNCTION("""COMPUTED_VALUE"""),0.0)</f>
        <v>0</v>
      </c>
      <c r="AZ3" s="3">
        <f>IFERROR(__xludf.DUMMYFUNCTION("""COMPUTED_VALUE"""),2.0)</f>
        <v>2</v>
      </c>
      <c r="BA3" s="3">
        <f>IFERROR(__xludf.DUMMYFUNCTION("""COMPUTED_VALUE"""),10.0)</f>
        <v>10</v>
      </c>
      <c r="BB3" s="3">
        <f>IFERROR(__xludf.DUMMYFUNCTION("""COMPUTED_VALUE"""),12.0)</f>
        <v>12</v>
      </c>
      <c r="BC3" s="3">
        <f>IFERROR(__xludf.DUMMYFUNCTION("""COMPUTED_VALUE"""),23.0)</f>
        <v>23</v>
      </c>
      <c r="BD3" s="3">
        <f>IFERROR(__xludf.DUMMYFUNCTION("""COMPUTED_VALUE"""),33.0)</f>
        <v>33</v>
      </c>
      <c r="BE3" s="3">
        <f>IFERROR(__xludf.DUMMYFUNCTION("""COMPUTED_VALUE"""),38.0)</f>
        <v>38</v>
      </c>
      <c r="BF3" s="3">
        <f>IFERROR(__xludf.DUMMYFUNCTION("""COMPUTED_VALUE"""),42.0)</f>
        <v>42</v>
      </c>
      <c r="BG3" s="3">
        <f>IFERROR(__xludf.DUMMYFUNCTION("""COMPUTED_VALUE"""),51.0)</f>
        <v>51</v>
      </c>
      <c r="BH3" s="3">
        <f>IFERROR(__xludf.DUMMYFUNCTION("""COMPUTED_VALUE"""),55.0)</f>
        <v>55</v>
      </c>
      <c r="BI3" s="3">
        <f>IFERROR(__xludf.DUMMYFUNCTION("""COMPUTED_VALUE"""),59.0)</f>
        <v>59</v>
      </c>
      <c r="BJ3" s="3">
        <f>IFERROR(__xludf.DUMMYFUNCTION("""COMPUTED_VALUE"""),64.0)</f>
        <v>64</v>
      </c>
      <c r="BK3" s="3">
        <f>IFERROR(__xludf.DUMMYFUNCTION("""COMPUTED_VALUE"""),70.0)</f>
        <v>70</v>
      </c>
      <c r="BL3" s="3">
        <f>IFERROR(__xludf.DUMMYFUNCTION("""COMPUTED_VALUE"""),76.0)</f>
        <v>76</v>
      </c>
      <c r="BM3" s="3">
        <f>IFERROR(__xludf.DUMMYFUNCTION("""COMPUTED_VALUE"""),89.0)</f>
        <v>89</v>
      </c>
      <c r="BN3" s="3">
        <f>IFERROR(__xludf.DUMMYFUNCTION("""COMPUTED_VALUE"""),104.0)</f>
        <v>104</v>
      </c>
      <c r="BO3" s="3">
        <f>IFERROR(__xludf.DUMMYFUNCTION("""COMPUTED_VALUE"""),123.0)</f>
        <v>123</v>
      </c>
      <c r="BP3" s="3">
        <f>IFERROR(__xludf.DUMMYFUNCTION("""COMPUTED_VALUE"""),146.0)</f>
        <v>146</v>
      </c>
      <c r="BQ3" s="3">
        <f>IFERROR(__xludf.DUMMYFUNCTION("""COMPUTED_VALUE"""),174.0)</f>
        <v>174</v>
      </c>
      <c r="BR3" s="3">
        <f>IFERROR(__xludf.DUMMYFUNCTION("""COMPUTED_VALUE"""),186.0)</f>
        <v>186</v>
      </c>
      <c r="BS3" s="3">
        <f>IFERROR(__xludf.DUMMYFUNCTION("""COMPUTED_VALUE"""),197.0)</f>
        <v>197</v>
      </c>
      <c r="BT3" s="3">
        <f>IFERROR(__xludf.DUMMYFUNCTION("""COMPUTED_VALUE"""),212.0)</f>
        <v>212</v>
      </c>
      <c r="BU3" s="3">
        <f>IFERROR(__xludf.DUMMYFUNCTION("""COMPUTED_VALUE"""),223.0)</f>
        <v>223</v>
      </c>
      <c r="BV3" s="3">
        <f>IFERROR(__xludf.DUMMYFUNCTION("""COMPUTED_VALUE"""),243.0)</f>
        <v>243</v>
      </c>
      <c r="BW3" s="3">
        <f>IFERROR(__xludf.DUMMYFUNCTION("""COMPUTED_VALUE"""),259.0)</f>
        <v>259</v>
      </c>
      <c r="BX3" s="3">
        <f>IFERROR(__xludf.DUMMYFUNCTION("""COMPUTED_VALUE"""),277.0)</f>
        <v>277</v>
      </c>
      <c r="BY3" s="3">
        <f>IFERROR(__xludf.DUMMYFUNCTION("""COMPUTED_VALUE"""),304.0)</f>
        <v>304</v>
      </c>
      <c r="BZ3" s="3">
        <f>IFERROR(__xludf.DUMMYFUNCTION("""COMPUTED_VALUE"""),333.0)</f>
        <v>333</v>
      </c>
      <c r="CA3" s="3">
        <f>IFERROR(__xludf.DUMMYFUNCTION("""COMPUTED_VALUE"""),361.0)</f>
        <v>361</v>
      </c>
      <c r="CB3" s="3">
        <f>IFERROR(__xludf.DUMMYFUNCTION("""COMPUTED_VALUE"""),377.0)</f>
        <v>377</v>
      </c>
    </row>
    <row r="4">
      <c r="A4" s="3" t="str">
        <f>IFERROR(__xludf.DUMMYFUNCTION("""COMPUTED_VALUE"""),"")</f>
        <v/>
      </c>
      <c r="B4" s="3" t="str">
        <f>IFERROR(__xludf.DUMMYFUNCTION("""COMPUTED_VALUE"""),"Algeria")</f>
        <v>Algeria</v>
      </c>
      <c r="C4" s="3">
        <f>IFERROR(__xludf.DUMMYFUNCTION("""COMPUTED_VALUE"""),28.0339)</f>
        <v>28.0339</v>
      </c>
      <c r="D4" s="3">
        <f>IFERROR(__xludf.DUMMYFUNCTION("""COMPUTED_VALUE"""),1.6596)</f>
        <v>1.6596</v>
      </c>
      <c r="E4" s="3">
        <f>IFERROR(__xludf.DUMMYFUNCTION("""COMPUTED_VALUE"""),0.0)</f>
        <v>0</v>
      </c>
      <c r="F4" s="3">
        <f>IFERROR(__xludf.DUMMYFUNCTION("""COMPUTED_VALUE"""),0.0)</f>
        <v>0</v>
      </c>
      <c r="G4" s="3">
        <f>IFERROR(__xludf.DUMMYFUNCTION("""COMPUTED_VALUE"""),0.0)</f>
        <v>0</v>
      </c>
      <c r="H4" s="3">
        <f>IFERROR(__xludf.DUMMYFUNCTION("""COMPUTED_VALUE"""),0.0)</f>
        <v>0</v>
      </c>
      <c r="I4" s="3">
        <f>IFERROR(__xludf.DUMMYFUNCTION("""COMPUTED_VALUE"""),0.0)</f>
        <v>0</v>
      </c>
      <c r="J4" s="3">
        <f>IFERROR(__xludf.DUMMYFUNCTION("""COMPUTED_VALUE"""),0.0)</f>
        <v>0</v>
      </c>
      <c r="K4" s="3">
        <f>IFERROR(__xludf.DUMMYFUNCTION("""COMPUTED_VALUE"""),0.0)</f>
        <v>0</v>
      </c>
      <c r="L4" s="3">
        <f>IFERROR(__xludf.DUMMYFUNCTION("""COMPUTED_VALUE"""),0.0)</f>
        <v>0</v>
      </c>
      <c r="M4" s="3">
        <f>IFERROR(__xludf.DUMMYFUNCTION("""COMPUTED_VALUE"""),0.0)</f>
        <v>0</v>
      </c>
      <c r="N4" s="3">
        <f>IFERROR(__xludf.DUMMYFUNCTION("""COMPUTED_VALUE"""),0.0)</f>
        <v>0</v>
      </c>
      <c r="O4" s="3">
        <f>IFERROR(__xludf.DUMMYFUNCTION("""COMPUTED_VALUE"""),0.0)</f>
        <v>0</v>
      </c>
      <c r="P4" s="3">
        <f>IFERROR(__xludf.DUMMYFUNCTION("""COMPUTED_VALUE"""),0.0)</f>
        <v>0</v>
      </c>
      <c r="Q4" s="3">
        <f>IFERROR(__xludf.DUMMYFUNCTION("""COMPUTED_VALUE"""),0.0)</f>
        <v>0</v>
      </c>
      <c r="R4" s="3">
        <f>IFERROR(__xludf.DUMMYFUNCTION("""COMPUTED_VALUE"""),0.0)</f>
        <v>0</v>
      </c>
      <c r="S4" s="3">
        <f>IFERROR(__xludf.DUMMYFUNCTION("""COMPUTED_VALUE"""),0.0)</f>
        <v>0</v>
      </c>
      <c r="T4" s="3">
        <f>IFERROR(__xludf.DUMMYFUNCTION("""COMPUTED_VALUE"""),0.0)</f>
        <v>0</v>
      </c>
      <c r="U4" s="3">
        <f>IFERROR(__xludf.DUMMYFUNCTION("""COMPUTED_VALUE"""),0.0)</f>
        <v>0</v>
      </c>
      <c r="V4" s="3">
        <f>IFERROR(__xludf.DUMMYFUNCTION("""COMPUTED_VALUE"""),0.0)</f>
        <v>0</v>
      </c>
      <c r="W4" s="3">
        <f>IFERROR(__xludf.DUMMYFUNCTION("""COMPUTED_VALUE"""),0.0)</f>
        <v>0</v>
      </c>
      <c r="X4" s="3">
        <f>IFERROR(__xludf.DUMMYFUNCTION("""COMPUTED_VALUE"""),0.0)</f>
        <v>0</v>
      </c>
      <c r="Y4" s="3">
        <f>IFERROR(__xludf.DUMMYFUNCTION("""COMPUTED_VALUE"""),0.0)</f>
        <v>0</v>
      </c>
      <c r="Z4" s="3">
        <f>IFERROR(__xludf.DUMMYFUNCTION("""COMPUTED_VALUE"""),0.0)</f>
        <v>0</v>
      </c>
      <c r="AA4" s="3">
        <f>IFERROR(__xludf.DUMMYFUNCTION("""COMPUTED_VALUE"""),0.0)</f>
        <v>0</v>
      </c>
      <c r="AB4" s="3">
        <f>IFERROR(__xludf.DUMMYFUNCTION("""COMPUTED_VALUE"""),0.0)</f>
        <v>0</v>
      </c>
      <c r="AC4" s="3">
        <f>IFERROR(__xludf.DUMMYFUNCTION("""COMPUTED_VALUE"""),0.0)</f>
        <v>0</v>
      </c>
      <c r="AD4" s="3">
        <f>IFERROR(__xludf.DUMMYFUNCTION("""COMPUTED_VALUE"""),0.0)</f>
        <v>0</v>
      </c>
      <c r="AE4" s="3">
        <f>IFERROR(__xludf.DUMMYFUNCTION("""COMPUTED_VALUE"""),0.0)</f>
        <v>0</v>
      </c>
      <c r="AF4" s="3">
        <f>IFERROR(__xludf.DUMMYFUNCTION("""COMPUTED_VALUE"""),0.0)</f>
        <v>0</v>
      </c>
      <c r="AG4" s="3">
        <f>IFERROR(__xludf.DUMMYFUNCTION("""COMPUTED_VALUE"""),0.0)</f>
        <v>0</v>
      </c>
      <c r="AH4" s="3">
        <f>IFERROR(__xludf.DUMMYFUNCTION("""COMPUTED_VALUE"""),0.0)</f>
        <v>0</v>
      </c>
      <c r="AI4" s="3">
        <f>IFERROR(__xludf.DUMMYFUNCTION("""COMPUTED_VALUE"""),0.0)</f>
        <v>0</v>
      </c>
      <c r="AJ4" s="3">
        <f>IFERROR(__xludf.DUMMYFUNCTION("""COMPUTED_VALUE"""),0.0)</f>
        <v>0</v>
      </c>
      <c r="AK4" s="3">
        <f>IFERROR(__xludf.DUMMYFUNCTION("""COMPUTED_VALUE"""),0.0)</f>
        <v>0</v>
      </c>
      <c r="AL4" s="3">
        <f>IFERROR(__xludf.DUMMYFUNCTION("""COMPUTED_VALUE"""),0.0)</f>
        <v>0</v>
      </c>
      <c r="AM4" s="3">
        <f>IFERROR(__xludf.DUMMYFUNCTION("""COMPUTED_VALUE"""),1.0)</f>
        <v>1</v>
      </c>
      <c r="AN4" s="3">
        <f>IFERROR(__xludf.DUMMYFUNCTION("""COMPUTED_VALUE"""),1.0)</f>
        <v>1</v>
      </c>
      <c r="AO4" s="3">
        <f>IFERROR(__xludf.DUMMYFUNCTION("""COMPUTED_VALUE"""),1.0)</f>
        <v>1</v>
      </c>
      <c r="AP4" s="3">
        <f>IFERROR(__xludf.DUMMYFUNCTION("""COMPUTED_VALUE"""),1.0)</f>
        <v>1</v>
      </c>
      <c r="AQ4" s="3">
        <f>IFERROR(__xludf.DUMMYFUNCTION("""COMPUTED_VALUE"""),1.0)</f>
        <v>1</v>
      </c>
      <c r="AR4" s="3">
        <f>IFERROR(__xludf.DUMMYFUNCTION("""COMPUTED_VALUE"""),1.0)</f>
        <v>1</v>
      </c>
      <c r="AS4" s="3">
        <f>IFERROR(__xludf.DUMMYFUNCTION("""COMPUTED_VALUE"""),3.0)</f>
        <v>3</v>
      </c>
      <c r="AT4" s="3">
        <f>IFERROR(__xludf.DUMMYFUNCTION("""COMPUTED_VALUE"""),5.0)</f>
        <v>5</v>
      </c>
      <c r="AU4" s="3">
        <f>IFERROR(__xludf.DUMMYFUNCTION("""COMPUTED_VALUE"""),12.0)</f>
        <v>12</v>
      </c>
      <c r="AV4" s="3">
        <f>IFERROR(__xludf.DUMMYFUNCTION("""COMPUTED_VALUE"""),12.0)</f>
        <v>12</v>
      </c>
      <c r="AW4" s="3">
        <f>IFERROR(__xludf.DUMMYFUNCTION("""COMPUTED_VALUE"""),17.0)</f>
        <v>17</v>
      </c>
      <c r="AX4" s="3">
        <f>IFERROR(__xludf.DUMMYFUNCTION("""COMPUTED_VALUE"""),17.0)</f>
        <v>17</v>
      </c>
      <c r="AY4" s="3">
        <f>IFERROR(__xludf.DUMMYFUNCTION("""COMPUTED_VALUE"""),19.0)</f>
        <v>19</v>
      </c>
      <c r="AZ4" s="3">
        <f>IFERROR(__xludf.DUMMYFUNCTION("""COMPUTED_VALUE"""),20.0)</f>
        <v>20</v>
      </c>
      <c r="BA4" s="3">
        <f>IFERROR(__xludf.DUMMYFUNCTION("""COMPUTED_VALUE"""),20.0)</f>
        <v>20</v>
      </c>
      <c r="BB4" s="3">
        <f>IFERROR(__xludf.DUMMYFUNCTION("""COMPUTED_VALUE"""),20.0)</f>
        <v>20</v>
      </c>
      <c r="BC4" s="3">
        <f>IFERROR(__xludf.DUMMYFUNCTION("""COMPUTED_VALUE"""),24.0)</f>
        <v>24</v>
      </c>
      <c r="BD4" s="3">
        <f>IFERROR(__xludf.DUMMYFUNCTION("""COMPUTED_VALUE"""),26.0)</f>
        <v>26</v>
      </c>
      <c r="BE4" s="3">
        <f>IFERROR(__xludf.DUMMYFUNCTION("""COMPUTED_VALUE"""),37.0)</f>
        <v>37</v>
      </c>
      <c r="BF4" s="3">
        <f>IFERROR(__xludf.DUMMYFUNCTION("""COMPUTED_VALUE"""),48.0)</f>
        <v>48</v>
      </c>
      <c r="BG4" s="3">
        <f>IFERROR(__xludf.DUMMYFUNCTION("""COMPUTED_VALUE"""),54.0)</f>
        <v>54</v>
      </c>
      <c r="BH4" s="3">
        <f>IFERROR(__xludf.DUMMYFUNCTION("""COMPUTED_VALUE"""),60.0)</f>
        <v>60</v>
      </c>
      <c r="BI4" s="3">
        <f>IFERROR(__xludf.DUMMYFUNCTION("""COMPUTED_VALUE"""),74.0)</f>
        <v>74</v>
      </c>
      <c r="BJ4" s="3">
        <f>IFERROR(__xludf.DUMMYFUNCTION("""COMPUTED_VALUE"""),87.0)</f>
        <v>87</v>
      </c>
      <c r="BK4" s="3">
        <f>IFERROR(__xludf.DUMMYFUNCTION("""COMPUTED_VALUE"""),90.0)</f>
        <v>90</v>
      </c>
      <c r="BL4" s="3">
        <f>IFERROR(__xludf.DUMMYFUNCTION("""COMPUTED_VALUE"""),139.0)</f>
        <v>139</v>
      </c>
      <c r="BM4" s="3">
        <f>IFERROR(__xludf.DUMMYFUNCTION("""COMPUTED_VALUE"""),201.0)</f>
        <v>201</v>
      </c>
      <c r="BN4" s="3">
        <f>IFERROR(__xludf.DUMMYFUNCTION("""COMPUTED_VALUE"""),230.0)</f>
        <v>230</v>
      </c>
      <c r="BO4" s="3">
        <f>IFERROR(__xludf.DUMMYFUNCTION("""COMPUTED_VALUE"""),264.0)</f>
        <v>264</v>
      </c>
      <c r="BP4" s="3">
        <f>IFERROR(__xludf.DUMMYFUNCTION("""COMPUTED_VALUE"""),302.0)</f>
        <v>302</v>
      </c>
      <c r="BQ4" s="3">
        <f>IFERROR(__xludf.DUMMYFUNCTION("""COMPUTED_VALUE"""),367.0)</f>
        <v>367</v>
      </c>
      <c r="BR4" s="3">
        <f>IFERROR(__xludf.DUMMYFUNCTION("""COMPUTED_VALUE"""),409.0)</f>
        <v>409</v>
      </c>
      <c r="BS4" s="3">
        <f>IFERROR(__xludf.DUMMYFUNCTION("""COMPUTED_VALUE"""),454.0)</f>
        <v>454</v>
      </c>
      <c r="BT4" s="3">
        <f>IFERROR(__xludf.DUMMYFUNCTION("""COMPUTED_VALUE"""),511.0)</f>
        <v>511</v>
      </c>
      <c r="BU4" s="3">
        <f>IFERROR(__xludf.DUMMYFUNCTION("""COMPUTED_VALUE"""),584.0)</f>
        <v>584</v>
      </c>
      <c r="BV4" s="3">
        <f>IFERROR(__xludf.DUMMYFUNCTION("""COMPUTED_VALUE"""),716.0)</f>
        <v>716</v>
      </c>
      <c r="BW4" s="3">
        <f>IFERROR(__xludf.DUMMYFUNCTION("""COMPUTED_VALUE"""),847.0)</f>
        <v>847</v>
      </c>
      <c r="BX4" s="3">
        <f>IFERROR(__xludf.DUMMYFUNCTION("""COMPUTED_VALUE"""),986.0)</f>
        <v>986</v>
      </c>
      <c r="BY4" s="3">
        <f>IFERROR(__xludf.DUMMYFUNCTION("""COMPUTED_VALUE"""),1171.0)</f>
        <v>1171</v>
      </c>
      <c r="BZ4" s="3">
        <f>IFERROR(__xludf.DUMMYFUNCTION("""COMPUTED_VALUE"""),1251.0)</f>
        <v>1251</v>
      </c>
      <c r="CA4" s="3">
        <f>IFERROR(__xludf.DUMMYFUNCTION("""COMPUTED_VALUE"""),1320.0)</f>
        <v>1320</v>
      </c>
      <c r="CB4" s="3">
        <f>IFERROR(__xludf.DUMMYFUNCTION("""COMPUTED_VALUE"""),1423.0)</f>
        <v>1423</v>
      </c>
    </row>
    <row r="5">
      <c r="A5" s="3" t="str">
        <f>IFERROR(__xludf.DUMMYFUNCTION("""COMPUTED_VALUE"""),"")</f>
        <v/>
      </c>
      <c r="B5" s="3" t="str">
        <f>IFERROR(__xludf.DUMMYFUNCTION("""COMPUTED_VALUE"""),"Andorra")</f>
        <v>Andorra</v>
      </c>
      <c r="C5" s="3">
        <f>IFERROR(__xludf.DUMMYFUNCTION("""COMPUTED_VALUE"""),42.5063)</f>
        <v>42.5063</v>
      </c>
      <c r="D5" s="3">
        <f>IFERROR(__xludf.DUMMYFUNCTION("""COMPUTED_VALUE"""),1.5218)</f>
        <v>1.5218</v>
      </c>
      <c r="E5" s="3">
        <f>IFERROR(__xludf.DUMMYFUNCTION("""COMPUTED_VALUE"""),0.0)</f>
        <v>0</v>
      </c>
      <c r="F5" s="3">
        <f>IFERROR(__xludf.DUMMYFUNCTION("""COMPUTED_VALUE"""),0.0)</f>
        <v>0</v>
      </c>
      <c r="G5" s="3">
        <f>IFERROR(__xludf.DUMMYFUNCTION("""COMPUTED_VALUE"""),0.0)</f>
        <v>0</v>
      </c>
      <c r="H5" s="3">
        <f>IFERROR(__xludf.DUMMYFUNCTION("""COMPUTED_VALUE"""),0.0)</f>
        <v>0</v>
      </c>
      <c r="I5" s="3">
        <f>IFERROR(__xludf.DUMMYFUNCTION("""COMPUTED_VALUE"""),0.0)</f>
        <v>0</v>
      </c>
      <c r="J5" s="3">
        <f>IFERROR(__xludf.DUMMYFUNCTION("""COMPUTED_VALUE"""),0.0)</f>
        <v>0</v>
      </c>
      <c r="K5" s="3">
        <f>IFERROR(__xludf.DUMMYFUNCTION("""COMPUTED_VALUE"""),0.0)</f>
        <v>0</v>
      </c>
      <c r="L5" s="3">
        <f>IFERROR(__xludf.DUMMYFUNCTION("""COMPUTED_VALUE"""),0.0)</f>
        <v>0</v>
      </c>
      <c r="M5" s="3">
        <f>IFERROR(__xludf.DUMMYFUNCTION("""COMPUTED_VALUE"""),0.0)</f>
        <v>0</v>
      </c>
      <c r="N5" s="3">
        <f>IFERROR(__xludf.DUMMYFUNCTION("""COMPUTED_VALUE"""),0.0)</f>
        <v>0</v>
      </c>
      <c r="O5" s="3">
        <f>IFERROR(__xludf.DUMMYFUNCTION("""COMPUTED_VALUE"""),0.0)</f>
        <v>0</v>
      </c>
      <c r="P5" s="3">
        <f>IFERROR(__xludf.DUMMYFUNCTION("""COMPUTED_VALUE"""),0.0)</f>
        <v>0</v>
      </c>
      <c r="Q5" s="3">
        <f>IFERROR(__xludf.DUMMYFUNCTION("""COMPUTED_VALUE"""),0.0)</f>
        <v>0</v>
      </c>
      <c r="R5" s="3">
        <f>IFERROR(__xludf.DUMMYFUNCTION("""COMPUTED_VALUE"""),0.0)</f>
        <v>0</v>
      </c>
      <c r="S5" s="3">
        <f>IFERROR(__xludf.DUMMYFUNCTION("""COMPUTED_VALUE"""),0.0)</f>
        <v>0</v>
      </c>
      <c r="T5" s="3">
        <f>IFERROR(__xludf.DUMMYFUNCTION("""COMPUTED_VALUE"""),0.0)</f>
        <v>0</v>
      </c>
      <c r="U5" s="3">
        <f>IFERROR(__xludf.DUMMYFUNCTION("""COMPUTED_VALUE"""),0.0)</f>
        <v>0</v>
      </c>
      <c r="V5" s="3">
        <f>IFERROR(__xludf.DUMMYFUNCTION("""COMPUTED_VALUE"""),0.0)</f>
        <v>0</v>
      </c>
      <c r="W5" s="3">
        <f>IFERROR(__xludf.DUMMYFUNCTION("""COMPUTED_VALUE"""),0.0)</f>
        <v>0</v>
      </c>
      <c r="X5" s="3">
        <f>IFERROR(__xludf.DUMMYFUNCTION("""COMPUTED_VALUE"""),0.0)</f>
        <v>0</v>
      </c>
      <c r="Y5" s="3">
        <f>IFERROR(__xludf.DUMMYFUNCTION("""COMPUTED_VALUE"""),0.0)</f>
        <v>0</v>
      </c>
      <c r="Z5" s="3">
        <f>IFERROR(__xludf.DUMMYFUNCTION("""COMPUTED_VALUE"""),0.0)</f>
        <v>0</v>
      </c>
      <c r="AA5" s="3">
        <f>IFERROR(__xludf.DUMMYFUNCTION("""COMPUTED_VALUE"""),0.0)</f>
        <v>0</v>
      </c>
      <c r="AB5" s="3">
        <f>IFERROR(__xludf.DUMMYFUNCTION("""COMPUTED_VALUE"""),0.0)</f>
        <v>0</v>
      </c>
      <c r="AC5" s="3">
        <f>IFERROR(__xludf.DUMMYFUNCTION("""COMPUTED_VALUE"""),0.0)</f>
        <v>0</v>
      </c>
      <c r="AD5" s="3">
        <f>IFERROR(__xludf.DUMMYFUNCTION("""COMPUTED_VALUE"""),0.0)</f>
        <v>0</v>
      </c>
      <c r="AE5" s="3">
        <f>IFERROR(__xludf.DUMMYFUNCTION("""COMPUTED_VALUE"""),0.0)</f>
        <v>0</v>
      </c>
      <c r="AF5" s="3">
        <f>IFERROR(__xludf.DUMMYFUNCTION("""COMPUTED_VALUE"""),0.0)</f>
        <v>0</v>
      </c>
      <c r="AG5" s="3">
        <f>IFERROR(__xludf.DUMMYFUNCTION("""COMPUTED_VALUE"""),0.0)</f>
        <v>0</v>
      </c>
      <c r="AH5" s="3">
        <f>IFERROR(__xludf.DUMMYFUNCTION("""COMPUTED_VALUE"""),0.0)</f>
        <v>0</v>
      </c>
      <c r="AI5" s="3">
        <f>IFERROR(__xludf.DUMMYFUNCTION("""COMPUTED_VALUE"""),0.0)</f>
        <v>0</v>
      </c>
      <c r="AJ5" s="3">
        <f>IFERROR(__xludf.DUMMYFUNCTION("""COMPUTED_VALUE"""),0.0)</f>
        <v>0</v>
      </c>
      <c r="AK5" s="3">
        <f>IFERROR(__xludf.DUMMYFUNCTION("""COMPUTED_VALUE"""),0.0)</f>
        <v>0</v>
      </c>
      <c r="AL5" s="3">
        <f>IFERROR(__xludf.DUMMYFUNCTION("""COMPUTED_VALUE"""),0.0)</f>
        <v>0</v>
      </c>
      <c r="AM5" s="3">
        <f>IFERROR(__xludf.DUMMYFUNCTION("""COMPUTED_VALUE"""),0.0)</f>
        <v>0</v>
      </c>
      <c r="AN5" s="3">
        <f>IFERROR(__xludf.DUMMYFUNCTION("""COMPUTED_VALUE"""),0.0)</f>
        <v>0</v>
      </c>
      <c r="AO5" s="3">
        <f>IFERROR(__xludf.DUMMYFUNCTION("""COMPUTED_VALUE"""),0.0)</f>
        <v>0</v>
      </c>
      <c r="AP5" s="3">
        <f>IFERROR(__xludf.DUMMYFUNCTION("""COMPUTED_VALUE"""),0.0)</f>
        <v>0</v>
      </c>
      <c r="AQ5" s="3">
        <f>IFERROR(__xludf.DUMMYFUNCTION("""COMPUTED_VALUE"""),0.0)</f>
        <v>0</v>
      </c>
      <c r="AR5" s="3">
        <f>IFERROR(__xludf.DUMMYFUNCTION("""COMPUTED_VALUE"""),0.0)</f>
        <v>0</v>
      </c>
      <c r="AS5" s="3">
        <f>IFERROR(__xludf.DUMMYFUNCTION("""COMPUTED_VALUE"""),1.0)</f>
        <v>1</v>
      </c>
      <c r="AT5" s="3">
        <f>IFERROR(__xludf.DUMMYFUNCTION("""COMPUTED_VALUE"""),1.0)</f>
        <v>1</v>
      </c>
      <c r="AU5" s="3">
        <f>IFERROR(__xludf.DUMMYFUNCTION("""COMPUTED_VALUE"""),1.0)</f>
        <v>1</v>
      </c>
      <c r="AV5" s="3">
        <f>IFERROR(__xludf.DUMMYFUNCTION("""COMPUTED_VALUE"""),1.0)</f>
        <v>1</v>
      </c>
      <c r="AW5" s="3">
        <f>IFERROR(__xludf.DUMMYFUNCTION("""COMPUTED_VALUE"""),1.0)</f>
        <v>1</v>
      </c>
      <c r="AX5" s="3">
        <f>IFERROR(__xludf.DUMMYFUNCTION("""COMPUTED_VALUE"""),1.0)</f>
        <v>1</v>
      </c>
      <c r="AY5" s="3">
        <f>IFERROR(__xludf.DUMMYFUNCTION("""COMPUTED_VALUE"""),1.0)</f>
        <v>1</v>
      </c>
      <c r="AZ5" s="3">
        <f>IFERROR(__xludf.DUMMYFUNCTION("""COMPUTED_VALUE"""),1.0)</f>
        <v>1</v>
      </c>
      <c r="BA5" s="3">
        <f>IFERROR(__xludf.DUMMYFUNCTION("""COMPUTED_VALUE"""),1.0)</f>
        <v>1</v>
      </c>
      <c r="BB5" s="3">
        <f>IFERROR(__xludf.DUMMYFUNCTION("""COMPUTED_VALUE"""),1.0)</f>
        <v>1</v>
      </c>
      <c r="BC5" s="3">
        <f>IFERROR(__xludf.DUMMYFUNCTION("""COMPUTED_VALUE"""),1.0)</f>
        <v>1</v>
      </c>
      <c r="BD5" s="3">
        <f>IFERROR(__xludf.DUMMYFUNCTION("""COMPUTED_VALUE"""),1.0)</f>
        <v>1</v>
      </c>
      <c r="BE5" s="3">
        <f>IFERROR(__xludf.DUMMYFUNCTION("""COMPUTED_VALUE"""),1.0)</f>
        <v>1</v>
      </c>
      <c r="BF5" s="3">
        <f>IFERROR(__xludf.DUMMYFUNCTION("""COMPUTED_VALUE"""),1.0)</f>
        <v>1</v>
      </c>
      <c r="BG5" s="3">
        <f>IFERROR(__xludf.DUMMYFUNCTION("""COMPUTED_VALUE"""),2.0)</f>
        <v>2</v>
      </c>
      <c r="BH5" s="3">
        <f>IFERROR(__xludf.DUMMYFUNCTION("""COMPUTED_VALUE"""),39.0)</f>
        <v>39</v>
      </c>
      <c r="BI5" s="3">
        <f>IFERROR(__xludf.DUMMYFUNCTION("""COMPUTED_VALUE"""),39.0)</f>
        <v>39</v>
      </c>
      <c r="BJ5" s="3">
        <f>IFERROR(__xludf.DUMMYFUNCTION("""COMPUTED_VALUE"""),53.0)</f>
        <v>53</v>
      </c>
      <c r="BK5" s="3">
        <f>IFERROR(__xludf.DUMMYFUNCTION("""COMPUTED_VALUE"""),75.0)</f>
        <v>75</v>
      </c>
      <c r="BL5" s="3">
        <f>IFERROR(__xludf.DUMMYFUNCTION("""COMPUTED_VALUE"""),88.0)</f>
        <v>88</v>
      </c>
      <c r="BM5" s="3">
        <f>IFERROR(__xludf.DUMMYFUNCTION("""COMPUTED_VALUE"""),113.0)</f>
        <v>113</v>
      </c>
      <c r="BN5" s="3">
        <f>IFERROR(__xludf.DUMMYFUNCTION("""COMPUTED_VALUE"""),133.0)</f>
        <v>133</v>
      </c>
      <c r="BO5" s="3">
        <f>IFERROR(__xludf.DUMMYFUNCTION("""COMPUTED_VALUE"""),164.0)</f>
        <v>164</v>
      </c>
      <c r="BP5" s="3">
        <f>IFERROR(__xludf.DUMMYFUNCTION("""COMPUTED_VALUE"""),188.0)</f>
        <v>188</v>
      </c>
      <c r="BQ5" s="3">
        <f>IFERROR(__xludf.DUMMYFUNCTION("""COMPUTED_VALUE"""),224.0)</f>
        <v>224</v>
      </c>
      <c r="BR5" s="3">
        <f>IFERROR(__xludf.DUMMYFUNCTION("""COMPUTED_VALUE"""),267.0)</f>
        <v>267</v>
      </c>
      <c r="BS5" s="3">
        <f>IFERROR(__xludf.DUMMYFUNCTION("""COMPUTED_VALUE"""),308.0)</f>
        <v>308</v>
      </c>
      <c r="BT5" s="3">
        <f>IFERROR(__xludf.DUMMYFUNCTION("""COMPUTED_VALUE"""),334.0)</f>
        <v>334</v>
      </c>
      <c r="BU5" s="3">
        <f>IFERROR(__xludf.DUMMYFUNCTION("""COMPUTED_VALUE"""),370.0)</f>
        <v>370</v>
      </c>
      <c r="BV5" s="3">
        <f>IFERROR(__xludf.DUMMYFUNCTION("""COMPUTED_VALUE"""),376.0)</f>
        <v>376</v>
      </c>
      <c r="BW5" s="3">
        <f>IFERROR(__xludf.DUMMYFUNCTION("""COMPUTED_VALUE"""),390.0)</f>
        <v>390</v>
      </c>
      <c r="BX5" s="3">
        <f>IFERROR(__xludf.DUMMYFUNCTION("""COMPUTED_VALUE"""),428.0)</f>
        <v>428</v>
      </c>
      <c r="BY5" s="3">
        <f>IFERROR(__xludf.DUMMYFUNCTION("""COMPUTED_VALUE"""),439.0)</f>
        <v>439</v>
      </c>
      <c r="BZ5" s="3">
        <f>IFERROR(__xludf.DUMMYFUNCTION("""COMPUTED_VALUE"""),466.0)</f>
        <v>466</v>
      </c>
      <c r="CA5" s="3">
        <f>IFERROR(__xludf.DUMMYFUNCTION("""COMPUTED_VALUE"""),501.0)</f>
        <v>501</v>
      </c>
      <c r="CB5" s="3">
        <f>IFERROR(__xludf.DUMMYFUNCTION("""COMPUTED_VALUE"""),525.0)</f>
        <v>525</v>
      </c>
    </row>
    <row r="6">
      <c r="A6" s="3" t="str">
        <f>IFERROR(__xludf.DUMMYFUNCTION("""COMPUTED_VALUE"""),"")</f>
        <v/>
      </c>
      <c r="B6" s="3" t="str">
        <f>IFERROR(__xludf.DUMMYFUNCTION("""COMPUTED_VALUE"""),"Angola")</f>
        <v>Angola</v>
      </c>
      <c r="C6" s="3">
        <f>IFERROR(__xludf.DUMMYFUNCTION("""COMPUTED_VALUE"""),-11.2027)</f>
        <v>-11.2027</v>
      </c>
      <c r="D6" s="3">
        <f>IFERROR(__xludf.DUMMYFUNCTION("""COMPUTED_VALUE"""),17.8739)</f>
        <v>17.8739</v>
      </c>
      <c r="E6" s="3">
        <f>IFERROR(__xludf.DUMMYFUNCTION("""COMPUTED_VALUE"""),0.0)</f>
        <v>0</v>
      </c>
      <c r="F6" s="3">
        <f>IFERROR(__xludf.DUMMYFUNCTION("""COMPUTED_VALUE"""),0.0)</f>
        <v>0</v>
      </c>
      <c r="G6" s="3">
        <f>IFERROR(__xludf.DUMMYFUNCTION("""COMPUTED_VALUE"""),0.0)</f>
        <v>0</v>
      </c>
      <c r="H6" s="3">
        <f>IFERROR(__xludf.DUMMYFUNCTION("""COMPUTED_VALUE"""),0.0)</f>
        <v>0</v>
      </c>
      <c r="I6" s="3">
        <f>IFERROR(__xludf.DUMMYFUNCTION("""COMPUTED_VALUE"""),0.0)</f>
        <v>0</v>
      </c>
      <c r="J6" s="3">
        <f>IFERROR(__xludf.DUMMYFUNCTION("""COMPUTED_VALUE"""),0.0)</f>
        <v>0</v>
      </c>
      <c r="K6" s="3">
        <f>IFERROR(__xludf.DUMMYFUNCTION("""COMPUTED_VALUE"""),0.0)</f>
        <v>0</v>
      </c>
      <c r="L6" s="3">
        <f>IFERROR(__xludf.DUMMYFUNCTION("""COMPUTED_VALUE"""),0.0)</f>
        <v>0</v>
      </c>
      <c r="M6" s="3">
        <f>IFERROR(__xludf.DUMMYFUNCTION("""COMPUTED_VALUE"""),0.0)</f>
        <v>0</v>
      </c>
      <c r="N6" s="3">
        <f>IFERROR(__xludf.DUMMYFUNCTION("""COMPUTED_VALUE"""),0.0)</f>
        <v>0</v>
      </c>
      <c r="O6" s="3">
        <f>IFERROR(__xludf.DUMMYFUNCTION("""COMPUTED_VALUE"""),0.0)</f>
        <v>0</v>
      </c>
      <c r="P6" s="3">
        <f>IFERROR(__xludf.DUMMYFUNCTION("""COMPUTED_VALUE"""),0.0)</f>
        <v>0</v>
      </c>
      <c r="Q6" s="3">
        <f>IFERROR(__xludf.DUMMYFUNCTION("""COMPUTED_VALUE"""),0.0)</f>
        <v>0</v>
      </c>
      <c r="R6" s="3">
        <f>IFERROR(__xludf.DUMMYFUNCTION("""COMPUTED_VALUE"""),0.0)</f>
        <v>0</v>
      </c>
      <c r="S6" s="3">
        <f>IFERROR(__xludf.DUMMYFUNCTION("""COMPUTED_VALUE"""),0.0)</f>
        <v>0</v>
      </c>
      <c r="T6" s="3">
        <f>IFERROR(__xludf.DUMMYFUNCTION("""COMPUTED_VALUE"""),0.0)</f>
        <v>0</v>
      </c>
      <c r="U6" s="3">
        <f>IFERROR(__xludf.DUMMYFUNCTION("""COMPUTED_VALUE"""),0.0)</f>
        <v>0</v>
      </c>
      <c r="V6" s="3">
        <f>IFERROR(__xludf.DUMMYFUNCTION("""COMPUTED_VALUE"""),0.0)</f>
        <v>0</v>
      </c>
      <c r="W6" s="3">
        <f>IFERROR(__xludf.DUMMYFUNCTION("""COMPUTED_VALUE"""),0.0)</f>
        <v>0</v>
      </c>
      <c r="X6" s="3">
        <f>IFERROR(__xludf.DUMMYFUNCTION("""COMPUTED_VALUE"""),0.0)</f>
        <v>0</v>
      </c>
      <c r="Y6" s="3">
        <f>IFERROR(__xludf.DUMMYFUNCTION("""COMPUTED_VALUE"""),0.0)</f>
        <v>0</v>
      </c>
      <c r="Z6" s="3">
        <f>IFERROR(__xludf.DUMMYFUNCTION("""COMPUTED_VALUE"""),0.0)</f>
        <v>0</v>
      </c>
      <c r="AA6" s="3">
        <f>IFERROR(__xludf.DUMMYFUNCTION("""COMPUTED_VALUE"""),0.0)</f>
        <v>0</v>
      </c>
      <c r="AB6" s="3">
        <f>IFERROR(__xludf.DUMMYFUNCTION("""COMPUTED_VALUE"""),0.0)</f>
        <v>0</v>
      </c>
      <c r="AC6" s="3">
        <f>IFERROR(__xludf.DUMMYFUNCTION("""COMPUTED_VALUE"""),0.0)</f>
        <v>0</v>
      </c>
      <c r="AD6" s="3">
        <f>IFERROR(__xludf.DUMMYFUNCTION("""COMPUTED_VALUE"""),0.0)</f>
        <v>0</v>
      </c>
      <c r="AE6" s="3">
        <f>IFERROR(__xludf.DUMMYFUNCTION("""COMPUTED_VALUE"""),0.0)</f>
        <v>0</v>
      </c>
      <c r="AF6" s="3">
        <f>IFERROR(__xludf.DUMMYFUNCTION("""COMPUTED_VALUE"""),0.0)</f>
        <v>0</v>
      </c>
      <c r="AG6" s="3">
        <f>IFERROR(__xludf.DUMMYFUNCTION("""COMPUTED_VALUE"""),0.0)</f>
        <v>0</v>
      </c>
      <c r="AH6" s="3">
        <f>IFERROR(__xludf.DUMMYFUNCTION("""COMPUTED_VALUE"""),0.0)</f>
        <v>0</v>
      </c>
      <c r="AI6" s="3">
        <f>IFERROR(__xludf.DUMMYFUNCTION("""COMPUTED_VALUE"""),0.0)</f>
        <v>0</v>
      </c>
      <c r="AJ6" s="3">
        <f>IFERROR(__xludf.DUMMYFUNCTION("""COMPUTED_VALUE"""),0.0)</f>
        <v>0</v>
      </c>
      <c r="AK6" s="3">
        <f>IFERROR(__xludf.DUMMYFUNCTION("""COMPUTED_VALUE"""),0.0)</f>
        <v>0</v>
      </c>
      <c r="AL6" s="3">
        <f>IFERROR(__xludf.DUMMYFUNCTION("""COMPUTED_VALUE"""),0.0)</f>
        <v>0</v>
      </c>
      <c r="AM6" s="3">
        <f>IFERROR(__xludf.DUMMYFUNCTION("""COMPUTED_VALUE"""),0.0)</f>
        <v>0</v>
      </c>
      <c r="AN6" s="3">
        <f>IFERROR(__xludf.DUMMYFUNCTION("""COMPUTED_VALUE"""),0.0)</f>
        <v>0</v>
      </c>
      <c r="AO6" s="3">
        <f>IFERROR(__xludf.DUMMYFUNCTION("""COMPUTED_VALUE"""),0.0)</f>
        <v>0</v>
      </c>
      <c r="AP6" s="3">
        <f>IFERROR(__xludf.DUMMYFUNCTION("""COMPUTED_VALUE"""),0.0)</f>
        <v>0</v>
      </c>
      <c r="AQ6" s="3">
        <f>IFERROR(__xludf.DUMMYFUNCTION("""COMPUTED_VALUE"""),0.0)</f>
        <v>0</v>
      </c>
      <c r="AR6" s="3">
        <f>IFERROR(__xludf.DUMMYFUNCTION("""COMPUTED_VALUE"""),0.0)</f>
        <v>0</v>
      </c>
      <c r="AS6" s="3">
        <f>IFERROR(__xludf.DUMMYFUNCTION("""COMPUTED_VALUE"""),0.0)</f>
        <v>0</v>
      </c>
      <c r="AT6" s="3">
        <f>IFERROR(__xludf.DUMMYFUNCTION("""COMPUTED_VALUE"""),0.0)</f>
        <v>0</v>
      </c>
      <c r="AU6" s="3">
        <f>IFERROR(__xludf.DUMMYFUNCTION("""COMPUTED_VALUE"""),0.0)</f>
        <v>0</v>
      </c>
      <c r="AV6" s="3">
        <f>IFERROR(__xludf.DUMMYFUNCTION("""COMPUTED_VALUE"""),0.0)</f>
        <v>0</v>
      </c>
      <c r="AW6" s="3">
        <f>IFERROR(__xludf.DUMMYFUNCTION("""COMPUTED_VALUE"""),0.0)</f>
        <v>0</v>
      </c>
      <c r="AX6" s="3">
        <f>IFERROR(__xludf.DUMMYFUNCTION("""COMPUTED_VALUE"""),0.0)</f>
        <v>0</v>
      </c>
      <c r="AY6" s="3">
        <f>IFERROR(__xludf.DUMMYFUNCTION("""COMPUTED_VALUE"""),0.0)</f>
        <v>0</v>
      </c>
      <c r="AZ6" s="3">
        <f>IFERROR(__xludf.DUMMYFUNCTION("""COMPUTED_VALUE"""),0.0)</f>
        <v>0</v>
      </c>
      <c r="BA6" s="3">
        <f>IFERROR(__xludf.DUMMYFUNCTION("""COMPUTED_VALUE"""),0.0)</f>
        <v>0</v>
      </c>
      <c r="BB6" s="3">
        <f>IFERROR(__xludf.DUMMYFUNCTION("""COMPUTED_VALUE"""),0.0)</f>
        <v>0</v>
      </c>
      <c r="BC6" s="3">
        <f>IFERROR(__xludf.DUMMYFUNCTION("""COMPUTED_VALUE"""),0.0)</f>
        <v>0</v>
      </c>
      <c r="BD6" s="3">
        <f>IFERROR(__xludf.DUMMYFUNCTION("""COMPUTED_VALUE"""),0.0)</f>
        <v>0</v>
      </c>
      <c r="BE6" s="3">
        <f>IFERROR(__xludf.DUMMYFUNCTION("""COMPUTED_VALUE"""),0.0)</f>
        <v>0</v>
      </c>
      <c r="BF6" s="3">
        <f>IFERROR(__xludf.DUMMYFUNCTION("""COMPUTED_VALUE"""),0.0)</f>
        <v>0</v>
      </c>
      <c r="BG6" s="3">
        <f>IFERROR(__xludf.DUMMYFUNCTION("""COMPUTED_VALUE"""),0.0)</f>
        <v>0</v>
      </c>
      <c r="BH6" s="3">
        <f>IFERROR(__xludf.DUMMYFUNCTION("""COMPUTED_VALUE"""),0.0)</f>
        <v>0</v>
      </c>
      <c r="BI6" s="3">
        <f>IFERROR(__xludf.DUMMYFUNCTION("""COMPUTED_VALUE"""),0.0)</f>
        <v>0</v>
      </c>
      <c r="BJ6" s="3">
        <f>IFERROR(__xludf.DUMMYFUNCTION("""COMPUTED_VALUE"""),0.0)</f>
        <v>0</v>
      </c>
      <c r="BK6" s="3">
        <f>IFERROR(__xludf.DUMMYFUNCTION("""COMPUTED_VALUE"""),1.0)</f>
        <v>1</v>
      </c>
      <c r="BL6" s="3">
        <f>IFERROR(__xludf.DUMMYFUNCTION("""COMPUTED_VALUE"""),2.0)</f>
        <v>2</v>
      </c>
      <c r="BM6" s="3">
        <f>IFERROR(__xludf.DUMMYFUNCTION("""COMPUTED_VALUE"""),2.0)</f>
        <v>2</v>
      </c>
      <c r="BN6" s="3">
        <f>IFERROR(__xludf.DUMMYFUNCTION("""COMPUTED_VALUE"""),3.0)</f>
        <v>3</v>
      </c>
      <c r="BO6" s="3">
        <f>IFERROR(__xludf.DUMMYFUNCTION("""COMPUTED_VALUE"""),3.0)</f>
        <v>3</v>
      </c>
      <c r="BP6" s="3">
        <f>IFERROR(__xludf.DUMMYFUNCTION("""COMPUTED_VALUE"""),3.0)</f>
        <v>3</v>
      </c>
      <c r="BQ6" s="3">
        <f>IFERROR(__xludf.DUMMYFUNCTION("""COMPUTED_VALUE"""),4.0)</f>
        <v>4</v>
      </c>
      <c r="BR6" s="3">
        <f>IFERROR(__xludf.DUMMYFUNCTION("""COMPUTED_VALUE"""),4.0)</f>
        <v>4</v>
      </c>
      <c r="BS6" s="3">
        <f>IFERROR(__xludf.DUMMYFUNCTION("""COMPUTED_VALUE"""),5.0)</f>
        <v>5</v>
      </c>
      <c r="BT6" s="3">
        <f>IFERROR(__xludf.DUMMYFUNCTION("""COMPUTED_VALUE"""),7.0)</f>
        <v>7</v>
      </c>
      <c r="BU6" s="3">
        <f>IFERROR(__xludf.DUMMYFUNCTION("""COMPUTED_VALUE"""),7.0)</f>
        <v>7</v>
      </c>
      <c r="BV6" s="3">
        <f>IFERROR(__xludf.DUMMYFUNCTION("""COMPUTED_VALUE"""),7.0)</f>
        <v>7</v>
      </c>
      <c r="BW6" s="3">
        <f>IFERROR(__xludf.DUMMYFUNCTION("""COMPUTED_VALUE"""),8.0)</f>
        <v>8</v>
      </c>
      <c r="BX6" s="3">
        <f>IFERROR(__xludf.DUMMYFUNCTION("""COMPUTED_VALUE"""),8.0)</f>
        <v>8</v>
      </c>
      <c r="BY6" s="3">
        <f>IFERROR(__xludf.DUMMYFUNCTION("""COMPUTED_VALUE"""),8.0)</f>
        <v>8</v>
      </c>
      <c r="BZ6" s="3">
        <f>IFERROR(__xludf.DUMMYFUNCTION("""COMPUTED_VALUE"""),10.0)</f>
        <v>10</v>
      </c>
      <c r="CA6" s="3">
        <f>IFERROR(__xludf.DUMMYFUNCTION("""COMPUTED_VALUE"""),14.0)</f>
        <v>14</v>
      </c>
      <c r="CB6" s="3">
        <f>IFERROR(__xludf.DUMMYFUNCTION("""COMPUTED_VALUE"""),16.0)</f>
        <v>16</v>
      </c>
    </row>
    <row r="7">
      <c r="A7" s="3" t="str">
        <f>IFERROR(__xludf.DUMMYFUNCTION("""COMPUTED_VALUE"""),"")</f>
        <v/>
      </c>
      <c r="B7" s="3" t="str">
        <f>IFERROR(__xludf.DUMMYFUNCTION("""COMPUTED_VALUE"""),"Antigua and Barbuda")</f>
        <v>Antigua and Barbuda</v>
      </c>
      <c r="C7" s="3">
        <f>IFERROR(__xludf.DUMMYFUNCTION("""COMPUTED_VALUE"""),17.0608)</f>
        <v>17.0608</v>
      </c>
      <c r="D7" s="3">
        <f>IFERROR(__xludf.DUMMYFUNCTION("""COMPUTED_VALUE"""),-61.7964)</f>
        <v>-61.7964</v>
      </c>
      <c r="E7" s="3">
        <f>IFERROR(__xludf.DUMMYFUNCTION("""COMPUTED_VALUE"""),0.0)</f>
        <v>0</v>
      </c>
      <c r="F7" s="3">
        <f>IFERROR(__xludf.DUMMYFUNCTION("""COMPUTED_VALUE"""),0.0)</f>
        <v>0</v>
      </c>
      <c r="G7" s="3">
        <f>IFERROR(__xludf.DUMMYFUNCTION("""COMPUTED_VALUE"""),0.0)</f>
        <v>0</v>
      </c>
      <c r="H7" s="3">
        <f>IFERROR(__xludf.DUMMYFUNCTION("""COMPUTED_VALUE"""),0.0)</f>
        <v>0</v>
      </c>
      <c r="I7" s="3">
        <f>IFERROR(__xludf.DUMMYFUNCTION("""COMPUTED_VALUE"""),0.0)</f>
        <v>0</v>
      </c>
      <c r="J7" s="3">
        <f>IFERROR(__xludf.DUMMYFUNCTION("""COMPUTED_VALUE"""),0.0)</f>
        <v>0</v>
      </c>
      <c r="K7" s="3">
        <f>IFERROR(__xludf.DUMMYFUNCTION("""COMPUTED_VALUE"""),0.0)</f>
        <v>0</v>
      </c>
      <c r="L7" s="3">
        <f>IFERROR(__xludf.DUMMYFUNCTION("""COMPUTED_VALUE"""),0.0)</f>
        <v>0</v>
      </c>
      <c r="M7" s="3">
        <f>IFERROR(__xludf.DUMMYFUNCTION("""COMPUTED_VALUE"""),0.0)</f>
        <v>0</v>
      </c>
      <c r="N7" s="3">
        <f>IFERROR(__xludf.DUMMYFUNCTION("""COMPUTED_VALUE"""),0.0)</f>
        <v>0</v>
      </c>
      <c r="O7" s="3">
        <f>IFERROR(__xludf.DUMMYFUNCTION("""COMPUTED_VALUE"""),0.0)</f>
        <v>0</v>
      </c>
      <c r="P7" s="3">
        <f>IFERROR(__xludf.DUMMYFUNCTION("""COMPUTED_VALUE"""),0.0)</f>
        <v>0</v>
      </c>
      <c r="Q7" s="3">
        <f>IFERROR(__xludf.DUMMYFUNCTION("""COMPUTED_VALUE"""),0.0)</f>
        <v>0</v>
      </c>
      <c r="R7" s="3">
        <f>IFERROR(__xludf.DUMMYFUNCTION("""COMPUTED_VALUE"""),0.0)</f>
        <v>0</v>
      </c>
      <c r="S7" s="3">
        <f>IFERROR(__xludf.DUMMYFUNCTION("""COMPUTED_VALUE"""),0.0)</f>
        <v>0</v>
      </c>
      <c r="T7" s="3">
        <f>IFERROR(__xludf.DUMMYFUNCTION("""COMPUTED_VALUE"""),0.0)</f>
        <v>0</v>
      </c>
      <c r="U7" s="3">
        <f>IFERROR(__xludf.DUMMYFUNCTION("""COMPUTED_VALUE"""),0.0)</f>
        <v>0</v>
      </c>
      <c r="V7" s="3">
        <f>IFERROR(__xludf.DUMMYFUNCTION("""COMPUTED_VALUE"""),0.0)</f>
        <v>0</v>
      </c>
      <c r="W7" s="3">
        <f>IFERROR(__xludf.DUMMYFUNCTION("""COMPUTED_VALUE"""),0.0)</f>
        <v>0</v>
      </c>
      <c r="X7" s="3">
        <f>IFERROR(__xludf.DUMMYFUNCTION("""COMPUTED_VALUE"""),0.0)</f>
        <v>0</v>
      </c>
      <c r="Y7" s="3">
        <f>IFERROR(__xludf.DUMMYFUNCTION("""COMPUTED_VALUE"""),0.0)</f>
        <v>0</v>
      </c>
      <c r="Z7" s="3">
        <f>IFERROR(__xludf.DUMMYFUNCTION("""COMPUTED_VALUE"""),0.0)</f>
        <v>0</v>
      </c>
      <c r="AA7" s="3">
        <f>IFERROR(__xludf.DUMMYFUNCTION("""COMPUTED_VALUE"""),0.0)</f>
        <v>0</v>
      </c>
      <c r="AB7" s="3">
        <f>IFERROR(__xludf.DUMMYFUNCTION("""COMPUTED_VALUE"""),0.0)</f>
        <v>0</v>
      </c>
      <c r="AC7" s="3">
        <f>IFERROR(__xludf.DUMMYFUNCTION("""COMPUTED_VALUE"""),0.0)</f>
        <v>0</v>
      </c>
      <c r="AD7" s="3">
        <f>IFERROR(__xludf.DUMMYFUNCTION("""COMPUTED_VALUE"""),0.0)</f>
        <v>0</v>
      </c>
      <c r="AE7" s="3">
        <f>IFERROR(__xludf.DUMMYFUNCTION("""COMPUTED_VALUE"""),0.0)</f>
        <v>0</v>
      </c>
      <c r="AF7" s="3">
        <f>IFERROR(__xludf.DUMMYFUNCTION("""COMPUTED_VALUE"""),0.0)</f>
        <v>0</v>
      </c>
      <c r="AG7" s="3">
        <f>IFERROR(__xludf.DUMMYFUNCTION("""COMPUTED_VALUE"""),0.0)</f>
        <v>0</v>
      </c>
      <c r="AH7" s="3">
        <f>IFERROR(__xludf.DUMMYFUNCTION("""COMPUTED_VALUE"""),0.0)</f>
        <v>0</v>
      </c>
      <c r="AI7" s="3">
        <f>IFERROR(__xludf.DUMMYFUNCTION("""COMPUTED_VALUE"""),0.0)</f>
        <v>0</v>
      </c>
      <c r="AJ7" s="3">
        <f>IFERROR(__xludf.DUMMYFUNCTION("""COMPUTED_VALUE"""),0.0)</f>
        <v>0</v>
      </c>
      <c r="AK7" s="3">
        <f>IFERROR(__xludf.DUMMYFUNCTION("""COMPUTED_VALUE"""),0.0)</f>
        <v>0</v>
      </c>
      <c r="AL7" s="3">
        <f>IFERROR(__xludf.DUMMYFUNCTION("""COMPUTED_VALUE"""),0.0)</f>
        <v>0</v>
      </c>
      <c r="AM7" s="3">
        <f>IFERROR(__xludf.DUMMYFUNCTION("""COMPUTED_VALUE"""),0.0)</f>
        <v>0</v>
      </c>
      <c r="AN7" s="3">
        <f>IFERROR(__xludf.DUMMYFUNCTION("""COMPUTED_VALUE"""),0.0)</f>
        <v>0</v>
      </c>
      <c r="AO7" s="3">
        <f>IFERROR(__xludf.DUMMYFUNCTION("""COMPUTED_VALUE"""),0.0)</f>
        <v>0</v>
      </c>
      <c r="AP7" s="3">
        <f>IFERROR(__xludf.DUMMYFUNCTION("""COMPUTED_VALUE"""),0.0)</f>
        <v>0</v>
      </c>
      <c r="AQ7" s="3">
        <f>IFERROR(__xludf.DUMMYFUNCTION("""COMPUTED_VALUE"""),0.0)</f>
        <v>0</v>
      </c>
      <c r="AR7" s="3">
        <f>IFERROR(__xludf.DUMMYFUNCTION("""COMPUTED_VALUE"""),0.0)</f>
        <v>0</v>
      </c>
      <c r="AS7" s="3">
        <f>IFERROR(__xludf.DUMMYFUNCTION("""COMPUTED_VALUE"""),0.0)</f>
        <v>0</v>
      </c>
      <c r="AT7" s="3">
        <f>IFERROR(__xludf.DUMMYFUNCTION("""COMPUTED_VALUE"""),0.0)</f>
        <v>0</v>
      </c>
      <c r="AU7" s="3">
        <f>IFERROR(__xludf.DUMMYFUNCTION("""COMPUTED_VALUE"""),0.0)</f>
        <v>0</v>
      </c>
      <c r="AV7" s="3">
        <f>IFERROR(__xludf.DUMMYFUNCTION("""COMPUTED_VALUE"""),0.0)</f>
        <v>0</v>
      </c>
      <c r="AW7" s="3">
        <f>IFERROR(__xludf.DUMMYFUNCTION("""COMPUTED_VALUE"""),0.0)</f>
        <v>0</v>
      </c>
      <c r="AX7" s="3">
        <f>IFERROR(__xludf.DUMMYFUNCTION("""COMPUTED_VALUE"""),0.0)</f>
        <v>0</v>
      </c>
      <c r="AY7" s="3">
        <f>IFERROR(__xludf.DUMMYFUNCTION("""COMPUTED_VALUE"""),0.0)</f>
        <v>0</v>
      </c>
      <c r="AZ7" s="3">
        <f>IFERROR(__xludf.DUMMYFUNCTION("""COMPUTED_VALUE"""),0.0)</f>
        <v>0</v>
      </c>
      <c r="BA7" s="3">
        <f>IFERROR(__xludf.DUMMYFUNCTION("""COMPUTED_VALUE"""),0.0)</f>
        <v>0</v>
      </c>
      <c r="BB7" s="3">
        <f>IFERROR(__xludf.DUMMYFUNCTION("""COMPUTED_VALUE"""),0.0)</f>
        <v>0</v>
      </c>
      <c r="BC7" s="3">
        <f>IFERROR(__xludf.DUMMYFUNCTION("""COMPUTED_VALUE"""),0.0)</f>
        <v>0</v>
      </c>
      <c r="BD7" s="3">
        <f>IFERROR(__xludf.DUMMYFUNCTION("""COMPUTED_VALUE"""),1.0)</f>
        <v>1</v>
      </c>
      <c r="BE7" s="3">
        <f>IFERROR(__xludf.DUMMYFUNCTION("""COMPUTED_VALUE"""),1.0)</f>
        <v>1</v>
      </c>
      <c r="BF7" s="3">
        <f>IFERROR(__xludf.DUMMYFUNCTION("""COMPUTED_VALUE"""),1.0)</f>
        <v>1</v>
      </c>
      <c r="BG7" s="3">
        <f>IFERROR(__xludf.DUMMYFUNCTION("""COMPUTED_VALUE"""),1.0)</f>
        <v>1</v>
      </c>
      <c r="BH7" s="3">
        <f>IFERROR(__xludf.DUMMYFUNCTION("""COMPUTED_VALUE"""),1.0)</f>
        <v>1</v>
      </c>
      <c r="BI7" s="3">
        <f>IFERROR(__xludf.DUMMYFUNCTION("""COMPUTED_VALUE"""),1.0)</f>
        <v>1</v>
      </c>
      <c r="BJ7" s="3">
        <f>IFERROR(__xludf.DUMMYFUNCTION("""COMPUTED_VALUE"""),1.0)</f>
        <v>1</v>
      </c>
      <c r="BK7" s="3">
        <f>IFERROR(__xludf.DUMMYFUNCTION("""COMPUTED_VALUE"""),1.0)</f>
        <v>1</v>
      </c>
      <c r="BL7" s="3">
        <f>IFERROR(__xludf.DUMMYFUNCTION("""COMPUTED_VALUE"""),1.0)</f>
        <v>1</v>
      </c>
      <c r="BM7" s="3">
        <f>IFERROR(__xludf.DUMMYFUNCTION("""COMPUTED_VALUE"""),1.0)</f>
        <v>1</v>
      </c>
      <c r="BN7" s="3">
        <f>IFERROR(__xludf.DUMMYFUNCTION("""COMPUTED_VALUE"""),3.0)</f>
        <v>3</v>
      </c>
      <c r="BO7" s="3">
        <f>IFERROR(__xludf.DUMMYFUNCTION("""COMPUTED_VALUE"""),3.0)</f>
        <v>3</v>
      </c>
      <c r="BP7" s="3">
        <f>IFERROR(__xludf.DUMMYFUNCTION("""COMPUTED_VALUE"""),3.0)</f>
        <v>3</v>
      </c>
      <c r="BQ7" s="3">
        <f>IFERROR(__xludf.DUMMYFUNCTION("""COMPUTED_VALUE"""),7.0)</f>
        <v>7</v>
      </c>
      <c r="BR7" s="3">
        <f>IFERROR(__xludf.DUMMYFUNCTION("""COMPUTED_VALUE"""),7.0)</f>
        <v>7</v>
      </c>
      <c r="BS7" s="3">
        <f>IFERROR(__xludf.DUMMYFUNCTION("""COMPUTED_VALUE"""),7.0)</f>
        <v>7</v>
      </c>
      <c r="BT7" s="3">
        <f>IFERROR(__xludf.DUMMYFUNCTION("""COMPUTED_VALUE"""),7.0)</f>
        <v>7</v>
      </c>
      <c r="BU7" s="3">
        <f>IFERROR(__xludf.DUMMYFUNCTION("""COMPUTED_VALUE"""),7.0)</f>
        <v>7</v>
      </c>
      <c r="BV7" s="3">
        <f>IFERROR(__xludf.DUMMYFUNCTION("""COMPUTED_VALUE"""),7.0)</f>
        <v>7</v>
      </c>
      <c r="BW7" s="3">
        <f>IFERROR(__xludf.DUMMYFUNCTION("""COMPUTED_VALUE"""),7.0)</f>
        <v>7</v>
      </c>
      <c r="BX7" s="3">
        <f>IFERROR(__xludf.DUMMYFUNCTION("""COMPUTED_VALUE"""),9.0)</f>
        <v>9</v>
      </c>
      <c r="BY7" s="3">
        <f>IFERROR(__xludf.DUMMYFUNCTION("""COMPUTED_VALUE"""),15.0)</f>
        <v>15</v>
      </c>
      <c r="BZ7" s="3">
        <f>IFERROR(__xludf.DUMMYFUNCTION("""COMPUTED_VALUE"""),15.0)</f>
        <v>15</v>
      </c>
      <c r="CA7" s="3">
        <f>IFERROR(__xludf.DUMMYFUNCTION("""COMPUTED_VALUE"""),15.0)</f>
        <v>15</v>
      </c>
      <c r="CB7" s="3">
        <f>IFERROR(__xludf.DUMMYFUNCTION("""COMPUTED_VALUE"""),15.0)</f>
        <v>15</v>
      </c>
    </row>
    <row r="8">
      <c r="A8" s="3" t="str">
        <f>IFERROR(__xludf.DUMMYFUNCTION("""COMPUTED_VALUE"""),"")</f>
        <v/>
      </c>
      <c r="B8" s="3" t="str">
        <f>IFERROR(__xludf.DUMMYFUNCTION("""COMPUTED_VALUE"""),"Argentina")</f>
        <v>Argentina</v>
      </c>
      <c r="C8" s="3">
        <f>IFERROR(__xludf.DUMMYFUNCTION("""COMPUTED_VALUE"""),-38.4161)</f>
        <v>-38.4161</v>
      </c>
      <c r="D8" s="3">
        <f>IFERROR(__xludf.DUMMYFUNCTION("""COMPUTED_VALUE"""),-63.6167)</f>
        <v>-63.6167</v>
      </c>
      <c r="E8" s="3">
        <f>IFERROR(__xludf.DUMMYFUNCTION("""COMPUTED_VALUE"""),0.0)</f>
        <v>0</v>
      </c>
      <c r="F8" s="3">
        <f>IFERROR(__xludf.DUMMYFUNCTION("""COMPUTED_VALUE"""),0.0)</f>
        <v>0</v>
      </c>
      <c r="G8" s="3">
        <f>IFERROR(__xludf.DUMMYFUNCTION("""COMPUTED_VALUE"""),0.0)</f>
        <v>0</v>
      </c>
      <c r="H8" s="3">
        <f>IFERROR(__xludf.DUMMYFUNCTION("""COMPUTED_VALUE"""),0.0)</f>
        <v>0</v>
      </c>
      <c r="I8" s="3">
        <f>IFERROR(__xludf.DUMMYFUNCTION("""COMPUTED_VALUE"""),0.0)</f>
        <v>0</v>
      </c>
      <c r="J8" s="3">
        <f>IFERROR(__xludf.DUMMYFUNCTION("""COMPUTED_VALUE"""),0.0)</f>
        <v>0</v>
      </c>
      <c r="K8" s="3">
        <f>IFERROR(__xludf.DUMMYFUNCTION("""COMPUTED_VALUE"""),0.0)</f>
        <v>0</v>
      </c>
      <c r="L8" s="3">
        <f>IFERROR(__xludf.DUMMYFUNCTION("""COMPUTED_VALUE"""),0.0)</f>
        <v>0</v>
      </c>
      <c r="M8" s="3">
        <f>IFERROR(__xludf.DUMMYFUNCTION("""COMPUTED_VALUE"""),0.0)</f>
        <v>0</v>
      </c>
      <c r="N8" s="3">
        <f>IFERROR(__xludf.DUMMYFUNCTION("""COMPUTED_VALUE"""),0.0)</f>
        <v>0</v>
      </c>
      <c r="O8" s="3">
        <f>IFERROR(__xludf.DUMMYFUNCTION("""COMPUTED_VALUE"""),0.0)</f>
        <v>0</v>
      </c>
      <c r="P8" s="3">
        <f>IFERROR(__xludf.DUMMYFUNCTION("""COMPUTED_VALUE"""),0.0)</f>
        <v>0</v>
      </c>
      <c r="Q8" s="3">
        <f>IFERROR(__xludf.DUMMYFUNCTION("""COMPUTED_VALUE"""),0.0)</f>
        <v>0</v>
      </c>
      <c r="R8" s="3">
        <f>IFERROR(__xludf.DUMMYFUNCTION("""COMPUTED_VALUE"""),0.0)</f>
        <v>0</v>
      </c>
      <c r="S8" s="3">
        <f>IFERROR(__xludf.DUMMYFUNCTION("""COMPUTED_VALUE"""),0.0)</f>
        <v>0</v>
      </c>
      <c r="T8" s="3">
        <f>IFERROR(__xludf.DUMMYFUNCTION("""COMPUTED_VALUE"""),0.0)</f>
        <v>0</v>
      </c>
      <c r="U8" s="3">
        <f>IFERROR(__xludf.DUMMYFUNCTION("""COMPUTED_VALUE"""),0.0)</f>
        <v>0</v>
      </c>
      <c r="V8" s="3">
        <f>IFERROR(__xludf.DUMMYFUNCTION("""COMPUTED_VALUE"""),0.0)</f>
        <v>0</v>
      </c>
      <c r="W8" s="3">
        <f>IFERROR(__xludf.DUMMYFUNCTION("""COMPUTED_VALUE"""),0.0)</f>
        <v>0</v>
      </c>
      <c r="X8" s="3">
        <f>IFERROR(__xludf.DUMMYFUNCTION("""COMPUTED_VALUE"""),0.0)</f>
        <v>0</v>
      </c>
      <c r="Y8" s="3">
        <f>IFERROR(__xludf.DUMMYFUNCTION("""COMPUTED_VALUE"""),0.0)</f>
        <v>0</v>
      </c>
      <c r="Z8" s="3">
        <f>IFERROR(__xludf.DUMMYFUNCTION("""COMPUTED_VALUE"""),0.0)</f>
        <v>0</v>
      </c>
      <c r="AA8" s="3">
        <f>IFERROR(__xludf.DUMMYFUNCTION("""COMPUTED_VALUE"""),0.0)</f>
        <v>0</v>
      </c>
      <c r="AB8" s="3">
        <f>IFERROR(__xludf.DUMMYFUNCTION("""COMPUTED_VALUE"""),0.0)</f>
        <v>0</v>
      </c>
      <c r="AC8" s="3">
        <f>IFERROR(__xludf.DUMMYFUNCTION("""COMPUTED_VALUE"""),0.0)</f>
        <v>0</v>
      </c>
      <c r="AD8" s="3">
        <f>IFERROR(__xludf.DUMMYFUNCTION("""COMPUTED_VALUE"""),0.0)</f>
        <v>0</v>
      </c>
      <c r="AE8" s="3">
        <f>IFERROR(__xludf.DUMMYFUNCTION("""COMPUTED_VALUE"""),0.0)</f>
        <v>0</v>
      </c>
      <c r="AF8" s="3">
        <f>IFERROR(__xludf.DUMMYFUNCTION("""COMPUTED_VALUE"""),0.0)</f>
        <v>0</v>
      </c>
      <c r="AG8" s="3">
        <f>IFERROR(__xludf.DUMMYFUNCTION("""COMPUTED_VALUE"""),0.0)</f>
        <v>0</v>
      </c>
      <c r="AH8" s="3">
        <f>IFERROR(__xludf.DUMMYFUNCTION("""COMPUTED_VALUE"""),0.0)</f>
        <v>0</v>
      </c>
      <c r="AI8" s="3">
        <f>IFERROR(__xludf.DUMMYFUNCTION("""COMPUTED_VALUE"""),0.0)</f>
        <v>0</v>
      </c>
      <c r="AJ8" s="3">
        <f>IFERROR(__xludf.DUMMYFUNCTION("""COMPUTED_VALUE"""),0.0)</f>
        <v>0</v>
      </c>
      <c r="AK8" s="3">
        <f>IFERROR(__xludf.DUMMYFUNCTION("""COMPUTED_VALUE"""),0.0)</f>
        <v>0</v>
      </c>
      <c r="AL8" s="3">
        <f>IFERROR(__xludf.DUMMYFUNCTION("""COMPUTED_VALUE"""),0.0)</f>
        <v>0</v>
      </c>
      <c r="AM8" s="3">
        <f>IFERROR(__xludf.DUMMYFUNCTION("""COMPUTED_VALUE"""),0.0)</f>
        <v>0</v>
      </c>
      <c r="AN8" s="3">
        <f>IFERROR(__xludf.DUMMYFUNCTION("""COMPUTED_VALUE"""),0.0)</f>
        <v>0</v>
      </c>
      <c r="AO8" s="3">
        <f>IFERROR(__xludf.DUMMYFUNCTION("""COMPUTED_VALUE"""),0.0)</f>
        <v>0</v>
      </c>
      <c r="AP8" s="3">
        <f>IFERROR(__xludf.DUMMYFUNCTION("""COMPUTED_VALUE"""),0.0)</f>
        <v>0</v>
      </c>
      <c r="AQ8" s="3">
        <f>IFERROR(__xludf.DUMMYFUNCTION("""COMPUTED_VALUE"""),0.0)</f>
        <v>0</v>
      </c>
      <c r="AR8" s="3">
        <f>IFERROR(__xludf.DUMMYFUNCTION("""COMPUTED_VALUE"""),0.0)</f>
        <v>0</v>
      </c>
      <c r="AS8" s="3">
        <f>IFERROR(__xludf.DUMMYFUNCTION("""COMPUTED_VALUE"""),0.0)</f>
        <v>0</v>
      </c>
      <c r="AT8" s="3">
        <f>IFERROR(__xludf.DUMMYFUNCTION("""COMPUTED_VALUE"""),1.0)</f>
        <v>1</v>
      </c>
      <c r="AU8" s="3">
        <f>IFERROR(__xludf.DUMMYFUNCTION("""COMPUTED_VALUE"""),1.0)</f>
        <v>1</v>
      </c>
      <c r="AV8" s="3">
        <f>IFERROR(__xludf.DUMMYFUNCTION("""COMPUTED_VALUE"""),1.0)</f>
        <v>1</v>
      </c>
      <c r="AW8" s="3">
        <f>IFERROR(__xludf.DUMMYFUNCTION("""COMPUTED_VALUE"""),2.0)</f>
        <v>2</v>
      </c>
      <c r="AX8" s="3">
        <f>IFERROR(__xludf.DUMMYFUNCTION("""COMPUTED_VALUE"""),8.0)</f>
        <v>8</v>
      </c>
      <c r="AY8" s="3">
        <f>IFERROR(__xludf.DUMMYFUNCTION("""COMPUTED_VALUE"""),12.0)</f>
        <v>12</v>
      </c>
      <c r="AZ8" s="3">
        <f>IFERROR(__xludf.DUMMYFUNCTION("""COMPUTED_VALUE"""),12.0)</f>
        <v>12</v>
      </c>
      <c r="BA8" s="3">
        <f>IFERROR(__xludf.DUMMYFUNCTION("""COMPUTED_VALUE"""),17.0)</f>
        <v>17</v>
      </c>
      <c r="BB8" s="3">
        <f>IFERROR(__xludf.DUMMYFUNCTION("""COMPUTED_VALUE"""),19.0)</f>
        <v>19</v>
      </c>
      <c r="BC8" s="3">
        <f>IFERROR(__xludf.DUMMYFUNCTION("""COMPUTED_VALUE"""),19.0)</f>
        <v>19</v>
      </c>
      <c r="BD8" s="3">
        <f>IFERROR(__xludf.DUMMYFUNCTION("""COMPUTED_VALUE"""),31.0)</f>
        <v>31</v>
      </c>
      <c r="BE8" s="3">
        <f>IFERROR(__xludf.DUMMYFUNCTION("""COMPUTED_VALUE"""),34.0)</f>
        <v>34</v>
      </c>
      <c r="BF8" s="3">
        <f>IFERROR(__xludf.DUMMYFUNCTION("""COMPUTED_VALUE"""),45.0)</f>
        <v>45</v>
      </c>
      <c r="BG8" s="3">
        <f>IFERROR(__xludf.DUMMYFUNCTION("""COMPUTED_VALUE"""),56.0)</f>
        <v>56</v>
      </c>
      <c r="BH8" s="3">
        <f>IFERROR(__xludf.DUMMYFUNCTION("""COMPUTED_VALUE"""),68.0)</f>
        <v>68</v>
      </c>
      <c r="BI8" s="3">
        <f>IFERROR(__xludf.DUMMYFUNCTION("""COMPUTED_VALUE"""),79.0)</f>
        <v>79</v>
      </c>
      <c r="BJ8" s="3">
        <f>IFERROR(__xludf.DUMMYFUNCTION("""COMPUTED_VALUE"""),97.0)</f>
        <v>97</v>
      </c>
      <c r="BK8" s="3">
        <f>IFERROR(__xludf.DUMMYFUNCTION("""COMPUTED_VALUE"""),128.0)</f>
        <v>128</v>
      </c>
      <c r="BL8" s="3">
        <f>IFERROR(__xludf.DUMMYFUNCTION("""COMPUTED_VALUE"""),158.0)</f>
        <v>158</v>
      </c>
      <c r="BM8" s="3">
        <f>IFERROR(__xludf.DUMMYFUNCTION("""COMPUTED_VALUE"""),266.0)</f>
        <v>266</v>
      </c>
      <c r="BN8" s="3">
        <f>IFERROR(__xludf.DUMMYFUNCTION("""COMPUTED_VALUE"""),301.0)</f>
        <v>301</v>
      </c>
      <c r="BO8" s="3">
        <f>IFERROR(__xludf.DUMMYFUNCTION("""COMPUTED_VALUE"""),387.0)</f>
        <v>387</v>
      </c>
      <c r="BP8" s="3">
        <f>IFERROR(__xludf.DUMMYFUNCTION("""COMPUTED_VALUE"""),387.0)</f>
        <v>387</v>
      </c>
      <c r="BQ8" s="3">
        <f>IFERROR(__xludf.DUMMYFUNCTION("""COMPUTED_VALUE"""),502.0)</f>
        <v>502</v>
      </c>
      <c r="BR8" s="3">
        <f>IFERROR(__xludf.DUMMYFUNCTION("""COMPUTED_VALUE"""),589.0)</f>
        <v>589</v>
      </c>
      <c r="BS8" s="3">
        <f>IFERROR(__xludf.DUMMYFUNCTION("""COMPUTED_VALUE"""),690.0)</f>
        <v>690</v>
      </c>
      <c r="BT8" s="3">
        <f>IFERROR(__xludf.DUMMYFUNCTION("""COMPUTED_VALUE"""),745.0)</f>
        <v>745</v>
      </c>
      <c r="BU8" s="3">
        <f>IFERROR(__xludf.DUMMYFUNCTION("""COMPUTED_VALUE"""),820.0)</f>
        <v>820</v>
      </c>
      <c r="BV8" s="3">
        <f>IFERROR(__xludf.DUMMYFUNCTION("""COMPUTED_VALUE"""),1054.0)</f>
        <v>1054</v>
      </c>
      <c r="BW8" s="3">
        <f>IFERROR(__xludf.DUMMYFUNCTION("""COMPUTED_VALUE"""),1054.0)</f>
        <v>1054</v>
      </c>
      <c r="BX8" s="3">
        <f>IFERROR(__xludf.DUMMYFUNCTION("""COMPUTED_VALUE"""),1133.0)</f>
        <v>1133</v>
      </c>
      <c r="BY8" s="3">
        <f>IFERROR(__xludf.DUMMYFUNCTION("""COMPUTED_VALUE"""),1265.0)</f>
        <v>1265</v>
      </c>
      <c r="BZ8" s="3">
        <f>IFERROR(__xludf.DUMMYFUNCTION("""COMPUTED_VALUE"""),1451.0)</f>
        <v>1451</v>
      </c>
      <c r="CA8" s="3">
        <f>IFERROR(__xludf.DUMMYFUNCTION("""COMPUTED_VALUE"""),1451.0)</f>
        <v>1451</v>
      </c>
      <c r="CB8" s="3">
        <f>IFERROR(__xludf.DUMMYFUNCTION("""COMPUTED_VALUE"""),1554.0)</f>
        <v>1554</v>
      </c>
    </row>
    <row r="9">
      <c r="A9" s="3" t="str">
        <f>IFERROR(__xludf.DUMMYFUNCTION("""COMPUTED_VALUE"""),"")</f>
        <v/>
      </c>
      <c r="B9" s="3" t="str">
        <f>IFERROR(__xludf.DUMMYFUNCTION("""COMPUTED_VALUE"""),"Armenia")</f>
        <v>Armenia</v>
      </c>
      <c r="C9" s="3">
        <f>IFERROR(__xludf.DUMMYFUNCTION("""COMPUTED_VALUE"""),40.0691)</f>
        <v>40.0691</v>
      </c>
      <c r="D9" s="3">
        <f>IFERROR(__xludf.DUMMYFUNCTION("""COMPUTED_VALUE"""),45.0382)</f>
        <v>45.0382</v>
      </c>
      <c r="E9" s="3">
        <f>IFERROR(__xludf.DUMMYFUNCTION("""COMPUTED_VALUE"""),0.0)</f>
        <v>0</v>
      </c>
      <c r="F9" s="3">
        <f>IFERROR(__xludf.DUMMYFUNCTION("""COMPUTED_VALUE"""),0.0)</f>
        <v>0</v>
      </c>
      <c r="G9" s="3">
        <f>IFERROR(__xludf.DUMMYFUNCTION("""COMPUTED_VALUE"""),0.0)</f>
        <v>0</v>
      </c>
      <c r="H9" s="3">
        <f>IFERROR(__xludf.DUMMYFUNCTION("""COMPUTED_VALUE"""),0.0)</f>
        <v>0</v>
      </c>
      <c r="I9" s="3">
        <f>IFERROR(__xludf.DUMMYFUNCTION("""COMPUTED_VALUE"""),0.0)</f>
        <v>0</v>
      </c>
      <c r="J9" s="3">
        <f>IFERROR(__xludf.DUMMYFUNCTION("""COMPUTED_VALUE"""),0.0)</f>
        <v>0</v>
      </c>
      <c r="K9" s="3">
        <f>IFERROR(__xludf.DUMMYFUNCTION("""COMPUTED_VALUE"""),0.0)</f>
        <v>0</v>
      </c>
      <c r="L9" s="3">
        <f>IFERROR(__xludf.DUMMYFUNCTION("""COMPUTED_VALUE"""),0.0)</f>
        <v>0</v>
      </c>
      <c r="M9" s="3">
        <f>IFERROR(__xludf.DUMMYFUNCTION("""COMPUTED_VALUE"""),0.0)</f>
        <v>0</v>
      </c>
      <c r="N9" s="3">
        <f>IFERROR(__xludf.DUMMYFUNCTION("""COMPUTED_VALUE"""),0.0)</f>
        <v>0</v>
      </c>
      <c r="O9" s="3">
        <f>IFERROR(__xludf.DUMMYFUNCTION("""COMPUTED_VALUE"""),0.0)</f>
        <v>0</v>
      </c>
      <c r="P9" s="3">
        <f>IFERROR(__xludf.DUMMYFUNCTION("""COMPUTED_VALUE"""),0.0)</f>
        <v>0</v>
      </c>
      <c r="Q9" s="3">
        <f>IFERROR(__xludf.DUMMYFUNCTION("""COMPUTED_VALUE"""),0.0)</f>
        <v>0</v>
      </c>
      <c r="R9" s="3">
        <f>IFERROR(__xludf.DUMMYFUNCTION("""COMPUTED_VALUE"""),0.0)</f>
        <v>0</v>
      </c>
      <c r="S9" s="3">
        <f>IFERROR(__xludf.DUMMYFUNCTION("""COMPUTED_VALUE"""),0.0)</f>
        <v>0</v>
      </c>
      <c r="T9" s="3">
        <f>IFERROR(__xludf.DUMMYFUNCTION("""COMPUTED_VALUE"""),0.0)</f>
        <v>0</v>
      </c>
      <c r="U9" s="3">
        <f>IFERROR(__xludf.DUMMYFUNCTION("""COMPUTED_VALUE"""),0.0)</f>
        <v>0</v>
      </c>
      <c r="V9" s="3">
        <f>IFERROR(__xludf.DUMMYFUNCTION("""COMPUTED_VALUE"""),0.0)</f>
        <v>0</v>
      </c>
      <c r="W9" s="3">
        <f>IFERROR(__xludf.DUMMYFUNCTION("""COMPUTED_VALUE"""),0.0)</f>
        <v>0</v>
      </c>
      <c r="X9" s="3">
        <f>IFERROR(__xludf.DUMMYFUNCTION("""COMPUTED_VALUE"""),0.0)</f>
        <v>0</v>
      </c>
      <c r="Y9" s="3">
        <f>IFERROR(__xludf.DUMMYFUNCTION("""COMPUTED_VALUE"""),0.0)</f>
        <v>0</v>
      </c>
      <c r="Z9" s="3">
        <f>IFERROR(__xludf.DUMMYFUNCTION("""COMPUTED_VALUE"""),0.0)</f>
        <v>0</v>
      </c>
      <c r="AA9" s="3">
        <f>IFERROR(__xludf.DUMMYFUNCTION("""COMPUTED_VALUE"""),0.0)</f>
        <v>0</v>
      </c>
      <c r="AB9" s="3">
        <f>IFERROR(__xludf.DUMMYFUNCTION("""COMPUTED_VALUE"""),0.0)</f>
        <v>0</v>
      </c>
      <c r="AC9" s="3">
        <f>IFERROR(__xludf.DUMMYFUNCTION("""COMPUTED_VALUE"""),0.0)</f>
        <v>0</v>
      </c>
      <c r="AD9" s="3">
        <f>IFERROR(__xludf.DUMMYFUNCTION("""COMPUTED_VALUE"""),0.0)</f>
        <v>0</v>
      </c>
      <c r="AE9" s="3">
        <f>IFERROR(__xludf.DUMMYFUNCTION("""COMPUTED_VALUE"""),0.0)</f>
        <v>0</v>
      </c>
      <c r="AF9" s="3">
        <f>IFERROR(__xludf.DUMMYFUNCTION("""COMPUTED_VALUE"""),0.0)</f>
        <v>0</v>
      </c>
      <c r="AG9" s="3">
        <f>IFERROR(__xludf.DUMMYFUNCTION("""COMPUTED_VALUE"""),0.0)</f>
        <v>0</v>
      </c>
      <c r="AH9" s="3">
        <f>IFERROR(__xludf.DUMMYFUNCTION("""COMPUTED_VALUE"""),0.0)</f>
        <v>0</v>
      </c>
      <c r="AI9" s="3">
        <f>IFERROR(__xludf.DUMMYFUNCTION("""COMPUTED_VALUE"""),0.0)</f>
        <v>0</v>
      </c>
      <c r="AJ9" s="3">
        <f>IFERROR(__xludf.DUMMYFUNCTION("""COMPUTED_VALUE"""),0.0)</f>
        <v>0</v>
      </c>
      <c r="AK9" s="3">
        <f>IFERROR(__xludf.DUMMYFUNCTION("""COMPUTED_VALUE"""),0.0)</f>
        <v>0</v>
      </c>
      <c r="AL9" s="3">
        <f>IFERROR(__xludf.DUMMYFUNCTION("""COMPUTED_VALUE"""),0.0)</f>
        <v>0</v>
      </c>
      <c r="AM9" s="3">
        <f>IFERROR(__xludf.DUMMYFUNCTION("""COMPUTED_VALUE"""),0.0)</f>
        <v>0</v>
      </c>
      <c r="AN9" s="3">
        <f>IFERROR(__xludf.DUMMYFUNCTION("""COMPUTED_VALUE"""),0.0)</f>
        <v>0</v>
      </c>
      <c r="AO9" s="3">
        <f>IFERROR(__xludf.DUMMYFUNCTION("""COMPUTED_VALUE"""),0.0)</f>
        <v>0</v>
      </c>
      <c r="AP9" s="3">
        <f>IFERROR(__xludf.DUMMYFUNCTION("""COMPUTED_VALUE"""),0.0)</f>
        <v>0</v>
      </c>
      <c r="AQ9" s="3">
        <f>IFERROR(__xludf.DUMMYFUNCTION("""COMPUTED_VALUE"""),0.0)</f>
        <v>0</v>
      </c>
      <c r="AR9" s="3">
        <f>IFERROR(__xludf.DUMMYFUNCTION("""COMPUTED_VALUE"""),1.0)</f>
        <v>1</v>
      </c>
      <c r="AS9" s="3">
        <f>IFERROR(__xludf.DUMMYFUNCTION("""COMPUTED_VALUE"""),1.0)</f>
        <v>1</v>
      </c>
      <c r="AT9" s="3">
        <f>IFERROR(__xludf.DUMMYFUNCTION("""COMPUTED_VALUE"""),1.0)</f>
        <v>1</v>
      </c>
      <c r="AU9" s="3">
        <f>IFERROR(__xludf.DUMMYFUNCTION("""COMPUTED_VALUE"""),1.0)</f>
        <v>1</v>
      </c>
      <c r="AV9" s="3">
        <f>IFERROR(__xludf.DUMMYFUNCTION("""COMPUTED_VALUE"""),1.0)</f>
        <v>1</v>
      </c>
      <c r="AW9" s="3">
        <f>IFERROR(__xludf.DUMMYFUNCTION("""COMPUTED_VALUE"""),1.0)</f>
        <v>1</v>
      </c>
      <c r="AX9" s="3">
        <f>IFERROR(__xludf.DUMMYFUNCTION("""COMPUTED_VALUE"""),1.0)</f>
        <v>1</v>
      </c>
      <c r="AY9" s="3">
        <f>IFERROR(__xludf.DUMMYFUNCTION("""COMPUTED_VALUE"""),1.0)</f>
        <v>1</v>
      </c>
      <c r="AZ9" s="3">
        <f>IFERROR(__xludf.DUMMYFUNCTION("""COMPUTED_VALUE"""),1.0)</f>
        <v>1</v>
      </c>
      <c r="BA9" s="3">
        <f>IFERROR(__xludf.DUMMYFUNCTION("""COMPUTED_VALUE"""),1.0)</f>
        <v>1</v>
      </c>
      <c r="BB9" s="3">
        <f>IFERROR(__xludf.DUMMYFUNCTION("""COMPUTED_VALUE"""),1.0)</f>
        <v>1</v>
      </c>
      <c r="BC9" s="3">
        <f>IFERROR(__xludf.DUMMYFUNCTION("""COMPUTED_VALUE"""),4.0)</f>
        <v>4</v>
      </c>
      <c r="BD9" s="3">
        <f>IFERROR(__xludf.DUMMYFUNCTION("""COMPUTED_VALUE"""),8.0)</f>
        <v>8</v>
      </c>
      <c r="BE9" s="3">
        <f>IFERROR(__xludf.DUMMYFUNCTION("""COMPUTED_VALUE"""),18.0)</f>
        <v>18</v>
      </c>
      <c r="BF9" s="3">
        <f>IFERROR(__xludf.DUMMYFUNCTION("""COMPUTED_VALUE"""),26.0)</f>
        <v>26</v>
      </c>
      <c r="BG9" s="3">
        <f>IFERROR(__xludf.DUMMYFUNCTION("""COMPUTED_VALUE"""),52.0)</f>
        <v>52</v>
      </c>
      <c r="BH9" s="3">
        <f>IFERROR(__xludf.DUMMYFUNCTION("""COMPUTED_VALUE"""),78.0)</f>
        <v>78</v>
      </c>
      <c r="BI9" s="3">
        <f>IFERROR(__xludf.DUMMYFUNCTION("""COMPUTED_VALUE"""),84.0)</f>
        <v>84</v>
      </c>
      <c r="BJ9" s="3">
        <f>IFERROR(__xludf.DUMMYFUNCTION("""COMPUTED_VALUE"""),115.0)</f>
        <v>115</v>
      </c>
      <c r="BK9" s="3">
        <f>IFERROR(__xludf.DUMMYFUNCTION("""COMPUTED_VALUE"""),136.0)</f>
        <v>136</v>
      </c>
      <c r="BL9" s="3">
        <f>IFERROR(__xludf.DUMMYFUNCTION("""COMPUTED_VALUE"""),160.0)</f>
        <v>160</v>
      </c>
      <c r="BM9" s="3">
        <f>IFERROR(__xludf.DUMMYFUNCTION("""COMPUTED_VALUE"""),194.0)</f>
        <v>194</v>
      </c>
      <c r="BN9" s="3">
        <f>IFERROR(__xludf.DUMMYFUNCTION("""COMPUTED_VALUE"""),235.0)</f>
        <v>235</v>
      </c>
      <c r="BO9" s="3">
        <f>IFERROR(__xludf.DUMMYFUNCTION("""COMPUTED_VALUE"""),249.0)</f>
        <v>249</v>
      </c>
      <c r="BP9" s="3">
        <f>IFERROR(__xludf.DUMMYFUNCTION("""COMPUTED_VALUE"""),265.0)</f>
        <v>265</v>
      </c>
      <c r="BQ9" s="3">
        <f>IFERROR(__xludf.DUMMYFUNCTION("""COMPUTED_VALUE"""),290.0)</f>
        <v>290</v>
      </c>
      <c r="BR9" s="3">
        <f>IFERROR(__xludf.DUMMYFUNCTION("""COMPUTED_VALUE"""),329.0)</f>
        <v>329</v>
      </c>
      <c r="BS9" s="3">
        <f>IFERROR(__xludf.DUMMYFUNCTION("""COMPUTED_VALUE"""),407.0)</f>
        <v>407</v>
      </c>
      <c r="BT9" s="3">
        <f>IFERROR(__xludf.DUMMYFUNCTION("""COMPUTED_VALUE"""),424.0)</f>
        <v>424</v>
      </c>
      <c r="BU9" s="3">
        <f>IFERROR(__xludf.DUMMYFUNCTION("""COMPUTED_VALUE"""),482.0)</f>
        <v>482</v>
      </c>
      <c r="BV9" s="3">
        <f>IFERROR(__xludf.DUMMYFUNCTION("""COMPUTED_VALUE"""),532.0)</f>
        <v>532</v>
      </c>
      <c r="BW9" s="3">
        <f>IFERROR(__xludf.DUMMYFUNCTION("""COMPUTED_VALUE"""),571.0)</f>
        <v>571</v>
      </c>
      <c r="BX9" s="3">
        <f>IFERROR(__xludf.DUMMYFUNCTION("""COMPUTED_VALUE"""),663.0)</f>
        <v>663</v>
      </c>
      <c r="BY9" s="3">
        <f>IFERROR(__xludf.DUMMYFUNCTION("""COMPUTED_VALUE"""),736.0)</f>
        <v>736</v>
      </c>
      <c r="BZ9" s="3">
        <f>IFERROR(__xludf.DUMMYFUNCTION("""COMPUTED_VALUE"""),770.0)</f>
        <v>770</v>
      </c>
      <c r="CA9" s="3">
        <f>IFERROR(__xludf.DUMMYFUNCTION("""COMPUTED_VALUE"""),822.0)</f>
        <v>822</v>
      </c>
      <c r="CB9" s="3">
        <f>IFERROR(__xludf.DUMMYFUNCTION("""COMPUTED_VALUE"""),833.0)</f>
        <v>833</v>
      </c>
    </row>
    <row r="10">
      <c r="A10" s="3" t="str">
        <f>IFERROR(__xludf.DUMMYFUNCTION("""COMPUTED_VALUE"""),"Australian Capital Territory")</f>
        <v>Australian Capital Territory</v>
      </c>
      <c r="B10" s="3" t="str">
        <f>IFERROR(__xludf.DUMMYFUNCTION("""COMPUTED_VALUE"""),"Australia")</f>
        <v>Australia</v>
      </c>
      <c r="C10" s="3">
        <f>IFERROR(__xludf.DUMMYFUNCTION("""COMPUTED_VALUE"""),-35.4735)</f>
        <v>-35.4735</v>
      </c>
      <c r="D10" s="3">
        <f>IFERROR(__xludf.DUMMYFUNCTION("""COMPUTED_VALUE"""),149.0124)</f>
        <v>149.0124</v>
      </c>
      <c r="E10" s="3">
        <f>IFERROR(__xludf.DUMMYFUNCTION("""COMPUTED_VALUE"""),0.0)</f>
        <v>0</v>
      </c>
      <c r="F10" s="3">
        <f>IFERROR(__xludf.DUMMYFUNCTION("""COMPUTED_VALUE"""),0.0)</f>
        <v>0</v>
      </c>
      <c r="G10" s="3">
        <f>IFERROR(__xludf.DUMMYFUNCTION("""COMPUTED_VALUE"""),0.0)</f>
        <v>0</v>
      </c>
      <c r="H10" s="3">
        <f>IFERROR(__xludf.DUMMYFUNCTION("""COMPUTED_VALUE"""),0.0)</f>
        <v>0</v>
      </c>
      <c r="I10" s="3">
        <f>IFERROR(__xludf.DUMMYFUNCTION("""COMPUTED_VALUE"""),0.0)</f>
        <v>0</v>
      </c>
      <c r="J10" s="3">
        <f>IFERROR(__xludf.DUMMYFUNCTION("""COMPUTED_VALUE"""),0.0)</f>
        <v>0</v>
      </c>
      <c r="K10" s="3">
        <f>IFERROR(__xludf.DUMMYFUNCTION("""COMPUTED_VALUE"""),0.0)</f>
        <v>0</v>
      </c>
      <c r="L10" s="3">
        <f>IFERROR(__xludf.DUMMYFUNCTION("""COMPUTED_VALUE"""),0.0)</f>
        <v>0</v>
      </c>
      <c r="M10" s="3">
        <f>IFERROR(__xludf.DUMMYFUNCTION("""COMPUTED_VALUE"""),0.0)</f>
        <v>0</v>
      </c>
      <c r="N10" s="3">
        <f>IFERROR(__xludf.DUMMYFUNCTION("""COMPUTED_VALUE"""),0.0)</f>
        <v>0</v>
      </c>
      <c r="O10" s="3">
        <f>IFERROR(__xludf.DUMMYFUNCTION("""COMPUTED_VALUE"""),0.0)</f>
        <v>0</v>
      </c>
      <c r="P10" s="3">
        <f>IFERROR(__xludf.DUMMYFUNCTION("""COMPUTED_VALUE"""),0.0)</f>
        <v>0</v>
      </c>
      <c r="Q10" s="3">
        <f>IFERROR(__xludf.DUMMYFUNCTION("""COMPUTED_VALUE"""),0.0)</f>
        <v>0</v>
      </c>
      <c r="R10" s="3">
        <f>IFERROR(__xludf.DUMMYFUNCTION("""COMPUTED_VALUE"""),0.0)</f>
        <v>0</v>
      </c>
      <c r="S10" s="3">
        <f>IFERROR(__xludf.DUMMYFUNCTION("""COMPUTED_VALUE"""),0.0)</f>
        <v>0</v>
      </c>
      <c r="T10" s="3">
        <f>IFERROR(__xludf.DUMMYFUNCTION("""COMPUTED_VALUE"""),0.0)</f>
        <v>0</v>
      </c>
      <c r="U10" s="3">
        <f>IFERROR(__xludf.DUMMYFUNCTION("""COMPUTED_VALUE"""),0.0)</f>
        <v>0</v>
      </c>
      <c r="V10" s="3">
        <f>IFERROR(__xludf.DUMMYFUNCTION("""COMPUTED_VALUE"""),0.0)</f>
        <v>0</v>
      </c>
      <c r="W10" s="3">
        <f>IFERROR(__xludf.DUMMYFUNCTION("""COMPUTED_VALUE"""),0.0)</f>
        <v>0</v>
      </c>
      <c r="X10" s="3">
        <f>IFERROR(__xludf.DUMMYFUNCTION("""COMPUTED_VALUE"""),0.0)</f>
        <v>0</v>
      </c>
      <c r="Y10" s="3">
        <f>IFERROR(__xludf.DUMMYFUNCTION("""COMPUTED_VALUE"""),0.0)</f>
        <v>0</v>
      </c>
      <c r="Z10" s="3">
        <f>IFERROR(__xludf.DUMMYFUNCTION("""COMPUTED_VALUE"""),0.0)</f>
        <v>0</v>
      </c>
      <c r="AA10" s="3">
        <f>IFERROR(__xludf.DUMMYFUNCTION("""COMPUTED_VALUE"""),0.0)</f>
        <v>0</v>
      </c>
      <c r="AB10" s="3">
        <f>IFERROR(__xludf.DUMMYFUNCTION("""COMPUTED_VALUE"""),0.0)</f>
        <v>0</v>
      </c>
      <c r="AC10" s="3">
        <f>IFERROR(__xludf.DUMMYFUNCTION("""COMPUTED_VALUE"""),0.0)</f>
        <v>0</v>
      </c>
      <c r="AD10" s="3">
        <f>IFERROR(__xludf.DUMMYFUNCTION("""COMPUTED_VALUE"""),0.0)</f>
        <v>0</v>
      </c>
      <c r="AE10" s="3">
        <f>IFERROR(__xludf.DUMMYFUNCTION("""COMPUTED_VALUE"""),0.0)</f>
        <v>0</v>
      </c>
      <c r="AF10" s="3">
        <f>IFERROR(__xludf.DUMMYFUNCTION("""COMPUTED_VALUE"""),0.0)</f>
        <v>0</v>
      </c>
      <c r="AG10" s="3">
        <f>IFERROR(__xludf.DUMMYFUNCTION("""COMPUTED_VALUE"""),0.0)</f>
        <v>0</v>
      </c>
      <c r="AH10" s="3">
        <f>IFERROR(__xludf.DUMMYFUNCTION("""COMPUTED_VALUE"""),0.0)</f>
        <v>0</v>
      </c>
      <c r="AI10" s="3">
        <f>IFERROR(__xludf.DUMMYFUNCTION("""COMPUTED_VALUE"""),0.0)</f>
        <v>0</v>
      </c>
      <c r="AJ10" s="3">
        <f>IFERROR(__xludf.DUMMYFUNCTION("""COMPUTED_VALUE"""),0.0)</f>
        <v>0</v>
      </c>
      <c r="AK10" s="3">
        <f>IFERROR(__xludf.DUMMYFUNCTION("""COMPUTED_VALUE"""),0.0)</f>
        <v>0</v>
      </c>
      <c r="AL10" s="3">
        <f>IFERROR(__xludf.DUMMYFUNCTION("""COMPUTED_VALUE"""),0.0)</f>
        <v>0</v>
      </c>
      <c r="AM10" s="3">
        <f>IFERROR(__xludf.DUMMYFUNCTION("""COMPUTED_VALUE"""),0.0)</f>
        <v>0</v>
      </c>
      <c r="AN10" s="3">
        <f>IFERROR(__xludf.DUMMYFUNCTION("""COMPUTED_VALUE"""),0.0)</f>
        <v>0</v>
      </c>
      <c r="AO10" s="3">
        <f>IFERROR(__xludf.DUMMYFUNCTION("""COMPUTED_VALUE"""),0.0)</f>
        <v>0</v>
      </c>
      <c r="AP10" s="3">
        <f>IFERROR(__xludf.DUMMYFUNCTION("""COMPUTED_VALUE"""),0.0)</f>
        <v>0</v>
      </c>
      <c r="AQ10" s="3">
        <f>IFERROR(__xludf.DUMMYFUNCTION("""COMPUTED_VALUE"""),0.0)</f>
        <v>0</v>
      </c>
      <c r="AR10" s="3">
        <f>IFERROR(__xludf.DUMMYFUNCTION("""COMPUTED_VALUE"""),0.0)</f>
        <v>0</v>
      </c>
      <c r="AS10" s="3">
        <f>IFERROR(__xludf.DUMMYFUNCTION("""COMPUTED_VALUE"""),0.0)</f>
        <v>0</v>
      </c>
      <c r="AT10" s="3">
        <f>IFERROR(__xludf.DUMMYFUNCTION("""COMPUTED_VALUE"""),0.0)</f>
        <v>0</v>
      </c>
      <c r="AU10" s="3">
        <f>IFERROR(__xludf.DUMMYFUNCTION("""COMPUTED_VALUE"""),0.0)</f>
        <v>0</v>
      </c>
      <c r="AV10" s="3">
        <f>IFERROR(__xludf.DUMMYFUNCTION("""COMPUTED_VALUE"""),0.0)</f>
        <v>0</v>
      </c>
      <c r="AW10" s="3">
        <f>IFERROR(__xludf.DUMMYFUNCTION("""COMPUTED_VALUE"""),0.0)</f>
        <v>0</v>
      </c>
      <c r="AX10" s="3">
        <f>IFERROR(__xludf.DUMMYFUNCTION("""COMPUTED_VALUE"""),0.0)</f>
        <v>0</v>
      </c>
      <c r="AY10" s="3">
        <f>IFERROR(__xludf.DUMMYFUNCTION("""COMPUTED_VALUE"""),0.0)</f>
        <v>0</v>
      </c>
      <c r="AZ10" s="3">
        <f>IFERROR(__xludf.DUMMYFUNCTION("""COMPUTED_VALUE"""),0.0)</f>
        <v>0</v>
      </c>
      <c r="BA10" s="3">
        <f>IFERROR(__xludf.DUMMYFUNCTION("""COMPUTED_VALUE"""),0.0)</f>
        <v>0</v>
      </c>
      <c r="BB10" s="3">
        <f>IFERROR(__xludf.DUMMYFUNCTION("""COMPUTED_VALUE"""),0.0)</f>
        <v>0</v>
      </c>
      <c r="BC10" s="3">
        <f>IFERROR(__xludf.DUMMYFUNCTION("""COMPUTED_VALUE"""),0.0)</f>
        <v>0</v>
      </c>
      <c r="BD10" s="3">
        <f>IFERROR(__xludf.DUMMYFUNCTION("""COMPUTED_VALUE"""),1.0)</f>
        <v>1</v>
      </c>
      <c r="BE10" s="3">
        <f>IFERROR(__xludf.DUMMYFUNCTION("""COMPUTED_VALUE"""),1.0)</f>
        <v>1</v>
      </c>
      <c r="BF10" s="3">
        <f>IFERROR(__xludf.DUMMYFUNCTION("""COMPUTED_VALUE"""),1.0)</f>
        <v>1</v>
      </c>
      <c r="BG10" s="3">
        <f>IFERROR(__xludf.DUMMYFUNCTION("""COMPUTED_VALUE"""),2.0)</f>
        <v>2</v>
      </c>
      <c r="BH10" s="3">
        <f>IFERROR(__xludf.DUMMYFUNCTION("""COMPUTED_VALUE"""),2.0)</f>
        <v>2</v>
      </c>
      <c r="BI10" s="3">
        <f>IFERROR(__xludf.DUMMYFUNCTION("""COMPUTED_VALUE"""),3.0)</f>
        <v>3</v>
      </c>
      <c r="BJ10" s="3">
        <f>IFERROR(__xludf.DUMMYFUNCTION("""COMPUTED_VALUE"""),4.0)</f>
        <v>4</v>
      </c>
      <c r="BK10" s="3">
        <f>IFERROR(__xludf.DUMMYFUNCTION("""COMPUTED_VALUE"""),6.0)</f>
        <v>6</v>
      </c>
      <c r="BL10" s="3">
        <f>IFERROR(__xludf.DUMMYFUNCTION("""COMPUTED_VALUE"""),9.0)</f>
        <v>9</v>
      </c>
      <c r="BM10" s="3">
        <f>IFERROR(__xludf.DUMMYFUNCTION("""COMPUTED_VALUE"""),19.0)</f>
        <v>19</v>
      </c>
      <c r="BN10" s="3">
        <f>IFERROR(__xludf.DUMMYFUNCTION("""COMPUTED_VALUE"""),32.0)</f>
        <v>32</v>
      </c>
      <c r="BO10" s="3">
        <f>IFERROR(__xludf.DUMMYFUNCTION("""COMPUTED_VALUE"""),39.0)</f>
        <v>39</v>
      </c>
      <c r="BP10" s="3">
        <f>IFERROR(__xludf.DUMMYFUNCTION("""COMPUTED_VALUE"""),39.0)</f>
        <v>39</v>
      </c>
      <c r="BQ10" s="3">
        <f>IFERROR(__xludf.DUMMYFUNCTION("""COMPUTED_VALUE"""),53.0)</f>
        <v>53</v>
      </c>
      <c r="BR10" s="3">
        <f>IFERROR(__xludf.DUMMYFUNCTION("""COMPUTED_VALUE"""),62.0)</f>
        <v>62</v>
      </c>
      <c r="BS10" s="3">
        <f>IFERROR(__xludf.DUMMYFUNCTION("""COMPUTED_VALUE"""),71.0)</f>
        <v>71</v>
      </c>
      <c r="BT10" s="3">
        <f>IFERROR(__xludf.DUMMYFUNCTION("""COMPUTED_VALUE"""),77.0)</f>
        <v>77</v>
      </c>
      <c r="BU10" s="3">
        <f>IFERROR(__xludf.DUMMYFUNCTION("""COMPUTED_VALUE"""),78.0)</f>
        <v>78</v>
      </c>
      <c r="BV10" s="3">
        <f>IFERROR(__xludf.DUMMYFUNCTION("""COMPUTED_VALUE"""),80.0)</f>
        <v>80</v>
      </c>
      <c r="BW10" s="3">
        <f>IFERROR(__xludf.DUMMYFUNCTION("""COMPUTED_VALUE"""),84.0)</f>
        <v>84</v>
      </c>
      <c r="BX10" s="3">
        <f>IFERROR(__xludf.DUMMYFUNCTION("""COMPUTED_VALUE"""),87.0)</f>
        <v>87</v>
      </c>
      <c r="BY10" s="3">
        <f>IFERROR(__xludf.DUMMYFUNCTION("""COMPUTED_VALUE"""),91.0)</f>
        <v>91</v>
      </c>
      <c r="BZ10" s="3">
        <f>IFERROR(__xludf.DUMMYFUNCTION("""COMPUTED_VALUE"""),93.0)</f>
        <v>93</v>
      </c>
      <c r="CA10" s="3">
        <f>IFERROR(__xludf.DUMMYFUNCTION("""COMPUTED_VALUE"""),96.0)</f>
        <v>96</v>
      </c>
      <c r="CB10" s="3">
        <f>IFERROR(__xludf.DUMMYFUNCTION("""COMPUTED_VALUE"""),96.0)</f>
        <v>96</v>
      </c>
    </row>
    <row r="11">
      <c r="A11" s="3" t="str">
        <f>IFERROR(__xludf.DUMMYFUNCTION("""COMPUTED_VALUE"""),"New South Wales")</f>
        <v>New South Wales</v>
      </c>
      <c r="B11" s="3" t="str">
        <f>IFERROR(__xludf.DUMMYFUNCTION("""COMPUTED_VALUE"""),"Australia")</f>
        <v>Australia</v>
      </c>
      <c r="C11" s="3">
        <f>IFERROR(__xludf.DUMMYFUNCTION("""COMPUTED_VALUE"""),-33.8688)</f>
        <v>-33.8688</v>
      </c>
      <c r="D11" s="3">
        <f>IFERROR(__xludf.DUMMYFUNCTION("""COMPUTED_VALUE"""),151.2093)</f>
        <v>151.2093</v>
      </c>
      <c r="E11" s="3">
        <f>IFERROR(__xludf.DUMMYFUNCTION("""COMPUTED_VALUE"""),0.0)</f>
        <v>0</v>
      </c>
      <c r="F11" s="3">
        <f>IFERROR(__xludf.DUMMYFUNCTION("""COMPUTED_VALUE"""),0.0)</f>
        <v>0</v>
      </c>
      <c r="G11" s="3">
        <f>IFERROR(__xludf.DUMMYFUNCTION("""COMPUTED_VALUE"""),0.0)</f>
        <v>0</v>
      </c>
      <c r="H11" s="3">
        <f>IFERROR(__xludf.DUMMYFUNCTION("""COMPUTED_VALUE"""),0.0)</f>
        <v>0</v>
      </c>
      <c r="I11" s="3">
        <f>IFERROR(__xludf.DUMMYFUNCTION("""COMPUTED_VALUE"""),3.0)</f>
        <v>3</v>
      </c>
      <c r="J11" s="3">
        <f>IFERROR(__xludf.DUMMYFUNCTION("""COMPUTED_VALUE"""),4.0)</f>
        <v>4</v>
      </c>
      <c r="K11" s="3">
        <f>IFERROR(__xludf.DUMMYFUNCTION("""COMPUTED_VALUE"""),4.0)</f>
        <v>4</v>
      </c>
      <c r="L11" s="3">
        <f>IFERROR(__xludf.DUMMYFUNCTION("""COMPUTED_VALUE"""),4.0)</f>
        <v>4</v>
      </c>
      <c r="M11" s="3">
        <f>IFERROR(__xludf.DUMMYFUNCTION("""COMPUTED_VALUE"""),4.0)</f>
        <v>4</v>
      </c>
      <c r="N11" s="3">
        <f>IFERROR(__xludf.DUMMYFUNCTION("""COMPUTED_VALUE"""),4.0)</f>
        <v>4</v>
      </c>
      <c r="O11" s="3">
        <f>IFERROR(__xludf.DUMMYFUNCTION("""COMPUTED_VALUE"""),4.0)</f>
        <v>4</v>
      </c>
      <c r="P11" s="3">
        <f>IFERROR(__xludf.DUMMYFUNCTION("""COMPUTED_VALUE"""),4.0)</f>
        <v>4</v>
      </c>
      <c r="Q11" s="3">
        <f>IFERROR(__xludf.DUMMYFUNCTION("""COMPUTED_VALUE"""),4.0)</f>
        <v>4</v>
      </c>
      <c r="R11" s="3">
        <f>IFERROR(__xludf.DUMMYFUNCTION("""COMPUTED_VALUE"""),4.0)</f>
        <v>4</v>
      </c>
      <c r="S11" s="3">
        <f>IFERROR(__xludf.DUMMYFUNCTION("""COMPUTED_VALUE"""),4.0)</f>
        <v>4</v>
      </c>
      <c r="T11" s="3">
        <f>IFERROR(__xludf.DUMMYFUNCTION("""COMPUTED_VALUE"""),4.0)</f>
        <v>4</v>
      </c>
      <c r="U11" s="3">
        <f>IFERROR(__xludf.DUMMYFUNCTION("""COMPUTED_VALUE"""),4.0)</f>
        <v>4</v>
      </c>
      <c r="V11" s="3">
        <f>IFERROR(__xludf.DUMMYFUNCTION("""COMPUTED_VALUE"""),4.0)</f>
        <v>4</v>
      </c>
      <c r="W11" s="3">
        <f>IFERROR(__xludf.DUMMYFUNCTION("""COMPUTED_VALUE"""),4.0)</f>
        <v>4</v>
      </c>
      <c r="X11" s="3">
        <f>IFERROR(__xludf.DUMMYFUNCTION("""COMPUTED_VALUE"""),4.0)</f>
        <v>4</v>
      </c>
      <c r="Y11" s="3">
        <f>IFERROR(__xludf.DUMMYFUNCTION("""COMPUTED_VALUE"""),4.0)</f>
        <v>4</v>
      </c>
      <c r="Z11" s="3">
        <f>IFERROR(__xludf.DUMMYFUNCTION("""COMPUTED_VALUE"""),4.0)</f>
        <v>4</v>
      </c>
      <c r="AA11" s="3">
        <f>IFERROR(__xludf.DUMMYFUNCTION("""COMPUTED_VALUE"""),4.0)</f>
        <v>4</v>
      </c>
      <c r="AB11" s="3">
        <f>IFERROR(__xludf.DUMMYFUNCTION("""COMPUTED_VALUE"""),4.0)</f>
        <v>4</v>
      </c>
      <c r="AC11" s="3">
        <f>IFERROR(__xludf.DUMMYFUNCTION("""COMPUTED_VALUE"""),4.0)</f>
        <v>4</v>
      </c>
      <c r="AD11" s="3">
        <f>IFERROR(__xludf.DUMMYFUNCTION("""COMPUTED_VALUE"""),4.0)</f>
        <v>4</v>
      </c>
      <c r="AE11" s="3">
        <f>IFERROR(__xludf.DUMMYFUNCTION("""COMPUTED_VALUE"""),4.0)</f>
        <v>4</v>
      </c>
      <c r="AF11" s="3">
        <f>IFERROR(__xludf.DUMMYFUNCTION("""COMPUTED_VALUE"""),4.0)</f>
        <v>4</v>
      </c>
      <c r="AG11" s="3">
        <f>IFERROR(__xludf.DUMMYFUNCTION("""COMPUTED_VALUE"""),4.0)</f>
        <v>4</v>
      </c>
      <c r="AH11" s="3">
        <f>IFERROR(__xludf.DUMMYFUNCTION("""COMPUTED_VALUE"""),4.0)</f>
        <v>4</v>
      </c>
      <c r="AI11" s="3">
        <f>IFERROR(__xludf.DUMMYFUNCTION("""COMPUTED_VALUE"""),4.0)</f>
        <v>4</v>
      </c>
      <c r="AJ11" s="3">
        <f>IFERROR(__xludf.DUMMYFUNCTION("""COMPUTED_VALUE"""),4.0)</f>
        <v>4</v>
      </c>
      <c r="AK11" s="3">
        <f>IFERROR(__xludf.DUMMYFUNCTION("""COMPUTED_VALUE"""),4.0)</f>
        <v>4</v>
      </c>
      <c r="AL11" s="3">
        <f>IFERROR(__xludf.DUMMYFUNCTION("""COMPUTED_VALUE"""),4.0)</f>
        <v>4</v>
      </c>
      <c r="AM11" s="3">
        <f>IFERROR(__xludf.DUMMYFUNCTION("""COMPUTED_VALUE"""),4.0)</f>
        <v>4</v>
      </c>
      <c r="AN11" s="3">
        <f>IFERROR(__xludf.DUMMYFUNCTION("""COMPUTED_VALUE"""),4.0)</f>
        <v>4</v>
      </c>
      <c r="AO11" s="3">
        <f>IFERROR(__xludf.DUMMYFUNCTION("""COMPUTED_VALUE"""),4.0)</f>
        <v>4</v>
      </c>
      <c r="AP11" s="3">
        <f>IFERROR(__xludf.DUMMYFUNCTION("""COMPUTED_VALUE"""),4.0)</f>
        <v>4</v>
      </c>
      <c r="AQ11" s="3">
        <f>IFERROR(__xludf.DUMMYFUNCTION("""COMPUTED_VALUE"""),4.0)</f>
        <v>4</v>
      </c>
      <c r="AR11" s="3">
        <f>IFERROR(__xludf.DUMMYFUNCTION("""COMPUTED_VALUE"""),6.0)</f>
        <v>6</v>
      </c>
      <c r="AS11" s="3">
        <f>IFERROR(__xludf.DUMMYFUNCTION("""COMPUTED_VALUE"""),6.0)</f>
        <v>6</v>
      </c>
      <c r="AT11" s="3">
        <f>IFERROR(__xludf.DUMMYFUNCTION("""COMPUTED_VALUE"""),13.0)</f>
        <v>13</v>
      </c>
      <c r="AU11" s="3">
        <f>IFERROR(__xludf.DUMMYFUNCTION("""COMPUTED_VALUE"""),22.0)</f>
        <v>22</v>
      </c>
      <c r="AV11" s="3">
        <f>IFERROR(__xludf.DUMMYFUNCTION("""COMPUTED_VALUE"""),22.0)</f>
        <v>22</v>
      </c>
      <c r="AW11" s="3">
        <f>IFERROR(__xludf.DUMMYFUNCTION("""COMPUTED_VALUE"""),26.0)</f>
        <v>26</v>
      </c>
      <c r="AX11" s="3">
        <f>IFERROR(__xludf.DUMMYFUNCTION("""COMPUTED_VALUE"""),28.0)</f>
        <v>28</v>
      </c>
      <c r="AY11" s="3">
        <f>IFERROR(__xludf.DUMMYFUNCTION("""COMPUTED_VALUE"""),38.0)</f>
        <v>38</v>
      </c>
      <c r="AZ11" s="3">
        <f>IFERROR(__xludf.DUMMYFUNCTION("""COMPUTED_VALUE"""),48.0)</f>
        <v>48</v>
      </c>
      <c r="BA11" s="3">
        <f>IFERROR(__xludf.DUMMYFUNCTION("""COMPUTED_VALUE"""),55.0)</f>
        <v>55</v>
      </c>
      <c r="BB11" s="3">
        <f>IFERROR(__xludf.DUMMYFUNCTION("""COMPUTED_VALUE"""),65.0)</f>
        <v>65</v>
      </c>
      <c r="BC11" s="3">
        <f>IFERROR(__xludf.DUMMYFUNCTION("""COMPUTED_VALUE"""),65.0)</f>
        <v>65</v>
      </c>
      <c r="BD11" s="3">
        <f>IFERROR(__xludf.DUMMYFUNCTION("""COMPUTED_VALUE"""),92.0)</f>
        <v>92</v>
      </c>
      <c r="BE11" s="3">
        <f>IFERROR(__xludf.DUMMYFUNCTION("""COMPUTED_VALUE"""),112.0)</f>
        <v>112</v>
      </c>
      <c r="BF11" s="3">
        <f>IFERROR(__xludf.DUMMYFUNCTION("""COMPUTED_VALUE"""),134.0)</f>
        <v>134</v>
      </c>
      <c r="BG11" s="3">
        <f>IFERROR(__xludf.DUMMYFUNCTION("""COMPUTED_VALUE"""),171.0)</f>
        <v>171</v>
      </c>
      <c r="BH11" s="3">
        <f>IFERROR(__xludf.DUMMYFUNCTION("""COMPUTED_VALUE"""),210.0)</f>
        <v>210</v>
      </c>
      <c r="BI11" s="3">
        <f>IFERROR(__xludf.DUMMYFUNCTION("""COMPUTED_VALUE"""),267.0)</f>
        <v>267</v>
      </c>
      <c r="BJ11" s="3">
        <f>IFERROR(__xludf.DUMMYFUNCTION("""COMPUTED_VALUE"""),307.0)</f>
        <v>307</v>
      </c>
      <c r="BK11" s="3">
        <f>IFERROR(__xludf.DUMMYFUNCTION("""COMPUTED_VALUE"""),353.0)</f>
        <v>353</v>
      </c>
      <c r="BL11" s="3">
        <f>IFERROR(__xludf.DUMMYFUNCTION("""COMPUTED_VALUE"""),436.0)</f>
        <v>436</v>
      </c>
      <c r="BM11" s="3">
        <f>IFERROR(__xludf.DUMMYFUNCTION("""COMPUTED_VALUE"""),669.0)</f>
        <v>669</v>
      </c>
      <c r="BN11" s="3">
        <f>IFERROR(__xludf.DUMMYFUNCTION("""COMPUTED_VALUE"""),669.0)</f>
        <v>669</v>
      </c>
      <c r="BO11" s="3">
        <f>IFERROR(__xludf.DUMMYFUNCTION("""COMPUTED_VALUE"""),818.0)</f>
        <v>818</v>
      </c>
      <c r="BP11" s="3">
        <f>IFERROR(__xludf.DUMMYFUNCTION("""COMPUTED_VALUE"""),1029.0)</f>
        <v>1029</v>
      </c>
      <c r="BQ11" s="3">
        <f>IFERROR(__xludf.DUMMYFUNCTION("""COMPUTED_VALUE"""),1219.0)</f>
        <v>1219</v>
      </c>
      <c r="BR11" s="3">
        <f>IFERROR(__xludf.DUMMYFUNCTION("""COMPUTED_VALUE"""),1405.0)</f>
        <v>1405</v>
      </c>
      <c r="BS11" s="3">
        <f>IFERROR(__xludf.DUMMYFUNCTION("""COMPUTED_VALUE"""),1617.0)</f>
        <v>1617</v>
      </c>
      <c r="BT11" s="3">
        <f>IFERROR(__xludf.DUMMYFUNCTION("""COMPUTED_VALUE"""),1791.0)</f>
        <v>1791</v>
      </c>
      <c r="BU11" s="3">
        <f>IFERROR(__xludf.DUMMYFUNCTION("""COMPUTED_VALUE"""),2032.0)</f>
        <v>2032</v>
      </c>
      <c r="BV11" s="3">
        <f>IFERROR(__xludf.DUMMYFUNCTION("""COMPUTED_VALUE"""),2032.0)</f>
        <v>2032</v>
      </c>
      <c r="BW11" s="3">
        <f>IFERROR(__xludf.DUMMYFUNCTION("""COMPUTED_VALUE"""),2182.0)</f>
        <v>2182</v>
      </c>
      <c r="BX11" s="3">
        <f>IFERROR(__xludf.DUMMYFUNCTION("""COMPUTED_VALUE"""),2298.0)</f>
        <v>2298</v>
      </c>
      <c r="BY11" s="3">
        <f>IFERROR(__xludf.DUMMYFUNCTION("""COMPUTED_VALUE"""),2389.0)</f>
        <v>2389</v>
      </c>
      <c r="BZ11" s="3">
        <f>IFERROR(__xludf.DUMMYFUNCTION("""COMPUTED_VALUE"""),2493.0)</f>
        <v>2493</v>
      </c>
      <c r="CA11" s="3">
        <f>IFERROR(__xludf.DUMMYFUNCTION("""COMPUTED_VALUE"""),2580.0)</f>
        <v>2580</v>
      </c>
      <c r="CB11" s="3">
        <f>IFERROR(__xludf.DUMMYFUNCTION("""COMPUTED_VALUE"""),2637.0)</f>
        <v>2637</v>
      </c>
    </row>
    <row r="12">
      <c r="A12" s="3" t="str">
        <f>IFERROR(__xludf.DUMMYFUNCTION("""COMPUTED_VALUE"""),"Northern Territory")</f>
        <v>Northern Territory</v>
      </c>
      <c r="B12" s="3" t="str">
        <f>IFERROR(__xludf.DUMMYFUNCTION("""COMPUTED_VALUE"""),"Australia")</f>
        <v>Australia</v>
      </c>
      <c r="C12" s="3">
        <f>IFERROR(__xludf.DUMMYFUNCTION("""COMPUTED_VALUE"""),-12.4634)</f>
        <v>-12.4634</v>
      </c>
      <c r="D12" s="3">
        <f>IFERROR(__xludf.DUMMYFUNCTION("""COMPUTED_VALUE"""),130.8456)</f>
        <v>130.8456</v>
      </c>
      <c r="E12" s="3">
        <f>IFERROR(__xludf.DUMMYFUNCTION("""COMPUTED_VALUE"""),0.0)</f>
        <v>0</v>
      </c>
      <c r="F12" s="3">
        <f>IFERROR(__xludf.DUMMYFUNCTION("""COMPUTED_VALUE"""),0.0)</f>
        <v>0</v>
      </c>
      <c r="G12" s="3">
        <f>IFERROR(__xludf.DUMMYFUNCTION("""COMPUTED_VALUE"""),0.0)</f>
        <v>0</v>
      </c>
      <c r="H12" s="3">
        <f>IFERROR(__xludf.DUMMYFUNCTION("""COMPUTED_VALUE"""),0.0)</f>
        <v>0</v>
      </c>
      <c r="I12" s="3">
        <f>IFERROR(__xludf.DUMMYFUNCTION("""COMPUTED_VALUE"""),0.0)</f>
        <v>0</v>
      </c>
      <c r="J12" s="3">
        <f>IFERROR(__xludf.DUMMYFUNCTION("""COMPUTED_VALUE"""),0.0)</f>
        <v>0</v>
      </c>
      <c r="K12" s="3">
        <f>IFERROR(__xludf.DUMMYFUNCTION("""COMPUTED_VALUE"""),0.0)</f>
        <v>0</v>
      </c>
      <c r="L12" s="3">
        <f>IFERROR(__xludf.DUMMYFUNCTION("""COMPUTED_VALUE"""),0.0)</f>
        <v>0</v>
      </c>
      <c r="M12" s="3">
        <f>IFERROR(__xludf.DUMMYFUNCTION("""COMPUTED_VALUE"""),0.0)</f>
        <v>0</v>
      </c>
      <c r="N12" s="3">
        <f>IFERROR(__xludf.DUMMYFUNCTION("""COMPUTED_VALUE"""),0.0)</f>
        <v>0</v>
      </c>
      <c r="O12" s="3">
        <f>IFERROR(__xludf.DUMMYFUNCTION("""COMPUTED_VALUE"""),0.0)</f>
        <v>0</v>
      </c>
      <c r="P12" s="3">
        <f>IFERROR(__xludf.DUMMYFUNCTION("""COMPUTED_VALUE"""),0.0)</f>
        <v>0</v>
      </c>
      <c r="Q12" s="3">
        <f>IFERROR(__xludf.DUMMYFUNCTION("""COMPUTED_VALUE"""),0.0)</f>
        <v>0</v>
      </c>
      <c r="R12" s="3">
        <f>IFERROR(__xludf.DUMMYFUNCTION("""COMPUTED_VALUE"""),0.0)</f>
        <v>0</v>
      </c>
      <c r="S12" s="3">
        <f>IFERROR(__xludf.DUMMYFUNCTION("""COMPUTED_VALUE"""),0.0)</f>
        <v>0</v>
      </c>
      <c r="T12" s="3">
        <f>IFERROR(__xludf.DUMMYFUNCTION("""COMPUTED_VALUE"""),0.0)</f>
        <v>0</v>
      </c>
      <c r="U12" s="3">
        <f>IFERROR(__xludf.DUMMYFUNCTION("""COMPUTED_VALUE"""),0.0)</f>
        <v>0</v>
      </c>
      <c r="V12" s="3">
        <f>IFERROR(__xludf.DUMMYFUNCTION("""COMPUTED_VALUE"""),0.0)</f>
        <v>0</v>
      </c>
      <c r="W12" s="3">
        <f>IFERROR(__xludf.DUMMYFUNCTION("""COMPUTED_VALUE"""),0.0)</f>
        <v>0</v>
      </c>
      <c r="X12" s="3">
        <f>IFERROR(__xludf.DUMMYFUNCTION("""COMPUTED_VALUE"""),0.0)</f>
        <v>0</v>
      </c>
      <c r="Y12" s="3">
        <f>IFERROR(__xludf.DUMMYFUNCTION("""COMPUTED_VALUE"""),0.0)</f>
        <v>0</v>
      </c>
      <c r="Z12" s="3">
        <f>IFERROR(__xludf.DUMMYFUNCTION("""COMPUTED_VALUE"""),0.0)</f>
        <v>0</v>
      </c>
      <c r="AA12" s="3">
        <f>IFERROR(__xludf.DUMMYFUNCTION("""COMPUTED_VALUE"""),0.0)</f>
        <v>0</v>
      </c>
      <c r="AB12" s="3">
        <f>IFERROR(__xludf.DUMMYFUNCTION("""COMPUTED_VALUE"""),0.0)</f>
        <v>0</v>
      </c>
      <c r="AC12" s="3">
        <f>IFERROR(__xludf.DUMMYFUNCTION("""COMPUTED_VALUE"""),0.0)</f>
        <v>0</v>
      </c>
      <c r="AD12" s="3">
        <f>IFERROR(__xludf.DUMMYFUNCTION("""COMPUTED_VALUE"""),0.0)</f>
        <v>0</v>
      </c>
      <c r="AE12" s="3">
        <f>IFERROR(__xludf.DUMMYFUNCTION("""COMPUTED_VALUE"""),0.0)</f>
        <v>0</v>
      </c>
      <c r="AF12" s="3">
        <f>IFERROR(__xludf.DUMMYFUNCTION("""COMPUTED_VALUE"""),0.0)</f>
        <v>0</v>
      </c>
      <c r="AG12" s="3">
        <f>IFERROR(__xludf.DUMMYFUNCTION("""COMPUTED_VALUE"""),0.0)</f>
        <v>0</v>
      </c>
      <c r="AH12" s="3">
        <f>IFERROR(__xludf.DUMMYFUNCTION("""COMPUTED_VALUE"""),0.0)</f>
        <v>0</v>
      </c>
      <c r="AI12" s="3">
        <f>IFERROR(__xludf.DUMMYFUNCTION("""COMPUTED_VALUE"""),0.0)</f>
        <v>0</v>
      </c>
      <c r="AJ12" s="3">
        <f>IFERROR(__xludf.DUMMYFUNCTION("""COMPUTED_VALUE"""),0.0)</f>
        <v>0</v>
      </c>
      <c r="AK12" s="3">
        <f>IFERROR(__xludf.DUMMYFUNCTION("""COMPUTED_VALUE"""),0.0)</f>
        <v>0</v>
      </c>
      <c r="AL12" s="3">
        <f>IFERROR(__xludf.DUMMYFUNCTION("""COMPUTED_VALUE"""),0.0)</f>
        <v>0</v>
      </c>
      <c r="AM12" s="3">
        <f>IFERROR(__xludf.DUMMYFUNCTION("""COMPUTED_VALUE"""),0.0)</f>
        <v>0</v>
      </c>
      <c r="AN12" s="3">
        <f>IFERROR(__xludf.DUMMYFUNCTION("""COMPUTED_VALUE"""),0.0)</f>
        <v>0</v>
      </c>
      <c r="AO12" s="3">
        <f>IFERROR(__xludf.DUMMYFUNCTION("""COMPUTED_VALUE"""),0.0)</f>
        <v>0</v>
      </c>
      <c r="AP12" s="3">
        <f>IFERROR(__xludf.DUMMYFUNCTION("""COMPUTED_VALUE"""),0.0)</f>
        <v>0</v>
      </c>
      <c r="AQ12" s="3">
        <f>IFERROR(__xludf.DUMMYFUNCTION("""COMPUTED_VALUE"""),0.0)</f>
        <v>0</v>
      </c>
      <c r="AR12" s="3">
        <f>IFERROR(__xludf.DUMMYFUNCTION("""COMPUTED_VALUE"""),0.0)</f>
        <v>0</v>
      </c>
      <c r="AS12" s="3">
        <f>IFERROR(__xludf.DUMMYFUNCTION("""COMPUTED_VALUE"""),0.0)</f>
        <v>0</v>
      </c>
      <c r="AT12" s="3">
        <f>IFERROR(__xludf.DUMMYFUNCTION("""COMPUTED_VALUE"""),0.0)</f>
        <v>0</v>
      </c>
      <c r="AU12" s="3">
        <f>IFERROR(__xludf.DUMMYFUNCTION("""COMPUTED_VALUE"""),1.0)</f>
        <v>1</v>
      </c>
      <c r="AV12" s="3">
        <f>IFERROR(__xludf.DUMMYFUNCTION("""COMPUTED_VALUE"""),1.0)</f>
        <v>1</v>
      </c>
      <c r="AW12" s="3">
        <f>IFERROR(__xludf.DUMMYFUNCTION("""COMPUTED_VALUE"""),0.0)</f>
        <v>0</v>
      </c>
      <c r="AX12" s="3">
        <f>IFERROR(__xludf.DUMMYFUNCTION("""COMPUTED_VALUE"""),0.0)</f>
        <v>0</v>
      </c>
      <c r="AY12" s="3">
        <f>IFERROR(__xludf.DUMMYFUNCTION("""COMPUTED_VALUE"""),0.0)</f>
        <v>0</v>
      </c>
      <c r="AZ12" s="3">
        <f>IFERROR(__xludf.DUMMYFUNCTION("""COMPUTED_VALUE"""),0.0)</f>
        <v>0</v>
      </c>
      <c r="BA12" s="3">
        <f>IFERROR(__xludf.DUMMYFUNCTION("""COMPUTED_VALUE"""),1.0)</f>
        <v>1</v>
      </c>
      <c r="BB12" s="3">
        <f>IFERROR(__xludf.DUMMYFUNCTION("""COMPUTED_VALUE"""),1.0)</f>
        <v>1</v>
      </c>
      <c r="BC12" s="3">
        <f>IFERROR(__xludf.DUMMYFUNCTION("""COMPUTED_VALUE"""),1.0)</f>
        <v>1</v>
      </c>
      <c r="BD12" s="3">
        <f>IFERROR(__xludf.DUMMYFUNCTION("""COMPUTED_VALUE"""),1.0)</f>
        <v>1</v>
      </c>
      <c r="BE12" s="3">
        <f>IFERROR(__xludf.DUMMYFUNCTION("""COMPUTED_VALUE"""),1.0)</f>
        <v>1</v>
      </c>
      <c r="BF12" s="3">
        <f>IFERROR(__xludf.DUMMYFUNCTION("""COMPUTED_VALUE"""),1.0)</f>
        <v>1</v>
      </c>
      <c r="BG12" s="3">
        <f>IFERROR(__xludf.DUMMYFUNCTION("""COMPUTED_VALUE"""),1.0)</f>
        <v>1</v>
      </c>
      <c r="BH12" s="3">
        <f>IFERROR(__xludf.DUMMYFUNCTION("""COMPUTED_VALUE"""),1.0)</f>
        <v>1</v>
      </c>
      <c r="BI12" s="3">
        <f>IFERROR(__xludf.DUMMYFUNCTION("""COMPUTED_VALUE"""),1.0)</f>
        <v>1</v>
      </c>
      <c r="BJ12" s="3">
        <f>IFERROR(__xludf.DUMMYFUNCTION("""COMPUTED_VALUE"""),1.0)</f>
        <v>1</v>
      </c>
      <c r="BK12" s="3">
        <f>IFERROR(__xludf.DUMMYFUNCTION("""COMPUTED_VALUE"""),3.0)</f>
        <v>3</v>
      </c>
      <c r="BL12" s="3">
        <f>IFERROR(__xludf.DUMMYFUNCTION("""COMPUTED_VALUE"""),3.0)</f>
        <v>3</v>
      </c>
      <c r="BM12" s="3">
        <f>IFERROR(__xludf.DUMMYFUNCTION("""COMPUTED_VALUE"""),5.0)</f>
        <v>5</v>
      </c>
      <c r="BN12" s="3">
        <f>IFERROR(__xludf.DUMMYFUNCTION("""COMPUTED_VALUE"""),5.0)</f>
        <v>5</v>
      </c>
      <c r="BO12" s="3">
        <f>IFERROR(__xludf.DUMMYFUNCTION("""COMPUTED_VALUE"""),6.0)</f>
        <v>6</v>
      </c>
      <c r="BP12" s="3">
        <f>IFERROR(__xludf.DUMMYFUNCTION("""COMPUTED_VALUE"""),6.0)</f>
        <v>6</v>
      </c>
      <c r="BQ12" s="3">
        <f>IFERROR(__xludf.DUMMYFUNCTION("""COMPUTED_VALUE"""),12.0)</f>
        <v>12</v>
      </c>
      <c r="BR12" s="3">
        <f>IFERROR(__xludf.DUMMYFUNCTION("""COMPUTED_VALUE"""),12.0)</f>
        <v>12</v>
      </c>
      <c r="BS12" s="3">
        <f>IFERROR(__xludf.DUMMYFUNCTION("""COMPUTED_VALUE"""),15.0)</f>
        <v>15</v>
      </c>
      <c r="BT12" s="3">
        <f>IFERROR(__xludf.DUMMYFUNCTION("""COMPUTED_VALUE"""),15.0)</f>
        <v>15</v>
      </c>
      <c r="BU12" s="3">
        <f>IFERROR(__xludf.DUMMYFUNCTION("""COMPUTED_VALUE"""),15.0)</f>
        <v>15</v>
      </c>
      <c r="BV12" s="3">
        <f>IFERROR(__xludf.DUMMYFUNCTION("""COMPUTED_VALUE"""),17.0)</f>
        <v>17</v>
      </c>
      <c r="BW12" s="3">
        <f>IFERROR(__xludf.DUMMYFUNCTION("""COMPUTED_VALUE"""),19.0)</f>
        <v>19</v>
      </c>
      <c r="BX12" s="3">
        <f>IFERROR(__xludf.DUMMYFUNCTION("""COMPUTED_VALUE"""),21.0)</f>
        <v>21</v>
      </c>
      <c r="BY12" s="3">
        <f>IFERROR(__xludf.DUMMYFUNCTION("""COMPUTED_VALUE"""),22.0)</f>
        <v>22</v>
      </c>
      <c r="BZ12" s="3">
        <f>IFERROR(__xludf.DUMMYFUNCTION("""COMPUTED_VALUE"""),26.0)</f>
        <v>26</v>
      </c>
      <c r="CA12" s="3">
        <f>IFERROR(__xludf.DUMMYFUNCTION("""COMPUTED_VALUE"""),27.0)</f>
        <v>27</v>
      </c>
      <c r="CB12" s="3">
        <f>IFERROR(__xludf.DUMMYFUNCTION("""COMPUTED_VALUE"""),28.0)</f>
        <v>28</v>
      </c>
    </row>
    <row r="13">
      <c r="A13" s="3" t="str">
        <f>IFERROR(__xludf.DUMMYFUNCTION("""COMPUTED_VALUE"""),"Queensland")</f>
        <v>Queensland</v>
      </c>
      <c r="B13" s="3" t="str">
        <f>IFERROR(__xludf.DUMMYFUNCTION("""COMPUTED_VALUE"""),"Australia")</f>
        <v>Australia</v>
      </c>
      <c r="C13" s="3">
        <f>IFERROR(__xludf.DUMMYFUNCTION("""COMPUTED_VALUE"""),-28.0167)</f>
        <v>-28.0167</v>
      </c>
      <c r="D13" s="3">
        <f>IFERROR(__xludf.DUMMYFUNCTION("""COMPUTED_VALUE"""),153.4)</f>
        <v>153.4</v>
      </c>
      <c r="E13" s="3">
        <f>IFERROR(__xludf.DUMMYFUNCTION("""COMPUTED_VALUE"""),0.0)</f>
        <v>0</v>
      </c>
      <c r="F13" s="3">
        <f>IFERROR(__xludf.DUMMYFUNCTION("""COMPUTED_VALUE"""),0.0)</f>
        <v>0</v>
      </c>
      <c r="G13" s="3">
        <f>IFERROR(__xludf.DUMMYFUNCTION("""COMPUTED_VALUE"""),0.0)</f>
        <v>0</v>
      </c>
      <c r="H13" s="3">
        <f>IFERROR(__xludf.DUMMYFUNCTION("""COMPUTED_VALUE"""),0.0)</f>
        <v>0</v>
      </c>
      <c r="I13" s="3">
        <f>IFERROR(__xludf.DUMMYFUNCTION("""COMPUTED_VALUE"""),0.0)</f>
        <v>0</v>
      </c>
      <c r="J13" s="3">
        <f>IFERROR(__xludf.DUMMYFUNCTION("""COMPUTED_VALUE"""),0.0)</f>
        <v>0</v>
      </c>
      <c r="K13" s="3">
        <f>IFERROR(__xludf.DUMMYFUNCTION("""COMPUTED_VALUE"""),0.0)</f>
        <v>0</v>
      </c>
      <c r="L13" s="3">
        <f>IFERROR(__xludf.DUMMYFUNCTION("""COMPUTED_VALUE"""),1.0)</f>
        <v>1</v>
      </c>
      <c r="M13" s="3">
        <f>IFERROR(__xludf.DUMMYFUNCTION("""COMPUTED_VALUE"""),3.0)</f>
        <v>3</v>
      </c>
      <c r="N13" s="3">
        <f>IFERROR(__xludf.DUMMYFUNCTION("""COMPUTED_VALUE"""),2.0)</f>
        <v>2</v>
      </c>
      <c r="O13" s="3">
        <f>IFERROR(__xludf.DUMMYFUNCTION("""COMPUTED_VALUE"""),3.0)</f>
        <v>3</v>
      </c>
      <c r="P13" s="3">
        <f>IFERROR(__xludf.DUMMYFUNCTION("""COMPUTED_VALUE"""),2.0)</f>
        <v>2</v>
      </c>
      <c r="Q13" s="3">
        <f>IFERROR(__xludf.DUMMYFUNCTION("""COMPUTED_VALUE"""),2.0)</f>
        <v>2</v>
      </c>
      <c r="R13" s="3">
        <f>IFERROR(__xludf.DUMMYFUNCTION("""COMPUTED_VALUE"""),3.0)</f>
        <v>3</v>
      </c>
      <c r="S13" s="3">
        <f>IFERROR(__xludf.DUMMYFUNCTION("""COMPUTED_VALUE"""),3.0)</f>
        <v>3</v>
      </c>
      <c r="T13" s="3">
        <f>IFERROR(__xludf.DUMMYFUNCTION("""COMPUTED_VALUE"""),4.0)</f>
        <v>4</v>
      </c>
      <c r="U13" s="3">
        <f>IFERROR(__xludf.DUMMYFUNCTION("""COMPUTED_VALUE"""),5.0)</f>
        <v>5</v>
      </c>
      <c r="V13" s="3">
        <f>IFERROR(__xludf.DUMMYFUNCTION("""COMPUTED_VALUE"""),5.0)</f>
        <v>5</v>
      </c>
      <c r="W13" s="3">
        <f>IFERROR(__xludf.DUMMYFUNCTION("""COMPUTED_VALUE"""),5.0)</f>
        <v>5</v>
      </c>
      <c r="X13" s="3">
        <f>IFERROR(__xludf.DUMMYFUNCTION("""COMPUTED_VALUE"""),5.0)</f>
        <v>5</v>
      </c>
      <c r="Y13" s="3">
        <f>IFERROR(__xludf.DUMMYFUNCTION("""COMPUTED_VALUE"""),5.0)</f>
        <v>5</v>
      </c>
      <c r="Z13" s="3">
        <f>IFERROR(__xludf.DUMMYFUNCTION("""COMPUTED_VALUE"""),5.0)</f>
        <v>5</v>
      </c>
      <c r="AA13" s="3">
        <f>IFERROR(__xludf.DUMMYFUNCTION("""COMPUTED_VALUE"""),5.0)</f>
        <v>5</v>
      </c>
      <c r="AB13" s="3">
        <f>IFERROR(__xludf.DUMMYFUNCTION("""COMPUTED_VALUE"""),5.0)</f>
        <v>5</v>
      </c>
      <c r="AC13" s="3">
        <f>IFERROR(__xludf.DUMMYFUNCTION("""COMPUTED_VALUE"""),5.0)</f>
        <v>5</v>
      </c>
      <c r="AD13" s="3">
        <f>IFERROR(__xludf.DUMMYFUNCTION("""COMPUTED_VALUE"""),5.0)</f>
        <v>5</v>
      </c>
      <c r="AE13" s="3">
        <f>IFERROR(__xludf.DUMMYFUNCTION("""COMPUTED_VALUE"""),5.0)</f>
        <v>5</v>
      </c>
      <c r="AF13" s="3">
        <f>IFERROR(__xludf.DUMMYFUNCTION("""COMPUTED_VALUE"""),5.0)</f>
        <v>5</v>
      </c>
      <c r="AG13" s="3">
        <f>IFERROR(__xludf.DUMMYFUNCTION("""COMPUTED_VALUE"""),5.0)</f>
        <v>5</v>
      </c>
      <c r="AH13" s="3">
        <f>IFERROR(__xludf.DUMMYFUNCTION("""COMPUTED_VALUE"""),5.0)</f>
        <v>5</v>
      </c>
      <c r="AI13" s="3">
        <f>IFERROR(__xludf.DUMMYFUNCTION("""COMPUTED_VALUE"""),5.0)</f>
        <v>5</v>
      </c>
      <c r="AJ13" s="3">
        <f>IFERROR(__xludf.DUMMYFUNCTION("""COMPUTED_VALUE"""),5.0)</f>
        <v>5</v>
      </c>
      <c r="AK13" s="3">
        <f>IFERROR(__xludf.DUMMYFUNCTION("""COMPUTED_VALUE"""),5.0)</f>
        <v>5</v>
      </c>
      <c r="AL13" s="3">
        <f>IFERROR(__xludf.DUMMYFUNCTION("""COMPUTED_VALUE"""),5.0)</f>
        <v>5</v>
      </c>
      <c r="AM13" s="3">
        <f>IFERROR(__xludf.DUMMYFUNCTION("""COMPUTED_VALUE"""),5.0)</f>
        <v>5</v>
      </c>
      <c r="AN13" s="3">
        <f>IFERROR(__xludf.DUMMYFUNCTION("""COMPUTED_VALUE"""),5.0)</f>
        <v>5</v>
      </c>
      <c r="AO13" s="3">
        <f>IFERROR(__xludf.DUMMYFUNCTION("""COMPUTED_VALUE"""),5.0)</f>
        <v>5</v>
      </c>
      <c r="AP13" s="3">
        <f>IFERROR(__xludf.DUMMYFUNCTION("""COMPUTED_VALUE"""),5.0)</f>
        <v>5</v>
      </c>
      <c r="AQ13" s="3">
        <f>IFERROR(__xludf.DUMMYFUNCTION("""COMPUTED_VALUE"""),9.0)</f>
        <v>9</v>
      </c>
      <c r="AR13" s="3">
        <f>IFERROR(__xludf.DUMMYFUNCTION("""COMPUTED_VALUE"""),9.0)</f>
        <v>9</v>
      </c>
      <c r="AS13" s="3">
        <f>IFERROR(__xludf.DUMMYFUNCTION("""COMPUTED_VALUE"""),9.0)</f>
        <v>9</v>
      </c>
      <c r="AT13" s="3">
        <f>IFERROR(__xludf.DUMMYFUNCTION("""COMPUTED_VALUE"""),11.0)</f>
        <v>11</v>
      </c>
      <c r="AU13" s="3">
        <f>IFERROR(__xludf.DUMMYFUNCTION("""COMPUTED_VALUE"""),11.0)</f>
        <v>11</v>
      </c>
      <c r="AV13" s="3">
        <f>IFERROR(__xludf.DUMMYFUNCTION("""COMPUTED_VALUE"""),13.0)</f>
        <v>13</v>
      </c>
      <c r="AW13" s="3">
        <f>IFERROR(__xludf.DUMMYFUNCTION("""COMPUTED_VALUE"""),13.0)</f>
        <v>13</v>
      </c>
      <c r="AX13" s="3">
        <f>IFERROR(__xludf.DUMMYFUNCTION("""COMPUTED_VALUE"""),13.0)</f>
        <v>13</v>
      </c>
      <c r="AY13" s="3">
        <f>IFERROR(__xludf.DUMMYFUNCTION("""COMPUTED_VALUE"""),15.0)</f>
        <v>15</v>
      </c>
      <c r="AZ13" s="3">
        <f>IFERROR(__xludf.DUMMYFUNCTION("""COMPUTED_VALUE"""),15.0)</f>
        <v>15</v>
      </c>
      <c r="BA13" s="3">
        <f>IFERROR(__xludf.DUMMYFUNCTION("""COMPUTED_VALUE"""),18.0)</f>
        <v>18</v>
      </c>
      <c r="BB13" s="3">
        <f>IFERROR(__xludf.DUMMYFUNCTION("""COMPUTED_VALUE"""),20.0)</f>
        <v>20</v>
      </c>
      <c r="BC13" s="3">
        <f>IFERROR(__xludf.DUMMYFUNCTION("""COMPUTED_VALUE"""),20.0)</f>
        <v>20</v>
      </c>
      <c r="BD13" s="3">
        <f>IFERROR(__xludf.DUMMYFUNCTION("""COMPUTED_VALUE"""),35.0)</f>
        <v>35</v>
      </c>
      <c r="BE13" s="3">
        <f>IFERROR(__xludf.DUMMYFUNCTION("""COMPUTED_VALUE"""),46.0)</f>
        <v>46</v>
      </c>
      <c r="BF13" s="3">
        <f>IFERROR(__xludf.DUMMYFUNCTION("""COMPUTED_VALUE"""),61.0)</f>
        <v>61</v>
      </c>
      <c r="BG13" s="3">
        <f>IFERROR(__xludf.DUMMYFUNCTION("""COMPUTED_VALUE"""),68.0)</f>
        <v>68</v>
      </c>
      <c r="BH13" s="3">
        <f>IFERROR(__xludf.DUMMYFUNCTION("""COMPUTED_VALUE"""),78.0)</f>
        <v>78</v>
      </c>
      <c r="BI13" s="3">
        <f>IFERROR(__xludf.DUMMYFUNCTION("""COMPUTED_VALUE"""),94.0)</f>
        <v>94</v>
      </c>
      <c r="BJ13" s="3">
        <f>IFERROR(__xludf.DUMMYFUNCTION("""COMPUTED_VALUE"""),144.0)</f>
        <v>144</v>
      </c>
      <c r="BK13" s="3">
        <f>IFERROR(__xludf.DUMMYFUNCTION("""COMPUTED_VALUE"""),184.0)</f>
        <v>184</v>
      </c>
      <c r="BL13" s="3">
        <f>IFERROR(__xludf.DUMMYFUNCTION("""COMPUTED_VALUE"""),221.0)</f>
        <v>221</v>
      </c>
      <c r="BM13" s="3">
        <f>IFERROR(__xludf.DUMMYFUNCTION("""COMPUTED_VALUE"""),259.0)</f>
        <v>259</v>
      </c>
      <c r="BN13" s="3">
        <f>IFERROR(__xludf.DUMMYFUNCTION("""COMPUTED_VALUE"""),319.0)</f>
        <v>319</v>
      </c>
      <c r="BO13" s="3">
        <f>IFERROR(__xludf.DUMMYFUNCTION("""COMPUTED_VALUE"""),397.0)</f>
        <v>397</v>
      </c>
      <c r="BP13" s="3">
        <f>IFERROR(__xludf.DUMMYFUNCTION("""COMPUTED_VALUE"""),443.0)</f>
        <v>443</v>
      </c>
      <c r="BQ13" s="3">
        <f>IFERROR(__xludf.DUMMYFUNCTION("""COMPUTED_VALUE"""),493.0)</f>
        <v>493</v>
      </c>
      <c r="BR13" s="3">
        <f>IFERROR(__xludf.DUMMYFUNCTION("""COMPUTED_VALUE"""),555.0)</f>
        <v>555</v>
      </c>
      <c r="BS13" s="3">
        <f>IFERROR(__xludf.DUMMYFUNCTION("""COMPUTED_VALUE"""),625.0)</f>
        <v>625</v>
      </c>
      <c r="BT13" s="3">
        <f>IFERROR(__xludf.DUMMYFUNCTION("""COMPUTED_VALUE"""),656.0)</f>
        <v>656</v>
      </c>
      <c r="BU13" s="3">
        <f>IFERROR(__xludf.DUMMYFUNCTION("""COMPUTED_VALUE"""),689.0)</f>
        <v>689</v>
      </c>
      <c r="BV13" s="3">
        <f>IFERROR(__xludf.DUMMYFUNCTION("""COMPUTED_VALUE"""),743.0)</f>
        <v>743</v>
      </c>
      <c r="BW13" s="3">
        <f>IFERROR(__xludf.DUMMYFUNCTION("""COMPUTED_VALUE"""),781.0)</f>
        <v>781</v>
      </c>
      <c r="BX13" s="3">
        <f>IFERROR(__xludf.DUMMYFUNCTION("""COMPUTED_VALUE"""),835.0)</f>
        <v>835</v>
      </c>
      <c r="BY13" s="3">
        <f>IFERROR(__xludf.DUMMYFUNCTION("""COMPUTED_VALUE"""),873.0)</f>
        <v>873</v>
      </c>
      <c r="BZ13" s="3">
        <f>IFERROR(__xludf.DUMMYFUNCTION("""COMPUTED_VALUE"""),900.0)</f>
        <v>900</v>
      </c>
      <c r="CA13" s="3">
        <f>IFERROR(__xludf.DUMMYFUNCTION("""COMPUTED_VALUE"""),907.0)</f>
        <v>907</v>
      </c>
      <c r="CB13" s="3">
        <f>IFERROR(__xludf.DUMMYFUNCTION("""COMPUTED_VALUE"""),921.0)</f>
        <v>921</v>
      </c>
    </row>
    <row r="14">
      <c r="A14" s="3" t="str">
        <f>IFERROR(__xludf.DUMMYFUNCTION("""COMPUTED_VALUE"""),"South Australia")</f>
        <v>South Australia</v>
      </c>
      <c r="B14" s="3" t="str">
        <f>IFERROR(__xludf.DUMMYFUNCTION("""COMPUTED_VALUE"""),"Australia")</f>
        <v>Australia</v>
      </c>
      <c r="C14" s="3">
        <f>IFERROR(__xludf.DUMMYFUNCTION("""COMPUTED_VALUE"""),-34.9285)</f>
        <v>-34.9285</v>
      </c>
      <c r="D14" s="3">
        <f>IFERROR(__xludf.DUMMYFUNCTION("""COMPUTED_VALUE"""),138.6007)</f>
        <v>138.6007</v>
      </c>
      <c r="E14" s="3">
        <f>IFERROR(__xludf.DUMMYFUNCTION("""COMPUTED_VALUE"""),0.0)</f>
        <v>0</v>
      </c>
      <c r="F14" s="3">
        <f>IFERROR(__xludf.DUMMYFUNCTION("""COMPUTED_VALUE"""),0.0)</f>
        <v>0</v>
      </c>
      <c r="G14" s="3">
        <f>IFERROR(__xludf.DUMMYFUNCTION("""COMPUTED_VALUE"""),0.0)</f>
        <v>0</v>
      </c>
      <c r="H14" s="3">
        <f>IFERROR(__xludf.DUMMYFUNCTION("""COMPUTED_VALUE"""),0.0)</f>
        <v>0</v>
      </c>
      <c r="I14" s="3">
        <f>IFERROR(__xludf.DUMMYFUNCTION("""COMPUTED_VALUE"""),0.0)</f>
        <v>0</v>
      </c>
      <c r="J14" s="3">
        <f>IFERROR(__xludf.DUMMYFUNCTION("""COMPUTED_VALUE"""),0.0)</f>
        <v>0</v>
      </c>
      <c r="K14" s="3">
        <f>IFERROR(__xludf.DUMMYFUNCTION("""COMPUTED_VALUE"""),0.0)</f>
        <v>0</v>
      </c>
      <c r="L14" s="3">
        <f>IFERROR(__xludf.DUMMYFUNCTION("""COMPUTED_VALUE"""),0.0)</f>
        <v>0</v>
      </c>
      <c r="M14" s="3">
        <f>IFERROR(__xludf.DUMMYFUNCTION("""COMPUTED_VALUE"""),0.0)</f>
        <v>0</v>
      </c>
      <c r="N14" s="3">
        <f>IFERROR(__xludf.DUMMYFUNCTION("""COMPUTED_VALUE"""),0.0)</f>
        <v>0</v>
      </c>
      <c r="O14" s="3">
        <f>IFERROR(__xludf.DUMMYFUNCTION("""COMPUTED_VALUE"""),1.0)</f>
        <v>1</v>
      </c>
      <c r="P14" s="3">
        <f>IFERROR(__xludf.DUMMYFUNCTION("""COMPUTED_VALUE"""),2.0)</f>
        <v>2</v>
      </c>
      <c r="Q14" s="3">
        <f>IFERROR(__xludf.DUMMYFUNCTION("""COMPUTED_VALUE"""),2.0)</f>
        <v>2</v>
      </c>
      <c r="R14" s="3">
        <f>IFERROR(__xludf.DUMMYFUNCTION("""COMPUTED_VALUE"""),2.0)</f>
        <v>2</v>
      </c>
      <c r="S14" s="3">
        <f>IFERROR(__xludf.DUMMYFUNCTION("""COMPUTED_VALUE"""),2.0)</f>
        <v>2</v>
      </c>
      <c r="T14" s="3">
        <f>IFERROR(__xludf.DUMMYFUNCTION("""COMPUTED_VALUE"""),2.0)</f>
        <v>2</v>
      </c>
      <c r="U14" s="3">
        <f>IFERROR(__xludf.DUMMYFUNCTION("""COMPUTED_VALUE"""),2.0)</f>
        <v>2</v>
      </c>
      <c r="V14" s="3">
        <f>IFERROR(__xludf.DUMMYFUNCTION("""COMPUTED_VALUE"""),2.0)</f>
        <v>2</v>
      </c>
      <c r="W14" s="3">
        <f>IFERROR(__xludf.DUMMYFUNCTION("""COMPUTED_VALUE"""),2.0)</f>
        <v>2</v>
      </c>
      <c r="X14" s="3">
        <f>IFERROR(__xludf.DUMMYFUNCTION("""COMPUTED_VALUE"""),2.0)</f>
        <v>2</v>
      </c>
      <c r="Y14" s="3">
        <f>IFERROR(__xludf.DUMMYFUNCTION("""COMPUTED_VALUE"""),2.0)</f>
        <v>2</v>
      </c>
      <c r="Z14" s="3">
        <f>IFERROR(__xludf.DUMMYFUNCTION("""COMPUTED_VALUE"""),2.0)</f>
        <v>2</v>
      </c>
      <c r="AA14" s="3">
        <f>IFERROR(__xludf.DUMMYFUNCTION("""COMPUTED_VALUE"""),2.0)</f>
        <v>2</v>
      </c>
      <c r="AB14" s="3">
        <f>IFERROR(__xludf.DUMMYFUNCTION("""COMPUTED_VALUE"""),2.0)</f>
        <v>2</v>
      </c>
      <c r="AC14" s="3">
        <f>IFERROR(__xludf.DUMMYFUNCTION("""COMPUTED_VALUE"""),2.0)</f>
        <v>2</v>
      </c>
      <c r="AD14" s="3">
        <f>IFERROR(__xludf.DUMMYFUNCTION("""COMPUTED_VALUE"""),2.0)</f>
        <v>2</v>
      </c>
      <c r="AE14" s="3">
        <f>IFERROR(__xludf.DUMMYFUNCTION("""COMPUTED_VALUE"""),2.0)</f>
        <v>2</v>
      </c>
      <c r="AF14" s="3">
        <f>IFERROR(__xludf.DUMMYFUNCTION("""COMPUTED_VALUE"""),2.0)</f>
        <v>2</v>
      </c>
      <c r="AG14" s="3">
        <f>IFERROR(__xludf.DUMMYFUNCTION("""COMPUTED_VALUE"""),2.0)</f>
        <v>2</v>
      </c>
      <c r="AH14" s="3">
        <f>IFERROR(__xludf.DUMMYFUNCTION("""COMPUTED_VALUE"""),2.0)</f>
        <v>2</v>
      </c>
      <c r="AI14" s="3">
        <f>IFERROR(__xludf.DUMMYFUNCTION("""COMPUTED_VALUE"""),2.0)</f>
        <v>2</v>
      </c>
      <c r="AJ14" s="3">
        <f>IFERROR(__xludf.DUMMYFUNCTION("""COMPUTED_VALUE"""),2.0)</f>
        <v>2</v>
      </c>
      <c r="AK14" s="3">
        <f>IFERROR(__xludf.DUMMYFUNCTION("""COMPUTED_VALUE"""),2.0)</f>
        <v>2</v>
      </c>
      <c r="AL14" s="3">
        <f>IFERROR(__xludf.DUMMYFUNCTION("""COMPUTED_VALUE"""),2.0)</f>
        <v>2</v>
      </c>
      <c r="AM14" s="3">
        <f>IFERROR(__xludf.DUMMYFUNCTION("""COMPUTED_VALUE"""),2.0)</f>
        <v>2</v>
      </c>
      <c r="AN14" s="3">
        <f>IFERROR(__xludf.DUMMYFUNCTION("""COMPUTED_VALUE"""),2.0)</f>
        <v>2</v>
      </c>
      <c r="AO14" s="3">
        <f>IFERROR(__xludf.DUMMYFUNCTION("""COMPUTED_VALUE"""),2.0)</f>
        <v>2</v>
      </c>
      <c r="AP14" s="3">
        <f>IFERROR(__xludf.DUMMYFUNCTION("""COMPUTED_VALUE"""),2.0)</f>
        <v>2</v>
      </c>
      <c r="AQ14" s="3">
        <f>IFERROR(__xludf.DUMMYFUNCTION("""COMPUTED_VALUE"""),3.0)</f>
        <v>3</v>
      </c>
      <c r="AR14" s="3">
        <f>IFERROR(__xludf.DUMMYFUNCTION("""COMPUTED_VALUE"""),3.0)</f>
        <v>3</v>
      </c>
      <c r="AS14" s="3">
        <f>IFERROR(__xludf.DUMMYFUNCTION("""COMPUTED_VALUE"""),3.0)</f>
        <v>3</v>
      </c>
      <c r="AT14" s="3">
        <f>IFERROR(__xludf.DUMMYFUNCTION("""COMPUTED_VALUE"""),3.0)</f>
        <v>3</v>
      </c>
      <c r="AU14" s="3">
        <f>IFERROR(__xludf.DUMMYFUNCTION("""COMPUTED_VALUE"""),5.0)</f>
        <v>5</v>
      </c>
      <c r="AV14" s="3">
        <f>IFERROR(__xludf.DUMMYFUNCTION("""COMPUTED_VALUE"""),5.0)</f>
        <v>5</v>
      </c>
      <c r="AW14" s="3">
        <f>IFERROR(__xludf.DUMMYFUNCTION("""COMPUTED_VALUE"""),7.0)</f>
        <v>7</v>
      </c>
      <c r="AX14" s="3">
        <f>IFERROR(__xludf.DUMMYFUNCTION("""COMPUTED_VALUE"""),7.0)</f>
        <v>7</v>
      </c>
      <c r="AY14" s="3">
        <f>IFERROR(__xludf.DUMMYFUNCTION("""COMPUTED_VALUE"""),7.0)</f>
        <v>7</v>
      </c>
      <c r="AZ14" s="3">
        <f>IFERROR(__xludf.DUMMYFUNCTION("""COMPUTED_VALUE"""),7.0)</f>
        <v>7</v>
      </c>
      <c r="BA14" s="3">
        <f>IFERROR(__xludf.DUMMYFUNCTION("""COMPUTED_VALUE"""),7.0)</f>
        <v>7</v>
      </c>
      <c r="BB14" s="3">
        <f>IFERROR(__xludf.DUMMYFUNCTION("""COMPUTED_VALUE"""),9.0)</f>
        <v>9</v>
      </c>
      <c r="BC14" s="3">
        <f>IFERROR(__xludf.DUMMYFUNCTION("""COMPUTED_VALUE"""),9.0)</f>
        <v>9</v>
      </c>
      <c r="BD14" s="3">
        <f>IFERROR(__xludf.DUMMYFUNCTION("""COMPUTED_VALUE"""),16.0)</f>
        <v>16</v>
      </c>
      <c r="BE14" s="3">
        <f>IFERROR(__xludf.DUMMYFUNCTION("""COMPUTED_VALUE"""),19.0)</f>
        <v>19</v>
      </c>
      <c r="BF14" s="3">
        <f>IFERROR(__xludf.DUMMYFUNCTION("""COMPUTED_VALUE"""),20.0)</f>
        <v>20</v>
      </c>
      <c r="BG14" s="3">
        <f>IFERROR(__xludf.DUMMYFUNCTION("""COMPUTED_VALUE"""),29.0)</f>
        <v>29</v>
      </c>
      <c r="BH14" s="3">
        <f>IFERROR(__xludf.DUMMYFUNCTION("""COMPUTED_VALUE"""),29.0)</f>
        <v>29</v>
      </c>
      <c r="BI14" s="3">
        <f>IFERROR(__xludf.DUMMYFUNCTION("""COMPUTED_VALUE"""),37.0)</f>
        <v>37</v>
      </c>
      <c r="BJ14" s="3">
        <f>IFERROR(__xludf.DUMMYFUNCTION("""COMPUTED_VALUE"""),42.0)</f>
        <v>42</v>
      </c>
      <c r="BK14" s="3">
        <f>IFERROR(__xludf.DUMMYFUNCTION("""COMPUTED_VALUE"""),50.0)</f>
        <v>50</v>
      </c>
      <c r="BL14" s="3">
        <f>IFERROR(__xludf.DUMMYFUNCTION("""COMPUTED_VALUE"""),67.0)</f>
        <v>67</v>
      </c>
      <c r="BM14" s="3">
        <f>IFERROR(__xludf.DUMMYFUNCTION("""COMPUTED_VALUE"""),100.0)</f>
        <v>100</v>
      </c>
      <c r="BN14" s="3">
        <f>IFERROR(__xludf.DUMMYFUNCTION("""COMPUTED_VALUE"""),134.0)</f>
        <v>134</v>
      </c>
      <c r="BO14" s="3">
        <f>IFERROR(__xludf.DUMMYFUNCTION("""COMPUTED_VALUE"""),170.0)</f>
        <v>170</v>
      </c>
      <c r="BP14" s="3">
        <f>IFERROR(__xludf.DUMMYFUNCTION("""COMPUTED_VALUE"""),170.0)</f>
        <v>170</v>
      </c>
      <c r="BQ14" s="3">
        <f>IFERROR(__xludf.DUMMYFUNCTION("""COMPUTED_VALUE"""),235.0)</f>
        <v>235</v>
      </c>
      <c r="BR14" s="3">
        <f>IFERROR(__xludf.DUMMYFUNCTION("""COMPUTED_VALUE"""),257.0)</f>
        <v>257</v>
      </c>
      <c r="BS14" s="3">
        <f>IFERROR(__xludf.DUMMYFUNCTION("""COMPUTED_VALUE"""),287.0)</f>
        <v>287</v>
      </c>
      <c r="BT14" s="3">
        <f>IFERROR(__xludf.DUMMYFUNCTION("""COMPUTED_VALUE"""),299.0)</f>
        <v>299</v>
      </c>
      <c r="BU14" s="3">
        <f>IFERROR(__xludf.DUMMYFUNCTION("""COMPUTED_VALUE"""),305.0)</f>
        <v>305</v>
      </c>
      <c r="BV14" s="3">
        <f>IFERROR(__xludf.DUMMYFUNCTION("""COMPUTED_VALUE"""),337.0)</f>
        <v>337</v>
      </c>
      <c r="BW14" s="3">
        <f>IFERROR(__xludf.DUMMYFUNCTION("""COMPUTED_VALUE"""),367.0)</f>
        <v>367</v>
      </c>
      <c r="BX14" s="3">
        <f>IFERROR(__xludf.DUMMYFUNCTION("""COMPUTED_VALUE"""),367.0)</f>
        <v>367</v>
      </c>
      <c r="BY14" s="3">
        <f>IFERROR(__xludf.DUMMYFUNCTION("""COMPUTED_VALUE"""),396.0)</f>
        <v>396</v>
      </c>
      <c r="BZ14" s="3">
        <f>IFERROR(__xludf.DUMMYFUNCTION("""COMPUTED_VALUE"""),407.0)</f>
        <v>407</v>
      </c>
      <c r="CA14" s="3">
        <f>IFERROR(__xludf.DUMMYFUNCTION("""COMPUTED_VALUE"""),407.0)</f>
        <v>407</v>
      </c>
      <c r="CB14" s="3">
        <f>IFERROR(__xludf.DUMMYFUNCTION("""COMPUTED_VALUE"""),411.0)</f>
        <v>411</v>
      </c>
    </row>
    <row r="15">
      <c r="A15" s="3" t="str">
        <f>IFERROR(__xludf.DUMMYFUNCTION("""COMPUTED_VALUE"""),"Tasmania")</f>
        <v>Tasmania</v>
      </c>
      <c r="B15" s="3" t="str">
        <f>IFERROR(__xludf.DUMMYFUNCTION("""COMPUTED_VALUE"""),"Australia")</f>
        <v>Australia</v>
      </c>
      <c r="C15" s="3">
        <f>IFERROR(__xludf.DUMMYFUNCTION("""COMPUTED_VALUE"""),-41.4545)</f>
        <v>-41.4545</v>
      </c>
      <c r="D15" s="3">
        <f>IFERROR(__xludf.DUMMYFUNCTION("""COMPUTED_VALUE"""),145.9707)</f>
        <v>145.9707</v>
      </c>
      <c r="E15" s="3">
        <f>IFERROR(__xludf.DUMMYFUNCTION("""COMPUTED_VALUE"""),0.0)</f>
        <v>0</v>
      </c>
      <c r="F15" s="3">
        <f>IFERROR(__xludf.DUMMYFUNCTION("""COMPUTED_VALUE"""),0.0)</f>
        <v>0</v>
      </c>
      <c r="G15" s="3">
        <f>IFERROR(__xludf.DUMMYFUNCTION("""COMPUTED_VALUE"""),0.0)</f>
        <v>0</v>
      </c>
      <c r="H15" s="3">
        <f>IFERROR(__xludf.DUMMYFUNCTION("""COMPUTED_VALUE"""),0.0)</f>
        <v>0</v>
      </c>
      <c r="I15" s="3">
        <f>IFERROR(__xludf.DUMMYFUNCTION("""COMPUTED_VALUE"""),0.0)</f>
        <v>0</v>
      </c>
      <c r="J15" s="3">
        <f>IFERROR(__xludf.DUMMYFUNCTION("""COMPUTED_VALUE"""),0.0)</f>
        <v>0</v>
      </c>
      <c r="K15" s="3">
        <f>IFERROR(__xludf.DUMMYFUNCTION("""COMPUTED_VALUE"""),0.0)</f>
        <v>0</v>
      </c>
      <c r="L15" s="3">
        <f>IFERROR(__xludf.DUMMYFUNCTION("""COMPUTED_VALUE"""),0.0)</f>
        <v>0</v>
      </c>
      <c r="M15" s="3">
        <f>IFERROR(__xludf.DUMMYFUNCTION("""COMPUTED_VALUE"""),0.0)</f>
        <v>0</v>
      </c>
      <c r="N15" s="3">
        <f>IFERROR(__xludf.DUMMYFUNCTION("""COMPUTED_VALUE"""),0.0)</f>
        <v>0</v>
      </c>
      <c r="O15" s="3">
        <f>IFERROR(__xludf.DUMMYFUNCTION("""COMPUTED_VALUE"""),0.0)</f>
        <v>0</v>
      </c>
      <c r="P15" s="3">
        <f>IFERROR(__xludf.DUMMYFUNCTION("""COMPUTED_VALUE"""),0.0)</f>
        <v>0</v>
      </c>
      <c r="Q15" s="3">
        <f>IFERROR(__xludf.DUMMYFUNCTION("""COMPUTED_VALUE"""),0.0)</f>
        <v>0</v>
      </c>
      <c r="R15" s="3">
        <f>IFERROR(__xludf.DUMMYFUNCTION("""COMPUTED_VALUE"""),0.0)</f>
        <v>0</v>
      </c>
      <c r="S15" s="3">
        <f>IFERROR(__xludf.DUMMYFUNCTION("""COMPUTED_VALUE"""),0.0)</f>
        <v>0</v>
      </c>
      <c r="T15" s="3">
        <f>IFERROR(__xludf.DUMMYFUNCTION("""COMPUTED_VALUE"""),0.0)</f>
        <v>0</v>
      </c>
      <c r="U15" s="3">
        <f>IFERROR(__xludf.DUMMYFUNCTION("""COMPUTED_VALUE"""),0.0)</f>
        <v>0</v>
      </c>
      <c r="V15" s="3">
        <f>IFERROR(__xludf.DUMMYFUNCTION("""COMPUTED_VALUE"""),0.0)</f>
        <v>0</v>
      </c>
      <c r="W15" s="3">
        <f>IFERROR(__xludf.DUMMYFUNCTION("""COMPUTED_VALUE"""),0.0)</f>
        <v>0</v>
      </c>
      <c r="X15" s="3">
        <f>IFERROR(__xludf.DUMMYFUNCTION("""COMPUTED_VALUE"""),0.0)</f>
        <v>0</v>
      </c>
      <c r="Y15" s="3">
        <f>IFERROR(__xludf.DUMMYFUNCTION("""COMPUTED_VALUE"""),0.0)</f>
        <v>0</v>
      </c>
      <c r="Z15" s="3">
        <f>IFERROR(__xludf.DUMMYFUNCTION("""COMPUTED_VALUE"""),0.0)</f>
        <v>0</v>
      </c>
      <c r="AA15" s="3">
        <f>IFERROR(__xludf.DUMMYFUNCTION("""COMPUTED_VALUE"""),0.0)</f>
        <v>0</v>
      </c>
      <c r="AB15" s="3">
        <f>IFERROR(__xludf.DUMMYFUNCTION("""COMPUTED_VALUE"""),0.0)</f>
        <v>0</v>
      </c>
      <c r="AC15" s="3">
        <f>IFERROR(__xludf.DUMMYFUNCTION("""COMPUTED_VALUE"""),0.0)</f>
        <v>0</v>
      </c>
      <c r="AD15" s="3">
        <f>IFERROR(__xludf.DUMMYFUNCTION("""COMPUTED_VALUE"""),0.0)</f>
        <v>0</v>
      </c>
      <c r="AE15" s="3">
        <f>IFERROR(__xludf.DUMMYFUNCTION("""COMPUTED_VALUE"""),0.0)</f>
        <v>0</v>
      </c>
      <c r="AF15" s="3">
        <f>IFERROR(__xludf.DUMMYFUNCTION("""COMPUTED_VALUE"""),0.0)</f>
        <v>0</v>
      </c>
      <c r="AG15" s="3">
        <f>IFERROR(__xludf.DUMMYFUNCTION("""COMPUTED_VALUE"""),0.0)</f>
        <v>0</v>
      </c>
      <c r="AH15" s="3">
        <f>IFERROR(__xludf.DUMMYFUNCTION("""COMPUTED_VALUE"""),0.0)</f>
        <v>0</v>
      </c>
      <c r="AI15" s="3">
        <f>IFERROR(__xludf.DUMMYFUNCTION("""COMPUTED_VALUE"""),0.0)</f>
        <v>0</v>
      </c>
      <c r="AJ15" s="3">
        <f>IFERROR(__xludf.DUMMYFUNCTION("""COMPUTED_VALUE"""),0.0)</f>
        <v>0</v>
      </c>
      <c r="AK15" s="3">
        <f>IFERROR(__xludf.DUMMYFUNCTION("""COMPUTED_VALUE"""),0.0)</f>
        <v>0</v>
      </c>
      <c r="AL15" s="3">
        <f>IFERROR(__xludf.DUMMYFUNCTION("""COMPUTED_VALUE"""),0.0)</f>
        <v>0</v>
      </c>
      <c r="AM15" s="3">
        <f>IFERROR(__xludf.DUMMYFUNCTION("""COMPUTED_VALUE"""),0.0)</f>
        <v>0</v>
      </c>
      <c r="AN15" s="3">
        <f>IFERROR(__xludf.DUMMYFUNCTION("""COMPUTED_VALUE"""),0.0)</f>
        <v>0</v>
      </c>
      <c r="AO15" s="3">
        <f>IFERROR(__xludf.DUMMYFUNCTION("""COMPUTED_VALUE"""),0.0)</f>
        <v>0</v>
      </c>
      <c r="AP15" s="3">
        <f>IFERROR(__xludf.DUMMYFUNCTION("""COMPUTED_VALUE"""),0.0)</f>
        <v>0</v>
      </c>
      <c r="AQ15" s="3">
        <f>IFERROR(__xludf.DUMMYFUNCTION("""COMPUTED_VALUE"""),0.0)</f>
        <v>0</v>
      </c>
      <c r="AR15" s="3">
        <f>IFERROR(__xludf.DUMMYFUNCTION("""COMPUTED_VALUE"""),0.0)</f>
        <v>0</v>
      </c>
      <c r="AS15" s="3">
        <f>IFERROR(__xludf.DUMMYFUNCTION("""COMPUTED_VALUE"""),1.0)</f>
        <v>1</v>
      </c>
      <c r="AT15" s="3">
        <f>IFERROR(__xludf.DUMMYFUNCTION("""COMPUTED_VALUE"""),1.0)</f>
        <v>1</v>
      </c>
      <c r="AU15" s="3">
        <f>IFERROR(__xludf.DUMMYFUNCTION("""COMPUTED_VALUE"""),1.0)</f>
        <v>1</v>
      </c>
      <c r="AV15" s="3">
        <f>IFERROR(__xludf.DUMMYFUNCTION("""COMPUTED_VALUE"""),1.0)</f>
        <v>1</v>
      </c>
      <c r="AW15" s="3">
        <f>IFERROR(__xludf.DUMMYFUNCTION("""COMPUTED_VALUE"""),1.0)</f>
        <v>1</v>
      </c>
      <c r="AX15" s="3">
        <f>IFERROR(__xludf.DUMMYFUNCTION("""COMPUTED_VALUE"""),1.0)</f>
        <v>1</v>
      </c>
      <c r="AY15" s="3">
        <f>IFERROR(__xludf.DUMMYFUNCTION("""COMPUTED_VALUE"""),2.0)</f>
        <v>2</v>
      </c>
      <c r="AZ15" s="3">
        <f>IFERROR(__xludf.DUMMYFUNCTION("""COMPUTED_VALUE"""),2.0)</f>
        <v>2</v>
      </c>
      <c r="BA15" s="3">
        <f>IFERROR(__xludf.DUMMYFUNCTION("""COMPUTED_VALUE"""),2.0)</f>
        <v>2</v>
      </c>
      <c r="BB15" s="3">
        <f>IFERROR(__xludf.DUMMYFUNCTION("""COMPUTED_VALUE"""),3.0)</f>
        <v>3</v>
      </c>
      <c r="BC15" s="3">
        <f>IFERROR(__xludf.DUMMYFUNCTION("""COMPUTED_VALUE"""),3.0)</f>
        <v>3</v>
      </c>
      <c r="BD15" s="3">
        <f>IFERROR(__xludf.DUMMYFUNCTION("""COMPUTED_VALUE"""),5.0)</f>
        <v>5</v>
      </c>
      <c r="BE15" s="3">
        <f>IFERROR(__xludf.DUMMYFUNCTION("""COMPUTED_VALUE"""),5.0)</f>
        <v>5</v>
      </c>
      <c r="BF15" s="3">
        <f>IFERROR(__xludf.DUMMYFUNCTION("""COMPUTED_VALUE"""),6.0)</f>
        <v>6</v>
      </c>
      <c r="BG15" s="3">
        <f>IFERROR(__xludf.DUMMYFUNCTION("""COMPUTED_VALUE"""),7.0)</f>
        <v>7</v>
      </c>
      <c r="BH15" s="3">
        <f>IFERROR(__xludf.DUMMYFUNCTION("""COMPUTED_VALUE"""),7.0)</f>
        <v>7</v>
      </c>
      <c r="BI15" s="3">
        <f>IFERROR(__xludf.DUMMYFUNCTION("""COMPUTED_VALUE"""),10.0)</f>
        <v>10</v>
      </c>
      <c r="BJ15" s="3">
        <f>IFERROR(__xludf.DUMMYFUNCTION("""COMPUTED_VALUE"""),10.0)</f>
        <v>10</v>
      </c>
      <c r="BK15" s="3">
        <f>IFERROR(__xludf.DUMMYFUNCTION("""COMPUTED_VALUE"""),10.0)</f>
        <v>10</v>
      </c>
      <c r="BL15" s="3">
        <f>IFERROR(__xludf.DUMMYFUNCTION("""COMPUTED_VALUE"""),16.0)</f>
        <v>16</v>
      </c>
      <c r="BM15" s="3">
        <f>IFERROR(__xludf.DUMMYFUNCTION("""COMPUTED_VALUE"""),22.0)</f>
        <v>22</v>
      </c>
      <c r="BN15" s="3">
        <f>IFERROR(__xludf.DUMMYFUNCTION("""COMPUTED_VALUE"""),28.0)</f>
        <v>28</v>
      </c>
      <c r="BO15" s="3">
        <f>IFERROR(__xludf.DUMMYFUNCTION("""COMPUTED_VALUE"""),28.0)</f>
        <v>28</v>
      </c>
      <c r="BP15" s="3">
        <f>IFERROR(__xludf.DUMMYFUNCTION("""COMPUTED_VALUE"""),36.0)</f>
        <v>36</v>
      </c>
      <c r="BQ15" s="3">
        <f>IFERROR(__xludf.DUMMYFUNCTION("""COMPUTED_VALUE"""),47.0)</f>
        <v>47</v>
      </c>
      <c r="BR15" s="3">
        <f>IFERROR(__xludf.DUMMYFUNCTION("""COMPUTED_VALUE"""),47.0)</f>
        <v>47</v>
      </c>
      <c r="BS15" s="3">
        <f>IFERROR(__xludf.DUMMYFUNCTION("""COMPUTED_VALUE"""),62.0)</f>
        <v>62</v>
      </c>
      <c r="BT15" s="3">
        <f>IFERROR(__xludf.DUMMYFUNCTION("""COMPUTED_VALUE"""),66.0)</f>
        <v>66</v>
      </c>
      <c r="BU15" s="3">
        <f>IFERROR(__xludf.DUMMYFUNCTION("""COMPUTED_VALUE"""),66.0)</f>
        <v>66</v>
      </c>
      <c r="BV15" s="3">
        <f>IFERROR(__xludf.DUMMYFUNCTION("""COMPUTED_VALUE"""),69.0)</f>
        <v>69</v>
      </c>
      <c r="BW15" s="3">
        <f>IFERROR(__xludf.DUMMYFUNCTION("""COMPUTED_VALUE"""),69.0)</f>
        <v>69</v>
      </c>
      <c r="BX15" s="3">
        <f>IFERROR(__xludf.DUMMYFUNCTION("""COMPUTED_VALUE"""),72.0)</f>
        <v>72</v>
      </c>
      <c r="BY15" s="3">
        <f>IFERROR(__xludf.DUMMYFUNCTION("""COMPUTED_VALUE"""),74.0)</f>
        <v>74</v>
      </c>
      <c r="BZ15" s="3">
        <f>IFERROR(__xludf.DUMMYFUNCTION("""COMPUTED_VALUE"""),80.0)</f>
        <v>80</v>
      </c>
      <c r="CA15" s="3">
        <f>IFERROR(__xludf.DUMMYFUNCTION("""COMPUTED_VALUE"""),82.0)</f>
        <v>82</v>
      </c>
      <c r="CB15" s="3">
        <f>IFERROR(__xludf.DUMMYFUNCTION("""COMPUTED_VALUE"""),86.0)</f>
        <v>86</v>
      </c>
    </row>
    <row r="16">
      <c r="A16" s="3" t="str">
        <f>IFERROR(__xludf.DUMMYFUNCTION("""COMPUTED_VALUE"""),"Victoria")</f>
        <v>Victoria</v>
      </c>
      <c r="B16" s="3" t="str">
        <f>IFERROR(__xludf.DUMMYFUNCTION("""COMPUTED_VALUE"""),"Australia")</f>
        <v>Australia</v>
      </c>
      <c r="C16" s="3">
        <f>IFERROR(__xludf.DUMMYFUNCTION("""COMPUTED_VALUE"""),-37.8136)</f>
        <v>-37.8136</v>
      </c>
      <c r="D16" s="3">
        <f>IFERROR(__xludf.DUMMYFUNCTION("""COMPUTED_VALUE"""),144.9631)</f>
        <v>144.9631</v>
      </c>
      <c r="E16" s="3">
        <f>IFERROR(__xludf.DUMMYFUNCTION("""COMPUTED_VALUE"""),0.0)</f>
        <v>0</v>
      </c>
      <c r="F16" s="3">
        <f>IFERROR(__xludf.DUMMYFUNCTION("""COMPUTED_VALUE"""),0.0)</f>
        <v>0</v>
      </c>
      <c r="G16" s="3">
        <f>IFERROR(__xludf.DUMMYFUNCTION("""COMPUTED_VALUE"""),0.0)</f>
        <v>0</v>
      </c>
      <c r="H16" s="3">
        <f>IFERROR(__xludf.DUMMYFUNCTION("""COMPUTED_VALUE"""),0.0)</f>
        <v>0</v>
      </c>
      <c r="I16" s="3">
        <f>IFERROR(__xludf.DUMMYFUNCTION("""COMPUTED_VALUE"""),1.0)</f>
        <v>1</v>
      </c>
      <c r="J16" s="3">
        <f>IFERROR(__xludf.DUMMYFUNCTION("""COMPUTED_VALUE"""),1.0)</f>
        <v>1</v>
      </c>
      <c r="K16" s="3">
        <f>IFERROR(__xludf.DUMMYFUNCTION("""COMPUTED_VALUE"""),1.0)</f>
        <v>1</v>
      </c>
      <c r="L16" s="3">
        <f>IFERROR(__xludf.DUMMYFUNCTION("""COMPUTED_VALUE"""),1.0)</f>
        <v>1</v>
      </c>
      <c r="M16" s="3">
        <f>IFERROR(__xludf.DUMMYFUNCTION("""COMPUTED_VALUE"""),2.0)</f>
        <v>2</v>
      </c>
      <c r="N16" s="3">
        <f>IFERROR(__xludf.DUMMYFUNCTION("""COMPUTED_VALUE"""),3.0)</f>
        <v>3</v>
      </c>
      <c r="O16" s="3">
        <f>IFERROR(__xludf.DUMMYFUNCTION("""COMPUTED_VALUE"""),4.0)</f>
        <v>4</v>
      </c>
      <c r="P16" s="3">
        <f>IFERROR(__xludf.DUMMYFUNCTION("""COMPUTED_VALUE"""),4.0)</f>
        <v>4</v>
      </c>
      <c r="Q16" s="3">
        <f>IFERROR(__xludf.DUMMYFUNCTION("""COMPUTED_VALUE"""),4.0)</f>
        <v>4</v>
      </c>
      <c r="R16" s="3">
        <f>IFERROR(__xludf.DUMMYFUNCTION("""COMPUTED_VALUE"""),4.0)</f>
        <v>4</v>
      </c>
      <c r="S16" s="3">
        <f>IFERROR(__xludf.DUMMYFUNCTION("""COMPUTED_VALUE"""),4.0)</f>
        <v>4</v>
      </c>
      <c r="T16" s="3">
        <f>IFERROR(__xludf.DUMMYFUNCTION("""COMPUTED_VALUE"""),4.0)</f>
        <v>4</v>
      </c>
      <c r="U16" s="3">
        <f>IFERROR(__xludf.DUMMYFUNCTION("""COMPUTED_VALUE"""),4.0)</f>
        <v>4</v>
      </c>
      <c r="V16" s="3">
        <f>IFERROR(__xludf.DUMMYFUNCTION("""COMPUTED_VALUE"""),4.0)</f>
        <v>4</v>
      </c>
      <c r="W16" s="3">
        <f>IFERROR(__xludf.DUMMYFUNCTION("""COMPUTED_VALUE"""),4.0)</f>
        <v>4</v>
      </c>
      <c r="X16" s="3">
        <f>IFERROR(__xludf.DUMMYFUNCTION("""COMPUTED_VALUE"""),4.0)</f>
        <v>4</v>
      </c>
      <c r="Y16" s="3">
        <f>IFERROR(__xludf.DUMMYFUNCTION("""COMPUTED_VALUE"""),4.0)</f>
        <v>4</v>
      </c>
      <c r="Z16" s="3">
        <f>IFERROR(__xludf.DUMMYFUNCTION("""COMPUTED_VALUE"""),4.0)</f>
        <v>4</v>
      </c>
      <c r="AA16" s="3">
        <f>IFERROR(__xludf.DUMMYFUNCTION("""COMPUTED_VALUE"""),4.0)</f>
        <v>4</v>
      </c>
      <c r="AB16" s="3">
        <f>IFERROR(__xludf.DUMMYFUNCTION("""COMPUTED_VALUE"""),4.0)</f>
        <v>4</v>
      </c>
      <c r="AC16" s="3">
        <f>IFERROR(__xludf.DUMMYFUNCTION("""COMPUTED_VALUE"""),4.0)</f>
        <v>4</v>
      </c>
      <c r="AD16" s="3">
        <f>IFERROR(__xludf.DUMMYFUNCTION("""COMPUTED_VALUE"""),4.0)</f>
        <v>4</v>
      </c>
      <c r="AE16" s="3">
        <f>IFERROR(__xludf.DUMMYFUNCTION("""COMPUTED_VALUE"""),4.0)</f>
        <v>4</v>
      </c>
      <c r="AF16" s="3">
        <f>IFERROR(__xludf.DUMMYFUNCTION("""COMPUTED_VALUE"""),4.0)</f>
        <v>4</v>
      </c>
      <c r="AG16" s="3">
        <f>IFERROR(__xludf.DUMMYFUNCTION("""COMPUTED_VALUE"""),4.0)</f>
        <v>4</v>
      </c>
      <c r="AH16" s="3">
        <f>IFERROR(__xludf.DUMMYFUNCTION("""COMPUTED_VALUE"""),4.0)</f>
        <v>4</v>
      </c>
      <c r="AI16" s="3">
        <f>IFERROR(__xludf.DUMMYFUNCTION("""COMPUTED_VALUE"""),4.0)</f>
        <v>4</v>
      </c>
      <c r="AJ16" s="3">
        <f>IFERROR(__xludf.DUMMYFUNCTION("""COMPUTED_VALUE"""),4.0)</f>
        <v>4</v>
      </c>
      <c r="AK16" s="3">
        <f>IFERROR(__xludf.DUMMYFUNCTION("""COMPUTED_VALUE"""),4.0)</f>
        <v>4</v>
      </c>
      <c r="AL16" s="3">
        <f>IFERROR(__xludf.DUMMYFUNCTION("""COMPUTED_VALUE"""),4.0)</f>
        <v>4</v>
      </c>
      <c r="AM16" s="3">
        <f>IFERROR(__xludf.DUMMYFUNCTION("""COMPUTED_VALUE"""),4.0)</f>
        <v>4</v>
      </c>
      <c r="AN16" s="3">
        <f>IFERROR(__xludf.DUMMYFUNCTION("""COMPUTED_VALUE"""),4.0)</f>
        <v>4</v>
      </c>
      <c r="AO16" s="3">
        <f>IFERROR(__xludf.DUMMYFUNCTION("""COMPUTED_VALUE"""),4.0)</f>
        <v>4</v>
      </c>
      <c r="AP16" s="3">
        <f>IFERROR(__xludf.DUMMYFUNCTION("""COMPUTED_VALUE"""),4.0)</f>
        <v>4</v>
      </c>
      <c r="AQ16" s="3">
        <f>IFERROR(__xludf.DUMMYFUNCTION("""COMPUTED_VALUE"""),7.0)</f>
        <v>7</v>
      </c>
      <c r="AR16" s="3">
        <f>IFERROR(__xludf.DUMMYFUNCTION("""COMPUTED_VALUE"""),7.0)</f>
        <v>7</v>
      </c>
      <c r="AS16" s="3">
        <f>IFERROR(__xludf.DUMMYFUNCTION("""COMPUTED_VALUE"""),9.0)</f>
        <v>9</v>
      </c>
      <c r="AT16" s="3">
        <f>IFERROR(__xludf.DUMMYFUNCTION("""COMPUTED_VALUE"""),9.0)</f>
        <v>9</v>
      </c>
      <c r="AU16" s="3">
        <f>IFERROR(__xludf.DUMMYFUNCTION("""COMPUTED_VALUE"""),10.0)</f>
        <v>10</v>
      </c>
      <c r="AV16" s="3">
        <f>IFERROR(__xludf.DUMMYFUNCTION("""COMPUTED_VALUE"""),10.0)</f>
        <v>10</v>
      </c>
      <c r="AW16" s="3">
        <f>IFERROR(__xludf.DUMMYFUNCTION("""COMPUTED_VALUE"""),10.0)</f>
        <v>10</v>
      </c>
      <c r="AX16" s="3">
        <f>IFERROR(__xludf.DUMMYFUNCTION("""COMPUTED_VALUE"""),11.0)</f>
        <v>11</v>
      </c>
      <c r="AY16" s="3">
        <f>IFERROR(__xludf.DUMMYFUNCTION("""COMPUTED_VALUE"""),11.0)</f>
        <v>11</v>
      </c>
      <c r="AZ16" s="3">
        <f>IFERROR(__xludf.DUMMYFUNCTION("""COMPUTED_VALUE"""),15.0)</f>
        <v>15</v>
      </c>
      <c r="BA16" s="3">
        <f>IFERROR(__xludf.DUMMYFUNCTION("""COMPUTED_VALUE"""),18.0)</f>
        <v>18</v>
      </c>
      <c r="BB16" s="3">
        <f>IFERROR(__xludf.DUMMYFUNCTION("""COMPUTED_VALUE"""),21.0)</f>
        <v>21</v>
      </c>
      <c r="BC16" s="3">
        <f>IFERROR(__xludf.DUMMYFUNCTION("""COMPUTED_VALUE"""),21.0)</f>
        <v>21</v>
      </c>
      <c r="BD16" s="3">
        <f>IFERROR(__xludf.DUMMYFUNCTION("""COMPUTED_VALUE"""),36.0)</f>
        <v>36</v>
      </c>
      <c r="BE16" s="3">
        <f>IFERROR(__xludf.DUMMYFUNCTION("""COMPUTED_VALUE"""),49.0)</f>
        <v>49</v>
      </c>
      <c r="BF16" s="3">
        <f>IFERROR(__xludf.DUMMYFUNCTION("""COMPUTED_VALUE"""),57.0)</f>
        <v>57</v>
      </c>
      <c r="BG16" s="3">
        <f>IFERROR(__xludf.DUMMYFUNCTION("""COMPUTED_VALUE"""),71.0)</f>
        <v>71</v>
      </c>
      <c r="BH16" s="3">
        <f>IFERROR(__xludf.DUMMYFUNCTION("""COMPUTED_VALUE"""),94.0)</f>
        <v>94</v>
      </c>
      <c r="BI16" s="3">
        <f>IFERROR(__xludf.DUMMYFUNCTION("""COMPUTED_VALUE"""),121.0)</f>
        <v>121</v>
      </c>
      <c r="BJ16" s="3">
        <f>IFERROR(__xludf.DUMMYFUNCTION("""COMPUTED_VALUE"""),121.0)</f>
        <v>121</v>
      </c>
      <c r="BK16" s="3">
        <f>IFERROR(__xludf.DUMMYFUNCTION("""COMPUTED_VALUE"""),121.0)</f>
        <v>121</v>
      </c>
      <c r="BL16" s="3">
        <f>IFERROR(__xludf.DUMMYFUNCTION("""COMPUTED_VALUE"""),229.0)</f>
        <v>229</v>
      </c>
      <c r="BM16" s="3">
        <f>IFERROR(__xludf.DUMMYFUNCTION("""COMPUTED_VALUE"""),355.0)</f>
        <v>355</v>
      </c>
      <c r="BN16" s="3">
        <f>IFERROR(__xludf.DUMMYFUNCTION("""COMPUTED_VALUE"""),355.0)</f>
        <v>355</v>
      </c>
      <c r="BO16" s="3">
        <f>IFERROR(__xludf.DUMMYFUNCTION("""COMPUTED_VALUE"""),411.0)</f>
        <v>411</v>
      </c>
      <c r="BP16" s="3">
        <f>IFERROR(__xludf.DUMMYFUNCTION("""COMPUTED_VALUE"""),466.0)</f>
        <v>466</v>
      </c>
      <c r="BQ16" s="3">
        <f>IFERROR(__xludf.DUMMYFUNCTION("""COMPUTED_VALUE"""),520.0)</f>
        <v>520</v>
      </c>
      <c r="BR16" s="3">
        <f>IFERROR(__xludf.DUMMYFUNCTION("""COMPUTED_VALUE"""),574.0)</f>
        <v>574</v>
      </c>
      <c r="BS16" s="3">
        <f>IFERROR(__xludf.DUMMYFUNCTION("""COMPUTED_VALUE"""),685.0)</f>
        <v>685</v>
      </c>
      <c r="BT16" s="3">
        <f>IFERROR(__xludf.DUMMYFUNCTION("""COMPUTED_VALUE"""),769.0)</f>
        <v>769</v>
      </c>
      <c r="BU16" s="3">
        <f>IFERROR(__xludf.DUMMYFUNCTION("""COMPUTED_VALUE"""),821.0)</f>
        <v>821</v>
      </c>
      <c r="BV16" s="3">
        <f>IFERROR(__xludf.DUMMYFUNCTION("""COMPUTED_VALUE"""),917.0)</f>
        <v>917</v>
      </c>
      <c r="BW16" s="3">
        <f>IFERROR(__xludf.DUMMYFUNCTION("""COMPUTED_VALUE"""),968.0)</f>
        <v>968</v>
      </c>
      <c r="BX16" s="3">
        <f>IFERROR(__xludf.DUMMYFUNCTION("""COMPUTED_VALUE"""),1036.0)</f>
        <v>1036</v>
      </c>
      <c r="BY16" s="3">
        <f>IFERROR(__xludf.DUMMYFUNCTION("""COMPUTED_VALUE"""),1085.0)</f>
        <v>1085</v>
      </c>
      <c r="BZ16" s="3">
        <f>IFERROR(__xludf.DUMMYFUNCTION("""COMPUTED_VALUE"""),1115.0)</f>
        <v>1115</v>
      </c>
      <c r="CA16" s="3">
        <f>IFERROR(__xludf.DUMMYFUNCTION("""COMPUTED_VALUE"""),1135.0)</f>
        <v>1135</v>
      </c>
      <c r="CB16" s="3">
        <f>IFERROR(__xludf.DUMMYFUNCTION("""COMPUTED_VALUE"""),1158.0)</f>
        <v>1158</v>
      </c>
    </row>
    <row r="17">
      <c r="A17" s="3" t="str">
        <f>IFERROR(__xludf.DUMMYFUNCTION("""COMPUTED_VALUE"""),"Western Australia")</f>
        <v>Western Australia</v>
      </c>
      <c r="B17" s="3" t="str">
        <f>IFERROR(__xludf.DUMMYFUNCTION("""COMPUTED_VALUE"""),"Australia")</f>
        <v>Australia</v>
      </c>
      <c r="C17" s="3">
        <f>IFERROR(__xludf.DUMMYFUNCTION("""COMPUTED_VALUE"""),-31.9505)</f>
        <v>-31.9505</v>
      </c>
      <c r="D17" s="3">
        <f>IFERROR(__xludf.DUMMYFUNCTION("""COMPUTED_VALUE"""),115.8605)</f>
        <v>115.8605</v>
      </c>
      <c r="E17" s="3">
        <f>IFERROR(__xludf.DUMMYFUNCTION("""COMPUTED_VALUE"""),0.0)</f>
        <v>0</v>
      </c>
      <c r="F17" s="3">
        <f>IFERROR(__xludf.DUMMYFUNCTION("""COMPUTED_VALUE"""),0.0)</f>
        <v>0</v>
      </c>
      <c r="G17" s="3">
        <f>IFERROR(__xludf.DUMMYFUNCTION("""COMPUTED_VALUE"""),0.0)</f>
        <v>0</v>
      </c>
      <c r="H17" s="3">
        <f>IFERROR(__xludf.DUMMYFUNCTION("""COMPUTED_VALUE"""),0.0)</f>
        <v>0</v>
      </c>
      <c r="I17" s="3">
        <f>IFERROR(__xludf.DUMMYFUNCTION("""COMPUTED_VALUE"""),0.0)</f>
        <v>0</v>
      </c>
      <c r="J17" s="3">
        <f>IFERROR(__xludf.DUMMYFUNCTION("""COMPUTED_VALUE"""),0.0)</f>
        <v>0</v>
      </c>
      <c r="K17" s="3">
        <f>IFERROR(__xludf.DUMMYFUNCTION("""COMPUTED_VALUE"""),0.0)</f>
        <v>0</v>
      </c>
      <c r="L17" s="3">
        <f>IFERROR(__xludf.DUMMYFUNCTION("""COMPUTED_VALUE"""),0.0)</f>
        <v>0</v>
      </c>
      <c r="M17" s="3">
        <f>IFERROR(__xludf.DUMMYFUNCTION("""COMPUTED_VALUE"""),0.0)</f>
        <v>0</v>
      </c>
      <c r="N17" s="3">
        <f>IFERROR(__xludf.DUMMYFUNCTION("""COMPUTED_VALUE"""),0.0)</f>
        <v>0</v>
      </c>
      <c r="O17" s="3">
        <f>IFERROR(__xludf.DUMMYFUNCTION("""COMPUTED_VALUE"""),0.0)</f>
        <v>0</v>
      </c>
      <c r="P17" s="3">
        <f>IFERROR(__xludf.DUMMYFUNCTION("""COMPUTED_VALUE"""),0.0)</f>
        <v>0</v>
      </c>
      <c r="Q17" s="3">
        <f>IFERROR(__xludf.DUMMYFUNCTION("""COMPUTED_VALUE"""),0.0)</f>
        <v>0</v>
      </c>
      <c r="R17" s="3">
        <f>IFERROR(__xludf.DUMMYFUNCTION("""COMPUTED_VALUE"""),0.0)</f>
        <v>0</v>
      </c>
      <c r="S17" s="3">
        <f>IFERROR(__xludf.DUMMYFUNCTION("""COMPUTED_VALUE"""),0.0)</f>
        <v>0</v>
      </c>
      <c r="T17" s="3">
        <f>IFERROR(__xludf.DUMMYFUNCTION("""COMPUTED_VALUE"""),0.0)</f>
        <v>0</v>
      </c>
      <c r="U17" s="3">
        <f>IFERROR(__xludf.DUMMYFUNCTION("""COMPUTED_VALUE"""),0.0)</f>
        <v>0</v>
      </c>
      <c r="V17" s="3">
        <f>IFERROR(__xludf.DUMMYFUNCTION("""COMPUTED_VALUE"""),0.0)</f>
        <v>0</v>
      </c>
      <c r="W17" s="3">
        <f>IFERROR(__xludf.DUMMYFUNCTION("""COMPUTED_VALUE"""),0.0)</f>
        <v>0</v>
      </c>
      <c r="X17" s="3">
        <f>IFERROR(__xludf.DUMMYFUNCTION("""COMPUTED_VALUE"""),0.0)</f>
        <v>0</v>
      </c>
      <c r="Y17" s="3">
        <f>IFERROR(__xludf.DUMMYFUNCTION("""COMPUTED_VALUE"""),0.0)</f>
        <v>0</v>
      </c>
      <c r="Z17" s="3">
        <f>IFERROR(__xludf.DUMMYFUNCTION("""COMPUTED_VALUE"""),0.0)</f>
        <v>0</v>
      </c>
      <c r="AA17" s="3">
        <f>IFERROR(__xludf.DUMMYFUNCTION("""COMPUTED_VALUE"""),0.0)</f>
        <v>0</v>
      </c>
      <c r="AB17" s="3">
        <f>IFERROR(__xludf.DUMMYFUNCTION("""COMPUTED_VALUE"""),0.0)</f>
        <v>0</v>
      </c>
      <c r="AC17" s="3">
        <f>IFERROR(__xludf.DUMMYFUNCTION("""COMPUTED_VALUE"""),0.0)</f>
        <v>0</v>
      </c>
      <c r="AD17" s="3">
        <f>IFERROR(__xludf.DUMMYFUNCTION("""COMPUTED_VALUE"""),0.0)</f>
        <v>0</v>
      </c>
      <c r="AE17" s="3">
        <f>IFERROR(__xludf.DUMMYFUNCTION("""COMPUTED_VALUE"""),0.0)</f>
        <v>0</v>
      </c>
      <c r="AF17" s="3">
        <f>IFERROR(__xludf.DUMMYFUNCTION("""COMPUTED_VALUE"""),0.0)</f>
        <v>0</v>
      </c>
      <c r="AG17" s="3">
        <f>IFERROR(__xludf.DUMMYFUNCTION("""COMPUTED_VALUE"""),0.0)</f>
        <v>0</v>
      </c>
      <c r="AH17" s="3">
        <f>IFERROR(__xludf.DUMMYFUNCTION("""COMPUTED_VALUE"""),0.0)</f>
        <v>0</v>
      </c>
      <c r="AI17" s="3">
        <f>IFERROR(__xludf.DUMMYFUNCTION("""COMPUTED_VALUE"""),0.0)</f>
        <v>0</v>
      </c>
      <c r="AJ17" s="3">
        <f>IFERROR(__xludf.DUMMYFUNCTION("""COMPUTED_VALUE"""),0.0)</f>
        <v>0</v>
      </c>
      <c r="AK17" s="3">
        <f>IFERROR(__xludf.DUMMYFUNCTION("""COMPUTED_VALUE"""),0.0)</f>
        <v>0</v>
      </c>
      <c r="AL17" s="3">
        <f>IFERROR(__xludf.DUMMYFUNCTION("""COMPUTED_VALUE"""),0.0)</f>
        <v>0</v>
      </c>
      <c r="AM17" s="3">
        <f>IFERROR(__xludf.DUMMYFUNCTION("""COMPUTED_VALUE"""),0.0)</f>
        <v>0</v>
      </c>
      <c r="AN17" s="3">
        <f>IFERROR(__xludf.DUMMYFUNCTION("""COMPUTED_VALUE"""),0.0)</f>
        <v>0</v>
      </c>
      <c r="AO17" s="3">
        <f>IFERROR(__xludf.DUMMYFUNCTION("""COMPUTED_VALUE"""),0.0)</f>
        <v>0</v>
      </c>
      <c r="AP17" s="3">
        <f>IFERROR(__xludf.DUMMYFUNCTION("""COMPUTED_VALUE"""),0.0)</f>
        <v>0</v>
      </c>
      <c r="AQ17" s="3">
        <f>IFERROR(__xludf.DUMMYFUNCTION("""COMPUTED_VALUE"""),2.0)</f>
        <v>2</v>
      </c>
      <c r="AR17" s="3">
        <f>IFERROR(__xludf.DUMMYFUNCTION("""COMPUTED_VALUE"""),2.0)</f>
        <v>2</v>
      </c>
      <c r="AS17" s="3">
        <f>IFERROR(__xludf.DUMMYFUNCTION("""COMPUTED_VALUE"""),2.0)</f>
        <v>2</v>
      </c>
      <c r="AT17" s="3">
        <f>IFERROR(__xludf.DUMMYFUNCTION("""COMPUTED_VALUE"""),2.0)</f>
        <v>2</v>
      </c>
      <c r="AU17" s="3">
        <f>IFERROR(__xludf.DUMMYFUNCTION("""COMPUTED_VALUE"""),2.0)</f>
        <v>2</v>
      </c>
      <c r="AV17" s="3">
        <f>IFERROR(__xludf.DUMMYFUNCTION("""COMPUTED_VALUE"""),3.0)</f>
        <v>3</v>
      </c>
      <c r="AW17" s="3">
        <f>IFERROR(__xludf.DUMMYFUNCTION("""COMPUTED_VALUE"""),3.0)</f>
        <v>3</v>
      </c>
      <c r="AX17" s="3">
        <f>IFERROR(__xludf.DUMMYFUNCTION("""COMPUTED_VALUE"""),3.0)</f>
        <v>3</v>
      </c>
      <c r="AY17" s="3">
        <f>IFERROR(__xludf.DUMMYFUNCTION("""COMPUTED_VALUE"""),3.0)</f>
        <v>3</v>
      </c>
      <c r="AZ17" s="3">
        <f>IFERROR(__xludf.DUMMYFUNCTION("""COMPUTED_VALUE"""),4.0)</f>
        <v>4</v>
      </c>
      <c r="BA17" s="3">
        <f>IFERROR(__xludf.DUMMYFUNCTION("""COMPUTED_VALUE"""),6.0)</f>
        <v>6</v>
      </c>
      <c r="BB17" s="3">
        <f>IFERROR(__xludf.DUMMYFUNCTION("""COMPUTED_VALUE"""),9.0)</f>
        <v>9</v>
      </c>
      <c r="BC17" s="3">
        <f>IFERROR(__xludf.DUMMYFUNCTION("""COMPUTED_VALUE"""),9.0)</f>
        <v>9</v>
      </c>
      <c r="BD17" s="3">
        <f>IFERROR(__xludf.DUMMYFUNCTION("""COMPUTED_VALUE"""),14.0)</f>
        <v>14</v>
      </c>
      <c r="BE17" s="3">
        <f>IFERROR(__xludf.DUMMYFUNCTION("""COMPUTED_VALUE"""),17.0)</f>
        <v>17</v>
      </c>
      <c r="BF17" s="3">
        <f>IFERROR(__xludf.DUMMYFUNCTION("""COMPUTED_VALUE"""),17.0)</f>
        <v>17</v>
      </c>
      <c r="BG17" s="3">
        <f>IFERROR(__xludf.DUMMYFUNCTION("""COMPUTED_VALUE"""),28.0)</f>
        <v>28</v>
      </c>
      <c r="BH17" s="3">
        <f>IFERROR(__xludf.DUMMYFUNCTION("""COMPUTED_VALUE"""),31.0)</f>
        <v>31</v>
      </c>
      <c r="BI17" s="3">
        <f>IFERROR(__xludf.DUMMYFUNCTION("""COMPUTED_VALUE"""),35.0)</f>
        <v>35</v>
      </c>
      <c r="BJ17" s="3">
        <f>IFERROR(__xludf.DUMMYFUNCTION("""COMPUTED_VALUE"""),52.0)</f>
        <v>52</v>
      </c>
      <c r="BK17" s="3">
        <f>IFERROR(__xludf.DUMMYFUNCTION("""COMPUTED_VALUE"""),64.0)</f>
        <v>64</v>
      </c>
      <c r="BL17" s="3">
        <f>IFERROR(__xludf.DUMMYFUNCTION("""COMPUTED_VALUE"""),90.0)</f>
        <v>90</v>
      </c>
      <c r="BM17" s="3">
        <f>IFERROR(__xludf.DUMMYFUNCTION("""COMPUTED_VALUE"""),120.0)</f>
        <v>120</v>
      </c>
      <c r="BN17" s="3">
        <f>IFERROR(__xludf.DUMMYFUNCTION("""COMPUTED_VALUE"""),140.0)</f>
        <v>140</v>
      </c>
      <c r="BO17" s="3">
        <f>IFERROR(__xludf.DUMMYFUNCTION("""COMPUTED_VALUE"""),175.0)</f>
        <v>175</v>
      </c>
      <c r="BP17" s="3">
        <f>IFERROR(__xludf.DUMMYFUNCTION("""COMPUTED_VALUE"""),175.0)</f>
        <v>175</v>
      </c>
      <c r="BQ17" s="3">
        <f>IFERROR(__xludf.DUMMYFUNCTION("""COMPUTED_VALUE"""),231.0)</f>
        <v>231</v>
      </c>
      <c r="BR17" s="3">
        <f>IFERROR(__xludf.DUMMYFUNCTION("""COMPUTED_VALUE"""),231.0)</f>
        <v>231</v>
      </c>
      <c r="BS17" s="3">
        <f>IFERROR(__xludf.DUMMYFUNCTION("""COMPUTED_VALUE"""),278.0)</f>
        <v>278</v>
      </c>
      <c r="BT17" s="3">
        <f>IFERROR(__xludf.DUMMYFUNCTION("""COMPUTED_VALUE"""),311.0)</f>
        <v>311</v>
      </c>
      <c r="BU17" s="3">
        <f>IFERROR(__xludf.DUMMYFUNCTION("""COMPUTED_VALUE"""),355.0)</f>
        <v>355</v>
      </c>
      <c r="BV17" s="3">
        <f>IFERROR(__xludf.DUMMYFUNCTION("""COMPUTED_VALUE"""),364.0)</f>
        <v>364</v>
      </c>
      <c r="BW17" s="3">
        <f>IFERROR(__xludf.DUMMYFUNCTION("""COMPUTED_VALUE"""),392.0)</f>
        <v>392</v>
      </c>
      <c r="BX17" s="3">
        <f>IFERROR(__xludf.DUMMYFUNCTION("""COMPUTED_VALUE"""),400.0)</f>
        <v>400</v>
      </c>
      <c r="BY17" s="3">
        <f>IFERROR(__xludf.DUMMYFUNCTION("""COMPUTED_VALUE"""),400.0)</f>
        <v>400</v>
      </c>
      <c r="BZ17" s="3">
        <f>IFERROR(__xludf.DUMMYFUNCTION("""COMPUTED_VALUE"""),436.0)</f>
        <v>436</v>
      </c>
      <c r="CA17" s="3">
        <f>IFERROR(__xludf.DUMMYFUNCTION("""COMPUTED_VALUE"""),453.0)</f>
        <v>453</v>
      </c>
      <c r="CB17" s="3">
        <f>IFERROR(__xludf.DUMMYFUNCTION("""COMPUTED_VALUE"""),460.0)</f>
        <v>460</v>
      </c>
    </row>
    <row r="18">
      <c r="A18" s="3" t="str">
        <f>IFERROR(__xludf.DUMMYFUNCTION("""COMPUTED_VALUE"""),"")</f>
        <v/>
      </c>
      <c r="B18" s="3" t="str">
        <f>IFERROR(__xludf.DUMMYFUNCTION("""COMPUTED_VALUE"""),"Austria")</f>
        <v>Austria</v>
      </c>
      <c r="C18" s="3">
        <f>IFERROR(__xludf.DUMMYFUNCTION("""COMPUTED_VALUE"""),47.5162)</f>
        <v>47.5162</v>
      </c>
      <c r="D18" s="3">
        <f>IFERROR(__xludf.DUMMYFUNCTION("""COMPUTED_VALUE"""),14.5501)</f>
        <v>14.5501</v>
      </c>
      <c r="E18" s="3">
        <f>IFERROR(__xludf.DUMMYFUNCTION("""COMPUTED_VALUE"""),0.0)</f>
        <v>0</v>
      </c>
      <c r="F18" s="3">
        <f>IFERROR(__xludf.DUMMYFUNCTION("""COMPUTED_VALUE"""),0.0)</f>
        <v>0</v>
      </c>
      <c r="G18" s="3">
        <f>IFERROR(__xludf.DUMMYFUNCTION("""COMPUTED_VALUE"""),0.0)</f>
        <v>0</v>
      </c>
      <c r="H18" s="3">
        <f>IFERROR(__xludf.DUMMYFUNCTION("""COMPUTED_VALUE"""),0.0)</f>
        <v>0</v>
      </c>
      <c r="I18" s="3">
        <f>IFERROR(__xludf.DUMMYFUNCTION("""COMPUTED_VALUE"""),0.0)</f>
        <v>0</v>
      </c>
      <c r="J18" s="3">
        <f>IFERROR(__xludf.DUMMYFUNCTION("""COMPUTED_VALUE"""),0.0)</f>
        <v>0</v>
      </c>
      <c r="K18" s="3">
        <f>IFERROR(__xludf.DUMMYFUNCTION("""COMPUTED_VALUE"""),0.0)</f>
        <v>0</v>
      </c>
      <c r="L18" s="3">
        <f>IFERROR(__xludf.DUMMYFUNCTION("""COMPUTED_VALUE"""),0.0)</f>
        <v>0</v>
      </c>
      <c r="M18" s="3">
        <f>IFERROR(__xludf.DUMMYFUNCTION("""COMPUTED_VALUE"""),0.0)</f>
        <v>0</v>
      </c>
      <c r="N18" s="3">
        <f>IFERROR(__xludf.DUMMYFUNCTION("""COMPUTED_VALUE"""),0.0)</f>
        <v>0</v>
      </c>
      <c r="O18" s="3">
        <f>IFERROR(__xludf.DUMMYFUNCTION("""COMPUTED_VALUE"""),0.0)</f>
        <v>0</v>
      </c>
      <c r="P18" s="3">
        <f>IFERROR(__xludf.DUMMYFUNCTION("""COMPUTED_VALUE"""),0.0)</f>
        <v>0</v>
      </c>
      <c r="Q18" s="3">
        <f>IFERROR(__xludf.DUMMYFUNCTION("""COMPUTED_VALUE"""),0.0)</f>
        <v>0</v>
      </c>
      <c r="R18" s="3">
        <f>IFERROR(__xludf.DUMMYFUNCTION("""COMPUTED_VALUE"""),0.0)</f>
        <v>0</v>
      </c>
      <c r="S18" s="3">
        <f>IFERROR(__xludf.DUMMYFUNCTION("""COMPUTED_VALUE"""),0.0)</f>
        <v>0</v>
      </c>
      <c r="T18" s="3">
        <f>IFERROR(__xludf.DUMMYFUNCTION("""COMPUTED_VALUE"""),0.0)</f>
        <v>0</v>
      </c>
      <c r="U18" s="3">
        <f>IFERROR(__xludf.DUMMYFUNCTION("""COMPUTED_VALUE"""),0.0)</f>
        <v>0</v>
      </c>
      <c r="V18" s="3">
        <f>IFERROR(__xludf.DUMMYFUNCTION("""COMPUTED_VALUE"""),0.0)</f>
        <v>0</v>
      </c>
      <c r="W18" s="3">
        <f>IFERROR(__xludf.DUMMYFUNCTION("""COMPUTED_VALUE"""),0.0)</f>
        <v>0</v>
      </c>
      <c r="X18" s="3">
        <f>IFERROR(__xludf.DUMMYFUNCTION("""COMPUTED_VALUE"""),0.0)</f>
        <v>0</v>
      </c>
      <c r="Y18" s="3">
        <f>IFERROR(__xludf.DUMMYFUNCTION("""COMPUTED_VALUE"""),0.0)</f>
        <v>0</v>
      </c>
      <c r="Z18" s="3">
        <f>IFERROR(__xludf.DUMMYFUNCTION("""COMPUTED_VALUE"""),0.0)</f>
        <v>0</v>
      </c>
      <c r="AA18" s="3">
        <f>IFERROR(__xludf.DUMMYFUNCTION("""COMPUTED_VALUE"""),0.0)</f>
        <v>0</v>
      </c>
      <c r="AB18" s="3">
        <f>IFERROR(__xludf.DUMMYFUNCTION("""COMPUTED_VALUE"""),0.0)</f>
        <v>0</v>
      </c>
      <c r="AC18" s="3">
        <f>IFERROR(__xludf.DUMMYFUNCTION("""COMPUTED_VALUE"""),0.0)</f>
        <v>0</v>
      </c>
      <c r="AD18" s="3">
        <f>IFERROR(__xludf.DUMMYFUNCTION("""COMPUTED_VALUE"""),0.0)</f>
        <v>0</v>
      </c>
      <c r="AE18" s="3">
        <f>IFERROR(__xludf.DUMMYFUNCTION("""COMPUTED_VALUE"""),0.0)</f>
        <v>0</v>
      </c>
      <c r="AF18" s="3">
        <f>IFERROR(__xludf.DUMMYFUNCTION("""COMPUTED_VALUE"""),0.0)</f>
        <v>0</v>
      </c>
      <c r="AG18" s="3">
        <f>IFERROR(__xludf.DUMMYFUNCTION("""COMPUTED_VALUE"""),0.0)</f>
        <v>0</v>
      </c>
      <c r="AH18" s="3">
        <f>IFERROR(__xludf.DUMMYFUNCTION("""COMPUTED_VALUE"""),0.0)</f>
        <v>0</v>
      </c>
      <c r="AI18" s="3">
        <f>IFERROR(__xludf.DUMMYFUNCTION("""COMPUTED_VALUE"""),0.0)</f>
        <v>0</v>
      </c>
      <c r="AJ18" s="3">
        <f>IFERROR(__xludf.DUMMYFUNCTION("""COMPUTED_VALUE"""),0.0)</f>
        <v>0</v>
      </c>
      <c r="AK18" s="3">
        <f>IFERROR(__xludf.DUMMYFUNCTION("""COMPUTED_VALUE"""),0.0)</f>
        <v>0</v>
      </c>
      <c r="AL18" s="3">
        <f>IFERROR(__xludf.DUMMYFUNCTION("""COMPUTED_VALUE"""),0.0)</f>
        <v>0</v>
      </c>
      <c r="AM18" s="3">
        <f>IFERROR(__xludf.DUMMYFUNCTION("""COMPUTED_VALUE"""),2.0)</f>
        <v>2</v>
      </c>
      <c r="AN18" s="3">
        <f>IFERROR(__xludf.DUMMYFUNCTION("""COMPUTED_VALUE"""),2.0)</f>
        <v>2</v>
      </c>
      <c r="AO18" s="3">
        <f>IFERROR(__xludf.DUMMYFUNCTION("""COMPUTED_VALUE"""),3.0)</f>
        <v>3</v>
      </c>
      <c r="AP18" s="3">
        <f>IFERROR(__xludf.DUMMYFUNCTION("""COMPUTED_VALUE"""),3.0)</f>
        <v>3</v>
      </c>
      <c r="AQ18" s="3">
        <f>IFERROR(__xludf.DUMMYFUNCTION("""COMPUTED_VALUE"""),9.0)</f>
        <v>9</v>
      </c>
      <c r="AR18" s="3">
        <f>IFERROR(__xludf.DUMMYFUNCTION("""COMPUTED_VALUE"""),14.0)</f>
        <v>14</v>
      </c>
      <c r="AS18" s="3">
        <f>IFERROR(__xludf.DUMMYFUNCTION("""COMPUTED_VALUE"""),18.0)</f>
        <v>18</v>
      </c>
      <c r="AT18" s="3">
        <f>IFERROR(__xludf.DUMMYFUNCTION("""COMPUTED_VALUE"""),21.0)</f>
        <v>21</v>
      </c>
      <c r="AU18" s="3">
        <f>IFERROR(__xludf.DUMMYFUNCTION("""COMPUTED_VALUE"""),29.0)</f>
        <v>29</v>
      </c>
      <c r="AV18" s="3">
        <f>IFERROR(__xludf.DUMMYFUNCTION("""COMPUTED_VALUE"""),41.0)</f>
        <v>41</v>
      </c>
      <c r="AW18" s="3">
        <f>IFERROR(__xludf.DUMMYFUNCTION("""COMPUTED_VALUE"""),55.0)</f>
        <v>55</v>
      </c>
      <c r="AX18" s="3">
        <f>IFERROR(__xludf.DUMMYFUNCTION("""COMPUTED_VALUE"""),79.0)</f>
        <v>79</v>
      </c>
      <c r="AY18" s="3">
        <f>IFERROR(__xludf.DUMMYFUNCTION("""COMPUTED_VALUE"""),104.0)</f>
        <v>104</v>
      </c>
      <c r="AZ18" s="3">
        <f>IFERROR(__xludf.DUMMYFUNCTION("""COMPUTED_VALUE"""),131.0)</f>
        <v>131</v>
      </c>
      <c r="BA18" s="3">
        <f>IFERROR(__xludf.DUMMYFUNCTION("""COMPUTED_VALUE"""),182.0)</f>
        <v>182</v>
      </c>
      <c r="BB18" s="3">
        <f>IFERROR(__xludf.DUMMYFUNCTION("""COMPUTED_VALUE"""),246.0)</f>
        <v>246</v>
      </c>
      <c r="BC18" s="3">
        <f>IFERROR(__xludf.DUMMYFUNCTION("""COMPUTED_VALUE"""),302.0)</f>
        <v>302</v>
      </c>
      <c r="BD18" s="3">
        <f>IFERROR(__xludf.DUMMYFUNCTION("""COMPUTED_VALUE"""),504.0)</f>
        <v>504</v>
      </c>
      <c r="BE18" s="3">
        <f>IFERROR(__xludf.DUMMYFUNCTION("""COMPUTED_VALUE"""),655.0)</f>
        <v>655</v>
      </c>
      <c r="BF18" s="3">
        <f>IFERROR(__xludf.DUMMYFUNCTION("""COMPUTED_VALUE"""),860.0)</f>
        <v>860</v>
      </c>
      <c r="BG18" s="3">
        <f>IFERROR(__xludf.DUMMYFUNCTION("""COMPUTED_VALUE"""),1018.0)</f>
        <v>1018</v>
      </c>
      <c r="BH18" s="3">
        <f>IFERROR(__xludf.DUMMYFUNCTION("""COMPUTED_VALUE"""),1332.0)</f>
        <v>1332</v>
      </c>
      <c r="BI18" s="3">
        <f>IFERROR(__xludf.DUMMYFUNCTION("""COMPUTED_VALUE"""),1646.0)</f>
        <v>1646</v>
      </c>
      <c r="BJ18" s="3">
        <f>IFERROR(__xludf.DUMMYFUNCTION("""COMPUTED_VALUE"""),2013.0)</f>
        <v>2013</v>
      </c>
      <c r="BK18" s="3">
        <f>IFERROR(__xludf.DUMMYFUNCTION("""COMPUTED_VALUE"""),2388.0)</f>
        <v>2388</v>
      </c>
      <c r="BL18" s="3">
        <f>IFERROR(__xludf.DUMMYFUNCTION("""COMPUTED_VALUE"""),2814.0)</f>
        <v>2814</v>
      </c>
      <c r="BM18" s="3">
        <f>IFERROR(__xludf.DUMMYFUNCTION("""COMPUTED_VALUE"""),3582.0)</f>
        <v>3582</v>
      </c>
      <c r="BN18" s="3">
        <f>IFERROR(__xludf.DUMMYFUNCTION("""COMPUTED_VALUE"""),4474.0)</f>
        <v>4474</v>
      </c>
      <c r="BO18" s="3">
        <f>IFERROR(__xludf.DUMMYFUNCTION("""COMPUTED_VALUE"""),5283.0)</f>
        <v>5283</v>
      </c>
      <c r="BP18" s="3">
        <f>IFERROR(__xludf.DUMMYFUNCTION("""COMPUTED_VALUE"""),5588.0)</f>
        <v>5588</v>
      </c>
      <c r="BQ18" s="3">
        <f>IFERROR(__xludf.DUMMYFUNCTION("""COMPUTED_VALUE"""),6909.0)</f>
        <v>6909</v>
      </c>
      <c r="BR18" s="3">
        <f>IFERROR(__xludf.DUMMYFUNCTION("""COMPUTED_VALUE"""),7657.0)</f>
        <v>7657</v>
      </c>
      <c r="BS18" s="3">
        <f>IFERROR(__xludf.DUMMYFUNCTION("""COMPUTED_VALUE"""),8271.0)</f>
        <v>8271</v>
      </c>
      <c r="BT18" s="3">
        <f>IFERROR(__xludf.DUMMYFUNCTION("""COMPUTED_VALUE"""),8788.0)</f>
        <v>8788</v>
      </c>
      <c r="BU18" s="3">
        <f>IFERROR(__xludf.DUMMYFUNCTION("""COMPUTED_VALUE"""),9618.0)</f>
        <v>9618</v>
      </c>
      <c r="BV18" s="3">
        <f>IFERROR(__xludf.DUMMYFUNCTION("""COMPUTED_VALUE"""),10180.0)</f>
        <v>10180</v>
      </c>
      <c r="BW18" s="3">
        <f>IFERROR(__xludf.DUMMYFUNCTION("""COMPUTED_VALUE"""),10711.0)</f>
        <v>10711</v>
      </c>
      <c r="BX18" s="3">
        <f>IFERROR(__xludf.DUMMYFUNCTION("""COMPUTED_VALUE"""),11129.0)</f>
        <v>11129</v>
      </c>
      <c r="BY18" s="3">
        <f>IFERROR(__xludf.DUMMYFUNCTION("""COMPUTED_VALUE"""),11524.0)</f>
        <v>11524</v>
      </c>
      <c r="BZ18" s="3">
        <f>IFERROR(__xludf.DUMMYFUNCTION("""COMPUTED_VALUE"""),11781.0)</f>
        <v>11781</v>
      </c>
      <c r="CA18" s="3">
        <f>IFERROR(__xludf.DUMMYFUNCTION("""COMPUTED_VALUE"""),12051.0)</f>
        <v>12051</v>
      </c>
      <c r="CB18" s="3">
        <f>IFERROR(__xludf.DUMMYFUNCTION("""COMPUTED_VALUE"""),12297.0)</f>
        <v>12297</v>
      </c>
    </row>
    <row r="19">
      <c r="A19" s="3" t="str">
        <f>IFERROR(__xludf.DUMMYFUNCTION("""COMPUTED_VALUE"""),"")</f>
        <v/>
      </c>
      <c r="B19" s="3" t="str">
        <f>IFERROR(__xludf.DUMMYFUNCTION("""COMPUTED_VALUE"""),"Azerbaijan")</f>
        <v>Azerbaijan</v>
      </c>
      <c r="C19" s="3">
        <f>IFERROR(__xludf.DUMMYFUNCTION("""COMPUTED_VALUE"""),40.1431)</f>
        <v>40.1431</v>
      </c>
      <c r="D19" s="3">
        <f>IFERROR(__xludf.DUMMYFUNCTION("""COMPUTED_VALUE"""),47.5769)</f>
        <v>47.5769</v>
      </c>
      <c r="E19" s="3">
        <f>IFERROR(__xludf.DUMMYFUNCTION("""COMPUTED_VALUE"""),0.0)</f>
        <v>0</v>
      </c>
      <c r="F19" s="3">
        <f>IFERROR(__xludf.DUMMYFUNCTION("""COMPUTED_VALUE"""),0.0)</f>
        <v>0</v>
      </c>
      <c r="G19" s="3">
        <f>IFERROR(__xludf.DUMMYFUNCTION("""COMPUTED_VALUE"""),0.0)</f>
        <v>0</v>
      </c>
      <c r="H19" s="3">
        <f>IFERROR(__xludf.DUMMYFUNCTION("""COMPUTED_VALUE"""),0.0)</f>
        <v>0</v>
      </c>
      <c r="I19" s="3">
        <f>IFERROR(__xludf.DUMMYFUNCTION("""COMPUTED_VALUE"""),0.0)</f>
        <v>0</v>
      </c>
      <c r="J19" s="3">
        <f>IFERROR(__xludf.DUMMYFUNCTION("""COMPUTED_VALUE"""),0.0)</f>
        <v>0</v>
      </c>
      <c r="K19" s="3">
        <f>IFERROR(__xludf.DUMMYFUNCTION("""COMPUTED_VALUE"""),0.0)</f>
        <v>0</v>
      </c>
      <c r="L19" s="3">
        <f>IFERROR(__xludf.DUMMYFUNCTION("""COMPUTED_VALUE"""),0.0)</f>
        <v>0</v>
      </c>
      <c r="M19" s="3">
        <f>IFERROR(__xludf.DUMMYFUNCTION("""COMPUTED_VALUE"""),0.0)</f>
        <v>0</v>
      </c>
      <c r="N19" s="3">
        <f>IFERROR(__xludf.DUMMYFUNCTION("""COMPUTED_VALUE"""),0.0)</f>
        <v>0</v>
      </c>
      <c r="O19" s="3">
        <f>IFERROR(__xludf.DUMMYFUNCTION("""COMPUTED_VALUE"""),0.0)</f>
        <v>0</v>
      </c>
      <c r="P19" s="3">
        <f>IFERROR(__xludf.DUMMYFUNCTION("""COMPUTED_VALUE"""),0.0)</f>
        <v>0</v>
      </c>
      <c r="Q19" s="3">
        <f>IFERROR(__xludf.DUMMYFUNCTION("""COMPUTED_VALUE"""),0.0)</f>
        <v>0</v>
      </c>
      <c r="R19" s="3">
        <f>IFERROR(__xludf.DUMMYFUNCTION("""COMPUTED_VALUE"""),0.0)</f>
        <v>0</v>
      </c>
      <c r="S19" s="3">
        <f>IFERROR(__xludf.DUMMYFUNCTION("""COMPUTED_VALUE"""),0.0)</f>
        <v>0</v>
      </c>
      <c r="T19" s="3">
        <f>IFERROR(__xludf.DUMMYFUNCTION("""COMPUTED_VALUE"""),0.0)</f>
        <v>0</v>
      </c>
      <c r="U19" s="3">
        <f>IFERROR(__xludf.DUMMYFUNCTION("""COMPUTED_VALUE"""),0.0)</f>
        <v>0</v>
      </c>
      <c r="V19" s="3">
        <f>IFERROR(__xludf.DUMMYFUNCTION("""COMPUTED_VALUE"""),0.0)</f>
        <v>0</v>
      </c>
      <c r="W19" s="3">
        <f>IFERROR(__xludf.DUMMYFUNCTION("""COMPUTED_VALUE"""),0.0)</f>
        <v>0</v>
      </c>
      <c r="X19" s="3">
        <f>IFERROR(__xludf.DUMMYFUNCTION("""COMPUTED_VALUE"""),0.0)</f>
        <v>0</v>
      </c>
      <c r="Y19" s="3">
        <f>IFERROR(__xludf.DUMMYFUNCTION("""COMPUTED_VALUE"""),0.0)</f>
        <v>0</v>
      </c>
      <c r="Z19" s="3">
        <f>IFERROR(__xludf.DUMMYFUNCTION("""COMPUTED_VALUE"""),0.0)</f>
        <v>0</v>
      </c>
      <c r="AA19" s="3">
        <f>IFERROR(__xludf.DUMMYFUNCTION("""COMPUTED_VALUE"""),0.0)</f>
        <v>0</v>
      </c>
      <c r="AB19" s="3">
        <f>IFERROR(__xludf.DUMMYFUNCTION("""COMPUTED_VALUE"""),0.0)</f>
        <v>0</v>
      </c>
      <c r="AC19" s="3">
        <f>IFERROR(__xludf.DUMMYFUNCTION("""COMPUTED_VALUE"""),0.0)</f>
        <v>0</v>
      </c>
      <c r="AD19" s="3">
        <f>IFERROR(__xludf.DUMMYFUNCTION("""COMPUTED_VALUE"""),0.0)</f>
        <v>0</v>
      </c>
      <c r="AE19" s="3">
        <f>IFERROR(__xludf.DUMMYFUNCTION("""COMPUTED_VALUE"""),0.0)</f>
        <v>0</v>
      </c>
      <c r="AF19" s="3">
        <f>IFERROR(__xludf.DUMMYFUNCTION("""COMPUTED_VALUE"""),0.0)</f>
        <v>0</v>
      </c>
      <c r="AG19" s="3">
        <f>IFERROR(__xludf.DUMMYFUNCTION("""COMPUTED_VALUE"""),0.0)</f>
        <v>0</v>
      </c>
      <c r="AH19" s="3">
        <f>IFERROR(__xludf.DUMMYFUNCTION("""COMPUTED_VALUE"""),0.0)</f>
        <v>0</v>
      </c>
      <c r="AI19" s="3">
        <f>IFERROR(__xludf.DUMMYFUNCTION("""COMPUTED_VALUE"""),0.0)</f>
        <v>0</v>
      </c>
      <c r="AJ19" s="3">
        <f>IFERROR(__xludf.DUMMYFUNCTION("""COMPUTED_VALUE"""),0.0)</f>
        <v>0</v>
      </c>
      <c r="AK19" s="3">
        <f>IFERROR(__xludf.DUMMYFUNCTION("""COMPUTED_VALUE"""),0.0)</f>
        <v>0</v>
      </c>
      <c r="AL19" s="3">
        <f>IFERROR(__xludf.DUMMYFUNCTION("""COMPUTED_VALUE"""),0.0)</f>
        <v>0</v>
      </c>
      <c r="AM19" s="3">
        <f>IFERROR(__xludf.DUMMYFUNCTION("""COMPUTED_VALUE"""),0.0)</f>
        <v>0</v>
      </c>
      <c r="AN19" s="3">
        <f>IFERROR(__xludf.DUMMYFUNCTION("""COMPUTED_VALUE"""),0.0)</f>
        <v>0</v>
      </c>
      <c r="AO19" s="3">
        <f>IFERROR(__xludf.DUMMYFUNCTION("""COMPUTED_VALUE"""),0.0)</f>
        <v>0</v>
      </c>
      <c r="AP19" s="3">
        <f>IFERROR(__xludf.DUMMYFUNCTION("""COMPUTED_VALUE"""),0.0)</f>
        <v>0</v>
      </c>
      <c r="AQ19" s="3">
        <f>IFERROR(__xludf.DUMMYFUNCTION("""COMPUTED_VALUE"""),0.0)</f>
        <v>0</v>
      </c>
      <c r="AR19" s="3">
        <f>IFERROR(__xludf.DUMMYFUNCTION("""COMPUTED_VALUE"""),3.0)</f>
        <v>3</v>
      </c>
      <c r="AS19" s="3">
        <f>IFERROR(__xludf.DUMMYFUNCTION("""COMPUTED_VALUE"""),3.0)</f>
        <v>3</v>
      </c>
      <c r="AT19" s="3">
        <f>IFERROR(__xludf.DUMMYFUNCTION("""COMPUTED_VALUE"""),3.0)</f>
        <v>3</v>
      </c>
      <c r="AU19" s="3">
        <f>IFERROR(__xludf.DUMMYFUNCTION("""COMPUTED_VALUE"""),3.0)</f>
        <v>3</v>
      </c>
      <c r="AV19" s="3">
        <f>IFERROR(__xludf.DUMMYFUNCTION("""COMPUTED_VALUE"""),6.0)</f>
        <v>6</v>
      </c>
      <c r="AW19" s="3">
        <f>IFERROR(__xludf.DUMMYFUNCTION("""COMPUTED_VALUE"""),6.0)</f>
        <v>6</v>
      </c>
      <c r="AX19" s="3">
        <f>IFERROR(__xludf.DUMMYFUNCTION("""COMPUTED_VALUE"""),9.0)</f>
        <v>9</v>
      </c>
      <c r="AY19" s="3">
        <f>IFERROR(__xludf.DUMMYFUNCTION("""COMPUTED_VALUE"""),9.0)</f>
        <v>9</v>
      </c>
      <c r="AZ19" s="3">
        <f>IFERROR(__xludf.DUMMYFUNCTION("""COMPUTED_VALUE"""),9.0)</f>
        <v>9</v>
      </c>
      <c r="BA19" s="3">
        <f>IFERROR(__xludf.DUMMYFUNCTION("""COMPUTED_VALUE"""),11.0)</f>
        <v>11</v>
      </c>
      <c r="BB19" s="3">
        <f>IFERROR(__xludf.DUMMYFUNCTION("""COMPUTED_VALUE"""),11.0)</f>
        <v>11</v>
      </c>
      <c r="BC19" s="3">
        <f>IFERROR(__xludf.DUMMYFUNCTION("""COMPUTED_VALUE"""),11.0)</f>
        <v>11</v>
      </c>
      <c r="BD19" s="3">
        <f>IFERROR(__xludf.DUMMYFUNCTION("""COMPUTED_VALUE"""),15.0)</f>
        <v>15</v>
      </c>
      <c r="BE19" s="3">
        <f>IFERROR(__xludf.DUMMYFUNCTION("""COMPUTED_VALUE"""),15.0)</f>
        <v>15</v>
      </c>
      <c r="BF19" s="3">
        <f>IFERROR(__xludf.DUMMYFUNCTION("""COMPUTED_VALUE"""),23.0)</f>
        <v>23</v>
      </c>
      <c r="BG19" s="3">
        <f>IFERROR(__xludf.DUMMYFUNCTION("""COMPUTED_VALUE"""),28.0)</f>
        <v>28</v>
      </c>
      <c r="BH19" s="3">
        <f>IFERROR(__xludf.DUMMYFUNCTION("""COMPUTED_VALUE"""),28.0)</f>
        <v>28</v>
      </c>
      <c r="BI19" s="3">
        <f>IFERROR(__xludf.DUMMYFUNCTION("""COMPUTED_VALUE"""),28.0)</f>
        <v>28</v>
      </c>
      <c r="BJ19" s="3">
        <f>IFERROR(__xludf.DUMMYFUNCTION("""COMPUTED_VALUE"""),44.0)</f>
        <v>44</v>
      </c>
      <c r="BK19" s="3">
        <f>IFERROR(__xludf.DUMMYFUNCTION("""COMPUTED_VALUE"""),44.0)</f>
        <v>44</v>
      </c>
      <c r="BL19" s="3">
        <f>IFERROR(__xludf.DUMMYFUNCTION("""COMPUTED_VALUE"""),53.0)</f>
        <v>53</v>
      </c>
      <c r="BM19" s="3">
        <f>IFERROR(__xludf.DUMMYFUNCTION("""COMPUTED_VALUE"""),65.0)</f>
        <v>65</v>
      </c>
      <c r="BN19" s="3">
        <f>IFERROR(__xludf.DUMMYFUNCTION("""COMPUTED_VALUE"""),72.0)</f>
        <v>72</v>
      </c>
      <c r="BO19" s="3">
        <f>IFERROR(__xludf.DUMMYFUNCTION("""COMPUTED_VALUE"""),87.0)</f>
        <v>87</v>
      </c>
      <c r="BP19" s="3">
        <f>IFERROR(__xludf.DUMMYFUNCTION("""COMPUTED_VALUE"""),93.0)</f>
        <v>93</v>
      </c>
      <c r="BQ19" s="3">
        <f>IFERROR(__xludf.DUMMYFUNCTION("""COMPUTED_VALUE"""),122.0)</f>
        <v>122</v>
      </c>
      <c r="BR19" s="3">
        <f>IFERROR(__xludf.DUMMYFUNCTION("""COMPUTED_VALUE"""),165.0)</f>
        <v>165</v>
      </c>
      <c r="BS19" s="3">
        <f>IFERROR(__xludf.DUMMYFUNCTION("""COMPUTED_VALUE"""),182.0)</f>
        <v>182</v>
      </c>
      <c r="BT19" s="3">
        <f>IFERROR(__xludf.DUMMYFUNCTION("""COMPUTED_VALUE"""),209.0)</f>
        <v>209</v>
      </c>
      <c r="BU19" s="3">
        <f>IFERROR(__xludf.DUMMYFUNCTION("""COMPUTED_VALUE"""),273.0)</f>
        <v>273</v>
      </c>
      <c r="BV19" s="3">
        <f>IFERROR(__xludf.DUMMYFUNCTION("""COMPUTED_VALUE"""),298.0)</f>
        <v>298</v>
      </c>
      <c r="BW19" s="3">
        <f>IFERROR(__xludf.DUMMYFUNCTION("""COMPUTED_VALUE"""),359.0)</f>
        <v>359</v>
      </c>
      <c r="BX19" s="3">
        <f>IFERROR(__xludf.DUMMYFUNCTION("""COMPUTED_VALUE"""),400.0)</f>
        <v>400</v>
      </c>
      <c r="BY19" s="3">
        <f>IFERROR(__xludf.DUMMYFUNCTION("""COMPUTED_VALUE"""),443.0)</f>
        <v>443</v>
      </c>
      <c r="BZ19" s="3">
        <f>IFERROR(__xludf.DUMMYFUNCTION("""COMPUTED_VALUE"""),521.0)</f>
        <v>521</v>
      </c>
      <c r="CA19" s="3">
        <f>IFERROR(__xludf.DUMMYFUNCTION("""COMPUTED_VALUE"""),584.0)</f>
        <v>584</v>
      </c>
      <c r="CB19" s="3">
        <f>IFERROR(__xludf.DUMMYFUNCTION("""COMPUTED_VALUE"""),641.0)</f>
        <v>641</v>
      </c>
    </row>
    <row r="20">
      <c r="A20" s="3" t="str">
        <f>IFERROR(__xludf.DUMMYFUNCTION("""COMPUTED_VALUE"""),"")</f>
        <v/>
      </c>
      <c r="B20" s="3" t="str">
        <f>IFERROR(__xludf.DUMMYFUNCTION("""COMPUTED_VALUE"""),"Bahamas")</f>
        <v>Bahamas</v>
      </c>
      <c r="C20" s="3">
        <f>IFERROR(__xludf.DUMMYFUNCTION("""COMPUTED_VALUE"""),25.0343)</f>
        <v>25.0343</v>
      </c>
      <c r="D20" s="3">
        <f>IFERROR(__xludf.DUMMYFUNCTION("""COMPUTED_VALUE"""),-77.3963)</f>
        <v>-77.3963</v>
      </c>
      <c r="E20" s="3">
        <f>IFERROR(__xludf.DUMMYFUNCTION("""COMPUTED_VALUE"""),0.0)</f>
        <v>0</v>
      </c>
      <c r="F20" s="3">
        <f>IFERROR(__xludf.DUMMYFUNCTION("""COMPUTED_VALUE"""),0.0)</f>
        <v>0</v>
      </c>
      <c r="G20" s="3">
        <f>IFERROR(__xludf.DUMMYFUNCTION("""COMPUTED_VALUE"""),0.0)</f>
        <v>0</v>
      </c>
      <c r="H20" s="3">
        <f>IFERROR(__xludf.DUMMYFUNCTION("""COMPUTED_VALUE"""),0.0)</f>
        <v>0</v>
      </c>
      <c r="I20" s="3">
        <f>IFERROR(__xludf.DUMMYFUNCTION("""COMPUTED_VALUE"""),0.0)</f>
        <v>0</v>
      </c>
      <c r="J20" s="3">
        <f>IFERROR(__xludf.DUMMYFUNCTION("""COMPUTED_VALUE"""),0.0)</f>
        <v>0</v>
      </c>
      <c r="K20" s="3">
        <f>IFERROR(__xludf.DUMMYFUNCTION("""COMPUTED_VALUE"""),0.0)</f>
        <v>0</v>
      </c>
      <c r="L20" s="3">
        <f>IFERROR(__xludf.DUMMYFUNCTION("""COMPUTED_VALUE"""),0.0)</f>
        <v>0</v>
      </c>
      <c r="M20" s="3">
        <f>IFERROR(__xludf.DUMMYFUNCTION("""COMPUTED_VALUE"""),0.0)</f>
        <v>0</v>
      </c>
      <c r="N20" s="3">
        <f>IFERROR(__xludf.DUMMYFUNCTION("""COMPUTED_VALUE"""),0.0)</f>
        <v>0</v>
      </c>
      <c r="O20" s="3">
        <f>IFERROR(__xludf.DUMMYFUNCTION("""COMPUTED_VALUE"""),0.0)</f>
        <v>0</v>
      </c>
      <c r="P20" s="3">
        <f>IFERROR(__xludf.DUMMYFUNCTION("""COMPUTED_VALUE"""),0.0)</f>
        <v>0</v>
      </c>
      <c r="Q20" s="3">
        <f>IFERROR(__xludf.DUMMYFUNCTION("""COMPUTED_VALUE"""),0.0)</f>
        <v>0</v>
      </c>
      <c r="R20" s="3">
        <f>IFERROR(__xludf.DUMMYFUNCTION("""COMPUTED_VALUE"""),0.0)</f>
        <v>0</v>
      </c>
      <c r="S20" s="3">
        <f>IFERROR(__xludf.DUMMYFUNCTION("""COMPUTED_VALUE"""),0.0)</f>
        <v>0</v>
      </c>
      <c r="T20" s="3">
        <f>IFERROR(__xludf.DUMMYFUNCTION("""COMPUTED_VALUE"""),0.0)</f>
        <v>0</v>
      </c>
      <c r="U20" s="3">
        <f>IFERROR(__xludf.DUMMYFUNCTION("""COMPUTED_VALUE"""),0.0)</f>
        <v>0</v>
      </c>
      <c r="V20" s="3">
        <f>IFERROR(__xludf.DUMMYFUNCTION("""COMPUTED_VALUE"""),0.0)</f>
        <v>0</v>
      </c>
      <c r="W20" s="3">
        <f>IFERROR(__xludf.DUMMYFUNCTION("""COMPUTED_VALUE"""),0.0)</f>
        <v>0</v>
      </c>
      <c r="X20" s="3">
        <f>IFERROR(__xludf.DUMMYFUNCTION("""COMPUTED_VALUE"""),0.0)</f>
        <v>0</v>
      </c>
      <c r="Y20" s="3">
        <f>IFERROR(__xludf.DUMMYFUNCTION("""COMPUTED_VALUE"""),0.0)</f>
        <v>0</v>
      </c>
      <c r="Z20" s="3">
        <f>IFERROR(__xludf.DUMMYFUNCTION("""COMPUTED_VALUE"""),0.0)</f>
        <v>0</v>
      </c>
      <c r="AA20" s="3">
        <f>IFERROR(__xludf.DUMMYFUNCTION("""COMPUTED_VALUE"""),0.0)</f>
        <v>0</v>
      </c>
      <c r="AB20" s="3">
        <f>IFERROR(__xludf.DUMMYFUNCTION("""COMPUTED_VALUE"""),0.0)</f>
        <v>0</v>
      </c>
      <c r="AC20" s="3">
        <f>IFERROR(__xludf.DUMMYFUNCTION("""COMPUTED_VALUE"""),0.0)</f>
        <v>0</v>
      </c>
      <c r="AD20" s="3">
        <f>IFERROR(__xludf.DUMMYFUNCTION("""COMPUTED_VALUE"""),0.0)</f>
        <v>0</v>
      </c>
      <c r="AE20" s="3">
        <f>IFERROR(__xludf.DUMMYFUNCTION("""COMPUTED_VALUE"""),0.0)</f>
        <v>0</v>
      </c>
      <c r="AF20" s="3">
        <f>IFERROR(__xludf.DUMMYFUNCTION("""COMPUTED_VALUE"""),0.0)</f>
        <v>0</v>
      </c>
      <c r="AG20" s="3">
        <f>IFERROR(__xludf.DUMMYFUNCTION("""COMPUTED_VALUE"""),0.0)</f>
        <v>0</v>
      </c>
      <c r="AH20" s="3">
        <f>IFERROR(__xludf.DUMMYFUNCTION("""COMPUTED_VALUE"""),0.0)</f>
        <v>0</v>
      </c>
      <c r="AI20" s="3">
        <f>IFERROR(__xludf.DUMMYFUNCTION("""COMPUTED_VALUE"""),0.0)</f>
        <v>0</v>
      </c>
      <c r="AJ20" s="3">
        <f>IFERROR(__xludf.DUMMYFUNCTION("""COMPUTED_VALUE"""),0.0)</f>
        <v>0</v>
      </c>
      <c r="AK20" s="3">
        <f>IFERROR(__xludf.DUMMYFUNCTION("""COMPUTED_VALUE"""),0.0)</f>
        <v>0</v>
      </c>
      <c r="AL20" s="3">
        <f>IFERROR(__xludf.DUMMYFUNCTION("""COMPUTED_VALUE"""),0.0)</f>
        <v>0</v>
      </c>
      <c r="AM20" s="3">
        <f>IFERROR(__xludf.DUMMYFUNCTION("""COMPUTED_VALUE"""),0.0)</f>
        <v>0</v>
      </c>
      <c r="AN20" s="3">
        <f>IFERROR(__xludf.DUMMYFUNCTION("""COMPUTED_VALUE"""),0.0)</f>
        <v>0</v>
      </c>
      <c r="AO20" s="3">
        <f>IFERROR(__xludf.DUMMYFUNCTION("""COMPUTED_VALUE"""),0.0)</f>
        <v>0</v>
      </c>
      <c r="AP20" s="3">
        <f>IFERROR(__xludf.DUMMYFUNCTION("""COMPUTED_VALUE"""),0.0)</f>
        <v>0</v>
      </c>
      <c r="AQ20" s="3">
        <f>IFERROR(__xludf.DUMMYFUNCTION("""COMPUTED_VALUE"""),0.0)</f>
        <v>0</v>
      </c>
      <c r="AR20" s="3">
        <f>IFERROR(__xludf.DUMMYFUNCTION("""COMPUTED_VALUE"""),0.0)</f>
        <v>0</v>
      </c>
      <c r="AS20" s="3">
        <f>IFERROR(__xludf.DUMMYFUNCTION("""COMPUTED_VALUE"""),0.0)</f>
        <v>0</v>
      </c>
      <c r="AT20" s="3">
        <f>IFERROR(__xludf.DUMMYFUNCTION("""COMPUTED_VALUE"""),0.0)</f>
        <v>0</v>
      </c>
      <c r="AU20" s="3">
        <f>IFERROR(__xludf.DUMMYFUNCTION("""COMPUTED_VALUE"""),0.0)</f>
        <v>0</v>
      </c>
      <c r="AV20" s="3">
        <f>IFERROR(__xludf.DUMMYFUNCTION("""COMPUTED_VALUE"""),0.0)</f>
        <v>0</v>
      </c>
      <c r="AW20" s="3">
        <f>IFERROR(__xludf.DUMMYFUNCTION("""COMPUTED_VALUE"""),0.0)</f>
        <v>0</v>
      </c>
      <c r="AX20" s="3">
        <f>IFERROR(__xludf.DUMMYFUNCTION("""COMPUTED_VALUE"""),0.0)</f>
        <v>0</v>
      </c>
      <c r="AY20" s="3">
        <f>IFERROR(__xludf.DUMMYFUNCTION("""COMPUTED_VALUE"""),0.0)</f>
        <v>0</v>
      </c>
      <c r="AZ20" s="3">
        <f>IFERROR(__xludf.DUMMYFUNCTION("""COMPUTED_VALUE"""),0.0)</f>
        <v>0</v>
      </c>
      <c r="BA20" s="3">
        <f>IFERROR(__xludf.DUMMYFUNCTION("""COMPUTED_VALUE"""),0.0)</f>
        <v>0</v>
      </c>
      <c r="BB20" s="3">
        <f>IFERROR(__xludf.DUMMYFUNCTION("""COMPUTED_VALUE"""),0.0)</f>
        <v>0</v>
      </c>
      <c r="BC20" s="3">
        <f>IFERROR(__xludf.DUMMYFUNCTION("""COMPUTED_VALUE"""),0.0)</f>
        <v>0</v>
      </c>
      <c r="BD20" s="3">
        <f>IFERROR(__xludf.DUMMYFUNCTION("""COMPUTED_VALUE"""),0.0)</f>
        <v>0</v>
      </c>
      <c r="BE20" s="3">
        <f>IFERROR(__xludf.DUMMYFUNCTION("""COMPUTED_VALUE"""),0.0)</f>
        <v>0</v>
      </c>
      <c r="BF20" s="3">
        <f>IFERROR(__xludf.DUMMYFUNCTION("""COMPUTED_VALUE"""),0.0)</f>
        <v>0</v>
      </c>
      <c r="BG20" s="3">
        <f>IFERROR(__xludf.DUMMYFUNCTION("""COMPUTED_VALUE"""),1.0)</f>
        <v>1</v>
      </c>
      <c r="BH20" s="3">
        <f>IFERROR(__xludf.DUMMYFUNCTION("""COMPUTED_VALUE"""),1.0)</f>
        <v>1</v>
      </c>
      <c r="BI20" s="3">
        <f>IFERROR(__xludf.DUMMYFUNCTION("""COMPUTED_VALUE"""),1.0)</f>
        <v>1</v>
      </c>
      <c r="BJ20" s="3">
        <f>IFERROR(__xludf.DUMMYFUNCTION("""COMPUTED_VALUE"""),3.0)</f>
        <v>3</v>
      </c>
      <c r="BK20" s="3">
        <f>IFERROR(__xludf.DUMMYFUNCTION("""COMPUTED_VALUE"""),3.0)</f>
        <v>3</v>
      </c>
      <c r="BL20" s="3">
        <f>IFERROR(__xludf.DUMMYFUNCTION("""COMPUTED_VALUE"""),4.0)</f>
        <v>4</v>
      </c>
      <c r="BM20" s="3">
        <f>IFERROR(__xludf.DUMMYFUNCTION("""COMPUTED_VALUE"""),4.0)</f>
        <v>4</v>
      </c>
      <c r="BN20" s="3">
        <f>IFERROR(__xludf.DUMMYFUNCTION("""COMPUTED_VALUE"""),4.0)</f>
        <v>4</v>
      </c>
      <c r="BO20" s="3">
        <f>IFERROR(__xludf.DUMMYFUNCTION("""COMPUTED_VALUE"""),5.0)</f>
        <v>5</v>
      </c>
      <c r="BP20" s="3">
        <f>IFERROR(__xludf.DUMMYFUNCTION("""COMPUTED_VALUE"""),5.0)</f>
        <v>5</v>
      </c>
      <c r="BQ20" s="3">
        <f>IFERROR(__xludf.DUMMYFUNCTION("""COMPUTED_VALUE"""),9.0)</f>
        <v>9</v>
      </c>
      <c r="BR20" s="3">
        <f>IFERROR(__xludf.DUMMYFUNCTION("""COMPUTED_VALUE"""),10.0)</f>
        <v>10</v>
      </c>
      <c r="BS20" s="3">
        <f>IFERROR(__xludf.DUMMYFUNCTION("""COMPUTED_VALUE"""),10.0)</f>
        <v>10</v>
      </c>
      <c r="BT20" s="3">
        <f>IFERROR(__xludf.DUMMYFUNCTION("""COMPUTED_VALUE"""),11.0)</f>
        <v>11</v>
      </c>
      <c r="BU20" s="3">
        <f>IFERROR(__xludf.DUMMYFUNCTION("""COMPUTED_VALUE"""),14.0)</f>
        <v>14</v>
      </c>
      <c r="BV20" s="3">
        <f>IFERROR(__xludf.DUMMYFUNCTION("""COMPUTED_VALUE"""),14.0)</f>
        <v>14</v>
      </c>
      <c r="BW20" s="3">
        <f>IFERROR(__xludf.DUMMYFUNCTION("""COMPUTED_VALUE"""),21.0)</f>
        <v>21</v>
      </c>
      <c r="BX20" s="3">
        <f>IFERROR(__xludf.DUMMYFUNCTION("""COMPUTED_VALUE"""),24.0)</f>
        <v>24</v>
      </c>
      <c r="BY20" s="3">
        <f>IFERROR(__xludf.DUMMYFUNCTION("""COMPUTED_VALUE"""),24.0)</f>
        <v>24</v>
      </c>
      <c r="BZ20" s="3">
        <f>IFERROR(__xludf.DUMMYFUNCTION("""COMPUTED_VALUE"""),28.0)</f>
        <v>28</v>
      </c>
      <c r="CA20" s="3">
        <f>IFERROR(__xludf.DUMMYFUNCTION("""COMPUTED_VALUE"""),28.0)</f>
        <v>28</v>
      </c>
      <c r="CB20" s="3">
        <f>IFERROR(__xludf.DUMMYFUNCTION("""COMPUTED_VALUE"""),29.0)</f>
        <v>29</v>
      </c>
    </row>
    <row r="21">
      <c r="A21" s="3" t="str">
        <f>IFERROR(__xludf.DUMMYFUNCTION("""COMPUTED_VALUE"""),"")</f>
        <v/>
      </c>
      <c r="B21" s="3" t="str">
        <f>IFERROR(__xludf.DUMMYFUNCTION("""COMPUTED_VALUE"""),"Bahrain")</f>
        <v>Bahrain</v>
      </c>
      <c r="C21" s="3">
        <f>IFERROR(__xludf.DUMMYFUNCTION("""COMPUTED_VALUE"""),26.0275)</f>
        <v>26.0275</v>
      </c>
      <c r="D21" s="3">
        <f>IFERROR(__xludf.DUMMYFUNCTION("""COMPUTED_VALUE"""),50.55)</f>
        <v>50.55</v>
      </c>
      <c r="E21" s="3">
        <f>IFERROR(__xludf.DUMMYFUNCTION("""COMPUTED_VALUE"""),0.0)</f>
        <v>0</v>
      </c>
      <c r="F21" s="3">
        <f>IFERROR(__xludf.DUMMYFUNCTION("""COMPUTED_VALUE"""),0.0)</f>
        <v>0</v>
      </c>
      <c r="G21" s="3">
        <f>IFERROR(__xludf.DUMMYFUNCTION("""COMPUTED_VALUE"""),0.0)</f>
        <v>0</v>
      </c>
      <c r="H21" s="3">
        <f>IFERROR(__xludf.DUMMYFUNCTION("""COMPUTED_VALUE"""),0.0)</f>
        <v>0</v>
      </c>
      <c r="I21" s="3">
        <f>IFERROR(__xludf.DUMMYFUNCTION("""COMPUTED_VALUE"""),0.0)</f>
        <v>0</v>
      </c>
      <c r="J21" s="3">
        <f>IFERROR(__xludf.DUMMYFUNCTION("""COMPUTED_VALUE"""),0.0)</f>
        <v>0</v>
      </c>
      <c r="K21" s="3">
        <f>IFERROR(__xludf.DUMMYFUNCTION("""COMPUTED_VALUE"""),0.0)</f>
        <v>0</v>
      </c>
      <c r="L21" s="3">
        <f>IFERROR(__xludf.DUMMYFUNCTION("""COMPUTED_VALUE"""),0.0)</f>
        <v>0</v>
      </c>
      <c r="M21" s="3">
        <f>IFERROR(__xludf.DUMMYFUNCTION("""COMPUTED_VALUE"""),0.0)</f>
        <v>0</v>
      </c>
      <c r="N21" s="3">
        <f>IFERROR(__xludf.DUMMYFUNCTION("""COMPUTED_VALUE"""),0.0)</f>
        <v>0</v>
      </c>
      <c r="O21" s="3">
        <f>IFERROR(__xludf.DUMMYFUNCTION("""COMPUTED_VALUE"""),0.0)</f>
        <v>0</v>
      </c>
      <c r="P21" s="3">
        <f>IFERROR(__xludf.DUMMYFUNCTION("""COMPUTED_VALUE"""),0.0)</f>
        <v>0</v>
      </c>
      <c r="Q21" s="3">
        <f>IFERROR(__xludf.DUMMYFUNCTION("""COMPUTED_VALUE"""),0.0)</f>
        <v>0</v>
      </c>
      <c r="R21" s="3">
        <f>IFERROR(__xludf.DUMMYFUNCTION("""COMPUTED_VALUE"""),0.0)</f>
        <v>0</v>
      </c>
      <c r="S21" s="3">
        <f>IFERROR(__xludf.DUMMYFUNCTION("""COMPUTED_VALUE"""),0.0)</f>
        <v>0</v>
      </c>
      <c r="T21" s="3">
        <f>IFERROR(__xludf.DUMMYFUNCTION("""COMPUTED_VALUE"""),0.0)</f>
        <v>0</v>
      </c>
      <c r="U21" s="3">
        <f>IFERROR(__xludf.DUMMYFUNCTION("""COMPUTED_VALUE"""),0.0)</f>
        <v>0</v>
      </c>
      <c r="V21" s="3">
        <f>IFERROR(__xludf.DUMMYFUNCTION("""COMPUTED_VALUE"""),0.0)</f>
        <v>0</v>
      </c>
      <c r="W21" s="3">
        <f>IFERROR(__xludf.DUMMYFUNCTION("""COMPUTED_VALUE"""),0.0)</f>
        <v>0</v>
      </c>
      <c r="X21" s="3">
        <f>IFERROR(__xludf.DUMMYFUNCTION("""COMPUTED_VALUE"""),0.0)</f>
        <v>0</v>
      </c>
      <c r="Y21" s="3">
        <f>IFERROR(__xludf.DUMMYFUNCTION("""COMPUTED_VALUE"""),0.0)</f>
        <v>0</v>
      </c>
      <c r="Z21" s="3">
        <f>IFERROR(__xludf.DUMMYFUNCTION("""COMPUTED_VALUE"""),0.0)</f>
        <v>0</v>
      </c>
      <c r="AA21" s="3">
        <f>IFERROR(__xludf.DUMMYFUNCTION("""COMPUTED_VALUE"""),0.0)</f>
        <v>0</v>
      </c>
      <c r="AB21" s="3">
        <f>IFERROR(__xludf.DUMMYFUNCTION("""COMPUTED_VALUE"""),0.0)</f>
        <v>0</v>
      </c>
      <c r="AC21" s="3">
        <f>IFERROR(__xludf.DUMMYFUNCTION("""COMPUTED_VALUE"""),0.0)</f>
        <v>0</v>
      </c>
      <c r="AD21" s="3">
        <f>IFERROR(__xludf.DUMMYFUNCTION("""COMPUTED_VALUE"""),0.0)</f>
        <v>0</v>
      </c>
      <c r="AE21" s="3">
        <f>IFERROR(__xludf.DUMMYFUNCTION("""COMPUTED_VALUE"""),0.0)</f>
        <v>0</v>
      </c>
      <c r="AF21" s="3">
        <f>IFERROR(__xludf.DUMMYFUNCTION("""COMPUTED_VALUE"""),0.0)</f>
        <v>0</v>
      </c>
      <c r="AG21" s="3">
        <f>IFERROR(__xludf.DUMMYFUNCTION("""COMPUTED_VALUE"""),0.0)</f>
        <v>0</v>
      </c>
      <c r="AH21" s="3">
        <f>IFERROR(__xludf.DUMMYFUNCTION("""COMPUTED_VALUE"""),0.0)</f>
        <v>0</v>
      </c>
      <c r="AI21" s="3">
        <f>IFERROR(__xludf.DUMMYFUNCTION("""COMPUTED_VALUE"""),0.0)</f>
        <v>0</v>
      </c>
      <c r="AJ21" s="3">
        <f>IFERROR(__xludf.DUMMYFUNCTION("""COMPUTED_VALUE"""),0.0)</f>
        <v>0</v>
      </c>
      <c r="AK21" s="3">
        <f>IFERROR(__xludf.DUMMYFUNCTION("""COMPUTED_VALUE"""),0.0)</f>
        <v>0</v>
      </c>
      <c r="AL21" s="3">
        <f>IFERROR(__xludf.DUMMYFUNCTION("""COMPUTED_VALUE"""),1.0)</f>
        <v>1</v>
      </c>
      <c r="AM21" s="3">
        <f>IFERROR(__xludf.DUMMYFUNCTION("""COMPUTED_VALUE"""),23.0)</f>
        <v>23</v>
      </c>
      <c r="AN21" s="3">
        <f>IFERROR(__xludf.DUMMYFUNCTION("""COMPUTED_VALUE"""),33.0)</f>
        <v>33</v>
      </c>
      <c r="AO21" s="3">
        <f>IFERROR(__xludf.DUMMYFUNCTION("""COMPUTED_VALUE"""),33.0)</f>
        <v>33</v>
      </c>
      <c r="AP21" s="3">
        <f>IFERROR(__xludf.DUMMYFUNCTION("""COMPUTED_VALUE"""),36.0)</f>
        <v>36</v>
      </c>
      <c r="AQ21" s="3">
        <f>IFERROR(__xludf.DUMMYFUNCTION("""COMPUTED_VALUE"""),41.0)</f>
        <v>41</v>
      </c>
      <c r="AR21" s="3">
        <f>IFERROR(__xludf.DUMMYFUNCTION("""COMPUTED_VALUE"""),47.0)</f>
        <v>47</v>
      </c>
      <c r="AS21" s="3">
        <f>IFERROR(__xludf.DUMMYFUNCTION("""COMPUTED_VALUE"""),49.0)</f>
        <v>49</v>
      </c>
      <c r="AT21" s="3">
        <f>IFERROR(__xludf.DUMMYFUNCTION("""COMPUTED_VALUE"""),49.0)</f>
        <v>49</v>
      </c>
      <c r="AU21" s="3">
        <f>IFERROR(__xludf.DUMMYFUNCTION("""COMPUTED_VALUE"""),52.0)</f>
        <v>52</v>
      </c>
      <c r="AV21" s="3">
        <f>IFERROR(__xludf.DUMMYFUNCTION("""COMPUTED_VALUE"""),55.0)</f>
        <v>55</v>
      </c>
      <c r="AW21" s="3">
        <f>IFERROR(__xludf.DUMMYFUNCTION("""COMPUTED_VALUE"""),60.0)</f>
        <v>60</v>
      </c>
      <c r="AX21" s="3">
        <f>IFERROR(__xludf.DUMMYFUNCTION("""COMPUTED_VALUE"""),85.0)</f>
        <v>85</v>
      </c>
      <c r="AY21" s="3">
        <f>IFERROR(__xludf.DUMMYFUNCTION("""COMPUTED_VALUE"""),85.0)</f>
        <v>85</v>
      </c>
      <c r="AZ21" s="3">
        <f>IFERROR(__xludf.DUMMYFUNCTION("""COMPUTED_VALUE"""),95.0)</f>
        <v>95</v>
      </c>
      <c r="BA21" s="3">
        <f>IFERROR(__xludf.DUMMYFUNCTION("""COMPUTED_VALUE"""),110.0)</f>
        <v>110</v>
      </c>
      <c r="BB21" s="3">
        <f>IFERROR(__xludf.DUMMYFUNCTION("""COMPUTED_VALUE"""),195.0)</f>
        <v>195</v>
      </c>
      <c r="BC21" s="3">
        <f>IFERROR(__xludf.DUMMYFUNCTION("""COMPUTED_VALUE"""),195.0)</f>
        <v>195</v>
      </c>
      <c r="BD21" s="3">
        <f>IFERROR(__xludf.DUMMYFUNCTION("""COMPUTED_VALUE"""),195.0)</f>
        <v>195</v>
      </c>
      <c r="BE21" s="3">
        <f>IFERROR(__xludf.DUMMYFUNCTION("""COMPUTED_VALUE"""),210.0)</f>
        <v>210</v>
      </c>
      <c r="BF21" s="3">
        <f>IFERROR(__xludf.DUMMYFUNCTION("""COMPUTED_VALUE"""),214.0)</f>
        <v>214</v>
      </c>
      <c r="BG21" s="3">
        <f>IFERROR(__xludf.DUMMYFUNCTION("""COMPUTED_VALUE"""),214.0)</f>
        <v>214</v>
      </c>
      <c r="BH21" s="3">
        <f>IFERROR(__xludf.DUMMYFUNCTION("""COMPUTED_VALUE"""),228.0)</f>
        <v>228</v>
      </c>
      <c r="BI21" s="3">
        <f>IFERROR(__xludf.DUMMYFUNCTION("""COMPUTED_VALUE"""),256.0)</f>
        <v>256</v>
      </c>
      <c r="BJ21" s="3">
        <f>IFERROR(__xludf.DUMMYFUNCTION("""COMPUTED_VALUE"""),278.0)</f>
        <v>278</v>
      </c>
      <c r="BK21" s="3">
        <f>IFERROR(__xludf.DUMMYFUNCTION("""COMPUTED_VALUE"""),285.0)</f>
        <v>285</v>
      </c>
      <c r="BL21" s="3">
        <f>IFERROR(__xludf.DUMMYFUNCTION("""COMPUTED_VALUE"""),305.0)</f>
        <v>305</v>
      </c>
      <c r="BM21" s="3">
        <f>IFERROR(__xludf.DUMMYFUNCTION("""COMPUTED_VALUE"""),334.0)</f>
        <v>334</v>
      </c>
      <c r="BN21" s="3">
        <f>IFERROR(__xludf.DUMMYFUNCTION("""COMPUTED_VALUE"""),377.0)</f>
        <v>377</v>
      </c>
      <c r="BO21" s="3">
        <f>IFERROR(__xludf.DUMMYFUNCTION("""COMPUTED_VALUE"""),392.0)</f>
        <v>392</v>
      </c>
      <c r="BP21" s="3">
        <f>IFERROR(__xludf.DUMMYFUNCTION("""COMPUTED_VALUE"""),419.0)</f>
        <v>419</v>
      </c>
      <c r="BQ21" s="3">
        <f>IFERROR(__xludf.DUMMYFUNCTION("""COMPUTED_VALUE"""),458.0)</f>
        <v>458</v>
      </c>
      <c r="BR21" s="3">
        <f>IFERROR(__xludf.DUMMYFUNCTION("""COMPUTED_VALUE"""),466.0)</f>
        <v>466</v>
      </c>
      <c r="BS21" s="3">
        <f>IFERROR(__xludf.DUMMYFUNCTION("""COMPUTED_VALUE"""),476.0)</f>
        <v>476</v>
      </c>
      <c r="BT21" s="3">
        <f>IFERROR(__xludf.DUMMYFUNCTION("""COMPUTED_VALUE"""),499.0)</f>
        <v>499</v>
      </c>
      <c r="BU21" s="3">
        <f>IFERROR(__xludf.DUMMYFUNCTION("""COMPUTED_VALUE"""),515.0)</f>
        <v>515</v>
      </c>
      <c r="BV21" s="3">
        <f>IFERROR(__xludf.DUMMYFUNCTION("""COMPUTED_VALUE"""),567.0)</f>
        <v>567</v>
      </c>
      <c r="BW21" s="3">
        <f>IFERROR(__xludf.DUMMYFUNCTION("""COMPUTED_VALUE"""),569.0)</f>
        <v>569</v>
      </c>
      <c r="BX21" s="3">
        <f>IFERROR(__xludf.DUMMYFUNCTION("""COMPUTED_VALUE"""),643.0)</f>
        <v>643</v>
      </c>
      <c r="BY21" s="3">
        <f>IFERROR(__xludf.DUMMYFUNCTION("""COMPUTED_VALUE"""),672.0)</f>
        <v>672</v>
      </c>
      <c r="BZ21" s="3">
        <f>IFERROR(__xludf.DUMMYFUNCTION("""COMPUTED_VALUE"""),688.0)</f>
        <v>688</v>
      </c>
      <c r="CA21" s="3">
        <f>IFERROR(__xludf.DUMMYFUNCTION("""COMPUTED_VALUE"""),700.0)</f>
        <v>700</v>
      </c>
      <c r="CB21" s="3">
        <f>IFERROR(__xludf.DUMMYFUNCTION("""COMPUTED_VALUE"""),756.0)</f>
        <v>756</v>
      </c>
    </row>
    <row r="22">
      <c r="A22" s="3" t="str">
        <f>IFERROR(__xludf.DUMMYFUNCTION("""COMPUTED_VALUE"""),"")</f>
        <v/>
      </c>
      <c r="B22" s="3" t="str">
        <f>IFERROR(__xludf.DUMMYFUNCTION("""COMPUTED_VALUE"""),"Bangladesh")</f>
        <v>Bangladesh</v>
      </c>
      <c r="C22" s="3">
        <f>IFERROR(__xludf.DUMMYFUNCTION("""COMPUTED_VALUE"""),23.685)</f>
        <v>23.685</v>
      </c>
      <c r="D22" s="3">
        <f>IFERROR(__xludf.DUMMYFUNCTION("""COMPUTED_VALUE"""),90.3563)</f>
        <v>90.3563</v>
      </c>
      <c r="E22" s="3">
        <f>IFERROR(__xludf.DUMMYFUNCTION("""COMPUTED_VALUE"""),0.0)</f>
        <v>0</v>
      </c>
      <c r="F22" s="3">
        <f>IFERROR(__xludf.DUMMYFUNCTION("""COMPUTED_VALUE"""),0.0)</f>
        <v>0</v>
      </c>
      <c r="G22" s="3">
        <f>IFERROR(__xludf.DUMMYFUNCTION("""COMPUTED_VALUE"""),0.0)</f>
        <v>0</v>
      </c>
      <c r="H22" s="3">
        <f>IFERROR(__xludf.DUMMYFUNCTION("""COMPUTED_VALUE"""),0.0)</f>
        <v>0</v>
      </c>
      <c r="I22" s="3">
        <f>IFERROR(__xludf.DUMMYFUNCTION("""COMPUTED_VALUE"""),0.0)</f>
        <v>0</v>
      </c>
      <c r="J22" s="3">
        <f>IFERROR(__xludf.DUMMYFUNCTION("""COMPUTED_VALUE"""),0.0)</f>
        <v>0</v>
      </c>
      <c r="K22" s="3">
        <f>IFERROR(__xludf.DUMMYFUNCTION("""COMPUTED_VALUE"""),0.0)</f>
        <v>0</v>
      </c>
      <c r="L22" s="3">
        <f>IFERROR(__xludf.DUMMYFUNCTION("""COMPUTED_VALUE"""),0.0)</f>
        <v>0</v>
      </c>
      <c r="M22" s="3">
        <f>IFERROR(__xludf.DUMMYFUNCTION("""COMPUTED_VALUE"""),0.0)</f>
        <v>0</v>
      </c>
      <c r="N22" s="3">
        <f>IFERROR(__xludf.DUMMYFUNCTION("""COMPUTED_VALUE"""),0.0)</f>
        <v>0</v>
      </c>
      <c r="O22" s="3">
        <f>IFERROR(__xludf.DUMMYFUNCTION("""COMPUTED_VALUE"""),0.0)</f>
        <v>0</v>
      </c>
      <c r="P22" s="3">
        <f>IFERROR(__xludf.DUMMYFUNCTION("""COMPUTED_VALUE"""),0.0)</f>
        <v>0</v>
      </c>
      <c r="Q22" s="3">
        <f>IFERROR(__xludf.DUMMYFUNCTION("""COMPUTED_VALUE"""),0.0)</f>
        <v>0</v>
      </c>
      <c r="R22" s="3">
        <f>IFERROR(__xludf.DUMMYFUNCTION("""COMPUTED_VALUE"""),0.0)</f>
        <v>0</v>
      </c>
      <c r="S22" s="3">
        <f>IFERROR(__xludf.DUMMYFUNCTION("""COMPUTED_VALUE"""),0.0)</f>
        <v>0</v>
      </c>
      <c r="T22" s="3">
        <f>IFERROR(__xludf.DUMMYFUNCTION("""COMPUTED_VALUE"""),0.0)</f>
        <v>0</v>
      </c>
      <c r="U22" s="3">
        <f>IFERROR(__xludf.DUMMYFUNCTION("""COMPUTED_VALUE"""),0.0)</f>
        <v>0</v>
      </c>
      <c r="V22" s="3">
        <f>IFERROR(__xludf.DUMMYFUNCTION("""COMPUTED_VALUE"""),0.0)</f>
        <v>0</v>
      </c>
      <c r="W22" s="3">
        <f>IFERROR(__xludf.DUMMYFUNCTION("""COMPUTED_VALUE"""),0.0)</f>
        <v>0</v>
      </c>
      <c r="X22" s="3">
        <f>IFERROR(__xludf.DUMMYFUNCTION("""COMPUTED_VALUE"""),0.0)</f>
        <v>0</v>
      </c>
      <c r="Y22" s="3">
        <f>IFERROR(__xludf.DUMMYFUNCTION("""COMPUTED_VALUE"""),0.0)</f>
        <v>0</v>
      </c>
      <c r="Z22" s="3">
        <f>IFERROR(__xludf.DUMMYFUNCTION("""COMPUTED_VALUE"""),0.0)</f>
        <v>0</v>
      </c>
      <c r="AA22" s="3">
        <f>IFERROR(__xludf.DUMMYFUNCTION("""COMPUTED_VALUE"""),0.0)</f>
        <v>0</v>
      </c>
      <c r="AB22" s="3">
        <f>IFERROR(__xludf.DUMMYFUNCTION("""COMPUTED_VALUE"""),0.0)</f>
        <v>0</v>
      </c>
      <c r="AC22" s="3">
        <f>IFERROR(__xludf.DUMMYFUNCTION("""COMPUTED_VALUE"""),0.0)</f>
        <v>0</v>
      </c>
      <c r="AD22" s="3">
        <f>IFERROR(__xludf.DUMMYFUNCTION("""COMPUTED_VALUE"""),0.0)</f>
        <v>0</v>
      </c>
      <c r="AE22" s="3">
        <f>IFERROR(__xludf.DUMMYFUNCTION("""COMPUTED_VALUE"""),0.0)</f>
        <v>0</v>
      </c>
      <c r="AF22" s="3">
        <f>IFERROR(__xludf.DUMMYFUNCTION("""COMPUTED_VALUE"""),0.0)</f>
        <v>0</v>
      </c>
      <c r="AG22" s="3">
        <f>IFERROR(__xludf.DUMMYFUNCTION("""COMPUTED_VALUE"""),0.0)</f>
        <v>0</v>
      </c>
      <c r="AH22" s="3">
        <f>IFERROR(__xludf.DUMMYFUNCTION("""COMPUTED_VALUE"""),0.0)</f>
        <v>0</v>
      </c>
      <c r="AI22" s="3">
        <f>IFERROR(__xludf.DUMMYFUNCTION("""COMPUTED_VALUE"""),0.0)</f>
        <v>0</v>
      </c>
      <c r="AJ22" s="3">
        <f>IFERROR(__xludf.DUMMYFUNCTION("""COMPUTED_VALUE"""),0.0)</f>
        <v>0</v>
      </c>
      <c r="AK22" s="3">
        <f>IFERROR(__xludf.DUMMYFUNCTION("""COMPUTED_VALUE"""),0.0)</f>
        <v>0</v>
      </c>
      <c r="AL22" s="3">
        <f>IFERROR(__xludf.DUMMYFUNCTION("""COMPUTED_VALUE"""),0.0)</f>
        <v>0</v>
      </c>
      <c r="AM22" s="3">
        <f>IFERROR(__xludf.DUMMYFUNCTION("""COMPUTED_VALUE"""),0.0)</f>
        <v>0</v>
      </c>
      <c r="AN22" s="3">
        <f>IFERROR(__xludf.DUMMYFUNCTION("""COMPUTED_VALUE"""),0.0)</f>
        <v>0</v>
      </c>
      <c r="AO22" s="3">
        <f>IFERROR(__xludf.DUMMYFUNCTION("""COMPUTED_VALUE"""),0.0)</f>
        <v>0</v>
      </c>
      <c r="AP22" s="3">
        <f>IFERROR(__xludf.DUMMYFUNCTION("""COMPUTED_VALUE"""),0.0)</f>
        <v>0</v>
      </c>
      <c r="AQ22" s="3">
        <f>IFERROR(__xludf.DUMMYFUNCTION("""COMPUTED_VALUE"""),0.0)</f>
        <v>0</v>
      </c>
      <c r="AR22" s="3">
        <f>IFERROR(__xludf.DUMMYFUNCTION("""COMPUTED_VALUE"""),0.0)</f>
        <v>0</v>
      </c>
      <c r="AS22" s="3">
        <f>IFERROR(__xludf.DUMMYFUNCTION("""COMPUTED_VALUE"""),0.0)</f>
        <v>0</v>
      </c>
      <c r="AT22" s="3">
        <f>IFERROR(__xludf.DUMMYFUNCTION("""COMPUTED_VALUE"""),0.0)</f>
        <v>0</v>
      </c>
      <c r="AU22" s="3">
        <f>IFERROR(__xludf.DUMMYFUNCTION("""COMPUTED_VALUE"""),0.0)</f>
        <v>0</v>
      </c>
      <c r="AV22" s="3">
        <f>IFERROR(__xludf.DUMMYFUNCTION("""COMPUTED_VALUE"""),0.0)</f>
        <v>0</v>
      </c>
      <c r="AW22" s="3">
        <f>IFERROR(__xludf.DUMMYFUNCTION("""COMPUTED_VALUE"""),0.0)</f>
        <v>0</v>
      </c>
      <c r="AX22" s="3">
        <f>IFERROR(__xludf.DUMMYFUNCTION("""COMPUTED_VALUE"""),0.0)</f>
        <v>0</v>
      </c>
      <c r="AY22" s="3">
        <f>IFERROR(__xludf.DUMMYFUNCTION("""COMPUTED_VALUE"""),3.0)</f>
        <v>3</v>
      </c>
      <c r="AZ22" s="3">
        <f>IFERROR(__xludf.DUMMYFUNCTION("""COMPUTED_VALUE"""),3.0)</f>
        <v>3</v>
      </c>
      <c r="BA22" s="3">
        <f>IFERROR(__xludf.DUMMYFUNCTION("""COMPUTED_VALUE"""),3.0)</f>
        <v>3</v>
      </c>
      <c r="BB22" s="3">
        <f>IFERROR(__xludf.DUMMYFUNCTION("""COMPUTED_VALUE"""),3.0)</f>
        <v>3</v>
      </c>
      <c r="BC22" s="3">
        <f>IFERROR(__xludf.DUMMYFUNCTION("""COMPUTED_VALUE"""),3.0)</f>
        <v>3</v>
      </c>
      <c r="BD22" s="3">
        <f>IFERROR(__xludf.DUMMYFUNCTION("""COMPUTED_VALUE"""),3.0)</f>
        <v>3</v>
      </c>
      <c r="BE22" s="3">
        <f>IFERROR(__xludf.DUMMYFUNCTION("""COMPUTED_VALUE"""),3.0)</f>
        <v>3</v>
      </c>
      <c r="BF22" s="3">
        <f>IFERROR(__xludf.DUMMYFUNCTION("""COMPUTED_VALUE"""),5.0)</f>
        <v>5</v>
      </c>
      <c r="BG22" s="3">
        <f>IFERROR(__xludf.DUMMYFUNCTION("""COMPUTED_VALUE"""),8.0)</f>
        <v>8</v>
      </c>
      <c r="BH22" s="3">
        <f>IFERROR(__xludf.DUMMYFUNCTION("""COMPUTED_VALUE"""),10.0)</f>
        <v>10</v>
      </c>
      <c r="BI22" s="3">
        <f>IFERROR(__xludf.DUMMYFUNCTION("""COMPUTED_VALUE"""),14.0)</f>
        <v>14</v>
      </c>
      <c r="BJ22" s="3">
        <f>IFERROR(__xludf.DUMMYFUNCTION("""COMPUTED_VALUE"""),17.0)</f>
        <v>17</v>
      </c>
      <c r="BK22" s="3">
        <f>IFERROR(__xludf.DUMMYFUNCTION("""COMPUTED_VALUE"""),20.0)</f>
        <v>20</v>
      </c>
      <c r="BL22" s="3">
        <f>IFERROR(__xludf.DUMMYFUNCTION("""COMPUTED_VALUE"""),25.0)</f>
        <v>25</v>
      </c>
      <c r="BM22" s="3">
        <f>IFERROR(__xludf.DUMMYFUNCTION("""COMPUTED_VALUE"""),27.0)</f>
        <v>27</v>
      </c>
      <c r="BN22" s="3">
        <f>IFERROR(__xludf.DUMMYFUNCTION("""COMPUTED_VALUE"""),33.0)</f>
        <v>33</v>
      </c>
      <c r="BO22" s="3">
        <f>IFERROR(__xludf.DUMMYFUNCTION("""COMPUTED_VALUE"""),39.0)</f>
        <v>39</v>
      </c>
      <c r="BP22" s="3">
        <f>IFERROR(__xludf.DUMMYFUNCTION("""COMPUTED_VALUE"""),39.0)</f>
        <v>39</v>
      </c>
      <c r="BQ22" s="3">
        <f>IFERROR(__xludf.DUMMYFUNCTION("""COMPUTED_VALUE"""),44.0)</f>
        <v>44</v>
      </c>
      <c r="BR22" s="3">
        <f>IFERROR(__xludf.DUMMYFUNCTION("""COMPUTED_VALUE"""),48.0)</f>
        <v>48</v>
      </c>
      <c r="BS22" s="3">
        <f>IFERROR(__xludf.DUMMYFUNCTION("""COMPUTED_VALUE"""),48.0)</f>
        <v>48</v>
      </c>
      <c r="BT22" s="3">
        <f>IFERROR(__xludf.DUMMYFUNCTION("""COMPUTED_VALUE"""),48.0)</f>
        <v>48</v>
      </c>
      <c r="BU22" s="3">
        <f>IFERROR(__xludf.DUMMYFUNCTION("""COMPUTED_VALUE"""),49.0)</f>
        <v>49</v>
      </c>
      <c r="BV22" s="3">
        <f>IFERROR(__xludf.DUMMYFUNCTION("""COMPUTED_VALUE"""),51.0)</f>
        <v>51</v>
      </c>
      <c r="BW22" s="3">
        <f>IFERROR(__xludf.DUMMYFUNCTION("""COMPUTED_VALUE"""),54.0)</f>
        <v>54</v>
      </c>
      <c r="BX22" s="3">
        <f>IFERROR(__xludf.DUMMYFUNCTION("""COMPUTED_VALUE"""),56.0)</f>
        <v>56</v>
      </c>
      <c r="BY22" s="3">
        <f>IFERROR(__xludf.DUMMYFUNCTION("""COMPUTED_VALUE"""),61.0)</f>
        <v>61</v>
      </c>
      <c r="BZ22" s="3">
        <f>IFERROR(__xludf.DUMMYFUNCTION("""COMPUTED_VALUE"""),70.0)</f>
        <v>70</v>
      </c>
      <c r="CA22" s="3">
        <f>IFERROR(__xludf.DUMMYFUNCTION("""COMPUTED_VALUE"""),88.0)</f>
        <v>88</v>
      </c>
      <c r="CB22" s="3">
        <f>IFERROR(__xludf.DUMMYFUNCTION("""COMPUTED_VALUE"""),123.0)</f>
        <v>123</v>
      </c>
    </row>
    <row r="23">
      <c r="A23" s="3" t="str">
        <f>IFERROR(__xludf.DUMMYFUNCTION("""COMPUTED_VALUE"""),"")</f>
        <v/>
      </c>
      <c r="B23" s="3" t="str">
        <f>IFERROR(__xludf.DUMMYFUNCTION("""COMPUTED_VALUE"""),"Barbados")</f>
        <v>Barbados</v>
      </c>
      <c r="C23" s="3">
        <f>IFERROR(__xludf.DUMMYFUNCTION("""COMPUTED_VALUE"""),13.1939)</f>
        <v>13.1939</v>
      </c>
      <c r="D23" s="3">
        <f>IFERROR(__xludf.DUMMYFUNCTION("""COMPUTED_VALUE"""),-59.5432)</f>
        <v>-59.5432</v>
      </c>
      <c r="E23" s="3">
        <f>IFERROR(__xludf.DUMMYFUNCTION("""COMPUTED_VALUE"""),0.0)</f>
        <v>0</v>
      </c>
      <c r="F23" s="3">
        <f>IFERROR(__xludf.DUMMYFUNCTION("""COMPUTED_VALUE"""),0.0)</f>
        <v>0</v>
      </c>
      <c r="G23" s="3">
        <f>IFERROR(__xludf.DUMMYFUNCTION("""COMPUTED_VALUE"""),0.0)</f>
        <v>0</v>
      </c>
      <c r="H23" s="3">
        <f>IFERROR(__xludf.DUMMYFUNCTION("""COMPUTED_VALUE"""),0.0)</f>
        <v>0</v>
      </c>
      <c r="I23" s="3">
        <f>IFERROR(__xludf.DUMMYFUNCTION("""COMPUTED_VALUE"""),0.0)</f>
        <v>0</v>
      </c>
      <c r="J23" s="3">
        <f>IFERROR(__xludf.DUMMYFUNCTION("""COMPUTED_VALUE"""),0.0)</f>
        <v>0</v>
      </c>
      <c r="K23" s="3">
        <f>IFERROR(__xludf.DUMMYFUNCTION("""COMPUTED_VALUE"""),0.0)</f>
        <v>0</v>
      </c>
      <c r="L23" s="3">
        <f>IFERROR(__xludf.DUMMYFUNCTION("""COMPUTED_VALUE"""),0.0)</f>
        <v>0</v>
      </c>
      <c r="M23" s="3">
        <f>IFERROR(__xludf.DUMMYFUNCTION("""COMPUTED_VALUE"""),0.0)</f>
        <v>0</v>
      </c>
      <c r="N23" s="3">
        <f>IFERROR(__xludf.DUMMYFUNCTION("""COMPUTED_VALUE"""),0.0)</f>
        <v>0</v>
      </c>
      <c r="O23" s="3">
        <f>IFERROR(__xludf.DUMMYFUNCTION("""COMPUTED_VALUE"""),0.0)</f>
        <v>0</v>
      </c>
      <c r="P23" s="3">
        <f>IFERROR(__xludf.DUMMYFUNCTION("""COMPUTED_VALUE"""),0.0)</f>
        <v>0</v>
      </c>
      <c r="Q23" s="3">
        <f>IFERROR(__xludf.DUMMYFUNCTION("""COMPUTED_VALUE"""),0.0)</f>
        <v>0</v>
      </c>
      <c r="R23" s="3">
        <f>IFERROR(__xludf.DUMMYFUNCTION("""COMPUTED_VALUE"""),0.0)</f>
        <v>0</v>
      </c>
      <c r="S23" s="3">
        <f>IFERROR(__xludf.DUMMYFUNCTION("""COMPUTED_VALUE"""),0.0)</f>
        <v>0</v>
      </c>
      <c r="T23" s="3">
        <f>IFERROR(__xludf.DUMMYFUNCTION("""COMPUTED_VALUE"""),0.0)</f>
        <v>0</v>
      </c>
      <c r="U23" s="3">
        <f>IFERROR(__xludf.DUMMYFUNCTION("""COMPUTED_VALUE"""),0.0)</f>
        <v>0</v>
      </c>
      <c r="V23" s="3">
        <f>IFERROR(__xludf.DUMMYFUNCTION("""COMPUTED_VALUE"""),0.0)</f>
        <v>0</v>
      </c>
      <c r="W23" s="3">
        <f>IFERROR(__xludf.DUMMYFUNCTION("""COMPUTED_VALUE"""),0.0)</f>
        <v>0</v>
      </c>
      <c r="X23" s="3">
        <f>IFERROR(__xludf.DUMMYFUNCTION("""COMPUTED_VALUE"""),0.0)</f>
        <v>0</v>
      </c>
      <c r="Y23" s="3">
        <f>IFERROR(__xludf.DUMMYFUNCTION("""COMPUTED_VALUE"""),0.0)</f>
        <v>0</v>
      </c>
      <c r="Z23" s="3">
        <f>IFERROR(__xludf.DUMMYFUNCTION("""COMPUTED_VALUE"""),0.0)</f>
        <v>0</v>
      </c>
      <c r="AA23" s="3">
        <f>IFERROR(__xludf.DUMMYFUNCTION("""COMPUTED_VALUE"""),0.0)</f>
        <v>0</v>
      </c>
      <c r="AB23" s="3">
        <f>IFERROR(__xludf.DUMMYFUNCTION("""COMPUTED_VALUE"""),0.0)</f>
        <v>0</v>
      </c>
      <c r="AC23" s="3">
        <f>IFERROR(__xludf.DUMMYFUNCTION("""COMPUTED_VALUE"""),0.0)</f>
        <v>0</v>
      </c>
      <c r="AD23" s="3">
        <f>IFERROR(__xludf.DUMMYFUNCTION("""COMPUTED_VALUE"""),0.0)</f>
        <v>0</v>
      </c>
      <c r="AE23" s="3">
        <f>IFERROR(__xludf.DUMMYFUNCTION("""COMPUTED_VALUE"""),0.0)</f>
        <v>0</v>
      </c>
      <c r="AF23" s="3">
        <f>IFERROR(__xludf.DUMMYFUNCTION("""COMPUTED_VALUE"""),0.0)</f>
        <v>0</v>
      </c>
      <c r="AG23" s="3">
        <f>IFERROR(__xludf.DUMMYFUNCTION("""COMPUTED_VALUE"""),0.0)</f>
        <v>0</v>
      </c>
      <c r="AH23" s="3">
        <f>IFERROR(__xludf.DUMMYFUNCTION("""COMPUTED_VALUE"""),0.0)</f>
        <v>0</v>
      </c>
      <c r="AI23" s="3">
        <f>IFERROR(__xludf.DUMMYFUNCTION("""COMPUTED_VALUE"""),0.0)</f>
        <v>0</v>
      </c>
      <c r="AJ23" s="3">
        <f>IFERROR(__xludf.DUMMYFUNCTION("""COMPUTED_VALUE"""),0.0)</f>
        <v>0</v>
      </c>
      <c r="AK23" s="3">
        <f>IFERROR(__xludf.DUMMYFUNCTION("""COMPUTED_VALUE"""),0.0)</f>
        <v>0</v>
      </c>
      <c r="AL23" s="3">
        <f>IFERROR(__xludf.DUMMYFUNCTION("""COMPUTED_VALUE"""),0.0)</f>
        <v>0</v>
      </c>
      <c r="AM23" s="3">
        <f>IFERROR(__xludf.DUMMYFUNCTION("""COMPUTED_VALUE"""),0.0)</f>
        <v>0</v>
      </c>
      <c r="AN23" s="3">
        <f>IFERROR(__xludf.DUMMYFUNCTION("""COMPUTED_VALUE"""),0.0)</f>
        <v>0</v>
      </c>
      <c r="AO23" s="3">
        <f>IFERROR(__xludf.DUMMYFUNCTION("""COMPUTED_VALUE"""),0.0)</f>
        <v>0</v>
      </c>
      <c r="AP23" s="3">
        <f>IFERROR(__xludf.DUMMYFUNCTION("""COMPUTED_VALUE"""),0.0)</f>
        <v>0</v>
      </c>
      <c r="AQ23" s="3">
        <f>IFERROR(__xludf.DUMMYFUNCTION("""COMPUTED_VALUE"""),0.0)</f>
        <v>0</v>
      </c>
      <c r="AR23" s="3">
        <f>IFERROR(__xludf.DUMMYFUNCTION("""COMPUTED_VALUE"""),0.0)</f>
        <v>0</v>
      </c>
      <c r="AS23" s="3">
        <f>IFERROR(__xludf.DUMMYFUNCTION("""COMPUTED_VALUE"""),0.0)</f>
        <v>0</v>
      </c>
      <c r="AT23" s="3">
        <f>IFERROR(__xludf.DUMMYFUNCTION("""COMPUTED_VALUE"""),0.0)</f>
        <v>0</v>
      </c>
      <c r="AU23" s="3">
        <f>IFERROR(__xludf.DUMMYFUNCTION("""COMPUTED_VALUE"""),0.0)</f>
        <v>0</v>
      </c>
      <c r="AV23" s="3">
        <f>IFERROR(__xludf.DUMMYFUNCTION("""COMPUTED_VALUE"""),0.0)</f>
        <v>0</v>
      </c>
      <c r="AW23" s="3">
        <f>IFERROR(__xludf.DUMMYFUNCTION("""COMPUTED_VALUE"""),0.0)</f>
        <v>0</v>
      </c>
      <c r="AX23" s="3">
        <f>IFERROR(__xludf.DUMMYFUNCTION("""COMPUTED_VALUE"""),0.0)</f>
        <v>0</v>
      </c>
      <c r="AY23" s="3">
        <f>IFERROR(__xludf.DUMMYFUNCTION("""COMPUTED_VALUE"""),0.0)</f>
        <v>0</v>
      </c>
      <c r="AZ23" s="3">
        <f>IFERROR(__xludf.DUMMYFUNCTION("""COMPUTED_VALUE"""),0.0)</f>
        <v>0</v>
      </c>
      <c r="BA23" s="3">
        <f>IFERROR(__xludf.DUMMYFUNCTION("""COMPUTED_VALUE"""),0.0)</f>
        <v>0</v>
      </c>
      <c r="BB23" s="3">
        <f>IFERROR(__xludf.DUMMYFUNCTION("""COMPUTED_VALUE"""),0.0)</f>
        <v>0</v>
      </c>
      <c r="BC23" s="3">
        <f>IFERROR(__xludf.DUMMYFUNCTION("""COMPUTED_VALUE"""),0.0)</f>
        <v>0</v>
      </c>
      <c r="BD23" s="3">
        <f>IFERROR(__xludf.DUMMYFUNCTION("""COMPUTED_VALUE"""),0.0)</f>
        <v>0</v>
      </c>
      <c r="BE23" s="3">
        <f>IFERROR(__xludf.DUMMYFUNCTION("""COMPUTED_VALUE"""),0.0)</f>
        <v>0</v>
      </c>
      <c r="BF23" s="3">
        <f>IFERROR(__xludf.DUMMYFUNCTION("""COMPUTED_VALUE"""),0.0)</f>
        <v>0</v>
      </c>
      <c r="BG23" s="3">
        <f>IFERROR(__xludf.DUMMYFUNCTION("""COMPUTED_VALUE"""),0.0)</f>
        <v>0</v>
      </c>
      <c r="BH23" s="3">
        <f>IFERROR(__xludf.DUMMYFUNCTION("""COMPUTED_VALUE"""),2.0)</f>
        <v>2</v>
      </c>
      <c r="BI23" s="3">
        <f>IFERROR(__xludf.DUMMYFUNCTION("""COMPUTED_VALUE"""),2.0)</f>
        <v>2</v>
      </c>
      <c r="BJ23" s="3">
        <f>IFERROR(__xludf.DUMMYFUNCTION("""COMPUTED_VALUE"""),5.0)</f>
        <v>5</v>
      </c>
      <c r="BK23" s="3">
        <f>IFERROR(__xludf.DUMMYFUNCTION("""COMPUTED_VALUE"""),5.0)</f>
        <v>5</v>
      </c>
      <c r="BL23" s="3">
        <f>IFERROR(__xludf.DUMMYFUNCTION("""COMPUTED_VALUE"""),6.0)</f>
        <v>6</v>
      </c>
      <c r="BM23" s="3">
        <f>IFERROR(__xludf.DUMMYFUNCTION("""COMPUTED_VALUE"""),14.0)</f>
        <v>14</v>
      </c>
      <c r="BN23" s="3">
        <f>IFERROR(__xludf.DUMMYFUNCTION("""COMPUTED_VALUE"""),17.0)</f>
        <v>17</v>
      </c>
      <c r="BO23" s="3">
        <f>IFERROR(__xludf.DUMMYFUNCTION("""COMPUTED_VALUE"""),18.0)</f>
        <v>18</v>
      </c>
      <c r="BP23" s="3">
        <f>IFERROR(__xludf.DUMMYFUNCTION("""COMPUTED_VALUE"""),18.0)</f>
        <v>18</v>
      </c>
      <c r="BQ23" s="3">
        <f>IFERROR(__xludf.DUMMYFUNCTION("""COMPUTED_VALUE"""),18.0)</f>
        <v>18</v>
      </c>
      <c r="BR23" s="3">
        <f>IFERROR(__xludf.DUMMYFUNCTION("""COMPUTED_VALUE"""),24.0)</f>
        <v>24</v>
      </c>
      <c r="BS23" s="3">
        <f>IFERROR(__xludf.DUMMYFUNCTION("""COMPUTED_VALUE"""),26.0)</f>
        <v>26</v>
      </c>
      <c r="BT23" s="3">
        <f>IFERROR(__xludf.DUMMYFUNCTION("""COMPUTED_VALUE"""),33.0)</f>
        <v>33</v>
      </c>
      <c r="BU23" s="3">
        <f>IFERROR(__xludf.DUMMYFUNCTION("""COMPUTED_VALUE"""),33.0)</f>
        <v>33</v>
      </c>
      <c r="BV23" s="3">
        <f>IFERROR(__xludf.DUMMYFUNCTION("""COMPUTED_VALUE"""),34.0)</f>
        <v>34</v>
      </c>
      <c r="BW23" s="3">
        <f>IFERROR(__xludf.DUMMYFUNCTION("""COMPUTED_VALUE"""),34.0)</f>
        <v>34</v>
      </c>
      <c r="BX23" s="3">
        <f>IFERROR(__xludf.DUMMYFUNCTION("""COMPUTED_VALUE"""),46.0)</f>
        <v>46</v>
      </c>
      <c r="BY23" s="3">
        <f>IFERROR(__xludf.DUMMYFUNCTION("""COMPUTED_VALUE"""),51.0)</f>
        <v>51</v>
      </c>
      <c r="BZ23" s="3">
        <f>IFERROR(__xludf.DUMMYFUNCTION("""COMPUTED_VALUE"""),52.0)</f>
        <v>52</v>
      </c>
      <c r="CA23" s="3">
        <f>IFERROR(__xludf.DUMMYFUNCTION("""COMPUTED_VALUE"""),56.0)</f>
        <v>56</v>
      </c>
      <c r="CB23" s="3">
        <f>IFERROR(__xludf.DUMMYFUNCTION("""COMPUTED_VALUE"""),60.0)</f>
        <v>60</v>
      </c>
    </row>
    <row r="24">
      <c r="A24" s="3" t="str">
        <f>IFERROR(__xludf.DUMMYFUNCTION("""COMPUTED_VALUE"""),"")</f>
        <v/>
      </c>
      <c r="B24" s="3" t="str">
        <f>IFERROR(__xludf.DUMMYFUNCTION("""COMPUTED_VALUE"""),"Belarus")</f>
        <v>Belarus</v>
      </c>
      <c r="C24" s="3">
        <f>IFERROR(__xludf.DUMMYFUNCTION("""COMPUTED_VALUE"""),53.7098)</f>
        <v>53.7098</v>
      </c>
      <c r="D24" s="3">
        <f>IFERROR(__xludf.DUMMYFUNCTION("""COMPUTED_VALUE"""),27.9534)</f>
        <v>27.9534</v>
      </c>
      <c r="E24" s="3">
        <f>IFERROR(__xludf.DUMMYFUNCTION("""COMPUTED_VALUE"""),0.0)</f>
        <v>0</v>
      </c>
      <c r="F24" s="3">
        <f>IFERROR(__xludf.DUMMYFUNCTION("""COMPUTED_VALUE"""),0.0)</f>
        <v>0</v>
      </c>
      <c r="G24" s="3">
        <f>IFERROR(__xludf.DUMMYFUNCTION("""COMPUTED_VALUE"""),0.0)</f>
        <v>0</v>
      </c>
      <c r="H24" s="3">
        <f>IFERROR(__xludf.DUMMYFUNCTION("""COMPUTED_VALUE"""),0.0)</f>
        <v>0</v>
      </c>
      <c r="I24" s="3">
        <f>IFERROR(__xludf.DUMMYFUNCTION("""COMPUTED_VALUE"""),0.0)</f>
        <v>0</v>
      </c>
      <c r="J24" s="3">
        <f>IFERROR(__xludf.DUMMYFUNCTION("""COMPUTED_VALUE"""),0.0)</f>
        <v>0</v>
      </c>
      <c r="K24" s="3">
        <f>IFERROR(__xludf.DUMMYFUNCTION("""COMPUTED_VALUE"""),0.0)</f>
        <v>0</v>
      </c>
      <c r="L24" s="3">
        <f>IFERROR(__xludf.DUMMYFUNCTION("""COMPUTED_VALUE"""),0.0)</f>
        <v>0</v>
      </c>
      <c r="M24" s="3">
        <f>IFERROR(__xludf.DUMMYFUNCTION("""COMPUTED_VALUE"""),0.0)</f>
        <v>0</v>
      </c>
      <c r="N24" s="3">
        <f>IFERROR(__xludf.DUMMYFUNCTION("""COMPUTED_VALUE"""),0.0)</f>
        <v>0</v>
      </c>
      <c r="O24" s="3">
        <f>IFERROR(__xludf.DUMMYFUNCTION("""COMPUTED_VALUE"""),0.0)</f>
        <v>0</v>
      </c>
      <c r="P24" s="3">
        <f>IFERROR(__xludf.DUMMYFUNCTION("""COMPUTED_VALUE"""),0.0)</f>
        <v>0</v>
      </c>
      <c r="Q24" s="3">
        <f>IFERROR(__xludf.DUMMYFUNCTION("""COMPUTED_VALUE"""),0.0)</f>
        <v>0</v>
      </c>
      <c r="R24" s="3">
        <f>IFERROR(__xludf.DUMMYFUNCTION("""COMPUTED_VALUE"""),0.0)</f>
        <v>0</v>
      </c>
      <c r="S24" s="3">
        <f>IFERROR(__xludf.DUMMYFUNCTION("""COMPUTED_VALUE"""),0.0)</f>
        <v>0</v>
      </c>
      <c r="T24" s="3">
        <f>IFERROR(__xludf.DUMMYFUNCTION("""COMPUTED_VALUE"""),0.0)</f>
        <v>0</v>
      </c>
      <c r="U24" s="3">
        <f>IFERROR(__xludf.DUMMYFUNCTION("""COMPUTED_VALUE"""),0.0)</f>
        <v>0</v>
      </c>
      <c r="V24" s="3">
        <f>IFERROR(__xludf.DUMMYFUNCTION("""COMPUTED_VALUE"""),0.0)</f>
        <v>0</v>
      </c>
      <c r="W24" s="3">
        <f>IFERROR(__xludf.DUMMYFUNCTION("""COMPUTED_VALUE"""),0.0)</f>
        <v>0</v>
      </c>
      <c r="X24" s="3">
        <f>IFERROR(__xludf.DUMMYFUNCTION("""COMPUTED_VALUE"""),0.0)</f>
        <v>0</v>
      </c>
      <c r="Y24" s="3">
        <f>IFERROR(__xludf.DUMMYFUNCTION("""COMPUTED_VALUE"""),0.0)</f>
        <v>0</v>
      </c>
      <c r="Z24" s="3">
        <f>IFERROR(__xludf.DUMMYFUNCTION("""COMPUTED_VALUE"""),0.0)</f>
        <v>0</v>
      </c>
      <c r="AA24" s="3">
        <f>IFERROR(__xludf.DUMMYFUNCTION("""COMPUTED_VALUE"""),0.0)</f>
        <v>0</v>
      </c>
      <c r="AB24" s="3">
        <f>IFERROR(__xludf.DUMMYFUNCTION("""COMPUTED_VALUE"""),0.0)</f>
        <v>0</v>
      </c>
      <c r="AC24" s="3">
        <f>IFERROR(__xludf.DUMMYFUNCTION("""COMPUTED_VALUE"""),0.0)</f>
        <v>0</v>
      </c>
      <c r="AD24" s="3">
        <f>IFERROR(__xludf.DUMMYFUNCTION("""COMPUTED_VALUE"""),0.0)</f>
        <v>0</v>
      </c>
      <c r="AE24" s="3">
        <f>IFERROR(__xludf.DUMMYFUNCTION("""COMPUTED_VALUE"""),0.0)</f>
        <v>0</v>
      </c>
      <c r="AF24" s="3">
        <f>IFERROR(__xludf.DUMMYFUNCTION("""COMPUTED_VALUE"""),0.0)</f>
        <v>0</v>
      </c>
      <c r="AG24" s="3">
        <f>IFERROR(__xludf.DUMMYFUNCTION("""COMPUTED_VALUE"""),0.0)</f>
        <v>0</v>
      </c>
      <c r="AH24" s="3">
        <f>IFERROR(__xludf.DUMMYFUNCTION("""COMPUTED_VALUE"""),0.0)</f>
        <v>0</v>
      </c>
      <c r="AI24" s="3">
        <f>IFERROR(__xludf.DUMMYFUNCTION("""COMPUTED_VALUE"""),0.0)</f>
        <v>0</v>
      </c>
      <c r="AJ24" s="3">
        <f>IFERROR(__xludf.DUMMYFUNCTION("""COMPUTED_VALUE"""),0.0)</f>
        <v>0</v>
      </c>
      <c r="AK24" s="3">
        <f>IFERROR(__xludf.DUMMYFUNCTION("""COMPUTED_VALUE"""),0.0)</f>
        <v>0</v>
      </c>
      <c r="AL24" s="3">
        <f>IFERROR(__xludf.DUMMYFUNCTION("""COMPUTED_VALUE"""),0.0)</f>
        <v>0</v>
      </c>
      <c r="AM24" s="3">
        <f>IFERROR(__xludf.DUMMYFUNCTION("""COMPUTED_VALUE"""),0.0)</f>
        <v>0</v>
      </c>
      <c r="AN24" s="3">
        <f>IFERROR(__xludf.DUMMYFUNCTION("""COMPUTED_VALUE"""),0.0)</f>
        <v>0</v>
      </c>
      <c r="AO24" s="3">
        <f>IFERROR(__xludf.DUMMYFUNCTION("""COMPUTED_VALUE"""),0.0)</f>
        <v>0</v>
      </c>
      <c r="AP24" s="3">
        <f>IFERROR(__xludf.DUMMYFUNCTION("""COMPUTED_VALUE"""),1.0)</f>
        <v>1</v>
      </c>
      <c r="AQ24" s="3">
        <f>IFERROR(__xludf.DUMMYFUNCTION("""COMPUTED_VALUE"""),1.0)</f>
        <v>1</v>
      </c>
      <c r="AR24" s="3">
        <f>IFERROR(__xludf.DUMMYFUNCTION("""COMPUTED_VALUE"""),1.0)</f>
        <v>1</v>
      </c>
      <c r="AS24" s="3">
        <f>IFERROR(__xludf.DUMMYFUNCTION("""COMPUTED_VALUE"""),1.0)</f>
        <v>1</v>
      </c>
      <c r="AT24" s="3">
        <f>IFERROR(__xludf.DUMMYFUNCTION("""COMPUTED_VALUE"""),1.0)</f>
        <v>1</v>
      </c>
      <c r="AU24" s="3">
        <f>IFERROR(__xludf.DUMMYFUNCTION("""COMPUTED_VALUE"""),6.0)</f>
        <v>6</v>
      </c>
      <c r="AV24" s="3">
        <f>IFERROR(__xludf.DUMMYFUNCTION("""COMPUTED_VALUE"""),6.0)</f>
        <v>6</v>
      </c>
      <c r="AW24" s="3">
        <f>IFERROR(__xludf.DUMMYFUNCTION("""COMPUTED_VALUE"""),6.0)</f>
        <v>6</v>
      </c>
      <c r="AX24" s="3">
        <f>IFERROR(__xludf.DUMMYFUNCTION("""COMPUTED_VALUE"""),6.0)</f>
        <v>6</v>
      </c>
      <c r="AY24" s="3">
        <f>IFERROR(__xludf.DUMMYFUNCTION("""COMPUTED_VALUE"""),6.0)</f>
        <v>6</v>
      </c>
      <c r="AZ24" s="3">
        <f>IFERROR(__xludf.DUMMYFUNCTION("""COMPUTED_VALUE"""),6.0)</f>
        <v>6</v>
      </c>
      <c r="BA24" s="3">
        <f>IFERROR(__xludf.DUMMYFUNCTION("""COMPUTED_VALUE"""),9.0)</f>
        <v>9</v>
      </c>
      <c r="BB24" s="3">
        <f>IFERROR(__xludf.DUMMYFUNCTION("""COMPUTED_VALUE"""),9.0)</f>
        <v>9</v>
      </c>
      <c r="BC24" s="3">
        <f>IFERROR(__xludf.DUMMYFUNCTION("""COMPUTED_VALUE"""),12.0)</f>
        <v>12</v>
      </c>
      <c r="BD24" s="3">
        <f>IFERROR(__xludf.DUMMYFUNCTION("""COMPUTED_VALUE"""),27.0)</f>
        <v>27</v>
      </c>
      <c r="BE24" s="3">
        <f>IFERROR(__xludf.DUMMYFUNCTION("""COMPUTED_VALUE"""),27.0)</f>
        <v>27</v>
      </c>
      <c r="BF24" s="3">
        <f>IFERROR(__xludf.DUMMYFUNCTION("""COMPUTED_VALUE"""),27.0)</f>
        <v>27</v>
      </c>
      <c r="BG24" s="3">
        <f>IFERROR(__xludf.DUMMYFUNCTION("""COMPUTED_VALUE"""),36.0)</f>
        <v>36</v>
      </c>
      <c r="BH24" s="3">
        <f>IFERROR(__xludf.DUMMYFUNCTION("""COMPUTED_VALUE"""),36.0)</f>
        <v>36</v>
      </c>
      <c r="BI24" s="3">
        <f>IFERROR(__xludf.DUMMYFUNCTION("""COMPUTED_VALUE"""),51.0)</f>
        <v>51</v>
      </c>
      <c r="BJ24" s="3">
        <f>IFERROR(__xludf.DUMMYFUNCTION("""COMPUTED_VALUE"""),51.0)</f>
        <v>51</v>
      </c>
      <c r="BK24" s="3">
        <f>IFERROR(__xludf.DUMMYFUNCTION("""COMPUTED_VALUE"""),69.0)</f>
        <v>69</v>
      </c>
      <c r="BL24" s="3">
        <f>IFERROR(__xludf.DUMMYFUNCTION("""COMPUTED_VALUE"""),76.0)</f>
        <v>76</v>
      </c>
      <c r="BM24" s="3">
        <f>IFERROR(__xludf.DUMMYFUNCTION("""COMPUTED_VALUE"""),76.0)</f>
        <v>76</v>
      </c>
      <c r="BN24" s="3">
        <f>IFERROR(__xludf.DUMMYFUNCTION("""COMPUTED_VALUE"""),81.0)</f>
        <v>81</v>
      </c>
      <c r="BO24" s="3">
        <f>IFERROR(__xludf.DUMMYFUNCTION("""COMPUTED_VALUE"""),81.0)</f>
        <v>81</v>
      </c>
      <c r="BP24" s="3">
        <f>IFERROR(__xludf.DUMMYFUNCTION("""COMPUTED_VALUE"""),86.0)</f>
        <v>86</v>
      </c>
      <c r="BQ24" s="3">
        <f>IFERROR(__xludf.DUMMYFUNCTION("""COMPUTED_VALUE"""),86.0)</f>
        <v>86</v>
      </c>
      <c r="BR24" s="3">
        <f>IFERROR(__xludf.DUMMYFUNCTION("""COMPUTED_VALUE"""),94.0)</f>
        <v>94</v>
      </c>
      <c r="BS24" s="3">
        <f>IFERROR(__xludf.DUMMYFUNCTION("""COMPUTED_VALUE"""),94.0)</f>
        <v>94</v>
      </c>
      <c r="BT24" s="3">
        <f>IFERROR(__xludf.DUMMYFUNCTION("""COMPUTED_VALUE"""),94.0)</f>
        <v>94</v>
      </c>
      <c r="BU24" s="3">
        <f>IFERROR(__xludf.DUMMYFUNCTION("""COMPUTED_VALUE"""),152.0)</f>
        <v>152</v>
      </c>
      <c r="BV24" s="3">
        <f>IFERROR(__xludf.DUMMYFUNCTION("""COMPUTED_VALUE"""),152.0)</f>
        <v>152</v>
      </c>
      <c r="BW24" s="3">
        <f>IFERROR(__xludf.DUMMYFUNCTION("""COMPUTED_VALUE"""),163.0)</f>
        <v>163</v>
      </c>
      <c r="BX24" s="3">
        <f>IFERROR(__xludf.DUMMYFUNCTION("""COMPUTED_VALUE"""),304.0)</f>
        <v>304</v>
      </c>
      <c r="BY24" s="3">
        <f>IFERROR(__xludf.DUMMYFUNCTION("""COMPUTED_VALUE"""),351.0)</f>
        <v>351</v>
      </c>
      <c r="BZ24" s="3">
        <f>IFERROR(__xludf.DUMMYFUNCTION("""COMPUTED_VALUE"""),440.0)</f>
        <v>440</v>
      </c>
      <c r="CA24" s="3">
        <f>IFERROR(__xludf.DUMMYFUNCTION("""COMPUTED_VALUE"""),562.0)</f>
        <v>562</v>
      </c>
      <c r="CB24" s="3">
        <f>IFERROR(__xludf.DUMMYFUNCTION("""COMPUTED_VALUE"""),700.0)</f>
        <v>700</v>
      </c>
    </row>
    <row r="25">
      <c r="A25" s="3" t="str">
        <f>IFERROR(__xludf.DUMMYFUNCTION("""COMPUTED_VALUE"""),"")</f>
        <v/>
      </c>
      <c r="B25" s="3" t="str">
        <f>IFERROR(__xludf.DUMMYFUNCTION("""COMPUTED_VALUE"""),"Belgium")</f>
        <v>Belgium</v>
      </c>
      <c r="C25" s="3">
        <f>IFERROR(__xludf.DUMMYFUNCTION("""COMPUTED_VALUE"""),50.8333)</f>
        <v>50.8333</v>
      </c>
      <c r="D25" s="3">
        <f>IFERROR(__xludf.DUMMYFUNCTION("""COMPUTED_VALUE"""),4.0)</f>
        <v>4</v>
      </c>
      <c r="E25" s="3">
        <f>IFERROR(__xludf.DUMMYFUNCTION("""COMPUTED_VALUE"""),0.0)</f>
        <v>0</v>
      </c>
      <c r="F25" s="3">
        <f>IFERROR(__xludf.DUMMYFUNCTION("""COMPUTED_VALUE"""),0.0)</f>
        <v>0</v>
      </c>
      <c r="G25" s="3">
        <f>IFERROR(__xludf.DUMMYFUNCTION("""COMPUTED_VALUE"""),0.0)</f>
        <v>0</v>
      </c>
      <c r="H25" s="3">
        <f>IFERROR(__xludf.DUMMYFUNCTION("""COMPUTED_VALUE"""),0.0)</f>
        <v>0</v>
      </c>
      <c r="I25" s="3">
        <f>IFERROR(__xludf.DUMMYFUNCTION("""COMPUTED_VALUE"""),0.0)</f>
        <v>0</v>
      </c>
      <c r="J25" s="3">
        <f>IFERROR(__xludf.DUMMYFUNCTION("""COMPUTED_VALUE"""),0.0)</f>
        <v>0</v>
      </c>
      <c r="K25" s="3">
        <f>IFERROR(__xludf.DUMMYFUNCTION("""COMPUTED_VALUE"""),0.0)</f>
        <v>0</v>
      </c>
      <c r="L25" s="3">
        <f>IFERROR(__xludf.DUMMYFUNCTION("""COMPUTED_VALUE"""),0.0)</f>
        <v>0</v>
      </c>
      <c r="M25" s="3">
        <f>IFERROR(__xludf.DUMMYFUNCTION("""COMPUTED_VALUE"""),0.0)</f>
        <v>0</v>
      </c>
      <c r="N25" s="3">
        <f>IFERROR(__xludf.DUMMYFUNCTION("""COMPUTED_VALUE"""),0.0)</f>
        <v>0</v>
      </c>
      <c r="O25" s="3">
        <f>IFERROR(__xludf.DUMMYFUNCTION("""COMPUTED_VALUE"""),0.0)</f>
        <v>0</v>
      </c>
      <c r="P25" s="3">
        <f>IFERROR(__xludf.DUMMYFUNCTION("""COMPUTED_VALUE"""),0.0)</f>
        <v>0</v>
      </c>
      <c r="Q25" s="3">
        <f>IFERROR(__xludf.DUMMYFUNCTION("""COMPUTED_VALUE"""),0.0)</f>
        <v>0</v>
      </c>
      <c r="R25" s="3">
        <f>IFERROR(__xludf.DUMMYFUNCTION("""COMPUTED_VALUE"""),1.0)</f>
        <v>1</v>
      </c>
      <c r="S25" s="3">
        <f>IFERROR(__xludf.DUMMYFUNCTION("""COMPUTED_VALUE"""),1.0)</f>
        <v>1</v>
      </c>
      <c r="T25" s="3">
        <f>IFERROR(__xludf.DUMMYFUNCTION("""COMPUTED_VALUE"""),1.0)</f>
        <v>1</v>
      </c>
      <c r="U25" s="3">
        <f>IFERROR(__xludf.DUMMYFUNCTION("""COMPUTED_VALUE"""),1.0)</f>
        <v>1</v>
      </c>
      <c r="V25" s="3">
        <f>IFERROR(__xludf.DUMMYFUNCTION("""COMPUTED_VALUE"""),1.0)</f>
        <v>1</v>
      </c>
      <c r="W25" s="3">
        <f>IFERROR(__xludf.DUMMYFUNCTION("""COMPUTED_VALUE"""),1.0)</f>
        <v>1</v>
      </c>
      <c r="X25" s="3">
        <f>IFERROR(__xludf.DUMMYFUNCTION("""COMPUTED_VALUE"""),1.0)</f>
        <v>1</v>
      </c>
      <c r="Y25" s="3">
        <f>IFERROR(__xludf.DUMMYFUNCTION("""COMPUTED_VALUE"""),1.0)</f>
        <v>1</v>
      </c>
      <c r="Z25" s="3">
        <f>IFERROR(__xludf.DUMMYFUNCTION("""COMPUTED_VALUE"""),1.0)</f>
        <v>1</v>
      </c>
      <c r="AA25" s="3">
        <f>IFERROR(__xludf.DUMMYFUNCTION("""COMPUTED_VALUE"""),1.0)</f>
        <v>1</v>
      </c>
      <c r="AB25" s="3">
        <f>IFERROR(__xludf.DUMMYFUNCTION("""COMPUTED_VALUE"""),1.0)</f>
        <v>1</v>
      </c>
      <c r="AC25" s="3">
        <f>IFERROR(__xludf.DUMMYFUNCTION("""COMPUTED_VALUE"""),1.0)</f>
        <v>1</v>
      </c>
      <c r="AD25" s="3">
        <f>IFERROR(__xludf.DUMMYFUNCTION("""COMPUTED_VALUE"""),1.0)</f>
        <v>1</v>
      </c>
      <c r="AE25" s="3">
        <f>IFERROR(__xludf.DUMMYFUNCTION("""COMPUTED_VALUE"""),1.0)</f>
        <v>1</v>
      </c>
      <c r="AF25" s="3">
        <f>IFERROR(__xludf.DUMMYFUNCTION("""COMPUTED_VALUE"""),1.0)</f>
        <v>1</v>
      </c>
      <c r="AG25" s="3">
        <f>IFERROR(__xludf.DUMMYFUNCTION("""COMPUTED_VALUE"""),1.0)</f>
        <v>1</v>
      </c>
      <c r="AH25" s="3">
        <f>IFERROR(__xludf.DUMMYFUNCTION("""COMPUTED_VALUE"""),1.0)</f>
        <v>1</v>
      </c>
      <c r="AI25" s="3">
        <f>IFERROR(__xludf.DUMMYFUNCTION("""COMPUTED_VALUE"""),1.0)</f>
        <v>1</v>
      </c>
      <c r="AJ25" s="3">
        <f>IFERROR(__xludf.DUMMYFUNCTION("""COMPUTED_VALUE"""),1.0)</f>
        <v>1</v>
      </c>
      <c r="AK25" s="3">
        <f>IFERROR(__xludf.DUMMYFUNCTION("""COMPUTED_VALUE"""),1.0)</f>
        <v>1</v>
      </c>
      <c r="AL25" s="3">
        <f>IFERROR(__xludf.DUMMYFUNCTION("""COMPUTED_VALUE"""),1.0)</f>
        <v>1</v>
      </c>
      <c r="AM25" s="3">
        <f>IFERROR(__xludf.DUMMYFUNCTION("""COMPUTED_VALUE"""),1.0)</f>
        <v>1</v>
      </c>
      <c r="AN25" s="3">
        <f>IFERROR(__xludf.DUMMYFUNCTION("""COMPUTED_VALUE"""),1.0)</f>
        <v>1</v>
      </c>
      <c r="AO25" s="3">
        <f>IFERROR(__xludf.DUMMYFUNCTION("""COMPUTED_VALUE"""),1.0)</f>
        <v>1</v>
      </c>
      <c r="AP25" s="3">
        <f>IFERROR(__xludf.DUMMYFUNCTION("""COMPUTED_VALUE"""),1.0)</f>
        <v>1</v>
      </c>
      <c r="AQ25" s="3">
        <f>IFERROR(__xludf.DUMMYFUNCTION("""COMPUTED_VALUE"""),1.0)</f>
        <v>1</v>
      </c>
      <c r="AR25" s="3">
        <f>IFERROR(__xludf.DUMMYFUNCTION("""COMPUTED_VALUE"""),2.0)</f>
        <v>2</v>
      </c>
      <c r="AS25" s="3">
        <f>IFERROR(__xludf.DUMMYFUNCTION("""COMPUTED_VALUE"""),8.0)</f>
        <v>8</v>
      </c>
      <c r="AT25" s="3">
        <f>IFERROR(__xludf.DUMMYFUNCTION("""COMPUTED_VALUE"""),13.0)</f>
        <v>13</v>
      </c>
      <c r="AU25" s="3">
        <f>IFERROR(__xludf.DUMMYFUNCTION("""COMPUTED_VALUE"""),23.0)</f>
        <v>23</v>
      </c>
      <c r="AV25" s="3">
        <f>IFERROR(__xludf.DUMMYFUNCTION("""COMPUTED_VALUE"""),50.0)</f>
        <v>50</v>
      </c>
      <c r="AW25" s="3">
        <f>IFERROR(__xludf.DUMMYFUNCTION("""COMPUTED_VALUE"""),109.0)</f>
        <v>109</v>
      </c>
      <c r="AX25" s="3">
        <f>IFERROR(__xludf.DUMMYFUNCTION("""COMPUTED_VALUE"""),169.0)</f>
        <v>169</v>
      </c>
      <c r="AY25" s="3">
        <f>IFERROR(__xludf.DUMMYFUNCTION("""COMPUTED_VALUE"""),200.0)</f>
        <v>200</v>
      </c>
      <c r="AZ25" s="3">
        <f>IFERROR(__xludf.DUMMYFUNCTION("""COMPUTED_VALUE"""),239.0)</f>
        <v>239</v>
      </c>
      <c r="BA25" s="3">
        <f>IFERROR(__xludf.DUMMYFUNCTION("""COMPUTED_VALUE"""),267.0)</f>
        <v>267</v>
      </c>
      <c r="BB25" s="3">
        <f>IFERROR(__xludf.DUMMYFUNCTION("""COMPUTED_VALUE"""),314.0)</f>
        <v>314</v>
      </c>
      <c r="BC25" s="3">
        <f>IFERROR(__xludf.DUMMYFUNCTION("""COMPUTED_VALUE"""),314.0)</f>
        <v>314</v>
      </c>
      <c r="BD25" s="3">
        <f>IFERROR(__xludf.DUMMYFUNCTION("""COMPUTED_VALUE"""),559.0)</f>
        <v>559</v>
      </c>
      <c r="BE25" s="3">
        <f>IFERROR(__xludf.DUMMYFUNCTION("""COMPUTED_VALUE"""),689.0)</f>
        <v>689</v>
      </c>
      <c r="BF25" s="3">
        <f>IFERROR(__xludf.DUMMYFUNCTION("""COMPUTED_VALUE"""),886.0)</f>
        <v>886</v>
      </c>
      <c r="BG25" s="3">
        <f>IFERROR(__xludf.DUMMYFUNCTION("""COMPUTED_VALUE"""),1058.0)</f>
        <v>1058</v>
      </c>
      <c r="BH25" s="3">
        <f>IFERROR(__xludf.DUMMYFUNCTION("""COMPUTED_VALUE"""),1243.0)</f>
        <v>1243</v>
      </c>
      <c r="BI25" s="3">
        <f>IFERROR(__xludf.DUMMYFUNCTION("""COMPUTED_VALUE"""),1486.0)</f>
        <v>1486</v>
      </c>
      <c r="BJ25" s="3">
        <f>IFERROR(__xludf.DUMMYFUNCTION("""COMPUTED_VALUE"""),1795.0)</f>
        <v>1795</v>
      </c>
      <c r="BK25" s="3">
        <f>IFERROR(__xludf.DUMMYFUNCTION("""COMPUTED_VALUE"""),2257.0)</f>
        <v>2257</v>
      </c>
      <c r="BL25" s="3">
        <f>IFERROR(__xludf.DUMMYFUNCTION("""COMPUTED_VALUE"""),2815.0)</f>
        <v>2815</v>
      </c>
      <c r="BM25" s="3">
        <f>IFERROR(__xludf.DUMMYFUNCTION("""COMPUTED_VALUE"""),3401.0)</f>
        <v>3401</v>
      </c>
      <c r="BN25" s="3">
        <f>IFERROR(__xludf.DUMMYFUNCTION("""COMPUTED_VALUE"""),3743.0)</f>
        <v>3743</v>
      </c>
      <c r="BO25" s="3">
        <f>IFERROR(__xludf.DUMMYFUNCTION("""COMPUTED_VALUE"""),4269.0)</f>
        <v>4269</v>
      </c>
      <c r="BP25" s="3">
        <f>IFERROR(__xludf.DUMMYFUNCTION("""COMPUTED_VALUE"""),4937.0)</f>
        <v>4937</v>
      </c>
      <c r="BQ25" s="3">
        <f>IFERROR(__xludf.DUMMYFUNCTION("""COMPUTED_VALUE"""),6235.0)</f>
        <v>6235</v>
      </c>
      <c r="BR25" s="3">
        <f>IFERROR(__xludf.DUMMYFUNCTION("""COMPUTED_VALUE"""),7284.0)</f>
        <v>7284</v>
      </c>
      <c r="BS25" s="3">
        <f>IFERROR(__xludf.DUMMYFUNCTION("""COMPUTED_VALUE"""),9134.0)</f>
        <v>9134</v>
      </c>
      <c r="BT25" s="3">
        <f>IFERROR(__xludf.DUMMYFUNCTION("""COMPUTED_VALUE"""),10836.0)</f>
        <v>10836</v>
      </c>
      <c r="BU25" s="3">
        <f>IFERROR(__xludf.DUMMYFUNCTION("""COMPUTED_VALUE"""),11899.0)</f>
        <v>11899</v>
      </c>
      <c r="BV25" s="3">
        <f>IFERROR(__xludf.DUMMYFUNCTION("""COMPUTED_VALUE"""),12775.0)</f>
        <v>12775</v>
      </c>
      <c r="BW25" s="3">
        <f>IFERROR(__xludf.DUMMYFUNCTION("""COMPUTED_VALUE"""),13964.0)</f>
        <v>13964</v>
      </c>
      <c r="BX25" s="3">
        <f>IFERROR(__xludf.DUMMYFUNCTION("""COMPUTED_VALUE"""),15348.0)</f>
        <v>15348</v>
      </c>
      <c r="BY25" s="3">
        <f>IFERROR(__xludf.DUMMYFUNCTION("""COMPUTED_VALUE"""),16770.0)</f>
        <v>16770</v>
      </c>
      <c r="BZ25" s="3">
        <f>IFERROR(__xludf.DUMMYFUNCTION("""COMPUTED_VALUE"""),18431.0)</f>
        <v>18431</v>
      </c>
      <c r="CA25" s="3">
        <f>IFERROR(__xludf.DUMMYFUNCTION("""COMPUTED_VALUE"""),19691.0)</f>
        <v>19691</v>
      </c>
      <c r="CB25" s="3">
        <f>IFERROR(__xludf.DUMMYFUNCTION("""COMPUTED_VALUE"""),20814.0)</f>
        <v>20814</v>
      </c>
    </row>
    <row r="26">
      <c r="A26" s="3" t="str">
        <f>IFERROR(__xludf.DUMMYFUNCTION("""COMPUTED_VALUE"""),"")</f>
        <v/>
      </c>
      <c r="B26" s="3" t="str">
        <f>IFERROR(__xludf.DUMMYFUNCTION("""COMPUTED_VALUE"""),"Benin")</f>
        <v>Benin</v>
      </c>
      <c r="C26" s="3">
        <f>IFERROR(__xludf.DUMMYFUNCTION("""COMPUTED_VALUE"""),9.3077)</f>
        <v>9.3077</v>
      </c>
      <c r="D26" s="3">
        <f>IFERROR(__xludf.DUMMYFUNCTION("""COMPUTED_VALUE"""),2.3158)</f>
        <v>2.3158</v>
      </c>
      <c r="E26" s="3">
        <f>IFERROR(__xludf.DUMMYFUNCTION("""COMPUTED_VALUE"""),0.0)</f>
        <v>0</v>
      </c>
      <c r="F26" s="3">
        <f>IFERROR(__xludf.DUMMYFUNCTION("""COMPUTED_VALUE"""),0.0)</f>
        <v>0</v>
      </c>
      <c r="G26" s="3">
        <f>IFERROR(__xludf.DUMMYFUNCTION("""COMPUTED_VALUE"""),0.0)</f>
        <v>0</v>
      </c>
      <c r="H26" s="3">
        <f>IFERROR(__xludf.DUMMYFUNCTION("""COMPUTED_VALUE"""),0.0)</f>
        <v>0</v>
      </c>
      <c r="I26" s="3">
        <f>IFERROR(__xludf.DUMMYFUNCTION("""COMPUTED_VALUE"""),0.0)</f>
        <v>0</v>
      </c>
      <c r="J26" s="3">
        <f>IFERROR(__xludf.DUMMYFUNCTION("""COMPUTED_VALUE"""),0.0)</f>
        <v>0</v>
      </c>
      <c r="K26" s="3">
        <f>IFERROR(__xludf.DUMMYFUNCTION("""COMPUTED_VALUE"""),0.0)</f>
        <v>0</v>
      </c>
      <c r="L26" s="3">
        <f>IFERROR(__xludf.DUMMYFUNCTION("""COMPUTED_VALUE"""),0.0)</f>
        <v>0</v>
      </c>
      <c r="M26" s="3">
        <f>IFERROR(__xludf.DUMMYFUNCTION("""COMPUTED_VALUE"""),0.0)</f>
        <v>0</v>
      </c>
      <c r="N26" s="3">
        <f>IFERROR(__xludf.DUMMYFUNCTION("""COMPUTED_VALUE"""),0.0)</f>
        <v>0</v>
      </c>
      <c r="O26" s="3">
        <f>IFERROR(__xludf.DUMMYFUNCTION("""COMPUTED_VALUE"""),0.0)</f>
        <v>0</v>
      </c>
      <c r="P26" s="3">
        <f>IFERROR(__xludf.DUMMYFUNCTION("""COMPUTED_VALUE"""),0.0)</f>
        <v>0</v>
      </c>
      <c r="Q26" s="3">
        <f>IFERROR(__xludf.DUMMYFUNCTION("""COMPUTED_VALUE"""),0.0)</f>
        <v>0</v>
      </c>
      <c r="R26" s="3">
        <f>IFERROR(__xludf.DUMMYFUNCTION("""COMPUTED_VALUE"""),0.0)</f>
        <v>0</v>
      </c>
      <c r="S26" s="3">
        <f>IFERROR(__xludf.DUMMYFUNCTION("""COMPUTED_VALUE"""),0.0)</f>
        <v>0</v>
      </c>
      <c r="T26" s="3">
        <f>IFERROR(__xludf.DUMMYFUNCTION("""COMPUTED_VALUE"""),0.0)</f>
        <v>0</v>
      </c>
      <c r="U26" s="3">
        <f>IFERROR(__xludf.DUMMYFUNCTION("""COMPUTED_VALUE"""),0.0)</f>
        <v>0</v>
      </c>
      <c r="V26" s="3">
        <f>IFERROR(__xludf.DUMMYFUNCTION("""COMPUTED_VALUE"""),0.0)</f>
        <v>0</v>
      </c>
      <c r="W26" s="3">
        <f>IFERROR(__xludf.DUMMYFUNCTION("""COMPUTED_VALUE"""),0.0)</f>
        <v>0</v>
      </c>
      <c r="X26" s="3">
        <f>IFERROR(__xludf.DUMMYFUNCTION("""COMPUTED_VALUE"""),0.0)</f>
        <v>0</v>
      </c>
      <c r="Y26" s="3">
        <f>IFERROR(__xludf.DUMMYFUNCTION("""COMPUTED_VALUE"""),0.0)</f>
        <v>0</v>
      </c>
      <c r="Z26" s="3">
        <f>IFERROR(__xludf.DUMMYFUNCTION("""COMPUTED_VALUE"""),0.0)</f>
        <v>0</v>
      </c>
      <c r="AA26" s="3">
        <f>IFERROR(__xludf.DUMMYFUNCTION("""COMPUTED_VALUE"""),0.0)</f>
        <v>0</v>
      </c>
      <c r="AB26" s="3">
        <f>IFERROR(__xludf.DUMMYFUNCTION("""COMPUTED_VALUE"""),0.0)</f>
        <v>0</v>
      </c>
      <c r="AC26" s="3">
        <f>IFERROR(__xludf.DUMMYFUNCTION("""COMPUTED_VALUE"""),0.0)</f>
        <v>0</v>
      </c>
      <c r="AD26" s="3">
        <f>IFERROR(__xludf.DUMMYFUNCTION("""COMPUTED_VALUE"""),0.0)</f>
        <v>0</v>
      </c>
      <c r="AE26" s="3">
        <f>IFERROR(__xludf.DUMMYFUNCTION("""COMPUTED_VALUE"""),0.0)</f>
        <v>0</v>
      </c>
      <c r="AF26" s="3">
        <f>IFERROR(__xludf.DUMMYFUNCTION("""COMPUTED_VALUE"""),0.0)</f>
        <v>0</v>
      </c>
      <c r="AG26" s="3">
        <f>IFERROR(__xludf.DUMMYFUNCTION("""COMPUTED_VALUE"""),0.0)</f>
        <v>0</v>
      </c>
      <c r="AH26" s="3">
        <f>IFERROR(__xludf.DUMMYFUNCTION("""COMPUTED_VALUE"""),0.0)</f>
        <v>0</v>
      </c>
      <c r="AI26" s="3">
        <f>IFERROR(__xludf.DUMMYFUNCTION("""COMPUTED_VALUE"""),0.0)</f>
        <v>0</v>
      </c>
      <c r="AJ26" s="3">
        <f>IFERROR(__xludf.DUMMYFUNCTION("""COMPUTED_VALUE"""),0.0)</f>
        <v>0</v>
      </c>
      <c r="AK26" s="3">
        <f>IFERROR(__xludf.DUMMYFUNCTION("""COMPUTED_VALUE"""),0.0)</f>
        <v>0</v>
      </c>
      <c r="AL26" s="3">
        <f>IFERROR(__xludf.DUMMYFUNCTION("""COMPUTED_VALUE"""),0.0)</f>
        <v>0</v>
      </c>
      <c r="AM26" s="3">
        <f>IFERROR(__xludf.DUMMYFUNCTION("""COMPUTED_VALUE"""),0.0)</f>
        <v>0</v>
      </c>
      <c r="AN26" s="3">
        <f>IFERROR(__xludf.DUMMYFUNCTION("""COMPUTED_VALUE"""),0.0)</f>
        <v>0</v>
      </c>
      <c r="AO26" s="3">
        <f>IFERROR(__xludf.DUMMYFUNCTION("""COMPUTED_VALUE"""),0.0)</f>
        <v>0</v>
      </c>
      <c r="AP26" s="3">
        <f>IFERROR(__xludf.DUMMYFUNCTION("""COMPUTED_VALUE"""),0.0)</f>
        <v>0</v>
      </c>
      <c r="AQ26" s="3">
        <f>IFERROR(__xludf.DUMMYFUNCTION("""COMPUTED_VALUE"""),0.0)</f>
        <v>0</v>
      </c>
      <c r="AR26" s="3">
        <f>IFERROR(__xludf.DUMMYFUNCTION("""COMPUTED_VALUE"""),0.0)</f>
        <v>0</v>
      </c>
      <c r="AS26" s="3">
        <f>IFERROR(__xludf.DUMMYFUNCTION("""COMPUTED_VALUE"""),0.0)</f>
        <v>0</v>
      </c>
      <c r="AT26" s="3">
        <f>IFERROR(__xludf.DUMMYFUNCTION("""COMPUTED_VALUE"""),0.0)</f>
        <v>0</v>
      </c>
      <c r="AU26" s="3">
        <f>IFERROR(__xludf.DUMMYFUNCTION("""COMPUTED_VALUE"""),0.0)</f>
        <v>0</v>
      </c>
      <c r="AV26" s="3">
        <f>IFERROR(__xludf.DUMMYFUNCTION("""COMPUTED_VALUE"""),0.0)</f>
        <v>0</v>
      </c>
      <c r="AW26" s="3">
        <f>IFERROR(__xludf.DUMMYFUNCTION("""COMPUTED_VALUE"""),0.0)</f>
        <v>0</v>
      </c>
      <c r="AX26" s="3">
        <f>IFERROR(__xludf.DUMMYFUNCTION("""COMPUTED_VALUE"""),0.0)</f>
        <v>0</v>
      </c>
      <c r="AY26" s="3">
        <f>IFERROR(__xludf.DUMMYFUNCTION("""COMPUTED_VALUE"""),0.0)</f>
        <v>0</v>
      </c>
      <c r="AZ26" s="3">
        <f>IFERROR(__xludf.DUMMYFUNCTION("""COMPUTED_VALUE"""),0.0)</f>
        <v>0</v>
      </c>
      <c r="BA26" s="3">
        <f>IFERROR(__xludf.DUMMYFUNCTION("""COMPUTED_VALUE"""),0.0)</f>
        <v>0</v>
      </c>
      <c r="BB26" s="3">
        <f>IFERROR(__xludf.DUMMYFUNCTION("""COMPUTED_VALUE"""),0.0)</f>
        <v>0</v>
      </c>
      <c r="BC26" s="3">
        <f>IFERROR(__xludf.DUMMYFUNCTION("""COMPUTED_VALUE"""),0.0)</f>
        <v>0</v>
      </c>
      <c r="BD26" s="3">
        <f>IFERROR(__xludf.DUMMYFUNCTION("""COMPUTED_VALUE"""),0.0)</f>
        <v>0</v>
      </c>
      <c r="BE26" s="3">
        <f>IFERROR(__xludf.DUMMYFUNCTION("""COMPUTED_VALUE"""),0.0)</f>
        <v>0</v>
      </c>
      <c r="BF26" s="3">
        <f>IFERROR(__xludf.DUMMYFUNCTION("""COMPUTED_VALUE"""),0.0)</f>
        <v>0</v>
      </c>
      <c r="BG26" s="3">
        <f>IFERROR(__xludf.DUMMYFUNCTION("""COMPUTED_VALUE"""),1.0)</f>
        <v>1</v>
      </c>
      <c r="BH26" s="3">
        <f>IFERROR(__xludf.DUMMYFUNCTION("""COMPUTED_VALUE"""),1.0)</f>
        <v>1</v>
      </c>
      <c r="BI26" s="3">
        <f>IFERROR(__xludf.DUMMYFUNCTION("""COMPUTED_VALUE"""),2.0)</f>
        <v>2</v>
      </c>
      <c r="BJ26" s="3">
        <f>IFERROR(__xludf.DUMMYFUNCTION("""COMPUTED_VALUE"""),2.0)</f>
        <v>2</v>
      </c>
      <c r="BK26" s="3">
        <f>IFERROR(__xludf.DUMMYFUNCTION("""COMPUTED_VALUE"""),2.0)</f>
        <v>2</v>
      </c>
      <c r="BL26" s="3">
        <f>IFERROR(__xludf.DUMMYFUNCTION("""COMPUTED_VALUE"""),2.0)</f>
        <v>2</v>
      </c>
      <c r="BM26" s="3">
        <f>IFERROR(__xludf.DUMMYFUNCTION("""COMPUTED_VALUE"""),2.0)</f>
        <v>2</v>
      </c>
      <c r="BN26" s="3">
        <f>IFERROR(__xludf.DUMMYFUNCTION("""COMPUTED_VALUE"""),5.0)</f>
        <v>5</v>
      </c>
      <c r="BO26" s="3">
        <f>IFERROR(__xludf.DUMMYFUNCTION("""COMPUTED_VALUE"""),6.0)</f>
        <v>6</v>
      </c>
      <c r="BP26" s="3">
        <f>IFERROR(__xludf.DUMMYFUNCTION("""COMPUTED_VALUE"""),6.0)</f>
        <v>6</v>
      </c>
      <c r="BQ26" s="3">
        <f>IFERROR(__xludf.DUMMYFUNCTION("""COMPUTED_VALUE"""),6.0)</f>
        <v>6</v>
      </c>
      <c r="BR26" s="3">
        <f>IFERROR(__xludf.DUMMYFUNCTION("""COMPUTED_VALUE"""),6.0)</f>
        <v>6</v>
      </c>
      <c r="BS26" s="3">
        <f>IFERROR(__xludf.DUMMYFUNCTION("""COMPUTED_VALUE"""),6.0)</f>
        <v>6</v>
      </c>
      <c r="BT26" s="3">
        <f>IFERROR(__xludf.DUMMYFUNCTION("""COMPUTED_VALUE"""),6.0)</f>
        <v>6</v>
      </c>
      <c r="BU26" s="3">
        <f>IFERROR(__xludf.DUMMYFUNCTION("""COMPUTED_VALUE"""),6.0)</f>
        <v>6</v>
      </c>
      <c r="BV26" s="3">
        <f>IFERROR(__xludf.DUMMYFUNCTION("""COMPUTED_VALUE"""),9.0)</f>
        <v>9</v>
      </c>
      <c r="BW26" s="3">
        <f>IFERROR(__xludf.DUMMYFUNCTION("""COMPUTED_VALUE"""),13.0)</f>
        <v>13</v>
      </c>
      <c r="BX26" s="3">
        <f>IFERROR(__xludf.DUMMYFUNCTION("""COMPUTED_VALUE"""),13.0)</f>
        <v>13</v>
      </c>
      <c r="BY26" s="3">
        <f>IFERROR(__xludf.DUMMYFUNCTION("""COMPUTED_VALUE"""),16.0)</f>
        <v>16</v>
      </c>
      <c r="BZ26" s="3">
        <f>IFERROR(__xludf.DUMMYFUNCTION("""COMPUTED_VALUE"""),16.0)</f>
        <v>16</v>
      </c>
      <c r="CA26" s="3">
        <f>IFERROR(__xludf.DUMMYFUNCTION("""COMPUTED_VALUE"""),22.0)</f>
        <v>22</v>
      </c>
      <c r="CB26" s="3">
        <f>IFERROR(__xludf.DUMMYFUNCTION("""COMPUTED_VALUE"""),26.0)</f>
        <v>26</v>
      </c>
    </row>
    <row r="27">
      <c r="A27" s="3" t="str">
        <f>IFERROR(__xludf.DUMMYFUNCTION("""COMPUTED_VALUE"""),"")</f>
        <v/>
      </c>
      <c r="B27" s="3" t="str">
        <f>IFERROR(__xludf.DUMMYFUNCTION("""COMPUTED_VALUE"""),"Bhutan")</f>
        <v>Bhutan</v>
      </c>
      <c r="C27" s="3">
        <f>IFERROR(__xludf.DUMMYFUNCTION("""COMPUTED_VALUE"""),27.5142)</f>
        <v>27.5142</v>
      </c>
      <c r="D27" s="3">
        <f>IFERROR(__xludf.DUMMYFUNCTION("""COMPUTED_VALUE"""),90.4336)</f>
        <v>90.4336</v>
      </c>
      <c r="E27" s="3">
        <f>IFERROR(__xludf.DUMMYFUNCTION("""COMPUTED_VALUE"""),0.0)</f>
        <v>0</v>
      </c>
      <c r="F27" s="3">
        <f>IFERROR(__xludf.DUMMYFUNCTION("""COMPUTED_VALUE"""),0.0)</f>
        <v>0</v>
      </c>
      <c r="G27" s="3">
        <f>IFERROR(__xludf.DUMMYFUNCTION("""COMPUTED_VALUE"""),0.0)</f>
        <v>0</v>
      </c>
      <c r="H27" s="3">
        <f>IFERROR(__xludf.DUMMYFUNCTION("""COMPUTED_VALUE"""),0.0)</f>
        <v>0</v>
      </c>
      <c r="I27" s="3">
        <f>IFERROR(__xludf.DUMMYFUNCTION("""COMPUTED_VALUE"""),0.0)</f>
        <v>0</v>
      </c>
      <c r="J27" s="3">
        <f>IFERROR(__xludf.DUMMYFUNCTION("""COMPUTED_VALUE"""),0.0)</f>
        <v>0</v>
      </c>
      <c r="K27" s="3">
        <f>IFERROR(__xludf.DUMMYFUNCTION("""COMPUTED_VALUE"""),0.0)</f>
        <v>0</v>
      </c>
      <c r="L27" s="3">
        <f>IFERROR(__xludf.DUMMYFUNCTION("""COMPUTED_VALUE"""),0.0)</f>
        <v>0</v>
      </c>
      <c r="M27" s="3">
        <f>IFERROR(__xludf.DUMMYFUNCTION("""COMPUTED_VALUE"""),0.0)</f>
        <v>0</v>
      </c>
      <c r="N27" s="3">
        <f>IFERROR(__xludf.DUMMYFUNCTION("""COMPUTED_VALUE"""),0.0)</f>
        <v>0</v>
      </c>
      <c r="O27" s="3">
        <f>IFERROR(__xludf.DUMMYFUNCTION("""COMPUTED_VALUE"""),0.0)</f>
        <v>0</v>
      </c>
      <c r="P27" s="3">
        <f>IFERROR(__xludf.DUMMYFUNCTION("""COMPUTED_VALUE"""),0.0)</f>
        <v>0</v>
      </c>
      <c r="Q27" s="3">
        <f>IFERROR(__xludf.DUMMYFUNCTION("""COMPUTED_VALUE"""),0.0)</f>
        <v>0</v>
      </c>
      <c r="R27" s="3">
        <f>IFERROR(__xludf.DUMMYFUNCTION("""COMPUTED_VALUE"""),0.0)</f>
        <v>0</v>
      </c>
      <c r="S27" s="3">
        <f>IFERROR(__xludf.DUMMYFUNCTION("""COMPUTED_VALUE"""),0.0)</f>
        <v>0</v>
      </c>
      <c r="T27" s="3">
        <f>IFERROR(__xludf.DUMMYFUNCTION("""COMPUTED_VALUE"""),0.0)</f>
        <v>0</v>
      </c>
      <c r="U27" s="3">
        <f>IFERROR(__xludf.DUMMYFUNCTION("""COMPUTED_VALUE"""),0.0)</f>
        <v>0</v>
      </c>
      <c r="V27" s="3">
        <f>IFERROR(__xludf.DUMMYFUNCTION("""COMPUTED_VALUE"""),0.0)</f>
        <v>0</v>
      </c>
      <c r="W27" s="3">
        <f>IFERROR(__xludf.DUMMYFUNCTION("""COMPUTED_VALUE"""),0.0)</f>
        <v>0</v>
      </c>
      <c r="X27" s="3">
        <f>IFERROR(__xludf.DUMMYFUNCTION("""COMPUTED_VALUE"""),0.0)</f>
        <v>0</v>
      </c>
      <c r="Y27" s="3">
        <f>IFERROR(__xludf.DUMMYFUNCTION("""COMPUTED_VALUE"""),0.0)</f>
        <v>0</v>
      </c>
      <c r="Z27" s="3">
        <f>IFERROR(__xludf.DUMMYFUNCTION("""COMPUTED_VALUE"""),0.0)</f>
        <v>0</v>
      </c>
      <c r="AA27" s="3">
        <f>IFERROR(__xludf.DUMMYFUNCTION("""COMPUTED_VALUE"""),0.0)</f>
        <v>0</v>
      </c>
      <c r="AB27" s="3">
        <f>IFERROR(__xludf.DUMMYFUNCTION("""COMPUTED_VALUE"""),0.0)</f>
        <v>0</v>
      </c>
      <c r="AC27" s="3">
        <f>IFERROR(__xludf.DUMMYFUNCTION("""COMPUTED_VALUE"""),0.0)</f>
        <v>0</v>
      </c>
      <c r="AD27" s="3">
        <f>IFERROR(__xludf.DUMMYFUNCTION("""COMPUTED_VALUE"""),0.0)</f>
        <v>0</v>
      </c>
      <c r="AE27" s="3">
        <f>IFERROR(__xludf.DUMMYFUNCTION("""COMPUTED_VALUE"""),0.0)</f>
        <v>0</v>
      </c>
      <c r="AF27" s="3">
        <f>IFERROR(__xludf.DUMMYFUNCTION("""COMPUTED_VALUE"""),0.0)</f>
        <v>0</v>
      </c>
      <c r="AG27" s="3">
        <f>IFERROR(__xludf.DUMMYFUNCTION("""COMPUTED_VALUE"""),0.0)</f>
        <v>0</v>
      </c>
      <c r="AH27" s="3">
        <f>IFERROR(__xludf.DUMMYFUNCTION("""COMPUTED_VALUE"""),0.0)</f>
        <v>0</v>
      </c>
      <c r="AI27" s="3">
        <f>IFERROR(__xludf.DUMMYFUNCTION("""COMPUTED_VALUE"""),0.0)</f>
        <v>0</v>
      </c>
      <c r="AJ27" s="3">
        <f>IFERROR(__xludf.DUMMYFUNCTION("""COMPUTED_VALUE"""),0.0)</f>
        <v>0</v>
      </c>
      <c r="AK27" s="3">
        <f>IFERROR(__xludf.DUMMYFUNCTION("""COMPUTED_VALUE"""),0.0)</f>
        <v>0</v>
      </c>
      <c r="AL27" s="3">
        <f>IFERROR(__xludf.DUMMYFUNCTION("""COMPUTED_VALUE"""),0.0)</f>
        <v>0</v>
      </c>
      <c r="AM27" s="3">
        <f>IFERROR(__xludf.DUMMYFUNCTION("""COMPUTED_VALUE"""),0.0)</f>
        <v>0</v>
      </c>
      <c r="AN27" s="3">
        <f>IFERROR(__xludf.DUMMYFUNCTION("""COMPUTED_VALUE"""),0.0)</f>
        <v>0</v>
      </c>
      <c r="AO27" s="3">
        <f>IFERROR(__xludf.DUMMYFUNCTION("""COMPUTED_VALUE"""),0.0)</f>
        <v>0</v>
      </c>
      <c r="AP27" s="3">
        <f>IFERROR(__xludf.DUMMYFUNCTION("""COMPUTED_VALUE"""),0.0)</f>
        <v>0</v>
      </c>
      <c r="AQ27" s="3">
        <f>IFERROR(__xludf.DUMMYFUNCTION("""COMPUTED_VALUE"""),0.0)</f>
        <v>0</v>
      </c>
      <c r="AR27" s="3">
        <f>IFERROR(__xludf.DUMMYFUNCTION("""COMPUTED_VALUE"""),0.0)</f>
        <v>0</v>
      </c>
      <c r="AS27" s="3">
        <f>IFERROR(__xludf.DUMMYFUNCTION("""COMPUTED_VALUE"""),0.0)</f>
        <v>0</v>
      </c>
      <c r="AT27" s="3">
        <f>IFERROR(__xludf.DUMMYFUNCTION("""COMPUTED_VALUE"""),0.0)</f>
        <v>0</v>
      </c>
      <c r="AU27" s="3">
        <f>IFERROR(__xludf.DUMMYFUNCTION("""COMPUTED_VALUE"""),0.0)</f>
        <v>0</v>
      </c>
      <c r="AV27" s="3">
        <f>IFERROR(__xludf.DUMMYFUNCTION("""COMPUTED_VALUE"""),0.0)</f>
        <v>0</v>
      </c>
      <c r="AW27" s="3">
        <f>IFERROR(__xludf.DUMMYFUNCTION("""COMPUTED_VALUE"""),1.0)</f>
        <v>1</v>
      </c>
      <c r="AX27" s="3">
        <f>IFERROR(__xludf.DUMMYFUNCTION("""COMPUTED_VALUE"""),1.0)</f>
        <v>1</v>
      </c>
      <c r="AY27" s="3">
        <f>IFERROR(__xludf.DUMMYFUNCTION("""COMPUTED_VALUE"""),1.0)</f>
        <v>1</v>
      </c>
      <c r="AZ27" s="3">
        <f>IFERROR(__xludf.DUMMYFUNCTION("""COMPUTED_VALUE"""),1.0)</f>
        <v>1</v>
      </c>
      <c r="BA27" s="3">
        <f>IFERROR(__xludf.DUMMYFUNCTION("""COMPUTED_VALUE"""),1.0)</f>
        <v>1</v>
      </c>
      <c r="BB27" s="3">
        <f>IFERROR(__xludf.DUMMYFUNCTION("""COMPUTED_VALUE"""),1.0)</f>
        <v>1</v>
      </c>
      <c r="BC27" s="3">
        <f>IFERROR(__xludf.DUMMYFUNCTION("""COMPUTED_VALUE"""),1.0)</f>
        <v>1</v>
      </c>
      <c r="BD27" s="3">
        <f>IFERROR(__xludf.DUMMYFUNCTION("""COMPUTED_VALUE"""),1.0)</f>
        <v>1</v>
      </c>
      <c r="BE27" s="3">
        <f>IFERROR(__xludf.DUMMYFUNCTION("""COMPUTED_VALUE"""),1.0)</f>
        <v>1</v>
      </c>
      <c r="BF27" s="3">
        <f>IFERROR(__xludf.DUMMYFUNCTION("""COMPUTED_VALUE"""),1.0)</f>
        <v>1</v>
      </c>
      <c r="BG27" s="3">
        <f>IFERROR(__xludf.DUMMYFUNCTION("""COMPUTED_VALUE"""),1.0)</f>
        <v>1</v>
      </c>
      <c r="BH27" s="3">
        <f>IFERROR(__xludf.DUMMYFUNCTION("""COMPUTED_VALUE"""),1.0)</f>
        <v>1</v>
      </c>
      <c r="BI27" s="3">
        <f>IFERROR(__xludf.DUMMYFUNCTION("""COMPUTED_VALUE"""),1.0)</f>
        <v>1</v>
      </c>
      <c r="BJ27" s="3">
        <f>IFERROR(__xludf.DUMMYFUNCTION("""COMPUTED_VALUE"""),1.0)</f>
        <v>1</v>
      </c>
      <c r="BK27" s="3">
        <f>IFERROR(__xludf.DUMMYFUNCTION("""COMPUTED_VALUE"""),2.0)</f>
        <v>2</v>
      </c>
      <c r="BL27" s="3">
        <f>IFERROR(__xludf.DUMMYFUNCTION("""COMPUTED_VALUE"""),2.0)</f>
        <v>2</v>
      </c>
      <c r="BM27" s="3">
        <f>IFERROR(__xludf.DUMMYFUNCTION("""COMPUTED_VALUE"""),2.0)</f>
        <v>2</v>
      </c>
      <c r="BN27" s="3">
        <f>IFERROR(__xludf.DUMMYFUNCTION("""COMPUTED_VALUE"""),2.0)</f>
        <v>2</v>
      </c>
      <c r="BO27" s="3">
        <f>IFERROR(__xludf.DUMMYFUNCTION("""COMPUTED_VALUE"""),2.0)</f>
        <v>2</v>
      </c>
      <c r="BP27" s="3">
        <f>IFERROR(__xludf.DUMMYFUNCTION("""COMPUTED_VALUE"""),2.0)</f>
        <v>2</v>
      </c>
      <c r="BQ27" s="3">
        <f>IFERROR(__xludf.DUMMYFUNCTION("""COMPUTED_VALUE"""),2.0)</f>
        <v>2</v>
      </c>
      <c r="BR27" s="3">
        <f>IFERROR(__xludf.DUMMYFUNCTION("""COMPUTED_VALUE"""),3.0)</f>
        <v>3</v>
      </c>
      <c r="BS27" s="3">
        <f>IFERROR(__xludf.DUMMYFUNCTION("""COMPUTED_VALUE"""),3.0)</f>
        <v>3</v>
      </c>
      <c r="BT27" s="3">
        <f>IFERROR(__xludf.DUMMYFUNCTION("""COMPUTED_VALUE"""),4.0)</f>
        <v>4</v>
      </c>
      <c r="BU27" s="3">
        <f>IFERROR(__xludf.DUMMYFUNCTION("""COMPUTED_VALUE"""),4.0)</f>
        <v>4</v>
      </c>
      <c r="BV27" s="3">
        <f>IFERROR(__xludf.DUMMYFUNCTION("""COMPUTED_VALUE"""),4.0)</f>
        <v>4</v>
      </c>
      <c r="BW27" s="3">
        <f>IFERROR(__xludf.DUMMYFUNCTION("""COMPUTED_VALUE"""),4.0)</f>
        <v>4</v>
      </c>
      <c r="BX27" s="3">
        <f>IFERROR(__xludf.DUMMYFUNCTION("""COMPUTED_VALUE"""),5.0)</f>
        <v>5</v>
      </c>
      <c r="BY27" s="3">
        <f>IFERROR(__xludf.DUMMYFUNCTION("""COMPUTED_VALUE"""),5.0)</f>
        <v>5</v>
      </c>
      <c r="BZ27" s="3">
        <f>IFERROR(__xludf.DUMMYFUNCTION("""COMPUTED_VALUE"""),5.0)</f>
        <v>5</v>
      </c>
      <c r="CA27" s="3">
        <f>IFERROR(__xludf.DUMMYFUNCTION("""COMPUTED_VALUE"""),5.0)</f>
        <v>5</v>
      </c>
      <c r="CB27" s="3">
        <f>IFERROR(__xludf.DUMMYFUNCTION("""COMPUTED_VALUE"""),5.0)</f>
        <v>5</v>
      </c>
    </row>
    <row r="28">
      <c r="A28" s="3" t="str">
        <f>IFERROR(__xludf.DUMMYFUNCTION("""COMPUTED_VALUE"""),"")</f>
        <v/>
      </c>
      <c r="B28" s="3" t="str">
        <f>IFERROR(__xludf.DUMMYFUNCTION("""COMPUTED_VALUE"""),"Bolivia")</f>
        <v>Bolivia</v>
      </c>
      <c r="C28" s="3">
        <f>IFERROR(__xludf.DUMMYFUNCTION("""COMPUTED_VALUE"""),-16.2902)</f>
        <v>-16.2902</v>
      </c>
      <c r="D28" s="3">
        <f>IFERROR(__xludf.DUMMYFUNCTION("""COMPUTED_VALUE"""),-63.5887)</f>
        <v>-63.5887</v>
      </c>
      <c r="E28" s="3">
        <f>IFERROR(__xludf.DUMMYFUNCTION("""COMPUTED_VALUE"""),0.0)</f>
        <v>0</v>
      </c>
      <c r="F28" s="3">
        <f>IFERROR(__xludf.DUMMYFUNCTION("""COMPUTED_VALUE"""),0.0)</f>
        <v>0</v>
      </c>
      <c r="G28" s="3">
        <f>IFERROR(__xludf.DUMMYFUNCTION("""COMPUTED_VALUE"""),0.0)</f>
        <v>0</v>
      </c>
      <c r="H28" s="3">
        <f>IFERROR(__xludf.DUMMYFUNCTION("""COMPUTED_VALUE"""),0.0)</f>
        <v>0</v>
      </c>
      <c r="I28" s="3">
        <f>IFERROR(__xludf.DUMMYFUNCTION("""COMPUTED_VALUE"""),0.0)</f>
        <v>0</v>
      </c>
      <c r="J28" s="3">
        <f>IFERROR(__xludf.DUMMYFUNCTION("""COMPUTED_VALUE"""),0.0)</f>
        <v>0</v>
      </c>
      <c r="K28" s="3">
        <f>IFERROR(__xludf.DUMMYFUNCTION("""COMPUTED_VALUE"""),0.0)</f>
        <v>0</v>
      </c>
      <c r="L28" s="3">
        <f>IFERROR(__xludf.DUMMYFUNCTION("""COMPUTED_VALUE"""),0.0)</f>
        <v>0</v>
      </c>
      <c r="M28" s="3">
        <f>IFERROR(__xludf.DUMMYFUNCTION("""COMPUTED_VALUE"""),0.0)</f>
        <v>0</v>
      </c>
      <c r="N28" s="3">
        <f>IFERROR(__xludf.DUMMYFUNCTION("""COMPUTED_VALUE"""),0.0)</f>
        <v>0</v>
      </c>
      <c r="O28" s="3">
        <f>IFERROR(__xludf.DUMMYFUNCTION("""COMPUTED_VALUE"""),0.0)</f>
        <v>0</v>
      </c>
      <c r="P28" s="3">
        <f>IFERROR(__xludf.DUMMYFUNCTION("""COMPUTED_VALUE"""),0.0)</f>
        <v>0</v>
      </c>
      <c r="Q28" s="3">
        <f>IFERROR(__xludf.DUMMYFUNCTION("""COMPUTED_VALUE"""),0.0)</f>
        <v>0</v>
      </c>
      <c r="R28" s="3">
        <f>IFERROR(__xludf.DUMMYFUNCTION("""COMPUTED_VALUE"""),0.0)</f>
        <v>0</v>
      </c>
      <c r="S28" s="3">
        <f>IFERROR(__xludf.DUMMYFUNCTION("""COMPUTED_VALUE"""),0.0)</f>
        <v>0</v>
      </c>
      <c r="T28" s="3">
        <f>IFERROR(__xludf.DUMMYFUNCTION("""COMPUTED_VALUE"""),0.0)</f>
        <v>0</v>
      </c>
      <c r="U28" s="3">
        <f>IFERROR(__xludf.DUMMYFUNCTION("""COMPUTED_VALUE"""),0.0)</f>
        <v>0</v>
      </c>
      <c r="V28" s="3">
        <f>IFERROR(__xludf.DUMMYFUNCTION("""COMPUTED_VALUE"""),0.0)</f>
        <v>0</v>
      </c>
      <c r="W28" s="3">
        <f>IFERROR(__xludf.DUMMYFUNCTION("""COMPUTED_VALUE"""),0.0)</f>
        <v>0</v>
      </c>
      <c r="X28" s="3">
        <f>IFERROR(__xludf.DUMMYFUNCTION("""COMPUTED_VALUE"""),0.0)</f>
        <v>0</v>
      </c>
      <c r="Y28" s="3">
        <f>IFERROR(__xludf.DUMMYFUNCTION("""COMPUTED_VALUE"""),0.0)</f>
        <v>0</v>
      </c>
      <c r="Z28" s="3">
        <f>IFERROR(__xludf.DUMMYFUNCTION("""COMPUTED_VALUE"""),0.0)</f>
        <v>0</v>
      </c>
      <c r="AA28" s="3">
        <f>IFERROR(__xludf.DUMMYFUNCTION("""COMPUTED_VALUE"""),0.0)</f>
        <v>0</v>
      </c>
      <c r="AB28" s="3">
        <f>IFERROR(__xludf.DUMMYFUNCTION("""COMPUTED_VALUE"""),0.0)</f>
        <v>0</v>
      </c>
      <c r="AC28" s="3">
        <f>IFERROR(__xludf.DUMMYFUNCTION("""COMPUTED_VALUE"""),0.0)</f>
        <v>0</v>
      </c>
      <c r="AD28" s="3">
        <f>IFERROR(__xludf.DUMMYFUNCTION("""COMPUTED_VALUE"""),0.0)</f>
        <v>0</v>
      </c>
      <c r="AE28" s="3">
        <f>IFERROR(__xludf.DUMMYFUNCTION("""COMPUTED_VALUE"""),0.0)</f>
        <v>0</v>
      </c>
      <c r="AF28" s="3">
        <f>IFERROR(__xludf.DUMMYFUNCTION("""COMPUTED_VALUE"""),0.0)</f>
        <v>0</v>
      </c>
      <c r="AG28" s="3">
        <f>IFERROR(__xludf.DUMMYFUNCTION("""COMPUTED_VALUE"""),0.0)</f>
        <v>0</v>
      </c>
      <c r="AH28" s="3">
        <f>IFERROR(__xludf.DUMMYFUNCTION("""COMPUTED_VALUE"""),0.0)</f>
        <v>0</v>
      </c>
      <c r="AI28" s="3">
        <f>IFERROR(__xludf.DUMMYFUNCTION("""COMPUTED_VALUE"""),0.0)</f>
        <v>0</v>
      </c>
      <c r="AJ28" s="3">
        <f>IFERROR(__xludf.DUMMYFUNCTION("""COMPUTED_VALUE"""),0.0)</f>
        <v>0</v>
      </c>
      <c r="AK28" s="3">
        <f>IFERROR(__xludf.DUMMYFUNCTION("""COMPUTED_VALUE"""),0.0)</f>
        <v>0</v>
      </c>
      <c r="AL28" s="3">
        <f>IFERROR(__xludf.DUMMYFUNCTION("""COMPUTED_VALUE"""),0.0)</f>
        <v>0</v>
      </c>
      <c r="AM28" s="3">
        <f>IFERROR(__xludf.DUMMYFUNCTION("""COMPUTED_VALUE"""),0.0)</f>
        <v>0</v>
      </c>
      <c r="AN28" s="3">
        <f>IFERROR(__xludf.DUMMYFUNCTION("""COMPUTED_VALUE"""),0.0)</f>
        <v>0</v>
      </c>
      <c r="AO28" s="3">
        <f>IFERROR(__xludf.DUMMYFUNCTION("""COMPUTED_VALUE"""),0.0)</f>
        <v>0</v>
      </c>
      <c r="AP28" s="3">
        <f>IFERROR(__xludf.DUMMYFUNCTION("""COMPUTED_VALUE"""),0.0)</f>
        <v>0</v>
      </c>
      <c r="AQ28" s="3">
        <f>IFERROR(__xludf.DUMMYFUNCTION("""COMPUTED_VALUE"""),0.0)</f>
        <v>0</v>
      </c>
      <c r="AR28" s="3">
        <f>IFERROR(__xludf.DUMMYFUNCTION("""COMPUTED_VALUE"""),0.0)</f>
        <v>0</v>
      </c>
      <c r="AS28" s="3">
        <f>IFERROR(__xludf.DUMMYFUNCTION("""COMPUTED_VALUE"""),0.0)</f>
        <v>0</v>
      </c>
      <c r="AT28" s="3">
        <f>IFERROR(__xludf.DUMMYFUNCTION("""COMPUTED_VALUE"""),0.0)</f>
        <v>0</v>
      </c>
      <c r="AU28" s="3">
        <f>IFERROR(__xludf.DUMMYFUNCTION("""COMPUTED_VALUE"""),0.0)</f>
        <v>0</v>
      </c>
      <c r="AV28" s="3">
        <f>IFERROR(__xludf.DUMMYFUNCTION("""COMPUTED_VALUE"""),0.0)</f>
        <v>0</v>
      </c>
      <c r="AW28" s="3">
        <f>IFERROR(__xludf.DUMMYFUNCTION("""COMPUTED_VALUE"""),0.0)</f>
        <v>0</v>
      </c>
      <c r="AX28" s="3">
        <f>IFERROR(__xludf.DUMMYFUNCTION("""COMPUTED_VALUE"""),0.0)</f>
        <v>0</v>
      </c>
      <c r="AY28" s="3">
        <f>IFERROR(__xludf.DUMMYFUNCTION("""COMPUTED_VALUE"""),0.0)</f>
        <v>0</v>
      </c>
      <c r="AZ28" s="3">
        <f>IFERROR(__xludf.DUMMYFUNCTION("""COMPUTED_VALUE"""),0.0)</f>
        <v>0</v>
      </c>
      <c r="BA28" s="3">
        <f>IFERROR(__xludf.DUMMYFUNCTION("""COMPUTED_VALUE"""),0.0)</f>
        <v>0</v>
      </c>
      <c r="BB28" s="3">
        <f>IFERROR(__xludf.DUMMYFUNCTION("""COMPUTED_VALUE"""),2.0)</f>
        <v>2</v>
      </c>
      <c r="BC28" s="3">
        <f>IFERROR(__xludf.DUMMYFUNCTION("""COMPUTED_VALUE"""),2.0)</f>
        <v>2</v>
      </c>
      <c r="BD28" s="3">
        <f>IFERROR(__xludf.DUMMYFUNCTION("""COMPUTED_VALUE"""),3.0)</f>
        <v>3</v>
      </c>
      <c r="BE28" s="3">
        <f>IFERROR(__xludf.DUMMYFUNCTION("""COMPUTED_VALUE"""),10.0)</f>
        <v>10</v>
      </c>
      <c r="BF28" s="3">
        <f>IFERROR(__xludf.DUMMYFUNCTION("""COMPUTED_VALUE"""),10.0)</f>
        <v>10</v>
      </c>
      <c r="BG28" s="3">
        <f>IFERROR(__xludf.DUMMYFUNCTION("""COMPUTED_VALUE"""),11.0)</f>
        <v>11</v>
      </c>
      <c r="BH28" s="3">
        <f>IFERROR(__xludf.DUMMYFUNCTION("""COMPUTED_VALUE"""),11.0)</f>
        <v>11</v>
      </c>
      <c r="BI28" s="3">
        <f>IFERROR(__xludf.DUMMYFUNCTION("""COMPUTED_VALUE"""),12.0)</f>
        <v>12</v>
      </c>
      <c r="BJ28" s="3">
        <f>IFERROR(__xludf.DUMMYFUNCTION("""COMPUTED_VALUE"""),12.0)</f>
        <v>12</v>
      </c>
      <c r="BK28" s="3">
        <f>IFERROR(__xludf.DUMMYFUNCTION("""COMPUTED_VALUE"""),15.0)</f>
        <v>15</v>
      </c>
      <c r="BL28" s="3">
        <f>IFERROR(__xludf.DUMMYFUNCTION("""COMPUTED_VALUE"""),19.0)</f>
        <v>19</v>
      </c>
      <c r="BM28" s="3">
        <f>IFERROR(__xludf.DUMMYFUNCTION("""COMPUTED_VALUE"""),24.0)</f>
        <v>24</v>
      </c>
      <c r="BN28" s="3">
        <f>IFERROR(__xludf.DUMMYFUNCTION("""COMPUTED_VALUE"""),27.0)</f>
        <v>27</v>
      </c>
      <c r="BO28" s="3">
        <f>IFERROR(__xludf.DUMMYFUNCTION("""COMPUTED_VALUE"""),29.0)</f>
        <v>29</v>
      </c>
      <c r="BP28" s="3">
        <f>IFERROR(__xludf.DUMMYFUNCTION("""COMPUTED_VALUE"""),32.0)</f>
        <v>32</v>
      </c>
      <c r="BQ28" s="3">
        <f>IFERROR(__xludf.DUMMYFUNCTION("""COMPUTED_VALUE"""),43.0)</f>
        <v>43</v>
      </c>
      <c r="BR28" s="3">
        <f>IFERROR(__xludf.DUMMYFUNCTION("""COMPUTED_VALUE"""),61.0)</f>
        <v>61</v>
      </c>
      <c r="BS28" s="3">
        <f>IFERROR(__xludf.DUMMYFUNCTION("""COMPUTED_VALUE"""),74.0)</f>
        <v>74</v>
      </c>
      <c r="BT28" s="3">
        <f>IFERROR(__xludf.DUMMYFUNCTION("""COMPUTED_VALUE"""),81.0)</f>
        <v>81</v>
      </c>
      <c r="BU28" s="3">
        <f>IFERROR(__xludf.DUMMYFUNCTION("""COMPUTED_VALUE"""),97.0)</f>
        <v>97</v>
      </c>
      <c r="BV28" s="3">
        <f>IFERROR(__xludf.DUMMYFUNCTION("""COMPUTED_VALUE"""),107.0)</f>
        <v>107</v>
      </c>
      <c r="BW28" s="3">
        <f>IFERROR(__xludf.DUMMYFUNCTION("""COMPUTED_VALUE"""),115.0)</f>
        <v>115</v>
      </c>
      <c r="BX28" s="3">
        <f>IFERROR(__xludf.DUMMYFUNCTION("""COMPUTED_VALUE"""),123.0)</f>
        <v>123</v>
      </c>
      <c r="BY28" s="3">
        <f>IFERROR(__xludf.DUMMYFUNCTION("""COMPUTED_VALUE"""),132.0)</f>
        <v>132</v>
      </c>
      <c r="BZ28" s="3">
        <f>IFERROR(__xludf.DUMMYFUNCTION("""COMPUTED_VALUE"""),139.0)</f>
        <v>139</v>
      </c>
      <c r="CA28" s="3">
        <f>IFERROR(__xludf.DUMMYFUNCTION("""COMPUTED_VALUE"""),157.0)</f>
        <v>157</v>
      </c>
      <c r="CB28" s="3">
        <f>IFERROR(__xludf.DUMMYFUNCTION("""COMPUTED_VALUE"""),183.0)</f>
        <v>183</v>
      </c>
    </row>
    <row r="29">
      <c r="A29" s="3" t="str">
        <f>IFERROR(__xludf.DUMMYFUNCTION("""COMPUTED_VALUE"""),"")</f>
        <v/>
      </c>
      <c r="B29" s="3" t="str">
        <f>IFERROR(__xludf.DUMMYFUNCTION("""COMPUTED_VALUE"""),"Bosnia and Herzegovina")</f>
        <v>Bosnia and Herzegovina</v>
      </c>
      <c r="C29" s="3">
        <f>IFERROR(__xludf.DUMMYFUNCTION("""COMPUTED_VALUE"""),43.9159)</f>
        <v>43.9159</v>
      </c>
      <c r="D29" s="3">
        <f>IFERROR(__xludf.DUMMYFUNCTION("""COMPUTED_VALUE"""),17.6791)</f>
        <v>17.6791</v>
      </c>
      <c r="E29" s="3">
        <f>IFERROR(__xludf.DUMMYFUNCTION("""COMPUTED_VALUE"""),0.0)</f>
        <v>0</v>
      </c>
      <c r="F29" s="3">
        <f>IFERROR(__xludf.DUMMYFUNCTION("""COMPUTED_VALUE"""),0.0)</f>
        <v>0</v>
      </c>
      <c r="G29" s="3">
        <f>IFERROR(__xludf.DUMMYFUNCTION("""COMPUTED_VALUE"""),0.0)</f>
        <v>0</v>
      </c>
      <c r="H29" s="3">
        <f>IFERROR(__xludf.DUMMYFUNCTION("""COMPUTED_VALUE"""),0.0)</f>
        <v>0</v>
      </c>
      <c r="I29" s="3">
        <f>IFERROR(__xludf.DUMMYFUNCTION("""COMPUTED_VALUE"""),0.0)</f>
        <v>0</v>
      </c>
      <c r="J29" s="3">
        <f>IFERROR(__xludf.DUMMYFUNCTION("""COMPUTED_VALUE"""),0.0)</f>
        <v>0</v>
      </c>
      <c r="K29" s="3">
        <f>IFERROR(__xludf.DUMMYFUNCTION("""COMPUTED_VALUE"""),0.0)</f>
        <v>0</v>
      </c>
      <c r="L29" s="3">
        <f>IFERROR(__xludf.DUMMYFUNCTION("""COMPUTED_VALUE"""),0.0)</f>
        <v>0</v>
      </c>
      <c r="M29" s="3">
        <f>IFERROR(__xludf.DUMMYFUNCTION("""COMPUTED_VALUE"""),0.0)</f>
        <v>0</v>
      </c>
      <c r="N29" s="3">
        <f>IFERROR(__xludf.DUMMYFUNCTION("""COMPUTED_VALUE"""),0.0)</f>
        <v>0</v>
      </c>
      <c r="O29" s="3">
        <f>IFERROR(__xludf.DUMMYFUNCTION("""COMPUTED_VALUE"""),0.0)</f>
        <v>0</v>
      </c>
      <c r="P29" s="3">
        <f>IFERROR(__xludf.DUMMYFUNCTION("""COMPUTED_VALUE"""),0.0)</f>
        <v>0</v>
      </c>
      <c r="Q29" s="3">
        <f>IFERROR(__xludf.DUMMYFUNCTION("""COMPUTED_VALUE"""),0.0)</f>
        <v>0</v>
      </c>
      <c r="R29" s="3">
        <f>IFERROR(__xludf.DUMMYFUNCTION("""COMPUTED_VALUE"""),0.0)</f>
        <v>0</v>
      </c>
      <c r="S29" s="3">
        <f>IFERROR(__xludf.DUMMYFUNCTION("""COMPUTED_VALUE"""),0.0)</f>
        <v>0</v>
      </c>
      <c r="T29" s="3">
        <f>IFERROR(__xludf.DUMMYFUNCTION("""COMPUTED_VALUE"""),0.0)</f>
        <v>0</v>
      </c>
      <c r="U29" s="3">
        <f>IFERROR(__xludf.DUMMYFUNCTION("""COMPUTED_VALUE"""),0.0)</f>
        <v>0</v>
      </c>
      <c r="V29" s="3">
        <f>IFERROR(__xludf.DUMMYFUNCTION("""COMPUTED_VALUE"""),0.0)</f>
        <v>0</v>
      </c>
      <c r="W29" s="3">
        <f>IFERROR(__xludf.DUMMYFUNCTION("""COMPUTED_VALUE"""),0.0)</f>
        <v>0</v>
      </c>
      <c r="X29" s="3">
        <f>IFERROR(__xludf.DUMMYFUNCTION("""COMPUTED_VALUE"""),0.0)</f>
        <v>0</v>
      </c>
      <c r="Y29" s="3">
        <f>IFERROR(__xludf.DUMMYFUNCTION("""COMPUTED_VALUE"""),0.0)</f>
        <v>0</v>
      </c>
      <c r="Z29" s="3">
        <f>IFERROR(__xludf.DUMMYFUNCTION("""COMPUTED_VALUE"""),0.0)</f>
        <v>0</v>
      </c>
      <c r="AA29" s="3">
        <f>IFERROR(__xludf.DUMMYFUNCTION("""COMPUTED_VALUE"""),0.0)</f>
        <v>0</v>
      </c>
      <c r="AB29" s="3">
        <f>IFERROR(__xludf.DUMMYFUNCTION("""COMPUTED_VALUE"""),0.0)</f>
        <v>0</v>
      </c>
      <c r="AC29" s="3">
        <f>IFERROR(__xludf.DUMMYFUNCTION("""COMPUTED_VALUE"""),0.0)</f>
        <v>0</v>
      </c>
      <c r="AD29" s="3">
        <f>IFERROR(__xludf.DUMMYFUNCTION("""COMPUTED_VALUE"""),0.0)</f>
        <v>0</v>
      </c>
      <c r="AE29" s="3">
        <f>IFERROR(__xludf.DUMMYFUNCTION("""COMPUTED_VALUE"""),0.0)</f>
        <v>0</v>
      </c>
      <c r="AF29" s="3">
        <f>IFERROR(__xludf.DUMMYFUNCTION("""COMPUTED_VALUE"""),0.0)</f>
        <v>0</v>
      </c>
      <c r="AG29" s="3">
        <f>IFERROR(__xludf.DUMMYFUNCTION("""COMPUTED_VALUE"""),0.0)</f>
        <v>0</v>
      </c>
      <c r="AH29" s="3">
        <f>IFERROR(__xludf.DUMMYFUNCTION("""COMPUTED_VALUE"""),0.0)</f>
        <v>0</v>
      </c>
      <c r="AI29" s="3">
        <f>IFERROR(__xludf.DUMMYFUNCTION("""COMPUTED_VALUE"""),0.0)</f>
        <v>0</v>
      </c>
      <c r="AJ29" s="3">
        <f>IFERROR(__xludf.DUMMYFUNCTION("""COMPUTED_VALUE"""),0.0)</f>
        <v>0</v>
      </c>
      <c r="AK29" s="3">
        <f>IFERROR(__xludf.DUMMYFUNCTION("""COMPUTED_VALUE"""),0.0)</f>
        <v>0</v>
      </c>
      <c r="AL29" s="3">
        <f>IFERROR(__xludf.DUMMYFUNCTION("""COMPUTED_VALUE"""),0.0)</f>
        <v>0</v>
      </c>
      <c r="AM29" s="3">
        <f>IFERROR(__xludf.DUMMYFUNCTION("""COMPUTED_VALUE"""),0.0)</f>
        <v>0</v>
      </c>
      <c r="AN29" s="3">
        <f>IFERROR(__xludf.DUMMYFUNCTION("""COMPUTED_VALUE"""),0.0)</f>
        <v>0</v>
      </c>
      <c r="AO29" s="3">
        <f>IFERROR(__xludf.DUMMYFUNCTION("""COMPUTED_VALUE"""),0.0)</f>
        <v>0</v>
      </c>
      <c r="AP29" s="3">
        <f>IFERROR(__xludf.DUMMYFUNCTION("""COMPUTED_VALUE"""),0.0)</f>
        <v>0</v>
      </c>
      <c r="AQ29" s="3">
        <f>IFERROR(__xludf.DUMMYFUNCTION("""COMPUTED_VALUE"""),0.0)</f>
        <v>0</v>
      </c>
      <c r="AR29" s="3">
        <f>IFERROR(__xludf.DUMMYFUNCTION("""COMPUTED_VALUE"""),0.0)</f>
        <v>0</v>
      </c>
      <c r="AS29" s="3">
        <f>IFERROR(__xludf.DUMMYFUNCTION("""COMPUTED_VALUE"""),0.0)</f>
        <v>0</v>
      </c>
      <c r="AT29" s="3">
        <f>IFERROR(__xludf.DUMMYFUNCTION("""COMPUTED_VALUE"""),0.0)</f>
        <v>0</v>
      </c>
      <c r="AU29" s="3">
        <f>IFERROR(__xludf.DUMMYFUNCTION("""COMPUTED_VALUE"""),0.0)</f>
        <v>0</v>
      </c>
      <c r="AV29" s="3">
        <f>IFERROR(__xludf.DUMMYFUNCTION("""COMPUTED_VALUE"""),2.0)</f>
        <v>2</v>
      </c>
      <c r="AW29" s="3">
        <f>IFERROR(__xludf.DUMMYFUNCTION("""COMPUTED_VALUE"""),2.0)</f>
        <v>2</v>
      </c>
      <c r="AX29" s="3">
        <f>IFERROR(__xludf.DUMMYFUNCTION("""COMPUTED_VALUE"""),3.0)</f>
        <v>3</v>
      </c>
      <c r="AY29" s="3">
        <f>IFERROR(__xludf.DUMMYFUNCTION("""COMPUTED_VALUE"""),3.0)</f>
        <v>3</v>
      </c>
      <c r="AZ29" s="3">
        <f>IFERROR(__xludf.DUMMYFUNCTION("""COMPUTED_VALUE"""),3.0)</f>
        <v>3</v>
      </c>
      <c r="BA29" s="3">
        <f>IFERROR(__xludf.DUMMYFUNCTION("""COMPUTED_VALUE"""),5.0)</f>
        <v>5</v>
      </c>
      <c r="BB29" s="3">
        <f>IFERROR(__xludf.DUMMYFUNCTION("""COMPUTED_VALUE"""),7.0)</f>
        <v>7</v>
      </c>
      <c r="BC29" s="3">
        <f>IFERROR(__xludf.DUMMYFUNCTION("""COMPUTED_VALUE"""),11.0)</f>
        <v>11</v>
      </c>
      <c r="BD29" s="3">
        <f>IFERROR(__xludf.DUMMYFUNCTION("""COMPUTED_VALUE"""),13.0)</f>
        <v>13</v>
      </c>
      <c r="BE29" s="3">
        <f>IFERROR(__xludf.DUMMYFUNCTION("""COMPUTED_VALUE"""),18.0)</f>
        <v>18</v>
      </c>
      <c r="BF29" s="3">
        <f>IFERROR(__xludf.DUMMYFUNCTION("""COMPUTED_VALUE"""),24.0)</f>
        <v>24</v>
      </c>
      <c r="BG29" s="3">
        <f>IFERROR(__xludf.DUMMYFUNCTION("""COMPUTED_VALUE"""),25.0)</f>
        <v>25</v>
      </c>
      <c r="BH29" s="3">
        <f>IFERROR(__xludf.DUMMYFUNCTION("""COMPUTED_VALUE"""),26.0)</f>
        <v>26</v>
      </c>
      <c r="BI29" s="3">
        <f>IFERROR(__xludf.DUMMYFUNCTION("""COMPUTED_VALUE"""),38.0)</f>
        <v>38</v>
      </c>
      <c r="BJ29" s="3">
        <f>IFERROR(__xludf.DUMMYFUNCTION("""COMPUTED_VALUE"""),63.0)</f>
        <v>63</v>
      </c>
      <c r="BK29" s="3">
        <f>IFERROR(__xludf.DUMMYFUNCTION("""COMPUTED_VALUE"""),89.0)</f>
        <v>89</v>
      </c>
      <c r="BL29" s="3">
        <f>IFERROR(__xludf.DUMMYFUNCTION("""COMPUTED_VALUE"""),93.0)</f>
        <v>93</v>
      </c>
      <c r="BM29" s="3">
        <f>IFERROR(__xludf.DUMMYFUNCTION("""COMPUTED_VALUE"""),126.0)</f>
        <v>126</v>
      </c>
      <c r="BN29" s="3">
        <f>IFERROR(__xludf.DUMMYFUNCTION("""COMPUTED_VALUE"""),136.0)</f>
        <v>136</v>
      </c>
      <c r="BO29" s="3">
        <f>IFERROR(__xludf.DUMMYFUNCTION("""COMPUTED_VALUE"""),166.0)</f>
        <v>166</v>
      </c>
      <c r="BP29" s="3">
        <f>IFERROR(__xludf.DUMMYFUNCTION("""COMPUTED_VALUE"""),176.0)</f>
        <v>176</v>
      </c>
      <c r="BQ29" s="3">
        <f>IFERROR(__xludf.DUMMYFUNCTION("""COMPUTED_VALUE"""),191.0)</f>
        <v>191</v>
      </c>
      <c r="BR29" s="3">
        <f>IFERROR(__xludf.DUMMYFUNCTION("""COMPUTED_VALUE"""),237.0)</f>
        <v>237</v>
      </c>
      <c r="BS29" s="3">
        <f>IFERROR(__xludf.DUMMYFUNCTION("""COMPUTED_VALUE"""),258.0)</f>
        <v>258</v>
      </c>
      <c r="BT29" s="3">
        <f>IFERROR(__xludf.DUMMYFUNCTION("""COMPUTED_VALUE"""),323.0)</f>
        <v>323</v>
      </c>
      <c r="BU29" s="3">
        <f>IFERROR(__xludf.DUMMYFUNCTION("""COMPUTED_VALUE"""),368.0)</f>
        <v>368</v>
      </c>
      <c r="BV29" s="3">
        <f>IFERROR(__xludf.DUMMYFUNCTION("""COMPUTED_VALUE"""),420.0)</f>
        <v>420</v>
      </c>
      <c r="BW29" s="3">
        <f>IFERROR(__xludf.DUMMYFUNCTION("""COMPUTED_VALUE"""),459.0)</f>
        <v>459</v>
      </c>
      <c r="BX29" s="3">
        <f>IFERROR(__xludf.DUMMYFUNCTION("""COMPUTED_VALUE"""),533.0)</f>
        <v>533</v>
      </c>
      <c r="BY29" s="3">
        <f>IFERROR(__xludf.DUMMYFUNCTION("""COMPUTED_VALUE"""),579.0)</f>
        <v>579</v>
      </c>
      <c r="BZ29" s="3">
        <f>IFERROR(__xludf.DUMMYFUNCTION("""COMPUTED_VALUE"""),624.0)</f>
        <v>624</v>
      </c>
      <c r="CA29" s="3">
        <f>IFERROR(__xludf.DUMMYFUNCTION("""COMPUTED_VALUE"""),654.0)</f>
        <v>654</v>
      </c>
      <c r="CB29" s="3">
        <f>IFERROR(__xludf.DUMMYFUNCTION("""COMPUTED_VALUE"""),674.0)</f>
        <v>674</v>
      </c>
    </row>
    <row r="30">
      <c r="A30" s="3" t="str">
        <f>IFERROR(__xludf.DUMMYFUNCTION("""COMPUTED_VALUE"""),"")</f>
        <v/>
      </c>
      <c r="B30" s="3" t="str">
        <f>IFERROR(__xludf.DUMMYFUNCTION("""COMPUTED_VALUE"""),"Brazil")</f>
        <v>Brazil</v>
      </c>
      <c r="C30" s="3">
        <f>IFERROR(__xludf.DUMMYFUNCTION("""COMPUTED_VALUE"""),-14.235)</f>
        <v>-14.235</v>
      </c>
      <c r="D30" s="3">
        <f>IFERROR(__xludf.DUMMYFUNCTION("""COMPUTED_VALUE"""),-51.9253)</f>
        <v>-51.9253</v>
      </c>
      <c r="E30" s="3">
        <f>IFERROR(__xludf.DUMMYFUNCTION("""COMPUTED_VALUE"""),0.0)</f>
        <v>0</v>
      </c>
      <c r="F30" s="3">
        <f>IFERROR(__xludf.DUMMYFUNCTION("""COMPUTED_VALUE"""),0.0)</f>
        <v>0</v>
      </c>
      <c r="G30" s="3">
        <f>IFERROR(__xludf.DUMMYFUNCTION("""COMPUTED_VALUE"""),0.0)</f>
        <v>0</v>
      </c>
      <c r="H30" s="3">
        <f>IFERROR(__xludf.DUMMYFUNCTION("""COMPUTED_VALUE"""),0.0)</f>
        <v>0</v>
      </c>
      <c r="I30" s="3">
        <f>IFERROR(__xludf.DUMMYFUNCTION("""COMPUTED_VALUE"""),0.0)</f>
        <v>0</v>
      </c>
      <c r="J30" s="3">
        <f>IFERROR(__xludf.DUMMYFUNCTION("""COMPUTED_VALUE"""),0.0)</f>
        <v>0</v>
      </c>
      <c r="K30" s="3">
        <f>IFERROR(__xludf.DUMMYFUNCTION("""COMPUTED_VALUE"""),0.0)</f>
        <v>0</v>
      </c>
      <c r="L30" s="3">
        <f>IFERROR(__xludf.DUMMYFUNCTION("""COMPUTED_VALUE"""),0.0)</f>
        <v>0</v>
      </c>
      <c r="M30" s="3">
        <f>IFERROR(__xludf.DUMMYFUNCTION("""COMPUTED_VALUE"""),0.0)</f>
        <v>0</v>
      </c>
      <c r="N30" s="3">
        <f>IFERROR(__xludf.DUMMYFUNCTION("""COMPUTED_VALUE"""),0.0)</f>
        <v>0</v>
      </c>
      <c r="O30" s="3">
        <f>IFERROR(__xludf.DUMMYFUNCTION("""COMPUTED_VALUE"""),0.0)</f>
        <v>0</v>
      </c>
      <c r="P30" s="3">
        <f>IFERROR(__xludf.DUMMYFUNCTION("""COMPUTED_VALUE"""),0.0)</f>
        <v>0</v>
      </c>
      <c r="Q30" s="3">
        <f>IFERROR(__xludf.DUMMYFUNCTION("""COMPUTED_VALUE"""),0.0)</f>
        <v>0</v>
      </c>
      <c r="R30" s="3">
        <f>IFERROR(__xludf.DUMMYFUNCTION("""COMPUTED_VALUE"""),0.0)</f>
        <v>0</v>
      </c>
      <c r="S30" s="3">
        <f>IFERROR(__xludf.DUMMYFUNCTION("""COMPUTED_VALUE"""),0.0)</f>
        <v>0</v>
      </c>
      <c r="T30" s="3">
        <f>IFERROR(__xludf.DUMMYFUNCTION("""COMPUTED_VALUE"""),0.0)</f>
        <v>0</v>
      </c>
      <c r="U30" s="3">
        <f>IFERROR(__xludf.DUMMYFUNCTION("""COMPUTED_VALUE"""),0.0)</f>
        <v>0</v>
      </c>
      <c r="V30" s="3">
        <f>IFERROR(__xludf.DUMMYFUNCTION("""COMPUTED_VALUE"""),0.0)</f>
        <v>0</v>
      </c>
      <c r="W30" s="3">
        <f>IFERROR(__xludf.DUMMYFUNCTION("""COMPUTED_VALUE"""),0.0)</f>
        <v>0</v>
      </c>
      <c r="X30" s="3">
        <f>IFERROR(__xludf.DUMMYFUNCTION("""COMPUTED_VALUE"""),0.0)</f>
        <v>0</v>
      </c>
      <c r="Y30" s="3">
        <f>IFERROR(__xludf.DUMMYFUNCTION("""COMPUTED_VALUE"""),0.0)</f>
        <v>0</v>
      </c>
      <c r="Z30" s="3">
        <f>IFERROR(__xludf.DUMMYFUNCTION("""COMPUTED_VALUE"""),0.0)</f>
        <v>0</v>
      </c>
      <c r="AA30" s="3">
        <f>IFERROR(__xludf.DUMMYFUNCTION("""COMPUTED_VALUE"""),0.0)</f>
        <v>0</v>
      </c>
      <c r="AB30" s="3">
        <f>IFERROR(__xludf.DUMMYFUNCTION("""COMPUTED_VALUE"""),0.0)</f>
        <v>0</v>
      </c>
      <c r="AC30" s="3">
        <f>IFERROR(__xludf.DUMMYFUNCTION("""COMPUTED_VALUE"""),0.0)</f>
        <v>0</v>
      </c>
      <c r="AD30" s="3">
        <f>IFERROR(__xludf.DUMMYFUNCTION("""COMPUTED_VALUE"""),0.0)</f>
        <v>0</v>
      </c>
      <c r="AE30" s="3">
        <f>IFERROR(__xludf.DUMMYFUNCTION("""COMPUTED_VALUE"""),0.0)</f>
        <v>0</v>
      </c>
      <c r="AF30" s="3">
        <f>IFERROR(__xludf.DUMMYFUNCTION("""COMPUTED_VALUE"""),0.0)</f>
        <v>0</v>
      </c>
      <c r="AG30" s="3">
        <f>IFERROR(__xludf.DUMMYFUNCTION("""COMPUTED_VALUE"""),0.0)</f>
        <v>0</v>
      </c>
      <c r="AH30" s="3">
        <f>IFERROR(__xludf.DUMMYFUNCTION("""COMPUTED_VALUE"""),0.0)</f>
        <v>0</v>
      </c>
      <c r="AI30" s="3">
        <f>IFERROR(__xludf.DUMMYFUNCTION("""COMPUTED_VALUE"""),0.0)</f>
        <v>0</v>
      </c>
      <c r="AJ30" s="3">
        <f>IFERROR(__xludf.DUMMYFUNCTION("""COMPUTED_VALUE"""),0.0)</f>
        <v>0</v>
      </c>
      <c r="AK30" s="3">
        <f>IFERROR(__xludf.DUMMYFUNCTION("""COMPUTED_VALUE"""),0.0)</f>
        <v>0</v>
      </c>
      <c r="AL30" s="3">
        <f>IFERROR(__xludf.DUMMYFUNCTION("""COMPUTED_VALUE"""),0.0)</f>
        <v>0</v>
      </c>
      <c r="AM30" s="3">
        <f>IFERROR(__xludf.DUMMYFUNCTION("""COMPUTED_VALUE"""),0.0)</f>
        <v>0</v>
      </c>
      <c r="AN30" s="3">
        <f>IFERROR(__xludf.DUMMYFUNCTION("""COMPUTED_VALUE"""),1.0)</f>
        <v>1</v>
      </c>
      <c r="AO30" s="3">
        <f>IFERROR(__xludf.DUMMYFUNCTION("""COMPUTED_VALUE"""),1.0)</f>
        <v>1</v>
      </c>
      <c r="AP30" s="3">
        <f>IFERROR(__xludf.DUMMYFUNCTION("""COMPUTED_VALUE"""),1.0)</f>
        <v>1</v>
      </c>
      <c r="AQ30" s="3">
        <f>IFERROR(__xludf.DUMMYFUNCTION("""COMPUTED_VALUE"""),2.0)</f>
        <v>2</v>
      </c>
      <c r="AR30" s="3">
        <f>IFERROR(__xludf.DUMMYFUNCTION("""COMPUTED_VALUE"""),2.0)</f>
        <v>2</v>
      </c>
      <c r="AS30" s="3">
        <f>IFERROR(__xludf.DUMMYFUNCTION("""COMPUTED_VALUE"""),2.0)</f>
        <v>2</v>
      </c>
      <c r="AT30" s="3">
        <f>IFERROR(__xludf.DUMMYFUNCTION("""COMPUTED_VALUE"""),2.0)</f>
        <v>2</v>
      </c>
      <c r="AU30" s="3">
        <f>IFERROR(__xludf.DUMMYFUNCTION("""COMPUTED_VALUE"""),4.0)</f>
        <v>4</v>
      </c>
      <c r="AV30" s="3">
        <f>IFERROR(__xludf.DUMMYFUNCTION("""COMPUTED_VALUE"""),4.0)</f>
        <v>4</v>
      </c>
      <c r="AW30" s="3">
        <f>IFERROR(__xludf.DUMMYFUNCTION("""COMPUTED_VALUE"""),13.0)</f>
        <v>13</v>
      </c>
      <c r="AX30" s="3">
        <f>IFERROR(__xludf.DUMMYFUNCTION("""COMPUTED_VALUE"""),13.0)</f>
        <v>13</v>
      </c>
      <c r="AY30" s="3">
        <f>IFERROR(__xludf.DUMMYFUNCTION("""COMPUTED_VALUE"""),20.0)</f>
        <v>20</v>
      </c>
      <c r="AZ30" s="3">
        <f>IFERROR(__xludf.DUMMYFUNCTION("""COMPUTED_VALUE"""),25.0)</f>
        <v>25</v>
      </c>
      <c r="BA30" s="3">
        <f>IFERROR(__xludf.DUMMYFUNCTION("""COMPUTED_VALUE"""),31.0)</f>
        <v>31</v>
      </c>
      <c r="BB30" s="3">
        <f>IFERROR(__xludf.DUMMYFUNCTION("""COMPUTED_VALUE"""),38.0)</f>
        <v>38</v>
      </c>
      <c r="BC30" s="3">
        <f>IFERROR(__xludf.DUMMYFUNCTION("""COMPUTED_VALUE"""),52.0)</f>
        <v>52</v>
      </c>
      <c r="BD30" s="3">
        <f>IFERROR(__xludf.DUMMYFUNCTION("""COMPUTED_VALUE"""),151.0)</f>
        <v>151</v>
      </c>
      <c r="BE30" s="3">
        <f>IFERROR(__xludf.DUMMYFUNCTION("""COMPUTED_VALUE"""),151.0)</f>
        <v>151</v>
      </c>
      <c r="BF30" s="3">
        <f>IFERROR(__xludf.DUMMYFUNCTION("""COMPUTED_VALUE"""),162.0)</f>
        <v>162</v>
      </c>
      <c r="BG30" s="3">
        <f>IFERROR(__xludf.DUMMYFUNCTION("""COMPUTED_VALUE"""),200.0)</f>
        <v>200</v>
      </c>
      <c r="BH30" s="3">
        <f>IFERROR(__xludf.DUMMYFUNCTION("""COMPUTED_VALUE"""),321.0)</f>
        <v>321</v>
      </c>
      <c r="BI30" s="3">
        <f>IFERROR(__xludf.DUMMYFUNCTION("""COMPUTED_VALUE"""),372.0)</f>
        <v>372</v>
      </c>
      <c r="BJ30" s="3">
        <f>IFERROR(__xludf.DUMMYFUNCTION("""COMPUTED_VALUE"""),621.0)</f>
        <v>621</v>
      </c>
      <c r="BK30" s="3">
        <f>IFERROR(__xludf.DUMMYFUNCTION("""COMPUTED_VALUE"""),793.0)</f>
        <v>793</v>
      </c>
      <c r="BL30" s="3">
        <f>IFERROR(__xludf.DUMMYFUNCTION("""COMPUTED_VALUE"""),1021.0)</f>
        <v>1021</v>
      </c>
      <c r="BM30" s="3">
        <f>IFERROR(__xludf.DUMMYFUNCTION("""COMPUTED_VALUE"""),1546.0)</f>
        <v>1546</v>
      </c>
      <c r="BN30" s="3">
        <f>IFERROR(__xludf.DUMMYFUNCTION("""COMPUTED_VALUE"""),1924.0)</f>
        <v>1924</v>
      </c>
      <c r="BO30" s="3">
        <f>IFERROR(__xludf.DUMMYFUNCTION("""COMPUTED_VALUE"""),2247.0)</f>
        <v>2247</v>
      </c>
      <c r="BP30" s="3">
        <f>IFERROR(__xludf.DUMMYFUNCTION("""COMPUTED_VALUE"""),2554.0)</f>
        <v>2554</v>
      </c>
      <c r="BQ30" s="3">
        <f>IFERROR(__xludf.DUMMYFUNCTION("""COMPUTED_VALUE"""),2985.0)</f>
        <v>2985</v>
      </c>
      <c r="BR30" s="3">
        <f>IFERROR(__xludf.DUMMYFUNCTION("""COMPUTED_VALUE"""),3417.0)</f>
        <v>3417</v>
      </c>
      <c r="BS30" s="3">
        <f>IFERROR(__xludf.DUMMYFUNCTION("""COMPUTED_VALUE"""),3904.0)</f>
        <v>3904</v>
      </c>
      <c r="BT30" s="3">
        <f>IFERROR(__xludf.DUMMYFUNCTION("""COMPUTED_VALUE"""),4256.0)</f>
        <v>4256</v>
      </c>
      <c r="BU30" s="3">
        <f>IFERROR(__xludf.DUMMYFUNCTION("""COMPUTED_VALUE"""),4579.0)</f>
        <v>4579</v>
      </c>
      <c r="BV30" s="3">
        <f>IFERROR(__xludf.DUMMYFUNCTION("""COMPUTED_VALUE"""),5717.0)</f>
        <v>5717</v>
      </c>
      <c r="BW30" s="3">
        <f>IFERROR(__xludf.DUMMYFUNCTION("""COMPUTED_VALUE"""),6836.0)</f>
        <v>6836</v>
      </c>
      <c r="BX30" s="3">
        <f>IFERROR(__xludf.DUMMYFUNCTION("""COMPUTED_VALUE"""),8044.0)</f>
        <v>8044</v>
      </c>
      <c r="BY30" s="3">
        <f>IFERROR(__xludf.DUMMYFUNCTION("""COMPUTED_VALUE"""),9056.0)</f>
        <v>9056</v>
      </c>
      <c r="BZ30" s="3">
        <f>IFERROR(__xludf.DUMMYFUNCTION("""COMPUTED_VALUE"""),10360.0)</f>
        <v>10360</v>
      </c>
      <c r="CA30" s="3">
        <f>IFERROR(__xludf.DUMMYFUNCTION("""COMPUTED_VALUE"""),11130.0)</f>
        <v>11130</v>
      </c>
      <c r="CB30" s="3">
        <f>IFERROR(__xludf.DUMMYFUNCTION("""COMPUTED_VALUE"""),12161.0)</f>
        <v>12161</v>
      </c>
    </row>
    <row r="31">
      <c r="A31" s="3" t="str">
        <f>IFERROR(__xludf.DUMMYFUNCTION("""COMPUTED_VALUE"""),"")</f>
        <v/>
      </c>
      <c r="B31" s="3" t="str">
        <f>IFERROR(__xludf.DUMMYFUNCTION("""COMPUTED_VALUE"""),"Brunei")</f>
        <v>Brunei</v>
      </c>
      <c r="C31" s="3">
        <f>IFERROR(__xludf.DUMMYFUNCTION("""COMPUTED_VALUE"""),4.5353)</f>
        <v>4.5353</v>
      </c>
      <c r="D31" s="3">
        <f>IFERROR(__xludf.DUMMYFUNCTION("""COMPUTED_VALUE"""),114.7277)</f>
        <v>114.7277</v>
      </c>
      <c r="E31" s="3">
        <f>IFERROR(__xludf.DUMMYFUNCTION("""COMPUTED_VALUE"""),0.0)</f>
        <v>0</v>
      </c>
      <c r="F31" s="3">
        <f>IFERROR(__xludf.DUMMYFUNCTION("""COMPUTED_VALUE"""),0.0)</f>
        <v>0</v>
      </c>
      <c r="G31" s="3">
        <f>IFERROR(__xludf.DUMMYFUNCTION("""COMPUTED_VALUE"""),0.0)</f>
        <v>0</v>
      </c>
      <c r="H31" s="3">
        <f>IFERROR(__xludf.DUMMYFUNCTION("""COMPUTED_VALUE"""),0.0)</f>
        <v>0</v>
      </c>
      <c r="I31" s="3">
        <f>IFERROR(__xludf.DUMMYFUNCTION("""COMPUTED_VALUE"""),0.0)</f>
        <v>0</v>
      </c>
      <c r="J31" s="3">
        <f>IFERROR(__xludf.DUMMYFUNCTION("""COMPUTED_VALUE"""),0.0)</f>
        <v>0</v>
      </c>
      <c r="K31" s="3">
        <f>IFERROR(__xludf.DUMMYFUNCTION("""COMPUTED_VALUE"""),0.0)</f>
        <v>0</v>
      </c>
      <c r="L31" s="3">
        <f>IFERROR(__xludf.DUMMYFUNCTION("""COMPUTED_VALUE"""),0.0)</f>
        <v>0</v>
      </c>
      <c r="M31" s="3">
        <f>IFERROR(__xludf.DUMMYFUNCTION("""COMPUTED_VALUE"""),0.0)</f>
        <v>0</v>
      </c>
      <c r="N31" s="3">
        <f>IFERROR(__xludf.DUMMYFUNCTION("""COMPUTED_VALUE"""),0.0)</f>
        <v>0</v>
      </c>
      <c r="O31" s="3">
        <f>IFERROR(__xludf.DUMMYFUNCTION("""COMPUTED_VALUE"""),0.0)</f>
        <v>0</v>
      </c>
      <c r="P31" s="3">
        <f>IFERROR(__xludf.DUMMYFUNCTION("""COMPUTED_VALUE"""),0.0)</f>
        <v>0</v>
      </c>
      <c r="Q31" s="3">
        <f>IFERROR(__xludf.DUMMYFUNCTION("""COMPUTED_VALUE"""),0.0)</f>
        <v>0</v>
      </c>
      <c r="R31" s="3">
        <f>IFERROR(__xludf.DUMMYFUNCTION("""COMPUTED_VALUE"""),0.0)</f>
        <v>0</v>
      </c>
      <c r="S31" s="3">
        <f>IFERROR(__xludf.DUMMYFUNCTION("""COMPUTED_VALUE"""),0.0)</f>
        <v>0</v>
      </c>
      <c r="T31" s="3">
        <f>IFERROR(__xludf.DUMMYFUNCTION("""COMPUTED_VALUE"""),0.0)</f>
        <v>0</v>
      </c>
      <c r="U31" s="3">
        <f>IFERROR(__xludf.DUMMYFUNCTION("""COMPUTED_VALUE"""),0.0)</f>
        <v>0</v>
      </c>
      <c r="V31" s="3">
        <f>IFERROR(__xludf.DUMMYFUNCTION("""COMPUTED_VALUE"""),0.0)</f>
        <v>0</v>
      </c>
      <c r="W31" s="3">
        <f>IFERROR(__xludf.DUMMYFUNCTION("""COMPUTED_VALUE"""),0.0)</f>
        <v>0</v>
      </c>
      <c r="X31" s="3">
        <f>IFERROR(__xludf.DUMMYFUNCTION("""COMPUTED_VALUE"""),0.0)</f>
        <v>0</v>
      </c>
      <c r="Y31" s="3">
        <f>IFERROR(__xludf.DUMMYFUNCTION("""COMPUTED_VALUE"""),0.0)</f>
        <v>0</v>
      </c>
      <c r="Z31" s="3">
        <f>IFERROR(__xludf.DUMMYFUNCTION("""COMPUTED_VALUE"""),0.0)</f>
        <v>0</v>
      </c>
      <c r="AA31" s="3">
        <f>IFERROR(__xludf.DUMMYFUNCTION("""COMPUTED_VALUE"""),0.0)</f>
        <v>0</v>
      </c>
      <c r="AB31" s="3">
        <f>IFERROR(__xludf.DUMMYFUNCTION("""COMPUTED_VALUE"""),0.0)</f>
        <v>0</v>
      </c>
      <c r="AC31" s="3">
        <f>IFERROR(__xludf.DUMMYFUNCTION("""COMPUTED_VALUE"""),0.0)</f>
        <v>0</v>
      </c>
      <c r="AD31" s="3">
        <f>IFERROR(__xludf.DUMMYFUNCTION("""COMPUTED_VALUE"""),0.0)</f>
        <v>0</v>
      </c>
      <c r="AE31" s="3">
        <f>IFERROR(__xludf.DUMMYFUNCTION("""COMPUTED_VALUE"""),0.0)</f>
        <v>0</v>
      </c>
      <c r="AF31" s="3">
        <f>IFERROR(__xludf.DUMMYFUNCTION("""COMPUTED_VALUE"""),0.0)</f>
        <v>0</v>
      </c>
      <c r="AG31" s="3">
        <f>IFERROR(__xludf.DUMMYFUNCTION("""COMPUTED_VALUE"""),0.0)</f>
        <v>0</v>
      </c>
      <c r="AH31" s="3">
        <f>IFERROR(__xludf.DUMMYFUNCTION("""COMPUTED_VALUE"""),0.0)</f>
        <v>0</v>
      </c>
      <c r="AI31" s="3">
        <f>IFERROR(__xludf.DUMMYFUNCTION("""COMPUTED_VALUE"""),0.0)</f>
        <v>0</v>
      </c>
      <c r="AJ31" s="3">
        <f>IFERROR(__xludf.DUMMYFUNCTION("""COMPUTED_VALUE"""),0.0)</f>
        <v>0</v>
      </c>
      <c r="AK31" s="3">
        <f>IFERROR(__xludf.DUMMYFUNCTION("""COMPUTED_VALUE"""),0.0)</f>
        <v>0</v>
      </c>
      <c r="AL31" s="3">
        <f>IFERROR(__xludf.DUMMYFUNCTION("""COMPUTED_VALUE"""),0.0)</f>
        <v>0</v>
      </c>
      <c r="AM31" s="3">
        <f>IFERROR(__xludf.DUMMYFUNCTION("""COMPUTED_VALUE"""),0.0)</f>
        <v>0</v>
      </c>
      <c r="AN31" s="3">
        <f>IFERROR(__xludf.DUMMYFUNCTION("""COMPUTED_VALUE"""),0.0)</f>
        <v>0</v>
      </c>
      <c r="AO31" s="3">
        <f>IFERROR(__xludf.DUMMYFUNCTION("""COMPUTED_VALUE"""),0.0)</f>
        <v>0</v>
      </c>
      <c r="AP31" s="3">
        <f>IFERROR(__xludf.DUMMYFUNCTION("""COMPUTED_VALUE"""),0.0)</f>
        <v>0</v>
      </c>
      <c r="AQ31" s="3">
        <f>IFERROR(__xludf.DUMMYFUNCTION("""COMPUTED_VALUE"""),0.0)</f>
        <v>0</v>
      </c>
      <c r="AR31" s="3">
        <f>IFERROR(__xludf.DUMMYFUNCTION("""COMPUTED_VALUE"""),0.0)</f>
        <v>0</v>
      </c>
      <c r="AS31" s="3">
        <f>IFERROR(__xludf.DUMMYFUNCTION("""COMPUTED_VALUE"""),0.0)</f>
        <v>0</v>
      </c>
      <c r="AT31" s="3">
        <f>IFERROR(__xludf.DUMMYFUNCTION("""COMPUTED_VALUE"""),0.0)</f>
        <v>0</v>
      </c>
      <c r="AU31" s="3">
        <f>IFERROR(__xludf.DUMMYFUNCTION("""COMPUTED_VALUE"""),0.0)</f>
        <v>0</v>
      </c>
      <c r="AV31" s="3">
        <f>IFERROR(__xludf.DUMMYFUNCTION("""COMPUTED_VALUE"""),0.0)</f>
        <v>0</v>
      </c>
      <c r="AW31" s="3">
        <f>IFERROR(__xludf.DUMMYFUNCTION("""COMPUTED_VALUE"""),0.0)</f>
        <v>0</v>
      </c>
      <c r="AX31" s="3">
        <f>IFERROR(__xludf.DUMMYFUNCTION("""COMPUTED_VALUE"""),0.0)</f>
        <v>0</v>
      </c>
      <c r="AY31" s="3">
        <f>IFERROR(__xludf.DUMMYFUNCTION("""COMPUTED_VALUE"""),0.0)</f>
        <v>0</v>
      </c>
      <c r="AZ31" s="3">
        <f>IFERROR(__xludf.DUMMYFUNCTION("""COMPUTED_VALUE"""),1.0)</f>
        <v>1</v>
      </c>
      <c r="BA31" s="3">
        <f>IFERROR(__xludf.DUMMYFUNCTION("""COMPUTED_VALUE"""),1.0)</f>
        <v>1</v>
      </c>
      <c r="BB31" s="3">
        <f>IFERROR(__xludf.DUMMYFUNCTION("""COMPUTED_VALUE"""),11.0)</f>
        <v>11</v>
      </c>
      <c r="BC31" s="3">
        <f>IFERROR(__xludf.DUMMYFUNCTION("""COMPUTED_VALUE"""),11.0)</f>
        <v>11</v>
      </c>
      <c r="BD31" s="3">
        <f>IFERROR(__xludf.DUMMYFUNCTION("""COMPUTED_VALUE"""),37.0)</f>
        <v>37</v>
      </c>
      <c r="BE31" s="3">
        <f>IFERROR(__xludf.DUMMYFUNCTION("""COMPUTED_VALUE"""),40.0)</f>
        <v>40</v>
      </c>
      <c r="BF31" s="3">
        <f>IFERROR(__xludf.DUMMYFUNCTION("""COMPUTED_VALUE"""),50.0)</f>
        <v>50</v>
      </c>
      <c r="BG31" s="3">
        <f>IFERROR(__xludf.DUMMYFUNCTION("""COMPUTED_VALUE"""),54.0)</f>
        <v>54</v>
      </c>
      <c r="BH31" s="3">
        <f>IFERROR(__xludf.DUMMYFUNCTION("""COMPUTED_VALUE"""),56.0)</f>
        <v>56</v>
      </c>
      <c r="BI31" s="3">
        <f>IFERROR(__xludf.DUMMYFUNCTION("""COMPUTED_VALUE"""),68.0)</f>
        <v>68</v>
      </c>
      <c r="BJ31" s="3">
        <f>IFERROR(__xludf.DUMMYFUNCTION("""COMPUTED_VALUE"""),75.0)</f>
        <v>75</v>
      </c>
      <c r="BK31" s="3">
        <f>IFERROR(__xludf.DUMMYFUNCTION("""COMPUTED_VALUE"""),78.0)</f>
        <v>78</v>
      </c>
      <c r="BL31" s="3">
        <f>IFERROR(__xludf.DUMMYFUNCTION("""COMPUTED_VALUE"""),83.0)</f>
        <v>83</v>
      </c>
      <c r="BM31" s="3">
        <f>IFERROR(__xludf.DUMMYFUNCTION("""COMPUTED_VALUE"""),88.0)</f>
        <v>88</v>
      </c>
      <c r="BN31" s="3">
        <f>IFERROR(__xludf.DUMMYFUNCTION("""COMPUTED_VALUE"""),91.0)</f>
        <v>91</v>
      </c>
      <c r="BO31" s="3">
        <f>IFERROR(__xludf.DUMMYFUNCTION("""COMPUTED_VALUE"""),104.0)</f>
        <v>104</v>
      </c>
      <c r="BP31" s="3">
        <f>IFERROR(__xludf.DUMMYFUNCTION("""COMPUTED_VALUE"""),109.0)</f>
        <v>109</v>
      </c>
      <c r="BQ31" s="3">
        <f>IFERROR(__xludf.DUMMYFUNCTION("""COMPUTED_VALUE"""),114.0)</f>
        <v>114</v>
      </c>
      <c r="BR31" s="3">
        <f>IFERROR(__xludf.DUMMYFUNCTION("""COMPUTED_VALUE"""),115.0)</f>
        <v>115</v>
      </c>
      <c r="BS31" s="3">
        <f>IFERROR(__xludf.DUMMYFUNCTION("""COMPUTED_VALUE"""),120.0)</f>
        <v>120</v>
      </c>
      <c r="BT31" s="3">
        <f>IFERROR(__xludf.DUMMYFUNCTION("""COMPUTED_VALUE"""),126.0)</f>
        <v>126</v>
      </c>
      <c r="BU31" s="3">
        <f>IFERROR(__xludf.DUMMYFUNCTION("""COMPUTED_VALUE"""),127.0)</f>
        <v>127</v>
      </c>
      <c r="BV31" s="3">
        <f>IFERROR(__xludf.DUMMYFUNCTION("""COMPUTED_VALUE"""),129.0)</f>
        <v>129</v>
      </c>
      <c r="BW31" s="3">
        <f>IFERROR(__xludf.DUMMYFUNCTION("""COMPUTED_VALUE"""),131.0)</f>
        <v>131</v>
      </c>
      <c r="BX31" s="3">
        <f>IFERROR(__xludf.DUMMYFUNCTION("""COMPUTED_VALUE"""),133.0)</f>
        <v>133</v>
      </c>
      <c r="BY31" s="3">
        <f>IFERROR(__xludf.DUMMYFUNCTION("""COMPUTED_VALUE"""),134.0)</f>
        <v>134</v>
      </c>
      <c r="BZ31" s="3">
        <f>IFERROR(__xludf.DUMMYFUNCTION("""COMPUTED_VALUE"""),135.0)</f>
        <v>135</v>
      </c>
      <c r="CA31" s="3">
        <f>IFERROR(__xludf.DUMMYFUNCTION("""COMPUTED_VALUE"""),135.0)</f>
        <v>135</v>
      </c>
      <c r="CB31" s="3">
        <f>IFERROR(__xludf.DUMMYFUNCTION("""COMPUTED_VALUE"""),135.0)</f>
        <v>135</v>
      </c>
    </row>
    <row r="32">
      <c r="A32" s="3" t="str">
        <f>IFERROR(__xludf.DUMMYFUNCTION("""COMPUTED_VALUE"""),"")</f>
        <v/>
      </c>
      <c r="B32" s="3" t="str">
        <f>IFERROR(__xludf.DUMMYFUNCTION("""COMPUTED_VALUE"""),"Bulgaria")</f>
        <v>Bulgaria</v>
      </c>
      <c r="C32" s="3">
        <f>IFERROR(__xludf.DUMMYFUNCTION("""COMPUTED_VALUE"""),42.7339)</f>
        <v>42.7339</v>
      </c>
      <c r="D32" s="3">
        <f>IFERROR(__xludf.DUMMYFUNCTION("""COMPUTED_VALUE"""),25.4858)</f>
        <v>25.4858</v>
      </c>
      <c r="E32" s="3">
        <f>IFERROR(__xludf.DUMMYFUNCTION("""COMPUTED_VALUE"""),0.0)</f>
        <v>0</v>
      </c>
      <c r="F32" s="3">
        <f>IFERROR(__xludf.DUMMYFUNCTION("""COMPUTED_VALUE"""),0.0)</f>
        <v>0</v>
      </c>
      <c r="G32" s="3">
        <f>IFERROR(__xludf.DUMMYFUNCTION("""COMPUTED_VALUE"""),0.0)</f>
        <v>0</v>
      </c>
      <c r="H32" s="3">
        <f>IFERROR(__xludf.DUMMYFUNCTION("""COMPUTED_VALUE"""),0.0)</f>
        <v>0</v>
      </c>
      <c r="I32" s="3">
        <f>IFERROR(__xludf.DUMMYFUNCTION("""COMPUTED_VALUE"""),0.0)</f>
        <v>0</v>
      </c>
      <c r="J32" s="3">
        <f>IFERROR(__xludf.DUMMYFUNCTION("""COMPUTED_VALUE"""),0.0)</f>
        <v>0</v>
      </c>
      <c r="K32" s="3">
        <f>IFERROR(__xludf.DUMMYFUNCTION("""COMPUTED_VALUE"""),0.0)</f>
        <v>0</v>
      </c>
      <c r="L32" s="3">
        <f>IFERROR(__xludf.DUMMYFUNCTION("""COMPUTED_VALUE"""),0.0)</f>
        <v>0</v>
      </c>
      <c r="M32" s="3">
        <f>IFERROR(__xludf.DUMMYFUNCTION("""COMPUTED_VALUE"""),0.0)</f>
        <v>0</v>
      </c>
      <c r="N32" s="3">
        <f>IFERROR(__xludf.DUMMYFUNCTION("""COMPUTED_VALUE"""),0.0)</f>
        <v>0</v>
      </c>
      <c r="O32" s="3">
        <f>IFERROR(__xludf.DUMMYFUNCTION("""COMPUTED_VALUE"""),0.0)</f>
        <v>0</v>
      </c>
      <c r="P32" s="3">
        <f>IFERROR(__xludf.DUMMYFUNCTION("""COMPUTED_VALUE"""),0.0)</f>
        <v>0</v>
      </c>
      <c r="Q32" s="3">
        <f>IFERROR(__xludf.DUMMYFUNCTION("""COMPUTED_VALUE"""),0.0)</f>
        <v>0</v>
      </c>
      <c r="R32" s="3">
        <f>IFERROR(__xludf.DUMMYFUNCTION("""COMPUTED_VALUE"""),0.0)</f>
        <v>0</v>
      </c>
      <c r="S32" s="3">
        <f>IFERROR(__xludf.DUMMYFUNCTION("""COMPUTED_VALUE"""),0.0)</f>
        <v>0</v>
      </c>
      <c r="T32" s="3">
        <f>IFERROR(__xludf.DUMMYFUNCTION("""COMPUTED_VALUE"""),0.0)</f>
        <v>0</v>
      </c>
      <c r="U32" s="3">
        <f>IFERROR(__xludf.DUMMYFUNCTION("""COMPUTED_VALUE"""),0.0)</f>
        <v>0</v>
      </c>
      <c r="V32" s="3">
        <f>IFERROR(__xludf.DUMMYFUNCTION("""COMPUTED_VALUE"""),0.0)</f>
        <v>0</v>
      </c>
      <c r="W32" s="3">
        <f>IFERROR(__xludf.DUMMYFUNCTION("""COMPUTED_VALUE"""),0.0)</f>
        <v>0</v>
      </c>
      <c r="X32" s="3">
        <f>IFERROR(__xludf.DUMMYFUNCTION("""COMPUTED_VALUE"""),0.0)</f>
        <v>0</v>
      </c>
      <c r="Y32" s="3">
        <f>IFERROR(__xludf.DUMMYFUNCTION("""COMPUTED_VALUE"""),0.0)</f>
        <v>0</v>
      </c>
      <c r="Z32" s="3">
        <f>IFERROR(__xludf.DUMMYFUNCTION("""COMPUTED_VALUE"""),0.0)</f>
        <v>0</v>
      </c>
      <c r="AA32" s="3">
        <f>IFERROR(__xludf.DUMMYFUNCTION("""COMPUTED_VALUE"""),0.0)</f>
        <v>0</v>
      </c>
      <c r="AB32" s="3">
        <f>IFERROR(__xludf.DUMMYFUNCTION("""COMPUTED_VALUE"""),0.0)</f>
        <v>0</v>
      </c>
      <c r="AC32" s="3">
        <f>IFERROR(__xludf.DUMMYFUNCTION("""COMPUTED_VALUE"""),0.0)</f>
        <v>0</v>
      </c>
      <c r="AD32" s="3">
        <f>IFERROR(__xludf.DUMMYFUNCTION("""COMPUTED_VALUE"""),0.0)</f>
        <v>0</v>
      </c>
      <c r="AE32" s="3">
        <f>IFERROR(__xludf.DUMMYFUNCTION("""COMPUTED_VALUE"""),0.0)</f>
        <v>0</v>
      </c>
      <c r="AF32" s="3">
        <f>IFERROR(__xludf.DUMMYFUNCTION("""COMPUTED_VALUE"""),0.0)</f>
        <v>0</v>
      </c>
      <c r="AG32" s="3">
        <f>IFERROR(__xludf.DUMMYFUNCTION("""COMPUTED_VALUE"""),0.0)</f>
        <v>0</v>
      </c>
      <c r="AH32" s="3">
        <f>IFERROR(__xludf.DUMMYFUNCTION("""COMPUTED_VALUE"""),0.0)</f>
        <v>0</v>
      </c>
      <c r="AI32" s="3">
        <f>IFERROR(__xludf.DUMMYFUNCTION("""COMPUTED_VALUE"""),0.0)</f>
        <v>0</v>
      </c>
      <c r="AJ32" s="3">
        <f>IFERROR(__xludf.DUMMYFUNCTION("""COMPUTED_VALUE"""),0.0)</f>
        <v>0</v>
      </c>
      <c r="AK32" s="3">
        <f>IFERROR(__xludf.DUMMYFUNCTION("""COMPUTED_VALUE"""),0.0)</f>
        <v>0</v>
      </c>
      <c r="AL32" s="3">
        <f>IFERROR(__xludf.DUMMYFUNCTION("""COMPUTED_VALUE"""),0.0)</f>
        <v>0</v>
      </c>
      <c r="AM32" s="3">
        <f>IFERROR(__xludf.DUMMYFUNCTION("""COMPUTED_VALUE"""),0.0)</f>
        <v>0</v>
      </c>
      <c r="AN32" s="3">
        <f>IFERROR(__xludf.DUMMYFUNCTION("""COMPUTED_VALUE"""),0.0)</f>
        <v>0</v>
      </c>
      <c r="AO32" s="3">
        <f>IFERROR(__xludf.DUMMYFUNCTION("""COMPUTED_VALUE"""),0.0)</f>
        <v>0</v>
      </c>
      <c r="AP32" s="3">
        <f>IFERROR(__xludf.DUMMYFUNCTION("""COMPUTED_VALUE"""),0.0)</f>
        <v>0</v>
      </c>
      <c r="AQ32" s="3">
        <f>IFERROR(__xludf.DUMMYFUNCTION("""COMPUTED_VALUE"""),0.0)</f>
        <v>0</v>
      </c>
      <c r="AR32" s="3">
        <f>IFERROR(__xludf.DUMMYFUNCTION("""COMPUTED_VALUE"""),0.0)</f>
        <v>0</v>
      </c>
      <c r="AS32" s="3">
        <f>IFERROR(__xludf.DUMMYFUNCTION("""COMPUTED_VALUE"""),0.0)</f>
        <v>0</v>
      </c>
      <c r="AT32" s="3">
        <f>IFERROR(__xludf.DUMMYFUNCTION("""COMPUTED_VALUE"""),0.0)</f>
        <v>0</v>
      </c>
      <c r="AU32" s="3">
        <f>IFERROR(__xludf.DUMMYFUNCTION("""COMPUTED_VALUE"""),0.0)</f>
        <v>0</v>
      </c>
      <c r="AV32" s="3">
        <f>IFERROR(__xludf.DUMMYFUNCTION("""COMPUTED_VALUE"""),0.0)</f>
        <v>0</v>
      </c>
      <c r="AW32" s="3">
        <f>IFERROR(__xludf.DUMMYFUNCTION("""COMPUTED_VALUE"""),0.0)</f>
        <v>0</v>
      </c>
      <c r="AX32" s="3">
        <f>IFERROR(__xludf.DUMMYFUNCTION("""COMPUTED_VALUE"""),0.0)</f>
        <v>0</v>
      </c>
      <c r="AY32" s="3">
        <f>IFERROR(__xludf.DUMMYFUNCTION("""COMPUTED_VALUE"""),4.0)</f>
        <v>4</v>
      </c>
      <c r="AZ32" s="3">
        <f>IFERROR(__xludf.DUMMYFUNCTION("""COMPUTED_VALUE"""),4.0)</f>
        <v>4</v>
      </c>
      <c r="BA32" s="3">
        <f>IFERROR(__xludf.DUMMYFUNCTION("""COMPUTED_VALUE"""),4.0)</f>
        <v>4</v>
      </c>
      <c r="BB32" s="3">
        <f>IFERROR(__xludf.DUMMYFUNCTION("""COMPUTED_VALUE"""),7.0)</f>
        <v>7</v>
      </c>
      <c r="BC32" s="3">
        <f>IFERROR(__xludf.DUMMYFUNCTION("""COMPUTED_VALUE"""),7.0)</f>
        <v>7</v>
      </c>
      <c r="BD32" s="3">
        <f>IFERROR(__xludf.DUMMYFUNCTION("""COMPUTED_VALUE"""),23.0)</f>
        <v>23</v>
      </c>
      <c r="BE32" s="3">
        <f>IFERROR(__xludf.DUMMYFUNCTION("""COMPUTED_VALUE"""),41.0)</f>
        <v>41</v>
      </c>
      <c r="BF32" s="3">
        <f>IFERROR(__xludf.DUMMYFUNCTION("""COMPUTED_VALUE"""),51.0)</f>
        <v>51</v>
      </c>
      <c r="BG32" s="3">
        <f>IFERROR(__xludf.DUMMYFUNCTION("""COMPUTED_VALUE"""),52.0)</f>
        <v>52</v>
      </c>
      <c r="BH32" s="3">
        <f>IFERROR(__xludf.DUMMYFUNCTION("""COMPUTED_VALUE"""),67.0)</f>
        <v>67</v>
      </c>
      <c r="BI32" s="3">
        <f>IFERROR(__xludf.DUMMYFUNCTION("""COMPUTED_VALUE"""),92.0)</f>
        <v>92</v>
      </c>
      <c r="BJ32" s="3">
        <f>IFERROR(__xludf.DUMMYFUNCTION("""COMPUTED_VALUE"""),94.0)</f>
        <v>94</v>
      </c>
      <c r="BK32" s="3">
        <f>IFERROR(__xludf.DUMMYFUNCTION("""COMPUTED_VALUE"""),127.0)</f>
        <v>127</v>
      </c>
      <c r="BL32" s="3">
        <f>IFERROR(__xludf.DUMMYFUNCTION("""COMPUTED_VALUE"""),163.0)</f>
        <v>163</v>
      </c>
      <c r="BM32" s="3">
        <f>IFERROR(__xludf.DUMMYFUNCTION("""COMPUTED_VALUE"""),187.0)</f>
        <v>187</v>
      </c>
      <c r="BN32" s="3">
        <f>IFERROR(__xludf.DUMMYFUNCTION("""COMPUTED_VALUE"""),201.0)</f>
        <v>201</v>
      </c>
      <c r="BO32" s="3">
        <f>IFERROR(__xludf.DUMMYFUNCTION("""COMPUTED_VALUE"""),218.0)</f>
        <v>218</v>
      </c>
      <c r="BP32" s="3">
        <f>IFERROR(__xludf.DUMMYFUNCTION("""COMPUTED_VALUE"""),242.0)</f>
        <v>242</v>
      </c>
      <c r="BQ32" s="3">
        <f>IFERROR(__xludf.DUMMYFUNCTION("""COMPUTED_VALUE"""),264.0)</f>
        <v>264</v>
      </c>
      <c r="BR32" s="3">
        <f>IFERROR(__xludf.DUMMYFUNCTION("""COMPUTED_VALUE"""),293.0)</f>
        <v>293</v>
      </c>
      <c r="BS32" s="3">
        <f>IFERROR(__xludf.DUMMYFUNCTION("""COMPUTED_VALUE"""),331.0)</f>
        <v>331</v>
      </c>
      <c r="BT32" s="3">
        <f>IFERROR(__xludf.DUMMYFUNCTION("""COMPUTED_VALUE"""),346.0)</f>
        <v>346</v>
      </c>
      <c r="BU32" s="3">
        <f>IFERROR(__xludf.DUMMYFUNCTION("""COMPUTED_VALUE"""),359.0)</f>
        <v>359</v>
      </c>
      <c r="BV32" s="3">
        <f>IFERROR(__xludf.DUMMYFUNCTION("""COMPUTED_VALUE"""),399.0)</f>
        <v>399</v>
      </c>
      <c r="BW32" s="3">
        <f>IFERROR(__xludf.DUMMYFUNCTION("""COMPUTED_VALUE"""),422.0)</f>
        <v>422</v>
      </c>
      <c r="BX32" s="3">
        <f>IFERROR(__xludf.DUMMYFUNCTION("""COMPUTED_VALUE"""),457.0)</f>
        <v>457</v>
      </c>
      <c r="BY32" s="3">
        <f>IFERROR(__xludf.DUMMYFUNCTION("""COMPUTED_VALUE"""),485.0)</f>
        <v>485</v>
      </c>
      <c r="BZ32" s="3">
        <f>IFERROR(__xludf.DUMMYFUNCTION("""COMPUTED_VALUE"""),503.0)</f>
        <v>503</v>
      </c>
      <c r="CA32" s="3">
        <f>IFERROR(__xludf.DUMMYFUNCTION("""COMPUTED_VALUE"""),531.0)</f>
        <v>531</v>
      </c>
      <c r="CB32" s="3">
        <f>IFERROR(__xludf.DUMMYFUNCTION("""COMPUTED_VALUE"""),549.0)</f>
        <v>549</v>
      </c>
    </row>
    <row r="33">
      <c r="A33" s="3" t="str">
        <f>IFERROR(__xludf.DUMMYFUNCTION("""COMPUTED_VALUE"""),"")</f>
        <v/>
      </c>
      <c r="B33" s="3" t="str">
        <f>IFERROR(__xludf.DUMMYFUNCTION("""COMPUTED_VALUE"""),"Burkina Faso")</f>
        <v>Burkina Faso</v>
      </c>
      <c r="C33" s="3">
        <f>IFERROR(__xludf.DUMMYFUNCTION("""COMPUTED_VALUE"""),12.2383)</f>
        <v>12.2383</v>
      </c>
      <c r="D33" s="3">
        <f>IFERROR(__xludf.DUMMYFUNCTION("""COMPUTED_VALUE"""),-1.5616)</f>
        <v>-1.5616</v>
      </c>
      <c r="E33" s="3">
        <f>IFERROR(__xludf.DUMMYFUNCTION("""COMPUTED_VALUE"""),0.0)</f>
        <v>0</v>
      </c>
      <c r="F33" s="3">
        <f>IFERROR(__xludf.DUMMYFUNCTION("""COMPUTED_VALUE"""),0.0)</f>
        <v>0</v>
      </c>
      <c r="G33" s="3">
        <f>IFERROR(__xludf.DUMMYFUNCTION("""COMPUTED_VALUE"""),0.0)</f>
        <v>0</v>
      </c>
      <c r="H33" s="3">
        <f>IFERROR(__xludf.DUMMYFUNCTION("""COMPUTED_VALUE"""),0.0)</f>
        <v>0</v>
      </c>
      <c r="I33" s="3">
        <f>IFERROR(__xludf.DUMMYFUNCTION("""COMPUTED_VALUE"""),0.0)</f>
        <v>0</v>
      </c>
      <c r="J33" s="3">
        <f>IFERROR(__xludf.DUMMYFUNCTION("""COMPUTED_VALUE"""),0.0)</f>
        <v>0</v>
      </c>
      <c r="K33" s="3">
        <f>IFERROR(__xludf.DUMMYFUNCTION("""COMPUTED_VALUE"""),0.0)</f>
        <v>0</v>
      </c>
      <c r="L33" s="3">
        <f>IFERROR(__xludf.DUMMYFUNCTION("""COMPUTED_VALUE"""),0.0)</f>
        <v>0</v>
      </c>
      <c r="M33" s="3">
        <f>IFERROR(__xludf.DUMMYFUNCTION("""COMPUTED_VALUE"""),0.0)</f>
        <v>0</v>
      </c>
      <c r="N33" s="3">
        <f>IFERROR(__xludf.DUMMYFUNCTION("""COMPUTED_VALUE"""),0.0)</f>
        <v>0</v>
      </c>
      <c r="O33" s="3">
        <f>IFERROR(__xludf.DUMMYFUNCTION("""COMPUTED_VALUE"""),0.0)</f>
        <v>0</v>
      </c>
      <c r="P33" s="3">
        <f>IFERROR(__xludf.DUMMYFUNCTION("""COMPUTED_VALUE"""),0.0)</f>
        <v>0</v>
      </c>
      <c r="Q33" s="3">
        <f>IFERROR(__xludf.DUMMYFUNCTION("""COMPUTED_VALUE"""),0.0)</f>
        <v>0</v>
      </c>
      <c r="R33" s="3">
        <f>IFERROR(__xludf.DUMMYFUNCTION("""COMPUTED_VALUE"""),0.0)</f>
        <v>0</v>
      </c>
      <c r="S33" s="3">
        <f>IFERROR(__xludf.DUMMYFUNCTION("""COMPUTED_VALUE"""),0.0)</f>
        <v>0</v>
      </c>
      <c r="T33" s="3">
        <f>IFERROR(__xludf.DUMMYFUNCTION("""COMPUTED_VALUE"""),0.0)</f>
        <v>0</v>
      </c>
      <c r="U33" s="3">
        <f>IFERROR(__xludf.DUMMYFUNCTION("""COMPUTED_VALUE"""),0.0)</f>
        <v>0</v>
      </c>
      <c r="V33" s="3">
        <f>IFERROR(__xludf.DUMMYFUNCTION("""COMPUTED_VALUE"""),0.0)</f>
        <v>0</v>
      </c>
      <c r="W33" s="3">
        <f>IFERROR(__xludf.DUMMYFUNCTION("""COMPUTED_VALUE"""),0.0)</f>
        <v>0</v>
      </c>
      <c r="X33" s="3">
        <f>IFERROR(__xludf.DUMMYFUNCTION("""COMPUTED_VALUE"""),0.0)</f>
        <v>0</v>
      </c>
      <c r="Y33" s="3">
        <f>IFERROR(__xludf.DUMMYFUNCTION("""COMPUTED_VALUE"""),0.0)</f>
        <v>0</v>
      </c>
      <c r="Z33" s="3">
        <f>IFERROR(__xludf.DUMMYFUNCTION("""COMPUTED_VALUE"""),0.0)</f>
        <v>0</v>
      </c>
      <c r="AA33" s="3">
        <f>IFERROR(__xludf.DUMMYFUNCTION("""COMPUTED_VALUE"""),0.0)</f>
        <v>0</v>
      </c>
      <c r="AB33" s="3">
        <f>IFERROR(__xludf.DUMMYFUNCTION("""COMPUTED_VALUE"""),0.0)</f>
        <v>0</v>
      </c>
      <c r="AC33" s="3">
        <f>IFERROR(__xludf.DUMMYFUNCTION("""COMPUTED_VALUE"""),0.0)</f>
        <v>0</v>
      </c>
      <c r="AD33" s="3">
        <f>IFERROR(__xludf.DUMMYFUNCTION("""COMPUTED_VALUE"""),0.0)</f>
        <v>0</v>
      </c>
      <c r="AE33" s="3">
        <f>IFERROR(__xludf.DUMMYFUNCTION("""COMPUTED_VALUE"""),0.0)</f>
        <v>0</v>
      </c>
      <c r="AF33" s="3">
        <f>IFERROR(__xludf.DUMMYFUNCTION("""COMPUTED_VALUE"""),0.0)</f>
        <v>0</v>
      </c>
      <c r="AG33" s="3">
        <f>IFERROR(__xludf.DUMMYFUNCTION("""COMPUTED_VALUE"""),0.0)</f>
        <v>0</v>
      </c>
      <c r="AH33" s="3">
        <f>IFERROR(__xludf.DUMMYFUNCTION("""COMPUTED_VALUE"""),0.0)</f>
        <v>0</v>
      </c>
      <c r="AI33" s="3">
        <f>IFERROR(__xludf.DUMMYFUNCTION("""COMPUTED_VALUE"""),0.0)</f>
        <v>0</v>
      </c>
      <c r="AJ33" s="3">
        <f>IFERROR(__xludf.DUMMYFUNCTION("""COMPUTED_VALUE"""),0.0)</f>
        <v>0</v>
      </c>
      <c r="AK33" s="3">
        <f>IFERROR(__xludf.DUMMYFUNCTION("""COMPUTED_VALUE"""),0.0)</f>
        <v>0</v>
      </c>
      <c r="AL33" s="3">
        <f>IFERROR(__xludf.DUMMYFUNCTION("""COMPUTED_VALUE"""),0.0)</f>
        <v>0</v>
      </c>
      <c r="AM33" s="3">
        <f>IFERROR(__xludf.DUMMYFUNCTION("""COMPUTED_VALUE"""),0.0)</f>
        <v>0</v>
      </c>
      <c r="AN33" s="3">
        <f>IFERROR(__xludf.DUMMYFUNCTION("""COMPUTED_VALUE"""),0.0)</f>
        <v>0</v>
      </c>
      <c r="AO33" s="3">
        <f>IFERROR(__xludf.DUMMYFUNCTION("""COMPUTED_VALUE"""),0.0)</f>
        <v>0</v>
      </c>
      <c r="AP33" s="3">
        <f>IFERROR(__xludf.DUMMYFUNCTION("""COMPUTED_VALUE"""),0.0)</f>
        <v>0</v>
      </c>
      <c r="AQ33" s="3">
        <f>IFERROR(__xludf.DUMMYFUNCTION("""COMPUTED_VALUE"""),0.0)</f>
        <v>0</v>
      </c>
      <c r="AR33" s="3">
        <f>IFERROR(__xludf.DUMMYFUNCTION("""COMPUTED_VALUE"""),0.0)</f>
        <v>0</v>
      </c>
      <c r="AS33" s="3">
        <f>IFERROR(__xludf.DUMMYFUNCTION("""COMPUTED_VALUE"""),0.0)</f>
        <v>0</v>
      </c>
      <c r="AT33" s="3">
        <f>IFERROR(__xludf.DUMMYFUNCTION("""COMPUTED_VALUE"""),0.0)</f>
        <v>0</v>
      </c>
      <c r="AU33" s="3">
        <f>IFERROR(__xludf.DUMMYFUNCTION("""COMPUTED_VALUE"""),0.0)</f>
        <v>0</v>
      </c>
      <c r="AV33" s="3">
        <f>IFERROR(__xludf.DUMMYFUNCTION("""COMPUTED_VALUE"""),0.0)</f>
        <v>0</v>
      </c>
      <c r="AW33" s="3">
        <f>IFERROR(__xludf.DUMMYFUNCTION("""COMPUTED_VALUE"""),0.0)</f>
        <v>0</v>
      </c>
      <c r="AX33" s="3">
        <f>IFERROR(__xludf.DUMMYFUNCTION("""COMPUTED_VALUE"""),0.0)</f>
        <v>0</v>
      </c>
      <c r="AY33" s="3">
        <f>IFERROR(__xludf.DUMMYFUNCTION("""COMPUTED_VALUE"""),0.0)</f>
        <v>0</v>
      </c>
      <c r="AZ33" s="3">
        <f>IFERROR(__xludf.DUMMYFUNCTION("""COMPUTED_VALUE"""),0.0)</f>
        <v>0</v>
      </c>
      <c r="BA33" s="3">
        <f>IFERROR(__xludf.DUMMYFUNCTION("""COMPUTED_VALUE"""),1.0)</f>
        <v>1</v>
      </c>
      <c r="BB33" s="3">
        <f>IFERROR(__xludf.DUMMYFUNCTION("""COMPUTED_VALUE"""),2.0)</f>
        <v>2</v>
      </c>
      <c r="BC33" s="3">
        <f>IFERROR(__xludf.DUMMYFUNCTION("""COMPUTED_VALUE"""),2.0)</f>
        <v>2</v>
      </c>
      <c r="BD33" s="3">
        <f>IFERROR(__xludf.DUMMYFUNCTION("""COMPUTED_VALUE"""),2.0)</f>
        <v>2</v>
      </c>
      <c r="BE33" s="3">
        <f>IFERROR(__xludf.DUMMYFUNCTION("""COMPUTED_VALUE"""),2.0)</f>
        <v>2</v>
      </c>
      <c r="BF33" s="3">
        <f>IFERROR(__xludf.DUMMYFUNCTION("""COMPUTED_VALUE"""),3.0)</f>
        <v>3</v>
      </c>
      <c r="BG33" s="3">
        <f>IFERROR(__xludf.DUMMYFUNCTION("""COMPUTED_VALUE"""),15.0)</f>
        <v>15</v>
      </c>
      <c r="BH33" s="3">
        <f>IFERROR(__xludf.DUMMYFUNCTION("""COMPUTED_VALUE"""),15.0)</f>
        <v>15</v>
      </c>
      <c r="BI33" s="3">
        <f>IFERROR(__xludf.DUMMYFUNCTION("""COMPUTED_VALUE"""),20.0)</f>
        <v>20</v>
      </c>
      <c r="BJ33" s="3">
        <f>IFERROR(__xludf.DUMMYFUNCTION("""COMPUTED_VALUE"""),33.0)</f>
        <v>33</v>
      </c>
      <c r="BK33" s="3">
        <f>IFERROR(__xludf.DUMMYFUNCTION("""COMPUTED_VALUE"""),40.0)</f>
        <v>40</v>
      </c>
      <c r="BL33" s="3">
        <f>IFERROR(__xludf.DUMMYFUNCTION("""COMPUTED_VALUE"""),64.0)</f>
        <v>64</v>
      </c>
      <c r="BM33" s="3">
        <f>IFERROR(__xludf.DUMMYFUNCTION("""COMPUTED_VALUE"""),75.0)</f>
        <v>75</v>
      </c>
      <c r="BN33" s="3">
        <f>IFERROR(__xludf.DUMMYFUNCTION("""COMPUTED_VALUE"""),99.0)</f>
        <v>99</v>
      </c>
      <c r="BO33" s="3">
        <f>IFERROR(__xludf.DUMMYFUNCTION("""COMPUTED_VALUE"""),114.0)</f>
        <v>114</v>
      </c>
      <c r="BP33" s="3">
        <f>IFERROR(__xludf.DUMMYFUNCTION("""COMPUTED_VALUE"""),146.0)</f>
        <v>146</v>
      </c>
      <c r="BQ33" s="3">
        <f>IFERROR(__xludf.DUMMYFUNCTION("""COMPUTED_VALUE"""),152.0)</f>
        <v>152</v>
      </c>
      <c r="BR33" s="3">
        <f>IFERROR(__xludf.DUMMYFUNCTION("""COMPUTED_VALUE"""),180.0)</f>
        <v>180</v>
      </c>
      <c r="BS33" s="3">
        <f>IFERROR(__xludf.DUMMYFUNCTION("""COMPUTED_VALUE"""),207.0)</f>
        <v>207</v>
      </c>
      <c r="BT33" s="3">
        <f>IFERROR(__xludf.DUMMYFUNCTION("""COMPUTED_VALUE"""),222.0)</f>
        <v>222</v>
      </c>
      <c r="BU33" s="3">
        <f>IFERROR(__xludf.DUMMYFUNCTION("""COMPUTED_VALUE"""),246.0)</f>
        <v>246</v>
      </c>
      <c r="BV33" s="3">
        <f>IFERROR(__xludf.DUMMYFUNCTION("""COMPUTED_VALUE"""),261.0)</f>
        <v>261</v>
      </c>
      <c r="BW33" s="3">
        <f>IFERROR(__xludf.DUMMYFUNCTION("""COMPUTED_VALUE"""),282.0)</f>
        <v>282</v>
      </c>
      <c r="BX33" s="3">
        <f>IFERROR(__xludf.DUMMYFUNCTION("""COMPUTED_VALUE"""),288.0)</f>
        <v>288</v>
      </c>
      <c r="BY33" s="3">
        <f>IFERROR(__xludf.DUMMYFUNCTION("""COMPUTED_VALUE"""),302.0)</f>
        <v>302</v>
      </c>
      <c r="BZ33" s="3">
        <f>IFERROR(__xludf.DUMMYFUNCTION("""COMPUTED_VALUE"""),318.0)</f>
        <v>318</v>
      </c>
      <c r="CA33" s="3">
        <f>IFERROR(__xludf.DUMMYFUNCTION("""COMPUTED_VALUE"""),345.0)</f>
        <v>345</v>
      </c>
      <c r="CB33" s="3">
        <f>IFERROR(__xludf.DUMMYFUNCTION("""COMPUTED_VALUE"""),364.0)</f>
        <v>364</v>
      </c>
    </row>
    <row r="34">
      <c r="A34" s="3" t="str">
        <f>IFERROR(__xludf.DUMMYFUNCTION("""COMPUTED_VALUE"""),"")</f>
        <v/>
      </c>
      <c r="B34" s="3" t="str">
        <f>IFERROR(__xludf.DUMMYFUNCTION("""COMPUTED_VALUE"""),"Cabo Verde")</f>
        <v>Cabo Verde</v>
      </c>
      <c r="C34" s="3">
        <f>IFERROR(__xludf.DUMMYFUNCTION("""COMPUTED_VALUE"""),16.5388)</f>
        <v>16.5388</v>
      </c>
      <c r="D34" s="3">
        <f>IFERROR(__xludf.DUMMYFUNCTION("""COMPUTED_VALUE"""),-23.0418)</f>
        <v>-23.0418</v>
      </c>
      <c r="E34" s="3">
        <f>IFERROR(__xludf.DUMMYFUNCTION("""COMPUTED_VALUE"""),0.0)</f>
        <v>0</v>
      </c>
      <c r="F34" s="3">
        <f>IFERROR(__xludf.DUMMYFUNCTION("""COMPUTED_VALUE"""),0.0)</f>
        <v>0</v>
      </c>
      <c r="G34" s="3">
        <f>IFERROR(__xludf.DUMMYFUNCTION("""COMPUTED_VALUE"""),0.0)</f>
        <v>0</v>
      </c>
      <c r="H34" s="3">
        <f>IFERROR(__xludf.DUMMYFUNCTION("""COMPUTED_VALUE"""),0.0)</f>
        <v>0</v>
      </c>
      <c r="I34" s="3">
        <f>IFERROR(__xludf.DUMMYFUNCTION("""COMPUTED_VALUE"""),0.0)</f>
        <v>0</v>
      </c>
      <c r="J34" s="3">
        <f>IFERROR(__xludf.DUMMYFUNCTION("""COMPUTED_VALUE"""),0.0)</f>
        <v>0</v>
      </c>
      <c r="K34" s="3">
        <f>IFERROR(__xludf.DUMMYFUNCTION("""COMPUTED_VALUE"""),0.0)</f>
        <v>0</v>
      </c>
      <c r="L34" s="3">
        <f>IFERROR(__xludf.DUMMYFUNCTION("""COMPUTED_VALUE"""),0.0)</f>
        <v>0</v>
      </c>
      <c r="M34" s="3">
        <f>IFERROR(__xludf.DUMMYFUNCTION("""COMPUTED_VALUE"""),0.0)</f>
        <v>0</v>
      </c>
      <c r="N34" s="3">
        <f>IFERROR(__xludf.DUMMYFUNCTION("""COMPUTED_VALUE"""),0.0)</f>
        <v>0</v>
      </c>
      <c r="O34" s="3">
        <f>IFERROR(__xludf.DUMMYFUNCTION("""COMPUTED_VALUE"""),0.0)</f>
        <v>0</v>
      </c>
      <c r="P34" s="3">
        <f>IFERROR(__xludf.DUMMYFUNCTION("""COMPUTED_VALUE"""),0.0)</f>
        <v>0</v>
      </c>
      <c r="Q34" s="3">
        <f>IFERROR(__xludf.DUMMYFUNCTION("""COMPUTED_VALUE"""),0.0)</f>
        <v>0</v>
      </c>
      <c r="R34" s="3">
        <f>IFERROR(__xludf.DUMMYFUNCTION("""COMPUTED_VALUE"""),0.0)</f>
        <v>0</v>
      </c>
      <c r="S34" s="3">
        <f>IFERROR(__xludf.DUMMYFUNCTION("""COMPUTED_VALUE"""),0.0)</f>
        <v>0</v>
      </c>
      <c r="T34" s="3">
        <f>IFERROR(__xludf.DUMMYFUNCTION("""COMPUTED_VALUE"""),0.0)</f>
        <v>0</v>
      </c>
      <c r="U34" s="3">
        <f>IFERROR(__xludf.DUMMYFUNCTION("""COMPUTED_VALUE"""),0.0)</f>
        <v>0</v>
      </c>
      <c r="V34" s="3">
        <f>IFERROR(__xludf.DUMMYFUNCTION("""COMPUTED_VALUE"""),0.0)</f>
        <v>0</v>
      </c>
      <c r="W34" s="3">
        <f>IFERROR(__xludf.DUMMYFUNCTION("""COMPUTED_VALUE"""),0.0)</f>
        <v>0</v>
      </c>
      <c r="X34" s="3">
        <f>IFERROR(__xludf.DUMMYFUNCTION("""COMPUTED_VALUE"""),0.0)</f>
        <v>0</v>
      </c>
      <c r="Y34" s="3">
        <f>IFERROR(__xludf.DUMMYFUNCTION("""COMPUTED_VALUE"""),0.0)</f>
        <v>0</v>
      </c>
      <c r="Z34" s="3">
        <f>IFERROR(__xludf.DUMMYFUNCTION("""COMPUTED_VALUE"""),0.0)</f>
        <v>0</v>
      </c>
      <c r="AA34" s="3">
        <f>IFERROR(__xludf.DUMMYFUNCTION("""COMPUTED_VALUE"""),0.0)</f>
        <v>0</v>
      </c>
      <c r="AB34" s="3">
        <f>IFERROR(__xludf.DUMMYFUNCTION("""COMPUTED_VALUE"""),0.0)</f>
        <v>0</v>
      </c>
      <c r="AC34" s="3">
        <f>IFERROR(__xludf.DUMMYFUNCTION("""COMPUTED_VALUE"""),0.0)</f>
        <v>0</v>
      </c>
      <c r="AD34" s="3">
        <f>IFERROR(__xludf.DUMMYFUNCTION("""COMPUTED_VALUE"""),0.0)</f>
        <v>0</v>
      </c>
      <c r="AE34" s="3">
        <f>IFERROR(__xludf.DUMMYFUNCTION("""COMPUTED_VALUE"""),0.0)</f>
        <v>0</v>
      </c>
      <c r="AF34" s="3">
        <f>IFERROR(__xludf.DUMMYFUNCTION("""COMPUTED_VALUE"""),0.0)</f>
        <v>0</v>
      </c>
      <c r="AG34" s="3">
        <f>IFERROR(__xludf.DUMMYFUNCTION("""COMPUTED_VALUE"""),0.0)</f>
        <v>0</v>
      </c>
      <c r="AH34" s="3">
        <f>IFERROR(__xludf.DUMMYFUNCTION("""COMPUTED_VALUE"""),0.0)</f>
        <v>0</v>
      </c>
      <c r="AI34" s="3">
        <f>IFERROR(__xludf.DUMMYFUNCTION("""COMPUTED_VALUE"""),0.0)</f>
        <v>0</v>
      </c>
      <c r="AJ34" s="3">
        <f>IFERROR(__xludf.DUMMYFUNCTION("""COMPUTED_VALUE"""),0.0)</f>
        <v>0</v>
      </c>
      <c r="AK34" s="3">
        <f>IFERROR(__xludf.DUMMYFUNCTION("""COMPUTED_VALUE"""),0.0)</f>
        <v>0</v>
      </c>
      <c r="AL34" s="3">
        <f>IFERROR(__xludf.DUMMYFUNCTION("""COMPUTED_VALUE"""),0.0)</f>
        <v>0</v>
      </c>
      <c r="AM34" s="3">
        <f>IFERROR(__xludf.DUMMYFUNCTION("""COMPUTED_VALUE"""),0.0)</f>
        <v>0</v>
      </c>
      <c r="AN34" s="3">
        <f>IFERROR(__xludf.DUMMYFUNCTION("""COMPUTED_VALUE"""),0.0)</f>
        <v>0</v>
      </c>
      <c r="AO34" s="3">
        <f>IFERROR(__xludf.DUMMYFUNCTION("""COMPUTED_VALUE"""),0.0)</f>
        <v>0</v>
      </c>
      <c r="AP34" s="3">
        <f>IFERROR(__xludf.DUMMYFUNCTION("""COMPUTED_VALUE"""),0.0)</f>
        <v>0</v>
      </c>
      <c r="AQ34" s="3">
        <f>IFERROR(__xludf.DUMMYFUNCTION("""COMPUTED_VALUE"""),0.0)</f>
        <v>0</v>
      </c>
      <c r="AR34" s="3">
        <f>IFERROR(__xludf.DUMMYFUNCTION("""COMPUTED_VALUE"""),0.0)</f>
        <v>0</v>
      </c>
      <c r="AS34" s="3">
        <f>IFERROR(__xludf.DUMMYFUNCTION("""COMPUTED_VALUE"""),0.0)</f>
        <v>0</v>
      </c>
      <c r="AT34" s="3">
        <f>IFERROR(__xludf.DUMMYFUNCTION("""COMPUTED_VALUE"""),0.0)</f>
        <v>0</v>
      </c>
      <c r="AU34" s="3">
        <f>IFERROR(__xludf.DUMMYFUNCTION("""COMPUTED_VALUE"""),0.0)</f>
        <v>0</v>
      </c>
      <c r="AV34" s="3">
        <f>IFERROR(__xludf.DUMMYFUNCTION("""COMPUTED_VALUE"""),0.0)</f>
        <v>0</v>
      </c>
      <c r="AW34" s="3">
        <f>IFERROR(__xludf.DUMMYFUNCTION("""COMPUTED_VALUE"""),0.0)</f>
        <v>0</v>
      </c>
      <c r="AX34" s="3">
        <f>IFERROR(__xludf.DUMMYFUNCTION("""COMPUTED_VALUE"""),0.0)</f>
        <v>0</v>
      </c>
      <c r="AY34" s="3">
        <f>IFERROR(__xludf.DUMMYFUNCTION("""COMPUTED_VALUE"""),0.0)</f>
        <v>0</v>
      </c>
      <c r="AZ34" s="3">
        <f>IFERROR(__xludf.DUMMYFUNCTION("""COMPUTED_VALUE"""),0.0)</f>
        <v>0</v>
      </c>
      <c r="BA34" s="3">
        <f>IFERROR(__xludf.DUMMYFUNCTION("""COMPUTED_VALUE"""),0.0)</f>
        <v>0</v>
      </c>
      <c r="BB34" s="3">
        <f>IFERROR(__xludf.DUMMYFUNCTION("""COMPUTED_VALUE"""),0.0)</f>
        <v>0</v>
      </c>
      <c r="BC34" s="3">
        <f>IFERROR(__xludf.DUMMYFUNCTION("""COMPUTED_VALUE"""),0.0)</f>
        <v>0</v>
      </c>
      <c r="BD34" s="3">
        <f>IFERROR(__xludf.DUMMYFUNCTION("""COMPUTED_VALUE"""),0.0)</f>
        <v>0</v>
      </c>
      <c r="BE34" s="3">
        <f>IFERROR(__xludf.DUMMYFUNCTION("""COMPUTED_VALUE"""),0.0)</f>
        <v>0</v>
      </c>
      <c r="BF34" s="3">
        <f>IFERROR(__xludf.DUMMYFUNCTION("""COMPUTED_VALUE"""),0.0)</f>
        <v>0</v>
      </c>
      <c r="BG34" s="3">
        <f>IFERROR(__xludf.DUMMYFUNCTION("""COMPUTED_VALUE"""),0.0)</f>
        <v>0</v>
      </c>
      <c r="BH34" s="3">
        <f>IFERROR(__xludf.DUMMYFUNCTION("""COMPUTED_VALUE"""),0.0)</f>
        <v>0</v>
      </c>
      <c r="BI34" s="3">
        <f>IFERROR(__xludf.DUMMYFUNCTION("""COMPUTED_VALUE"""),0.0)</f>
        <v>0</v>
      </c>
      <c r="BJ34" s="3">
        <f>IFERROR(__xludf.DUMMYFUNCTION("""COMPUTED_VALUE"""),0.0)</f>
        <v>0</v>
      </c>
      <c r="BK34" s="3">
        <f>IFERROR(__xludf.DUMMYFUNCTION("""COMPUTED_VALUE"""),1.0)</f>
        <v>1</v>
      </c>
      <c r="BL34" s="3">
        <f>IFERROR(__xludf.DUMMYFUNCTION("""COMPUTED_VALUE"""),3.0)</f>
        <v>3</v>
      </c>
      <c r="BM34" s="3">
        <f>IFERROR(__xludf.DUMMYFUNCTION("""COMPUTED_VALUE"""),3.0)</f>
        <v>3</v>
      </c>
      <c r="BN34" s="3">
        <f>IFERROR(__xludf.DUMMYFUNCTION("""COMPUTED_VALUE"""),3.0)</f>
        <v>3</v>
      </c>
      <c r="BO34" s="3">
        <f>IFERROR(__xludf.DUMMYFUNCTION("""COMPUTED_VALUE"""),3.0)</f>
        <v>3</v>
      </c>
      <c r="BP34" s="3">
        <f>IFERROR(__xludf.DUMMYFUNCTION("""COMPUTED_VALUE"""),4.0)</f>
        <v>4</v>
      </c>
      <c r="BQ34" s="3">
        <f>IFERROR(__xludf.DUMMYFUNCTION("""COMPUTED_VALUE"""),4.0)</f>
        <v>4</v>
      </c>
      <c r="BR34" s="3">
        <f>IFERROR(__xludf.DUMMYFUNCTION("""COMPUTED_VALUE"""),5.0)</f>
        <v>5</v>
      </c>
      <c r="BS34" s="3">
        <f>IFERROR(__xludf.DUMMYFUNCTION("""COMPUTED_VALUE"""),5.0)</f>
        <v>5</v>
      </c>
      <c r="BT34" s="3">
        <f>IFERROR(__xludf.DUMMYFUNCTION("""COMPUTED_VALUE"""),6.0)</f>
        <v>6</v>
      </c>
      <c r="BU34" s="3">
        <f>IFERROR(__xludf.DUMMYFUNCTION("""COMPUTED_VALUE"""),6.0)</f>
        <v>6</v>
      </c>
      <c r="BV34" s="3">
        <f>IFERROR(__xludf.DUMMYFUNCTION("""COMPUTED_VALUE"""),6.0)</f>
        <v>6</v>
      </c>
      <c r="BW34" s="3">
        <f>IFERROR(__xludf.DUMMYFUNCTION("""COMPUTED_VALUE"""),6.0)</f>
        <v>6</v>
      </c>
      <c r="BX34" s="3">
        <f>IFERROR(__xludf.DUMMYFUNCTION("""COMPUTED_VALUE"""),6.0)</f>
        <v>6</v>
      </c>
      <c r="BY34" s="3">
        <f>IFERROR(__xludf.DUMMYFUNCTION("""COMPUTED_VALUE"""),6.0)</f>
        <v>6</v>
      </c>
      <c r="BZ34" s="3">
        <f>IFERROR(__xludf.DUMMYFUNCTION("""COMPUTED_VALUE"""),7.0)</f>
        <v>7</v>
      </c>
      <c r="CA34" s="3">
        <f>IFERROR(__xludf.DUMMYFUNCTION("""COMPUTED_VALUE"""),7.0)</f>
        <v>7</v>
      </c>
      <c r="CB34" s="3">
        <f>IFERROR(__xludf.DUMMYFUNCTION("""COMPUTED_VALUE"""),7.0)</f>
        <v>7</v>
      </c>
    </row>
    <row r="35">
      <c r="A35" s="3" t="str">
        <f>IFERROR(__xludf.DUMMYFUNCTION("""COMPUTED_VALUE"""),"")</f>
        <v/>
      </c>
      <c r="B35" s="3" t="str">
        <f>IFERROR(__xludf.DUMMYFUNCTION("""COMPUTED_VALUE"""),"Cambodia")</f>
        <v>Cambodia</v>
      </c>
      <c r="C35" s="3">
        <f>IFERROR(__xludf.DUMMYFUNCTION("""COMPUTED_VALUE"""),11.55)</f>
        <v>11.55</v>
      </c>
      <c r="D35" s="3">
        <f>IFERROR(__xludf.DUMMYFUNCTION("""COMPUTED_VALUE"""),104.9167)</f>
        <v>104.9167</v>
      </c>
      <c r="E35" s="3">
        <f>IFERROR(__xludf.DUMMYFUNCTION("""COMPUTED_VALUE"""),0.0)</f>
        <v>0</v>
      </c>
      <c r="F35" s="3">
        <f>IFERROR(__xludf.DUMMYFUNCTION("""COMPUTED_VALUE"""),0.0)</f>
        <v>0</v>
      </c>
      <c r="G35" s="3">
        <f>IFERROR(__xludf.DUMMYFUNCTION("""COMPUTED_VALUE"""),0.0)</f>
        <v>0</v>
      </c>
      <c r="H35" s="3">
        <f>IFERROR(__xludf.DUMMYFUNCTION("""COMPUTED_VALUE"""),0.0)</f>
        <v>0</v>
      </c>
      <c r="I35" s="3">
        <f>IFERROR(__xludf.DUMMYFUNCTION("""COMPUTED_VALUE"""),0.0)</f>
        <v>0</v>
      </c>
      <c r="J35" s="3">
        <f>IFERROR(__xludf.DUMMYFUNCTION("""COMPUTED_VALUE"""),1.0)</f>
        <v>1</v>
      </c>
      <c r="K35" s="3">
        <f>IFERROR(__xludf.DUMMYFUNCTION("""COMPUTED_VALUE"""),1.0)</f>
        <v>1</v>
      </c>
      <c r="L35" s="3">
        <f>IFERROR(__xludf.DUMMYFUNCTION("""COMPUTED_VALUE"""),1.0)</f>
        <v>1</v>
      </c>
      <c r="M35" s="3">
        <f>IFERROR(__xludf.DUMMYFUNCTION("""COMPUTED_VALUE"""),1.0)</f>
        <v>1</v>
      </c>
      <c r="N35" s="3">
        <f>IFERROR(__xludf.DUMMYFUNCTION("""COMPUTED_VALUE"""),1.0)</f>
        <v>1</v>
      </c>
      <c r="O35" s="3">
        <f>IFERROR(__xludf.DUMMYFUNCTION("""COMPUTED_VALUE"""),1.0)</f>
        <v>1</v>
      </c>
      <c r="P35" s="3">
        <f>IFERROR(__xludf.DUMMYFUNCTION("""COMPUTED_VALUE"""),1.0)</f>
        <v>1</v>
      </c>
      <c r="Q35" s="3">
        <f>IFERROR(__xludf.DUMMYFUNCTION("""COMPUTED_VALUE"""),1.0)</f>
        <v>1</v>
      </c>
      <c r="R35" s="3">
        <f>IFERROR(__xludf.DUMMYFUNCTION("""COMPUTED_VALUE"""),1.0)</f>
        <v>1</v>
      </c>
      <c r="S35" s="3">
        <f>IFERROR(__xludf.DUMMYFUNCTION("""COMPUTED_VALUE"""),1.0)</f>
        <v>1</v>
      </c>
      <c r="T35" s="3">
        <f>IFERROR(__xludf.DUMMYFUNCTION("""COMPUTED_VALUE"""),1.0)</f>
        <v>1</v>
      </c>
      <c r="U35" s="3">
        <f>IFERROR(__xludf.DUMMYFUNCTION("""COMPUTED_VALUE"""),1.0)</f>
        <v>1</v>
      </c>
      <c r="V35" s="3">
        <f>IFERROR(__xludf.DUMMYFUNCTION("""COMPUTED_VALUE"""),1.0)</f>
        <v>1</v>
      </c>
      <c r="W35" s="3">
        <f>IFERROR(__xludf.DUMMYFUNCTION("""COMPUTED_VALUE"""),1.0)</f>
        <v>1</v>
      </c>
      <c r="X35" s="3">
        <f>IFERROR(__xludf.DUMMYFUNCTION("""COMPUTED_VALUE"""),1.0)</f>
        <v>1</v>
      </c>
      <c r="Y35" s="3">
        <f>IFERROR(__xludf.DUMMYFUNCTION("""COMPUTED_VALUE"""),1.0)</f>
        <v>1</v>
      </c>
      <c r="Z35" s="3">
        <f>IFERROR(__xludf.DUMMYFUNCTION("""COMPUTED_VALUE"""),1.0)</f>
        <v>1</v>
      </c>
      <c r="AA35" s="3">
        <f>IFERROR(__xludf.DUMMYFUNCTION("""COMPUTED_VALUE"""),1.0)</f>
        <v>1</v>
      </c>
      <c r="AB35" s="3">
        <f>IFERROR(__xludf.DUMMYFUNCTION("""COMPUTED_VALUE"""),1.0)</f>
        <v>1</v>
      </c>
      <c r="AC35" s="3">
        <f>IFERROR(__xludf.DUMMYFUNCTION("""COMPUTED_VALUE"""),1.0)</f>
        <v>1</v>
      </c>
      <c r="AD35" s="3">
        <f>IFERROR(__xludf.DUMMYFUNCTION("""COMPUTED_VALUE"""),1.0)</f>
        <v>1</v>
      </c>
      <c r="AE35" s="3">
        <f>IFERROR(__xludf.DUMMYFUNCTION("""COMPUTED_VALUE"""),1.0)</f>
        <v>1</v>
      </c>
      <c r="AF35" s="3">
        <f>IFERROR(__xludf.DUMMYFUNCTION("""COMPUTED_VALUE"""),1.0)</f>
        <v>1</v>
      </c>
      <c r="AG35" s="3">
        <f>IFERROR(__xludf.DUMMYFUNCTION("""COMPUTED_VALUE"""),1.0)</f>
        <v>1</v>
      </c>
      <c r="AH35" s="3">
        <f>IFERROR(__xludf.DUMMYFUNCTION("""COMPUTED_VALUE"""),1.0)</f>
        <v>1</v>
      </c>
      <c r="AI35" s="3">
        <f>IFERROR(__xludf.DUMMYFUNCTION("""COMPUTED_VALUE"""),1.0)</f>
        <v>1</v>
      </c>
      <c r="AJ35" s="3">
        <f>IFERROR(__xludf.DUMMYFUNCTION("""COMPUTED_VALUE"""),1.0)</f>
        <v>1</v>
      </c>
      <c r="AK35" s="3">
        <f>IFERROR(__xludf.DUMMYFUNCTION("""COMPUTED_VALUE"""),1.0)</f>
        <v>1</v>
      </c>
      <c r="AL35" s="3">
        <f>IFERROR(__xludf.DUMMYFUNCTION("""COMPUTED_VALUE"""),1.0)</f>
        <v>1</v>
      </c>
      <c r="AM35" s="3">
        <f>IFERROR(__xludf.DUMMYFUNCTION("""COMPUTED_VALUE"""),1.0)</f>
        <v>1</v>
      </c>
      <c r="AN35" s="3">
        <f>IFERROR(__xludf.DUMMYFUNCTION("""COMPUTED_VALUE"""),1.0)</f>
        <v>1</v>
      </c>
      <c r="AO35" s="3">
        <f>IFERROR(__xludf.DUMMYFUNCTION("""COMPUTED_VALUE"""),1.0)</f>
        <v>1</v>
      </c>
      <c r="AP35" s="3">
        <f>IFERROR(__xludf.DUMMYFUNCTION("""COMPUTED_VALUE"""),1.0)</f>
        <v>1</v>
      </c>
      <c r="AQ35" s="3">
        <f>IFERROR(__xludf.DUMMYFUNCTION("""COMPUTED_VALUE"""),1.0)</f>
        <v>1</v>
      </c>
      <c r="AR35" s="3">
        <f>IFERROR(__xludf.DUMMYFUNCTION("""COMPUTED_VALUE"""),1.0)</f>
        <v>1</v>
      </c>
      <c r="AS35" s="3">
        <f>IFERROR(__xludf.DUMMYFUNCTION("""COMPUTED_VALUE"""),1.0)</f>
        <v>1</v>
      </c>
      <c r="AT35" s="3">
        <f>IFERROR(__xludf.DUMMYFUNCTION("""COMPUTED_VALUE"""),1.0)</f>
        <v>1</v>
      </c>
      <c r="AU35" s="3">
        <f>IFERROR(__xludf.DUMMYFUNCTION("""COMPUTED_VALUE"""),1.0)</f>
        <v>1</v>
      </c>
      <c r="AV35" s="3">
        <f>IFERROR(__xludf.DUMMYFUNCTION("""COMPUTED_VALUE"""),1.0)</f>
        <v>1</v>
      </c>
      <c r="AW35" s="3">
        <f>IFERROR(__xludf.DUMMYFUNCTION("""COMPUTED_VALUE"""),1.0)</f>
        <v>1</v>
      </c>
      <c r="AX35" s="3">
        <f>IFERROR(__xludf.DUMMYFUNCTION("""COMPUTED_VALUE"""),1.0)</f>
        <v>1</v>
      </c>
      <c r="AY35" s="3">
        <f>IFERROR(__xludf.DUMMYFUNCTION("""COMPUTED_VALUE"""),2.0)</f>
        <v>2</v>
      </c>
      <c r="AZ35" s="3">
        <f>IFERROR(__xludf.DUMMYFUNCTION("""COMPUTED_VALUE"""),2.0)</f>
        <v>2</v>
      </c>
      <c r="BA35" s="3">
        <f>IFERROR(__xludf.DUMMYFUNCTION("""COMPUTED_VALUE"""),2.0)</f>
        <v>2</v>
      </c>
      <c r="BB35" s="3">
        <f>IFERROR(__xludf.DUMMYFUNCTION("""COMPUTED_VALUE"""),3.0)</f>
        <v>3</v>
      </c>
      <c r="BC35" s="3">
        <f>IFERROR(__xludf.DUMMYFUNCTION("""COMPUTED_VALUE"""),3.0)</f>
        <v>3</v>
      </c>
      <c r="BD35" s="3">
        <f>IFERROR(__xludf.DUMMYFUNCTION("""COMPUTED_VALUE"""),5.0)</f>
        <v>5</v>
      </c>
      <c r="BE35" s="3">
        <f>IFERROR(__xludf.DUMMYFUNCTION("""COMPUTED_VALUE"""),7.0)</f>
        <v>7</v>
      </c>
      <c r="BF35" s="3">
        <f>IFERROR(__xludf.DUMMYFUNCTION("""COMPUTED_VALUE"""),7.0)</f>
        <v>7</v>
      </c>
      <c r="BG35" s="3">
        <f>IFERROR(__xludf.DUMMYFUNCTION("""COMPUTED_VALUE"""),7.0)</f>
        <v>7</v>
      </c>
      <c r="BH35" s="3">
        <f>IFERROR(__xludf.DUMMYFUNCTION("""COMPUTED_VALUE"""),33.0)</f>
        <v>33</v>
      </c>
      <c r="BI35" s="3">
        <f>IFERROR(__xludf.DUMMYFUNCTION("""COMPUTED_VALUE"""),35.0)</f>
        <v>35</v>
      </c>
      <c r="BJ35" s="3">
        <f>IFERROR(__xludf.DUMMYFUNCTION("""COMPUTED_VALUE"""),37.0)</f>
        <v>37</v>
      </c>
      <c r="BK35" s="3">
        <f>IFERROR(__xludf.DUMMYFUNCTION("""COMPUTED_VALUE"""),51.0)</f>
        <v>51</v>
      </c>
      <c r="BL35" s="3">
        <f>IFERROR(__xludf.DUMMYFUNCTION("""COMPUTED_VALUE"""),53.0)</f>
        <v>53</v>
      </c>
      <c r="BM35" s="3">
        <f>IFERROR(__xludf.DUMMYFUNCTION("""COMPUTED_VALUE"""),84.0)</f>
        <v>84</v>
      </c>
      <c r="BN35" s="3">
        <f>IFERROR(__xludf.DUMMYFUNCTION("""COMPUTED_VALUE"""),87.0)</f>
        <v>87</v>
      </c>
      <c r="BO35" s="3">
        <f>IFERROR(__xludf.DUMMYFUNCTION("""COMPUTED_VALUE"""),91.0)</f>
        <v>91</v>
      </c>
      <c r="BP35" s="3">
        <f>IFERROR(__xludf.DUMMYFUNCTION("""COMPUTED_VALUE"""),96.0)</f>
        <v>96</v>
      </c>
      <c r="BQ35" s="3">
        <f>IFERROR(__xludf.DUMMYFUNCTION("""COMPUTED_VALUE"""),96.0)</f>
        <v>96</v>
      </c>
      <c r="BR35" s="3">
        <f>IFERROR(__xludf.DUMMYFUNCTION("""COMPUTED_VALUE"""),99.0)</f>
        <v>99</v>
      </c>
      <c r="BS35" s="3">
        <f>IFERROR(__xludf.DUMMYFUNCTION("""COMPUTED_VALUE"""),99.0)</f>
        <v>99</v>
      </c>
      <c r="BT35" s="3">
        <f>IFERROR(__xludf.DUMMYFUNCTION("""COMPUTED_VALUE"""),103.0)</f>
        <v>103</v>
      </c>
      <c r="BU35" s="3">
        <f>IFERROR(__xludf.DUMMYFUNCTION("""COMPUTED_VALUE"""),107.0)</f>
        <v>107</v>
      </c>
      <c r="BV35" s="3">
        <f>IFERROR(__xludf.DUMMYFUNCTION("""COMPUTED_VALUE"""),109.0)</f>
        <v>109</v>
      </c>
      <c r="BW35" s="3">
        <f>IFERROR(__xludf.DUMMYFUNCTION("""COMPUTED_VALUE"""),109.0)</f>
        <v>109</v>
      </c>
      <c r="BX35" s="3">
        <f>IFERROR(__xludf.DUMMYFUNCTION("""COMPUTED_VALUE"""),110.0)</f>
        <v>110</v>
      </c>
      <c r="BY35" s="3">
        <f>IFERROR(__xludf.DUMMYFUNCTION("""COMPUTED_VALUE"""),114.0)</f>
        <v>114</v>
      </c>
      <c r="BZ35" s="3">
        <f>IFERROR(__xludf.DUMMYFUNCTION("""COMPUTED_VALUE"""),114.0)</f>
        <v>114</v>
      </c>
      <c r="CA35" s="3">
        <f>IFERROR(__xludf.DUMMYFUNCTION("""COMPUTED_VALUE"""),114.0)</f>
        <v>114</v>
      </c>
      <c r="CB35" s="3">
        <f>IFERROR(__xludf.DUMMYFUNCTION("""COMPUTED_VALUE"""),114.0)</f>
        <v>114</v>
      </c>
    </row>
    <row r="36">
      <c r="A36" s="3" t="str">
        <f>IFERROR(__xludf.DUMMYFUNCTION("""COMPUTED_VALUE"""),"")</f>
        <v/>
      </c>
      <c r="B36" s="3" t="str">
        <f>IFERROR(__xludf.DUMMYFUNCTION("""COMPUTED_VALUE"""),"Cameroon")</f>
        <v>Cameroon</v>
      </c>
      <c r="C36" s="3">
        <f>IFERROR(__xludf.DUMMYFUNCTION("""COMPUTED_VALUE"""),3.848)</f>
        <v>3.848</v>
      </c>
      <c r="D36" s="3">
        <f>IFERROR(__xludf.DUMMYFUNCTION("""COMPUTED_VALUE"""),11.5021)</f>
        <v>11.5021</v>
      </c>
      <c r="E36" s="3">
        <f>IFERROR(__xludf.DUMMYFUNCTION("""COMPUTED_VALUE"""),0.0)</f>
        <v>0</v>
      </c>
      <c r="F36" s="3">
        <f>IFERROR(__xludf.DUMMYFUNCTION("""COMPUTED_VALUE"""),0.0)</f>
        <v>0</v>
      </c>
      <c r="G36" s="3">
        <f>IFERROR(__xludf.DUMMYFUNCTION("""COMPUTED_VALUE"""),0.0)</f>
        <v>0</v>
      </c>
      <c r="H36" s="3">
        <f>IFERROR(__xludf.DUMMYFUNCTION("""COMPUTED_VALUE"""),0.0)</f>
        <v>0</v>
      </c>
      <c r="I36" s="3">
        <f>IFERROR(__xludf.DUMMYFUNCTION("""COMPUTED_VALUE"""),0.0)</f>
        <v>0</v>
      </c>
      <c r="J36" s="3">
        <f>IFERROR(__xludf.DUMMYFUNCTION("""COMPUTED_VALUE"""),0.0)</f>
        <v>0</v>
      </c>
      <c r="K36" s="3">
        <f>IFERROR(__xludf.DUMMYFUNCTION("""COMPUTED_VALUE"""),0.0)</f>
        <v>0</v>
      </c>
      <c r="L36" s="3">
        <f>IFERROR(__xludf.DUMMYFUNCTION("""COMPUTED_VALUE"""),0.0)</f>
        <v>0</v>
      </c>
      <c r="M36" s="3">
        <f>IFERROR(__xludf.DUMMYFUNCTION("""COMPUTED_VALUE"""),0.0)</f>
        <v>0</v>
      </c>
      <c r="N36" s="3">
        <f>IFERROR(__xludf.DUMMYFUNCTION("""COMPUTED_VALUE"""),0.0)</f>
        <v>0</v>
      </c>
      <c r="O36" s="3">
        <f>IFERROR(__xludf.DUMMYFUNCTION("""COMPUTED_VALUE"""),0.0)</f>
        <v>0</v>
      </c>
      <c r="P36" s="3">
        <f>IFERROR(__xludf.DUMMYFUNCTION("""COMPUTED_VALUE"""),0.0)</f>
        <v>0</v>
      </c>
      <c r="Q36" s="3">
        <f>IFERROR(__xludf.DUMMYFUNCTION("""COMPUTED_VALUE"""),0.0)</f>
        <v>0</v>
      </c>
      <c r="R36" s="3">
        <f>IFERROR(__xludf.DUMMYFUNCTION("""COMPUTED_VALUE"""),0.0)</f>
        <v>0</v>
      </c>
      <c r="S36" s="3">
        <f>IFERROR(__xludf.DUMMYFUNCTION("""COMPUTED_VALUE"""),0.0)</f>
        <v>0</v>
      </c>
      <c r="T36" s="3">
        <f>IFERROR(__xludf.DUMMYFUNCTION("""COMPUTED_VALUE"""),0.0)</f>
        <v>0</v>
      </c>
      <c r="U36" s="3">
        <f>IFERROR(__xludf.DUMMYFUNCTION("""COMPUTED_VALUE"""),0.0)</f>
        <v>0</v>
      </c>
      <c r="V36" s="3">
        <f>IFERROR(__xludf.DUMMYFUNCTION("""COMPUTED_VALUE"""),0.0)</f>
        <v>0</v>
      </c>
      <c r="W36" s="3">
        <f>IFERROR(__xludf.DUMMYFUNCTION("""COMPUTED_VALUE"""),0.0)</f>
        <v>0</v>
      </c>
      <c r="X36" s="3">
        <f>IFERROR(__xludf.DUMMYFUNCTION("""COMPUTED_VALUE"""),0.0)</f>
        <v>0</v>
      </c>
      <c r="Y36" s="3">
        <f>IFERROR(__xludf.DUMMYFUNCTION("""COMPUTED_VALUE"""),0.0)</f>
        <v>0</v>
      </c>
      <c r="Z36" s="3">
        <f>IFERROR(__xludf.DUMMYFUNCTION("""COMPUTED_VALUE"""),0.0)</f>
        <v>0</v>
      </c>
      <c r="AA36" s="3">
        <f>IFERROR(__xludf.DUMMYFUNCTION("""COMPUTED_VALUE"""),0.0)</f>
        <v>0</v>
      </c>
      <c r="AB36" s="3">
        <f>IFERROR(__xludf.DUMMYFUNCTION("""COMPUTED_VALUE"""),0.0)</f>
        <v>0</v>
      </c>
      <c r="AC36" s="3">
        <f>IFERROR(__xludf.DUMMYFUNCTION("""COMPUTED_VALUE"""),0.0)</f>
        <v>0</v>
      </c>
      <c r="AD36" s="3">
        <f>IFERROR(__xludf.DUMMYFUNCTION("""COMPUTED_VALUE"""),0.0)</f>
        <v>0</v>
      </c>
      <c r="AE36" s="3">
        <f>IFERROR(__xludf.DUMMYFUNCTION("""COMPUTED_VALUE"""),0.0)</f>
        <v>0</v>
      </c>
      <c r="AF36" s="3">
        <f>IFERROR(__xludf.DUMMYFUNCTION("""COMPUTED_VALUE"""),0.0)</f>
        <v>0</v>
      </c>
      <c r="AG36" s="3">
        <f>IFERROR(__xludf.DUMMYFUNCTION("""COMPUTED_VALUE"""),0.0)</f>
        <v>0</v>
      </c>
      <c r="AH36" s="3">
        <f>IFERROR(__xludf.DUMMYFUNCTION("""COMPUTED_VALUE"""),0.0)</f>
        <v>0</v>
      </c>
      <c r="AI36" s="3">
        <f>IFERROR(__xludf.DUMMYFUNCTION("""COMPUTED_VALUE"""),0.0)</f>
        <v>0</v>
      </c>
      <c r="AJ36" s="3">
        <f>IFERROR(__xludf.DUMMYFUNCTION("""COMPUTED_VALUE"""),0.0)</f>
        <v>0</v>
      </c>
      <c r="AK36" s="3">
        <f>IFERROR(__xludf.DUMMYFUNCTION("""COMPUTED_VALUE"""),0.0)</f>
        <v>0</v>
      </c>
      <c r="AL36" s="3">
        <f>IFERROR(__xludf.DUMMYFUNCTION("""COMPUTED_VALUE"""),0.0)</f>
        <v>0</v>
      </c>
      <c r="AM36" s="3">
        <f>IFERROR(__xludf.DUMMYFUNCTION("""COMPUTED_VALUE"""),0.0)</f>
        <v>0</v>
      </c>
      <c r="AN36" s="3">
        <f>IFERROR(__xludf.DUMMYFUNCTION("""COMPUTED_VALUE"""),0.0)</f>
        <v>0</v>
      </c>
      <c r="AO36" s="3">
        <f>IFERROR(__xludf.DUMMYFUNCTION("""COMPUTED_VALUE"""),0.0)</f>
        <v>0</v>
      </c>
      <c r="AP36" s="3">
        <f>IFERROR(__xludf.DUMMYFUNCTION("""COMPUTED_VALUE"""),0.0)</f>
        <v>0</v>
      </c>
      <c r="AQ36" s="3">
        <f>IFERROR(__xludf.DUMMYFUNCTION("""COMPUTED_VALUE"""),0.0)</f>
        <v>0</v>
      </c>
      <c r="AR36" s="3">
        <f>IFERROR(__xludf.DUMMYFUNCTION("""COMPUTED_VALUE"""),0.0)</f>
        <v>0</v>
      </c>
      <c r="AS36" s="3">
        <f>IFERROR(__xludf.DUMMYFUNCTION("""COMPUTED_VALUE"""),0.0)</f>
        <v>0</v>
      </c>
      <c r="AT36" s="3">
        <f>IFERROR(__xludf.DUMMYFUNCTION("""COMPUTED_VALUE"""),0.0)</f>
        <v>0</v>
      </c>
      <c r="AU36" s="3">
        <f>IFERROR(__xludf.DUMMYFUNCTION("""COMPUTED_VALUE"""),0.0)</f>
        <v>0</v>
      </c>
      <c r="AV36" s="3">
        <f>IFERROR(__xludf.DUMMYFUNCTION("""COMPUTED_VALUE"""),0.0)</f>
        <v>0</v>
      </c>
      <c r="AW36" s="3">
        <f>IFERROR(__xludf.DUMMYFUNCTION("""COMPUTED_VALUE"""),1.0)</f>
        <v>1</v>
      </c>
      <c r="AX36" s="3">
        <f>IFERROR(__xludf.DUMMYFUNCTION("""COMPUTED_VALUE"""),1.0)</f>
        <v>1</v>
      </c>
      <c r="AY36" s="3">
        <f>IFERROR(__xludf.DUMMYFUNCTION("""COMPUTED_VALUE"""),2.0)</f>
        <v>2</v>
      </c>
      <c r="AZ36" s="3">
        <f>IFERROR(__xludf.DUMMYFUNCTION("""COMPUTED_VALUE"""),2.0)</f>
        <v>2</v>
      </c>
      <c r="BA36" s="3">
        <f>IFERROR(__xludf.DUMMYFUNCTION("""COMPUTED_VALUE"""),2.0)</f>
        <v>2</v>
      </c>
      <c r="BB36" s="3">
        <f>IFERROR(__xludf.DUMMYFUNCTION("""COMPUTED_VALUE"""),2.0)</f>
        <v>2</v>
      </c>
      <c r="BC36" s="3">
        <f>IFERROR(__xludf.DUMMYFUNCTION("""COMPUTED_VALUE"""),2.0)</f>
        <v>2</v>
      </c>
      <c r="BD36" s="3">
        <f>IFERROR(__xludf.DUMMYFUNCTION("""COMPUTED_VALUE"""),2.0)</f>
        <v>2</v>
      </c>
      <c r="BE36" s="3">
        <f>IFERROR(__xludf.DUMMYFUNCTION("""COMPUTED_VALUE"""),2.0)</f>
        <v>2</v>
      </c>
      <c r="BF36" s="3">
        <f>IFERROR(__xludf.DUMMYFUNCTION("""COMPUTED_VALUE"""),2.0)</f>
        <v>2</v>
      </c>
      <c r="BG36" s="3">
        <f>IFERROR(__xludf.DUMMYFUNCTION("""COMPUTED_VALUE"""),4.0)</f>
        <v>4</v>
      </c>
      <c r="BH36" s="3">
        <f>IFERROR(__xludf.DUMMYFUNCTION("""COMPUTED_VALUE"""),10.0)</f>
        <v>10</v>
      </c>
      <c r="BI36" s="3">
        <f>IFERROR(__xludf.DUMMYFUNCTION("""COMPUTED_VALUE"""),10.0)</f>
        <v>10</v>
      </c>
      <c r="BJ36" s="3">
        <f>IFERROR(__xludf.DUMMYFUNCTION("""COMPUTED_VALUE"""),13.0)</f>
        <v>13</v>
      </c>
      <c r="BK36" s="3">
        <f>IFERROR(__xludf.DUMMYFUNCTION("""COMPUTED_VALUE"""),20.0)</f>
        <v>20</v>
      </c>
      <c r="BL36" s="3">
        <f>IFERROR(__xludf.DUMMYFUNCTION("""COMPUTED_VALUE"""),27.0)</f>
        <v>27</v>
      </c>
      <c r="BM36" s="3">
        <f>IFERROR(__xludf.DUMMYFUNCTION("""COMPUTED_VALUE"""),40.0)</f>
        <v>40</v>
      </c>
      <c r="BN36" s="3">
        <f>IFERROR(__xludf.DUMMYFUNCTION("""COMPUTED_VALUE"""),56.0)</f>
        <v>56</v>
      </c>
      <c r="BO36" s="3">
        <f>IFERROR(__xludf.DUMMYFUNCTION("""COMPUTED_VALUE"""),66.0)</f>
        <v>66</v>
      </c>
      <c r="BP36" s="3">
        <f>IFERROR(__xludf.DUMMYFUNCTION("""COMPUTED_VALUE"""),75.0)</f>
        <v>75</v>
      </c>
      <c r="BQ36" s="3">
        <f>IFERROR(__xludf.DUMMYFUNCTION("""COMPUTED_VALUE"""),75.0)</f>
        <v>75</v>
      </c>
      <c r="BR36" s="3">
        <f>IFERROR(__xludf.DUMMYFUNCTION("""COMPUTED_VALUE"""),91.0)</f>
        <v>91</v>
      </c>
      <c r="BS36" s="3">
        <f>IFERROR(__xludf.DUMMYFUNCTION("""COMPUTED_VALUE"""),91.0)</f>
        <v>91</v>
      </c>
      <c r="BT36" s="3">
        <f>IFERROR(__xludf.DUMMYFUNCTION("""COMPUTED_VALUE"""),139.0)</f>
        <v>139</v>
      </c>
      <c r="BU36" s="3">
        <f>IFERROR(__xludf.DUMMYFUNCTION("""COMPUTED_VALUE"""),139.0)</f>
        <v>139</v>
      </c>
      <c r="BV36" s="3">
        <f>IFERROR(__xludf.DUMMYFUNCTION("""COMPUTED_VALUE"""),193.0)</f>
        <v>193</v>
      </c>
      <c r="BW36" s="3">
        <f>IFERROR(__xludf.DUMMYFUNCTION("""COMPUTED_VALUE"""),233.0)</f>
        <v>233</v>
      </c>
      <c r="BX36" s="3">
        <f>IFERROR(__xludf.DUMMYFUNCTION("""COMPUTED_VALUE"""),306.0)</f>
        <v>306</v>
      </c>
      <c r="BY36" s="3">
        <f>IFERROR(__xludf.DUMMYFUNCTION("""COMPUTED_VALUE"""),509.0)</f>
        <v>509</v>
      </c>
      <c r="BZ36" s="3">
        <f>IFERROR(__xludf.DUMMYFUNCTION("""COMPUTED_VALUE"""),555.0)</f>
        <v>555</v>
      </c>
      <c r="CA36" s="3">
        <f>IFERROR(__xludf.DUMMYFUNCTION("""COMPUTED_VALUE"""),650.0)</f>
        <v>650</v>
      </c>
      <c r="CB36" s="3">
        <f>IFERROR(__xludf.DUMMYFUNCTION("""COMPUTED_VALUE"""),658.0)</f>
        <v>658</v>
      </c>
    </row>
    <row r="37">
      <c r="A37" s="3" t="str">
        <f>IFERROR(__xludf.DUMMYFUNCTION("""COMPUTED_VALUE"""),"Alberta")</f>
        <v>Alberta</v>
      </c>
      <c r="B37" s="3" t="str">
        <f>IFERROR(__xludf.DUMMYFUNCTION("""COMPUTED_VALUE"""),"Canada")</f>
        <v>Canada</v>
      </c>
      <c r="C37" s="3">
        <f>IFERROR(__xludf.DUMMYFUNCTION("""COMPUTED_VALUE"""),53.9333)</f>
        <v>53.9333</v>
      </c>
      <c r="D37" s="3">
        <f>IFERROR(__xludf.DUMMYFUNCTION("""COMPUTED_VALUE"""),-116.5765)</f>
        <v>-116.5765</v>
      </c>
      <c r="E37" s="3">
        <f>IFERROR(__xludf.DUMMYFUNCTION("""COMPUTED_VALUE"""),0.0)</f>
        <v>0</v>
      </c>
      <c r="F37" s="3">
        <f>IFERROR(__xludf.DUMMYFUNCTION("""COMPUTED_VALUE"""),0.0)</f>
        <v>0</v>
      </c>
      <c r="G37" s="3">
        <f>IFERROR(__xludf.DUMMYFUNCTION("""COMPUTED_VALUE"""),0.0)</f>
        <v>0</v>
      </c>
      <c r="H37" s="3">
        <f>IFERROR(__xludf.DUMMYFUNCTION("""COMPUTED_VALUE"""),0.0)</f>
        <v>0</v>
      </c>
      <c r="I37" s="3">
        <f>IFERROR(__xludf.DUMMYFUNCTION("""COMPUTED_VALUE"""),0.0)</f>
        <v>0</v>
      </c>
      <c r="J37" s="3">
        <f>IFERROR(__xludf.DUMMYFUNCTION("""COMPUTED_VALUE"""),0.0)</f>
        <v>0</v>
      </c>
      <c r="K37" s="3">
        <f>IFERROR(__xludf.DUMMYFUNCTION("""COMPUTED_VALUE"""),0.0)</f>
        <v>0</v>
      </c>
      <c r="L37" s="3">
        <f>IFERROR(__xludf.DUMMYFUNCTION("""COMPUTED_VALUE"""),0.0)</f>
        <v>0</v>
      </c>
      <c r="M37" s="3">
        <f>IFERROR(__xludf.DUMMYFUNCTION("""COMPUTED_VALUE"""),0.0)</f>
        <v>0</v>
      </c>
      <c r="N37" s="3">
        <f>IFERROR(__xludf.DUMMYFUNCTION("""COMPUTED_VALUE"""),0.0)</f>
        <v>0</v>
      </c>
      <c r="O37" s="3">
        <f>IFERROR(__xludf.DUMMYFUNCTION("""COMPUTED_VALUE"""),0.0)</f>
        <v>0</v>
      </c>
      <c r="P37" s="3">
        <f>IFERROR(__xludf.DUMMYFUNCTION("""COMPUTED_VALUE"""),0.0)</f>
        <v>0</v>
      </c>
      <c r="Q37" s="3">
        <f>IFERROR(__xludf.DUMMYFUNCTION("""COMPUTED_VALUE"""),0.0)</f>
        <v>0</v>
      </c>
      <c r="R37" s="3">
        <f>IFERROR(__xludf.DUMMYFUNCTION("""COMPUTED_VALUE"""),0.0)</f>
        <v>0</v>
      </c>
      <c r="S37" s="3">
        <f>IFERROR(__xludf.DUMMYFUNCTION("""COMPUTED_VALUE"""),0.0)</f>
        <v>0</v>
      </c>
      <c r="T37" s="3">
        <f>IFERROR(__xludf.DUMMYFUNCTION("""COMPUTED_VALUE"""),0.0)</f>
        <v>0</v>
      </c>
      <c r="U37" s="3">
        <f>IFERROR(__xludf.DUMMYFUNCTION("""COMPUTED_VALUE"""),0.0)</f>
        <v>0</v>
      </c>
      <c r="V37" s="3">
        <f>IFERROR(__xludf.DUMMYFUNCTION("""COMPUTED_VALUE"""),0.0)</f>
        <v>0</v>
      </c>
      <c r="W37" s="3">
        <f>IFERROR(__xludf.DUMMYFUNCTION("""COMPUTED_VALUE"""),0.0)</f>
        <v>0</v>
      </c>
      <c r="X37" s="3">
        <f>IFERROR(__xludf.DUMMYFUNCTION("""COMPUTED_VALUE"""),0.0)</f>
        <v>0</v>
      </c>
      <c r="Y37" s="3">
        <f>IFERROR(__xludf.DUMMYFUNCTION("""COMPUTED_VALUE"""),0.0)</f>
        <v>0</v>
      </c>
      <c r="Z37" s="3">
        <f>IFERROR(__xludf.DUMMYFUNCTION("""COMPUTED_VALUE"""),0.0)</f>
        <v>0</v>
      </c>
      <c r="AA37" s="3">
        <f>IFERROR(__xludf.DUMMYFUNCTION("""COMPUTED_VALUE"""),0.0)</f>
        <v>0</v>
      </c>
      <c r="AB37" s="3">
        <f>IFERROR(__xludf.DUMMYFUNCTION("""COMPUTED_VALUE"""),0.0)</f>
        <v>0</v>
      </c>
      <c r="AC37" s="3">
        <f>IFERROR(__xludf.DUMMYFUNCTION("""COMPUTED_VALUE"""),0.0)</f>
        <v>0</v>
      </c>
      <c r="AD37" s="3">
        <f>IFERROR(__xludf.DUMMYFUNCTION("""COMPUTED_VALUE"""),0.0)</f>
        <v>0</v>
      </c>
      <c r="AE37" s="3">
        <f>IFERROR(__xludf.DUMMYFUNCTION("""COMPUTED_VALUE"""),0.0)</f>
        <v>0</v>
      </c>
      <c r="AF37" s="3">
        <f>IFERROR(__xludf.DUMMYFUNCTION("""COMPUTED_VALUE"""),0.0)</f>
        <v>0</v>
      </c>
      <c r="AG37" s="3">
        <f>IFERROR(__xludf.DUMMYFUNCTION("""COMPUTED_VALUE"""),0.0)</f>
        <v>0</v>
      </c>
      <c r="AH37" s="3">
        <f>IFERROR(__xludf.DUMMYFUNCTION("""COMPUTED_VALUE"""),0.0)</f>
        <v>0</v>
      </c>
      <c r="AI37" s="3">
        <f>IFERROR(__xludf.DUMMYFUNCTION("""COMPUTED_VALUE"""),0.0)</f>
        <v>0</v>
      </c>
      <c r="AJ37" s="3">
        <f>IFERROR(__xludf.DUMMYFUNCTION("""COMPUTED_VALUE"""),0.0)</f>
        <v>0</v>
      </c>
      <c r="AK37" s="3">
        <f>IFERROR(__xludf.DUMMYFUNCTION("""COMPUTED_VALUE"""),0.0)</f>
        <v>0</v>
      </c>
      <c r="AL37" s="3">
        <f>IFERROR(__xludf.DUMMYFUNCTION("""COMPUTED_VALUE"""),0.0)</f>
        <v>0</v>
      </c>
      <c r="AM37" s="3">
        <f>IFERROR(__xludf.DUMMYFUNCTION("""COMPUTED_VALUE"""),0.0)</f>
        <v>0</v>
      </c>
      <c r="AN37" s="3">
        <f>IFERROR(__xludf.DUMMYFUNCTION("""COMPUTED_VALUE"""),0.0)</f>
        <v>0</v>
      </c>
      <c r="AO37" s="3">
        <f>IFERROR(__xludf.DUMMYFUNCTION("""COMPUTED_VALUE"""),0.0)</f>
        <v>0</v>
      </c>
      <c r="AP37" s="3">
        <f>IFERROR(__xludf.DUMMYFUNCTION("""COMPUTED_VALUE"""),0.0)</f>
        <v>0</v>
      </c>
      <c r="AQ37" s="3">
        <f>IFERROR(__xludf.DUMMYFUNCTION("""COMPUTED_VALUE"""),0.0)</f>
        <v>0</v>
      </c>
      <c r="AR37" s="3">
        <f>IFERROR(__xludf.DUMMYFUNCTION("""COMPUTED_VALUE"""),0.0)</f>
        <v>0</v>
      </c>
      <c r="AS37" s="3">
        <f>IFERROR(__xludf.DUMMYFUNCTION("""COMPUTED_VALUE"""),0.0)</f>
        <v>0</v>
      </c>
      <c r="AT37" s="3">
        <f>IFERROR(__xludf.DUMMYFUNCTION("""COMPUTED_VALUE"""),0.0)</f>
        <v>0</v>
      </c>
      <c r="AU37" s="3">
        <f>IFERROR(__xludf.DUMMYFUNCTION("""COMPUTED_VALUE"""),0.0)</f>
        <v>0</v>
      </c>
      <c r="AV37" s="3">
        <f>IFERROR(__xludf.DUMMYFUNCTION("""COMPUTED_VALUE"""),0.0)</f>
        <v>0</v>
      </c>
      <c r="AW37" s="3">
        <f>IFERROR(__xludf.DUMMYFUNCTION("""COMPUTED_VALUE"""),1.0)</f>
        <v>1</v>
      </c>
      <c r="AX37" s="3">
        <f>IFERROR(__xludf.DUMMYFUNCTION("""COMPUTED_VALUE"""),2.0)</f>
        <v>2</v>
      </c>
      <c r="AY37" s="3">
        <f>IFERROR(__xludf.DUMMYFUNCTION("""COMPUTED_VALUE"""),4.0)</f>
        <v>4</v>
      </c>
      <c r="AZ37" s="3">
        <f>IFERROR(__xludf.DUMMYFUNCTION("""COMPUTED_VALUE"""),7.0)</f>
        <v>7</v>
      </c>
      <c r="BA37" s="3">
        <f>IFERROR(__xludf.DUMMYFUNCTION("""COMPUTED_VALUE"""),7.0)</f>
        <v>7</v>
      </c>
      <c r="BB37" s="3">
        <f>IFERROR(__xludf.DUMMYFUNCTION("""COMPUTED_VALUE"""),19.0)</f>
        <v>19</v>
      </c>
      <c r="BC37" s="3">
        <f>IFERROR(__xludf.DUMMYFUNCTION("""COMPUTED_VALUE"""),19.0)</f>
        <v>19</v>
      </c>
      <c r="BD37" s="3">
        <f>IFERROR(__xludf.DUMMYFUNCTION("""COMPUTED_VALUE"""),29.0)</f>
        <v>29</v>
      </c>
      <c r="BE37" s="3">
        <f>IFERROR(__xludf.DUMMYFUNCTION("""COMPUTED_VALUE"""),29.0)</f>
        <v>29</v>
      </c>
      <c r="BF37" s="3">
        <f>IFERROR(__xludf.DUMMYFUNCTION("""COMPUTED_VALUE"""),39.0)</f>
        <v>39</v>
      </c>
      <c r="BG37" s="3">
        <f>IFERROR(__xludf.DUMMYFUNCTION("""COMPUTED_VALUE"""),56.0)</f>
        <v>56</v>
      </c>
      <c r="BH37" s="3">
        <f>IFERROR(__xludf.DUMMYFUNCTION("""COMPUTED_VALUE"""),74.0)</f>
        <v>74</v>
      </c>
      <c r="BI37" s="3">
        <f>IFERROR(__xludf.DUMMYFUNCTION("""COMPUTED_VALUE"""),97.0)</f>
        <v>97</v>
      </c>
      <c r="BJ37" s="3">
        <f>IFERROR(__xludf.DUMMYFUNCTION("""COMPUTED_VALUE"""),119.0)</f>
        <v>119</v>
      </c>
      <c r="BK37" s="3">
        <f>IFERROR(__xludf.DUMMYFUNCTION("""COMPUTED_VALUE"""),146.0)</f>
        <v>146</v>
      </c>
      <c r="BL37" s="3">
        <f>IFERROR(__xludf.DUMMYFUNCTION("""COMPUTED_VALUE"""),195.0)</f>
        <v>195</v>
      </c>
      <c r="BM37" s="3">
        <f>IFERROR(__xludf.DUMMYFUNCTION("""COMPUTED_VALUE"""),259.0)</f>
        <v>259</v>
      </c>
      <c r="BN37" s="3">
        <f>IFERROR(__xludf.DUMMYFUNCTION("""COMPUTED_VALUE"""),301.0)</f>
        <v>301</v>
      </c>
      <c r="BO37" s="3">
        <f>IFERROR(__xludf.DUMMYFUNCTION("""COMPUTED_VALUE"""),359.0)</f>
        <v>359</v>
      </c>
      <c r="BP37" s="3">
        <f>IFERROR(__xludf.DUMMYFUNCTION("""COMPUTED_VALUE"""),358.0)</f>
        <v>358</v>
      </c>
      <c r="BQ37" s="3">
        <f>IFERROR(__xludf.DUMMYFUNCTION("""COMPUTED_VALUE"""),486.0)</f>
        <v>486</v>
      </c>
      <c r="BR37" s="3">
        <f>IFERROR(__xludf.DUMMYFUNCTION("""COMPUTED_VALUE"""),542.0)</f>
        <v>542</v>
      </c>
      <c r="BS37" s="3">
        <f>IFERROR(__xludf.DUMMYFUNCTION("""COMPUTED_VALUE"""),542.0)</f>
        <v>542</v>
      </c>
      <c r="BT37" s="3">
        <f>IFERROR(__xludf.DUMMYFUNCTION("""COMPUTED_VALUE"""),621.0)</f>
        <v>621</v>
      </c>
      <c r="BU37" s="3">
        <f>IFERROR(__xludf.DUMMYFUNCTION("""COMPUTED_VALUE"""),661.0)</f>
        <v>661</v>
      </c>
      <c r="BV37" s="3">
        <f>IFERROR(__xludf.DUMMYFUNCTION("""COMPUTED_VALUE"""),690.0)</f>
        <v>690</v>
      </c>
      <c r="BW37" s="3">
        <f>IFERROR(__xludf.DUMMYFUNCTION("""COMPUTED_VALUE"""),754.0)</f>
        <v>754</v>
      </c>
      <c r="BX37" s="3">
        <f>IFERROR(__xludf.DUMMYFUNCTION("""COMPUTED_VALUE"""),969.0)</f>
        <v>969</v>
      </c>
      <c r="BY37" s="3">
        <f>IFERROR(__xludf.DUMMYFUNCTION("""COMPUTED_VALUE"""),969.0)</f>
        <v>969</v>
      </c>
      <c r="BZ37" s="3">
        <f>IFERROR(__xludf.DUMMYFUNCTION("""COMPUTED_VALUE"""),1075.0)</f>
        <v>1075</v>
      </c>
      <c r="CA37" s="3">
        <f>IFERROR(__xludf.DUMMYFUNCTION("""COMPUTED_VALUE"""),1181.0)</f>
        <v>1181</v>
      </c>
      <c r="CB37" s="3">
        <f>IFERROR(__xludf.DUMMYFUNCTION("""COMPUTED_VALUE"""),1250.0)</f>
        <v>1250</v>
      </c>
    </row>
    <row r="38">
      <c r="A38" s="3" t="str">
        <f>IFERROR(__xludf.DUMMYFUNCTION("""COMPUTED_VALUE"""),"British Columbia")</f>
        <v>British Columbia</v>
      </c>
      <c r="B38" s="3" t="str">
        <f>IFERROR(__xludf.DUMMYFUNCTION("""COMPUTED_VALUE"""),"Canada")</f>
        <v>Canada</v>
      </c>
      <c r="C38" s="3">
        <f>IFERROR(__xludf.DUMMYFUNCTION("""COMPUTED_VALUE"""),49.2827)</f>
        <v>49.2827</v>
      </c>
      <c r="D38" s="3">
        <f>IFERROR(__xludf.DUMMYFUNCTION("""COMPUTED_VALUE"""),-123.1207)</f>
        <v>-123.1207</v>
      </c>
      <c r="E38" s="3">
        <f>IFERROR(__xludf.DUMMYFUNCTION("""COMPUTED_VALUE"""),0.0)</f>
        <v>0</v>
      </c>
      <c r="F38" s="3">
        <f>IFERROR(__xludf.DUMMYFUNCTION("""COMPUTED_VALUE"""),0.0)</f>
        <v>0</v>
      </c>
      <c r="G38" s="3">
        <f>IFERROR(__xludf.DUMMYFUNCTION("""COMPUTED_VALUE"""),0.0)</f>
        <v>0</v>
      </c>
      <c r="H38" s="3">
        <f>IFERROR(__xludf.DUMMYFUNCTION("""COMPUTED_VALUE"""),0.0)</f>
        <v>0</v>
      </c>
      <c r="I38" s="3">
        <f>IFERROR(__xludf.DUMMYFUNCTION("""COMPUTED_VALUE"""),0.0)</f>
        <v>0</v>
      </c>
      <c r="J38" s="3">
        <f>IFERROR(__xludf.DUMMYFUNCTION("""COMPUTED_VALUE"""),0.0)</f>
        <v>0</v>
      </c>
      <c r="K38" s="3">
        <f>IFERROR(__xludf.DUMMYFUNCTION("""COMPUTED_VALUE"""),1.0)</f>
        <v>1</v>
      </c>
      <c r="L38" s="3">
        <f>IFERROR(__xludf.DUMMYFUNCTION("""COMPUTED_VALUE"""),1.0)</f>
        <v>1</v>
      </c>
      <c r="M38" s="3">
        <f>IFERROR(__xludf.DUMMYFUNCTION("""COMPUTED_VALUE"""),1.0)</f>
        <v>1</v>
      </c>
      <c r="N38" s="3">
        <f>IFERROR(__xludf.DUMMYFUNCTION("""COMPUTED_VALUE"""),1.0)</f>
        <v>1</v>
      </c>
      <c r="O38" s="3">
        <f>IFERROR(__xludf.DUMMYFUNCTION("""COMPUTED_VALUE"""),1.0)</f>
        <v>1</v>
      </c>
      <c r="P38" s="3">
        <f>IFERROR(__xludf.DUMMYFUNCTION("""COMPUTED_VALUE"""),1.0)</f>
        <v>1</v>
      </c>
      <c r="Q38" s="3">
        <f>IFERROR(__xludf.DUMMYFUNCTION("""COMPUTED_VALUE"""),1.0)</f>
        <v>1</v>
      </c>
      <c r="R38" s="3">
        <f>IFERROR(__xludf.DUMMYFUNCTION("""COMPUTED_VALUE"""),1.0)</f>
        <v>1</v>
      </c>
      <c r="S38" s="3">
        <f>IFERROR(__xludf.DUMMYFUNCTION("""COMPUTED_VALUE"""),2.0)</f>
        <v>2</v>
      </c>
      <c r="T38" s="3">
        <f>IFERROR(__xludf.DUMMYFUNCTION("""COMPUTED_VALUE"""),2.0)</f>
        <v>2</v>
      </c>
      <c r="U38" s="3">
        <f>IFERROR(__xludf.DUMMYFUNCTION("""COMPUTED_VALUE"""),4.0)</f>
        <v>4</v>
      </c>
      <c r="V38" s="3">
        <f>IFERROR(__xludf.DUMMYFUNCTION("""COMPUTED_VALUE"""),4.0)</f>
        <v>4</v>
      </c>
      <c r="W38" s="3">
        <f>IFERROR(__xludf.DUMMYFUNCTION("""COMPUTED_VALUE"""),4.0)</f>
        <v>4</v>
      </c>
      <c r="X38" s="3">
        <f>IFERROR(__xludf.DUMMYFUNCTION("""COMPUTED_VALUE"""),4.0)</f>
        <v>4</v>
      </c>
      <c r="Y38" s="3">
        <f>IFERROR(__xludf.DUMMYFUNCTION("""COMPUTED_VALUE"""),4.0)</f>
        <v>4</v>
      </c>
      <c r="Z38" s="3">
        <f>IFERROR(__xludf.DUMMYFUNCTION("""COMPUTED_VALUE"""),4.0)</f>
        <v>4</v>
      </c>
      <c r="AA38" s="3">
        <f>IFERROR(__xludf.DUMMYFUNCTION("""COMPUTED_VALUE"""),4.0)</f>
        <v>4</v>
      </c>
      <c r="AB38" s="3">
        <f>IFERROR(__xludf.DUMMYFUNCTION("""COMPUTED_VALUE"""),4.0)</f>
        <v>4</v>
      </c>
      <c r="AC38" s="3">
        <f>IFERROR(__xludf.DUMMYFUNCTION("""COMPUTED_VALUE"""),4.0)</f>
        <v>4</v>
      </c>
      <c r="AD38" s="3">
        <f>IFERROR(__xludf.DUMMYFUNCTION("""COMPUTED_VALUE"""),4.0)</f>
        <v>4</v>
      </c>
      <c r="AE38" s="3">
        <f>IFERROR(__xludf.DUMMYFUNCTION("""COMPUTED_VALUE"""),5.0)</f>
        <v>5</v>
      </c>
      <c r="AF38" s="3">
        <f>IFERROR(__xludf.DUMMYFUNCTION("""COMPUTED_VALUE"""),5.0)</f>
        <v>5</v>
      </c>
      <c r="AG38" s="3">
        <f>IFERROR(__xludf.DUMMYFUNCTION("""COMPUTED_VALUE"""),5.0)</f>
        <v>5</v>
      </c>
      <c r="AH38" s="3">
        <f>IFERROR(__xludf.DUMMYFUNCTION("""COMPUTED_VALUE"""),5.0)</f>
        <v>5</v>
      </c>
      <c r="AI38" s="3">
        <f>IFERROR(__xludf.DUMMYFUNCTION("""COMPUTED_VALUE"""),6.0)</f>
        <v>6</v>
      </c>
      <c r="AJ38" s="3">
        <f>IFERROR(__xludf.DUMMYFUNCTION("""COMPUTED_VALUE"""),6.0)</f>
        <v>6</v>
      </c>
      <c r="AK38" s="3">
        <f>IFERROR(__xludf.DUMMYFUNCTION("""COMPUTED_VALUE"""),6.0)</f>
        <v>6</v>
      </c>
      <c r="AL38" s="3">
        <f>IFERROR(__xludf.DUMMYFUNCTION("""COMPUTED_VALUE"""),6.0)</f>
        <v>6</v>
      </c>
      <c r="AM38" s="3">
        <f>IFERROR(__xludf.DUMMYFUNCTION("""COMPUTED_VALUE"""),7.0)</f>
        <v>7</v>
      </c>
      <c r="AN38" s="3">
        <f>IFERROR(__xludf.DUMMYFUNCTION("""COMPUTED_VALUE"""),7.0)</f>
        <v>7</v>
      </c>
      <c r="AO38" s="3">
        <f>IFERROR(__xludf.DUMMYFUNCTION("""COMPUTED_VALUE"""),7.0)</f>
        <v>7</v>
      </c>
      <c r="AP38" s="3">
        <f>IFERROR(__xludf.DUMMYFUNCTION("""COMPUTED_VALUE"""),7.0)</f>
        <v>7</v>
      </c>
      <c r="AQ38" s="3">
        <f>IFERROR(__xludf.DUMMYFUNCTION("""COMPUTED_VALUE"""),8.0)</f>
        <v>8</v>
      </c>
      <c r="AR38" s="3">
        <f>IFERROR(__xludf.DUMMYFUNCTION("""COMPUTED_VALUE"""),8.0)</f>
        <v>8</v>
      </c>
      <c r="AS38" s="3">
        <f>IFERROR(__xludf.DUMMYFUNCTION("""COMPUTED_VALUE"""),8.0)</f>
        <v>8</v>
      </c>
      <c r="AT38" s="3">
        <f>IFERROR(__xludf.DUMMYFUNCTION("""COMPUTED_VALUE"""),9.0)</f>
        <v>9</v>
      </c>
      <c r="AU38" s="3">
        <f>IFERROR(__xludf.DUMMYFUNCTION("""COMPUTED_VALUE"""),12.0)</f>
        <v>12</v>
      </c>
      <c r="AV38" s="3">
        <f>IFERROR(__xludf.DUMMYFUNCTION("""COMPUTED_VALUE"""),13.0)</f>
        <v>13</v>
      </c>
      <c r="AW38" s="3">
        <f>IFERROR(__xludf.DUMMYFUNCTION("""COMPUTED_VALUE"""),21.0)</f>
        <v>21</v>
      </c>
      <c r="AX38" s="3">
        <f>IFERROR(__xludf.DUMMYFUNCTION("""COMPUTED_VALUE"""),21.0)</f>
        <v>21</v>
      </c>
      <c r="AY38" s="3">
        <f>IFERROR(__xludf.DUMMYFUNCTION("""COMPUTED_VALUE"""),27.0)</f>
        <v>27</v>
      </c>
      <c r="AZ38" s="3">
        <f>IFERROR(__xludf.DUMMYFUNCTION("""COMPUTED_VALUE"""),32.0)</f>
        <v>32</v>
      </c>
      <c r="BA38" s="3">
        <f>IFERROR(__xludf.DUMMYFUNCTION("""COMPUTED_VALUE"""),32.0)</f>
        <v>32</v>
      </c>
      <c r="BB38" s="3">
        <f>IFERROR(__xludf.DUMMYFUNCTION("""COMPUTED_VALUE"""),39.0)</f>
        <v>39</v>
      </c>
      <c r="BC38" s="3">
        <f>IFERROR(__xludf.DUMMYFUNCTION("""COMPUTED_VALUE"""),46.0)</f>
        <v>46</v>
      </c>
      <c r="BD38" s="3">
        <f>IFERROR(__xludf.DUMMYFUNCTION("""COMPUTED_VALUE"""),64.0)</f>
        <v>64</v>
      </c>
      <c r="BE38" s="3">
        <f>IFERROR(__xludf.DUMMYFUNCTION("""COMPUTED_VALUE"""),64.0)</f>
        <v>64</v>
      </c>
      <c r="BF38" s="3">
        <f>IFERROR(__xludf.DUMMYFUNCTION("""COMPUTED_VALUE"""),73.0)</f>
        <v>73</v>
      </c>
      <c r="BG38" s="3">
        <f>IFERROR(__xludf.DUMMYFUNCTION("""COMPUTED_VALUE"""),103.0)</f>
        <v>103</v>
      </c>
      <c r="BH38" s="3">
        <f>IFERROR(__xludf.DUMMYFUNCTION("""COMPUTED_VALUE"""),103.0)</f>
        <v>103</v>
      </c>
      <c r="BI38" s="3">
        <f>IFERROR(__xludf.DUMMYFUNCTION("""COMPUTED_VALUE"""),186.0)</f>
        <v>186</v>
      </c>
      <c r="BJ38" s="3">
        <f>IFERROR(__xludf.DUMMYFUNCTION("""COMPUTED_VALUE"""),231.0)</f>
        <v>231</v>
      </c>
      <c r="BK38" s="3">
        <f>IFERROR(__xludf.DUMMYFUNCTION("""COMPUTED_VALUE"""),271.0)</f>
        <v>271</v>
      </c>
      <c r="BL38" s="3">
        <f>IFERROR(__xludf.DUMMYFUNCTION("""COMPUTED_VALUE"""),424.0)</f>
        <v>424</v>
      </c>
      <c r="BM38" s="3">
        <f>IFERROR(__xludf.DUMMYFUNCTION("""COMPUTED_VALUE"""),424.0)</f>
        <v>424</v>
      </c>
      <c r="BN38" s="3">
        <f>IFERROR(__xludf.DUMMYFUNCTION("""COMPUTED_VALUE"""),472.0)</f>
        <v>472</v>
      </c>
      <c r="BO38" s="3">
        <f>IFERROR(__xludf.DUMMYFUNCTION("""COMPUTED_VALUE"""),617.0)</f>
        <v>617</v>
      </c>
      <c r="BP38" s="3">
        <f>IFERROR(__xludf.DUMMYFUNCTION("""COMPUTED_VALUE"""),617.0)</f>
        <v>617</v>
      </c>
      <c r="BQ38" s="3">
        <f>IFERROR(__xludf.DUMMYFUNCTION("""COMPUTED_VALUE"""),725.0)</f>
        <v>725</v>
      </c>
      <c r="BR38" s="3">
        <f>IFERROR(__xludf.DUMMYFUNCTION("""COMPUTED_VALUE"""),725.0)</f>
        <v>725</v>
      </c>
      <c r="BS38" s="3">
        <f>IFERROR(__xludf.DUMMYFUNCTION("""COMPUTED_VALUE"""),884.0)</f>
        <v>884</v>
      </c>
      <c r="BT38" s="3">
        <f>IFERROR(__xludf.DUMMYFUNCTION("""COMPUTED_VALUE"""),884.0)</f>
        <v>884</v>
      </c>
      <c r="BU38" s="3">
        <f>IFERROR(__xludf.DUMMYFUNCTION("""COMPUTED_VALUE"""),970.0)</f>
        <v>970</v>
      </c>
      <c r="BV38" s="3">
        <f>IFERROR(__xludf.DUMMYFUNCTION("""COMPUTED_VALUE"""),1013.0)</f>
        <v>1013</v>
      </c>
      <c r="BW38" s="3">
        <f>IFERROR(__xludf.DUMMYFUNCTION("""COMPUTED_VALUE"""),1013.0)</f>
        <v>1013</v>
      </c>
      <c r="BX38" s="3">
        <f>IFERROR(__xludf.DUMMYFUNCTION("""COMPUTED_VALUE"""),1121.0)</f>
        <v>1121</v>
      </c>
      <c r="BY38" s="3">
        <f>IFERROR(__xludf.DUMMYFUNCTION("""COMPUTED_VALUE"""),1174.0)</f>
        <v>1174</v>
      </c>
      <c r="BZ38" s="3">
        <f>IFERROR(__xludf.DUMMYFUNCTION("""COMPUTED_VALUE"""),1203.0)</f>
        <v>1203</v>
      </c>
      <c r="CA38" s="3">
        <f>IFERROR(__xludf.DUMMYFUNCTION("""COMPUTED_VALUE"""),1203.0)</f>
        <v>1203</v>
      </c>
      <c r="CB38" s="3">
        <f>IFERROR(__xludf.DUMMYFUNCTION("""COMPUTED_VALUE"""),1266.0)</f>
        <v>1266</v>
      </c>
    </row>
    <row r="39">
      <c r="A39" s="3" t="str">
        <f>IFERROR(__xludf.DUMMYFUNCTION("""COMPUTED_VALUE"""),"Grand Princess")</f>
        <v>Grand Princess</v>
      </c>
      <c r="B39" s="3" t="str">
        <f>IFERROR(__xludf.DUMMYFUNCTION("""COMPUTED_VALUE"""),"Canada")</f>
        <v>Canada</v>
      </c>
      <c r="C39" s="3">
        <f>IFERROR(__xludf.DUMMYFUNCTION("""COMPUTED_VALUE"""),37.6489)</f>
        <v>37.6489</v>
      </c>
      <c r="D39" s="3">
        <f>IFERROR(__xludf.DUMMYFUNCTION("""COMPUTED_VALUE"""),-122.6655)</f>
        <v>-122.6655</v>
      </c>
      <c r="E39" s="3">
        <f>IFERROR(__xludf.DUMMYFUNCTION("""COMPUTED_VALUE"""),0.0)</f>
        <v>0</v>
      </c>
      <c r="F39" s="3">
        <f>IFERROR(__xludf.DUMMYFUNCTION("""COMPUTED_VALUE"""),0.0)</f>
        <v>0</v>
      </c>
      <c r="G39" s="3">
        <f>IFERROR(__xludf.DUMMYFUNCTION("""COMPUTED_VALUE"""),0.0)</f>
        <v>0</v>
      </c>
      <c r="H39" s="3">
        <f>IFERROR(__xludf.DUMMYFUNCTION("""COMPUTED_VALUE"""),0.0)</f>
        <v>0</v>
      </c>
      <c r="I39" s="3">
        <f>IFERROR(__xludf.DUMMYFUNCTION("""COMPUTED_VALUE"""),0.0)</f>
        <v>0</v>
      </c>
      <c r="J39" s="3">
        <f>IFERROR(__xludf.DUMMYFUNCTION("""COMPUTED_VALUE"""),0.0)</f>
        <v>0</v>
      </c>
      <c r="K39" s="3">
        <f>IFERROR(__xludf.DUMMYFUNCTION("""COMPUTED_VALUE"""),0.0)</f>
        <v>0</v>
      </c>
      <c r="L39" s="3">
        <f>IFERROR(__xludf.DUMMYFUNCTION("""COMPUTED_VALUE"""),0.0)</f>
        <v>0</v>
      </c>
      <c r="M39" s="3">
        <f>IFERROR(__xludf.DUMMYFUNCTION("""COMPUTED_VALUE"""),0.0)</f>
        <v>0</v>
      </c>
      <c r="N39" s="3">
        <f>IFERROR(__xludf.DUMMYFUNCTION("""COMPUTED_VALUE"""),0.0)</f>
        <v>0</v>
      </c>
      <c r="O39" s="3">
        <f>IFERROR(__xludf.DUMMYFUNCTION("""COMPUTED_VALUE"""),0.0)</f>
        <v>0</v>
      </c>
      <c r="P39" s="3">
        <f>IFERROR(__xludf.DUMMYFUNCTION("""COMPUTED_VALUE"""),0.0)</f>
        <v>0</v>
      </c>
      <c r="Q39" s="3">
        <f>IFERROR(__xludf.DUMMYFUNCTION("""COMPUTED_VALUE"""),0.0)</f>
        <v>0</v>
      </c>
      <c r="R39" s="3">
        <f>IFERROR(__xludf.DUMMYFUNCTION("""COMPUTED_VALUE"""),0.0)</f>
        <v>0</v>
      </c>
      <c r="S39" s="3">
        <f>IFERROR(__xludf.DUMMYFUNCTION("""COMPUTED_VALUE"""),0.0)</f>
        <v>0</v>
      </c>
      <c r="T39" s="3">
        <f>IFERROR(__xludf.DUMMYFUNCTION("""COMPUTED_VALUE"""),0.0)</f>
        <v>0</v>
      </c>
      <c r="U39" s="3">
        <f>IFERROR(__xludf.DUMMYFUNCTION("""COMPUTED_VALUE"""),0.0)</f>
        <v>0</v>
      </c>
      <c r="V39" s="3">
        <f>IFERROR(__xludf.DUMMYFUNCTION("""COMPUTED_VALUE"""),0.0)</f>
        <v>0</v>
      </c>
      <c r="W39" s="3">
        <f>IFERROR(__xludf.DUMMYFUNCTION("""COMPUTED_VALUE"""),0.0)</f>
        <v>0</v>
      </c>
      <c r="X39" s="3">
        <f>IFERROR(__xludf.DUMMYFUNCTION("""COMPUTED_VALUE"""),0.0)</f>
        <v>0</v>
      </c>
      <c r="Y39" s="3">
        <f>IFERROR(__xludf.DUMMYFUNCTION("""COMPUTED_VALUE"""),0.0)</f>
        <v>0</v>
      </c>
      <c r="Z39" s="3">
        <f>IFERROR(__xludf.DUMMYFUNCTION("""COMPUTED_VALUE"""),0.0)</f>
        <v>0</v>
      </c>
      <c r="AA39" s="3">
        <f>IFERROR(__xludf.DUMMYFUNCTION("""COMPUTED_VALUE"""),0.0)</f>
        <v>0</v>
      </c>
      <c r="AB39" s="3">
        <f>IFERROR(__xludf.DUMMYFUNCTION("""COMPUTED_VALUE"""),0.0)</f>
        <v>0</v>
      </c>
      <c r="AC39" s="3">
        <f>IFERROR(__xludf.DUMMYFUNCTION("""COMPUTED_VALUE"""),0.0)</f>
        <v>0</v>
      </c>
      <c r="AD39" s="3">
        <f>IFERROR(__xludf.DUMMYFUNCTION("""COMPUTED_VALUE"""),0.0)</f>
        <v>0</v>
      </c>
      <c r="AE39" s="3">
        <f>IFERROR(__xludf.DUMMYFUNCTION("""COMPUTED_VALUE"""),0.0)</f>
        <v>0</v>
      </c>
      <c r="AF39" s="3">
        <f>IFERROR(__xludf.DUMMYFUNCTION("""COMPUTED_VALUE"""),0.0)</f>
        <v>0</v>
      </c>
      <c r="AG39" s="3">
        <f>IFERROR(__xludf.DUMMYFUNCTION("""COMPUTED_VALUE"""),0.0)</f>
        <v>0</v>
      </c>
      <c r="AH39" s="3">
        <f>IFERROR(__xludf.DUMMYFUNCTION("""COMPUTED_VALUE"""),0.0)</f>
        <v>0</v>
      </c>
      <c r="AI39" s="3">
        <f>IFERROR(__xludf.DUMMYFUNCTION("""COMPUTED_VALUE"""),0.0)</f>
        <v>0</v>
      </c>
      <c r="AJ39" s="3">
        <f>IFERROR(__xludf.DUMMYFUNCTION("""COMPUTED_VALUE"""),0.0)</f>
        <v>0</v>
      </c>
      <c r="AK39" s="3">
        <f>IFERROR(__xludf.DUMMYFUNCTION("""COMPUTED_VALUE"""),0.0)</f>
        <v>0</v>
      </c>
      <c r="AL39" s="3">
        <f>IFERROR(__xludf.DUMMYFUNCTION("""COMPUTED_VALUE"""),0.0)</f>
        <v>0</v>
      </c>
      <c r="AM39" s="3">
        <f>IFERROR(__xludf.DUMMYFUNCTION("""COMPUTED_VALUE"""),0.0)</f>
        <v>0</v>
      </c>
      <c r="AN39" s="3">
        <f>IFERROR(__xludf.DUMMYFUNCTION("""COMPUTED_VALUE"""),0.0)</f>
        <v>0</v>
      </c>
      <c r="AO39" s="3">
        <f>IFERROR(__xludf.DUMMYFUNCTION("""COMPUTED_VALUE"""),0.0)</f>
        <v>0</v>
      </c>
      <c r="AP39" s="3">
        <f>IFERROR(__xludf.DUMMYFUNCTION("""COMPUTED_VALUE"""),0.0)</f>
        <v>0</v>
      </c>
      <c r="AQ39" s="3">
        <f>IFERROR(__xludf.DUMMYFUNCTION("""COMPUTED_VALUE"""),0.0)</f>
        <v>0</v>
      </c>
      <c r="AR39" s="3">
        <f>IFERROR(__xludf.DUMMYFUNCTION("""COMPUTED_VALUE"""),0.0)</f>
        <v>0</v>
      </c>
      <c r="AS39" s="3">
        <f>IFERROR(__xludf.DUMMYFUNCTION("""COMPUTED_VALUE"""),0.0)</f>
        <v>0</v>
      </c>
      <c r="AT39" s="3">
        <f>IFERROR(__xludf.DUMMYFUNCTION("""COMPUTED_VALUE"""),0.0)</f>
        <v>0</v>
      </c>
      <c r="AU39" s="3">
        <f>IFERROR(__xludf.DUMMYFUNCTION("""COMPUTED_VALUE"""),0.0)</f>
        <v>0</v>
      </c>
      <c r="AV39" s="3">
        <f>IFERROR(__xludf.DUMMYFUNCTION("""COMPUTED_VALUE"""),0.0)</f>
        <v>0</v>
      </c>
      <c r="AW39" s="3">
        <f>IFERROR(__xludf.DUMMYFUNCTION("""COMPUTED_VALUE"""),0.0)</f>
        <v>0</v>
      </c>
      <c r="AX39" s="3">
        <f>IFERROR(__xludf.DUMMYFUNCTION("""COMPUTED_VALUE"""),0.0)</f>
        <v>0</v>
      </c>
      <c r="AY39" s="3">
        <f>IFERROR(__xludf.DUMMYFUNCTION("""COMPUTED_VALUE"""),0.0)</f>
        <v>0</v>
      </c>
      <c r="AZ39" s="3">
        <f>IFERROR(__xludf.DUMMYFUNCTION("""COMPUTED_VALUE"""),0.0)</f>
        <v>0</v>
      </c>
      <c r="BA39" s="3">
        <f>IFERROR(__xludf.DUMMYFUNCTION("""COMPUTED_VALUE"""),0.0)</f>
        <v>0</v>
      </c>
      <c r="BB39" s="3">
        <f>IFERROR(__xludf.DUMMYFUNCTION("""COMPUTED_VALUE"""),0.0)</f>
        <v>0</v>
      </c>
      <c r="BC39" s="3">
        <f>IFERROR(__xludf.DUMMYFUNCTION("""COMPUTED_VALUE"""),0.0)</f>
        <v>0</v>
      </c>
      <c r="BD39" s="3">
        <f>IFERROR(__xludf.DUMMYFUNCTION("""COMPUTED_VALUE"""),2.0)</f>
        <v>2</v>
      </c>
      <c r="BE39" s="3">
        <f>IFERROR(__xludf.DUMMYFUNCTION("""COMPUTED_VALUE"""),2.0)</f>
        <v>2</v>
      </c>
      <c r="BF39" s="3">
        <f>IFERROR(__xludf.DUMMYFUNCTION("""COMPUTED_VALUE"""),2.0)</f>
        <v>2</v>
      </c>
      <c r="BG39" s="3">
        <f>IFERROR(__xludf.DUMMYFUNCTION("""COMPUTED_VALUE"""),2.0)</f>
        <v>2</v>
      </c>
      <c r="BH39" s="3">
        <f>IFERROR(__xludf.DUMMYFUNCTION("""COMPUTED_VALUE"""),8.0)</f>
        <v>8</v>
      </c>
      <c r="BI39" s="3">
        <f>IFERROR(__xludf.DUMMYFUNCTION("""COMPUTED_VALUE"""),9.0)</f>
        <v>9</v>
      </c>
      <c r="BJ39" s="3">
        <f>IFERROR(__xludf.DUMMYFUNCTION("""COMPUTED_VALUE"""),9.0)</f>
        <v>9</v>
      </c>
      <c r="BK39" s="3">
        <f>IFERROR(__xludf.DUMMYFUNCTION("""COMPUTED_VALUE"""),10.0)</f>
        <v>10</v>
      </c>
      <c r="BL39" s="3">
        <f>IFERROR(__xludf.DUMMYFUNCTION("""COMPUTED_VALUE"""),10.0)</f>
        <v>10</v>
      </c>
      <c r="BM39" s="3">
        <f>IFERROR(__xludf.DUMMYFUNCTION("""COMPUTED_VALUE"""),13.0)</f>
        <v>13</v>
      </c>
      <c r="BN39" s="3">
        <f>IFERROR(__xludf.DUMMYFUNCTION("""COMPUTED_VALUE"""),13.0)</f>
        <v>13</v>
      </c>
      <c r="BO39" s="3">
        <f>IFERROR(__xludf.DUMMYFUNCTION("""COMPUTED_VALUE"""),13.0)</f>
        <v>13</v>
      </c>
      <c r="BP39" s="3">
        <f>IFERROR(__xludf.DUMMYFUNCTION("""COMPUTED_VALUE"""),13.0)</f>
        <v>13</v>
      </c>
      <c r="BQ39" s="3">
        <f>IFERROR(__xludf.DUMMYFUNCTION("""COMPUTED_VALUE"""),13.0)</f>
        <v>13</v>
      </c>
      <c r="BR39" s="3">
        <f>IFERROR(__xludf.DUMMYFUNCTION("""COMPUTED_VALUE"""),13.0)</f>
        <v>13</v>
      </c>
      <c r="BS39" s="3">
        <f>IFERROR(__xludf.DUMMYFUNCTION("""COMPUTED_VALUE"""),13.0)</f>
        <v>13</v>
      </c>
      <c r="BT39" s="3">
        <f>IFERROR(__xludf.DUMMYFUNCTION("""COMPUTED_VALUE"""),13.0)</f>
        <v>13</v>
      </c>
      <c r="BU39" s="3">
        <f>IFERROR(__xludf.DUMMYFUNCTION("""COMPUTED_VALUE"""),13.0)</f>
        <v>13</v>
      </c>
      <c r="BV39" s="3">
        <f>IFERROR(__xludf.DUMMYFUNCTION("""COMPUTED_VALUE"""),13.0)</f>
        <v>13</v>
      </c>
      <c r="BW39" s="3">
        <f>IFERROR(__xludf.DUMMYFUNCTION("""COMPUTED_VALUE"""),13.0)</f>
        <v>13</v>
      </c>
      <c r="BX39" s="3">
        <f>IFERROR(__xludf.DUMMYFUNCTION("""COMPUTED_VALUE"""),13.0)</f>
        <v>13</v>
      </c>
      <c r="BY39" s="3">
        <f>IFERROR(__xludf.DUMMYFUNCTION("""COMPUTED_VALUE"""),13.0)</f>
        <v>13</v>
      </c>
      <c r="BZ39" s="3">
        <f>IFERROR(__xludf.DUMMYFUNCTION("""COMPUTED_VALUE"""),13.0)</f>
        <v>13</v>
      </c>
      <c r="CA39" s="3">
        <f>IFERROR(__xludf.DUMMYFUNCTION("""COMPUTED_VALUE"""),13.0)</f>
        <v>13</v>
      </c>
      <c r="CB39" s="3">
        <f>IFERROR(__xludf.DUMMYFUNCTION("""COMPUTED_VALUE"""),13.0)</f>
        <v>13</v>
      </c>
    </row>
    <row r="40">
      <c r="A40" s="3" t="str">
        <f>IFERROR(__xludf.DUMMYFUNCTION("""COMPUTED_VALUE"""),"Manitoba")</f>
        <v>Manitoba</v>
      </c>
      <c r="B40" s="3" t="str">
        <f>IFERROR(__xludf.DUMMYFUNCTION("""COMPUTED_VALUE"""),"Canada")</f>
        <v>Canada</v>
      </c>
      <c r="C40" s="3">
        <f>IFERROR(__xludf.DUMMYFUNCTION("""COMPUTED_VALUE"""),53.7609)</f>
        <v>53.7609</v>
      </c>
      <c r="D40" s="3">
        <f>IFERROR(__xludf.DUMMYFUNCTION("""COMPUTED_VALUE"""),-98.8139)</f>
        <v>-98.8139</v>
      </c>
      <c r="E40" s="3">
        <f>IFERROR(__xludf.DUMMYFUNCTION("""COMPUTED_VALUE"""),0.0)</f>
        <v>0</v>
      </c>
      <c r="F40" s="3">
        <f>IFERROR(__xludf.DUMMYFUNCTION("""COMPUTED_VALUE"""),0.0)</f>
        <v>0</v>
      </c>
      <c r="G40" s="3">
        <f>IFERROR(__xludf.DUMMYFUNCTION("""COMPUTED_VALUE"""),0.0)</f>
        <v>0</v>
      </c>
      <c r="H40" s="3">
        <f>IFERROR(__xludf.DUMMYFUNCTION("""COMPUTED_VALUE"""),0.0)</f>
        <v>0</v>
      </c>
      <c r="I40" s="3">
        <f>IFERROR(__xludf.DUMMYFUNCTION("""COMPUTED_VALUE"""),0.0)</f>
        <v>0</v>
      </c>
      <c r="J40" s="3">
        <f>IFERROR(__xludf.DUMMYFUNCTION("""COMPUTED_VALUE"""),0.0)</f>
        <v>0</v>
      </c>
      <c r="K40" s="3">
        <f>IFERROR(__xludf.DUMMYFUNCTION("""COMPUTED_VALUE"""),0.0)</f>
        <v>0</v>
      </c>
      <c r="L40" s="3">
        <f>IFERROR(__xludf.DUMMYFUNCTION("""COMPUTED_VALUE"""),0.0)</f>
        <v>0</v>
      </c>
      <c r="M40" s="3">
        <f>IFERROR(__xludf.DUMMYFUNCTION("""COMPUTED_VALUE"""),0.0)</f>
        <v>0</v>
      </c>
      <c r="N40" s="3">
        <f>IFERROR(__xludf.DUMMYFUNCTION("""COMPUTED_VALUE"""),0.0)</f>
        <v>0</v>
      </c>
      <c r="O40" s="3">
        <f>IFERROR(__xludf.DUMMYFUNCTION("""COMPUTED_VALUE"""),0.0)</f>
        <v>0</v>
      </c>
      <c r="P40" s="3">
        <f>IFERROR(__xludf.DUMMYFUNCTION("""COMPUTED_VALUE"""),0.0)</f>
        <v>0</v>
      </c>
      <c r="Q40" s="3">
        <f>IFERROR(__xludf.DUMMYFUNCTION("""COMPUTED_VALUE"""),0.0)</f>
        <v>0</v>
      </c>
      <c r="R40" s="3">
        <f>IFERROR(__xludf.DUMMYFUNCTION("""COMPUTED_VALUE"""),0.0)</f>
        <v>0</v>
      </c>
      <c r="S40" s="3">
        <f>IFERROR(__xludf.DUMMYFUNCTION("""COMPUTED_VALUE"""),0.0)</f>
        <v>0</v>
      </c>
      <c r="T40" s="3">
        <f>IFERROR(__xludf.DUMMYFUNCTION("""COMPUTED_VALUE"""),0.0)</f>
        <v>0</v>
      </c>
      <c r="U40" s="3">
        <f>IFERROR(__xludf.DUMMYFUNCTION("""COMPUTED_VALUE"""),0.0)</f>
        <v>0</v>
      </c>
      <c r="V40" s="3">
        <f>IFERROR(__xludf.DUMMYFUNCTION("""COMPUTED_VALUE"""),0.0)</f>
        <v>0</v>
      </c>
      <c r="W40" s="3">
        <f>IFERROR(__xludf.DUMMYFUNCTION("""COMPUTED_VALUE"""),0.0)</f>
        <v>0</v>
      </c>
      <c r="X40" s="3">
        <f>IFERROR(__xludf.DUMMYFUNCTION("""COMPUTED_VALUE"""),0.0)</f>
        <v>0</v>
      </c>
      <c r="Y40" s="3">
        <f>IFERROR(__xludf.DUMMYFUNCTION("""COMPUTED_VALUE"""),0.0)</f>
        <v>0</v>
      </c>
      <c r="Z40" s="3">
        <f>IFERROR(__xludf.DUMMYFUNCTION("""COMPUTED_VALUE"""),0.0)</f>
        <v>0</v>
      </c>
      <c r="AA40" s="3">
        <f>IFERROR(__xludf.DUMMYFUNCTION("""COMPUTED_VALUE"""),0.0)</f>
        <v>0</v>
      </c>
      <c r="AB40" s="3">
        <f>IFERROR(__xludf.DUMMYFUNCTION("""COMPUTED_VALUE"""),0.0)</f>
        <v>0</v>
      </c>
      <c r="AC40" s="3">
        <f>IFERROR(__xludf.DUMMYFUNCTION("""COMPUTED_VALUE"""),0.0)</f>
        <v>0</v>
      </c>
      <c r="AD40" s="3">
        <f>IFERROR(__xludf.DUMMYFUNCTION("""COMPUTED_VALUE"""),0.0)</f>
        <v>0</v>
      </c>
      <c r="AE40" s="3">
        <f>IFERROR(__xludf.DUMMYFUNCTION("""COMPUTED_VALUE"""),0.0)</f>
        <v>0</v>
      </c>
      <c r="AF40" s="3">
        <f>IFERROR(__xludf.DUMMYFUNCTION("""COMPUTED_VALUE"""),0.0)</f>
        <v>0</v>
      </c>
      <c r="AG40" s="3">
        <f>IFERROR(__xludf.DUMMYFUNCTION("""COMPUTED_VALUE"""),0.0)</f>
        <v>0</v>
      </c>
      <c r="AH40" s="3">
        <f>IFERROR(__xludf.DUMMYFUNCTION("""COMPUTED_VALUE"""),0.0)</f>
        <v>0</v>
      </c>
      <c r="AI40" s="3">
        <f>IFERROR(__xludf.DUMMYFUNCTION("""COMPUTED_VALUE"""),0.0)</f>
        <v>0</v>
      </c>
      <c r="AJ40" s="3">
        <f>IFERROR(__xludf.DUMMYFUNCTION("""COMPUTED_VALUE"""),0.0)</f>
        <v>0</v>
      </c>
      <c r="AK40" s="3">
        <f>IFERROR(__xludf.DUMMYFUNCTION("""COMPUTED_VALUE"""),0.0)</f>
        <v>0</v>
      </c>
      <c r="AL40" s="3">
        <f>IFERROR(__xludf.DUMMYFUNCTION("""COMPUTED_VALUE"""),0.0)</f>
        <v>0</v>
      </c>
      <c r="AM40" s="3">
        <f>IFERROR(__xludf.DUMMYFUNCTION("""COMPUTED_VALUE"""),0.0)</f>
        <v>0</v>
      </c>
      <c r="AN40" s="3">
        <f>IFERROR(__xludf.DUMMYFUNCTION("""COMPUTED_VALUE"""),0.0)</f>
        <v>0</v>
      </c>
      <c r="AO40" s="3">
        <f>IFERROR(__xludf.DUMMYFUNCTION("""COMPUTED_VALUE"""),0.0)</f>
        <v>0</v>
      </c>
      <c r="AP40" s="3">
        <f>IFERROR(__xludf.DUMMYFUNCTION("""COMPUTED_VALUE"""),0.0)</f>
        <v>0</v>
      </c>
      <c r="AQ40" s="3">
        <f>IFERROR(__xludf.DUMMYFUNCTION("""COMPUTED_VALUE"""),0.0)</f>
        <v>0</v>
      </c>
      <c r="AR40" s="3">
        <f>IFERROR(__xludf.DUMMYFUNCTION("""COMPUTED_VALUE"""),0.0)</f>
        <v>0</v>
      </c>
      <c r="AS40" s="3">
        <f>IFERROR(__xludf.DUMMYFUNCTION("""COMPUTED_VALUE"""),0.0)</f>
        <v>0</v>
      </c>
      <c r="AT40" s="3">
        <f>IFERROR(__xludf.DUMMYFUNCTION("""COMPUTED_VALUE"""),0.0)</f>
        <v>0</v>
      </c>
      <c r="AU40" s="3">
        <f>IFERROR(__xludf.DUMMYFUNCTION("""COMPUTED_VALUE"""),0.0)</f>
        <v>0</v>
      </c>
      <c r="AV40" s="3">
        <f>IFERROR(__xludf.DUMMYFUNCTION("""COMPUTED_VALUE"""),0.0)</f>
        <v>0</v>
      </c>
      <c r="AW40" s="3">
        <f>IFERROR(__xludf.DUMMYFUNCTION("""COMPUTED_VALUE"""),0.0)</f>
        <v>0</v>
      </c>
      <c r="AX40" s="3">
        <f>IFERROR(__xludf.DUMMYFUNCTION("""COMPUTED_VALUE"""),0.0)</f>
        <v>0</v>
      </c>
      <c r="AY40" s="3">
        <f>IFERROR(__xludf.DUMMYFUNCTION("""COMPUTED_VALUE"""),0.0)</f>
        <v>0</v>
      </c>
      <c r="AZ40" s="3">
        <f>IFERROR(__xludf.DUMMYFUNCTION("""COMPUTED_VALUE"""),0.0)</f>
        <v>0</v>
      </c>
      <c r="BA40" s="3">
        <f>IFERROR(__xludf.DUMMYFUNCTION("""COMPUTED_VALUE"""),0.0)</f>
        <v>0</v>
      </c>
      <c r="BB40" s="3">
        <f>IFERROR(__xludf.DUMMYFUNCTION("""COMPUTED_VALUE"""),0.0)</f>
        <v>0</v>
      </c>
      <c r="BC40" s="3">
        <f>IFERROR(__xludf.DUMMYFUNCTION("""COMPUTED_VALUE"""),0.0)</f>
        <v>0</v>
      </c>
      <c r="BD40" s="3">
        <f>IFERROR(__xludf.DUMMYFUNCTION("""COMPUTED_VALUE"""),4.0)</f>
        <v>4</v>
      </c>
      <c r="BE40" s="3">
        <f>IFERROR(__xludf.DUMMYFUNCTION("""COMPUTED_VALUE"""),4.0)</f>
        <v>4</v>
      </c>
      <c r="BF40" s="3">
        <f>IFERROR(__xludf.DUMMYFUNCTION("""COMPUTED_VALUE"""),4.0)</f>
        <v>4</v>
      </c>
      <c r="BG40" s="3">
        <f>IFERROR(__xludf.DUMMYFUNCTION("""COMPUTED_VALUE"""),7.0)</f>
        <v>7</v>
      </c>
      <c r="BH40" s="3">
        <f>IFERROR(__xludf.DUMMYFUNCTION("""COMPUTED_VALUE"""),8.0)</f>
        <v>8</v>
      </c>
      <c r="BI40" s="3">
        <f>IFERROR(__xludf.DUMMYFUNCTION("""COMPUTED_VALUE"""),15.0)</f>
        <v>15</v>
      </c>
      <c r="BJ40" s="3">
        <f>IFERROR(__xludf.DUMMYFUNCTION("""COMPUTED_VALUE"""),17.0)</f>
        <v>17</v>
      </c>
      <c r="BK40" s="3">
        <f>IFERROR(__xludf.DUMMYFUNCTION("""COMPUTED_VALUE"""),17.0)</f>
        <v>17</v>
      </c>
      <c r="BL40" s="3">
        <f>IFERROR(__xludf.DUMMYFUNCTION("""COMPUTED_VALUE"""),18.0)</f>
        <v>18</v>
      </c>
      <c r="BM40" s="3">
        <f>IFERROR(__xludf.DUMMYFUNCTION("""COMPUTED_VALUE"""),20.0)</f>
        <v>20</v>
      </c>
      <c r="BN40" s="3">
        <f>IFERROR(__xludf.DUMMYFUNCTION("""COMPUTED_VALUE"""),20.0)</f>
        <v>20</v>
      </c>
      <c r="BO40" s="3">
        <f>IFERROR(__xludf.DUMMYFUNCTION("""COMPUTED_VALUE"""),21.0)</f>
        <v>21</v>
      </c>
      <c r="BP40" s="3">
        <f>IFERROR(__xludf.DUMMYFUNCTION("""COMPUTED_VALUE"""),35.0)</f>
        <v>35</v>
      </c>
      <c r="BQ40" s="3">
        <f>IFERROR(__xludf.DUMMYFUNCTION("""COMPUTED_VALUE"""),36.0)</f>
        <v>36</v>
      </c>
      <c r="BR40" s="3">
        <f>IFERROR(__xludf.DUMMYFUNCTION("""COMPUTED_VALUE"""),39.0)</f>
        <v>39</v>
      </c>
      <c r="BS40" s="3">
        <f>IFERROR(__xludf.DUMMYFUNCTION("""COMPUTED_VALUE"""),64.0)</f>
        <v>64</v>
      </c>
      <c r="BT40" s="3">
        <f>IFERROR(__xludf.DUMMYFUNCTION("""COMPUTED_VALUE"""),72.0)</f>
        <v>72</v>
      </c>
      <c r="BU40" s="3">
        <f>IFERROR(__xludf.DUMMYFUNCTION("""COMPUTED_VALUE"""),96.0)</f>
        <v>96</v>
      </c>
      <c r="BV40" s="3">
        <f>IFERROR(__xludf.DUMMYFUNCTION("""COMPUTED_VALUE"""),103.0)</f>
        <v>103</v>
      </c>
      <c r="BW40" s="3">
        <f>IFERROR(__xludf.DUMMYFUNCTION("""COMPUTED_VALUE"""),127.0)</f>
        <v>127</v>
      </c>
      <c r="BX40" s="3">
        <f>IFERROR(__xludf.DUMMYFUNCTION("""COMPUTED_VALUE"""),167.0)</f>
        <v>167</v>
      </c>
      <c r="BY40" s="3">
        <f>IFERROR(__xludf.DUMMYFUNCTION("""COMPUTED_VALUE"""),182.0)</f>
        <v>182</v>
      </c>
      <c r="BZ40" s="3">
        <f>IFERROR(__xludf.DUMMYFUNCTION("""COMPUTED_VALUE"""),182.0)</f>
        <v>182</v>
      </c>
      <c r="CA40" s="3">
        <f>IFERROR(__xludf.DUMMYFUNCTION("""COMPUTED_VALUE"""),203.0)</f>
        <v>203</v>
      </c>
      <c r="CB40" s="3">
        <f>IFERROR(__xludf.DUMMYFUNCTION("""COMPUTED_VALUE"""),203.0)</f>
        <v>203</v>
      </c>
    </row>
    <row r="41">
      <c r="A41" s="3" t="str">
        <f>IFERROR(__xludf.DUMMYFUNCTION("""COMPUTED_VALUE"""),"New Brunswick")</f>
        <v>New Brunswick</v>
      </c>
      <c r="B41" s="3" t="str">
        <f>IFERROR(__xludf.DUMMYFUNCTION("""COMPUTED_VALUE"""),"Canada")</f>
        <v>Canada</v>
      </c>
      <c r="C41" s="3">
        <f>IFERROR(__xludf.DUMMYFUNCTION("""COMPUTED_VALUE"""),46.5653)</f>
        <v>46.5653</v>
      </c>
      <c r="D41" s="3">
        <f>IFERROR(__xludf.DUMMYFUNCTION("""COMPUTED_VALUE"""),-66.4619)</f>
        <v>-66.4619</v>
      </c>
      <c r="E41" s="3">
        <f>IFERROR(__xludf.DUMMYFUNCTION("""COMPUTED_VALUE"""),0.0)</f>
        <v>0</v>
      </c>
      <c r="F41" s="3">
        <f>IFERROR(__xludf.DUMMYFUNCTION("""COMPUTED_VALUE"""),0.0)</f>
        <v>0</v>
      </c>
      <c r="G41" s="3">
        <f>IFERROR(__xludf.DUMMYFUNCTION("""COMPUTED_VALUE"""),0.0)</f>
        <v>0</v>
      </c>
      <c r="H41" s="3">
        <f>IFERROR(__xludf.DUMMYFUNCTION("""COMPUTED_VALUE"""),0.0)</f>
        <v>0</v>
      </c>
      <c r="I41" s="3">
        <f>IFERROR(__xludf.DUMMYFUNCTION("""COMPUTED_VALUE"""),0.0)</f>
        <v>0</v>
      </c>
      <c r="J41" s="3">
        <f>IFERROR(__xludf.DUMMYFUNCTION("""COMPUTED_VALUE"""),0.0)</f>
        <v>0</v>
      </c>
      <c r="K41" s="3">
        <f>IFERROR(__xludf.DUMMYFUNCTION("""COMPUTED_VALUE"""),0.0)</f>
        <v>0</v>
      </c>
      <c r="L41" s="3">
        <f>IFERROR(__xludf.DUMMYFUNCTION("""COMPUTED_VALUE"""),0.0)</f>
        <v>0</v>
      </c>
      <c r="M41" s="3">
        <f>IFERROR(__xludf.DUMMYFUNCTION("""COMPUTED_VALUE"""),0.0)</f>
        <v>0</v>
      </c>
      <c r="N41" s="3">
        <f>IFERROR(__xludf.DUMMYFUNCTION("""COMPUTED_VALUE"""),0.0)</f>
        <v>0</v>
      </c>
      <c r="O41" s="3">
        <f>IFERROR(__xludf.DUMMYFUNCTION("""COMPUTED_VALUE"""),0.0)</f>
        <v>0</v>
      </c>
      <c r="P41" s="3">
        <f>IFERROR(__xludf.DUMMYFUNCTION("""COMPUTED_VALUE"""),0.0)</f>
        <v>0</v>
      </c>
      <c r="Q41" s="3">
        <f>IFERROR(__xludf.DUMMYFUNCTION("""COMPUTED_VALUE"""),0.0)</f>
        <v>0</v>
      </c>
      <c r="R41" s="3">
        <f>IFERROR(__xludf.DUMMYFUNCTION("""COMPUTED_VALUE"""),0.0)</f>
        <v>0</v>
      </c>
      <c r="S41" s="3">
        <f>IFERROR(__xludf.DUMMYFUNCTION("""COMPUTED_VALUE"""),0.0)</f>
        <v>0</v>
      </c>
      <c r="T41" s="3">
        <f>IFERROR(__xludf.DUMMYFUNCTION("""COMPUTED_VALUE"""),0.0)</f>
        <v>0</v>
      </c>
      <c r="U41" s="3">
        <f>IFERROR(__xludf.DUMMYFUNCTION("""COMPUTED_VALUE"""),0.0)</f>
        <v>0</v>
      </c>
      <c r="V41" s="3">
        <f>IFERROR(__xludf.DUMMYFUNCTION("""COMPUTED_VALUE"""),0.0)</f>
        <v>0</v>
      </c>
      <c r="W41" s="3">
        <f>IFERROR(__xludf.DUMMYFUNCTION("""COMPUTED_VALUE"""),0.0)</f>
        <v>0</v>
      </c>
      <c r="X41" s="3">
        <f>IFERROR(__xludf.DUMMYFUNCTION("""COMPUTED_VALUE"""),0.0)</f>
        <v>0</v>
      </c>
      <c r="Y41" s="3">
        <f>IFERROR(__xludf.DUMMYFUNCTION("""COMPUTED_VALUE"""),0.0)</f>
        <v>0</v>
      </c>
      <c r="Z41" s="3">
        <f>IFERROR(__xludf.DUMMYFUNCTION("""COMPUTED_VALUE"""),0.0)</f>
        <v>0</v>
      </c>
      <c r="AA41" s="3">
        <f>IFERROR(__xludf.DUMMYFUNCTION("""COMPUTED_VALUE"""),0.0)</f>
        <v>0</v>
      </c>
      <c r="AB41" s="3">
        <f>IFERROR(__xludf.DUMMYFUNCTION("""COMPUTED_VALUE"""),0.0)</f>
        <v>0</v>
      </c>
      <c r="AC41" s="3">
        <f>IFERROR(__xludf.DUMMYFUNCTION("""COMPUTED_VALUE"""),0.0)</f>
        <v>0</v>
      </c>
      <c r="AD41" s="3">
        <f>IFERROR(__xludf.DUMMYFUNCTION("""COMPUTED_VALUE"""),0.0)</f>
        <v>0</v>
      </c>
      <c r="AE41" s="3">
        <f>IFERROR(__xludf.DUMMYFUNCTION("""COMPUTED_VALUE"""),0.0)</f>
        <v>0</v>
      </c>
      <c r="AF41" s="3">
        <f>IFERROR(__xludf.DUMMYFUNCTION("""COMPUTED_VALUE"""),0.0)</f>
        <v>0</v>
      </c>
      <c r="AG41" s="3">
        <f>IFERROR(__xludf.DUMMYFUNCTION("""COMPUTED_VALUE"""),0.0)</f>
        <v>0</v>
      </c>
      <c r="AH41" s="3">
        <f>IFERROR(__xludf.DUMMYFUNCTION("""COMPUTED_VALUE"""),0.0)</f>
        <v>0</v>
      </c>
      <c r="AI41" s="3">
        <f>IFERROR(__xludf.DUMMYFUNCTION("""COMPUTED_VALUE"""),0.0)</f>
        <v>0</v>
      </c>
      <c r="AJ41" s="3">
        <f>IFERROR(__xludf.DUMMYFUNCTION("""COMPUTED_VALUE"""),0.0)</f>
        <v>0</v>
      </c>
      <c r="AK41" s="3">
        <f>IFERROR(__xludf.DUMMYFUNCTION("""COMPUTED_VALUE"""),0.0)</f>
        <v>0</v>
      </c>
      <c r="AL41" s="3">
        <f>IFERROR(__xludf.DUMMYFUNCTION("""COMPUTED_VALUE"""),0.0)</f>
        <v>0</v>
      </c>
      <c r="AM41" s="3">
        <f>IFERROR(__xludf.DUMMYFUNCTION("""COMPUTED_VALUE"""),0.0)</f>
        <v>0</v>
      </c>
      <c r="AN41" s="3">
        <f>IFERROR(__xludf.DUMMYFUNCTION("""COMPUTED_VALUE"""),0.0)</f>
        <v>0</v>
      </c>
      <c r="AO41" s="3">
        <f>IFERROR(__xludf.DUMMYFUNCTION("""COMPUTED_VALUE"""),0.0)</f>
        <v>0</v>
      </c>
      <c r="AP41" s="3">
        <f>IFERROR(__xludf.DUMMYFUNCTION("""COMPUTED_VALUE"""),0.0)</f>
        <v>0</v>
      </c>
      <c r="AQ41" s="3">
        <f>IFERROR(__xludf.DUMMYFUNCTION("""COMPUTED_VALUE"""),0.0)</f>
        <v>0</v>
      </c>
      <c r="AR41" s="3">
        <f>IFERROR(__xludf.DUMMYFUNCTION("""COMPUTED_VALUE"""),0.0)</f>
        <v>0</v>
      </c>
      <c r="AS41" s="3">
        <f>IFERROR(__xludf.DUMMYFUNCTION("""COMPUTED_VALUE"""),0.0)</f>
        <v>0</v>
      </c>
      <c r="AT41" s="3">
        <f>IFERROR(__xludf.DUMMYFUNCTION("""COMPUTED_VALUE"""),0.0)</f>
        <v>0</v>
      </c>
      <c r="AU41" s="3">
        <f>IFERROR(__xludf.DUMMYFUNCTION("""COMPUTED_VALUE"""),0.0)</f>
        <v>0</v>
      </c>
      <c r="AV41" s="3">
        <f>IFERROR(__xludf.DUMMYFUNCTION("""COMPUTED_VALUE"""),0.0)</f>
        <v>0</v>
      </c>
      <c r="AW41" s="3">
        <f>IFERROR(__xludf.DUMMYFUNCTION("""COMPUTED_VALUE"""),0.0)</f>
        <v>0</v>
      </c>
      <c r="AX41" s="3">
        <f>IFERROR(__xludf.DUMMYFUNCTION("""COMPUTED_VALUE"""),0.0)</f>
        <v>0</v>
      </c>
      <c r="AY41" s="3">
        <f>IFERROR(__xludf.DUMMYFUNCTION("""COMPUTED_VALUE"""),0.0)</f>
        <v>0</v>
      </c>
      <c r="AZ41" s="3">
        <f>IFERROR(__xludf.DUMMYFUNCTION("""COMPUTED_VALUE"""),0.0)</f>
        <v>0</v>
      </c>
      <c r="BA41" s="3">
        <f>IFERROR(__xludf.DUMMYFUNCTION("""COMPUTED_VALUE"""),0.0)</f>
        <v>0</v>
      </c>
      <c r="BB41" s="3">
        <f>IFERROR(__xludf.DUMMYFUNCTION("""COMPUTED_VALUE"""),1.0)</f>
        <v>1</v>
      </c>
      <c r="BC41" s="3">
        <f>IFERROR(__xludf.DUMMYFUNCTION("""COMPUTED_VALUE"""),1.0)</f>
        <v>1</v>
      </c>
      <c r="BD41" s="3">
        <f>IFERROR(__xludf.DUMMYFUNCTION("""COMPUTED_VALUE"""),1.0)</f>
        <v>1</v>
      </c>
      <c r="BE41" s="3">
        <f>IFERROR(__xludf.DUMMYFUNCTION("""COMPUTED_VALUE"""),1.0)</f>
        <v>1</v>
      </c>
      <c r="BF41" s="3">
        <f>IFERROR(__xludf.DUMMYFUNCTION("""COMPUTED_VALUE"""),2.0)</f>
        <v>2</v>
      </c>
      <c r="BG41" s="3">
        <f>IFERROR(__xludf.DUMMYFUNCTION("""COMPUTED_VALUE"""),6.0)</f>
        <v>6</v>
      </c>
      <c r="BH41" s="3">
        <f>IFERROR(__xludf.DUMMYFUNCTION("""COMPUTED_VALUE"""),8.0)</f>
        <v>8</v>
      </c>
      <c r="BI41" s="3">
        <f>IFERROR(__xludf.DUMMYFUNCTION("""COMPUTED_VALUE"""),11.0)</f>
        <v>11</v>
      </c>
      <c r="BJ41" s="3">
        <f>IFERROR(__xludf.DUMMYFUNCTION("""COMPUTED_VALUE"""),11.0)</f>
        <v>11</v>
      </c>
      <c r="BK41" s="3">
        <f>IFERROR(__xludf.DUMMYFUNCTION("""COMPUTED_VALUE"""),11.0)</f>
        <v>11</v>
      </c>
      <c r="BL41" s="3">
        <f>IFERROR(__xludf.DUMMYFUNCTION("""COMPUTED_VALUE"""),17.0)</f>
        <v>17</v>
      </c>
      <c r="BM41" s="3">
        <f>IFERROR(__xludf.DUMMYFUNCTION("""COMPUTED_VALUE"""),17.0)</f>
        <v>17</v>
      </c>
      <c r="BN41" s="3">
        <f>IFERROR(__xludf.DUMMYFUNCTION("""COMPUTED_VALUE"""),17.0)</f>
        <v>17</v>
      </c>
      <c r="BO41" s="3">
        <f>IFERROR(__xludf.DUMMYFUNCTION("""COMPUTED_VALUE"""),18.0)</f>
        <v>18</v>
      </c>
      <c r="BP41" s="3">
        <f>IFERROR(__xludf.DUMMYFUNCTION("""COMPUTED_VALUE"""),18.0)</f>
        <v>18</v>
      </c>
      <c r="BQ41" s="3">
        <f>IFERROR(__xludf.DUMMYFUNCTION("""COMPUTED_VALUE"""),33.0)</f>
        <v>33</v>
      </c>
      <c r="BR41" s="3">
        <f>IFERROR(__xludf.DUMMYFUNCTION("""COMPUTED_VALUE"""),45.0)</f>
        <v>45</v>
      </c>
      <c r="BS41" s="3">
        <f>IFERROR(__xludf.DUMMYFUNCTION("""COMPUTED_VALUE"""),51.0)</f>
        <v>51</v>
      </c>
      <c r="BT41" s="3">
        <f>IFERROR(__xludf.DUMMYFUNCTION("""COMPUTED_VALUE"""),66.0)</f>
        <v>66</v>
      </c>
      <c r="BU41" s="3">
        <f>IFERROR(__xludf.DUMMYFUNCTION("""COMPUTED_VALUE"""),68.0)</f>
        <v>68</v>
      </c>
      <c r="BV41" s="3">
        <f>IFERROR(__xludf.DUMMYFUNCTION("""COMPUTED_VALUE"""),70.0)</f>
        <v>70</v>
      </c>
      <c r="BW41" s="3">
        <f>IFERROR(__xludf.DUMMYFUNCTION("""COMPUTED_VALUE"""),81.0)</f>
        <v>81</v>
      </c>
      <c r="BX41" s="3">
        <f>IFERROR(__xludf.DUMMYFUNCTION("""COMPUTED_VALUE"""),91.0)</f>
        <v>91</v>
      </c>
      <c r="BY41" s="3">
        <f>IFERROR(__xludf.DUMMYFUNCTION("""COMPUTED_VALUE"""),91.0)</f>
        <v>91</v>
      </c>
      <c r="BZ41" s="3">
        <f>IFERROR(__xludf.DUMMYFUNCTION("""COMPUTED_VALUE"""),91.0)</f>
        <v>91</v>
      </c>
      <c r="CA41" s="3">
        <f>IFERROR(__xludf.DUMMYFUNCTION("""COMPUTED_VALUE"""),98.0)</f>
        <v>98</v>
      </c>
      <c r="CB41" s="3">
        <f>IFERROR(__xludf.DUMMYFUNCTION("""COMPUTED_VALUE"""),103.0)</f>
        <v>103</v>
      </c>
    </row>
    <row r="42">
      <c r="A42" s="3" t="str">
        <f>IFERROR(__xludf.DUMMYFUNCTION("""COMPUTED_VALUE"""),"Newfoundland and Labrador")</f>
        <v>Newfoundland and Labrador</v>
      </c>
      <c r="B42" s="3" t="str">
        <f>IFERROR(__xludf.DUMMYFUNCTION("""COMPUTED_VALUE"""),"Canada")</f>
        <v>Canada</v>
      </c>
      <c r="C42" s="3">
        <f>IFERROR(__xludf.DUMMYFUNCTION("""COMPUTED_VALUE"""),53.1355)</f>
        <v>53.1355</v>
      </c>
      <c r="D42" s="3">
        <f>IFERROR(__xludf.DUMMYFUNCTION("""COMPUTED_VALUE"""),-57.6604)</f>
        <v>-57.6604</v>
      </c>
      <c r="E42" s="3">
        <f>IFERROR(__xludf.DUMMYFUNCTION("""COMPUTED_VALUE"""),0.0)</f>
        <v>0</v>
      </c>
      <c r="F42" s="3">
        <f>IFERROR(__xludf.DUMMYFUNCTION("""COMPUTED_VALUE"""),0.0)</f>
        <v>0</v>
      </c>
      <c r="G42" s="3">
        <f>IFERROR(__xludf.DUMMYFUNCTION("""COMPUTED_VALUE"""),0.0)</f>
        <v>0</v>
      </c>
      <c r="H42" s="3">
        <f>IFERROR(__xludf.DUMMYFUNCTION("""COMPUTED_VALUE"""),0.0)</f>
        <v>0</v>
      </c>
      <c r="I42" s="3">
        <f>IFERROR(__xludf.DUMMYFUNCTION("""COMPUTED_VALUE"""),0.0)</f>
        <v>0</v>
      </c>
      <c r="J42" s="3">
        <f>IFERROR(__xludf.DUMMYFUNCTION("""COMPUTED_VALUE"""),0.0)</f>
        <v>0</v>
      </c>
      <c r="K42" s="3">
        <f>IFERROR(__xludf.DUMMYFUNCTION("""COMPUTED_VALUE"""),0.0)</f>
        <v>0</v>
      </c>
      <c r="L42" s="3">
        <f>IFERROR(__xludf.DUMMYFUNCTION("""COMPUTED_VALUE"""),0.0)</f>
        <v>0</v>
      </c>
      <c r="M42" s="3">
        <f>IFERROR(__xludf.DUMMYFUNCTION("""COMPUTED_VALUE"""),0.0)</f>
        <v>0</v>
      </c>
      <c r="N42" s="3">
        <f>IFERROR(__xludf.DUMMYFUNCTION("""COMPUTED_VALUE"""),0.0)</f>
        <v>0</v>
      </c>
      <c r="O42" s="3">
        <f>IFERROR(__xludf.DUMMYFUNCTION("""COMPUTED_VALUE"""),0.0)</f>
        <v>0</v>
      </c>
      <c r="P42" s="3">
        <f>IFERROR(__xludf.DUMMYFUNCTION("""COMPUTED_VALUE"""),0.0)</f>
        <v>0</v>
      </c>
      <c r="Q42" s="3">
        <f>IFERROR(__xludf.DUMMYFUNCTION("""COMPUTED_VALUE"""),0.0)</f>
        <v>0</v>
      </c>
      <c r="R42" s="3">
        <f>IFERROR(__xludf.DUMMYFUNCTION("""COMPUTED_VALUE"""),0.0)</f>
        <v>0</v>
      </c>
      <c r="S42" s="3">
        <f>IFERROR(__xludf.DUMMYFUNCTION("""COMPUTED_VALUE"""),0.0)</f>
        <v>0</v>
      </c>
      <c r="T42" s="3">
        <f>IFERROR(__xludf.DUMMYFUNCTION("""COMPUTED_VALUE"""),0.0)</f>
        <v>0</v>
      </c>
      <c r="U42" s="3">
        <f>IFERROR(__xludf.DUMMYFUNCTION("""COMPUTED_VALUE"""),0.0)</f>
        <v>0</v>
      </c>
      <c r="V42" s="3">
        <f>IFERROR(__xludf.DUMMYFUNCTION("""COMPUTED_VALUE"""),0.0)</f>
        <v>0</v>
      </c>
      <c r="W42" s="3">
        <f>IFERROR(__xludf.DUMMYFUNCTION("""COMPUTED_VALUE"""),0.0)</f>
        <v>0</v>
      </c>
      <c r="X42" s="3">
        <f>IFERROR(__xludf.DUMMYFUNCTION("""COMPUTED_VALUE"""),0.0)</f>
        <v>0</v>
      </c>
      <c r="Y42" s="3">
        <f>IFERROR(__xludf.DUMMYFUNCTION("""COMPUTED_VALUE"""),0.0)</f>
        <v>0</v>
      </c>
      <c r="Z42" s="3">
        <f>IFERROR(__xludf.DUMMYFUNCTION("""COMPUTED_VALUE"""),0.0)</f>
        <v>0</v>
      </c>
      <c r="AA42" s="3">
        <f>IFERROR(__xludf.DUMMYFUNCTION("""COMPUTED_VALUE"""),0.0)</f>
        <v>0</v>
      </c>
      <c r="AB42" s="3">
        <f>IFERROR(__xludf.DUMMYFUNCTION("""COMPUTED_VALUE"""),0.0)</f>
        <v>0</v>
      </c>
      <c r="AC42" s="3">
        <f>IFERROR(__xludf.DUMMYFUNCTION("""COMPUTED_VALUE"""),0.0)</f>
        <v>0</v>
      </c>
      <c r="AD42" s="3">
        <f>IFERROR(__xludf.DUMMYFUNCTION("""COMPUTED_VALUE"""),0.0)</f>
        <v>0</v>
      </c>
      <c r="AE42" s="3">
        <f>IFERROR(__xludf.DUMMYFUNCTION("""COMPUTED_VALUE"""),0.0)</f>
        <v>0</v>
      </c>
      <c r="AF42" s="3">
        <f>IFERROR(__xludf.DUMMYFUNCTION("""COMPUTED_VALUE"""),0.0)</f>
        <v>0</v>
      </c>
      <c r="AG42" s="3">
        <f>IFERROR(__xludf.DUMMYFUNCTION("""COMPUTED_VALUE"""),0.0)</f>
        <v>0</v>
      </c>
      <c r="AH42" s="3">
        <f>IFERROR(__xludf.DUMMYFUNCTION("""COMPUTED_VALUE"""),0.0)</f>
        <v>0</v>
      </c>
      <c r="AI42" s="3">
        <f>IFERROR(__xludf.DUMMYFUNCTION("""COMPUTED_VALUE"""),0.0)</f>
        <v>0</v>
      </c>
      <c r="AJ42" s="3">
        <f>IFERROR(__xludf.DUMMYFUNCTION("""COMPUTED_VALUE"""),0.0)</f>
        <v>0</v>
      </c>
      <c r="AK42" s="3">
        <f>IFERROR(__xludf.DUMMYFUNCTION("""COMPUTED_VALUE"""),0.0)</f>
        <v>0</v>
      </c>
      <c r="AL42" s="3">
        <f>IFERROR(__xludf.DUMMYFUNCTION("""COMPUTED_VALUE"""),0.0)</f>
        <v>0</v>
      </c>
      <c r="AM42" s="3">
        <f>IFERROR(__xludf.DUMMYFUNCTION("""COMPUTED_VALUE"""),0.0)</f>
        <v>0</v>
      </c>
      <c r="AN42" s="3">
        <f>IFERROR(__xludf.DUMMYFUNCTION("""COMPUTED_VALUE"""),0.0)</f>
        <v>0</v>
      </c>
      <c r="AO42" s="3">
        <f>IFERROR(__xludf.DUMMYFUNCTION("""COMPUTED_VALUE"""),0.0)</f>
        <v>0</v>
      </c>
      <c r="AP42" s="3">
        <f>IFERROR(__xludf.DUMMYFUNCTION("""COMPUTED_VALUE"""),0.0)</f>
        <v>0</v>
      </c>
      <c r="AQ42" s="3">
        <f>IFERROR(__xludf.DUMMYFUNCTION("""COMPUTED_VALUE"""),0.0)</f>
        <v>0</v>
      </c>
      <c r="AR42" s="3">
        <f>IFERROR(__xludf.DUMMYFUNCTION("""COMPUTED_VALUE"""),0.0)</f>
        <v>0</v>
      </c>
      <c r="AS42" s="3">
        <f>IFERROR(__xludf.DUMMYFUNCTION("""COMPUTED_VALUE"""),0.0)</f>
        <v>0</v>
      </c>
      <c r="AT42" s="3">
        <f>IFERROR(__xludf.DUMMYFUNCTION("""COMPUTED_VALUE"""),0.0)</f>
        <v>0</v>
      </c>
      <c r="AU42" s="3">
        <f>IFERROR(__xludf.DUMMYFUNCTION("""COMPUTED_VALUE"""),0.0)</f>
        <v>0</v>
      </c>
      <c r="AV42" s="3">
        <f>IFERROR(__xludf.DUMMYFUNCTION("""COMPUTED_VALUE"""),0.0)</f>
        <v>0</v>
      </c>
      <c r="AW42" s="3">
        <f>IFERROR(__xludf.DUMMYFUNCTION("""COMPUTED_VALUE"""),0.0)</f>
        <v>0</v>
      </c>
      <c r="AX42" s="3">
        <f>IFERROR(__xludf.DUMMYFUNCTION("""COMPUTED_VALUE"""),0.0)</f>
        <v>0</v>
      </c>
      <c r="AY42" s="3">
        <f>IFERROR(__xludf.DUMMYFUNCTION("""COMPUTED_VALUE"""),0.0)</f>
        <v>0</v>
      </c>
      <c r="AZ42" s="3">
        <f>IFERROR(__xludf.DUMMYFUNCTION("""COMPUTED_VALUE"""),0.0)</f>
        <v>0</v>
      </c>
      <c r="BA42" s="3">
        <f>IFERROR(__xludf.DUMMYFUNCTION("""COMPUTED_VALUE"""),0.0)</f>
        <v>0</v>
      </c>
      <c r="BB42" s="3">
        <f>IFERROR(__xludf.DUMMYFUNCTION("""COMPUTED_VALUE"""),0.0)</f>
        <v>0</v>
      </c>
      <c r="BC42" s="3">
        <f>IFERROR(__xludf.DUMMYFUNCTION("""COMPUTED_VALUE"""),0.0)</f>
        <v>0</v>
      </c>
      <c r="BD42" s="3">
        <f>IFERROR(__xludf.DUMMYFUNCTION("""COMPUTED_VALUE"""),0.0)</f>
        <v>0</v>
      </c>
      <c r="BE42" s="3">
        <f>IFERROR(__xludf.DUMMYFUNCTION("""COMPUTED_VALUE"""),0.0)</f>
        <v>0</v>
      </c>
      <c r="BF42" s="3">
        <f>IFERROR(__xludf.DUMMYFUNCTION("""COMPUTED_VALUE"""),1.0)</f>
        <v>1</v>
      </c>
      <c r="BG42" s="3">
        <f>IFERROR(__xludf.DUMMYFUNCTION("""COMPUTED_VALUE"""),1.0)</f>
        <v>1</v>
      </c>
      <c r="BH42" s="3">
        <f>IFERROR(__xludf.DUMMYFUNCTION("""COMPUTED_VALUE"""),3.0)</f>
        <v>3</v>
      </c>
      <c r="BI42" s="3">
        <f>IFERROR(__xludf.DUMMYFUNCTION("""COMPUTED_VALUE"""),3.0)</f>
        <v>3</v>
      </c>
      <c r="BJ42" s="3">
        <f>IFERROR(__xludf.DUMMYFUNCTION("""COMPUTED_VALUE"""),3.0)</f>
        <v>3</v>
      </c>
      <c r="BK42" s="3">
        <f>IFERROR(__xludf.DUMMYFUNCTION("""COMPUTED_VALUE"""),4.0)</f>
        <v>4</v>
      </c>
      <c r="BL42" s="3">
        <f>IFERROR(__xludf.DUMMYFUNCTION("""COMPUTED_VALUE"""),6.0)</f>
        <v>6</v>
      </c>
      <c r="BM42" s="3">
        <f>IFERROR(__xludf.DUMMYFUNCTION("""COMPUTED_VALUE"""),9.0)</f>
        <v>9</v>
      </c>
      <c r="BN42" s="3">
        <f>IFERROR(__xludf.DUMMYFUNCTION("""COMPUTED_VALUE"""),24.0)</f>
        <v>24</v>
      </c>
      <c r="BO42" s="3">
        <f>IFERROR(__xludf.DUMMYFUNCTION("""COMPUTED_VALUE"""),35.0)</f>
        <v>35</v>
      </c>
      <c r="BP42" s="3">
        <f>IFERROR(__xludf.DUMMYFUNCTION("""COMPUTED_VALUE"""),35.0)</f>
        <v>35</v>
      </c>
      <c r="BQ42" s="3">
        <f>IFERROR(__xludf.DUMMYFUNCTION("""COMPUTED_VALUE"""),82.0)</f>
        <v>82</v>
      </c>
      <c r="BR42" s="3">
        <f>IFERROR(__xludf.DUMMYFUNCTION("""COMPUTED_VALUE"""),102.0)</f>
        <v>102</v>
      </c>
      <c r="BS42" s="3">
        <f>IFERROR(__xludf.DUMMYFUNCTION("""COMPUTED_VALUE"""),120.0)</f>
        <v>120</v>
      </c>
      <c r="BT42" s="3">
        <f>IFERROR(__xludf.DUMMYFUNCTION("""COMPUTED_VALUE"""),135.0)</f>
        <v>135</v>
      </c>
      <c r="BU42" s="3">
        <f>IFERROR(__xludf.DUMMYFUNCTION("""COMPUTED_VALUE"""),148.0)</f>
        <v>148</v>
      </c>
      <c r="BV42" s="3">
        <f>IFERROR(__xludf.DUMMYFUNCTION("""COMPUTED_VALUE"""),152.0)</f>
        <v>152</v>
      </c>
      <c r="BW42" s="3">
        <f>IFERROR(__xludf.DUMMYFUNCTION("""COMPUTED_VALUE"""),175.0)</f>
        <v>175</v>
      </c>
      <c r="BX42" s="3">
        <f>IFERROR(__xludf.DUMMYFUNCTION("""COMPUTED_VALUE"""),183.0)</f>
        <v>183</v>
      </c>
      <c r="BY42" s="3">
        <f>IFERROR(__xludf.DUMMYFUNCTION("""COMPUTED_VALUE"""),195.0)</f>
        <v>195</v>
      </c>
      <c r="BZ42" s="3">
        <f>IFERROR(__xludf.DUMMYFUNCTION("""COMPUTED_VALUE"""),195.0)</f>
        <v>195</v>
      </c>
      <c r="CA42" s="3">
        <f>IFERROR(__xludf.DUMMYFUNCTION("""COMPUTED_VALUE"""),217.0)</f>
        <v>217</v>
      </c>
      <c r="CB42" s="3">
        <f>IFERROR(__xludf.DUMMYFUNCTION("""COMPUTED_VALUE"""),226.0)</f>
        <v>226</v>
      </c>
    </row>
    <row r="43">
      <c r="A43" s="3" t="str">
        <f>IFERROR(__xludf.DUMMYFUNCTION("""COMPUTED_VALUE"""),"Nova Scotia")</f>
        <v>Nova Scotia</v>
      </c>
      <c r="B43" s="3" t="str">
        <f>IFERROR(__xludf.DUMMYFUNCTION("""COMPUTED_VALUE"""),"Canada")</f>
        <v>Canada</v>
      </c>
      <c r="C43" s="3">
        <f>IFERROR(__xludf.DUMMYFUNCTION("""COMPUTED_VALUE"""),44.682)</f>
        <v>44.682</v>
      </c>
      <c r="D43" s="3">
        <f>IFERROR(__xludf.DUMMYFUNCTION("""COMPUTED_VALUE"""),-63.7443)</f>
        <v>-63.7443</v>
      </c>
      <c r="E43" s="3">
        <f>IFERROR(__xludf.DUMMYFUNCTION("""COMPUTED_VALUE"""),0.0)</f>
        <v>0</v>
      </c>
      <c r="F43" s="3">
        <f>IFERROR(__xludf.DUMMYFUNCTION("""COMPUTED_VALUE"""),0.0)</f>
        <v>0</v>
      </c>
      <c r="G43" s="3">
        <f>IFERROR(__xludf.DUMMYFUNCTION("""COMPUTED_VALUE"""),0.0)</f>
        <v>0</v>
      </c>
      <c r="H43" s="3">
        <f>IFERROR(__xludf.DUMMYFUNCTION("""COMPUTED_VALUE"""),0.0)</f>
        <v>0</v>
      </c>
      <c r="I43" s="3">
        <f>IFERROR(__xludf.DUMMYFUNCTION("""COMPUTED_VALUE"""),0.0)</f>
        <v>0</v>
      </c>
      <c r="J43" s="3">
        <f>IFERROR(__xludf.DUMMYFUNCTION("""COMPUTED_VALUE"""),0.0)</f>
        <v>0</v>
      </c>
      <c r="K43" s="3">
        <f>IFERROR(__xludf.DUMMYFUNCTION("""COMPUTED_VALUE"""),0.0)</f>
        <v>0</v>
      </c>
      <c r="L43" s="3">
        <f>IFERROR(__xludf.DUMMYFUNCTION("""COMPUTED_VALUE"""),0.0)</f>
        <v>0</v>
      </c>
      <c r="M43" s="3">
        <f>IFERROR(__xludf.DUMMYFUNCTION("""COMPUTED_VALUE"""),0.0)</f>
        <v>0</v>
      </c>
      <c r="N43" s="3">
        <f>IFERROR(__xludf.DUMMYFUNCTION("""COMPUTED_VALUE"""),0.0)</f>
        <v>0</v>
      </c>
      <c r="O43" s="3">
        <f>IFERROR(__xludf.DUMMYFUNCTION("""COMPUTED_VALUE"""),0.0)</f>
        <v>0</v>
      </c>
      <c r="P43" s="3">
        <f>IFERROR(__xludf.DUMMYFUNCTION("""COMPUTED_VALUE"""),0.0)</f>
        <v>0</v>
      </c>
      <c r="Q43" s="3">
        <f>IFERROR(__xludf.DUMMYFUNCTION("""COMPUTED_VALUE"""),0.0)</f>
        <v>0</v>
      </c>
      <c r="R43" s="3">
        <f>IFERROR(__xludf.DUMMYFUNCTION("""COMPUTED_VALUE"""),0.0)</f>
        <v>0</v>
      </c>
      <c r="S43" s="3">
        <f>IFERROR(__xludf.DUMMYFUNCTION("""COMPUTED_VALUE"""),0.0)</f>
        <v>0</v>
      </c>
      <c r="T43" s="3">
        <f>IFERROR(__xludf.DUMMYFUNCTION("""COMPUTED_VALUE"""),0.0)</f>
        <v>0</v>
      </c>
      <c r="U43" s="3">
        <f>IFERROR(__xludf.DUMMYFUNCTION("""COMPUTED_VALUE"""),0.0)</f>
        <v>0</v>
      </c>
      <c r="V43" s="3">
        <f>IFERROR(__xludf.DUMMYFUNCTION("""COMPUTED_VALUE"""),0.0)</f>
        <v>0</v>
      </c>
      <c r="W43" s="3">
        <f>IFERROR(__xludf.DUMMYFUNCTION("""COMPUTED_VALUE"""),0.0)</f>
        <v>0</v>
      </c>
      <c r="X43" s="3">
        <f>IFERROR(__xludf.DUMMYFUNCTION("""COMPUTED_VALUE"""),0.0)</f>
        <v>0</v>
      </c>
      <c r="Y43" s="3">
        <f>IFERROR(__xludf.DUMMYFUNCTION("""COMPUTED_VALUE"""),0.0)</f>
        <v>0</v>
      </c>
      <c r="Z43" s="3">
        <f>IFERROR(__xludf.DUMMYFUNCTION("""COMPUTED_VALUE"""),0.0)</f>
        <v>0</v>
      </c>
      <c r="AA43" s="3">
        <f>IFERROR(__xludf.DUMMYFUNCTION("""COMPUTED_VALUE"""),0.0)</f>
        <v>0</v>
      </c>
      <c r="AB43" s="3">
        <f>IFERROR(__xludf.DUMMYFUNCTION("""COMPUTED_VALUE"""),0.0)</f>
        <v>0</v>
      </c>
      <c r="AC43" s="3">
        <f>IFERROR(__xludf.DUMMYFUNCTION("""COMPUTED_VALUE"""),0.0)</f>
        <v>0</v>
      </c>
      <c r="AD43" s="3">
        <f>IFERROR(__xludf.DUMMYFUNCTION("""COMPUTED_VALUE"""),0.0)</f>
        <v>0</v>
      </c>
      <c r="AE43" s="3">
        <f>IFERROR(__xludf.DUMMYFUNCTION("""COMPUTED_VALUE"""),0.0)</f>
        <v>0</v>
      </c>
      <c r="AF43" s="3">
        <f>IFERROR(__xludf.DUMMYFUNCTION("""COMPUTED_VALUE"""),0.0)</f>
        <v>0</v>
      </c>
      <c r="AG43" s="3">
        <f>IFERROR(__xludf.DUMMYFUNCTION("""COMPUTED_VALUE"""),0.0)</f>
        <v>0</v>
      </c>
      <c r="AH43" s="3">
        <f>IFERROR(__xludf.DUMMYFUNCTION("""COMPUTED_VALUE"""),0.0)</f>
        <v>0</v>
      </c>
      <c r="AI43" s="3">
        <f>IFERROR(__xludf.DUMMYFUNCTION("""COMPUTED_VALUE"""),0.0)</f>
        <v>0</v>
      </c>
      <c r="AJ43" s="3">
        <f>IFERROR(__xludf.DUMMYFUNCTION("""COMPUTED_VALUE"""),0.0)</f>
        <v>0</v>
      </c>
      <c r="AK43" s="3">
        <f>IFERROR(__xludf.DUMMYFUNCTION("""COMPUTED_VALUE"""),0.0)</f>
        <v>0</v>
      </c>
      <c r="AL43" s="3">
        <f>IFERROR(__xludf.DUMMYFUNCTION("""COMPUTED_VALUE"""),0.0)</f>
        <v>0</v>
      </c>
      <c r="AM43" s="3">
        <f>IFERROR(__xludf.DUMMYFUNCTION("""COMPUTED_VALUE"""),0.0)</f>
        <v>0</v>
      </c>
      <c r="AN43" s="3">
        <f>IFERROR(__xludf.DUMMYFUNCTION("""COMPUTED_VALUE"""),0.0)</f>
        <v>0</v>
      </c>
      <c r="AO43" s="3">
        <f>IFERROR(__xludf.DUMMYFUNCTION("""COMPUTED_VALUE"""),0.0)</f>
        <v>0</v>
      </c>
      <c r="AP43" s="3">
        <f>IFERROR(__xludf.DUMMYFUNCTION("""COMPUTED_VALUE"""),0.0)</f>
        <v>0</v>
      </c>
      <c r="AQ43" s="3">
        <f>IFERROR(__xludf.DUMMYFUNCTION("""COMPUTED_VALUE"""),0.0)</f>
        <v>0</v>
      </c>
      <c r="AR43" s="3">
        <f>IFERROR(__xludf.DUMMYFUNCTION("""COMPUTED_VALUE"""),0.0)</f>
        <v>0</v>
      </c>
      <c r="AS43" s="3">
        <f>IFERROR(__xludf.DUMMYFUNCTION("""COMPUTED_VALUE"""),0.0)</f>
        <v>0</v>
      </c>
      <c r="AT43" s="3">
        <f>IFERROR(__xludf.DUMMYFUNCTION("""COMPUTED_VALUE"""),0.0)</f>
        <v>0</v>
      </c>
      <c r="AU43" s="3">
        <f>IFERROR(__xludf.DUMMYFUNCTION("""COMPUTED_VALUE"""),0.0)</f>
        <v>0</v>
      </c>
      <c r="AV43" s="3">
        <f>IFERROR(__xludf.DUMMYFUNCTION("""COMPUTED_VALUE"""),0.0)</f>
        <v>0</v>
      </c>
      <c r="AW43" s="3">
        <f>IFERROR(__xludf.DUMMYFUNCTION("""COMPUTED_VALUE"""),0.0)</f>
        <v>0</v>
      </c>
      <c r="AX43" s="3">
        <f>IFERROR(__xludf.DUMMYFUNCTION("""COMPUTED_VALUE"""),0.0)</f>
        <v>0</v>
      </c>
      <c r="AY43" s="3">
        <f>IFERROR(__xludf.DUMMYFUNCTION("""COMPUTED_VALUE"""),0.0)</f>
        <v>0</v>
      </c>
      <c r="AZ43" s="3">
        <f>IFERROR(__xludf.DUMMYFUNCTION("""COMPUTED_VALUE"""),0.0)</f>
        <v>0</v>
      </c>
      <c r="BA43" s="3">
        <f>IFERROR(__xludf.DUMMYFUNCTION("""COMPUTED_VALUE"""),0.0)</f>
        <v>0</v>
      </c>
      <c r="BB43" s="3">
        <f>IFERROR(__xludf.DUMMYFUNCTION("""COMPUTED_VALUE"""),0.0)</f>
        <v>0</v>
      </c>
      <c r="BC43" s="3">
        <f>IFERROR(__xludf.DUMMYFUNCTION("""COMPUTED_VALUE"""),0.0)</f>
        <v>0</v>
      </c>
      <c r="BD43" s="3">
        <f>IFERROR(__xludf.DUMMYFUNCTION("""COMPUTED_VALUE"""),0.0)</f>
        <v>0</v>
      </c>
      <c r="BE43" s="3">
        <f>IFERROR(__xludf.DUMMYFUNCTION("""COMPUTED_VALUE"""),0.0)</f>
        <v>0</v>
      </c>
      <c r="BF43" s="3">
        <f>IFERROR(__xludf.DUMMYFUNCTION("""COMPUTED_VALUE"""),0.0)</f>
        <v>0</v>
      </c>
      <c r="BG43" s="3">
        <f>IFERROR(__xludf.DUMMYFUNCTION("""COMPUTED_VALUE"""),5.0)</f>
        <v>5</v>
      </c>
      <c r="BH43" s="3">
        <f>IFERROR(__xludf.DUMMYFUNCTION("""COMPUTED_VALUE"""),7.0)</f>
        <v>7</v>
      </c>
      <c r="BI43" s="3">
        <f>IFERROR(__xludf.DUMMYFUNCTION("""COMPUTED_VALUE"""),12.0)</f>
        <v>12</v>
      </c>
      <c r="BJ43" s="3">
        <f>IFERROR(__xludf.DUMMYFUNCTION("""COMPUTED_VALUE"""),14.0)</f>
        <v>14</v>
      </c>
      <c r="BK43" s="3">
        <f>IFERROR(__xludf.DUMMYFUNCTION("""COMPUTED_VALUE"""),15.0)</f>
        <v>15</v>
      </c>
      <c r="BL43" s="3">
        <f>IFERROR(__xludf.DUMMYFUNCTION("""COMPUTED_VALUE"""),21.0)</f>
        <v>21</v>
      </c>
      <c r="BM43" s="3">
        <f>IFERROR(__xludf.DUMMYFUNCTION("""COMPUTED_VALUE"""),28.0)</f>
        <v>28</v>
      </c>
      <c r="BN43" s="3">
        <f>IFERROR(__xludf.DUMMYFUNCTION("""COMPUTED_VALUE"""),41.0)</f>
        <v>41</v>
      </c>
      <c r="BO43" s="3">
        <f>IFERROR(__xludf.DUMMYFUNCTION("""COMPUTED_VALUE"""),51.0)</f>
        <v>51</v>
      </c>
      <c r="BP43" s="3">
        <f>IFERROR(__xludf.DUMMYFUNCTION("""COMPUTED_VALUE"""),68.0)</f>
        <v>68</v>
      </c>
      <c r="BQ43" s="3">
        <f>IFERROR(__xludf.DUMMYFUNCTION("""COMPUTED_VALUE"""),73.0)</f>
        <v>73</v>
      </c>
      <c r="BR43" s="3">
        <f>IFERROR(__xludf.DUMMYFUNCTION("""COMPUTED_VALUE"""),90.0)</f>
        <v>90</v>
      </c>
      <c r="BS43" s="3">
        <f>IFERROR(__xludf.DUMMYFUNCTION("""COMPUTED_VALUE"""),110.0)</f>
        <v>110</v>
      </c>
      <c r="BT43" s="3">
        <f>IFERROR(__xludf.DUMMYFUNCTION("""COMPUTED_VALUE"""),122.0)</f>
        <v>122</v>
      </c>
      <c r="BU43" s="3">
        <f>IFERROR(__xludf.DUMMYFUNCTION("""COMPUTED_VALUE"""),127.0)</f>
        <v>127</v>
      </c>
      <c r="BV43" s="3">
        <f>IFERROR(__xludf.DUMMYFUNCTION("""COMPUTED_VALUE"""),147.0)</f>
        <v>147</v>
      </c>
      <c r="BW43" s="3">
        <f>IFERROR(__xludf.DUMMYFUNCTION("""COMPUTED_VALUE"""),173.0)</f>
        <v>173</v>
      </c>
      <c r="BX43" s="3">
        <f>IFERROR(__xludf.DUMMYFUNCTION("""COMPUTED_VALUE"""),193.0)</f>
        <v>193</v>
      </c>
      <c r="BY43" s="3">
        <f>IFERROR(__xludf.DUMMYFUNCTION("""COMPUTED_VALUE"""),207.0)</f>
        <v>207</v>
      </c>
      <c r="BZ43" s="3">
        <f>IFERROR(__xludf.DUMMYFUNCTION("""COMPUTED_VALUE"""),236.0)</f>
        <v>236</v>
      </c>
      <c r="CA43" s="3">
        <f>IFERROR(__xludf.DUMMYFUNCTION("""COMPUTED_VALUE"""),262.0)</f>
        <v>262</v>
      </c>
      <c r="CB43" s="3">
        <f>IFERROR(__xludf.DUMMYFUNCTION("""COMPUTED_VALUE"""),293.0)</f>
        <v>293</v>
      </c>
    </row>
    <row r="44">
      <c r="A44" s="3" t="str">
        <f>IFERROR(__xludf.DUMMYFUNCTION("""COMPUTED_VALUE"""),"Ontario")</f>
        <v>Ontario</v>
      </c>
      <c r="B44" s="3" t="str">
        <f>IFERROR(__xludf.DUMMYFUNCTION("""COMPUTED_VALUE"""),"Canada")</f>
        <v>Canada</v>
      </c>
      <c r="C44" s="3">
        <f>IFERROR(__xludf.DUMMYFUNCTION("""COMPUTED_VALUE"""),51.2538)</f>
        <v>51.2538</v>
      </c>
      <c r="D44" s="3">
        <f>IFERROR(__xludf.DUMMYFUNCTION("""COMPUTED_VALUE"""),-85.3232)</f>
        <v>-85.3232</v>
      </c>
      <c r="E44" s="3">
        <f>IFERROR(__xludf.DUMMYFUNCTION("""COMPUTED_VALUE"""),0.0)</f>
        <v>0</v>
      </c>
      <c r="F44" s="3">
        <f>IFERROR(__xludf.DUMMYFUNCTION("""COMPUTED_VALUE"""),0.0)</f>
        <v>0</v>
      </c>
      <c r="G44" s="3">
        <f>IFERROR(__xludf.DUMMYFUNCTION("""COMPUTED_VALUE"""),0.0)</f>
        <v>0</v>
      </c>
      <c r="H44" s="3">
        <f>IFERROR(__xludf.DUMMYFUNCTION("""COMPUTED_VALUE"""),0.0)</f>
        <v>0</v>
      </c>
      <c r="I44" s="3">
        <f>IFERROR(__xludf.DUMMYFUNCTION("""COMPUTED_VALUE"""),1.0)</f>
        <v>1</v>
      </c>
      <c r="J44" s="3">
        <f>IFERROR(__xludf.DUMMYFUNCTION("""COMPUTED_VALUE"""),1.0)</f>
        <v>1</v>
      </c>
      <c r="K44" s="3">
        <f>IFERROR(__xludf.DUMMYFUNCTION("""COMPUTED_VALUE"""),1.0)</f>
        <v>1</v>
      </c>
      <c r="L44" s="3">
        <f>IFERROR(__xludf.DUMMYFUNCTION("""COMPUTED_VALUE"""),1.0)</f>
        <v>1</v>
      </c>
      <c r="M44" s="3">
        <f>IFERROR(__xludf.DUMMYFUNCTION("""COMPUTED_VALUE"""),1.0)</f>
        <v>1</v>
      </c>
      <c r="N44" s="3">
        <f>IFERROR(__xludf.DUMMYFUNCTION("""COMPUTED_VALUE"""),3.0)</f>
        <v>3</v>
      </c>
      <c r="O44" s="3">
        <f>IFERROR(__xludf.DUMMYFUNCTION("""COMPUTED_VALUE"""),3.0)</f>
        <v>3</v>
      </c>
      <c r="P44" s="3">
        <f>IFERROR(__xludf.DUMMYFUNCTION("""COMPUTED_VALUE"""),3.0)</f>
        <v>3</v>
      </c>
      <c r="Q44" s="3">
        <f>IFERROR(__xludf.DUMMYFUNCTION("""COMPUTED_VALUE"""),3.0)</f>
        <v>3</v>
      </c>
      <c r="R44" s="3">
        <f>IFERROR(__xludf.DUMMYFUNCTION("""COMPUTED_VALUE"""),3.0)</f>
        <v>3</v>
      </c>
      <c r="S44" s="3">
        <f>IFERROR(__xludf.DUMMYFUNCTION("""COMPUTED_VALUE"""),3.0)</f>
        <v>3</v>
      </c>
      <c r="T44" s="3">
        <f>IFERROR(__xludf.DUMMYFUNCTION("""COMPUTED_VALUE"""),3.0)</f>
        <v>3</v>
      </c>
      <c r="U44" s="3">
        <f>IFERROR(__xludf.DUMMYFUNCTION("""COMPUTED_VALUE"""),3.0)</f>
        <v>3</v>
      </c>
      <c r="V44" s="3">
        <f>IFERROR(__xludf.DUMMYFUNCTION("""COMPUTED_VALUE"""),3.0)</f>
        <v>3</v>
      </c>
      <c r="W44" s="3">
        <f>IFERROR(__xludf.DUMMYFUNCTION("""COMPUTED_VALUE"""),3.0)</f>
        <v>3</v>
      </c>
      <c r="X44" s="3">
        <f>IFERROR(__xludf.DUMMYFUNCTION("""COMPUTED_VALUE"""),3.0)</f>
        <v>3</v>
      </c>
      <c r="Y44" s="3">
        <f>IFERROR(__xludf.DUMMYFUNCTION("""COMPUTED_VALUE"""),3.0)</f>
        <v>3</v>
      </c>
      <c r="Z44" s="3">
        <f>IFERROR(__xludf.DUMMYFUNCTION("""COMPUTED_VALUE"""),3.0)</f>
        <v>3</v>
      </c>
      <c r="AA44" s="3">
        <f>IFERROR(__xludf.DUMMYFUNCTION("""COMPUTED_VALUE"""),3.0)</f>
        <v>3</v>
      </c>
      <c r="AB44" s="3">
        <f>IFERROR(__xludf.DUMMYFUNCTION("""COMPUTED_VALUE"""),3.0)</f>
        <v>3</v>
      </c>
      <c r="AC44" s="3">
        <f>IFERROR(__xludf.DUMMYFUNCTION("""COMPUTED_VALUE"""),3.0)</f>
        <v>3</v>
      </c>
      <c r="AD44" s="3">
        <f>IFERROR(__xludf.DUMMYFUNCTION("""COMPUTED_VALUE"""),3.0)</f>
        <v>3</v>
      </c>
      <c r="AE44" s="3">
        <f>IFERROR(__xludf.DUMMYFUNCTION("""COMPUTED_VALUE"""),3.0)</f>
        <v>3</v>
      </c>
      <c r="AF44" s="3">
        <f>IFERROR(__xludf.DUMMYFUNCTION("""COMPUTED_VALUE"""),3.0)</f>
        <v>3</v>
      </c>
      <c r="AG44" s="3">
        <f>IFERROR(__xludf.DUMMYFUNCTION("""COMPUTED_VALUE"""),3.0)</f>
        <v>3</v>
      </c>
      <c r="AH44" s="3">
        <f>IFERROR(__xludf.DUMMYFUNCTION("""COMPUTED_VALUE"""),3.0)</f>
        <v>3</v>
      </c>
      <c r="AI44" s="3">
        <f>IFERROR(__xludf.DUMMYFUNCTION("""COMPUTED_VALUE"""),3.0)</f>
        <v>3</v>
      </c>
      <c r="AJ44" s="3">
        <f>IFERROR(__xludf.DUMMYFUNCTION("""COMPUTED_VALUE"""),3.0)</f>
        <v>3</v>
      </c>
      <c r="AK44" s="3">
        <f>IFERROR(__xludf.DUMMYFUNCTION("""COMPUTED_VALUE"""),3.0)</f>
        <v>3</v>
      </c>
      <c r="AL44" s="3">
        <f>IFERROR(__xludf.DUMMYFUNCTION("""COMPUTED_VALUE"""),4.0)</f>
        <v>4</v>
      </c>
      <c r="AM44" s="3">
        <f>IFERROR(__xludf.DUMMYFUNCTION("""COMPUTED_VALUE"""),4.0)</f>
        <v>4</v>
      </c>
      <c r="AN44" s="3">
        <f>IFERROR(__xludf.DUMMYFUNCTION("""COMPUTED_VALUE"""),4.0)</f>
        <v>4</v>
      </c>
      <c r="AO44" s="3">
        <f>IFERROR(__xludf.DUMMYFUNCTION("""COMPUTED_VALUE"""),6.0)</f>
        <v>6</v>
      </c>
      <c r="AP44" s="3">
        <f>IFERROR(__xludf.DUMMYFUNCTION("""COMPUTED_VALUE"""),6.0)</f>
        <v>6</v>
      </c>
      <c r="AQ44" s="3">
        <f>IFERROR(__xludf.DUMMYFUNCTION("""COMPUTED_VALUE"""),11.0)</f>
        <v>11</v>
      </c>
      <c r="AR44" s="3">
        <f>IFERROR(__xludf.DUMMYFUNCTION("""COMPUTED_VALUE"""),15.0)</f>
        <v>15</v>
      </c>
      <c r="AS44" s="3">
        <f>IFERROR(__xludf.DUMMYFUNCTION("""COMPUTED_VALUE"""),18.0)</f>
        <v>18</v>
      </c>
      <c r="AT44" s="3">
        <f>IFERROR(__xludf.DUMMYFUNCTION("""COMPUTED_VALUE"""),20.0)</f>
        <v>20</v>
      </c>
      <c r="AU44" s="3">
        <f>IFERROR(__xludf.DUMMYFUNCTION("""COMPUTED_VALUE"""),20.0)</f>
        <v>20</v>
      </c>
      <c r="AV44" s="3">
        <f>IFERROR(__xludf.DUMMYFUNCTION("""COMPUTED_VALUE"""),22.0)</f>
        <v>22</v>
      </c>
      <c r="AW44" s="3">
        <f>IFERROR(__xludf.DUMMYFUNCTION("""COMPUTED_VALUE"""),25.0)</f>
        <v>25</v>
      </c>
      <c r="AX44" s="3">
        <f>IFERROR(__xludf.DUMMYFUNCTION("""COMPUTED_VALUE"""),28.0)</f>
        <v>28</v>
      </c>
      <c r="AY44" s="3">
        <f>IFERROR(__xludf.DUMMYFUNCTION("""COMPUTED_VALUE"""),29.0)</f>
        <v>29</v>
      </c>
      <c r="AZ44" s="3">
        <f>IFERROR(__xludf.DUMMYFUNCTION("""COMPUTED_VALUE"""),34.0)</f>
        <v>34</v>
      </c>
      <c r="BA44" s="3">
        <f>IFERROR(__xludf.DUMMYFUNCTION("""COMPUTED_VALUE"""),36.0)</f>
        <v>36</v>
      </c>
      <c r="BB44" s="3">
        <f>IFERROR(__xludf.DUMMYFUNCTION("""COMPUTED_VALUE"""),41.0)</f>
        <v>41</v>
      </c>
      <c r="BC44" s="3">
        <f>IFERROR(__xludf.DUMMYFUNCTION("""COMPUTED_VALUE"""),42.0)</f>
        <v>42</v>
      </c>
      <c r="BD44" s="3">
        <f>IFERROR(__xludf.DUMMYFUNCTION("""COMPUTED_VALUE"""),74.0)</f>
        <v>74</v>
      </c>
      <c r="BE44" s="3">
        <f>IFERROR(__xludf.DUMMYFUNCTION("""COMPUTED_VALUE"""),79.0)</f>
        <v>79</v>
      </c>
      <c r="BF44" s="3">
        <f>IFERROR(__xludf.DUMMYFUNCTION("""COMPUTED_VALUE"""),104.0)</f>
        <v>104</v>
      </c>
      <c r="BG44" s="3">
        <f>IFERROR(__xludf.DUMMYFUNCTION("""COMPUTED_VALUE"""),177.0)</f>
        <v>177</v>
      </c>
      <c r="BH44" s="3">
        <f>IFERROR(__xludf.DUMMYFUNCTION("""COMPUTED_VALUE"""),185.0)</f>
        <v>185</v>
      </c>
      <c r="BI44" s="3">
        <f>IFERROR(__xludf.DUMMYFUNCTION("""COMPUTED_VALUE"""),221.0)</f>
        <v>221</v>
      </c>
      <c r="BJ44" s="3">
        <f>IFERROR(__xludf.DUMMYFUNCTION("""COMPUTED_VALUE"""),257.0)</f>
        <v>257</v>
      </c>
      <c r="BK44" s="3">
        <f>IFERROR(__xludf.DUMMYFUNCTION("""COMPUTED_VALUE"""),308.0)</f>
        <v>308</v>
      </c>
      <c r="BL44" s="3">
        <f>IFERROR(__xludf.DUMMYFUNCTION("""COMPUTED_VALUE"""),377.0)</f>
        <v>377</v>
      </c>
      <c r="BM44" s="3">
        <f>IFERROR(__xludf.DUMMYFUNCTION("""COMPUTED_VALUE"""),425.0)</f>
        <v>425</v>
      </c>
      <c r="BN44" s="3">
        <f>IFERROR(__xludf.DUMMYFUNCTION("""COMPUTED_VALUE"""),503.0)</f>
        <v>503</v>
      </c>
      <c r="BO44" s="3">
        <f>IFERROR(__xludf.DUMMYFUNCTION("""COMPUTED_VALUE"""),588.0)</f>
        <v>588</v>
      </c>
      <c r="BP44" s="3">
        <f>IFERROR(__xludf.DUMMYFUNCTION("""COMPUTED_VALUE"""),688.0)</f>
        <v>688</v>
      </c>
      <c r="BQ44" s="3">
        <f>IFERROR(__xludf.DUMMYFUNCTION("""COMPUTED_VALUE"""),858.0)</f>
        <v>858</v>
      </c>
      <c r="BR44" s="3">
        <f>IFERROR(__xludf.DUMMYFUNCTION("""COMPUTED_VALUE"""),994.0)</f>
        <v>994</v>
      </c>
      <c r="BS44" s="3">
        <f>IFERROR(__xludf.DUMMYFUNCTION("""COMPUTED_VALUE"""),1144.0)</f>
        <v>1144</v>
      </c>
      <c r="BT44" s="3">
        <f>IFERROR(__xludf.DUMMYFUNCTION("""COMPUTED_VALUE"""),1355.0)</f>
        <v>1355</v>
      </c>
      <c r="BU44" s="3">
        <f>IFERROR(__xludf.DUMMYFUNCTION("""COMPUTED_VALUE"""),1706.0)</f>
        <v>1706</v>
      </c>
      <c r="BV44" s="3">
        <f>IFERROR(__xludf.DUMMYFUNCTION("""COMPUTED_VALUE"""),1966.0)</f>
        <v>1966</v>
      </c>
      <c r="BW44" s="3">
        <f>IFERROR(__xludf.DUMMYFUNCTION("""COMPUTED_VALUE"""),2392.0)</f>
        <v>2392</v>
      </c>
      <c r="BX44" s="3">
        <f>IFERROR(__xludf.DUMMYFUNCTION("""COMPUTED_VALUE"""),2793.0)</f>
        <v>2793</v>
      </c>
      <c r="BY44" s="3">
        <f>IFERROR(__xludf.DUMMYFUNCTION("""COMPUTED_VALUE"""),3255.0)</f>
        <v>3255</v>
      </c>
      <c r="BZ44" s="3">
        <f>IFERROR(__xludf.DUMMYFUNCTION("""COMPUTED_VALUE"""),3630.0)</f>
        <v>3630</v>
      </c>
      <c r="CA44" s="3">
        <f>IFERROR(__xludf.DUMMYFUNCTION("""COMPUTED_VALUE"""),4354.0)</f>
        <v>4354</v>
      </c>
      <c r="CB44" s="3">
        <f>IFERROR(__xludf.DUMMYFUNCTION("""COMPUTED_VALUE"""),4347.0)</f>
        <v>4347</v>
      </c>
    </row>
    <row r="45">
      <c r="A45" s="3" t="str">
        <f>IFERROR(__xludf.DUMMYFUNCTION("""COMPUTED_VALUE"""),"Prince Edward Island")</f>
        <v>Prince Edward Island</v>
      </c>
      <c r="B45" s="3" t="str">
        <f>IFERROR(__xludf.DUMMYFUNCTION("""COMPUTED_VALUE"""),"Canada")</f>
        <v>Canada</v>
      </c>
      <c r="C45" s="3">
        <f>IFERROR(__xludf.DUMMYFUNCTION("""COMPUTED_VALUE"""),46.5107)</f>
        <v>46.5107</v>
      </c>
      <c r="D45" s="3">
        <f>IFERROR(__xludf.DUMMYFUNCTION("""COMPUTED_VALUE"""),-63.4168)</f>
        <v>-63.4168</v>
      </c>
      <c r="E45" s="3">
        <f>IFERROR(__xludf.DUMMYFUNCTION("""COMPUTED_VALUE"""),0.0)</f>
        <v>0</v>
      </c>
      <c r="F45" s="3">
        <f>IFERROR(__xludf.DUMMYFUNCTION("""COMPUTED_VALUE"""),0.0)</f>
        <v>0</v>
      </c>
      <c r="G45" s="3">
        <f>IFERROR(__xludf.DUMMYFUNCTION("""COMPUTED_VALUE"""),0.0)</f>
        <v>0</v>
      </c>
      <c r="H45" s="3">
        <f>IFERROR(__xludf.DUMMYFUNCTION("""COMPUTED_VALUE"""),0.0)</f>
        <v>0</v>
      </c>
      <c r="I45" s="3">
        <f>IFERROR(__xludf.DUMMYFUNCTION("""COMPUTED_VALUE"""),0.0)</f>
        <v>0</v>
      </c>
      <c r="J45" s="3">
        <f>IFERROR(__xludf.DUMMYFUNCTION("""COMPUTED_VALUE"""),0.0)</f>
        <v>0</v>
      </c>
      <c r="K45" s="3">
        <f>IFERROR(__xludf.DUMMYFUNCTION("""COMPUTED_VALUE"""),0.0)</f>
        <v>0</v>
      </c>
      <c r="L45" s="3">
        <f>IFERROR(__xludf.DUMMYFUNCTION("""COMPUTED_VALUE"""),0.0)</f>
        <v>0</v>
      </c>
      <c r="M45" s="3">
        <f>IFERROR(__xludf.DUMMYFUNCTION("""COMPUTED_VALUE"""),0.0)</f>
        <v>0</v>
      </c>
      <c r="N45" s="3">
        <f>IFERROR(__xludf.DUMMYFUNCTION("""COMPUTED_VALUE"""),0.0)</f>
        <v>0</v>
      </c>
      <c r="O45" s="3">
        <f>IFERROR(__xludf.DUMMYFUNCTION("""COMPUTED_VALUE"""),0.0)</f>
        <v>0</v>
      </c>
      <c r="P45" s="3">
        <f>IFERROR(__xludf.DUMMYFUNCTION("""COMPUTED_VALUE"""),0.0)</f>
        <v>0</v>
      </c>
      <c r="Q45" s="3">
        <f>IFERROR(__xludf.DUMMYFUNCTION("""COMPUTED_VALUE"""),0.0)</f>
        <v>0</v>
      </c>
      <c r="R45" s="3">
        <f>IFERROR(__xludf.DUMMYFUNCTION("""COMPUTED_VALUE"""),0.0)</f>
        <v>0</v>
      </c>
      <c r="S45" s="3">
        <f>IFERROR(__xludf.DUMMYFUNCTION("""COMPUTED_VALUE"""),0.0)</f>
        <v>0</v>
      </c>
      <c r="T45" s="3">
        <f>IFERROR(__xludf.DUMMYFUNCTION("""COMPUTED_VALUE"""),0.0)</f>
        <v>0</v>
      </c>
      <c r="U45" s="3">
        <f>IFERROR(__xludf.DUMMYFUNCTION("""COMPUTED_VALUE"""),0.0)</f>
        <v>0</v>
      </c>
      <c r="V45" s="3">
        <f>IFERROR(__xludf.DUMMYFUNCTION("""COMPUTED_VALUE"""),0.0)</f>
        <v>0</v>
      </c>
      <c r="W45" s="3">
        <f>IFERROR(__xludf.DUMMYFUNCTION("""COMPUTED_VALUE"""),0.0)</f>
        <v>0</v>
      </c>
      <c r="X45" s="3">
        <f>IFERROR(__xludf.DUMMYFUNCTION("""COMPUTED_VALUE"""),0.0)</f>
        <v>0</v>
      </c>
      <c r="Y45" s="3">
        <f>IFERROR(__xludf.DUMMYFUNCTION("""COMPUTED_VALUE"""),0.0)</f>
        <v>0</v>
      </c>
      <c r="Z45" s="3">
        <f>IFERROR(__xludf.DUMMYFUNCTION("""COMPUTED_VALUE"""),0.0)</f>
        <v>0</v>
      </c>
      <c r="AA45" s="3">
        <f>IFERROR(__xludf.DUMMYFUNCTION("""COMPUTED_VALUE"""),0.0)</f>
        <v>0</v>
      </c>
      <c r="AB45" s="3">
        <f>IFERROR(__xludf.DUMMYFUNCTION("""COMPUTED_VALUE"""),0.0)</f>
        <v>0</v>
      </c>
      <c r="AC45" s="3">
        <f>IFERROR(__xludf.DUMMYFUNCTION("""COMPUTED_VALUE"""),0.0)</f>
        <v>0</v>
      </c>
      <c r="AD45" s="3">
        <f>IFERROR(__xludf.DUMMYFUNCTION("""COMPUTED_VALUE"""),0.0)</f>
        <v>0</v>
      </c>
      <c r="AE45" s="3">
        <f>IFERROR(__xludf.DUMMYFUNCTION("""COMPUTED_VALUE"""),0.0)</f>
        <v>0</v>
      </c>
      <c r="AF45" s="3">
        <f>IFERROR(__xludf.DUMMYFUNCTION("""COMPUTED_VALUE"""),0.0)</f>
        <v>0</v>
      </c>
      <c r="AG45" s="3">
        <f>IFERROR(__xludf.DUMMYFUNCTION("""COMPUTED_VALUE"""),0.0)</f>
        <v>0</v>
      </c>
      <c r="AH45" s="3">
        <f>IFERROR(__xludf.DUMMYFUNCTION("""COMPUTED_VALUE"""),0.0)</f>
        <v>0</v>
      </c>
      <c r="AI45" s="3">
        <f>IFERROR(__xludf.DUMMYFUNCTION("""COMPUTED_VALUE"""),0.0)</f>
        <v>0</v>
      </c>
      <c r="AJ45" s="3">
        <f>IFERROR(__xludf.DUMMYFUNCTION("""COMPUTED_VALUE"""),0.0)</f>
        <v>0</v>
      </c>
      <c r="AK45" s="3">
        <f>IFERROR(__xludf.DUMMYFUNCTION("""COMPUTED_VALUE"""),0.0)</f>
        <v>0</v>
      </c>
      <c r="AL45" s="3">
        <f>IFERROR(__xludf.DUMMYFUNCTION("""COMPUTED_VALUE"""),0.0)</f>
        <v>0</v>
      </c>
      <c r="AM45" s="3">
        <f>IFERROR(__xludf.DUMMYFUNCTION("""COMPUTED_VALUE"""),0.0)</f>
        <v>0</v>
      </c>
      <c r="AN45" s="3">
        <f>IFERROR(__xludf.DUMMYFUNCTION("""COMPUTED_VALUE"""),0.0)</f>
        <v>0</v>
      </c>
      <c r="AO45" s="3">
        <f>IFERROR(__xludf.DUMMYFUNCTION("""COMPUTED_VALUE"""),0.0)</f>
        <v>0</v>
      </c>
      <c r="AP45" s="3">
        <f>IFERROR(__xludf.DUMMYFUNCTION("""COMPUTED_VALUE"""),0.0)</f>
        <v>0</v>
      </c>
      <c r="AQ45" s="3">
        <f>IFERROR(__xludf.DUMMYFUNCTION("""COMPUTED_VALUE"""),0.0)</f>
        <v>0</v>
      </c>
      <c r="AR45" s="3">
        <f>IFERROR(__xludf.DUMMYFUNCTION("""COMPUTED_VALUE"""),0.0)</f>
        <v>0</v>
      </c>
      <c r="AS45" s="3">
        <f>IFERROR(__xludf.DUMMYFUNCTION("""COMPUTED_VALUE"""),0.0)</f>
        <v>0</v>
      </c>
      <c r="AT45" s="3">
        <f>IFERROR(__xludf.DUMMYFUNCTION("""COMPUTED_VALUE"""),0.0)</f>
        <v>0</v>
      </c>
      <c r="AU45" s="3">
        <f>IFERROR(__xludf.DUMMYFUNCTION("""COMPUTED_VALUE"""),0.0)</f>
        <v>0</v>
      </c>
      <c r="AV45" s="3">
        <f>IFERROR(__xludf.DUMMYFUNCTION("""COMPUTED_VALUE"""),0.0)</f>
        <v>0</v>
      </c>
      <c r="AW45" s="3">
        <f>IFERROR(__xludf.DUMMYFUNCTION("""COMPUTED_VALUE"""),0.0)</f>
        <v>0</v>
      </c>
      <c r="AX45" s="3">
        <f>IFERROR(__xludf.DUMMYFUNCTION("""COMPUTED_VALUE"""),0.0)</f>
        <v>0</v>
      </c>
      <c r="AY45" s="3">
        <f>IFERROR(__xludf.DUMMYFUNCTION("""COMPUTED_VALUE"""),0.0)</f>
        <v>0</v>
      </c>
      <c r="AZ45" s="3">
        <f>IFERROR(__xludf.DUMMYFUNCTION("""COMPUTED_VALUE"""),0.0)</f>
        <v>0</v>
      </c>
      <c r="BA45" s="3">
        <f>IFERROR(__xludf.DUMMYFUNCTION("""COMPUTED_VALUE"""),0.0)</f>
        <v>0</v>
      </c>
      <c r="BB45" s="3">
        <f>IFERROR(__xludf.DUMMYFUNCTION("""COMPUTED_VALUE"""),0.0)</f>
        <v>0</v>
      </c>
      <c r="BC45" s="3">
        <f>IFERROR(__xludf.DUMMYFUNCTION("""COMPUTED_VALUE"""),0.0)</f>
        <v>0</v>
      </c>
      <c r="BD45" s="3">
        <f>IFERROR(__xludf.DUMMYFUNCTION("""COMPUTED_VALUE"""),0.0)</f>
        <v>0</v>
      </c>
      <c r="BE45" s="3">
        <f>IFERROR(__xludf.DUMMYFUNCTION("""COMPUTED_VALUE"""),0.0)</f>
        <v>0</v>
      </c>
      <c r="BF45" s="3">
        <f>IFERROR(__xludf.DUMMYFUNCTION("""COMPUTED_VALUE"""),1.0)</f>
        <v>1</v>
      </c>
      <c r="BG45" s="3">
        <f>IFERROR(__xludf.DUMMYFUNCTION("""COMPUTED_VALUE"""),1.0)</f>
        <v>1</v>
      </c>
      <c r="BH45" s="3">
        <f>IFERROR(__xludf.DUMMYFUNCTION("""COMPUTED_VALUE"""),1.0)</f>
        <v>1</v>
      </c>
      <c r="BI45" s="3">
        <f>IFERROR(__xludf.DUMMYFUNCTION("""COMPUTED_VALUE"""),1.0)</f>
        <v>1</v>
      </c>
      <c r="BJ45" s="3">
        <f>IFERROR(__xludf.DUMMYFUNCTION("""COMPUTED_VALUE"""),2.0)</f>
        <v>2</v>
      </c>
      <c r="BK45" s="3">
        <f>IFERROR(__xludf.DUMMYFUNCTION("""COMPUTED_VALUE"""),2.0)</f>
        <v>2</v>
      </c>
      <c r="BL45" s="3">
        <f>IFERROR(__xludf.DUMMYFUNCTION("""COMPUTED_VALUE"""),2.0)</f>
        <v>2</v>
      </c>
      <c r="BM45" s="3">
        <f>IFERROR(__xludf.DUMMYFUNCTION("""COMPUTED_VALUE"""),3.0)</f>
        <v>3</v>
      </c>
      <c r="BN45" s="3">
        <f>IFERROR(__xludf.DUMMYFUNCTION("""COMPUTED_VALUE"""),3.0)</f>
        <v>3</v>
      </c>
      <c r="BO45" s="3">
        <f>IFERROR(__xludf.DUMMYFUNCTION("""COMPUTED_VALUE"""),3.0)</f>
        <v>3</v>
      </c>
      <c r="BP45" s="3">
        <f>IFERROR(__xludf.DUMMYFUNCTION("""COMPUTED_VALUE"""),5.0)</f>
        <v>5</v>
      </c>
      <c r="BQ45" s="3">
        <f>IFERROR(__xludf.DUMMYFUNCTION("""COMPUTED_VALUE"""),5.0)</f>
        <v>5</v>
      </c>
      <c r="BR45" s="3">
        <f>IFERROR(__xludf.DUMMYFUNCTION("""COMPUTED_VALUE"""),9.0)</f>
        <v>9</v>
      </c>
      <c r="BS45" s="3">
        <f>IFERROR(__xludf.DUMMYFUNCTION("""COMPUTED_VALUE"""),11.0)</f>
        <v>11</v>
      </c>
      <c r="BT45" s="3">
        <f>IFERROR(__xludf.DUMMYFUNCTION("""COMPUTED_VALUE"""),11.0)</f>
        <v>11</v>
      </c>
      <c r="BU45" s="3">
        <f>IFERROR(__xludf.DUMMYFUNCTION("""COMPUTED_VALUE"""),18.0)</f>
        <v>18</v>
      </c>
      <c r="BV45" s="3">
        <f>IFERROR(__xludf.DUMMYFUNCTION("""COMPUTED_VALUE"""),21.0)</f>
        <v>21</v>
      </c>
      <c r="BW45" s="3">
        <f>IFERROR(__xludf.DUMMYFUNCTION("""COMPUTED_VALUE"""),21.0)</f>
        <v>21</v>
      </c>
      <c r="BX45" s="3">
        <f>IFERROR(__xludf.DUMMYFUNCTION("""COMPUTED_VALUE"""),22.0)</f>
        <v>22</v>
      </c>
      <c r="BY45" s="3">
        <f>IFERROR(__xludf.DUMMYFUNCTION("""COMPUTED_VALUE"""),22.0)</f>
        <v>22</v>
      </c>
      <c r="BZ45" s="3">
        <f>IFERROR(__xludf.DUMMYFUNCTION("""COMPUTED_VALUE"""),22.0)</f>
        <v>22</v>
      </c>
      <c r="CA45" s="3">
        <f>IFERROR(__xludf.DUMMYFUNCTION("""COMPUTED_VALUE"""),22.0)</f>
        <v>22</v>
      </c>
      <c r="CB45" s="3">
        <f>IFERROR(__xludf.DUMMYFUNCTION("""COMPUTED_VALUE"""),22.0)</f>
        <v>22</v>
      </c>
    </row>
    <row r="46">
      <c r="A46" s="3" t="str">
        <f>IFERROR(__xludf.DUMMYFUNCTION("""COMPUTED_VALUE"""),"Quebec")</f>
        <v>Quebec</v>
      </c>
      <c r="B46" s="3" t="str">
        <f>IFERROR(__xludf.DUMMYFUNCTION("""COMPUTED_VALUE"""),"Canada")</f>
        <v>Canada</v>
      </c>
      <c r="C46" s="3">
        <f>IFERROR(__xludf.DUMMYFUNCTION("""COMPUTED_VALUE"""),52.9399)</f>
        <v>52.9399</v>
      </c>
      <c r="D46" s="3">
        <f>IFERROR(__xludf.DUMMYFUNCTION("""COMPUTED_VALUE"""),-73.5491)</f>
        <v>-73.5491</v>
      </c>
      <c r="E46" s="3">
        <f>IFERROR(__xludf.DUMMYFUNCTION("""COMPUTED_VALUE"""),0.0)</f>
        <v>0</v>
      </c>
      <c r="F46" s="3">
        <f>IFERROR(__xludf.DUMMYFUNCTION("""COMPUTED_VALUE"""),0.0)</f>
        <v>0</v>
      </c>
      <c r="G46" s="3">
        <f>IFERROR(__xludf.DUMMYFUNCTION("""COMPUTED_VALUE"""),0.0)</f>
        <v>0</v>
      </c>
      <c r="H46" s="3">
        <f>IFERROR(__xludf.DUMMYFUNCTION("""COMPUTED_VALUE"""),0.0)</f>
        <v>0</v>
      </c>
      <c r="I46" s="3">
        <f>IFERROR(__xludf.DUMMYFUNCTION("""COMPUTED_VALUE"""),0.0)</f>
        <v>0</v>
      </c>
      <c r="J46" s="3">
        <f>IFERROR(__xludf.DUMMYFUNCTION("""COMPUTED_VALUE"""),0.0)</f>
        <v>0</v>
      </c>
      <c r="K46" s="3">
        <f>IFERROR(__xludf.DUMMYFUNCTION("""COMPUTED_VALUE"""),0.0)</f>
        <v>0</v>
      </c>
      <c r="L46" s="3">
        <f>IFERROR(__xludf.DUMMYFUNCTION("""COMPUTED_VALUE"""),0.0)</f>
        <v>0</v>
      </c>
      <c r="M46" s="3">
        <f>IFERROR(__xludf.DUMMYFUNCTION("""COMPUTED_VALUE"""),0.0)</f>
        <v>0</v>
      </c>
      <c r="N46" s="3">
        <f>IFERROR(__xludf.DUMMYFUNCTION("""COMPUTED_VALUE"""),0.0)</f>
        <v>0</v>
      </c>
      <c r="O46" s="3">
        <f>IFERROR(__xludf.DUMMYFUNCTION("""COMPUTED_VALUE"""),0.0)</f>
        <v>0</v>
      </c>
      <c r="P46" s="3">
        <f>IFERROR(__xludf.DUMMYFUNCTION("""COMPUTED_VALUE"""),0.0)</f>
        <v>0</v>
      </c>
      <c r="Q46" s="3">
        <f>IFERROR(__xludf.DUMMYFUNCTION("""COMPUTED_VALUE"""),0.0)</f>
        <v>0</v>
      </c>
      <c r="R46" s="3">
        <f>IFERROR(__xludf.DUMMYFUNCTION("""COMPUTED_VALUE"""),0.0)</f>
        <v>0</v>
      </c>
      <c r="S46" s="3">
        <f>IFERROR(__xludf.DUMMYFUNCTION("""COMPUTED_VALUE"""),0.0)</f>
        <v>0</v>
      </c>
      <c r="T46" s="3">
        <f>IFERROR(__xludf.DUMMYFUNCTION("""COMPUTED_VALUE"""),0.0)</f>
        <v>0</v>
      </c>
      <c r="U46" s="3">
        <f>IFERROR(__xludf.DUMMYFUNCTION("""COMPUTED_VALUE"""),0.0)</f>
        <v>0</v>
      </c>
      <c r="V46" s="3">
        <f>IFERROR(__xludf.DUMMYFUNCTION("""COMPUTED_VALUE"""),0.0)</f>
        <v>0</v>
      </c>
      <c r="W46" s="3">
        <f>IFERROR(__xludf.DUMMYFUNCTION("""COMPUTED_VALUE"""),0.0)</f>
        <v>0</v>
      </c>
      <c r="X46" s="3">
        <f>IFERROR(__xludf.DUMMYFUNCTION("""COMPUTED_VALUE"""),0.0)</f>
        <v>0</v>
      </c>
      <c r="Y46" s="3">
        <f>IFERROR(__xludf.DUMMYFUNCTION("""COMPUTED_VALUE"""),0.0)</f>
        <v>0</v>
      </c>
      <c r="Z46" s="3">
        <f>IFERROR(__xludf.DUMMYFUNCTION("""COMPUTED_VALUE"""),0.0)</f>
        <v>0</v>
      </c>
      <c r="AA46" s="3">
        <f>IFERROR(__xludf.DUMMYFUNCTION("""COMPUTED_VALUE"""),0.0)</f>
        <v>0</v>
      </c>
      <c r="AB46" s="3">
        <f>IFERROR(__xludf.DUMMYFUNCTION("""COMPUTED_VALUE"""),0.0)</f>
        <v>0</v>
      </c>
      <c r="AC46" s="3">
        <f>IFERROR(__xludf.DUMMYFUNCTION("""COMPUTED_VALUE"""),0.0)</f>
        <v>0</v>
      </c>
      <c r="AD46" s="3">
        <f>IFERROR(__xludf.DUMMYFUNCTION("""COMPUTED_VALUE"""),0.0)</f>
        <v>0</v>
      </c>
      <c r="AE46" s="3">
        <f>IFERROR(__xludf.DUMMYFUNCTION("""COMPUTED_VALUE"""),0.0)</f>
        <v>0</v>
      </c>
      <c r="AF46" s="3">
        <f>IFERROR(__xludf.DUMMYFUNCTION("""COMPUTED_VALUE"""),0.0)</f>
        <v>0</v>
      </c>
      <c r="AG46" s="3">
        <f>IFERROR(__xludf.DUMMYFUNCTION("""COMPUTED_VALUE"""),0.0)</f>
        <v>0</v>
      </c>
      <c r="AH46" s="3">
        <f>IFERROR(__xludf.DUMMYFUNCTION("""COMPUTED_VALUE"""),0.0)</f>
        <v>0</v>
      </c>
      <c r="AI46" s="3">
        <f>IFERROR(__xludf.DUMMYFUNCTION("""COMPUTED_VALUE"""),0.0)</f>
        <v>0</v>
      </c>
      <c r="AJ46" s="3">
        <f>IFERROR(__xludf.DUMMYFUNCTION("""COMPUTED_VALUE"""),0.0)</f>
        <v>0</v>
      </c>
      <c r="AK46" s="3">
        <f>IFERROR(__xludf.DUMMYFUNCTION("""COMPUTED_VALUE"""),0.0)</f>
        <v>0</v>
      </c>
      <c r="AL46" s="3">
        <f>IFERROR(__xludf.DUMMYFUNCTION("""COMPUTED_VALUE"""),0.0)</f>
        <v>0</v>
      </c>
      <c r="AM46" s="3">
        <f>IFERROR(__xludf.DUMMYFUNCTION("""COMPUTED_VALUE"""),0.0)</f>
        <v>0</v>
      </c>
      <c r="AN46" s="3">
        <f>IFERROR(__xludf.DUMMYFUNCTION("""COMPUTED_VALUE"""),0.0)</f>
        <v>0</v>
      </c>
      <c r="AO46" s="3">
        <f>IFERROR(__xludf.DUMMYFUNCTION("""COMPUTED_VALUE"""),0.0)</f>
        <v>0</v>
      </c>
      <c r="AP46" s="3">
        <f>IFERROR(__xludf.DUMMYFUNCTION("""COMPUTED_VALUE"""),1.0)</f>
        <v>1</v>
      </c>
      <c r="AQ46" s="3">
        <f>IFERROR(__xludf.DUMMYFUNCTION("""COMPUTED_VALUE"""),1.0)</f>
        <v>1</v>
      </c>
      <c r="AR46" s="3">
        <f>IFERROR(__xludf.DUMMYFUNCTION("""COMPUTED_VALUE"""),1.0)</f>
        <v>1</v>
      </c>
      <c r="AS46" s="3">
        <f>IFERROR(__xludf.DUMMYFUNCTION("""COMPUTED_VALUE"""),1.0)</f>
        <v>1</v>
      </c>
      <c r="AT46" s="3">
        <f>IFERROR(__xludf.DUMMYFUNCTION("""COMPUTED_VALUE"""),1.0)</f>
        <v>1</v>
      </c>
      <c r="AU46" s="3">
        <f>IFERROR(__xludf.DUMMYFUNCTION("""COMPUTED_VALUE"""),1.0)</f>
        <v>1</v>
      </c>
      <c r="AV46" s="3">
        <f>IFERROR(__xludf.DUMMYFUNCTION("""COMPUTED_VALUE"""),2.0)</f>
        <v>2</v>
      </c>
      <c r="AW46" s="3">
        <f>IFERROR(__xludf.DUMMYFUNCTION("""COMPUTED_VALUE"""),2.0)</f>
        <v>2</v>
      </c>
      <c r="AX46" s="3">
        <f>IFERROR(__xludf.DUMMYFUNCTION("""COMPUTED_VALUE"""),3.0)</f>
        <v>3</v>
      </c>
      <c r="AY46" s="3">
        <f>IFERROR(__xludf.DUMMYFUNCTION("""COMPUTED_VALUE"""),4.0)</f>
        <v>4</v>
      </c>
      <c r="AZ46" s="3">
        <f>IFERROR(__xludf.DUMMYFUNCTION("""COMPUTED_VALUE"""),4.0)</f>
        <v>4</v>
      </c>
      <c r="BA46" s="3">
        <f>IFERROR(__xludf.DUMMYFUNCTION("""COMPUTED_VALUE"""),4.0)</f>
        <v>4</v>
      </c>
      <c r="BB46" s="3">
        <f>IFERROR(__xludf.DUMMYFUNCTION("""COMPUTED_VALUE"""),8.0)</f>
        <v>8</v>
      </c>
      <c r="BC46" s="3">
        <f>IFERROR(__xludf.DUMMYFUNCTION("""COMPUTED_VALUE"""),9.0)</f>
        <v>9</v>
      </c>
      <c r="BD46" s="3">
        <f>IFERROR(__xludf.DUMMYFUNCTION("""COMPUTED_VALUE"""),17.0)</f>
        <v>17</v>
      </c>
      <c r="BE46" s="3">
        <f>IFERROR(__xludf.DUMMYFUNCTION("""COMPUTED_VALUE"""),17.0)</f>
        <v>17</v>
      </c>
      <c r="BF46" s="3">
        <f>IFERROR(__xludf.DUMMYFUNCTION("""COMPUTED_VALUE"""),24.0)</f>
        <v>24</v>
      </c>
      <c r="BG46" s="3">
        <f>IFERROR(__xludf.DUMMYFUNCTION("""COMPUTED_VALUE"""),50.0)</f>
        <v>50</v>
      </c>
      <c r="BH46" s="3">
        <f>IFERROR(__xludf.DUMMYFUNCTION("""COMPUTED_VALUE"""),74.0)</f>
        <v>74</v>
      </c>
      <c r="BI46" s="3">
        <f>IFERROR(__xludf.DUMMYFUNCTION("""COMPUTED_VALUE"""),94.0)</f>
        <v>94</v>
      </c>
      <c r="BJ46" s="3">
        <f>IFERROR(__xludf.DUMMYFUNCTION("""COMPUTED_VALUE"""),121.0)</f>
        <v>121</v>
      </c>
      <c r="BK46" s="3">
        <f>IFERROR(__xludf.DUMMYFUNCTION("""COMPUTED_VALUE"""),139.0)</f>
        <v>139</v>
      </c>
      <c r="BL46" s="3">
        <f>IFERROR(__xludf.DUMMYFUNCTION("""COMPUTED_VALUE"""),181.0)</f>
        <v>181</v>
      </c>
      <c r="BM46" s="3">
        <f>IFERROR(__xludf.DUMMYFUNCTION("""COMPUTED_VALUE"""),219.0)</f>
        <v>219</v>
      </c>
      <c r="BN46" s="3">
        <f>IFERROR(__xludf.DUMMYFUNCTION("""COMPUTED_VALUE"""),628.0)</f>
        <v>628</v>
      </c>
      <c r="BO46" s="3">
        <f>IFERROR(__xludf.DUMMYFUNCTION("""COMPUTED_VALUE"""),1013.0)</f>
        <v>1013</v>
      </c>
      <c r="BP46" s="3">
        <f>IFERROR(__xludf.DUMMYFUNCTION("""COMPUTED_VALUE"""),1342.0)</f>
        <v>1342</v>
      </c>
      <c r="BQ46" s="3">
        <f>IFERROR(__xludf.DUMMYFUNCTION("""COMPUTED_VALUE"""),1632.0)</f>
        <v>1632</v>
      </c>
      <c r="BR46" s="3">
        <f>IFERROR(__xludf.DUMMYFUNCTION("""COMPUTED_VALUE"""),2024.0)</f>
        <v>2024</v>
      </c>
      <c r="BS46" s="3">
        <f>IFERROR(__xludf.DUMMYFUNCTION("""COMPUTED_VALUE"""),2498.0)</f>
        <v>2498</v>
      </c>
      <c r="BT46" s="3">
        <f>IFERROR(__xludf.DUMMYFUNCTION("""COMPUTED_VALUE"""),2840.0)</f>
        <v>2840</v>
      </c>
      <c r="BU46" s="3">
        <f>IFERROR(__xludf.DUMMYFUNCTION("""COMPUTED_VALUE"""),3430.0)</f>
        <v>3430</v>
      </c>
      <c r="BV46" s="3">
        <f>IFERROR(__xludf.DUMMYFUNCTION("""COMPUTED_VALUE"""),4162.0)</f>
        <v>4162</v>
      </c>
      <c r="BW46" s="3">
        <f>IFERROR(__xludf.DUMMYFUNCTION("""COMPUTED_VALUE"""),4611.0)</f>
        <v>4611</v>
      </c>
      <c r="BX46" s="3">
        <f>IFERROR(__xludf.DUMMYFUNCTION("""COMPUTED_VALUE"""),5518.0)</f>
        <v>5518</v>
      </c>
      <c r="BY46" s="3">
        <f>IFERROR(__xludf.DUMMYFUNCTION("""COMPUTED_VALUE"""),6101.0)</f>
        <v>6101</v>
      </c>
      <c r="BZ46" s="3">
        <f>IFERROR(__xludf.DUMMYFUNCTION("""COMPUTED_VALUE"""),6101.0)</f>
        <v>6101</v>
      </c>
      <c r="CA46" s="3">
        <f>IFERROR(__xludf.DUMMYFUNCTION("""COMPUTED_VALUE"""),7944.0)</f>
        <v>7944</v>
      </c>
      <c r="CB46" s="3">
        <f>IFERROR(__xludf.DUMMYFUNCTION("""COMPUTED_VALUE"""),8580.0)</f>
        <v>8580</v>
      </c>
    </row>
    <row r="47">
      <c r="A47" s="3" t="str">
        <f>IFERROR(__xludf.DUMMYFUNCTION("""COMPUTED_VALUE"""),"Saskatchewan")</f>
        <v>Saskatchewan</v>
      </c>
      <c r="B47" s="3" t="str">
        <f>IFERROR(__xludf.DUMMYFUNCTION("""COMPUTED_VALUE"""),"Canada")</f>
        <v>Canada</v>
      </c>
      <c r="C47" s="3">
        <f>IFERROR(__xludf.DUMMYFUNCTION("""COMPUTED_VALUE"""),52.9399)</f>
        <v>52.9399</v>
      </c>
      <c r="D47" s="3">
        <f>IFERROR(__xludf.DUMMYFUNCTION("""COMPUTED_VALUE"""),-106.4509)</f>
        <v>-106.4509</v>
      </c>
      <c r="E47" s="3">
        <f>IFERROR(__xludf.DUMMYFUNCTION("""COMPUTED_VALUE"""),0.0)</f>
        <v>0</v>
      </c>
      <c r="F47" s="3">
        <f>IFERROR(__xludf.DUMMYFUNCTION("""COMPUTED_VALUE"""),0.0)</f>
        <v>0</v>
      </c>
      <c r="G47" s="3">
        <f>IFERROR(__xludf.DUMMYFUNCTION("""COMPUTED_VALUE"""),0.0)</f>
        <v>0</v>
      </c>
      <c r="H47" s="3">
        <f>IFERROR(__xludf.DUMMYFUNCTION("""COMPUTED_VALUE"""),0.0)</f>
        <v>0</v>
      </c>
      <c r="I47" s="3">
        <f>IFERROR(__xludf.DUMMYFUNCTION("""COMPUTED_VALUE"""),0.0)</f>
        <v>0</v>
      </c>
      <c r="J47" s="3">
        <f>IFERROR(__xludf.DUMMYFUNCTION("""COMPUTED_VALUE"""),0.0)</f>
        <v>0</v>
      </c>
      <c r="K47" s="3">
        <f>IFERROR(__xludf.DUMMYFUNCTION("""COMPUTED_VALUE"""),0.0)</f>
        <v>0</v>
      </c>
      <c r="L47" s="3">
        <f>IFERROR(__xludf.DUMMYFUNCTION("""COMPUTED_VALUE"""),0.0)</f>
        <v>0</v>
      </c>
      <c r="M47" s="3">
        <f>IFERROR(__xludf.DUMMYFUNCTION("""COMPUTED_VALUE"""),0.0)</f>
        <v>0</v>
      </c>
      <c r="N47" s="3">
        <f>IFERROR(__xludf.DUMMYFUNCTION("""COMPUTED_VALUE"""),0.0)</f>
        <v>0</v>
      </c>
      <c r="O47" s="3">
        <f>IFERROR(__xludf.DUMMYFUNCTION("""COMPUTED_VALUE"""),0.0)</f>
        <v>0</v>
      </c>
      <c r="P47" s="3">
        <f>IFERROR(__xludf.DUMMYFUNCTION("""COMPUTED_VALUE"""),0.0)</f>
        <v>0</v>
      </c>
      <c r="Q47" s="3">
        <f>IFERROR(__xludf.DUMMYFUNCTION("""COMPUTED_VALUE"""),0.0)</f>
        <v>0</v>
      </c>
      <c r="R47" s="3">
        <f>IFERROR(__xludf.DUMMYFUNCTION("""COMPUTED_VALUE"""),0.0)</f>
        <v>0</v>
      </c>
      <c r="S47" s="3">
        <f>IFERROR(__xludf.DUMMYFUNCTION("""COMPUTED_VALUE"""),0.0)</f>
        <v>0</v>
      </c>
      <c r="T47" s="3">
        <f>IFERROR(__xludf.DUMMYFUNCTION("""COMPUTED_VALUE"""),0.0)</f>
        <v>0</v>
      </c>
      <c r="U47" s="3">
        <f>IFERROR(__xludf.DUMMYFUNCTION("""COMPUTED_VALUE"""),0.0)</f>
        <v>0</v>
      </c>
      <c r="V47" s="3">
        <f>IFERROR(__xludf.DUMMYFUNCTION("""COMPUTED_VALUE"""),0.0)</f>
        <v>0</v>
      </c>
      <c r="W47" s="3">
        <f>IFERROR(__xludf.DUMMYFUNCTION("""COMPUTED_VALUE"""),0.0)</f>
        <v>0</v>
      </c>
      <c r="X47" s="3">
        <f>IFERROR(__xludf.DUMMYFUNCTION("""COMPUTED_VALUE"""),0.0)</f>
        <v>0</v>
      </c>
      <c r="Y47" s="3">
        <f>IFERROR(__xludf.DUMMYFUNCTION("""COMPUTED_VALUE"""),0.0)</f>
        <v>0</v>
      </c>
      <c r="Z47" s="3">
        <f>IFERROR(__xludf.DUMMYFUNCTION("""COMPUTED_VALUE"""),0.0)</f>
        <v>0</v>
      </c>
      <c r="AA47" s="3">
        <f>IFERROR(__xludf.DUMMYFUNCTION("""COMPUTED_VALUE"""),0.0)</f>
        <v>0</v>
      </c>
      <c r="AB47" s="3">
        <f>IFERROR(__xludf.DUMMYFUNCTION("""COMPUTED_VALUE"""),0.0)</f>
        <v>0</v>
      </c>
      <c r="AC47" s="3">
        <f>IFERROR(__xludf.DUMMYFUNCTION("""COMPUTED_VALUE"""),0.0)</f>
        <v>0</v>
      </c>
      <c r="AD47" s="3">
        <f>IFERROR(__xludf.DUMMYFUNCTION("""COMPUTED_VALUE"""),0.0)</f>
        <v>0</v>
      </c>
      <c r="AE47" s="3">
        <f>IFERROR(__xludf.DUMMYFUNCTION("""COMPUTED_VALUE"""),0.0)</f>
        <v>0</v>
      </c>
      <c r="AF47" s="3">
        <f>IFERROR(__xludf.DUMMYFUNCTION("""COMPUTED_VALUE"""),0.0)</f>
        <v>0</v>
      </c>
      <c r="AG47" s="3">
        <f>IFERROR(__xludf.DUMMYFUNCTION("""COMPUTED_VALUE"""),0.0)</f>
        <v>0</v>
      </c>
      <c r="AH47" s="3">
        <f>IFERROR(__xludf.DUMMYFUNCTION("""COMPUTED_VALUE"""),0.0)</f>
        <v>0</v>
      </c>
      <c r="AI47" s="3">
        <f>IFERROR(__xludf.DUMMYFUNCTION("""COMPUTED_VALUE"""),0.0)</f>
        <v>0</v>
      </c>
      <c r="AJ47" s="3">
        <f>IFERROR(__xludf.DUMMYFUNCTION("""COMPUTED_VALUE"""),0.0)</f>
        <v>0</v>
      </c>
      <c r="AK47" s="3">
        <f>IFERROR(__xludf.DUMMYFUNCTION("""COMPUTED_VALUE"""),0.0)</f>
        <v>0</v>
      </c>
      <c r="AL47" s="3">
        <f>IFERROR(__xludf.DUMMYFUNCTION("""COMPUTED_VALUE"""),0.0)</f>
        <v>0</v>
      </c>
      <c r="AM47" s="3">
        <f>IFERROR(__xludf.DUMMYFUNCTION("""COMPUTED_VALUE"""),0.0)</f>
        <v>0</v>
      </c>
      <c r="AN47" s="3">
        <f>IFERROR(__xludf.DUMMYFUNCTION("""COMPUTED_VALUE"""),0.0)</f>
        <v>0</v>
      </c>
      <c r="AO47" s="3">
        <f>IFERROR(__xludf.DUMMYFUNCTION("""COMPUTED_VALUE"""),0.0)</f>
        <v>0</v>
      </c>
      <c r="AP47" s="3">
        <f>IFERROR(__xludf.DUMMYFUNCTION("""COMPUTED_VALUE"""),0.0)</f>
        <v>0</v>
      </c>
      <c r="AQ47" s="3">
        <f>IFERROR(__xludf.DUMMYFUNCTION("""COMPUTED_VALUE"""),0.0)</f>
        <v>0</v>
      </c>
      <c r="AR47" s="3">
        <f>IFERROR(__xludf.DUMMYFUNCTION("""COMPUTED_VALUE"""),0.0)</f>
        <v>0</v>
      </c>
      <c r="AS47" s="3">
        <f>IFERROR(__xludf.DUMMYFUNCTION("""COMPUTED_VALUE"""),0.0)</f>
        <v>0</v>
      </c>
      <c r="AT47" s="3">
        <f>IFERROR(__xludf.DUMMYFUNCTION("""COMPUTED_VALUE"""),0.0)</f>
        <v>0</v>
      </c>
      <c r="AU47" s="3">
        <f>IFERROR(__xludf.DUMMYFUNCTION("""COMPUTED_VALUE"""),0.0)</f>
        <v>0</v>
      </c>
      <c r="AV47" s="3">
        <f>IFERROR(__xludf.DUMMYFUNCTION("""COMPUTED_VALUE"""),0.0)</f>
        <v>0</v>
      </c>
      <c r="AW47" s="3">
        <f>IFERROR(__xludf.DUMMYFUNCTION("""COMPUTED_VALUE"""),0.0)</f>
        <v>0</v>
      </c>
      <c r="AX47" s="3">
        <f>IFERROR(__xludf.DUMMYFUNCTION("""COMPUTED_VALUE"""),0.0)</f>
        <v>0</v>
      </c>
      <c r="AY47" s="3">
        <f>IFERROR(__xludf.DUMMYFUNCTION("""COMPUTED_VALUE"""),0.0)</f>
        <v>0</v>
      </c>
      <c r="AZ47" s="3">
        <f>IFERROR(__xludf.DUMMYFUNCTION("""COMPUTED_VALUE"""),0.0)</f>
        <v>0</v>
      </c>
      <c r="BA47" s="3">
        <f>IFERROR(__xludf.DUMMYFUNCTION("""COMPUTED_VALUE"""),0.0)</f>
        <v>0</v>
      </c>
      <c r="BB47" s="3">
        <f>IFERROR(__xludf.DUMMYFUNCTION("""COMPUTED_VALUE"""),0.0)</f>
        <v>0</v>
      </c>
      <c r="BC47" s="3">
        <f>IFERROR(__xludf.DUMMYFUNCTION("""COMPUTED_VALUE"""),0.0)</f>
        <v>0</v>
      </c>
      <c r="BD47" s="3">
        <f>IFERROR(__xludf.DUMMYFUNCTION("""COMPUTED_VALUE"""),2.0)</f>
        <v>2</v>
      </c>
      <c r="BE47" s="3">
        <f>IFERROR(__xludf.DUMMYFUNCTION("""COMPUTED_VALUE"""),2.0)</f>
        <v>2</v>
      </c>
      <c r="BF47" s="3">
        <f>IFERROR(__xludf.DUMMYFUNCTION("""COMPUTED_VALUE"""),2.0)</f>
        <v>2</v>
      </c>
      <c r="BG47" s="3">
        <f>IFERROR(__xludf.DUMMYFUNCTION("""COMPUTED_VALUE"""),7.0)</f>
        <v>7</v>
      </c>
      <c r="BH47" s="3">
        <f>IFERROR(__xludf.DUMMYFUNCTION("""COMPUTED_VALUE"""),7.0)</f>
        <v>7</v>
      </c>
      <c r="BI47" s="3">
        <f>IFERROR(__xludf.DUMMYFUNCTION("""COMPUTED_VALUE"""),8.0)</f>
        <v>8</v>
      </c>
      <c r="BJ47" s="3">
        <f>IFERROR(__xludf.DUMMYFUNCTION("""COMPUTED_VALUE"""),16.0)</f>
        <v>16</v>
      </c>
      <c r="BK47" s="3">
        <f>IFERROR(__xludf.DUMMYFUNCTION("""COMPUTED_VALUE"""),20.0)</f>
        <v>20</v>
      </c>
      <c r="BL47" s="3">
        <f>IFERROR(__xludf.DUMMYFUNCTION("""COMPUTED_VALUE"""),26.0)</f>
        <v>26</v>
      </c>
      <c r="BM47" s="3">
        <f>IFERROR(__xludf.DUMMYFUNCTION("""COMPUTED_VALUE"""),52.0)</f>
        <v>52</v>
      </c>
      <c r="BN47" s="3">
        <f>IFERROR(__xludf.DUMMYFUNCTION("""COMPUTED_VALUE"""),66.0)</f>
        <v>66</v>
      </c>
      <c r="BO47" s="3">
        <f>IFERROR(__xludf.DUMMYFUNCTION("""COMPUTED_VALUE"""),72.0)</f>
        <v>72</v>
      </c>
      <c r="BP47" s="3">
        <f>IFERROR(__xludf.DUMMYFUNCTION("""COMPUTED_VALUE"""),72.0)</f>
        <v>72</v>
      </c>
      <c r="BQ47" s="3">
        <f>IFERROR(__xludf.DUMMYFUNCTION("""COMPUTED_VALUE"""),95.0)</f>
        <v>95</v>
      </c>
      <c r="BR47" s="3">
        <f>IFERROR(__xludf.DUMMYFUNCTION("""COMPUTED_VALUE"""),95.0)</f>
        <v>95</v>
      </c>
      <c r="BS47" s="3">
        <f>IFERROR(__xludf.DUMMYFUNCTION("""COMPUTED_VALUE"""),134.0)</f>
        <v>134</v>
      </c>
      <c r="BT47" s="3">
        <f>IFERROR(__xludf.DUMMYFUNCTION("""COMPUTED_VALUE"""),156.0)</f>
        <v>156</v>
      </c>
      <c r="BU47" s="3">
        <f>IFERROR(__xludf.DUMMYFUNCTION("""COMPUTED_VALUE"""),156.0)</f>
        <v>156</v>
      </c>
      <c r="BV47" s="3">
        <f>IFERROR(__xludf.DUMMYFUNCTION("""COMPUTED_VALUE"""),184.0)</f>
        <v>184</v>
      </c>
      <c r="BW47" s="3">
        <f>IFERROR(__xludf.DUMMYFUNCTION("""COMPUTED_VALUE"""),193.0)</f>
        <v>193</v>
      </c>
      <c r="BX47" s="3">
        <f>IFERROR(__xludf.DUMMYFUNCTION("""COMPUTED_VALUE"""),206.0)</f>
        <v>206</v>
      </c>
      <c r="BY47" s="3">
        <f>IFERROR(__xludf.DUMMYFUNCTION("""COMPUTED_VALUE"""),220.0)</f>
        <v>220</v>
      </c>
      <c r="BZ47" s="3">
        <f>IFERROR(__xludf.DUMMYFUNCTION("""COMPUTED_VALUE"""),220.0)</f>
        <v>220</v>
      </c>
      <c r="CA47" s="3">
        <f>IFERROR(__xludf.DUMMYFUNCTION("""COMPUTED_VALUE"""),249.0)</f>
        <v>249</v>
      </c>
      <c r="CB47" s="3">
        <f>IFERROR(__xludf.DUMMYFUNCTION("""COMPUTED_VALUE"""),249.0)</f>
        <v>249</v>
      </c>
    </row>
    <row r="48">
      <c r="A48" s="3" t="str">
        <f>IFERROR(__xludf.DUMMYFUNCTION("""COMPUTED_VALUE"""),"")</f>
        <v/>
      </c>
      <c r="B48" s="3" t="str">
        <f>IFERROR(__xludf.DUMMYFUNCTION("""COMPUTED_VALUE"""),"Central African Republic")</f>
        <v>Central African Republic</v>
      </c>
      <c r="C48" s="3">
        <f>IFERROR(__xludf.DUMMYFUNCTION("""COMPUTED_VALUE"""),6.6111)</f>
        <v>6.6111</v>
      </c>
      <c r="D48" s="3">
        <f>IFERROR(__xludf.DUMMYFUNCTION("""COMPUTED_VALUE"""),20.9394)</f>
        <v>20.9394</v>
      </c>
      <c r="E48" s="3">
        <f>IFERROR(__xludf.DUMMYFUNCTION("""COMPUTED_VALUE"""),0.0)</f>
        <v>0</v>
      </c>
      <c r="F48" s="3">
        <f>IFERROR(__xludf.DUMMYFUNCTION("""COMPUTED_VALUE"""),0.0)</f>
        <v>0</v>
      </c>
      <c r="G48" s="3">
        <f>IFERROR(__xludf.DUMMYFUNCTION("""COMPUTED_VALUE"""),0.0)</f>
        <v>0</v>
      </c>
      <c r="H48" s="3">
        <f>IFERROR(__xludf.DUMMYFUNCTION("""COMPUTED_VALUE"""),0.0)</f>
        <v>0</v>
      </c>
      <c r="I48" s="3">
        <f>IFERROR(__xludf.DUMMYFUNCTION("""COMPUTED_VALUE"""),0.0)</f>
        <v>0</v>
      </c>
      <c r="J48" s="3">
        <f>IFERROR(__xludf.DUMMYFUNCTION("""COMPUTED_VALUE"""),0.0)</f>
        <v>0</v>
      </c>
      <c r="K48" s="3">
        <f>IFERROR(__xludf.DUMMYFUNCTION("""COMPUTED_VALUE"""),0.0)</f>
        <v>0</v>
      </c>
      <c r="L48" s="3">
        <f>IFERROR(__xludf.DUMMYFUNCTION("""COMPUTED_VALUE"""),0.0)</f>
        <v>0</v>
      </c>
      <c r="M48" s="3">
        <f>IFERROR(__xludf.DUMMYFUNCTION("""COMPUTED_VALUE"""),0.0)</f>
        <v>0</v>
      </c>
      <c r="N48" s="3">
        <f>IFERROR(__xludf.DUMMYFUNCTION("""COMPUTED_VALUE"""),0.0)</f>
        <v>0</v>
      </c>
      <c r="O48" s="3">
        <f>IFERROR(__xludf.DUMMYFUNCTION("""COMPUTED_VALUE"""),0.0)</f>
        <v>0</v>
      </c>
      <c r="P48" s="3">
        <f>IFERROR(__xludf.DUMMYFUNCTION("""COMPUTED_VALUE"""),0.0)</f>
        <v>0</v>
      </c>
      <c r="Q48" s="3">
        <f>IFERROR(__xludf.DUMMYFUNCTION("""COMPUTED_VALUE"""),0.0)</f>
        <v>0</v>
      </c>
      <c r="R48" s="3">
        <f>IFERROR(__xludf.DUMMYFUNCTION("""COMPUTED_VALUE"""),0.0)</f>
        <v>0</v>
      </c>
      <c r="S48" s="3">
        <f>IFERROR(__xludf.DUMMYFUNCTION("""COMPUTED_VALUE"""),0.0)</f>
        <v>0</v>
      </c>
      <c r="T48" s="3">
        <f>IFERROR(__xludf.DUMMYFUNCTION("""COMPUTED_VALUE"""),0.0)</f>
        <v>0</v>
      </c>
      <c r="U48" s="3">
        <f>IFERROR(__xludf.DUMMYFUNCTION("""COMPUTED_VALUE"""),0.0)</f>
        <v>0</v>
      </c>
      <c r="V48" s="3">
        <f>IFERROR(__xludf.DUMMYFUNCTION("""COMPUTED_VALUE"""),0.0)</f>
        <v>0</v>
      </c>
      <c r="W48" s="3">
        <f>IFERROR(__xludf.DUMMYFUNCTION("""COMPUTED_VALUE"""),0.0)</f>
        <v>0</v>
      </c>
      <c r="X48" s="3">
        <f>IFERROR(__xludf.DUMMYFUNCTION("""COMPUTED_VALUE"""),0.0)</f>
        <v>0</v>
      </c>
      <c r="Y48" s="3">
        <f>IFERROR(__xludf.DUMMYFUNCTION("""COMPUTED_VALUE"""),0.0)</f>
        <v>0</v>
      </c>
      <c r="Z48" s="3">
        <f>IFERROR(__xludf.DUMMYFUNCTION("""COMPUTED_VALUE"""),0.0)</f>
        <v>0</v>
      </c>
      <c r="AA48" s="3">
        <f>IFERROR(__xludf.DUMMYFUNCTION("""COMPUTED_VALUE"""),0.0)</f>
        <v>0</v>
      </c>
      <c r="AB48" s="3">
        <f>IFERROR(__xludf.DUMMYFUNCTION("""COMPUTED_VALUE"""),0.0)</f>
        <v>0</v>
      </c>
      <c r="AC48" s="3">
        <f>IFERROR(__xludf.DUMMYFUNCTION("""COMPUTED_VALUE"""),0.0)</f>
        <v>0</v>
      </c>
      <c r="AD48" s="3">
        <f>IFERROR(__xludf.DUMMYFUNCTION("""COMPUTED_VALUE"""),0.0)</f>
        <v>0</v>
      </c>
      <c r="AE48" s="3">
        <f>IFERROR(__xludf.DUMMYFUNCTION("""COMPUTED_VALUE"""),0.0)</f>
        <v>0</v>
      </c>
      <c r="AF48" s="3">
        <f>IFERROR(__xludf.DUMMYFUNCTION("""COMPUTED_VALUE"""),0.0)</f>
        <v>0</v>
      </c>
      <c r="AG48" s="3">
        <f>IFERROR(__xludf.DUMMYFUNCTION("""COMPUTED_VALUE"""),0.0)</f>
        <v>0</v>
      </c>
      <c r="AH48" s="3">
        <f>IFERROR(__xludf.DUMMYFUNCTION("""COMPUTED_VALUE"""),0.0)</f>
        <v>0</v>
      </c>
      <c r="AI48" s="3">
        <f>IFERROR(__xludf.DUMMYFUNCTION("""COMPUTED_VALUE"""),0.0)</f>
        <v>0</v>
      </c>
      <c r="AJ48" s="3">
        <f>IFERROR(__xludf.DUMMYFUNCTION("""COMPUTED_VALUE"""),0.0)</f>
        <v>0</v>
      </c>
      <c r="AK48" s="3">
        <f>IFERROR(__xludf.DUMMYFUNCTION("""COMPUTED_VALUE"""),0.0)</f>
        <v>0</v>
      </c>
      <c r="AL48" s="3">
        <f>IFERROR(__xludf.DUMMYFUNCTION("""COMPUTED_VALUE"""),0.0)</f>
        <v>0</v>
      </c>
      <c r="AM48" s="3">
        <f>IFERROR(__xludf.DUMMYFUNCTION("""COMPUTED_VALUE"""),0.0)</f>
        <v>0</v>
      </c>
      <c r="AN48" s="3">
        <f>IFERROR(__xludf.DUMMYFUNCTION("""COMPUTED_VALUE"""),0.0)</f>
        <v>0</v>
      </c>
      <c r="AO48" s="3">
        <f>IFERROR(__xludf.DUMMYFUNCTION("""COMPUTED_VALUE"""),0.0)</f>
        <v>0</v>
      </c>
      <c r="AP48" s="3">
        <f>IFERROR(__xludf.DUMMYFUNCTION("""COMPUTED_VALUE"""),0.0)</f>
        <v>0</v>
      </c>
      <c r="AQ48" s="3">
        <f>IFERROR(__xludf.DUMMYFUNCTION("""COMPUTED_VALUE"""),0.0)</f>
        <v>0</v>
      </c>
      <c r="AR48" s="3">
        <f>IFERROR(__xludf.DUMMYFUNCTION("""COMPUTED_VALUE"""),0.0)</f>
        <v>0</v>
      </c>
      <c r="AS48" s="3">
        <f>IFERROR(__xludf.DUMMYFUNCTION("""COMPUTED_VALUE"""),0.0)</f>
        <v>0</v>
      </c>
      <c r="AT48" s="3">
        <f>IFERROR(__xludf.DUMMYFUNCTION("""COMPUTED_VALUE"""),0.0)</f>
        <v>0</v>
      </c>
      <c r="AU48" s="3">
        <f>IFERROR(__xludf.DUMMYFUNCTION("""COMPUTED_VALUE"""),0.0)</f>
        <v>0</v>
      </c>
      <c r="AV48" s="3">
        <f>IFERROR(__xludf.DUMMYFUNCTION("""COMPUTED_VALUE"""),0.0)</f>
        <v>0</v>
      </c>
      <c r="AW48" s="3">
        <f>IFERROR(__xludf.DUMMYFUNCTION("""COMPUTED_VALUE"""),0.0)</f>
        <v>0</v>
      </c>
      <c r="AX48" s="3">
        <f>IFERROR(__xludf.DUMMYFUNCTION("""COMPUTED_VALUE"""),0.0)</f>
        <v>0</v>
      </c>
      <c r="AY48" s="3">
        <f>IFERROR(__xludf.DUMMYFUNCTION("""COMPUTED_VALUE"""),0.0)</f>
        <v>0</v>
      </c>
      <c r="AZ48" s="3">
        <f>IFERROR(__xludf.DUMMYFUNCTION("""COMPUTED_VALUE"""),0.0)</f>
        <v>0</v>
      </c>
      <c r="BA48" s="3">
        <f>IFERROR(__xludf.DUMMYFUNCTION("""COMPUTED_VALUE"""),0.0)</f>
        <v>0</v>
      </c>
      <c r="BB48" s="3">
        <f>IFERROR(__xludf.DUMMYFUNCTION("""COMPUTED_VALUE"""),0.0)</f>
        <v>0</v>
      </c>
      <c r="BC48" s="3">
        <f>IFERROR(__xludf.DUMMYFUNCTION("""COMPUTED_VALUE"""),0.0)</f>
        <v>0</v>
      </c>
      <c r="BD48" s="3">
        <f>IFERROR(__xludf.DUMMYFUNCTION("""COMPUTED_VALUE"""),0.0)</f>
        <v>0</v>
      </c>
      <c r="BE48" s="3">
        <f>IFERROR(__xludf.DUMMYFUNCTION("""COMPUTED_VALUE"""),0.0)</f>
        <v>0</v>
      </c>
      <c r="BF48" s="3">
        <f>IFERROR(__xludf.DUMMYFUNCTION("""COMPUTED_VALUE"""),1.0)</f>
        <v>1</v>
      </c>
      <c r="BG48" s="3">
        <f>IFERROR(__xludf.DUMMYFUNCTION("""COMPUTED_VALUE"""),1.0)</f>
        <v>1</v>
      </c>
      <c r="BH48" s="3">
        <f>IFERROR(__xludf.DUMMYFUNCTION("""COMPUTED_VALUE"""),1.0)</f>
        <v>1</v>
      </c>
      <c r="BI48" s="3">
        <f>IFERROR(__xludf.DUMMYFUNCTION("""COMPUTED_VALUE"""),1.0)</f>
        <v>1</v>
      </c>
      <c r="BJ48" s="3">
        <f>IFERROR(__xludf.DUMMYFUNCTION("""COMPUTED_VALUE"""),1.0)</f>
        <v>1</v>
      </c>
      <c r="BK48" s="3">
        <f>IFERROR(__xludf.DUMMYFUNCTION("""COMPUTED_VALUE"""),3.0)</f>
        <v>3</v>
      </c>
      <c r="BL48" s="3">
        <f>IFERROR(__xludf.DUMMYFUNCTION("""COMPUTED_VALUE"""),3.0)</f>
        <v>3</v>
      </c>
      <c r="BM48" s="3">
        <f>IFERROR(__xludf.DUMMYFUNCTION("""COMPUTED_VALUE"""),3.0)</f>
        <v>3</v>
      </c>
      <c r="BN48" s="3">
        <f>IFERROR(__xludf.DUMMYFUNCTION("""COMPUTED_VALUE"""),3.0)</f>
        <v>3</v>
      </c>
      <c r="BO48" s="3">
        <f>IFERROR(__xludf.DUMMYFUNCTION("""COMPUTED_VALUE"""),3.0)</f>
        <v>3</v>
      </c>
      <c r="BP48" s="3">
        <f>IFERROR(__xludf.DUMMYFUNCTION("""COMPUTED_VALUE"""),3.0)</f>
        <v>3</v>
      </c>
      <c r="BQ48" s="3">
        <f>IFERROR(__xludf.DUMMYFUNCTION("""COMPUTED_VALUE"""),3.0)</f>
        <v>3</v>
      </c>
      <c r="BR48" s="3">
        <f>IFERROR(__xludf.DUMMYFUNCTION("""COMPUTED_VALUE"""),3.0)</f>
        <v>3</v>
      </c>
      <c r="BS48" s="3">
        <f>IFERROR(__xludf.DUMMYFUNCTION("""COMPUTED_VALUE"""),3.0)</f>
        <v>3</v>
      </c>
      <c r="BT48" s="3">
        <f>IFERROR(__xludf.DUMMYFUNCTION("""COMPUTED_VALUE"""),3.0)</f>
        <v>3</v>
      </c>
      <c r="BU48" s="3">
        <f>IFERROR(__xludf.DUMMYFUNCTION("""COMPUTED_VALUE"""),3.0)</f>
        <v>3</v>
      </c>
      <c r="BV48" s="3">
        <f>IFERROR(__xludf.DUMMYFUNCTION("""COMPUTED_VALUE"""),3.0)</f>
        <v>3</v>
      </c>
      <c r="BW48" s="3">
        <f>IFERROR(__xludf.DUMMYFUNCTION("""COMPUTED_VALUE"""),3.0)</f>
        <v>3</v>
      </c>
      <c r="BX48" s="3">
        <f>IFERROR(__xludf.DUMMYFUNCTION("""COMPUTED_VALUE"""),3.0)</f>
        <v>3</v>
      </c>
      <c r="BY48" s="3">
        <f>IFERROR(__xludf.DUMMYFUNCTION("""COMPUTED_VALUE"""),8.0)</f>
        <v>8</v>
      </c>
      <c r="BZ48" s="3">
        <f>IFERROR(__xludf.DUMMYFUNCTION("""COMPUTED_VALUE"""),8.0)</f>
        <v>8</v>
      </c>
      <c r="CA48" s="3">
        <f>IFERROR(__xludf.DUMMYFUNCTION("""COMPUTED_VALUE"""),8.0)</f>
        <v>8</v>
      </c>
      <c r="CB48" s="3">
        <f>IFERROR(__xludf.DUMMYFUNCTION("""COMPUTED_VALUE"""),8.0)</f>
        <v>8</v>
      </c>
    </row>
    <row r="49">
      <c r="A49" s="3" t="str">
        <f>IFERROR(__xludf.DUMMYFUNCTION("""COMPUTED_VALUE"""),"")</f>
        <v/>
      </c>
      <c r="B49" s="3" t="str">
        <f>IFERROR(__xludf.DUMMYFUNCTION("""COMPUTED_VALUE"""),"Chad")</f>
        <v>Chad</v>
      </c>
      <c r="C49" s="3">
        <f>IFERROR(__xludf.DUMMYFUNCTION("""COMPUTED_VALUE"""),15.4542)</f>
        <v>15.4542</v>
      </c>
      <c r="D49" s="3">
        <f>IFERROR(__xludf.DUMMYFUNCTION("""COMPUTED_VALUE"""),18.7322)</f>
        <v>18.7322</v>
      </c>
      <c r="E49" s="3">
        <f>IFERROR(__xludf.DUMMYFUNCTION("""COMPUTED_VALUE"""),0.0)</f>
        <v>0</v>
      </c>
      <c r="F49" s="3">
        <f>IFERROR(__xludf.DUMMYFUNCTION("""COMPUTED_VALUE"""),0.0)</f>
        <v>0</v>
      </c>
      <c r="G49" s="3">
        <f>IFERROR(__xludf.DUMMYFUNCTION("""COMPUTED_VALUE"""),0.0)</f>
        <v>0</v>
      </c>
      <c r="H49" s="3">
        <f>IFERROR(__xludf.DUMMYFUNCTION("""COMPUTED_VALUE"""),0.0)</f>
        <v>0</v>
      </c>
      <c r="I49" s="3">
        <f>IFERROR(__xludf.DUMMYFUNCTION("""COMPUTED_VALUE"""),0.0)</f>
        <v>0</v>
      </c>
      <c r="J49" s="3">
        <f>IFERROR(__xludf.DUMMYFUNCTION("""COMPUTED_VALUE"""),0.0)</f>
        <v>0</v>
      </c>
      <c r="K49" s="3">
        <f>IFERROR(__xludf.DUMMYFUNCTION("""COMPUTED_VALUE"""),0.0)</f>
        <v>0</v>
      </c>
      <c r="L49" s="3">
        <f>IFERROR(__xludf.DUMMYFUNCTION("""COMPUTED_VALUE"""),0.0)</f>
        <v>0</v>
      </c>
      <c r="M49" s="3">
        <f>IFERROR(__xludf.DUMMYFUNCTION("""COMPUTED_VALUE"""),0.0)</f>
        <v>0</v>
      </c>
      <c r="N49" s="3">
        <f>IFERROR(__xludf.DUMMYFUNCTION("""COMPUTED_VALUE"""),0.0)</f>
        <v>0</v>
      </c>
      <c r="O49" s="3">
        <f>IFERROR(__xludf.DUMMYFUNCTION("""COMPUTED_VALUE"""),0.0)</f>
        <v>0</v>
      </c>
      <c r="P49" s="3">
        <f>IFERROR(__xludf.DUMMYFUNCTION("""COMPUTED_VALUE"""),0.0)</f>
        <v>0</v>
      </c>
      <c r="Q49" s="3">
        <f>IFERROR(__xludf.DUMMYFUNCTION("""COMPUTED_VALUE"""),0.0)</f>
        <v>0</v>
      </c>
      <c r="R49" s="3">
        <f>IFERROR(__xludf.DUMMYFUNCTION("""COMPUTED_VALUE"""),0.0)</f>
        <v>0</v>
      </c>
      <c r="S49" s="3">
        <f>IFERROR(__xludf.DUMMYFUNCTION("""COMPUTED_VALUE"""),0.0)</f>
        <v>0</v>
      </c>
      <c r="T49" s="3">
        <f>IFERROR(__xludf.DUMMYFUNCTION("""COMPUTED_VALUE"""),0.0)</f>
        <v>0</v>
      </c>
      <c r="U49" s="3">
        <f>IFERROR(__xludf.DUMMYFUNCTION("""COMPUTED_VALUE"""),0.0)</f>
        <v>0</v>
      </c>
      <c r="V49" s="3">
        <f>IFERROR(__xludf.DUMMYFUNCTION("""COMPUTED_VALUE"""),0.0)</f>
        <v>0</v>
      </c>
      <c r="W49" s="3">
        <f>IFERROR(__xludf.DUMMYFUNCTION("""COMPUTED_VALUE"""),0.0)</f>
        <v>0</v>
      </c>
      <c r="X49" s="3">
        <f>IFERROR(__xludf.DUMMYFUNCTION("""COMPUTED_VALUE"""),0.0)</f>
        <v>0</v>
      </c>
      <c r="Y49" s="3">
        <f>IFERROR(__xludf.DUMMYFUNCTION("""COMPUTED_VALUE"""),0.0)</f>
        <v>0</v>
      </c>
      <c r="Z49" s="3">
        <f>IFERROR(__xludf.DUMMYFUNCTION("""COMPUTED_VALUE"""),0.0)</f>
        <v>0</v>
      </c>
      <c r="AA49" s="3">
        <f>IFERROR(__xludf.DUMMYFUNCTION("""COMPUTED_VALUE"""),0.0)</f>
        <v>0</v>
      </c>
      <c r="AB49" s="3">
        <f>IFERROR(__xludf.DUMMYFUNCTION("""COMPUTED_VALUE"""),0.0)</f>
        <v>0</v>
      </c>
      <c r="AC49" s="3">
        <f>IFERROR(__xludf.DUMMYFUNCTION("""COMPUTED_VALUE"""),0.0)</f>
        <v>0</v>
      </c>
      <c r="AD49" s="3">
        <f>IFERROR(__xludf.DUMMYFUNCTION("""COMPUTED_VALUE"""),0.0)</f>
        <v>0</v>
      </c>
      <c r="AE49" s="3">
        <f>IFERROR(__xludf.DUMMYFUNCTION("""COMPUTED_VALUE"""),0.0)</f>
        <v>0</v>
      </c>
      <c r="AF49" s="3">
        <f>IFERROR(__xludf.DUMMYFUNCTION("""COMPUTED_VALUE"""),0.0)</f>
        <v>0</v>
      </c>
      <c r="AG49" s="3">
        <f>IFERROR(__xludf.DUMMYFUNCTION("""COMPUTED_VALUE"""),0.0)</f>
        <v>0</v>
      </c>
      <c r="AH49" s="3">
        <f>IFERROR(__xludf.DUMMYFUNCTION("""COMPUTED_VALUE"""),0.0)</f>
        <v>0</v>
      </c>
      <c r="AI49" s="3">
        <f>IFERROR(__xludf.DUMMYFUNCTION("""COMPUTED_VALUE"""),0.0)</f>
        <v>0</v>
      </c>
      <c r="AJ49" s="3">
        <f>IFERROR(__xludf.DUMMYFUNCTION("""COMPUTED_VALUE"""),0.0)</f>
        <v>0</v>
      </c>
      <c r="AK49" s="3">
        <f>IFERROR(__xludf.DUMMYFUNCTION("""COMPUTED_VALUE"""),0.0)</f>
        <v>0</v>
      </c>
      <c r="AL49" s="3">
        <f>IFERROR(__xludf.DUMMYFUNCTION("""COMPUTED_VALUE"""),0.0)</f>
        <v>0</v>
      </c>
      <c r="AM49" s="3">
        <f>IFERROR(__xludf.DUMMYFUNCTION("""COMPUTED_VALUE"""),0.0)</f>
        <v>0</v>
      </c>
      <c r="AN49" s="3">
        <f>IFERROR(__xludf.DUMMYFUNCTION("""COMPUTED_VALUE"""),0.0)</f>
        <v>0</v>
      </c>
      <c r="AO49" s="3">
        <f>IFERROR(__xludf.DUMMYFUNCTION("""COMPUTED_VALUE"""),0.0)</f>
        <v>0</v>
      </c>
      <c r="AP49" s="3">
        <f>IFERROR(__xludf.DUMMYFUNCTION("""COMPUTED_VALUE"""),0.0)</f>
        <v>0</v>
      </c>
      <c r="AQ49" s="3">
        <f>IFERROR(__xludf.DUMMYFUNCTION("""COMPUTED_VALUE"""),0.0)</f>
        <v>0</v>
      </c>
      <c r="AR49" s="3">
        <f>IFERROR(__xludf.DUMMYFUNCTION("""COMPUTED_VALUE"""),0.0)</f>
        <v>0</v>
      </c>
      <c r="AS49" s="3">
        <f>IFERROR(__xludf.DUMMYFUNCTION("""COMPUTED_VALUE"""),0.0)</f>
        <v>0</v>
      </c>
      <c r="AT49" s="3">
        <f>IFERROR(__xludf.DUMMYFUNCTION("""COMPUTED_VALUE"""),0.0)</f>
        <v>0</v>
      </c>
      <c r="AU49" s="3">
        <f>IFERROR(__xludf.DUMMYFUNCTION("""COMPUTED_VALUE"""),0.0)</f>
        <v>0</v>
      </c>
      <c r="AV49" s="3">
        <f>IFERROR(__xludf.DUMMYFUNCTION("""COMPUTED_VALUE"""),0.0)</f>
        <v>0</v>
      </c>
      <c r="AW49" s="3">
        <f>IFERROR(__xludf.DUMMYFUNCTION("""COMPUTED_VALUE"""),0.0)</f>
        <v>0</v>
      </c>
      <c r="AX49" s="3">
        <f>IFERROR(__xludf.DUMMYFUNCTION("""COMPUTED_VALUE"""),0.0)</f>
        <v>0</v>
      </c>
      <c r="AY49" s="3">
        <f>IFERROR(__xludf.DUMMYFUNCTION("""COMPUTED_VALUE"""),0.0)</f>
        <v>0</v>
      </c>
      <c r="AZ49" s="3">
        <f>IFERROR(__xludf.DUMMYFUNCTION("""COMPUTED_VALUE"""),0.0)</f>
        <v>0</v>
      </c>
      <c r="BA49" s="3">
        <f>IFERROR(__xludf.DUMMYFUNCTION("""COMPUTED_VALUE"""),0.0)</f>
        <v>0</v>
      </c>
      <c r="BB49" s="3">
        <f>IFERROR(__xludf.DUMMYFUNCTION("""COMPUTED_VALUE"""),0.0)</f>
        <v>0</v>
      </c>
      <c r="BC49" s="3">
        <f>IFERROR(__xludf.DUMMYFUNCTION("""COMPUTED_VALUE"""),0.0)</f>
        <v>0</v>
      </c>
      <c r="BD49" s="3">
        <f>IFERROR(__xludf.DUMMYFUNCTION("""COMPUTED_VALUE"""),0.0)</f>
        <v>0</v>
      </c>
      <c r="BE49" s="3">
        <f>IFERROR(__xludf.DUMMYFUNCTION("""COMPUTED_VALUE"""),0.0)</f>
        <v>0</v>
      </c>
      <c r="BF49" s="3">
        <f>IFERROR(__xludf.DUMMYFUNCTION("""COMPUTED_VALUE"""),0.0)</f>
        <v>0</v>
      </c>
      <c r="BG49" s="3">
        <f>IFERROR(__xludf.DUMMYFUNCTION("""COMPUTED_VALUE"""),0.0)</f>
        <v>0</v>
      </c>
      <c r="BH49" s="3">
        <f>IFERROR(__xludf.DUMMYFUNCTION("""COMPUTED_VALUE"""),0.0)</f>
        <v>0</v>
      </c>
      <c r="BI49" s="3">
        <f>IFERROR(__xludf.DUMMYFUNCTION("""COMPUTED_VALUE"""),0.0)</f>
        <v>0</v>
      </c>
      <c r="BJ49" s="3">
        <f>IFERROR(__xludf.DUMMYFUNCTION("""COMPUTED_VALUE"""),1.0)</f>
        <v>1</v>
      </c>
      <c r="BK49" s="3">
        <f>IFERROR(__xludf.DUMMYFUNCTION("""COMPUTED_VALUE"""),1.0)</f>
        <v>1</v>
      </c>
      <c r="BL49" s="3">
        <f>IFERROR(__xludf.DUMMYFUNCTION("""COMPUTED_VALUE"""),1.0)</f>
        <v>1</v>
      </c>
      <c r="BM49" s="3">
        <f>IFERROR(__xludf.DUMMYFUNCTION("""COMPUTED_VALUE"""),1.0)</f>
        <v>1</v>
      </c>
      <c r="BN49" s="3">
        <f>IFERROR(__xludf.DUMMYFUNCTION("""COMPUTED_VALUE"""),1.0)</f>
        <v>1</v>
      </c>
      <c r="BO49" s="3">
        <f>IFERROR(__xludf.DUMMYFUNCTION("""COMPUTED_VALUE"""),3.0)</f>
        <v>3</v>
      </c>
      <c r="BP49" s="3">
        <f>IFERROR(__xludf.DUMMYFUNCTION("""COMPUTED_VALUE"""),3.0)</f>
        <v>3</v>
      </c>
      <c r="BQ49" s="3">
        <f>IFERROR(__xludf.DUMMYFUNCTION("""COMPUTED_VALUE"""),3.0)</f>
        <v>3</v>
      </c>
      <c r="BR49" s="3">
        <f>IFERROR(__xludf.DUMMYFUNCTION("""COMPUTED_VALUE"""),3.0)</f>
        <v>3</v>
      </c>
      <c r="BS49" s="3">
        <f>IFERROR(__xludf.DUMMYFUNCTION("""COMPUTED_VALUE"""),3.0)</f>
        <v>3</v>
      </c>
      <c r="BT49" s="3">
        <f>IFERROR(__xludf.DUMMYFUNCTION("""COMPUTED_VALUE"""),3.0)</f>
        <v>3</v>
      </c>
      <c r="BU49" s="3">
        <f>IFERROR(__xludf.DUMMYFUNCTION("""COMPUTED_VALUE"""),5.0)</f>
        <v>5</v>
      </c>
      <c r="BV49" s="3">
        <f>IFERROR(__xludf.DUMMYFUNCTION("""COMPUTED_VALUE"""),7.0)</f>
        <v>7</v>
      </c>
      <c r="BW49" s="3">
        <f>IFERROR(__xludf.DUMMYFUNCTION("""COMPUTED_VALUE"""),7.0)</f>
        <v>7</v>
      </c>
      <c r="BX49" s="3">
        <f>IFERROR(__xludf.DUMMYFUNCTION("""COMPUTED_VALUE"""),8.0)</f>
        <v>8</v>
      </c>
      <c r="BY49" s="3">
        <f>IFERROR(__xludf.DUMMYFUNCTION("""COMPUTED_VALUE"""),8.0)</f>
        <v>8</v>
      </c>
      <c r="BZ49" s="3">
        <f>IFERROR(__xludf.DUMMYFUNCTION("""COMPUTED_VALUE"""),9.0)</f>
        <v>9</v>
      </c>
      <c r="CA49" s="3">
        <f>IFERROR(__xludf.DUMMYFUNCTION("""COMPUTED_VALUE"""),9.0)</f>
        <v>9</v>
      </c>
      <c r="CB49" s="3">
        <f>IFERROR(__xludf.DUMMYFUNCTION("""COMPUTED_VALUE"""),9.0)</f>
        <v>9</v>
      </c>
    </row>
    <row r="50">
      <c r="A50" s="3" t="str">
        <f>IFERROR(__xludf.DUMMYFUNCTION("""COMPUTED_VALUE"""),"")</f>
        <v/>
      </c>
      <c r="B50" s="3" t="str">
        <f>IFERROR(__xludf.DUMMYFUNCTION("""COMPUTED_VALUE"""),"Chile")</f>
        <v>Chile</v>
      </c>
      <c r="C50" s="3">
        <f>IFERROR(__xludf.DUMMYFUNCTION("""COMPUTED_VALUE"""),-35.6751)</f>
        <v>-35.6751</v>
      </c>
      <c r="D50" s="3">
        <f>IFERROR(__xludf.DUMMYFUNCTION("""COMPUTED_VALUE"""),-71.543)</f>
        <v>-71.543</v>
      </c>
      <c r="E50" s="3">
        <f>IFERROR(__xludf.DUMMYFUNCTION("""COMPUTED_VALUE"""),0.0)</f>
        <v>0</v>
      </c>
      <c r="F50" s="3">
        <f>IFERROR(__xludf.DUMMYFUNCTION("""COMPUTED_VALUE"""),0.0)</f>
        <v>0</v>
      </c>
      <c r="G50" s="3">
        <f>IFERROR(__xludf.DUMMYFUNCTION("""COMPUTED_VALUE"""),0.0)</f>
        <v>0</v>
      </c>
      <c r="H50" s="3">
        <f>IFERROR(__xludf.DUMMYFUNCTION("""COMPUTED_VALUE"""),0.0)</f>
        <v>0</v>
      </c>
      <c r="I50" s="3">
        <f>IFERROR(__xludf.DUMMYFUNCTION("""COMPUTED_VALUE"""),0.0)</f>
        <v>0</v>
      </c>
      <c r="J50" s="3">
        <f>IFERROR(__xludf.DUMMYFUNCTION("""COMPUTED_VALUE"""),0.0)</f>
        <v>0</v>
      </c>
      <c r="K50" s="3">
        <f>IFERROR(__xludf.DUMMYFUNCTION("""COMPUTED_VALUE"""),0.0)</f>
        <v>0</v>
      </c>
      <c r="L50" s="3">
        <f>IFERROR(__xludf.DUMMYFUNCTION("""COMPUTED_VALUE"""),0.0)</f>
        <v>0</v>
      </c>
      <c r="M50" s="3">
        <f>IFERROR(__xludf.DUMMYFUNCTION("""COMPUTED_VALUE"""),0.0)</f>
        <v>0</v>
      </c>
      <c r="N50" s="3">
        <f>IFERROR(__xludf.DUMMYFUNCTION("""COMPUTED_VALUE"""),0.0)</f>
        <v>0</v>
      </c>
      <c r="O50" s="3">
        <f>IFERROR(__xludf.DUMMYFUNCTION("""COMPUTED_VALUE"""),0.0)</f>
        <v>0</v>
      </c>
      <c r="P50" s="3">
        <f>IFERROR(__xludf.DUMMYFUNCTION("""COMPUTED_VALUE"""),0.0)</f>
        <v>0</v>
      </c>
      <c r="Q50" s="3">
        <f>IFERROR(__xludf.DUMMYFUNCTION("""COMPUTED_VALUE"""),0.0)</f>
        <v>0</v>
      </c>
      <c r="R50" s="3">
        <f>IFERROR(__xludf.DUMMYFUNCTION("""COMPUTED_VALUE"""),0.0)</f>
        <v>0</v>
      </c>
      <c r="S50" s="3">
        <f>IFERROR(__xludf.DUMMYFUNCTION("""COMPUTED_VALUE"""),0.0)</f>
        <v>0</v>
      </c>
      <c r="T50" s="3">
        <f>IFERROR(__xludf.DUMMYFUNCTION("""COMPUTED_VALUE"""),0.0)</f>
        <v>0</v>
      </c>
      <c r="U50" s="3">
        <f>IFERROR(__xludf.DUMMYFUNCTION("""COMPUTED_VALUE"""),0.0)</f>
        <v>0</v>
      </c>
      <c r="V50" s="3">
        <f>IFERROR(__xludf.DUMMYFUNCTION("""COMPUTED_VALUE"""),0.0)</f>
        <v>0</v>
      </c>
      <c r="W50" s="3">
        <f>IFERROR(__xludf.DUMMYFUNCTION("""COMPUTED_VALUE"""),0.0)</f>
        <v>0</v>
      </c>
      <c r="X50" s="3">
        <f>IFERROR(__xludf.DUMMYFUNCTION("""COMPUTED_VALUE"""),0.0)</f>
        <v>0</v>
      </c>
      <c r="Y50" s="3">
        <f>IFERROR(__xludf.DUMMYFUNCTION("""COMPUTED_VALUE"""),0.0)</f>
        <v>0</v>
      </c>
      <c r="Z50" s="3">
        <f>IFERROR(__xludf.DUMMYFUNCTION("""COMPUTED_VALUE"""),0.0)</f>
        <v>0</v>
      </c>
      <c r="AA50" s="3">
        <f>IFERROR(__xludf.DUMMYFUNCTION("""COMPUTED_VALUE"""),0.0)</f>
        <v>0</v>
      </c>
      <c r="AB50" s="3">
        <f>IFERROR(__xludf.DUMMYFUNCTION("""COMPUTED_VALUE"""),0.0)</f>
        <v>0</v>
      </c>
      <c r="AC50" s="3">
        <f>IFERROR(__xludf.DUMMYFUNCTION("""COMPUTED_VALUE"""),0.0)</f>
        <v>0</v>
      </c>
      <c r="AD50" s="3">
        <f>IFERROR(__xludf.DUMMYFUNCTION("""COMPUTED_VALUE"""),0.0)</f>
        <v>0</v>
      </c>
      <c r="AE50" s="3">
        <f>IFERROR(__xludf.DUMMYFUNCTION("""COMPUTED_VALUE"""),0.0)</f>
        <v>0</v>
      </c>
      <c r="AF50" s="3">
        <f>IFERROR(__xludf.DUMMYFUNCTION("""COMPUTED_VALUE"""),0.0)</f>
        <v>0</v>
      </c>
      <c r="AG50" s="3">
        <f>IFERROR(__xludf.DUMMYFUNCTION("""COMPUTED_VALUE"""),0.0)</f>
        <v>0</v>
      </c>
      <c r="AH50" s="3">
        <f>IFERROR(__xludf.DUMMYFUNCTION("""COMPUTED_VALUE"""),0.0)</f>
        <v>0</v>
      </c>
      <c r="AI50" s="3">
        <f>IFERROR(__xludf.DUMMYFUNCTION("""COMPUTED_VALUE"""),0.0)</f>
        <v>0</v>
      </c>
      <c r="AJ50" s="3">
        <f>IFERROR(__xludf.DUMMYFUNCTION("""COMPUTED_VALUE"""),0.0)</f>
        <v>0</v>
      </c>
      <c r="AK50" s="3">
        <f>IFERROR(__xludf.DUMMYFUNCTION("""COMPUTED_VALUE"""),0.0)</f>
        <v>0</v>
      </c>
      <c r="AL50" s="3">
        <f>IFERROR(__xludf.DUMMYFUNCTION("""COMPUTED_VALUE"""),0.0)</f>
        <v>0</v>
      </c>
      <c r="AM50" s="3">
        <f>IFERROR(__xludf.DUMMYFUNCTION("""COMPUTED_VALUE"""),0.0)</f>
        <v>0</v>
      </c>
      <c r="AN50" s="3">
        <f>IFERROR(__xludf.DUMMYFUNCTION("""COMPUTED_VALUE"""),0.0)</f>
        <v>0</v>
      </c>
      <c r="AO50" s="3">
        <f>IFERROR(__xludf.DUMMYFUNCTION("""COMPUTED_VALUE"""),0.0)</f>
        <v>0</v>
      </c>
      <c r="AP50" s="3">
        <f>IFERROR(__xludf.DUMMYFUNCTION("""COMPUTED_VALUE"""),0.0)</f>
        <v>0</v>
      </c>
      <c r="AQ50" s="3">
        <f>IFERROR(__xludf.DUMMYFUNCTION("""COMPUTED_VALUE"""),0.0)</f>
        <v>0</v>
      </c>
      <c r="AR50" s="3">
        <f>IFERROR(__xludf.DUMMYFUNCTION("""COMPUTED_VALUE"""),0.0)</f>
        <v>0</v>
      </c>
      <c r="AS50" s="3">
        <f>IFERROR(__xludf.DUMMYFUNCTION("""COMPUTED_VALUE"""),0.0)</f>
        <v>0</v>
      </c>
      <c r="AT50" s="3">
        <f>IFERROR(__xludf.DUMMYFUNCTION("""COMPUTED_VALUE"""),1.0)</f>
        <v>1</v>
      </c>
      <c r="AU50" s="3">
        <f>IFERROR(__xludf.DUMMYFUNCTION("""COMPUTED_VALUE"""),1.0)</f>
        <v>1</v>
      </c>
      <c r="AV50" s="3">
        <f>IFERROR(__xludf.DUMMYFUNCTION("""COMPUTED_VALUE"""),4.0)</f>
        <v>4</v>
      </c>
      <c r="AW50" s="3">
        <f>IFERROR(__xludf.DUMMYFUNCTION("""COMPUTED_VALUE"""),4.0)</f>
        <v>4</v>
      </c>
      <c r="AX50" s="3">
        <f>IFERROR(__xludf.DUMMYFUNCTION("""COMPUTED_VALUE"""),4.0)</f>
        <v>4</v>
      </c>
      <c r="AY50" s="3">
        <f>IFERROR(__xludf.DUMMYFUNCTION("""COMPUTED_VALUE"""),8.0)</f>
        <v>8</v>
      </c>
      <c r="AZ50" s="3">
        <f>IFERROR(__xludf.DUMMYFUNCTION("""COMPUTED_VALUE"""),8.0)</f>
        <v>8</v>
      </c>
      <c r="BA50" s="3">
        <f>IFERROR(__xludf.DUMMYFUNCTION("""COMPUTED_VALUE"""),13.0)</f>
        <v>13</v>
      </c>
      <c r="BB50" s="3">
        <f>IFERROR(__xludf.DUMMYFUNCTION("""COMPUTED_VALUE"""),23.0)</f>
        <v>23</v>
      </c>
      <c r="BC50" s="3">
        <f>IFERROR(__xludf.DUMMYFUNCTION("""COMPUTED_VALUE"""),23.0)</f>
        <v>23</v>
      </c>
      <c r="BD50" s="3">
        <f>IFERROR(__xludf.DUMMYFUNCTION("""COMPUTED_VALUE"""),43.0)</f>
        <v>43</v>
      </c>
      <c r="BE50" s="3">
        <f>IFERROR(__xludf.DUMMYFUNCTION("""COMPUTED_VALUE"""),61.0)</f>
        <v>61</v>
      </c>
      <c r="BF50" s="3">
        <f>IFERROR(__xludf.DUMMYFUNCTION("""COMPUTED_VALUE"""),74.0)</f>
        <v>74</v>
      </c>
      <c r="BG50" s="3">
        <f>IFERROR(__xludf.DUMMYFUNCTION("""COMPUTED_VALUE"""),155.0)</f>
        <v>155</v>
      </c>
      <c r="BH50" s="3">
        <f>IFERROR(__xludf.DUMMYFUNCTION("""COMPUTED_VALUE"""),201.0)</f>
        <v>201</v>
      </c>
      <c r="BI50" s="3">
        <f>IFERROR(__xludf.DUMMYFUNCTION("""COMPUTED_VALUE"""),238.0)</f>
        <v>238</v>
      </c>
      <c r="BJ50" s="3">
        <f>IFERROR(__xludf.DUMMYFUNCTION("""COMPUTED_VALUE"""),238.0)</f>
        <v>238</v>
      </c>
      <c r="BK50" s="3">
        <f>IFERROR(__xludf.DUMMYFUNCTION("""COMPUTED_VALUE"""),434.0)</f>
        <v>434</v>
      </c>
      <c r="BL50" s="3">
        <f>IFERROR(__xludf.DUMMYFUNCTION("""COMPUTED_VALUE"""),537.0)</f>
        <v>537</v>
      </c>
      <c r="BM50" s="3">
        <f>IFERROR(__xludf.DUMMYFUNCTION("""COMPUTED_VALUE"""),632.0)</f>
        <v>632</v>
      </c>
      <c r="BN50" s="3">
        <f>IFERROR(__xludf.DUMMYFUNCTION("""COMPUTED_VALUE"""),746.0)</f>
        <v>746</v>
      </c>
      <c r="BO50" s="3">
        <f>IFERROR(__xludf.DUMMYFUNCTION("""COMPUTED_VALUE"""),922.0)</f>
        <v>922</v>
      </c>
      <c r="BP50" s="3">
        <f>IFERROR(__xludf.DUMMYFUNCTION("""COMPUTED_VALUE"""),1142.0)</f>
        <v>1142</v>
      </c>
      <c r="BQ50" s="3">
        <f>IFERROR(__xludf.DUMMYFUNCTION("""COMPUTED_VALUE"""),1306.0)</f>
        <v>1306</v>
      </c>
      <c r="BR50" s="3">
        <f>IFERROR(__xludf.DUMMYFUNCTION("""COMPUTED_VALUE"""),1610.0)</f>
        <v>1610</v>
      </c>
      <c r="BS50" s="3">
        <f>IFERROR(__xludf.DUMMYFUNCTION("""COMPUTED_VALUE"""),1909.0)</f>
        <v>1909</v>
      </c>
      <c r="BT50" s="3">
        <f>IFERROR(__xludf.DUMMYFUNCTION("""COMPUTED_VALUE"""),2139.0)</f>
        <v>2139</v>
      </c>
      <c r="BU50" s="3">
        <f>IFERROR(__xludf.DUMMYFUNCTION("""COMPUTED_VALUE"""),2449.0)</f>
        <v>2449</v>
      </c>
      <c r="BV50" s="3">
        <f>IFERROR(__xludf.DUMMYFUNCTION("""COMPUTED_VALUE"""),2738.0)</f>
        <v>2738</v>
      </c>
      <c r="BW50" s="3">
        <f>IFERROR(__xludf.DUMMYFUNCTION("""COMPUTED_VALUE"""),3031.0)</f>
        <v>3031</v>
      </c>
      <c r="BX50" s="3">
        <f>IFERROR(__xludf.DUMMYFUNCTION("""COMPUTED_VALUE"""),3404.0)</f>
        <v>3404</v>
      </c>
      <c r="BY50" s="3">
        <f>IFERROR(__xludf.DUMMYFUNCTION("""COMPUTED_VALUE"""),3737.0)</f>
        <v>3737</v>
      </c>
      <c r="BZ50" s="3">
        <f>IFERROR(__xludf.DUMMYFUNCTION("""COMPUTED_VALUE"""),4161.0)</f>
        <v>4161</v>
      </c>
      <c r="CA50" s="3">
        <f>IFERROR(__xludf.DUMMYFUNCTION("""COMPUTED_VALUE"""),4471.0)</f>
        <v>4471</v>
      </c>
      <c r="CB50" s="3">
        <f>IFERROR(__xludf.DUMMYFUNCTION("""COMPUTED_VALUE"""),4815.0)</f>
        <v>4815</v>
      </c>
    </row>
    <row r="51">
      <c r="A51" s="3" t="str">
        <f>IFERROR(__xludf.DUMMYFUNCTION("""COMPUTED_VALUE"""),"Anhui")</f>
        <v>Anhui</v>
      </c>
      <c r="B51" s="3" t="str">
        <f>IFERROR(__xludf.DUMMYFUNCTION("""COMPUTED_VALUE"""),"China")</f>
        <v>China</v>
      </c>
      <c r="C51" s="3">
        <f>IFERROR(__xludf.DUMMYFUNCTION("""COMPUTED_VALUE"""),31.8257)</f>
        <v>31.8257</v>
      </c>
      <c r="D51" s="3">
        <f>IFERROR(__xludf.DUMMYFUNCTION("""COMPUTED_VALUE"""),117.2264)</f>
        <v>117.2264</v>
      </c>
      <c r="E51" s="3">
        <f>IFERROR(__xludf.DUMMYFUNCTION("""COMPUTED_VALUE"""),1.0)</f>
        <v>1</v>
      </c>
      <c r="F51" s="3">
        <f>IFERROR(__xludf.DUMMYFUNCTION("""COMPUTED_VALUE"""),9.0)</f>
        <v>9</v>
      </c>
      <c r="G51" s="3">
        <f>IFERROR(__xludf.DUMMYFUNCTION("""COMPUTED_VALUE"""),15.0)</f>
        <v>15</v>
      </c>
      <c r="H51" s="3">
        <f>IFERROR(__xludf.DUMMYFUNCTION("""COMPUTED_VALUE"""),39.0)</f>
        <v>39</v>
      </c>
      <c r="I51" s="3">
        <f>IFERROR(__xludf.DUMMYFUNCTION("""COMPUTED_VALUE"""),60.0)</f>
        <v>60</v>
      </c>
      <c r="J51" s="3">
        <f>IFERROR(__xludf.DUMMYFUNCTION("""COMPUTED_VALUE"""),70.0)</f>
        <v>70</v>
      </c>
      <c r="K51" s="3">
        <f>IFERROR(__xludf.DUMMYFUNCTION("""COMPUTED_VALUE"""),106.0)</f>
        <v>106</v>
      </c>
      <c r="L51" s="3">
        <f>IFERROR(__xludf.DUMMYFUNCTION("""COMPUTED_VALUE"""),152.0)</f>
        <v>152</v>
      </c>
      <c r="M51" s="3">
        <f>IFERROR(__xludf.DUMMYFUNCTION("""COMPUTED_VALUE"""),200.0)</f>
        <v>200</v>
      </c>
      <c r="N51" s="3">
        <f>IFERROR(__xludf.DUMMYFUNCTION("""COMPUTED_VALUE"""),237.0)</f>
        <v>237</v>
      </c>
      <c r="O51" s="3">
        <f>IFERROR(__xludf.DUMMYFUNCTION("""COMPUTED_VALUE"""),297.0)</f>
        <v>297</v>
      </c>
      <c r="P51" s="3">
        <f>IFERROR(__xludf.DUMMYFUNCTION("""COMPUTED_VALUE"""),340.0)</f>
        <v>340</v>
      </c>
      <c r="Q51" s="3">
        <f>IFERROR(__xludf.DUMMYFUNCTION("""COMPUTED_VALUE"""),408.0)</f>
        <v>408</v>
      </c>
      <c r="R51" s="3">
        <f>IFERROR(__xludf.DUMMYFUNCTION("""COMPUTED_VALUE"""),480.0)</f>
        <v>480</v>
      </c>
      <c r="S51" s="3">
        <f>IFERROR(__xludf.DUMMYFUNCTION("""COMPUTED_VALUE"""),530.0)</f>
        <v>530</v>
      </c>
      <c r="T51" s="3">
        <f>IFERROR(__xludf.DUMMYFUNCTION("""COMPUTED_VALUE"""),591.0)</f>
        <v>591</v>
      </c>
      <c r="U51" s="3">
        <f>IFERROR(__xludf.DUMMYFUNCTION("""COMPUTED_VALUE"""),665.0)</f>
        <v>665</v>
      </c>
      <c r="V51" s="3">
        <f>IFERROR(__xludf.DUMMYFUNCTION("""COMPUTED_VALUE"""),733.0)</f>
        <v>733</v>
      </c>
      <c r="W51" s="3">
        <f>IFERROR(__xludf.DUMMYFUNCTION("""COMPUTED_VALUE"""),779.0)</f>
        <v>779</v>
      </c>
      <c r="X51" s="3">
        <f>IFERROR(__xludf.DUMMYFUNCTION("""COMPUTED_VALUE"""),830.0)</f>
        <v>830</v>
      </c>
      <c r="Y51" s="3">
        <f>IFERROR(__xludf.DUMMYFUNCTION("""COMPUTED_VALUE"""),860.0)</f>
        <v>860</v>
      </c>
      <c r="Z51" s="3">
        <f>IFERROR(__xludf.DUMMYFUNCTION("""COMPUTED_VALUE"""),889.0)</f>
        <v>889</v>
      </c>
      <c r="AA51" s="3">
        <f>IFERROR(__xludf.DUMMYFUNCTION("""COMPUTED_VALUE"""),910.0)</f>
        <v>910</v>
      </c>
      <c r="AB51" s="3">
        <f>IFERROR(__xludf.DUMMYFUNCTION("""COMPUTED_VALUE"""),934.0)</f>
        <v>934</v>
      </c>
      <c r="AC51" s="3">
        <f>IFERROR(__xludf.DUMMYFUNCTION("""COMPUTED_VALUE"""),950.0)</f>
        <v>950</v>
      </c>
      <c r="AD51" s="3">
        <f>IFERROR(__xludf.DUMMYFUNCTION("""COMPUTED_VALUE"""),962.0)</f>
        <v>962</v>
      </c>
      <c r="AE51" s="3">
        <f>IFERROR(__xludf.DUMMYFUNCTION("""COMPUTED_VALUE"""),973.0)</f>
        <v>973</v>
      </c>
      <c r="AF51" s="3">
        <f>IFERROR(__xludf.DUMMYFUNCTION("""COMPUTED_VALUE"""),982.0)</f>
        <v>982</v>
      </c>
      <c r="AG51" s="3">
        <f>IFERROR(__xludf.DUMMYFUNCTION("""COMPUTED_VALUE"""),986.0)</f>
        <v>986</v>
      </c>
      <c r="AH51" s="3">
        <f>IFERROR(__xludf.DUMMYFUNCTION("""COMPUTED_VALUE"""),987.0)</f>
        <v>987</v>
      </c>
      <c r="AI51" s="3">
        <f>IFERROR(__xludf.DUMMYFUNCTION("""COMPUTED_VALUE"""),988.0)</f>
        <v>988</v>
      </c>
      <c r="AJ51" s="3">
        <f>IFERROR(__xludf.DUMMYFUNCTION("""COMPUTED_VALUE"""),989.0)</f>
        <v>989</v>
      </c>
      <c r="AK51" s="3">
        <f>IFERROR(__xludf.DUMMYFUNCTION("""COMPUTED_VALUE"""),989.0)</f>
        <v>989</v>
      </c>
      <c r="AL51" s="3">
        <f>IFERROR(__xludf.DUMMYFUNCTION("""COMPUTED_VALUE"""),989.0)</f>
        <v>989</v>
      </c>
      <c r="AM51" s="3">
        <f>IFERROR(__xludf.DUMMYFUNCTION("""COMPUTED_VALUE"""),989.0)</f>
        <v>989</v>
      </c>
      <c r="AN51" s="3">
        <f>IFERROR(__xludf.DUMMYFUNCTION("""COMPUTED_VALUE"""),989.0)</f>
        <v>989</v>
      </c>
      <c r="AO51" s="3">
        <f>IFERROR(__xludf.DUMMYFUNCTION("""COMPUTED_VALUE"""),989.0)</f>
        <v>989</v>
      </c>
      <c r="AP51" s="3">
        <f>IFERROR(__xludf.DUMMYFUNCTION("""COMPUTED_VALUE"""),990.0)</f>
        <v>990</v>
      </c>
      <c r="AQ51" s="3">
        <f>IFERROR(__xludf.DUMMYFUNCTION("""COMPUTED_VALUE"""),990.0)</f>
        <v>990</v>
      </c>
      <c r="AR51" s="3">
        <f>IFERROR(__xludf.DUMMYFUNCTION("""COMPUTED_VALUE"""),990.0)</f>
        <v>990</v>
      </c>
      <c r="AS51" s="3">
        <f>IFERROR(__xludf.DUMMYFUNCTION("""COMPUTED_VALUE"""),990.0)</f>
        <v>990</v>
      </c>
      <c r="AT51" s="3">
        <f>IFERROR(__xludf.DUMMYFUNCTION("""COMPUTED_VALUE"""),990.0)</f>
        <v>990</v>
      </c>
      <c r="AU51" s="3">
        <f>IFERROR(__xludf.DUMMYFUNCTION("""COMPUTED_VALUE"""),990.0)</f>
        <v>990</v>
      </c>
      <c r="AV51" s="3">
        <f>IFERROR(__xludf.DUMMYFUNCTION("""COMPUTED_VALUE"""),990.0)</f>
        <v>990</v>
      </c>
      <c r="AW51" s="3">
        <f>IFERROR(__xludf.DUMMYFUNCTION("""COMPUTED_VALUE"""),990.0)</f>
        <v>990</v>
      </c>
      <c r="AX51" s="3">
        <f>IFERROR(__xludf.DUMMYFUNCTION("""COMPUTED_VALUE"""),990.0)</f>
        <v>990</v>
      </c>
      <c r="AY51" s="3">
        <f>IFERROR(__xludf.DUMMYFUNCTION("""COMPUTED_VALUE"""),990.0)</f>
        <v>990</v>
      </c>
      <c r="AZ51" s="3">
        <f>IFERROR(__xludf.DUMMYFUNCTION("""COMPUTED_VALUE"""),990.0)</f>
        <v>990</v>
      </c>
      <c r="BA51" s="3">
        <f>IFERROR(__xludf.DUMMYFUNCTION("""COMPUTED_VALUE"""),990.0)</f>
        <v>990</v>
      </c>
      <c r="BB51" s="3">
        <f>IFERROR(__xludf.DUMMYFUNCTION("""COMPUTED_VALUE"""),990.0)</f>
        <v>990</v>
      </c>
      <c r="BC51" s="3">
        <f>IFERROR(__xludf.DUMMYFUNCTION("""COMPUTED_VALUE"""),990.0)</f>
        <v>990</v>
      </c>
      <c r="BD51" s="3">
        <f>IFERROR(__xludf.DUMMYFUNCTION("""COMPUTED_VALUE"""),990.0)</f>
        <v>990</v>
      </c>
      <c r="BE51" s="3">
        <f>IFERROR(__xludf.DUMMYFUNCTION("""COMPUTED_VALUE"""),990.0)</f>
        <v>990</v>
      </c>
      <c r="BF51" s="3">
        <f>IFERROR(__xludf.DUMMYFUNCTION("""COMPUTED_VALUE"""),990.0)</f>
        <v>990</v>
      </c>
      <c r="BG51" s="3">
        <f>IFERROR(__xludf.DUMMYFUNCTION("""COMPUTED_VALUE"""),990.0)</f>
        <v>990</v>
      </c>
      <c r="BH51" s="3">
        <f>IFERROR(__xludf.DUMMYFUNCTION("""COMPUTED_VALUE"""),990.0)</f>
        <v>990</v>
      </c>
      <c r="BI51" s="3">
        <f>IFERROR(__xludf.DUMMYFUNCTION("""COMPUTED_VALUE"""),990.0)</f>
        <v>990</v>
      </c>
      <c r="BJ51" s="3">
        <f>IFERROR(__xludf.DUMMYFUNCTION("""COMPUTED_VALUE"""),990.0)</f>
        <v>990</v>
      </c>
      <c r="BK51" s="3">
        <f>IFERROR(__xludf.DUMMYFUNCTION("""COMPUTED_VALUE"""),990.0)</f>
        <v>990</v>
      </c>
      <c r="BL51" s="3">
        <f>IFERROR(__xludf.DUMMYFUNCTION("""COMPUTED_VALUE"""),990.0)</f>
        <v>990</v>
      </c>
      <c r="BM51" s="3">
        <f>IFERROR(__xludf.DUMMYFUNCTION("""COMPUTED_VALUE"""),990.0)</f>
        <v>990</v>
      </c>
      <c r="BN51" s="3">
        <f>IFERROR(__xludf.DUMMYFUNCTION("""COMPUTED_VALUE"""),990.0)</f>
        <v>990</v>
      </c>
      <c r="BO51" s="3">
        <f>IFERROR(__xludf.DUMMYFUNCTION("""COMPUTED_VALUE"""),990.0)</f>
        <v>990</v>
      </c>
      <c r="BP51" s="3">
        <f>IFERROR(__xludf.DUMMYFUNCTION("""COMPUTED_VALUE"""),990.0)</f>
        <v>990</v>
      </c>
      <c r="BQ51" s="3">
        <f>IFERROR(__xludf.DUMMYFUNCTION("""COMPUTED_VALUE"""),990.0)</f>
        <v>990</v>
      </c>
      <c r="BR51" s="3">
        <f>IFERROR(__xludf.DUMMYFUNCTION("""COMPUTED_VALUE"""),990.0)</f>
        <v>990</v>
      </c>
      <c r="BS51" s="3">
        <f>IFERROR(__xludf.DUMMYFUNCTION("""COMPUTED_VALUE"""),990.0)</f>
        <v>990</v>
      </c>
      <c r="BT51" s="3">
        <f>IFERROR(__xludf.DUMMYFUNCTION("""COMPUTED_VALUE"""),990.0)</f>
        <v>990</v>
      </c>
      <c r="BU51" s="3">
        <f>IFERROR(__xludf.DUMMYFUNCTION("""COMPUTED_VALUE"""),990.0)</f>
        <v>990</v>
      </c>
      <c r="BV51" s="3">
        <f>IFERROR(__xludf.DUMMYFUNCTION("""COMPUTED_VALUE"""),990.0)</f>
        <v>990</v>
      </c>
      <c r="BW51" s="3">
        <f>IFERROR(__xludf.DUMMYFUNCTION("""COMPUTED_VALUE"""),990.0)</f>
        <v>990</v>
      </c>
      <c r="BX51" s="3">
        <f>IFERROR(__xludf.DUMMYFUNCTION("""COMPUTED_VALUE"""),990.0)</f>
        <v>990</v>
      </c>
      <c r="BY51" s="3">
        <f>IFERROR(__xludf.DUMMYFUNCTION("""COMPUTED_VALUE"""),990.0)</f>
        <v>990</v>
      </c>
      <c r="BZ51" s="3">
        <f>IFERROR(__xludf.DUMMYFUNCTION("""COMPUTED_VALUE"""),990.0)</f>
        <v>990</v>
      </c>
      <c r="CA51" s="3">
        <f>IFERROR(__xludf.DUMMYFUNCTION("""COMPUTED_VALUE"""),990.0)</f>
        <v>990</v>
      </c>
      <c r="CB51" s="3">
        <f>IFERROR(__xludf.DUMMYFUNCTION("""COMPUTED_VALUE"""),990.0)</f>
        <v>990</v>
      </c>
    </row>
    <row r="52">
      <c r="A52" s="3" t="str">
        <f>IFERROR(__xludf.DUMMYFUNCTION("""COMPUTED_VALUE"""),"Beijing")</f>
        <v>Beijing</v>
      </c>
      <c r="B52" s="3" t="str">
        <f>IFERROR(__xludf.DUMMYFUNCTION("""COMPUTED_VALUE"""),"China")</f>
        <v>China</v>
      </c>
      <c r="C52" s="3">
        <f>IFERROR(__xludf.DUMMYFUNCTION("""COMPUTED_VALUE"""),40.1824)</f>
        <v>40.1824</v>
      </c>
      <c r="D52" s="3">
        <f>IFERROR(__xludf.DUMMYFUNCTION("""COMPUTED_VALUE"""),116.4142)</f>
        <v>116.4142</v>
      </c>
      <c r="E52" s="3">
        <f>IFERROR(__xludf.DUMMYFUNCTION("""COMPUTED_VALUE"""),14.0)</f>
        <v>14</v>
      </c>
      <c r="F52" s="3">
        <f>IFERROR(__xludf.DUMMYFUNCTION("""COMPUTED_VALUE"""),22.0)</f>
        <v>22</v>
      </c>
      <c r="G52" s="3">
        <f>IFERROR(__xludf.DUMMYFUNCTION("""COMPUTED_VALUE"""),36.0)</f>
        <v>36</v>
      </c>
      <c r="H52" s="3">
        <f>IFERROR(__xludf.DUMMYFUNCTION("""COMPUTED_VALUE"""),41.0)</f>
        <v>41</v>
      </c>
      <c r="I52" s="3">
        <f>IFERROR(__xludf.DUMMYFUNCTION("""COMPUTED_VALUE"""),68.0)</f>
        <v>68</v>
      </c>
      <c r="J52" s="3">
        <f>IFERROR(__xludf.DUMMYFUNCTION("""COMPUTED_VALUE"""),80.0)</f>
        <v>80</v>
      </c>
      <c r="K52" s="3">
        <f>IFERROR(__xludf.DUMMYFUNCTION("""COMPUTED_VALUE"""),91.0)</f>
        <v>91</v>
      </c>
      <c r="L52" s="3">
        <f>IFERROR(__xludf.DUMMYFUNCTION("""COMPUTED_VALUE"""),111.0)</f>
        <v>111</v>
      </c>
      <c r="M52" s="3">
        <f>IFERROR(__xludf.DUMMYFUNCTION("""COMPUTED_VALUE"""),114.0)</f>
        <v>114</v>
      </c>
      <c r="N52" s="3">
        <f>IFERROR(__xludf.DUMMYFUNCTION("""COMPUTED_VALUE"""),139.0)</f>
        <v>139</v>
      </c>
      <c r="O52" s="3">
        <f>IFERROR(__xludf.DUMMYFUNCTION("""COMPUTED_VALUE"""),168.0)</f>
        <v>168</v>
      </c>
      <c r="P52" s="3">
        <f>IFERROR(__xludf.DUMMYFUNCTION("""COMPUTED_VALUE"""),191.0)</f>
        <v>191</v>
      </c>
      <c r="Q52" s="3">
        <f>IFERROR(__xludf.DUMMYFUNCTION("""COMPUTED_VALUE"""),212.0)</f>
        <v>212</v>
      </c>
      <c r="R52" s="3">
        <f>IFERROR(__xludf.DUMMYFUNCTION("""COMPUTED_VALUE"""),228.0)</f>
        <v>228</v>
      </c>
      <c r="S52" s="3">
        <f>IFERROR(__xludf.DUMMYFUNCTION("""COMPUTED_VALUE"""),253.0)</f>
        <v>253</v>
      </c>
      <c r="T52" s="3">
        <f>IFERROR(__xludf.DUMMYFUNCTION("""COMPUTED_VALUE"""),274.0)</f>
        <v>274</v>
      </c>
      <c r="U52" s="3">
        <f>IFERROR(__xludf.DUMMYFUNCTION("""COMPUTED_VALUE"""),297.0)</f>
        <v>297</v>
      </c>
      <c r="V52" s="3">
        <f>IFERROR(__xludf.DUMMYFUNCTION("""COMPUTED_VALUE"""),315.0)</f>
        <v>315</v>
      </c>
      <c r="W52" s="3">
        <f>IFERROR(__xludf.DUMMYFUNCTION("""COMPUTED_VALUE"""),326.0)</f>
        <v>326</v>
      </c>
      <c r="X52" s="3">
        <f>IFERROR(__xludf.DUMMYFUNCTION("""COMPUTED_VALUE"""),337.0)</f>
        <v>337</v>
      </c>
      <c r="Y52" s="3">
        <f>IFERROR(__xludf.DUMMYFUNCTION("""COMPUTED_VALUE"""),342.0)</f>
        <v>342</v>
      </c>
      <c r="Z52" s="3">
        <f>IFERROR(__xludf.DUMMYFUNCTION("""COMPUTED_VALUE"""),352.0)</f>
        <v>352</v>
      </c>
      <c r="AA52" s="3">
        <f>IFERROR(__xludf.DUMMYFUNCTION("""COMPUTED_VALUE"""),366.0)</f>
        <v>366</v>
      </c>
      <c r="AB52" s="3">
        <f>IFERROR(__xludf.DUMMYFUNCTION("""COMPUTED_VALUE"""),372.0)</f>
        <v>372</v>
      </c>
      <c r="AC52" s="3">
        <f>IFERROR(__xludf.DUMMYFUNCTION("""COMPUTED_VALUE"""),375.0)</f>
        <v>375</v>
      </c>
      <c r="AD52" s="3">
        <f>IFERROR(__xludf.DUMMYFUNCTION("""COMPUTED_VALUE"""),380.0)</f>
        <v>380</v>
      </c>
      <c r="AE52" s="3">
        <f>IFERROR(__xludf.DUMMYFUNCTION("""COMPUTED_VALUE"""),381.0)</f>
        <v>381</v>
      </c>
      <c r="AF52" s="3">
        <f>IFERROR(__xludf.DUMMYFUNCTION("""COMPUTED_VALUE"""),387.0)</f>
        <v>387</v>
      </c>
      <c r="AG52" s="3">
        <f>IFERROR(__xludf.DUMMYFUNCTION("""COMPUTED_VALUE"""),393.0)</f>
        <v>393</v>
      </c>
      <c r="AH52" s="3">
        <f>IFERROR(__xludf.DUMMYFUNCTION("""COMPUTED_VALUE"""),395.0)</f>
        <v>395</v>
      </c>
      <c r="AI52" s="3">
        <f>IFERROR(__xludf.DUMMYFUNCTION("""COMPUTED_VALUE"""),396.0)</f>
        <v>396</v>
      </c>
      <c r="AJ52" s="3">
        <f>IFERROR(__xludf.DUMMYFUNCTION("""COMPUTED_VALUE"""),399.0)</f>
        <v>399</v>
      </c>
      <c r="AK52" s="3">
        <f>IFERROR(__xludf.DUMMYFUNCTION("""COMPUTED_VALUE"""),399.0)</f>
        <v>399</v>
      </c>
      <c r="AL52" s="3">
        <f>IFERROR(__xludf.DUMMYFUNCTION("""COMPUTED_VALUE"""),399.0)</f>
        <v>399</v>
      </c>
      <c r="AM52" s="3">
        <f>IFERROR(__xludf.DUMMYFUNCTION("""COMPUTED_VALUE"""),400.0)</f>
        <v>400</v>
      </c>
      <c r="AN52" s="3">
        <f>IFERROR(__xludf.DUMMYFUNCTION("""COMPUTED_VALUE"""),400.0)</f>
        <v>400</v>
      </c>
      <c r="AO52" s="3">
        <f>IFERROR(__xludf.DUMMYFUNCTION("""COMPUTED_VALUE"""),410.0)</f>
        <v>410</v>
      </c>
      <c r="AP52" s="3">
        <f>IFERROR(__xludf.DUMMYFUNCTION("""COMPUTED_VALUE"""),410.0)</f>
        <v>410</v>
      </c>
      <c r="AQ52" s="3">
        <f>IFERROR(__xludf.DUMMYFUNCTION("""COMPUTED_VALUE"""),411.0)</f>
        <v>411</v>
      </c>
      <c r="AR52" s="3">
        <f>IFERROR(__xludf.DUMMYFUNCTION("""COMPUTED_VALUE"""),413.0)</f>
        <v>413</v>
      </c>
      <c r="AS52" s="3">
        <f>IFERROR(__xludf.DUMMYFUNCTION("""COMPUTED_VALUE"""),414.0)</f>
        <v>414</v>
      </c>
      <c r="AT52" s="3">
        <f>IFERROR(__xludf.DUMMYFUNCTION("""COMPUTED_VALUE"""),414.0)</f>
        <v>414</v>
      </c>
      <c r="AU52" s="3">
        <f>IFERROR(__xludf.DUMMYFUNCTION("""COMPUTED_VALUE"""),418.0)</f>
        <v>418</v>
      </c>
      <c r="AV52" s="3">
        <f>IFERROR(__xludf.DUMMYFUNCTION("""COMPUTED_VALUE"""),418.0)</f>
        <v>418</v>
      </c>
      <c r="AW52" s="3">
        <f>IFERROR(__xludf.DUMMYFUNCTION("""COMPUTED_VALUE"""),422.0)</f>
        <v>422</v>
      </c>
      <c r="AX52" s="3">
        <f>IFERROR(__xludf.DUMMYFUNCTION("""COMPUTED_VALUE"""),426.0)</f>
        <v>426</v>
      </c>
      <c r="AY52" s="3">
        <f>IFERROR(__xludf.DUMMYFUNCTION("""COMPUTED_VALUE"""),428.0)</f>
        <v>428</v>
      </c>
      <c r="AZ52" s="3">
        <f>IFERROR(__xludf.DUMMYFUNCTION("""COMPUTED_VALUE"""),428.0)</f>
        <v>428</v>
      </c>
      <c r="BA52" s="3">
        <f>IFERROR(__xludf.DUMMYFUNCTION("""COMPUTED_VALUE"""),429.0)</f>
        <v>429</v>
      </c>
      <c r="BB52" s="3">
        <f>IFERROR(__xludf.DUMMYFUNCTION("""COMPUTED_VALUE"""),435.0)</f>
        <v>435</v>
      </c>
      <c r="BC52" s="3">
        <f>IFERROR(__xludf.DUMMYFUNCTION("""COMPUTED_VALUE"""),435.0)</f>
        <v>435</v>
      </c>
      <c r="BD52" s="3">
        <f>IFERROR(__xludf.DUMMYFUNCTION("""COMPUTED_VALUE"""),436.0)</f>
        <v>436</v>
      </c>
      <c r="BE52" s="3">
        <f>IFERROR(__xludf.DUMMYFUNCTION("""COMPUTED_VALUE"""),437.0)</f>
        <v>437</v>
      </c>
      <c r="BF52" s="3">
        <f>IFERROR(__xludf.DUMMYFUNCTION("""COMPUTED_VALUE"""),442.0)</f>
        <v>442</v>
      </c>
      <c r="BG52" s="3">
        <f>IFERROR(__xludf.DUMMYFUNCTION("""COMPUTED_VALUE"""),452.0)</f>
        <v>452</v>
      </c>
      <c r="BH52" s="3">
        <f>IFERROR(__xludf.DUMMYFUNCTION("""COMPUTED_VALUE"""),456.0)</f>
        <v>456</v>
      </c>
      <c r="BI52" s="3">
        <f>IFERROR(__xludf.DUMMYFUNCTION("""COMPUTED_VALUE"""),469.0)</f>
        <v>469</v>
      </c>
      <c r="BJ52" s="3">
        <f>IFERROR(__xludf.DUMMYFUNCTION("""COMPUTED_VALUE"""),480.0)</f>
        <v>480</v>
      </c>
      <c r="BK52" s="3">
        <f>IFERROR(__xludf.DUMMYFUNCTION("""COMPUTED_VALUE"""),491.0)</f>
        <v>491</v>
      </c>
      <c r="BL52" s="3">
        <f>IFERROR(__xludf.DUMMYFUNCTION("""COMPUTED_VALUE"""),504.0)</f>
        <v>504</v>
      </c>
      <c r="BM52" s="3">
        <f>IFERROR(__xludf.DUMMYFUNCTION("""COMPUTED_VALUE"""),522.0)</f>
        <v>522</v>
      </c>
      <c r="BN52" s="3">
        <f>IFERROR(__xludf.DUMMYFUNCTION("""COMPUTED_VALUE"""),537.0)</f>
        <v>537</v>
      </c>
      <c r="BO52" s="3">
        <f>IFERROR(__xludf.DUMMYFUNCTION("""COMPUTED_VALUE"""),558.0)</f>
        <v>558</v>
      </c>
      <c r="BP52" s="3">
        <f>IFERROR(__xludf.DUMMYFUNCTION("""COMPUTED_VALUE"""),561.0)</f>
        <v>561</v>
      </c>
      <c r="BQ52" s="3">
        <f>IFERROR(__xludf.DUMMYFUNCTION("""COMPUTED_VALUE"""),566.0)</f>
        <v>566</v>
      </c>
      <c r="BR52" s="3">
        <f>IFERROR(__xludf.DUMMYFUNCTION("""COMPUTED_VALUE"""),569.0)</f>
        <v>569</v>
      </c>
      <c r="BS52" s="3">
        <f>IFERROR(__xludf.DUMMYFUNCTION("""COMPUTED_VALUE"""),573.0)</f>
        <v>573</v>
      </c>
      <c r="BT52" s="3">
        <f>IFERROR(__xludf.DUMMYFUNCTION("""COMPUTED_VALUE"""),577.0)</f>
        <v>577</v>
      </c>
      <c r="BU52" s="3">
        <f>IFERROR(__xludf.DUMMYFUNCTION("""COMPUTED_VALUE"""),577.0)</f>
        <v>577</v>
      </c>
      <c r="BV52" s="3">
        <f>IFERROR(__xludf.DUMMYFUNCTION("""COMPUTED_VALUE"""),580.0)</f>
        <v>580</v>
      </c>
      <c r="BW52" s="3">
        <f>IFERROR(__xludf.DUMMYFUNCTION("""COMPUTED_VALUE"""),580.0)</f>
        <v>580</v>
      </c>
      <c r="BX52" s="3">
        <f>IFERROR(__xludf.DUMMYFUNCTION("""COMPUTED_VALUE"""),582.0)</f>
        <v>582</v>
      </c>
      <c r="BY52" s="3">
        <f>IFERROR(__xludf.DUMMYFUNCTION("""COMPUTED_VALUE"""),584.0)</f>
        <v>584</v>
      </c>
      <c r="BZ52" s="3">
        <f>IFERROR(__xludf.DUMMYFUNCTION("""COMPUTED_VALUE"""),585.0)</f>
        <v>585</v>
      </c>
      <c r="CA52" s="3">
        <f>IFERROR(__xludf.DUMMYFUNCTION("""COMPUTED_VALUE"""),586.0)</f>
        <v>586</v>
      </c>
      <c r="CB52" s="3">
        <f>IFERROR(__xludf.DUMMYFUNCTION("""COMPUTED_VALUE"""),587.0)</f>
        <v>587</v>
      </c>
    </row>
    <row r="53">
      <c r="A53" s="3" t="str">
        <f>IFERROR(__xludf.DUMMYFUNCTION("""COMPUTED_VALUE"""),"Chongqing")</f>
        <v>Chongqing</v>
      </c>
      <c r="B53" s="3" t="str">
        <f>IFERROR(__xludf.DUMMYFUNCTION("""COMPUTED_VALUE"""),"China")</f>
        <v>China</v>
      </c>
      <c r="C53" s="3">
        <f>IFERROR(__xludf.DUMMYFUNCTION("""COMPUTED_VALUE"""),30.0572)</f>
        <v>30.0572</v>
      </c>
      <c r="D53" s="3">
        <f>IFERROR(__xludf.DUMMYFUNCTION("""COMPUTED_VALUE"""),107.874)</f>
        <v>107.874</v>
      </c>
      <c r="E53" s="3">
        <f>IFERROR(__xludf.DUMMYFUNCTION("""COMPUTED_VALUE"""),6.0)</f>
        <v>6</v>
      </c>
      <c r="F53" s="3">
        <f>IFERROR(__xludf.DUMMYFUNCTION("""COMPUTED_VALUE"""),9.0)</f>
        <v>9</v>
      </c>
      <c r="G53" s="3">
        <f>IFERROR(__xludf.DUMMYFUNCTION("""COMPUTED_VALUE"""),27.0)</f>
        <v>27</v>
      </c>
      <c r="H53" s="3">
        <f>IFERROR(__xludf.DUMMYFUNCTION("""COMPUTED_VALUE"""),57.0)</f>
        <v>57</v>
      </c>
      <c r="I53" s="3">
        <f>IFERROR(__xludf.DUMMYFUNCTION("""COMPUTED_VALUE"""),75.0)</f>
        <v>75</v>
      </c>
      <c r="J53" s="3">
        <f>IFERROR(__xludf.DUMMYFUNCTION("""COMPUTED_VALUE"""),110.0)</f>
        <v>110</v>
      </c>
      <c r="K53" s="3">
        <f>IFERROR(__xludf.DUMMYFUNCTION("""COMPUTED_VALUE"""),132.0)</f>
        <v>132</v>
      </c>
      <c r="L53" s="3">
        <f>IFERROR(__xludf.DUMMYFUNCTION("""COMPUTED_VALUE"""),147.0)</f>
        <v>147</v>
      </c>
      <c r="M53" s="3">
        <f>IFERROR(__xludf.DUMMYFUNCTION("""COMPUTED_VALUE"""),182.0)</f>
        <v>182</v>
      </c>
      <c r="N53" s="3">
        <f>IFERROR(__xludf.DUMMYFUNCTION("""COMPUTED_VALUE"""),211.0)</f>
        <v>211</v>
      </c>
      <c r="O53" s="3">
        <f>IFERROR(__xludf.DUMMYFUNCTION("""COMPUTED_VALUE"""),247.0)</f>
        <v>247</v>
      </c>
      <c r="P53" s="3">
        <f>IFERROR(__xludf.DUMMYFUNCTION("""COMPUTED_VALUE"""),300.0)</f>
        <v>300</v>
      </c>
      <c r="Q53" s="3">
        <f>IFERROR(__xludf.DUMMYFUNCTION("""COMPUTED_VALUE"""),337.0)</f>
        <v>337</v>
      </c>
      <c r="R53" s="3">
        <f>IFERROR(__xludf.DUMMYFUNCTION("""COMPUTED_VALUE"""),366.0)</f>
        <v>366</v>
      </c>
      <c r="S53" s="3">
        <f>IFERROR(__xludf.DUMMYFUNCTION("""COMPUTED_VALUE"""),389.0)</f>
        <v>389</v>
      </c>
      <c r="T53" s="3">
        <f>IFERROR(__xludf.DUMMYFUNCTION("""COMPUTED_VALUE"""),411.0)</f>
        <v>411</v>
      </c>
      <c r="U53" s="3">
        <f>IFERROR(__xludf.DUMMYFUNCTION("""COMPUTED_VALUE"""),426.0)</f>
        <v>426</v>
      </c>
      <c r="V53" s="3">
        <f>IFERROR(__xludf.DUMMYFUNCTION("""COMPUTED_VALUE"""),428.0)</f>
        <v>428</v>
      </c>
      <c r="W53" s="3">
        <f>IFERROR(__xludf.DUMMYFUNCTION("""COMPUTED_VALUE"""),468.0)</f>
        <v>468</v>
      </c>
      <c r="X53" s="3">
        <f>IFERROR(__xludf.DUMMYFUNCTION("""COMPUTED_VALUE"""),486.0)</f>
        <v>486</v>
      </c>
      <c r="Y53" s="3">
        <f>IFERROR(__xludf.DUMMYFUNCTION("""COMPUTED_VALUE"""),505.0)</f>
        <v>505</v>
      </c>
      <c r="Z53" s="3">
        <f>IFERROR(__xludf.DUMMYFUNCTION("""COMPUTED_VALUE"""),518.0)</f>
        <v>518</v>
      </c>
      <c r="AA53" s="3">
        <f>IFERROR(__xludf.DUMMYFUNCTION("""COMPUTED_VALUE"""),529.0)</f>
        <v>529</v>
      </c>
      <c r="AB53" s="3">
        <f>IFERROR(__xludf.DUMMYFUNCTION("""COMPUTED_VALUE"""),537.0)</f>
        <v>537</v>
      </c>
      <c r="AC53" s="3">
        <f>IFERROR(__xludf.DUMMYFUNCTION("""COMPUTED_VALUE"""),544.0)</f>
        <v>544</v>
      </c>
      <c r="AD53" s="3">
        <f>IFERROR(__xludf.DUMMYFUNCTION("""COMPUTED_VALUE"""),551.0)</f>
        <v>551</v>
      </c>
      <c r="AE53" s="3">
        <f>IFERROR(__xludf.DUMMYFUNCTION("""COMPUTED_VALUE"""),553.0)</f>
        <v>553</v>
      </c>
      <c r="AF53" s="3">
        <f>IFERROR(__xludf.DUMMYFUNCTION("""COMPUTED_VALUE"""),555.0)</f>
        <v>555</v>
      </c>
      <c r="AG53" s="3">
        <f>IFERROR(__xludf.DUMMYFUNCTION("""COMPUTED_VALUE"""),560.0)</f>
        <v>560</v>
      </c>
      <c r="AH53" s="3">
        <f>IFERROR(__xludf.DUMMYFUNCTION("""COMPUTED_VALUE"""),567.0)</f>
        <v>567</v>
      </c>
      <c r="AI53" s="3">
        <f>IFERROR(__xludf.DUMMYFUNCTION("""COMPUTED_VALUE"""),572.0)</f>
        <v>572</v>
      </c>
      <c r="AJ53" s="3">
        <f>IFERROR(__xludf.DUMMYFUNCTION("""COMPUTED_VALUE"""),573.0)</f>
        <v>573</v>
      </c>
      <c r="AK53" s="3">
        <f>IFERROR(__xludf.DUMMYFUNCTION("""COMPUTED_VALUE"""),575.0)</f>
        <v>575</v>
      </c>
      <c r="AL53" s="3">
        <f>IFERROR(__xludf.DUMMYFUNCTION("""COMPUTED_VALUE"""),576.0)</f>
        <v>576</v>
      </c>
      <c r="AM53" s="3">
        <f>IFERROR(__xludf.DUMMYFUNCTION("""COMPUTED_VALUE"""),576.0)</f>
        <v>576</v>
      </c>
      <c r="AN53" s="3">
        <f>IFERROR(__xludf.DUMMYFUNCTION("""COMPUTED_VALUE"""),576.0)</f>
        <v>576</v>
      </c>
      <c r="AO53" s="3">
        <f>IFERROR(__xludf.DUMMYFUNCTION("""COMPUTED_VALUE"""),576.0)</f>
        <v>576</v>
      </c>
      <c r="AP53" s="3">
        <f>IFERROR(__xludf.DUMMYFUNCTION("""COMPUTED_VALUE"""),576.0)</f>
        <v>576</v>
      </c>
      <c r="AQ53" s="3">
        <f>IFERROR(__xludf.DUMMYFUNCTION("""COMPUTED_VALUE"""),576.0)</f>
        <v>576</v>
      </c>
      <c r="AR53" s="3">
        <f>IFERROR(__xludf.DUMMYFUNCTION("""COMPUTED_VALUE"""),576.0)</f>
        <v>576</v>
      </c>
      <c r="AS53" s="3">
        <f>IFERROR(__xludf.DUMMYFUNCTION("""COMPUTED_VALUE"""),576.0)</f>
        <v>576</v>
      </c>
      <c r="AT53" s="3">
        <f>IFERROR(__xludf.DUMMYFUNCTION("""COMPUTED_VALUE"""),576.0)</f>
        <v>576</v>
      </c>
      <c r="AU53" s="3">
        <f>IFERROR(__xludf.DUMMYFUNCTION("""COMPUTED_VALUE"""),576.0)</f>
        <v>576</v>
      </c>
      <c r="AV53" s="3">
        <f>IFERROR(__xludf.DUMMYFUNCTION("""COMPUTED_VALUE"""),576.0)</f>
        <v>576</v>
      </c>
      <c r="AW53" s="3">
        <f>IFERROR(__xludf.DUMMYFUNCTION("""COMPUTED_VALUE"""),576.0)</f>
        <v>576</v>
      </c>
      <c r="AX53" s="3">
        <f>IFERROR(__xludf.DUMMYFUNCTION("""COMPUTED_VALUE"""),576.0)</f>
        <v>576</v>
      </c>
      <c r="AY53" s="3">
        <f>IFERROR(__xludf.DUMMYFUNCTION("""COMPUTED_VALUE"""),576.0)</f>
        <v>576</v>
      </c>
      <c r="AZ53" s="3">
        <f>IFERROR(__xludf.DUMMYFUNCTION("""COMPUTED_VALUE"""),576.0)</f>
        <v>576</v>
      </c>
      <c r="BA53" s="3">
        <f>IFERROR(__xludf.DUMMYFUNCTION("""COMPUTED_VALUE"""),576.0)</f>
        <v>576</v>
      </c>
      <c r="BB53" s="3">
        <f>IFERROR(__xludf.DUMMYFUNCTION("""COMPUTED_VALUE"""),576.0)</f>
        <v>576</v>
      </c>
      <c r="BC53" s="3">
        <f>IFERROR(__xludf.DUMMYFUNCTION("""COMPUTED_VALUE"""),576.0)</f>
        <v>576</v>
      </c>
      <c r="BD53" s="3">
        <f>IFERROR(__xludf.DUMMYFUNCTION("""COMPUTED_VALUE"""),576.0)</f>
        <v>576</v>
      </c>
      <c r="BE53" s="3">
        <f>IFERROR(__xludf.DUMMYFUNCTION("""COMPUTED_VALUE"""),576.0)</f>
        <v>576</v>
      </c>
      <c r="BF53" s="3">
        <f>IFERROR(__xludf.DUMMYFUNCTION("""COMPUTED_VALUE"""),576.0)</f>
        <v>576</v>
      </c>
      <c r="BG53" s="3">
        <f>IFERROR(__xludf.DUMMYFUNCTION("""COMPUTED_VALUE"""),576.0)</f>
        <v>576</v>
      </c>
      <c r="BH53" s="3">
        <f>IFERROR(__xludf.DUMMYFUNCTION("""COMPUTED_VALUE"""),576.0)</f>
        <v>576</v>
      </c>
      <c r="BI53" s="3">
        <f>IFERROR(__xludf.DUMMYFUNCTION("""COMPUTED_VALUE"""),576.0)</f>
        <v>576</v>
      </c>
      <c r="BJ53" s="3">
        <f>IFERROR(__xludf.DUMMYFUNCTION("""COMPUTED_VALUE"""),576.0)</f>
        <v>576</v>
      </c>
      <c r="BK53" s="3">
        <f>IFERROR(__xludf.DUMMYFUNCTION("""COMPUTED_VALUE"""),576.0)</f>
        <v>576</v>
      </c>
      <c r="BL53" s="3">
        <f>IFERROR(__xludf.DUMMYFUNCTION("""COMPUTED_VALUE"""),576.0)</f>
        <v>576</v>
      </c>
      <c r="BM53" s="3">
        <f>IFERROR(__xludf.DUMMYFUNCTION("""COMPUTED_VALUE"""),577.0)</f>
        <v>577</v>
      </c>
      <c r="BN53" s="3">
        <f>IFERROR(__xludf.DUMMYFUNCTION("""COMPUTED_VALUE"""),578.0)</f>
        <v>578</v>
      </c>
      <c r="BO53" s="3">
        <f>IFERROR(__xludf.DUMMYFUNCTION("""COMPUTED_VALUE"""),578.0)</f>
        <v>578</v>
      </c>
      <c r="BP53" s="3">
        <f>IFERROR(__xludf.DUMMYFUNCTION("""COMPUTED_VALUE"""),578.0)</f>
        <v>578</v>
      </c>
      <c r="BQ53" s="3">
        <f>IFERROR(__xludf.DUMMYFUNCTION("""COMPUTED_VALUE"""),578.0)</f>
        <v>578</v>
      </c>
      <c r="BR53" s="3">
        <f>IFERROR(__xludf.DUMMYFUNCTION("""COMPUTED_VALUE"""),578.0)</f>
        <v>578</v>
      </c>
      <c r="BS53" s="3">
        <f>IFERROR(__xludf.DUMMYFUNCTION("""COMPUTED_VALUE"""),578.0)</f>
        <v>578</v>
      </c>
      <c r="BT53" s="3">
        <f>IFERROR(__xludf.DUMMYFUNCTION("""COMPUTED_VALUE"""),579.0)</f>
        <v>579</v>
      </c>
      <c r="BU53" s="3">
        <f>IFERROR(__xludf.DUMMYFUNCTION("""COMPUTED_VALUE"""),579.0)</f>
        <v>579</v>
      </c>
      <c r="BV53" s="3">
        <f>IFERROR(__xludf.DUMMYFUNCTION("""COMPUTED_VALUE"""),579.0)</f>
        <v>579</v>
      </c>
      <c r="BW53" s="3">
        <f>IFERROR(__xludf.DUMMYFUNCTION("""COMPUTED_VALUE"""),579.0)</f>
        <v>579</v>
      </c>
      <c r="BX53" s="3">
        <f>IFERROR(__xludf.DUMMYFUNCTION("""COMPUTED_VALUE"""),579.0)</f>
        <v>579</v>
      </c>
      <c r="BY53" s="3">
        <f>IFERROR(__xludf.DUMMYFUNCTION("""COMPUTED_VALUE"""),579.0)</f>
        <v>579</v>
      </c>
      <c r="BZ53" s="3">
        <f>IFERROR(__xludf.DUMMYFUNCTION("""COMPUTED_VALUE"""),579.0)</f>
        <v>579</v>
      </c>
      <c r="CA53" s="3">
        <f>IFERROR(__xludf.DUMMYFUNCTION("""COMPUTED_VALUE"""),579.0)</f>
        <v>579</v>
      </c>
      <c r="CB53" s="3">
        <f>IFERROR(__xludf.DUMMYFUNCTION("""COMPUTED_VALUE"""),579.0)</f>
        <v>579</v>
      </c>
    </row>
    <row r="54">
      <c r="A54" s="3" t="str">
        <f>IFERROR(__xludf.DUMMYFUNCTION("""COMPUTED_VALUE"""),"Fujian")</f>
        <v>Fujian</v>
      </c>
      <c r="B54" s="3" t="str">
        <f>IFERROR(__xludf.DUMMYFUNCTION("""COMPUTED_VALUE"""),"China")</f>
        <v>China</v>
      </c>
      <c r="C54" s="3">
        <f>IFERROR(__xludf.DUMMYFUNCTION("""COMPUTED_VALUE"""),26.0789)</f>
        <v>26.0789</v>
      </c>
      <c r="D54" s="3">
        <f>IFERROR(__xludf.DUMMYFUNCTION("""COMPUTED_VALUE"""),117.9874)</f>
        <v>117.9874</v>
      </c>
      <c r="E54" s="3">
        <f>IFERROR(__xludf.DUMMYFUNCTION("""COMPUTED_VALUE"""),1.0)</f>
        <v>1</v>
      </c>
      <c r="F54" s="3">
        <f>IFERROR(__xludf.DUMMYFUNCTION("""COMPUTED_VALUE"""),5.0)</f>
        <v>5</v>
      </c>
      <c r="G54" s="3">
        <f>IFERROR(__xludf.DUMMYFUNCTION("""COMPUTED_VALUE"""),10.0)</f>
        <v>10</v>
      </c>
      <c r="H54" s="3">
        <f>IFERROR(__xludf.DUMMYFUNCTION("""COMPUTED_VALUE"""),18.0)</f>
        <v>18</v>
      </c>
      <c r="I54" s="3">
        <f>IFERROR(__xludf.DUMMYFUNCTION("""COMPUTED_VALUE"""),35.0)</f>
        <v>35</v>
      </c>
      <c r="J54" s="3">
        <f>IFERROR(__xludf.DUMMYFUNCTION("""COMPUTED_VALUE"""),59.0)</f>
        <v>59</v>
      </c>
      <c r="K54" s="3">
        <f>IFERROR(__xludf.DUMMYFUNCTION("""COMPUTED_VALUE"""),80.0)</f>
        <v>80</v>
      </c>
      <c r="L54" s="3">
        <f>IFERROR(__xludf.DUMMYFUNCTION("""COMPUTED_VALUE"""),84.0)</f>
        <v>84</v>
      </c>
      <c r="M54" s="3">
        <f>IFERROR(__xludf.DUMMYFUNCTION("""COMPUTED_VALUE"""),101.0)</f>
        <v>101</v>
      </c>
      <c r="N54" s="3">
        <f>IFERROR(__xludf.DUMMYFUNCTION("""COMPUTED_VALUE"""),120.0)</f>
        <v>120</v>
      </c>
      <c r="O54" s="3">
        <f>IFERROR(__xludf.DUMMYFUNCTION("""COMPUTED_VALUE"""),144.0)</f>
        <v>144</v>
      </c>
      <c r="P54" s="3">
        <f>IFERROR(__xludf.DUMMYFUNCTION("""COMPUTED_VALUE"""),159.0)</f>
        <v>159</v>
      </c>
      <c r="Q54" s="3">
        <f>IFERROR(__xludf.DUMMYFUNCTION("""COMPUTED_VALUE"""),179.0)</f>
        <v>179</v>
      </c>
      <c r="R54" s="3">
        <f>IFERROR(__xludf.DUMMYFUNCTION("""COMPUTED_VALUE"""),194.0)</f>
        <v>194</v>
      </c>
      <c r="S54" s="3">
        <f>IFERROR(__xludf.DUMMYFUNCTION("""COMPUTED_VALUE"""),205.0)</f>
        <v>205</v>
      </c>
      <c r="T54" s="3">
        <f>IFERROR(__xludf.DUMMYFUNCTION("""COMPUTED_VALUE"""),215.0)</f>
        <v>215</v>
      </c>
      <c r="U54" s="3">
        <f>IFERROR(__xludf.DUMMYFUNCTION("""COMPUTED_VALUE"""),224.0)</f>
        <v>224</v>
      </c>
      <c r="V54" s="3">
        <f>IFERROR(__xludf.DUMMYFUNCTION("""COMPUTED_VALUE"""),239.0)</f>
        <v>239</v>
      </c>
      <c r="W54" s="3">
        <f>IFERROR(__xludf.DUMMYFUNCTION("""COMPUTED_VALUE"""),250.0)</f>
        <v>250</v>
      </c>
      <c r="X54" s="3">
        <f>IFERROR(__xludf.DUMMYFUNCTION("""COMPUTED_VALUE"""),261.0)</f>
        <v>261</v>
      </c>
      <c r="Y54" s="3">
        <f>IFERROR(__xludf.DUMMYFUNCTION("""COMPUTED_VALUE"""),267.0)</f>
        <v>267</v>
      </c>
      <c r="Z54" s="3">
        <f>IFERROR(__xludf.DUMMYFUNCTION("""COMPUTED_VALUE"""),272.0)</f>
        <v>272</v>
      </c>
      <c r="AA54" s="3">
        <f>IFERROR(__xludf.DUMMYFUNCTION("""COMPUTED_VALUE"""),279.0)</f>
        <v>279</v>
      </c>
      <c r="AB54" s="3">
        <f>IFERROR(__xludf.DUMMYFUNCTION("""COMPUTED_VALUE"""),281.0)</f>
        <v>281</v>
      </c>
      <c r="AC54" s="3">
        <f>IFERROR(__xludf.DUMMYFUNCTION("""COMPUTED_VALUE"""),285.0)</f>
        <v>285</v>
      </c>
      <c r="AD54" s="3">
        <f>IFERROR(__xludf.DUMMYFUNCTION("""COMPUTED_VALUE"""),287.0)</f>
        <v>287</v>
      </c>
      <c r="AE54" s="3">
        <f>IFERROR(__xludf.DUMMYFUNCTION("""COMPUTED_VALUE"""),290.0)</f>
        <v>290</v>
      </c>
      <c r="AF54" s="3">
        <f>IFERROR(__xludf.DUMMYFUNCTION("""COMPUTED_VALUE"""),292.0)</f>
        <v>292</v>
      </c>
      <c r="AG54" s="3">
        <f>IFERROR(__xludf.DUMMYFUNCTION("""COMPUTED_VALUE"""),293.0)</f>
        <v>293</v>
      </c>
      <c r="AH54" s="3">
        <f>IFERROR(__xludf.DUMMYFUNCTION("""COMPUTED_VALUE"""),293.0)</f>
        <v>293</v>
      </c>
      <c r="AI54" s="3">
        <f>IFERROR(__xludf.DUMMYFUNCTION("""COMPUTED_VALUE"""),293.0)</f>
        <v>293</v>
      </c>
      <c r="AJ54" s="3">
        <f>IFERROR(__xludf.DUMMYFUNCTION("""COMPUTED_VALUE"""),293.0)</f>
        <v>293</v>
      </c>
      <c r="AK54" s="3">
        <f>IFERROR(__xludf.DUMMYFUNCTION("""COMPUTED_VALUE"""),293.0)</f>
        <v>293</v>
      </c>
      <c r="AL54" s="3">
        <f>IFERROR(__xludf.DUMMYFUNCTION("""COMPUTED_VALUE"""),293.0)</f>
        <v>293</v>
      </c>
      <c r="AM54" s="3">
        <f>IFERROR(__xludf.DUMMYFUNCTION("""COMPUTED_VALUE"""),294.0)</f>
        <v>294</v>
      </c>
      <c r="AN54" s="3">
        <f>IFERROR(__xludf.DUMMYFUNCTION("""COMPUTED_VALUE"""),294.0)</f>
        <v>294</v>
      </c>
      <c r="AO54" s="3">
        <f>IFERROR(__xludf.DUMMYFUNCTION("""COMPUTED_VALUE"""),296.0)</f>
        <v>296</v>
      </c>
      <c r="AP54" s="3">
        <f>IFERROR(__xludf.DUMMYFUNCTION("""COMPUTED_VALUE"""),296.0)</f>
        <v>296</v>
      </c>
      <c r="AQ54" s="3">
        <f>IFERROR(__xludf.DUMMYFUNCTION("""COMPUTED_VALUE"""),296.0)</f>
        <v>296</v>
      </c>
      <c r="AR54" s="3">
        <f>IFERROR(__xludf.DUMMYFUNCTION("""COMPUTED_VALUE"""),296.0)</f>
        <v>296</v>
      </c>
      <c r="AS54" s="3">
        <f>IFERROR(__xludf.DUMMYFUNCTION("""COMPUTED_VALUE"""),296.0)</f>
        <v>296</v>
      </c>
      <c r="AT54" s="3">
        <f>IFERROR(__xludf.DUMMYFUNCTION("""COMPUTED_VALUE"""),296.0)</f>
        <v>296</v>
      </c>
      <c r="AU54" s="3">
        <f>IFERROR(__xludf.DUMMYFUNCTION("""COMPUTED_VALUE"""),296.0)</f>
        <v>296</v>
      </c>
      <c r="AV54" s="3">
        <f>IFERROR(__xludf.DUMMYFUNCTION("""COMPUTED_VALUE"""),296.0)</f>
        <v>296</v>
      </c>
      <c r="AW54" s="3">
        <f>IFERROR(__xludf.DUMMYFUNCTION("""COMPUTED_VALUE"""),296.0)</f>
        <v>296</v>
      </c>
      <c r="AX54" s="3">
        <f>IFERROR(__xludf.DUMMYFUNCTION("""COMPUTED_VALUE"""),296.0)</f>
        <v>296</v>
      </c>
      <c r="AY54" s="3">
        <f>IFERROR(__xludf.DUMMYFUNCTION("""COMPUTED_VALUE"""),296.0)</f>
        <v>296</v>
      </c>
      <c r="AZ54" s="3">
        <f>IFERROR(__xludf.DUMMYFUNCTION("""COMPUTED_VALUE"""),296.0)</f>
        <v>296</v>
      </c>
      <c r="BA54" s="3">
        <f>IFERROR(__xludf.DUMMYFUNCTION("""COMPUTED_VALUE"""),296.0)</f>
        <v>296</v>
      </c>
      <c r="BB54" s="3">
        <f>IFERROR(__xludf.DUMMYFUNCTION("""COMPUTED_VALUE"""),296.0)</f>
        <v>296</v>
      </c>
      <c r="BC54" s="3">
        <f>IFERROR(__xludf.DUMMYFUNCTION("""COMPUTED_VALUE"""),296.0)</f>
        <v>296</v>
      </c>
      <c r="BD54" s="3">
        <f>IFERROR(__xludf.DUMMYFUNCTION("""COMPUTED_VALUE"""),296.0)</f>
        <v>296</v>
      </c>
      <c r="BE54" s="3">
        <f>IFERROR(__xludf.DUMMYFUNCTION("""COMPUTED_VALUE"""),296.0)</f>
        <v>296</v>
      </c>
      <c r="BF54" s="3">
        <f>IFERROR(__xludf.DUMMYFUNCTION("""COMPUTED_VALUE"""),296.0)</f>
        <v>296</v>
      </c>
      <c r="BG54" s="3">
        <f>IFERROR(__xludf.DUMMYFUNCTION("""COMPUTED_VALUE"""),296.0)</f>
        <v>296</v>
      </c>
      <c r="BH54" s="3">
        <f>IFERROR(__xludf.DUMMYFUNCTION("""COMPUTED_VALUE"""),296.0)</f>
        <v>296</v>
      </c>
      <c r="BI54" s="3">
        <f>IFERROR(__xludf.DUMMYFUNCTION("""COMPUTED_VALUE"""),296.0)</f>
        <v>296</v>
      </c>
      <c r="BJ54" s="3">
        <f>IFERROR(__xludf.DUMMYFUNCTION("""COMPUTED_VALUE"""),296.0)</f>
        <v>296</v>
      </c>
      <c r="BK54" s="3">
        <f>IFERROR(__xludf.DUMMYFUNCTION("""COMPUTED_VALUE"""),299.0)</f>
        <v>299</v>
      </c>
      <c r="BL54" s="3">
        <f>IFERROR(__xludf.DUMMYFUNCTION("""COMPUTED_VALUE"""),303.0)</f>
        <v>303</v>
      </c>
      <c r="BM54" s="3">
        <f>IFERROR(__xludf.DUMMYFUNCTION("""COMPUTED_VALUE"""),313.0)</f>
        <v>313</v>
      </c>
      <c r="BN54" s="3">
        <f>IFERROR(__xludf.DUMMYFUNCTION("""COMPUTED_VALUE"""),313.0)</f>
        <v>313</v>
      </c>
      <c r="BO54" s="3">
        <f>IFERROR(__xludf.DUMMYFUNCTION("""COMPUTED_VALUE"""),318.0)</f>
        <v>318</v>
      </c>
      <c r="BP54" s="3">
        <f>IFERROR(__xludf.DUMMYFUNCTION("""COMPUTED_VALUE"""),322.0)</f>
        <v>322</v>
      </c>
      <c r="BQ54" s="3">
        <f>IFERROR(__xludf.DUMMYFUNCTION("""COMPUTED_VALUE"""),328.0)</f>
        <v>328</v>
      </c>
      <c r="BR54" s="3">
        <f>IFERROR(__xludf.DUMMYFUNCTION("""COMPUTED_VALUE"""),331.0)</f>
        <v>331</v>
      </c>
      <c r="BS54" s="3">
        <f>IFERROR(__xludf.DUMMYFUNCTION("""COMPUTED_VALUE"""),337.0)</f>
        <v>337</v>
      </c>
      <c r="BT54" s="3">
        <f>IFERROR(__xludf.DUMMYFUNCTION("""COMPUTED_VALUE"""),338.0)</f>
        <v>338</v>
      </c>
      <c r="BU54" s="3">
        <f>IFERROR(__xludf.DUMMYFUNCTION("""COMPUTED_VALUE"""),340.0)</f>
        <v>340</v>
      </c>
      <c r="BV54" s="3">
        <f>IFERROR(__xludf.DUMMYFUNCTION("""COMPUTED_VALUE"""),343.0)</f>
        <v>343</v>
      </c>
      <c r="BW54" s="3">
        <f>IFERROR(__xludf.DUMMYFUNCTION("""COMPUTED_VALUE"""),345.0)</f>
        <v>345</v>
      </c>
      <c r="BX54" s="3">
        <f>IFERROR(__xludf.DUMMYFUNCTION("""COMPUTED_VALUE"""),345.0)</f>
        <v>345</v>
      </c>
      <c r="BY54" s="3">
        <f>IFERROR(__xludf.DUMMYFUNCTION("""COMPUTED_VALUE"""),349.0)</f>
        <v>349</v>
      </c>
      <c r="BZ54" s="3">
        <f>IFERROR(__xludf.DUMMYFUNCTION("""COMPUTED_VALUE"""),350.0)</f>
        <v>350</v>
      </c>
      <c r="CA54" s="3">
        <f>IFERROR(__xludf.DUMMYFUNCTION("""COMPUTED_VALUE"""),350.0)</f>
        <v>350</v>
      </c>
      <c r="CB54" s="3">
        <f>IFERROR(__xludf.DUMMYFUNCTION("""COMPUTED_VALUE"""),350.0)</f>
        <v>350</v>
      </c>
    </row>
    <row r="55">
      <c r="A55" s="3" t="str">
        <f>IFERROR(__xludf.DUMMYFUNCTION("""COMPUTED_VALUE"""),"Gansu")</f>
        <v>Gansu</v>
      </c>
      <c r="B55" s="3" t="str">
        <f>IFERROR(__xludf.DUMMYFUNCTION("""COMPUTED_VALUE"""),"China")</f>
        <v>China</v>
      </c>
      <c r="C55" s="3">
        <f>IFERROR(__xludf.DUMMYFUNCTION("""COMPUTED_VALUE"""),37.8099)</f>
        <v>37.8099</v>
      </c>
      <c r="D55" s="3">
        <f>IFERROR(__xludf.DUMMYFUNCTION("""COMPUTED_VALUE"""),101.0583)</f>
        <v>101.0583</v>
      </c>
      <c r="E55" s="3">
        <f>IFERROR(__xludf.DUMMYFUNCTION("""COMPUTED_VALUE"""),0.0)</f>
        <v>0</v>
      </c>
      <c r="F55" s="3">
        <f>IFERROR(__xludf.DUMMYFUNCTION("""COMPUTED_VALUE"""),2.0)</f>
        <v>2</v>
      </c>
      <c r="G55" s="3">
        <f>IFERROR(__xludf.DUMMYFUNCTION("""COMPUTED_VALUE"""),2.0)</f>
        <v>2</v>
      </c>
      <c r="H55" s="3">
        <f>IFERROR(__xludf.DUMMYFUNCTION("""COMPUTED_VALUE"""),4.0)</f>
        <v>4</v>
      </c>
      <c r="I55" s="3">
        <f>IFERROR(__xludf.DUMMYFUNCTION("""COMPUTED_VALUE"""),7.0)</f>
        <v>7</v>
      </c>
      <c r="J55" s="3">
        <f>IFERROR(__xludf.DUMMYFUNCTION("""COMPUTED_VALUE"""),14.0)</f>
        <v>14</v>
      </c>
      <c r="K55" s="3">
        <f>IFERROR(__xludf.DUMMYFUNCTION("""COMPUTED_VALUE"""),19.0)</f>
        <v>19</v>
      </c>
      <c r="L55" s="3">
        <f>IFERROR(__xludf.DUMMYFUNCTION("""COMPUTED_VALUE"""),24.0)</f>
        <v>24</v>
      </c>
      <c r="M55" s="3">
        <f>IFERROR(__xludf.DUMMYFUNCTION("""COMPUTED_VALUE"""),26.0)</f>
        <v>26</v>
      </c>
      <c r="N55" s="3">
        <f>IFERROR(__xludf.DUMMYFUNCTION("""COMPUTED_VALUE"""),29.0)</f>
        <v>29</v>
      </c>
      <c r="O55" s="3">
        <f>IFERROR(__xludf.DUMMYFUNCTION("""COMPUTED_VALUE"""),40.0)</f>
        <v>40</v>
      </c>
      <c r="P55" s="3">
        <f>IFERROR(__xludf.DUMMYFUNCTION("""COMPUTED_VALUE"""),51.0)</f>
        <v>51</v>
      </c>
      <c r="Q55" s="3">
        <f>IFERROR(__xludf.DUMMYFUNCTION("""COMPUTED_VALUE"""),55.0)</f>
        <v>55</v>
      </c>
      <c r="R55" s="3">
        <f>IFERROR(__xludf.DUMMYFUNCTION("""COMPUTED_VALUE"""),57.0)</f>
        <v>57</v>
      </c>
      <c r="S55" s="3">
        <f>IFERROR(__xludf.DUMMYFUNCTION("""COMPUTED_VALUE"""),62.0)</f>
        <v>62</v>
      </c>
      <c r="T55" s="3">
        <f>IFERROR(__xludf.DUMMYFUNCTION("""COMPUTED_VALUE"""),62.0)</f>
        <v>62</v>
      </c>
      <c r="U55" s="3">
        <f>IFERROR(__xludf.DUMMYFUNCTION("""COMPUTED_VALUE"""),67.0)</f>
        <v>67</v>
      </c>
      <c r="V55" s="3">
        <f>IFERROR(__xludf.DUMMYFUNCTION("""COMPUTED_VALUE"""),79.0)</f>
        <v>79</v>
      </c>
      <c r="W55" s="3">
        <f>IFERROR(__xludf.DUMMYFUNCTION("""COMPUTED_VALUE"""),83.0)</f>
        <v>83</v>
      </c>
      <c r="X55" s="3">
        <f>IFERROR(__xludf.DUMMYFUNCTION("""COMPUTED_VALUE"""),83.0)</f>
        <v>83</v>
      </c>
      <c r="Y55" s="3">
        <f>IFERROR(__xludf.DUMMYFUNCTION("""COMPUTED_VALUE"""),86.0)</f>
        <v>86</v>
      </c>
      <c r="Z55" s="3">
        <f>IFERROR(__xludf.DUMMYFUNCTION("""COMPUTED_VALUE"""),87.0)</f>
        <v>87</v>
      </c>
      <c r="AA55" s="3">
        <f>IFERROR(__xludf.DUMMYFUNCTION("""COMPUTED_VALUE"""),90.0)</f>
        <v>90</v>
      </c>
      <c r="AB55" s="3">
        <f>IFERROR(__xludf.DUMMYFUNCTION("""COMPUTED_VALUE"""),90.0)</f>
        <v>90</v>
      </c>
      <c r="AC55" s="3">
        <f>IFERROR(__xludf.DUMMYFUNCTION("""COMPUTED_VALUE"""),90.0)</f>
        <v>90</v>
      </c>
      <c r="AD55" s="3">
        <f>IFERROR(__xludf.DUMMYFUNCTION("""COMPUTED_VALUE"""),90.0)</f>
        <v>90</v>
      </c>
      <c r="AE55" s="3">
        <f>IFERROR(__xludf.DUMMYFUNCTION("""COMPUTED_VALUE"""),91.0)</f>
        <v>91</v>
      </c>
      <c r="AF55" s="3">
        <f>IFERROR(__xludf.DUMMYFUNCTION("""COMPUTED_VALUE"""),91.0)</f>
        <v>91</v>
      </c>
      <c r="AG55" s="3">
        <f>IFERROR(__xludf.DUMMYFUNCTION("""COMPUTED_VALUE"""),91.0)</f>
        <v>91</v>
      </c>
      <c r="AH55" s="3">
        <f>IFERROR(__xludf.DUMMYFUNCTION("""COMPUTED_VALUE"""),91.0)</f>
        <v>91</v>
      </c>
      <c r="AI55" s="3">
        <f>IFERROR(__xludf.DUMMYFUNCTION("""COMPUTED_VALUE"""),91.0)</f>
        <v>91</v>
      </c>
      <c r="AJ55" s="3">
        <f>IFERROR(__xludf.DUMMYFUNCTION("""COMPUTED_VALUE"""),91.0)</f>
        <v>91</v>
      </c>
      <c r="AK55" s="3">
        <f>IFERROR(__xludf.DUMMYFUNCTION("""COMPUTED_VALUE"""),91.0)</f>
        <v>91</v>
      </c>
      <c r="AL55" s="3">
        <f>IFERROR(__xludf.DUMMYFUNCTION("""COMPUTED_VALUE"""),91.0)</f>
        <v>91</v>
      </c>
      <c r="AM55" s="3">
        <f>IFERROR(__xludf.DUMMYFUNCTION("""COMPUTED_VALUE"""),91.0)</f>
        <v>91</v>
      </c>
      <c r="AN55" s="3">
        <f>IFERROR(__xludf.DUMMYFUNCTION("""COMPUTED_VALUE"""),91.0)</f>
        <v>91</v>
      </c>
      <c r="AO55" s="3">
        <f>IFERROR(__xludf.DUMMYFUNCTION("""COMPUTED_VALUE"""),91.0)</f>
        <v>91</v>
      </c>
      <c r="AP55" s="3">
        <f>IFERROR(__xludf.DUMMYFUNCTION("""COMPUTED_VALUE"""),91.0)</f>
        <v>91</v>
      </c>
      <c r="AQ55" s="3">
        <f>IFERROR(__xludf.DUMMYFUNCTION("""COMPUTED_VALUE"""),91.0)</f>
        <v>91</v>
      </c>
      <c r="AR55" s="3">
        <f>IFERROR(__xludf.DUMMYFUNCTION("""COMPUTED_VALUE"""),91.0)</f>
        <v>91</v>
      </c>
      <c r="AS55" s="3">
        <f>IFERROR(__xludf.DUMMYFUNCTION("""COMPUTED_VALUE"""),91.0)</f>
        <v>91</v>
      </c>
      <c r="AT55" s="3">
        <f>IFERROR(__xludf.DUMMYFUNCTION("""COMPUTED_VALUE"""),91.0)</f>
        <v>91</v>
      </c>
      <c r="AU55" s="3">
        <f>IFERROR(__xludf.DUMMYFUNCTION("""COMPUTED_VALUE"""),91.0)</f>
        <v>91</v>
      </c>
      <c r="AV55" s="3">
        <f>IFERROR(__xludf.DUMMYFUNCTION("""COMPUTED_VALUE"""),102.0)</f>
        <v>102</v>
      </c>
      <c r="AW55" s="3">
        <f>IFERROR(__xludf.DUMMYFUNCTION("""COMPUTED_VALUE"""),119.0)</f>
        <v>119</v>
      </c>
      <c r="AX55" s="3">
        <f>IFERROR(__xludf.DUMMYFUNCTION("""COMPUTED_VALUE"""),120.0)</f>
        <v>120</v>
      </c>
      <c r="AY55" s="3">
        <f>IFERROR(__xludf.DUMMYFUNCTION("""COMPUTED_VALUE"""),124.0)</f>
        <v>124</v>
      </c>
      <c r="AZ55" s="3">
        <f>IFERROR(__xludf.DUMMYFUNCTION("""COMPUTED_VALUE"""),124.0)</f>
        <v>124</v>
      </c>
      <c r="BA55" s="3">
        <f>IFERROR(__xludf.DUMMYFUNCTION("""COMPUTED_VALUE"""),125.0)</f>
        <v>125</v>
      </c>
      <c r="BB55" s="3">
        <f>IFERROR(__xludf.DUMMYFUNCTION("""COMPUTED_VALUE"""),127.0)</f>
        <v>127</v>
      </c>
      <c r="BC55" s="3">
        <f>IFERROR(__xludf.DUMMYFUNCTION("""COMPUTED_VALUE"""),127.0)</f>
        <v>127</v>
      </c>
      <c r="BD55" s="3">
        <f>IFERROR(__xludf.DUMMYFUNCTION("""COMPUTED_VALUE"""),127.0)</f>
        <v>127</v>
      </c>
      <c r="BE55" s="3">
        <f>IFERROR(__xludf.DUMMYFUNCTION("""COMPUTED_VALUE"""),129.0)</f>
        <v>129</v>
      </c>
      <c r="BF55" s="3">
        <f>IFERROR(__xludf.DUMMYFUNCTION("""COMPUTED_VALUE"""),133.0)</f>
        <v>133</v>
      </c>
      <c r="BG55" s="3">
        <f>IFERROR(__xludf.DUMMYFUNCTION("""COMPUTED_VALUE"""),133.0)</f>
        <v>133</v>
      </c>
      <c r="BH55" s="3">
        <f>IFERROR(__xludf.DUMMYFUNCTION("""COMPUTED_VALUE"""),133.0)</f>
        <v>133</v>
      </c>
      <c r="BI55" s="3">
        <f>IFERROR(__xludf.DUMMYFUNCTION("""COMPUTED_VALUE"""),133.0)</f>
        <v>133</v>
      </c>
      <c r="BJ55" s="3">
        <f>IFERROR(__xludf.DUMMYFUNCTION("""COMPUTED_VALUE"""),134.0)</f>
        <v>134</v>
      </c>
      <c r="BK55" s="3">
        <f>IFERROR(__xludf.DUMMYFUNCTION("""COMPUTED_VALUE"""),134.0)</f>
        <v>134</v>
      </c>
      <c r="BL55" s="3">
        <f>IFERROR(__xludf.DUMMYFUNCTION("""COMPUTED_VALUE"""),134.0)</f>
        <v>134</v>
      </c>
      <c r="BM55" s="3">
        <f>IFERROR(__xludf.DUMMYFUNCTION("""COMPUTED_VALUE"""),136.0)</f>
        <v>136</v>
      </c>
      <c r="BN55" s="3">
        <f>IFERROR(__xludf.DUMMYFUNCTION("""COMPUTED_VALUE"""),136.0)</f>
        <v>136</v>
      </c>
      <c r="BO55" s="3">
        <f>IFERROR(__xludf.DUMMYFUNCTION("""COMPUTED_VALUE"""),136.0)</f>
        <v>136</v>
      </c>
      <c r="BP55" s="3">
        <f>IFERROR(__xludf.DUMMYFUNCTION("""COMPUTED_VALUE"""),136.0)</f>
        <v>136</v>
      </c>
      <c r="BQ55" s="3">
        <f>IFERROR(__xludf.DUMMYFUNCTION("""COMPUTED_VALUE"""),136.0)</f>
        <v>136</v>
      </c>
      <c r="BR55" s="3">
        <f>IFERROR(__xludf.DUMMYFUNCTION("""COMPUTED_VALUE"""),136.0)</f>
        <v>136</v>
      </c>
      <c r="BS55" s="3">
        <f>IFERROR(__xludf.DUMMYFUNCTION("""COMPUTED_VALUE"""),136.0)</f>
        <v>136</v>
      </c>
      <c r="BT55" s="3">
        <f>IFERROR(__xludf.DUMMYFUNCTION("""COMPUTED_VALUE"""),138.0)</f>
        <v>138</v>
      </c>
      <c r="BU55" s="3">
        <f>IFERROR(__xludf.DUMMYFUNCTION("""COMPUTED_VALUE"""),138.0)</f>
        <v>138</v>
      </c>
      <c r="BV55" s="3">
        <f>IFERROR(__xludf.DUMMYFUNCTION("""COMPUTED_VALUE"""),138.0)</f>
        <v>138</v>
      </c>
      <c r="BW55" s="3">
        <f>IFERROR(__xludf.DUMMYFUNCTION("""COMPUTED_VALUE"""),138.0)</f>
        <v>138</v>
      </c>
      <c r="BX55" s="3">
        <f>IFERROR(__xludf.DUMMYFUNCTION("""COMPUTED_VALUE"""),138.0)</f>
        <v>138</v>
      </c>
      <c r="BY55" s="3">
        <f>IFERROR(__xludf.DUMMYFUNCTION("""COMPUTED_VALUE"""),138.0)</f>
        <v>138</v>
      </c>
      <c r="BZ55" s="3">
        <f>IFERROR(__xludf.DUMMYFUNCTION("""COMPUTED_VALUE"""),138.0)</f>
        <v>138</v>
      </c>
      <c r="CA55" s="3">
        <f>IFERROR(__xludf.DUMMYFUNCTION("""COMPUTED_VALUE"""),138.0)</f>
        <v>138</v>
      </c>
      <c r="CB55" s="3">
        <f>IFERROR(__xludf.DUMMYFUNCTION("""COMPUTED_VALUE"""),139.0)</f>
        <v>139</v>
      </c>
    </row>
    <row r="56">
      <c r="A56" s="3" t="str">
        <f>IFERROR(__xludf.DUMMYFUNCTION("""COMPUTED_VALUE"""),"Guangdong")</f>
        <v>Guangdong</v>
      </c>
      <c r="B56" s="3" t="str">
        <f>IFERROR(__xludf.DUMMYFUNCTION("""COMPUTED_VALUE"""),"China")</f>
        <v>China</v>
      </c>
      <c r="C56" s="3">
        <f>IFERROR(__xludf.DUMMYFUNCTION("""COMPUTED_VALUE"""),23.3417)</f>
        <v>23.3417</v>
      </c>
      <c r="D56" s="3">
        <f>IFERROR(__xludf.DUMMYFUNCTION("""COMPUTED_VALUE"""),113.4244)</f>
        <v>113.4244</v>
      </c>
      <c r="E56" s="3">
        <f>IFERROR(__xludf.DUMMYFUNCTION("""COMPUTED_VALUE"""),26.0)</f>
        <v>26</v>
      </c>
      <c r="F56" s="3">
        <f>IFERROR(__xludf.DUMMYFUNCTION("""COMPUTED_VALUE"""),32.0)</f>
        <v>32</v>
      </c>
      <c r="G56" s="3">
        <f>IFERROR(__xludf.DUMMYFUNCTION("""COMPUTED_VALUE"""),53.0)</f>
        <v>53</v>
      </c>
      <c r="H56" s="3">
        <f>IFERROR(__xludf.DUMMYFUNCTION("""COMPUTED_VALUE"""),78.0)</f>
        <v>78</v>
      </c>
      <c r="I56" s="3">
        <f>IFERROR(__xludf.DUMMYFUNCTION("""COMPUTED_VALUE"""),111.0)</f>
        <v>111</v>
      </c>
      <c r="J56" s="3">
        <f>IFERROR(__xludf.DUMMYFUNCTION("""COMPUTED_VALUE"""),151.0)</f>
        <v>151</v>
      </c>
      <c r="K56" s="3">
        <f>IFERROR(__xludf.DUMMYFUNCTION("""COMPUTED_VALUE"""),207.0)</f>
        <v>207</v>
      </c>
      <c r="L56" s="3">
        <f>IFERROR(__xludf.DUMMYFUNCTION("""COMPUTED_VALUE"""),277.0)</f>
        <v>277</v>
      </c>
      <c r="M56" s="3">
        <f>IFERROR(__xludf.DUMMYFUNCTION("""COMPUTED_VALUE"""),354.0)</f>
        <v>354</v>
      </c>
      <c r="N56" s="3">
        <f>IFERROR(__xludf.DUMMYFUNCTION("""COMPUTED_VALUE"""),436.0)</f>
        <v>436</v>
      </c>
      <c r="O56" s="3">
        <f>IFERROR(__xludf.DUMMYFUNCTION("""COMPUTED_VALUE"""),535.0)</f>
        <v>535</v>
      </c>
      <c r="P56" s="3">
        <f>IFERROR(__xludf.DUMMYFUNCTION("""COMPUTED_VALUE"""),632.0)</f>
        <v>632</v>
      </c>
      <c r="Q56" s="3">
        <f>IFERROR(__xludf.DUMMYFUNCTION("""COMPUTED_VALUE"""),725.0)</f>
        <v>725</v>
      </c>
      <c r="R56" s="3">
        <f>IFERROR(__xludf.DUMMYFUNCTION("""COMPUTED_VALUE"""),813.0)</f>
        <v>813</v>
      </c>
      <c r="S56" s="3">
        <f>IFERROR(__xludf.DUMMYFUNCTION("""COMPUTED_VALUE"""),895.0)</f>
        <v>895</v>
      </c>
      <c r="T56" s="3">
        <f>IFERROR(__xludf.DUMMYFUNCTION("""COMPUTED_VALUE"""),970.0)</f>
        <v>970</v>
      </c>
      <c r="U56" s="3">
        <f>IFERROR(__xludf.DUMMYFUNCTION("""COMPUTED_VALUE"""),1034.0)</f>
        <v>1034</v>
      </c>
      <c r="V56" s="3">
        <f>IFERROR(__xludf.DUMMYFUNCTION("""COMPUTED_VALUE"""),1095.0)</f>
        <v>1095</v>
      </c>
      <c r="W56" s="3">
        <f>IFERROR(__xludf.DUMMYFUNCTION("""COMPUTED_VALUE"""),1131.0)</f>
        <v>1131</v>
      </c>
      <c r="X56" s="3">
        <f>IFERROR(__xludf.DUMMYFUNCTION("""COMPUTED_VALUE"""),1159.0)</f>
        <v>1159</v>
      </c>
      <c r="Y56" s="3">
        <f>IFERROR(__xludf.DUMMYFUNCTION("""COMPUTED_VALUE"""),1177.0)</f>
        <v>1177</v>
      </c>
      <c r="Z56" s="3">
        <f>IFERROR(__xludf.DUMMYFUNCTION("""COMPUTED_VALUE"""),1219.0)</f>
        <v>1219</v>
      </c>
      <c r="AA56" s="3">
        <f>IFERROR(__xludf.DUMMYFUNCTION("""COMPUTED_VALUE"""),1241.0)</f>
        <v>1241</v>
      </c>
      <c r="AB56" s="3">
        <f>IFERROR(__xludf.DUMMYFUNCTION("""COMPUTED_VALUE"""),1261.0)</f>
        <v>1261</v>
      </c>
      <c r="AC56" s="3">
        <f>IFERROR(__xludf.DUMMYFUNCTION("""COMPUTED_VALUE"""),1294.0)</f>
        <v>1294</v>
      </c>
      <c r="AD56" s="3">
        <f>IFERROR(__xludf.DUMMYFUNCTION("""COMPUTED_VALUE"""),1316.0)</f>
        <v>1316</v>
      </c>
      <c r="AE56" s="3">
        <f>IFERROR(__xludf.DUMMYFUNCTION("""COMPUTED_VALUE"""),1322.0)</f>
        <v>1322</v>
      </c>
      <c r="AF56" s="3">
        <f>IFERROR(__xludf.DUMMYFUNCTION("""COMPUTED_VALUE"""),1328.0)</f>
        <v>1328</v>
      </c>
      <c r="AG56" s="3">
        <f>IFERROR(__xludf.DUMMYFUNCTION("""COMPUTED_VALUE"""),1331.0)</f>
        <v>1331</v>
      </c>
      <c r="AH56" s="3">
        <f>IFERROR(__xludf.DUMMYFUNCTION("""COMPUTED_VALUE"""),1332.0)</f>
        <v>1332</v>
      </c>
      <c r="AI56" s="3">
        <f>IFERROR(__xludf.DUMMYFUNCTION("""COMPUTED_VALUE"""),1333.0)</f>
        <v>1333</v>
      </c>
      <c r="AJ56" s="3">
        <f>IFERROR(__xludf.DUMMYFUNCTION("""COMPUTED_VALUE"""),1339.0)</f>
        <v>1339</v>
      </c>
      <c r="AK56" s="3">
        <f>IFERROR(__xludf.DUMMYFUNCTION("""COMPUTED_VALUE"""),1342.0)</f>
        <v>1342</v>
      </c>
      <c r="AL56" s="3">
        <f>IFERROR(__xludf.DUMMYFUNCTION("""COMPUTED_VALUE"""),1345.0)</f>
        <v>1345</v>
      </c>
      <c r="AM56" s="3">
        <f>IFERROR(__xludf.DUMMYFUNCTION("""COMPUTED_VALUE"""),1347.0)</f>
        <v>1347</v>
      </c>
      <c r="AN56" s="3">
        <f>IFERROR(__xludf.DUMMYFUNCTION("""COMPUTED_VALUE"""),1347.0)</f>
        <v>1347</v>
      </c>
      <c r="AO56" s="3">
        <f>IFERROR(__xludf.DUMMYFUNCTION("""COMPUTED_VALUE"""),1347.0)</f>
        <v>1347</v>
      </c>
      <c r="AP56" s="3">
        <f>IFERROR(__xludf.DUMMYFUNCTION("""COMPUTED_VALUE"""),1348.0)</f>
        <v>1348</v>
      </c>
      <c r="AQ56" s="3">
        <f>IFERROR(__xludf.DUMMYFUNCTION("""COMPUTED_VALUE"""),1349.0)</f>
        <v>1349</v>
      </c>
      <c r="AR56" s="3">
        <f>IFERROR(__xludf.DUMMYFUNCTION("""COMPUTED_VALUE"""),1349.0)</f>
        <v>1349</v>
      </c>
      <c r="AS56" s="3">
        <f>IFERROR(__xludf.DUMMYFUNCTION("""COMPUTED_VALUE"""),1350.0)</f>
        <v>1350</v>
      </c>
      <c r="AT56" s="3">
        <f>IFERROR(__xludf.DUMMYFUNCTION("""COMPUTED_VALUE"""),1350.0)</f>
        <v>1350</v>
      </c>
      <c r="AU56" s="3">
        <f>IFERROR(__xludf.DUMMYFUNCTION("""COMPUTED_VALUE"""),1350.0)</f>
        <v>1350</v>
      </c>
      <c r="AV56" s="3">
        <f>IFERROR(__xludf.DUMMYFUNCTION("""COMPUTED_VALUE"""),1351.0)</f>
        <v>1351</v>
      </c>
      <c r="AW56" s="3">
        <f>IFERROR(__xludf.DUMMYFUNCTION("""COMPUTED_VALUE"""),1352.0)</f>
        <v>1352</v>
      </c>
      <c r="AX56" s="3">
        <f>IFERROR(__xludf.DUMMYFUNCTION("""COMPUTED_VALUE"""),1352.0)</f>
        <v>1352</v>
      </c>
      <c r="AY56" s="3">
        <f>IFERROR(__xludf.DUMMYFUNCTION("""COMPUTED_VALUE"""),1352.0)</f>
        <v>1352</v>
      </c>
      <c r="AZ56" s="3">
        <f>IFERROR(__xludf.DUMMYFUNCTION("""COMPUTED_VALUE"""),1352.0)</f>
        <v>1352</v>
      </c>
      <c r="BA56" s="3">
        <f>IFERROR(__xludf.DUMMYFUNCTION("""COMPUTED_VALUE"""),1353.0)</f>
        <v>1353</v>
      </c>
      <c r="BB56" s="3">
        <f>IFERROR(__xludf.DUMMYFUNCTION("""COMPUTED_VALUE"""),1356.0)</f>
        <v>1356</v>
      </c>
      <c r="BC56" s="3">
        <f>IFERROR(__xludf.DUMMYFUNCTION("""COMPUTED_VALUE"""),1356.0)</f>
        <v>1356</v>
      </c>
      <c r="BD56" s="3">
        <f>IFERROR(__xludf.DUMMYFUNCTION("""COMPUTED_VALUE"""),1356.0)</f>
        <v>1356</v>
      </c>
      <c r="BE56" s="3">
        <f>IFERROR(__xludf.DUMMYFUNCTION("""COMPUTED_VALUE"""),1356.0)</f>
        <v>1356</v>
      </c>
      <c r="BF56" s="3">
        <f>IFERROR(__xludf.DUMMYFUNCTION("""COMPUTED_VALUE"""),1360.0)</f>
        <v>1360</v>
      </c>
      <c r="BG56" s="3">
        <f>IFERROR(__xludf.DUMMYFUNCTION("""COMPUTED_VALUE"""),1361.0)</f>
        <v>1361</v>
      </c>
      <c r="BH56" s="3">
        <f>IFERROR(__xludf.DUMMYFUNCTION("""COMPUTED_VALUE"""),1364.0)</f>
        <v>1364</v>
      </c>
      <c r="BI56" s="3">
        <f>IFERROR(__xludf.DUMMYFUNCTION("""COMPUTED_VALUE"""),1370.0)</f>
        <v>1370</v>
      </c>
      <c r="BJ56" s="3">
        <f>IFERROR(__xludf.DUMMYFUNCTION("""COMPUTED_VALUE"""),1378.0)</f>
        <v>1378</v>
      </c>
      <c r="BK56" s="3">
        <f>IFERROR(__xludf.DUMMYFUNCTION("""COMPUTED_VALUE"""),1395.0)</f>
        <v>1395</v>
      </c>
      <c r="BL56" s="3">
        <f>IFERROR(__xludf.DUMMYFUNCTION("""COMPUTED_VALUE"""),1400.0)</f>
        <v>1400</v>
      </c>
      <c r="BM56" s="3">
        <f>IFERROR(__xludf.DUMMYFUNCTION("""COMPUTED_VALUE"""),1413.0)</f>
        <v>1413</v>
      </c>
      <c r="BN56" s="3">
        <f>IFERROR(__xludf.DUMMYFUNCTION("""COMPUTED_VALUE"""),1415.0)</f>
        <v>1415</v>
      </c>
      <c r="BO56" s="3">
        <f>IFERROR(__xludf.DUMMYFUNCTION("""COMPUTED_VALUE"""),1428.0)</f>
        <v>1428</v>
      </c>
      <c r="BP56" s="3">
        <f>IFERROR(__xludf.DUMMYFUNCTION("""COMPUTED_VALUE"""),1433.0)</f>
        <v>1433</v>
      </c>
      <c r="BQ56" s="3">
        <f>IFERROR(__xludf.DUMMYFUNCTION("""COMPUTED_VALUE"""),1448.0)</f>
        <v>1448</v>
      </c>
      <c r="BR56" s="3">
        <f>IFERROR(__xludf.DUMMYFUNCTION("""COMPUTED_VALUE"""),1456.0)</f>
        <v>1456</v>
      </c>
      <c r="BS56" s="3">
        <f>IFERROR(__xludf.DUMMYFUNCTION("""COMPUTED_VALUE"""),1467.0)</f>
        <v>1467</v>
      </c>
      <c r="BT56" s="3">
        <f>IFERROR(__xludf.DUMMYFUNCTION("""COMPUTED_VALUE"""),1475.0)</f>
        <v>1475</v>
      </c>
      <c r="BU56" s="3">
        <f>IFERROR(__xludf.DUMMYFUNCTION("""COMPUTED_VALUE"""),1484.0)</f>
        <v>1484</v>
      </c>
      <c r="BV56" s="3">
        <f>IFERROR(__xludf.DUMMYFUNCTION("""COMPUTED_VALUE"""),1494.0)</f>
        <v>1494</v>
      </c>
      <c r="BW56" s="3">
        <f>IFERROR(__xludf.DUMMYFUNCTION("""COMPUTED_VALUE"""),1501.0)</f>
        <v>1501</v>
      </c>
      <c r="BX56" s="3">
        <f>IFERROR(__xludf.DUMMYFUNCTION("""COMPUTED_VALUE"""),1507.0)</f>
        <v>1507</v>
      </c>
      <c r="BY56" s="3">
        <f>IFERROR(__xludf.DUMMYFUNCTION("""COMPUTED_VALUE"""),1514.0)</f>
        <v>1514</v>
      </c>
      <c r="BZ56" s="3">
        <f>IFERROR(__xludf.DUMMYFUNCTION("""COMPUTED_VALUE"""),1516.0)</f>
        <v>1516</v>
      </c>
      <c r="CA56" s="3">
        <f>IFERROR(__xludf.DUMMYFUNCTION("""COMPUTED_VALUE"""),1524.0)</f>
        <v>1524</v>
      </c>
      <c r="CB56" s="3">
        <f>IFERROR(__xludf.DUMMYFUNCTION("""COMPUTED_VALUE"""),1532.0)</f>
        <v>1532</v>
      </c>
    </row>
    <row r="57">
      <c r="A57" s="3" t="str">
        <f>IFERROR(__xludf.DUMMYFUNCTION("""COMPUTED_VALUE"""),"Guangxi")</f>
        <v>Guangxi</v>
      </c>
      <c r="B57" s="3" t="str">
        <f>IFERROR(__xludf.DUMMYFUNCTION("""COMPUTED_VALUE"""),"China")</f>
        <v>China</v>
      </c>
      <c r="C57" s="3">
        <f>IFERROR(__xludf.DUMMYFUNCTION("""COMPUTED_VALUE"""),23.8298)</f>
        <v>23.8298</v>
      </c>
      <c r="D57" s="3">
        <f>IFERROR(__xludf.DUMMYFUNCTION("""COMPUTED_VALUE"""),108.7881)</f>
        <v>108.7881</v>
      </c>
      <c r="E57" s="3">
        <f>IFERROR(__xludf.DUMMYFUNCTION("""COMPUTED_VALUE"""),2.0)</f>
        <v>2</v>
      </c>
      <c r="F57" s="3">
        <f>IFERROR(__xludf.DUMMYFUNCTION("""COMPUTED_VALUE"""),5.0)</f>
        <v>5</v>
      </c>
      <c r="G57" s="3">
        <f>IFERROR(__xludf.DUMMYFUNCTION("""COMPUTED_VALUE"""),23.0)</f>
        <v>23</v>
      </c>
      <c r="H57" s="3">
        <f>IFERROR(__xludf.DUMMYFUNCTION("""COMPUTED_VALUE"""),23.0)</f>
        <v>23</v>
      </c>
      <c r="I57" s="3">
        <f>IFERROR(__xludf.DUMMYFUNCTION("""COMPUTED_VALUE"""),36.0)</f>
        <v>36</v>
      </c>
      <c r="J57" s="3">
        <f>IFERROR(__xludf.DUMMYFUNCTION("""COMPUTED_VALUE"""),46.0)</f>
        <v>46</v>
      </c>
      <c r="K57" s="3">
        <f>IFERROR(__xludf.DUMMYFUNCTION("""COMPUTED_VALUE"""),51.0)</f>
        <v>51</v>
      </c>
      <c r="L57" s="3">
        <f>IFERROR(__xludf.DUMMYFUNCTION("""COMPUTED_VALUE"""),58.0)</f>
        <v>58</v>
      </c>
      <c r="M57" s="3">
        <f>IFERROR(__xludf.DUMMYFUNCTION("""COMPUTED_VALUE"""),78.0)</f>
        <v>78</v>
      </c>
      <c r="N57" s="3">
        <f>IFERROR(__xludf.DUMMYFUNCTION("""COMPUTED_VALUE"""),87.0)</f>
        <v>87</v>
      </c>
      <c r="O57" s="3">
        <f>IFERROR(__xludf.DUMMYFUNCTION("""COMPUTED_VALUE"""),100.0)</f>
        <v>100</v>
      </c>
      <c r="P57" s="3">
        <f>IFERROR(__xludf.DUMMYFUNCTION("""COMPUTED_VALUE"""),111.0)</f>
        <v>111</v>
      </c>
      <c r="Q57" s="3">
        <f>IFERROR(__xludf.DUMMYFUNCTION("""COMPUTED_VALUE"""),127.0)</f>
        <v>127</v>
      </c>
      <c r="R57" s="3">
        <f>IFERROR(__xludf.DUMMYFUNCTION("""COMPUTED_VALUE"""),139.0)</f>
        <v>139</v>
      </c>
      <c r="S57" s="3">
        <f>IFERROR(__xludf.DUMMYFUNCTION("""COMPUTED_VALUE"""),150.0)</f>
        <v>150</v>
      </c>
      <c r="T57" s="3">
        <f>IFERROR(__xludf.DUMMYFUNCTION("""COMPUTED_VALUE"""),168.0)</f>
        <v>168</v>
      </c>
      <c r="U57" s="3">
        <f>IFERROR(__xludf.DUMMYFUNCTION("""COMPUTED_VALUE"""),172.0)</f>
        <v>172</v>
      </c>
      <c r="V57" s="3">
        <f>IFERROR(__xludf.DUMMYFUNCTION("""COMPUTED_VALUE"""),183.0)</f>
        <v>183</v>
      </c>
      <c r="W57" s="3">
        <f>IFERROR(__xludf.DUMMYFUNCTION("""COMPUTED_VALUE"""),195.0)</f>
        <v>195</v>
      </c>
      <c r="X57" s="3">
        <f>IFERROR(__xludf.DUMMYFUNCTION("""COMPUTED_VALUE"""),210.0)</f>
        <v>210</v>
      </c>
      <c r="Y57" s="3">
        <f>IFERROR(__xludf.DUMMYFUNCTION("""COMPUTED_VALUE"""),215.0)</f>
        <v>215</v>
      </c>
      <c r="Z57" s="3">
        <f>IFERROR(__xludf.DUMMYFUNCTION("""COMPUTED_VALUE"""),222.0)</f>
        <v>222</v>
      </c>
      <c r="AA57" s="3">
        <f>IFERROR(__xludf.DUMMYFUNCTION("""COMPUTED_VALUE"""),222.0)</f>
        <v>222</v>
      </c>
      <c r="AB57" s="3">
        <f>IFERROR(__xludf.DUMMYFUNCTION("""COMPUTED_VALUE"""),226.0)</f>
        <v>226</v>
      </c>
      <c r="AC57" s="3">
        <f>IFERROR(__xludf.DUMMYFUNCTION("""COMPUTED_VALUE"""),235.0)</f>
        <v>235</v>
      </c>
      <c r="AD57" s="3">
        <f>IFERROR(__xludf.DUMMYFUNCTION("""COMPUTED_VALUE"""),237.0)</f>
        <v>237</v>
      </c>
      <c r="AE57" s="3">
        <f>IFERROR(__xludf.DUMMYFUNCTION("""COMPUTED_VALUE"""),238.0)</f>
        <v>238</v>
      </c>
      <c r="AF57" s="3">
        <f>IFERROR(__xludf.DUMMYFUNCTION("""COMPUTED_VALUE"""),242.0)</f>
        <v>242</v>
      </c>
      <c r="AG57" s="3">
        <f>IFERROR(__xludf.DUMMYFUNCTION("""COMPUTED_VALUE"""),244.0)</f>
        <v>244</v>
      </c>
      <c r="AH57" s="3">
        <f>IFERROR(__xludf.DUMMYFUNCTION("""COMPUTED_VALUE"""),245.0)</f>
        <v>245</v>
      </c>
      <c r="AI57" s="3">
        <f>IFERROR(__xludf.DUMMYFUNCTION("""COMPUTED_VALUE"""),246.0)</f>
        <v>246</v>
      </c>
      <c r="AJ57" s="3">
        <f>IFERROR(__xludf.DUMMYFUNCTION("""COMPUTED_VALUE"""),249.0)</f>
        <v>249</v>
      </c>
      <c r="AK57" s="3">
        <f>IFERROR(__xludf.DUMMYFUNCTION("""COMPUTED_VALUE"""),249.0)</f>
        <v>249</v>
      </c>
      <c r="AL57" s="3">
        <f>IFERROR(__xludf.DUMMYFUNCTION("""COMPUTED_VALUE"""),251.0)</f>
        <v>251</v>
      </c>
      <c r="AM57" s="3">
        <f>IFERROR(__xludf.DUMMYFUNCTION("""COMPUTED_VALUE"""),252.0)</f>
        <v>252</v>
      </c>
      <c r="AN57" s="3">
        <f>IFERROR(__xludf.DUMMYFUNCTION("""COMPUTED_VALUE"""),252.0)</f>
        <v>252</v>
      </c>
      <c r="AO57" s="3">
        <f>IFERROR(__xludf.DUMMYFUNCTION("""COMPUTED_VALUE"""),252.0)</f>
        <v>252</v>
      </c>
      <c r="AP57" s="3">
        <f>IFERROR(__xludf.DUMMYFUNCTION("""COMPUTED_VALUE"""),252.0)</f>
        <v>252</v>
      </c>
      <c r="AQ57" s="3">
        <f>IFERROR(__xludf.DUMMYFUNCTION("""COMPUTED_VALUE"""),252.0)</f>
        <v>252</v>
      </c>
      <c r="AR57" s="3">
        <f>IFERROR(__xludf.DUMMYFUNCTION("""COMPUTED_VALUE"""),252.0)</f>
        <v>252</v>
      </c>
      <c r="AS57" s="3">
        <f>IFERROR(__xludf.DUMMYFUNCTION("""COMPUTED_VALUE"""),252.0)</f>
        <v>252</v>
      </c>
      <c r="AT57" s="3">
        <f>IFERROR(__xludf.DUMMYFUNCTION("""COMPUTED_VALUE"""),252.0)</f>
        <v>252</v>
      </c>
      <c r="AU57" s="3">
        <f>IFERROR(__xludf.DUMMYFUNCTION("""COMPUTED_VALUE"""),252.0)</f>
        <v>252</v>
      </c>
      <c r="AV57" s="3">
        <f>IFERROR(__xludf.DUMMYFUNCTION("""COMPUTED_VALUE"""),252.0)</f>
        <v>252</v>
      </c>
      <c r="AW57" s="3">
        <f>IFERROR(__xludf.DUMMYFUNCTION("""COMPUTED_VALUE"""),252.0)</f>
        <v>252</v>
      </c>
      <c r="AX57" s="3">
        <f>IFERROR(__xludf.DUMMYFUNCTION("""COMPUTED_VALUE"""),252.0)</f>
        <v>252</v>
      </c>
      <c r="AY57" s="3">
        <f>IFERROR(__xludf.DUMMYFUNCTION("""COMPUTED_VALUE"""),252.0)</f>
        <v>252</v>
      </c>
      <c r="AZ57" s="3">
        <f>IFERROR(__xludf.DUMMYFUNCTION("""COMPUTED_VALUE"""),252.0)</f>
        <v>252</v>
      </c>
      <c r="BA57" s="3">
        <f>IFERROR(__xludf.DUMMYFUNCTION("""COMPUTED_VALUE"""),252.0)</f>
        <v>252</v>
      </c>
      <c r="BB57" s="3">
        <f>IFERROR(__xludf.DUMMYFUNCTION("""COMPUTED_VALUE"""),252.0)</f>
        <v>252</v>
      </c>
      <c r="BC57" s="3">
        <f>IFERROR(__xludf.DUMMYFUNCTION("""COMPUTED_VALUE"""),252.0)</f>
        <v>252</v>
      </c>
      <c r="BD57" s="3">
        <f>IFERROR(__xludf.DUMMYFUNCTION("""COMPUTED_VALUE"""),252.0)</f>
        <v>252</v>
      </c>
      <c r="BE57" s="3">
        <f>IFERROR(__xludf.DUMMYFUNCTION("""COMPUTED_VALUE"""),252.0)</f>
        <v>252</v>
      </c>
      <c r="BF57" s="3">
        <f>IFERROR(__xludf.DUMMYFUNCTION("""COMPUTED_VALUE"""),252.0)</f>
        <v>252</v>
      </c>
      <c r="BG57" s="3">
        <f>IFERROR(__xludf.DUMMYFUNCTION("""COMPUTED_VALUE"""),252.0)</f>
        <v>252</v>
      </c>
      <c r="BH57" s="3">
        <f>IFERROR(__xludf.DUMMYFUNCTION("""COMPUTED_VALUE"""),253.0)</f>
        <v>253</v>
      </c>
      <c r="BI57" s="3">
        <f>IFERROR(__xludf.DUMMYFUNCTION("""COMPUTED_VALUE"""),253.0)</f>
        <v>253</v>
      </c>
      <c r="BJ57" s="3">
        <f>IFERROR(__xludf.DUMMYFUNCTION("""COMPUTED_VALUE"""),253.0)</f>
        <v>253</v>
      </c>
      <c r="BK57" s="3">
        <f>IFERROR(__xludf.DUMMYFUNCTION("""COMPUTED_VALUE"""),254.0)</f>
        <v>254</v>
      </c>
      <c r="BL57" s="3">
        <f>IFERROR(__xludf.DUMMYFUNCTION("""COMPUTED_VALUE"""),254.0)</f>
        <v>254</v>
      </c>
      <c r="BM57" s="3">
        <f>IFERROR(__xludf.DUMMYFUNCTION("""COMPUTED_VALUE"""),254.0)</f>
        <v>254</v>
      </c>
      <c r="BN57" s="3">
        <f>IFERROR(__xludf.DUMMYFUNCTION("""COMPUTED_VALUE"""),254.0)</f>
        <v>254</v>
      </c>
      <c r="BO57" s="3">
        <f>IFERROR(__xludf.DUMMYFUNCTION("""COMPUTED_VALUE"""),254.0)</f>
        <v>254</v>
      </c>
      <c r="BP57" s="3">
        <f>IFERROR(__xludf.DUMMYFUNCTION("""COMPUTED_VALUE"""),254.0)</f>
        <v>254</v>
      </c>
      <c r="BQ57" s="3">
        <f>IFERROR(__xludf.DUMMYFUNCTION("""COMPUTED_VALUE"""),254.0)</f>
        <v>254</v>
      </c>
      <c r="BR57" s="3">
        <f>IFERROR(__xludf.DUMMYFUNCTION("""COMPUTED_VALUE"""),254.0)</f>
        <v>254</v>
      </c>
      <c r="BS57" s="3">
        <f>IFERROR(__xludf.DUMMYFUNCTION("""COMPUTED_VALUE"""),254.0)</f>
        <v>254</v>
      </c>
      <c r="BT57" s="3">
        <f>IFERROR(__xludf.DUMMYFUNCTION("""COMPUTED_VALUE"""),254.0)</f>
        <v>254</v>
      </c>
      <c r="BU57" s="3">
        <f>IFERROR(__xludf.DUMMYFUNCTION("""COMPUTED_VALUE"""),254.0)</f>
        <v>254</v>
      </c>
      <c r="BV57" s="3">
        <f>IFERROR(__xludf.DUMMYFUNCTION("""COMPUTED_VALUE"""),254.0)</f>
        <v>254</v>
      </c>
      <c r="BW57" s="3">
        <f>IFERROR(__xludf.DUMMYFUNCTION("""COMPUTED_VALUE"""),254.0)</f>
        <v>254</v>
      </c>
      <c r="BX57" s="3">
        <f>IFERROR(__xludf.DUMMYFUNCTION("""COMPUTED_VALUE"""),254.0)</f>
        <v>254</v>
      </c>
      <c r="BY57" s="3">
        <f>IFERROR(__xludf.DUMMYFUNCTION("""COMPUTED_VALUE"""),254.0)</f>
        <v>254</v>
      </c>
      <c r="BZ57" s="3">
        <f>IFERROR(__xludf.DUMMYFUNCTION("""COMPUTED_VALUE"""),254.0)</f>
        <v>254</v>
      </c>
      <c r="CA57" s="3">
        <f>IFERROR(__xludf.DUMMYFUNCTION("""COMPUTED_VALUE"""),254.0)</f>
        <v>254</v>
      </c>
      <c r="CB57" s="3">
        <f>IFERROR(__xludf.DUMMYFUNCTION("""COMPUTED_VALUE"""),254.0)</f>
        <v>254</v>
      </c>
    </row>
    <row r="58">
      <c r="A58" s="3" t="str">
        <f>IFERROR(__xludf.DUMMYFUNCTION("""COMPUTED_VALUE"""),"Guizhou")</f>
        <v>Guizhou</v>
      </c>
      <c r="B58" s="3" t="str">
        <f>IFERROR(__xludf.DUMMYFUNCTION("""COMPUTED_VALUE"""),"China")</f>
        <v>China</v>
      </c>
      <c r="C58" s="3">
        <f>IFERROR(__xludf.DUMMYFUNCTION("""COMPUTED_VALUE"""),26.8154)</f>
        <v>26.8154</v>
      </c>
      <c r="D58" s="3">
        <f>IFERROR(__xludf.DUMMYFUNCTION("""COMPUTED_VALUE"""),106.8748)</f>
        <v>106.8748</v>
      </c>
      <c r="E58" s="3">
        <f>IFERROR(__xludf.DUMMYFUNCTION("""COMPUTED_VALUE"""),1.0)</f>
        <v>1</v>
      </c>
      <c r="F58" s="3">
        <f>IFERROR(__xludf.DUMMYFUNCTION("""COMPUTED_VALUE"""),3.0)</f>
        <v>3</v>
      </c>
      <c r="G58" s="3">
        <f>IFERROR(__xludf.DUMMYFUNCTION("""COMPUTED_VALUE"""),3.0)</f>
        <v>3</v>
      </c>
      <c r="H58" s="3">
        <f>IFERROR(__xludf.DUMMYFUNCTION("""COMPUTED_VALUE"""),4.0)</f>
        <v>4</v>
      </c>
      <c r="I58" s="3">
        <f>IFERROR(__xludf.DUMMYFUNCTION("""COMPUTED_VALUE"""),5.0)</f>
        <v>5</v>
      </c>
      <c r="J58" s="3">
        <f>IFERROR(__xludf.DUMMYFUNCTION("""COMPUTED_VALUE"""),7.0)</f>
        <v>7</v>
      </c>
      <c r="K58" s="3">
        <f>IFERROR(__xludf.DUMMYFUNCTION("""COMPUTED_VALUE"""),9.0)</f>
        <v>9</v>
      </c>
      <c r="L58" s="3">
        <f>IFERROR(__xludf.DUMMYFUNCTION("""COMPUTED_VALUE"""),9.0)</f>
        <v>9</v>
      </c>
      <c r="M58" s="3">
        <f>IFERROR(__xludf.DUMMYFUNCTION("""COMPUTED_VALUE"""),12.0)</f>
        <v>12</v>
      </c>
      <c r="N58" s="3">
        <f>IFERROR(__xludf.DUMMYFUNCTION("""COMPUTED_VALUE"""),29.0)</f>
        <v>29</v>
      </c>
      <c r="O58" s="3">
        <f>IFERROR(__xludf.DUMMYFUNCTION("""COMPUTED_VALUE"""),29.0)</f>
        <v>29</v>
      </c>
      <c r="P58" s="3">
        <f>IFERROR(__xludf.DUMMYFUNCTION("""COMPUTED_VALUE"""),38.0)</f>
        <v>38</v>
      </c>
      <c r="Q58" s="3">
        <f>IFERROR(__xludf.DUMMYFUNCTION("""COMPUTED_VALUE"""),46.0)</f>
        <v>46</v>
      </c>
      <c r="R58" s="3">
        <f>IFERROR(__xludf.DUMMYFUNCTION("""COMPUTED_VALUE"""),58.0)</f>
        <v>58</v>
      </c>
      <c r="S58" s="3">
        <f>IFERROR(__xludf.DUMMYFUNCTION("""COMPUTED_VALUE"""),64.0)</f>
        <v>64</v>
      </c>
      <c r="T58" s="3">
        <f>IFERROR(__xludf.DUMMYFUNCTION("""COMPUTED_VALUE"""),71.0)</f>
        <v>71</v>
      </c>
      <c r="U58" s="3">
        <f>IFERROR(__xludf.DUMMYFUNCTION("""COMPUTED_VALUE"""),81.0)</f>
        <v>81</v>
      </c>
      <c r="V58" s="3">
        <f>IFERROR(__xludf.DUMMYFUNCTION("""COMPUTED_VALUE"""),89.0)</f>
        <v>89</v>
      </c>
      <c r="W58" s="3">
        <f>IFERROR(__xludf.DUMMYFUNCTION("""COMPUTED_VALUE"""),99.0)</f>
        <v>99</v>
      </c>
      <c r="X58" s="3">
        <f>IFERROR(__xludf.DUMMYFUNCTION("""COMPUTED_VALUE"""),109.0)</f>
        <v>109</v>
      </c>
      <c r="Y58" s="3">
        <f>IFERROR(__xludf.DUMMYFUNCTION("""COMPUTED_VALUE"""),127.0)</f>
        <v>127</v>
      </c>
      <c r="Z58" s="3">
        <f>IFERROR(__xludf.DUMMYFUNCTION("""COMPUTED_VALUE"""),133.0)</f>
        <v>133</v>
      </c>
      <c r="AA58" s="3">
        <f>IFERROR(__xludf.DUMMYFUNCTION("""COMPUTED_VALUE"""),135.0)</f>
        <v>135</v>
      </c>
      <c r="AB58" s="3">
        <f>IFERROR(__xludf.DUMMYFUNCTION("""COMPUTED_VALUE"""),140.0)</f>
        <v>140</v>
      </c>
      <c r="AC58" s="3">
        <f>IFERROR(__xludf.DUMMYFUNCTION("""COMPUTED_VALUE"""),143.0)</f>
        <v>143</v>
      </c>
      <c r="AD58" s="3">
        <f>IFERROR(__xludf.DUMMYFUNCTION("""COMPUTED_VALUE"""),144.0)</f>
        <v>144</v>
      </c>
      <c r="AE58" s="3">
        <f>IFERROR(__xludf.DUMMYFUNCTION("""COMPUTED_VALUE"""),146.0)</f>
        <v>146</v>
      </c>
      <c r="AF58" s="3">
        <f>IFERROR(__xludf.DUMMYFUNCTION("""COMPUTED_VALUE"""),146.0)</f>
        <v>146</v>
      </c>
      <c r="AG58" s="3">
        <f>IFERROR(__xludf.DUMMYFUNCTION("""COMPUTED_VALUE"""),146.0)</f>
        <v>146</v>
      </c>
      <c r="AH58" s="3">
        <f>IFERROR(__xludf.DUMMYFUNCTION("""COMPUTED_VALUE"""),146.0)</f>
        <v>146</v>
      </c>
      <c r="AI58" s="3">
        <f>IFERROR(__xludf.DUMMYFUNCTION("""COMPUTED_VALUE"""),146.0)</f>
        <v>146</v>
      </c>
      <c r="AJ58" s="3">
        <f>IFERROR(__xludf.DUMMYFUNCTION("""COMPUTED_VALUE"""),146.0)</f>
        <v>146</v>
      </c>
      <c r="AK58" s="3">
        <f>IFERROR(__xludf.DUMMYFUNCTION("""COMPUTED_VALUE"""),146.0)</f>
        <v>146</v>
      </c>
      <c r="AL58" s="3">
        <f>IFERROR(__xludf.DUMMYFUNCTION("""COMPUTED_VALUE"""),146.0)</f>
        <v>146</v>
      </c>
      <c r="AM58" s="3">
        <f>IFERROR(__xludf.DUMMYFUNCTION("""COMPUTED_VALUE"""),146.0)</f>
        <v>146</v>
      </c>
      <c r="AN58" s="3">
        <f>IFERROR(__xludf.DUMMYFUNCTION("""COMPUTED_VALUE"""),146.0)</f>
        <v>146</v>
      </c>
      <c r="AO58" s="3">
        <f>IFERROR(__xludf.DUMMYFUNCTION("""COMPUTED_VALUE"""),146.0)</f>
        <v>146</v>
      </c>
      <c r="AP58" s="3">
        <f>IFERROR(__xludf.DUMMYFUNCTION("""COMPUTED_VALUE"""),146.0)</f>
        <v>146</v>
      </c>
      <c r="AQ58" s="3">
        <f>IFERROR(__xludf.DUMMYFUNCTION("""COMPUTED_VALUE"""),146.0)</f>
        <v>146</v>
      </c>
      <c r="AR58" s="3">
        <f>IFERROR(__xludf.DUMMYFUNCTION("""COMPUTED_VALUE"""),146.0)</f>
        <v>146</v>
      </c>
      <c r="AS58" s="3">
        <f>IFERROR(__xludf.DUMMYFUNCTION("""COMPUTED_VALUE"""),146.0)</f>
        <v>146</v>
      </c>
      <c r="AT58" s="3">
        <f>IFERROR(__xludf.DUMMYFUNCTION("""COMPUTED_VALUE"""),146.0)</f>
        <v>146</v>
      </c>
      <c r="AU58" s="3">
        <f>IFERROR(__xludf.DUMMYFUNCTION("""COMPUTED_VALUE"""),146.0)</f>
        <v>146</v>
      </c>
      <c r="AV58" s="3">
        <f>IFERROR(__xludf.DUMMYFUNCTION("""COMPUTED_VALUE"""),146.0)</f>
        <v>146</v>
      </c>
      <c r="AW58" s="3">
        <f>IFERROR(__xludf.DUMMYFUNCTION("""COMPUTED_VALUE"""),146.0)</f>
        <v>146</v>
      </c>
      <c r="AX58" s="3">
        <f>IFERROR(__xludf.DUMMYFUNCTION("""COMPUTED_VALUE"""),146.0)</f>
        <v>146</v>
      </c>
      <c r="AY58" s="3">
        <f>IFERROR(__xludf.DUMMYFUNCTION("""COMPUTED_VALUE"""),146.0)</f>
        <v>146</v>
      </c>
      <c r="AZ58" s="3">
        <f>IFERROR(__xludf.DUMMYFUNCTION("""COMPUTED_VALUE"""),146.0)</f>
        <v>146</v>
      </c>
      <c r="BA58" s="3">
        <f>IFERROR(__xludf.DUMMYFUNCTION("""COMPUTED_VALUE"""),146.0)</f>
        <v>146</v>
      </c>
      <c r="BB58" s="3">
        <f>IFERROR(__xludf.DUMMYFUNCTION("""COMPUTED_VALUE"""),146.0)</f>
        <v>146</v>
      </c>
      <c r="BC58" s="3">
        <f>IFERROR(__xludf.DUMMYFUNCTION("""COMPUTED_VALUE"""),146.0)</f>
        <v>146</v>
      </c>
      <c r="BD58" s="3">
        <f>IFERROR(__xludf.DUMMYFUNCTION("""COMPUTED_VALUE"""),146.0)</f>
        <v>146</v>
      </c>
      <c r="BE58" s="3">
        <f>IFERROR(__xludf.DUMMYFUNCTION("""COMPUTED_VALUE"""),146.0)</f>
        <v>146</v>
      </c>
      <c r="BF58" s="3">
        <f>IFERROR(__xludf.DUMMYFUNCTION("""COMPUTED_VALUE"""),146.0)</f>
        <v>146</v>
      </c>
      <c r="BG58" s="3">
        <f>IFERROR(__xludf.DUMMYFUNCTION("""COMPUTED_VALUE"""),146.0)</f>
        <v>146</v>
      </c>
      <c r="BH58" s="3">
        <f>IFERROR(__xludf.DUMMYFUNCTION("""COMPUTED_VALUE"""),147.0)</f>
        <v>147</v>
      </c>
      <c r="BI58" s="3">
        <f>IFERROR(__xludf.DUMMYFUNCTION("""COMPUTED_VALUE"""),146.0)</f>
        <v>146</v>
      </c>
      <c r="BJ58" s="3">
        <f>IFERROR(__xludf.DUMMYFUNCTION("""COMPUTED_VALUE"""),146.0)</f>
        <v>146</v>
      </c>
      <c r="BK58" s="3">
        <f>IFERROR(__xludf.DUMMYFUNCTION("""COMPUTED_VALUE"""),146.0)</f>
        <v>146</v>
      </c>
      <c r="BL58" s="3">
        <f>IFERROR(__xludf.DUMMYFUNCTION("""COMPUTED_VALUE"""),146.0)</f>
        <v>146</v>
      </c>
      <c r="BM58" s="3">
        <f>IFERROR(__xludf.DUMMYFUNCTION("""COMPUTED_VALUE"""),146.0)</f>
        <v>146</v>
      </c>
      <c r="BN58" s="3">
        <f>IFERROR(__xludf.DUMMYFUNCTION("""COMPUTED_VALUE"""),146.0)</f>
        <v>146</v>
      </c>
      <c r="BO58" s="3">
        <f>IFERROR(__xludf.DUMMYFUNCTION("""COMPUTED_VALUE"""),146.0)</f>
        <v>146</v>
      </c>
      <c r="BP58" s="3">
        <f>IFERROR(__xludf.DUMMYFUNCTION("""COMPUTED_VALUE"""),146.0)</f>
        <v>146</v>
      </c>
      <c r="BQ58" s="3">
        <f>IFERROR(__xludf.DUMMYFUNCTION("""COMPUTED_VALUE"""),146.0)</f>
        <v>146</v>
      </c>
      <c r="BR58" s="3">
        <f>IFERROR(__xludf.DUMMYFUNCTION("""COMPUTED_VALUE"""),146.0)</f>
        <v>146</v>
      </c>
      <c r="BS58" s="3">
        <f>IFERROR(__xludf.DUMMYFUNCTION("""COMPUTED_VALUE"""),146.0)</f>
        <v>146</v>
      </c>
      <c r="BT58" s="3">
        <f>IFERROR(__xludf.DUMMYFUNCTION("""COMPUTED_VALUE"""),146.0)</f>
        <v>146</v>
      </c>
      <c r="BU58" s="3">
        <f>IFERROR(__xludf.DUMMYFUNCTION("""COMPUTED_VALUE"""),146.0)</f>
        <v>146</v>
      </c>
      <c r="BV58" s="3">
        <f>IFERROR(__xludf.DUMMYFUNCTION("""COMPUTED_VALUE"""),146.0)</f>
        <v>146</v>
      </c>
      <c r="BW58" s="3">
        <f>IFERROR(__xludf.DUMMYFUNCTION("""COMPUTED_VALUE"""),146.0)</f>
        <v>146</v>
      </c>
      <c r="BX58" s="3">
        <f>IFERROR(__xludf.DUMMYFUNCTION("""COMPUTED_VALUE"""),146.0)</f>
        <v>146</v>
      </c>
      <c r="BY58" s="3">
        <f>IFERROR(__xludf.DUMMYFUNCTION("""COMPUTED_VALUE"""),146.0)</f>
        <v>146</v>
      </c>
      <c r="BZ58" s="3">
        <f>IFERROR(__xludf.DUMMYFUNCTION("""COMPUTED_VALUE"""),146.0)</f>
        <v>146</v>
      </c>
      <c r="CA58" s="3">
        <f>IFERROR(__xludf.DUMMYFUNCTION("""COMPUTED_VALUE"""),146.0)</f>
        <v>146</v>
      </c>
      <c r="CB58" s="3">
        <f>IFERROR(__xludf.DUMMYFUNCTION("""COMPUTED_VALUE"""),146.0)</f>
        <v>146</v>
      </c>
    </row>
    <row r="59">
      <c r="A59" s="3" t="str">
        <f>IFERROR(__xludf.DUMMYFUNCTION("""COMPUTED_VALUE"""),"Hainan")</f>
        <v>Hainan</v>
      </c>
      <c r="B59" s="3" t="str">
        <f>IFERROR(__xludf.DUMMYFUNCTION("""COMPUTED_VALUE"""),"China")</f>
        <v>China</v>
      </c>
      <c r="C59" s="3">
        <f>IFERROR(__xludf.DUMMYFUNCTION("""COMPUTED_VALUE"""),19.1959)</f>
        <v>19.1959</v>
      </c>
      <c r="D59" s="3">
        <f>IFERROR(__xludf.DUMMYFUNCTION("""COMPUTED_VALUE"""),109.7453)</f>
        <v>109.7453</v>
      </c>
      <c r="E59" s="3">
        <f>IFERROR(__xludf.DUMMYFUNCTION("""COMPUTED_VALUE"""),4.0)</f>
        <v>4</v>
      </c>
      <c r="F59" s="3">
        <f>IFERROR(__xludf.DUMMYFUNCTION("""COMPUTED_VALUE"""),5.0)</f>
        <v>5</v>
      </c>
      <c r="G59" s="3">
        <f>IFERROR(__xludf.DUMMYFUNCTION("""COMPUTED_VALUE"""),8.0)</f>
        <v>8</v>
      </c>
      <c r="H59" s="3">
        <f>IFERROR(__xludf.DUMMYFUNCTION("""COMPUTED_VALUE"""),19.0)</f>
        <v>19</v>
      </c>
      <c r="I59" s="3">
        <f>IFERROR(__xludf.DUMMYFUNCTION("""COMPUTED_VALUE"""),22.0)</f>
        <v>22</v>
      </c>
      <c r="J59" s="3">
        <f>IFERROR(__xludf.DUMMYFUNCTION("""COMPUTED_VALUE"""),33.0)</f>
        <v>33</v>
      </c>
      <c r="K59" s="3">
        <f>IFERROR(__xludf.DUMMYFUNCTION("""COMPUTED_VALUE"""),40.0)</f>
        <v>40</v>
      </c>
      <c r="L59" s="3">
        <f>IFERROR(__xludf.DUMMYFUNCTION("""COMPUTED_VALUE"""),43.0)</f>
        <v>43</v>
      </c>
      <c r="M59" s="3">
        <f>IFERROR(__xludf.DUMMYFUNCTION("""COMPUTED_VALUE"""),46.0)</f>
        <v>46</v>
      </c>
      <c r="N59" s="3">
        <f>IFERROR(__xludf.DUMMYFUNCTION("""COMPUTED_VALUE"""),52.0)</f>
        <v>52</v>
      </c>
      <c r="O59" s="3">
        <f>IFERROR(__xludf.DUMMYFUNCTION("""COMPUTED_VALUE"""),62.0)</f>
        <v>62</v>
      </c>
      <c r="P59" s="3">
        <f>IFERROR(__xludf.DUMMYFUNCTION("""COMPUTED_VALUE"""),64.0)</f>
        <v>64</v>
      </c>
      <c r="Q59" s="3">
        <f>IFERROR(__xludf.DUMMYFUNCTION("""COMPUTED_VALUE"""),72.0)</f>
        <v>72</v>
      </c>
      <c r="R59" s="3">
        <f>IFERROR(__xludf.DUMMYFUNCTION("""COMPUTED_VALUE"""),80.0)</f>
        <v>80</v>
      </c>
      <c r="S59" s="3">
        <f>IFERROR(__xludf.DUMMYFUNCTION("""COMPUTED_VALUE"""),99.0)</f>
        <v>99</v>
      </c>
      <c r="T59" s="3">
        <f>IFERROR(__xludf.DUMMYFUNCTION("""COMPUTED_VALUE"""),106.0)</f>
        <v>106</v>
      </c>
      <c r="U59" s="3">
        <f>IFERROR(__xludf.DUMMYFUNCTION("""COMPUTED_VALUE"""),117.0)</f>
        <v>117</v>
      </c>
      <c r="V59" s="3">
        <f>IFERROR(__xludf.DUMMYFUNCTION("""COMPUTED_VALUE"""),124.0)</f>
        <v>124</v>
      </c>
      <c r="W59" s="3">
        <f>IFERROR(__xludf.DUMMYFUNCTION("""COMPUTED_VALUE"""),131.0)</f>
        <v>131</v>
      </c>
      <c r="X59" s="3">
        <f>IFERROR(__xludf.DUMMYFUNCTION("""COMPUTED_VALUE"""),138.0)</f>
        <v>138</v>
      </c>
      <c r="Y59" s="3">
        <f>IFERROR(__xludf.DUMMYFUNCTION("""COMPUTED_VALUE"""),144.0)</f>
        <v>144</v>
      </c>
      <c r="Z59" s="3">
        <f>IFERROR(__xludf.DUMMYFUNCTION("""COMPUTED_VALUE"""),157.0)</f>
        <v>157</v>
      </c>
      <c r="AA59" s="3">
        <f>IFERROR(__xludf.DUMMYFUNCTION("""COMPUTED_VALUE"""),157.0)</f>
        <v>157</v>
      </c>
      <c r="AB59" s="3">
        <f>IFERROR(__xludf.DUMMYFUNCTION("""COMPUTED_VALUE"""),159.0)</f>
        <v>159</v>
      </c>
      <c r="AC59" s="3">
        <f>IFERROR(__xludf.DUMMYFUNCTION("""COMPUTED_VALUE"""),162.0)</f>
        <v>162</v>
      </c>
      <c r="AD59" s="3">
        <f>IFERROR(__xludf.DUMMYFUNCTION("""COMPUTED_VALUE"""),162.0)</f>
        <v>162</v>
      </c>
      <c r="AE59" s="3">
        <f>IFERROR(__xludf.DUMMYFUNCTION("""COMPUTED_VALUE"""),163.0)</f>
        <v>163</v>
      </c>
      <c r="AF59" s="3">
        <f>IFERROR(__xludf.DUMMYFUNCTION("""COMPUTED_VALUE"""),163.0)</f>
        <v>163</v>
      </c>
      <c r="AG59" s="3">
        <f>IFERROR(__xludf.DUMMYFUNCTION("""COMPUTED_VALUE"""),168.0)</f>
        <v>168</v>
      </c>
      <c r="AH59" s="3">
        <f>IFERROR(__xludf.DUMMYFUNCTION("""COMPUTED_VALUE"""),168.0)</f>
        <v>168</v>
      </c>
      <c r="AI59" s="3">
        <f>IFERROR(__xludf.DUMMYFUNCTION("""COMPUTED_VALUE"""),168.0)</f>
        <v>168</v>
      </c>
      <c r="AJ59" s="3">
        <f>IFERROR(__xludf.DUMMYFUNCTION("""COMPUTED_VALUE"""),168.0)</f>
        <v>168</v>
      </c>
      <c r="AK59" s="3">
        <f>IFERROR(__xludf.DUMMYFUNCTION("""COMPUTED_VALUE"""),168.0)</f>
        <v>168</v>
      </c>
      <c r="AL59" s="3">
        <f>IFERROR(__xludf.DUMMYFUNCTION("""COMPUTED_VALUE"""),168.0)</f>
        <v>168</v>
      </c>
      <c r="AM59" s="3">
        <f>IFERROR(__xludf.DUMMYFUNCTION("""COMPUTED_VALUE"""),168.0)</f>
        <v>168</v>
      </c>
      <c r="AN59" s="3">
        <f>IFERROR(__xludf.DUMMYFUNCTION("""COMPUTED_VALUE"""),168.0)</f>
        <v>168</v>
      </c>
      <c r="AO59" s="3">
        <f>IFERROR(__xludf.DUMMYFUNCTION("""COMPUTED_VALUE"""),168.0)</f>
        <v>168</v>
      </c>
      <c r="AP59" s="3">
        <f>IFERROR(__xludf.DUMMYFUNCTION("""COMPUTED_VALUE"""),168.0)</f>
        <v>168</v>
      </c>
      <c r="AQ59" s="3">
        <f>IFERROR(__xludf.DUMMYFUNCTION("""COMPUTED_VALUE"""),168.0)</f>
        <v>168</v>
      </c>
      <c r="AR59" s="3">
        <f>IFERROR(__xludf.DUMMYFUNCTION("""COMPUTED_VALUE"""),168.0)</f>
        <v>168</v>
      </c>
      <c r="AS59" s="3">
        <f>IFERROR(__xludf.DUMMYFUNCTION("""COMPUTED_VALUE"""),168.0)</f>
        <v>168</v>
      </c>
      <c r="AT59" s="3">
        <f>IFERROR(__xludf.DUMMYFUNCTION("""COMPUTED_VALUE"""),168.0)</f>
        <v>168</v>
      </c>
      <c r="AU59" s="3">
        <f>IFERROR(__xludf.DUMMYFUNCTION("""COMPUTED_VALUE"""),168.0)</f>
        <v>168</v>
      </c>
      <c r="AV59" s="3">
        <f>IFERROR(__xludf.DUMMYFUNCTION("""COMPUTED_VALUE"""),168.0)</f>
        <v>168</v>
      </c>
      <c r="AW59" s="3">
        <f>IFERROR(__xludf.DUMMYFUNCTION("""COMPUTED_VALUE"""),168.0)</f>
        <v>168</v>
      </c>
      <c r="AX59" s="3">
        <f>IFERROR(__xludf.DUMMYFUNCTION("""COMPUTED_VALUE"""),168.0)</f>
        <v>168</v>
      </c>
      <c r="AY59" s="3">
        <f>IFERROR(__xludf.DUMMYFUNCTION("""COMPUTED_VALUE"""),168.0)</f>
        <v>168</v>
      </c>
      <c r="AZ59" s="3">
        <f>IFERROR(__xludf.DUMMYFUNCTION("""COMPUTED_VALUE"""),168.0)</f>
        <v>168</v>
      </c>
      <c r="BA59" s="3">
        <f>IFERROR(__xludf.DUMMYFUNCTION("""COMPUTED_VALUE"""),168.0)</f>
        <v>168</v>
      </c>
      <c r="BB59" s="3">
        <f>IFERROR(__xludf.DUMMYFUNCTION("""COMPUTED_VALUE"""),168.0)</f>
        <v>168</v>
      </c>
      <c r="BC59" s="3">
        <f>IFERROR(__xludf.DUMMYFUNCTION("""COMPUTED_VALUE"""),168.0)</f>
        <v>168</v>
      </c>
      <c r="BD59" s="3">
        <f>IFERROR(__xludf.DUMMYFUNCTION("""COMPUTED_VALUE"""),168.0)</f>
        <v>168</v>
      </c>
      <c r="BE59" s="3">
        <f>IFERROR(__xludf.DUMMYFUNCTION("""COMPUTED_VALUE"""),168.0)</f>
        <v>168</v>
      </c>
      <c r="BF59" s="3">
        <f>IFERROR(__xludf.DUMMYFUNCTION("""COMPUTED_VALUE"""),168.0)</f>
        <v>168</v>
      </c>
      <c r="BG59" s="3">
        <f>IFERROR(__xludf.DUMMYFUNCTION("""COMPUTED_VALUE"""),168.0)</f>
        <v>168</v>
      </c>
      <c r="BH59" s="3">
        <f>IFERROR(__xludf.DUMMYFUNCTION("""COMPUTED_VALUE"""),168.0)</f>
        <v>168</v>
      </c>
      <c r="BI59" s="3">
        <f>IFERROR(__xludf.DUMMYFUNCTION("""COMPUTED_VALUE"""),168.0)</f>
        <v>168</v>
      </c>
      <c r="BJ59" s="3">
        <f>IFERROR(__xludf.DUMMYFUNCTION("""COMPUTED_VALUE"""),168.0)</f>
        <v>168</v>
      </c>
      <c r="BK59" s="3">
        <f>IFERROR(__xludf.DUMMYFUNCTION("""COMPUTED_VALUE"""),168.0)</f>
        <v>168</v>
      </c>
      <c r="BL59" s="3">
        <f>IFERROR(__xludf.DUMMYFUNCTION("""COMPUTED_VALUE"""),168.0)</f>
        <v>168</v>
      </c>
      <c r="BM59" s="3">
        <f>IFERROR(__xludf.DUMMYFUNCTION("""COMPUTED_VALUE"""),168.0)</f>
        <v>168</v>
      </c>
      <c r="BN59" s="3">
        <f>IFERROR(__xludf.DUMMYFUNCTION("""COMPUTED_VALUE"""),168.0)</f>
        <v>168</v>
      </c>
      <c r="BO59" s="3">
        <f>IFERROR(__xludf.DUMMYFUNCTION("""COMPUTED_VALUE"""),168.0)</f>
        <v>168</v>
      </c>
      <c r="BP59" s="3">
        <f>IFERROR(__xludf.DUMMYFUNCTION("""COMPUTED_VALUE"""),168.0)</f>
        <v>168</v>
      </c>
      <c r="BQ59" s="3">
        <f>IFERROR(__xludf.DUMMYFUNCTION("""COMPUTED_VALUE"""),168.0)</f>
        <v>168</v>
      </c>
      <c r="BR59" s="3">
        <f>IFERROR(__xludf.DUMMYFUNCTION("""COMPUTED_VALUE"""),168.0)</f>
        <v>168</v>
      </c>
      <c r="BS59" s="3">
        <f>IFERROR(__xludf.DUMMYFUNCTION("""COMPUTED_VALUE"""),168.0)</f>
        <v>168</v>
      </c>
      <c r="BT59" s="3">
        <f>IFERROR(__xludf.DUMMYFUNCTION("""COMPUTED_VALUE"""),168.0)</f>
        <v>168</v>
      </c>
      <c r="BU59" s="3">
        <f>IFERROR(__xludf.DUMMYFUNCTION("""COMPUTED_VALUE"""),168.0)</f>
        <v>168</v>
      </c>
      <c r="BV59" s="3">
        <f>IFERROR(__xludf.DUMMYFUNCTION("""COMPUTED_VALUE"""),168.0)</f>
        <v>168</v>
      </c>
      <c r="BW59" s="3">
        <f>IFERROR(__xludf.DUMMYFUNCTION("""COMPUTED_VALUE"""),168.0)</f>
        <v>168</v>
      </c>
      <c r="BX59" s="3">
        <f>IFERROR(__xludf.DUMMYFUNCTION("""COMPUTED_VALUE"""),168.0)</f>
        <v>168</v>
      </c>
      <c r="BY59" s="3">
        <f>IFERROR(__xludf.DUMMYFUNCTION("""COMPUTED_VALUE"""),168.0)</f>
        <v>168</v>
      </c>
      <c r="BZ59" s="3">
        <f>IFERROR(__xludf.DUMMYFUNCTION("""COMPUTED_VALUE"""),168.0)</f>
        <v>168</v>
      </c>
      <c r="CA59" s="3">
        <f>IFERROR(__xludf.DUMMYFUNCTION("""COMPUTED_VALUE"""),168.0)</f>
        <v>168</v>
      </c>
      <c r="CB59" s="3">
        <f>IFERROR(__xludf.DUMMYFUNCTION("""COMPUTED_VALUE"""),168.0)</f>
        <v>168</v>
      </c>
    </row>
    <row r="60">
      <c r="A60" s="3" t="str">
        <f>IFERROR(__xludf.DUMMYFUNCTION("""COMPUTED_VALUE"""),"Hebei")</f>
        <v>Hebei</v>
      </c>
      <c r="B60" s="3" t="str">
        <f>IFERROR(__xludf.DUMMYFUNCTION("""COMPUTED_VALUE"""),"China")</f>
        <v>China</v>
      </c>
      <c r="C60" s="3">
        <f>IFERROR(__xludf.DUMMYFUNCTION("""COMPUTED_VALUE"""),39.549)</f>
        <v>39.549</v>
      </c>
      <c r="D60" s="3">
        <f>IFERROR(__xludf.DUMMYFUNCTION("""COMPUTED_VALUE"""),116.1306)</f>
        <v>116.1306</v>
      </c>
      <c r="E60" s="3">
        <f>IFERROR(__xludf.DUMMYFUNCTION("""COMPUTED_VALUE"""),1.0)</f>
        <v>1</v>
      </c>
      <c r="F60" s="3">
        <f>IFERROR(__xludf.DUMMYFUNCTION("""COMPUTED_VALUE"""),1.0)</f>
        <v>1</v>
      </c>
      <c r="G60" s="3">
        <f>IFERROR(__xludf.DUMMYFUNCTION("""COMPUTED_VALUE"""),2.0)</f>
        <v>2</v>
      </c>
      <c r="H60" s="3">
        <f>IFERROR(__xludf.DUMMYFUNCTION("""COMPUTED_VALUE"""),8.0)</f>
        <v>8</v>
      </c>
      <c r="I60" s="3">
        <f>IFERROR(__xludf.DUMMYFUNCTION("""COMPUTED_VALUE"""),13.0)</f>
        <v>13</v>
      </c>
      <c r="J60" s="3">
        <f>IFERROR(__xludf.DUMMYFUNCTION("""COMPUTED_VALUE"""),18.0)</f>
        <v>18</v>
      </c>
      <c r="K60" s="3">
        <f>IFERROR(__xludf.DUMMYFUNCTION("""COMPUTED_VALUE"""),33.0)</f>
        <v>33</v>
      </c>
      <c r="L60" s="3">
        <f>IFERROR(__xludf.DUMMYFUNCTION("""COMPUTED_VALUE"""),48.0)</f>
        <v>48</v>
      </c>
      <c r="M60" s="3">
        <f>IFERROR(__xludf.DUMMYFUNCTION("""COMPUTED_VALUE"""),65.0)</f>
        <v>65</v>
      </c>
      <c r="N60" s="3">
        <f>IFERROR(__xludf.DUMMYFUNCTION("""COMPUTED_VALUE"""),82.0)</f>
        <v>82</v>
      </c>
      <c r="O60" s="3">
        <f>IFERROR(__xludf.DUMMYFUNCTION("""COMPUTED_VALUE"""),96.0)</f>
        <v>96</v>
      </c>
      <c r="P60" s="3">
        <f>IFERROR(__xludf.DUMMYFUNCTION("""COMPUTED_VALUE"""),104.0)</f>
        <v>104</v>
      </c>
      <c r="Q60" s="3">
        <f>IFERROR(__xludf.DUMMYFUNCTION("""COMPUTED_VALUE"""),113.0)</f>
        <v>113</v>
      </c>
      <c r="R60" s="3">
        <f>IFERROR(__xludf.DUMMYFUNCTION("""COMPUTED_VALUE"""),126.0)</f>
        <v>126</v>
      </c>
      <c r="S60" s="3">
        <f>IFERROR(__xludf.DUMMYFUNCTION("""COMPUTED_VALUE"""),135.0)</f>
        <v>135</v>
      </c>
      <c r="T60" s="3">
        <f>IFERROR(__xludf.DUMMYFUNCTION("""COMPUTED_VALUE"""),157.0)</f>
        <v>157</v>
      </c>
      <c r="U60" s="3">
        <f>IFERROR(__xludf.DUMMYFUNCTION("""COMPUTED_VALUE"""),172.0)</f>
        <v>172</v>
      </c>
      <c r="V60" s="3">
        <f>IFERROR(__xludf.DUMMYFUNCTION("""COMPUTED_VALUE"""),195.0)</f>
        <v>195</v>
      </c>
      <c r="W60" s="3">
        <f>IFERROR(__xludf.DUMMYFUNCTION("""COMPUTED_VALUE"""),206.0)</f>
        <v>206</v>
      </c>
      <c r="X60" s="3">
        <f>IFERROR(__xludf.DUMMYFUNCTION("""COMPUTED_VALUE"""),218.0)</f>
        <v>218</v>
      </c>
      <c r="Y60" s="3">
        <f>IFERROR(__xludf.DUMMYFUNCTION("""COMPUTED_VALUE"""),239.0)</f>
        <v>239</v>
      </c>
      <c r="Z60" s="3">
        <f>IFERROR(__xludf.DUMMYFUNCTION("""COMPUTED_VALUE"""),251.0)</f>
        <v>251</v>
      </c>
      <c r="AA60" s="3">
        <f>IFERROR(__xludf.DUMMYFUNCTION("""COMPUTED_VALUE"""),265.0)</f>
        <v>265</v>
      </c>
      <c r="AB60" s="3">
        <f>IFERROR(__xludf.DUMMYFUNCTION("""COMPUTED_VALUE"""),283.0)</f>
        <v>283</v>
      </c>
      <c r="AC60" s="3">
        <f>IFERROR(__xludf.DUMMYFUNCTION("""COMPUTED_VALUE"""),291.0)</f>
        <v>291</v>
      </c>
      <c r="AD60" s="3">
        <f>IFERROR(__xludf.DUMMYFUNCTION("""COMPUTED_VALUE"""),300.0)</f>
        <v>300</v>
      </c>
      <c r="AE60" s="3">
        <f>IFERROR(__xludf.DUMMYFUNCTION("""COMPUTED_VALUE"""),301.0)</f>
        <v>301</v>
      </c>
      <c r="AF60" s="3">
        <f>IFERROR(__xludf.DUMMYFUNCTION("""COMPUTED_VALUE"""),306.0)</f>
        <v>306</v>
      </c>
      <c r="AG60" s="3">
        <f>IFERROR(__xludf.DUMMYFUNCTION("""COMPUTED_VALUE"""),306.0)</f>
        <v>306</v>
      </c>
      <c r="AH60" s="3">
        <f>IFERROR(__xludf.DUMMYFUNCTION("""COMPUTED_VALUE"""),307.0)</f>
        <v>307</v>
      </c>
      <c r="AI60" s="3">
        <f>IFERROR(__xludf.DUMMYFUNCTION("""COMPUTED_VALUE"""),308.0)</f>
        <v>308</v>
      </c>
      <c r="AJ60" s="3">
        <f>IFERROR(__xludf.DUMMYFUNCTION("""COMPUTED_VALUE"""),309.0)</f>
        <v>309</v>
      </c>
      <c r="AK60" s="3">
        <f>IFERROR(__xludf.DUMMYFUNCTION("""COMPUTED_VALUE"""),311.0)</f>
        <v>311</v>
      </c>
      <c r="AL60" s="3">
        <f>IFERROR(__xludf.DUMMYFUNCTION("""COMPUTED_VALUE"""),311.0)</f>
        <v>311</v>
      </c>
      <c r="AM60" s="3">
        <f>IFERROR(__xludf.DUMMYFUNCTION("""COMPUTED_VALUE"""),311.0)</f>
        <v>311</v>
      </c>
      <c r="AN60" s="3">
        <f>IFERROR(__xludf.DUMMYFUNCTION("""COMPUTED_VALUE"""),312.0)</f>
        <v>312</v>
      </c>
      <c r="AO60" s="3">
        <f>IFERROR(__xludf.DUMMYFUNCTION("""COMPUTED_VALUE"""),317.0)</f>
        <v>317</v>
      </c>
      <c r="AP60" s="3">
        <f>IFERROR(__xludf.DUMMYFUNCTION("""COMPUTED_VALUE"""),318.0)</f>
        <v>318</v>
      </c>
      <c r="AQ60" s="3">
        <f>IFERROR(__xludf.DUMMYFUNCTION("""COMPUTED_VALUE"""),318.0)</f>
        <v>318</v>
      </c>
      <c r="AR60" s="3">
        <f>IFERROR(__xludf.DUMMYFUNCTION("""COMPUTED_VALUE"""),318.0)</f>
        <v>318</v>
      </c>
      <c r="AS60" s="3">
        <f>IFERROR(__xludf.DUMMYFUNCTION("""COMPUTED_VALUE"""),318.0)</f>
        <v>318</v>
      </c>
      <c r="AT60" s="3">
        <f>IFERROR(__xludf.DUMMYFUNCTION("""COMPUTED_VALUE"""),318.0)</f>
        <v>318</v>
      </c>
      <c r="AU60" s="3">
        <f>IFERROR(__xludf.DUMMYFUNCTION("""COMPUTED_VALUE"""),318.0)</f>
        <v>318</v>
      </c>
      <c r="AV60" s="3">
        <f>IFERROR(__xludf.DUMMYFUNCTION("""COMPUTED_VALUE"""),318.0)</f>
        <v>318</v>
      </c>
      <c r="AW60" s="3">
        <f>IFERROR(__xludf.DUMMYFUNCTION("""COMPUTED_VALUE"""),318.0)</f>
        <v>318</v>
      </c>
      <c r="AX60" s="3">
        <f>IFERROR(__xludf.DUMMYFUNCTION("""COMPUTED_VALUE"""),318.0)</f>
        <v>318</v>
      </c>
      <c r="AY60" s="3">
        <f>IFERROR(__xludf.DUMMYFUNCTION("""COMPUTED_VALUE"""),318.0)</f>
        <v>318</v>
      </c>
      <c r="AZ60" s="3">
        <f>IFERROR(__xludf.DUMMYFUNCTION("""COMPUTED_VALUE"""),318.0)</f>
        <v>318</v>
      </c>
      <c r="BA60" s="3">
        <f>IFERROR(__xludf.DUMMYFUNCTION("""COMPUTED_VALUE"""),318.0)</f>
        <v>318</v>
      </c>
      <c r="BB60" s="3">
        <f>IFERROR(__xludf.DUMMYFUNCTION("""COMPUTED_VALUE"""),318.0)</f>
        <v>318</v>
      </c>
      <c r="BC60" s="3">
        <f>IFERROR(__xludf.DUMMYFUNCTION("""COMPUTED_VALUE"""),318.0)</f>
        <v>318</v>
      </c>
      <c r="BD60" s="3">
        <f>IFERROR(__xludf.DUMMYFUNCTION("""COMPUTED_VALUE"""),318.0)</f>
        <v>318</v>
      </c>
      <c r="BE60" s="3">
        <f>IFERROR(__xludf.DUMMYFUNCTION("""COMPUTED_VALUE"""),318.0)</f>
        <v>318</v>
      </c>
      <c r="BF60" s="3">
        <f>IFERROR(__xludf.DUMMYFUNCTION("""COMPUTED_VALUE"""),318.0)</f>
        <v>318</v>
      </c>
      <c r="BG60" s="3">
        <f>IFERROR(__xludf.DUMMYFUNCTION("""COMPUTED_VALUE"""),318.0)</f>
        <v>318</v>
      </c>
      <c r="BH60" s="3">
        <f>IFERROR(__xludf.DUMMYFUNCTION("""COMPUTED_VALUE"""),318.0)</f>
        <v>318</v>
      </c>
      <c r="BI60" s="3">
        <f>IFERROR(__xludf.DUMMYFUNCTION("""COMPUTED_VALUE"""),318.0)</f>
        <v>318</v>
      </c>
      <c r="BJ60" s="3">
        <f>IFERROR(__xludf.DUMMYFUNCTION("""COMPUTED_VALUE"""),318.0)</f>
        <v>318</v>
      </c>
      <c r="BK60" s="3">
        <f>IFERROR(__xludf.DUMMYFUNCTION("""COMPUTED_VALUE"""),318.0)</f>
        <v>318</v>
      </c>
      <c r="BL60" s="3">
        <f>IFERROR(__xludf.DUMMYFUNCTION("""COMPUTED_VALUE"""),318.0)</f>
        <v>318</v>
      </c>
      <c r="BM60" s="3">
        <f>IFERROR(__xludf.DUMMYFUNCTION("""COMPUTED_VALUE"""),319.0)</f>
        <v>319</v>
      </c>
      <c r="BN60" s="3">
        <f>IFERROR(__xludf.DUMMYFUNCTION("""COMPUTED_VALUE"""),319.0)</f>
        <v>319</v>
      </c>
      <c r="BO60" s="3">
        <f>IFERROR(__xludf.DUMMYFUNCTION("""COMPUTED_VALUE"""),319.0)</f>
        <v>319</v>
      </c>
      <c r="BP60" s="3">
        <f>IFERROR(__xludf.DUMMYFUNCTION("""COMPUTED_VALUE"""),319.0)</f>
        <v>319</v>
      </c>
      <c r="BQ60" s="3">
        <f>IFERROR(__xludf.DUMMYFUNCTION("""COMPUTED_VALUE"""),319.0)</f>
        <v>319</v>
      </c>
      <c r="BR60" s="3">
        <f>IFERROR(__xludf.DUMMYFUNCTION("""COMPUTED_VALUE"""),319.0)</f>
        <v>319</v>
      </c>
      <c r="BS60" s="3">
        <f>IFERROR(__xludf.DUMMYFUNCTION("""COMPUTED_VALUE"""),319.0)</f>
        <v>319</v>
      </c>
      <c r="BT60" s="3">
        <f>IFERROR(__xludf.DUMMYFUNCTION("""COMPUTED_VALUE"""),319.0)</f>
        <v>319</v>
      </c>
      <c r="BU60" s="3">
        <f>IFERROR(__xludf.DUMMYFUNCTION("""COMPUTED_VALUE"""),321.0)</f>
        <v>321</v>
      </c>
      <c r="BV60" s="3">
        <f>IFERROR(__xludf.DUMMYFUNCTION("""COMPUTED_VALUE"""),321.0)</f>
        <v>321</v>
      </c>
      <c r="BW60" s="3">
        <f>IFERROR(__xludf.DUMMYFUNCTION("""COMPUTED_VALUE"""),323.0)</f>
        <v>323</v>
      </c>
      <c r="BX60" s="3">
        <f>IFERROR(__xludf.DUMMYFUNCTION("""COMPUTED_VALUE"""),325.0)</f>
        <v>325</v>
      </c>
      <c r="BY60" s="3">
        <f>IFERROR(__xludf.DUMMYFUNCTION("""COMPUTED_VALUE"""),326.0)</f>
        <v>326</v>
      </c>
      <c r="BZ60" s="3">
        <f>IFERROR(__xludf.DUMMYFUNCTION("""COMPUTED_VALUE"""),326.0)</f>
        <v>326</v>
      </c>
      <c r="CA60" s="3">
        <f>IFERROR(__xludf.DUMMYFUNCTION("""COMPUTED_VALUE"""),327.0)</f>
        <v>327</v>
      </c>
      <c r="CB60" s="3">
        <f>IFERROR(__xludf.DUMMYFUNCTION("""COMPUTED_VALUE"""),327.0)</f>
        <v>327</v>
      </c>
    </row>
    <row r="61">
      <c r="A61" s="3" t="str">
        <f>IFERROR(__xludf.DUMMYFUNCTION("""COMPUTED_VALUE"""),"Heilongjiang")</f>
        <v>Heilongjiang</v>
      </c>
      <c r="B61" s="3" t="str">
        <f>IFERROR(__xludf.DUMMYFUNCTION("""COMPUTED_VALUE"""),"China")</f>
        <v>China</v>
      </c>
      <c r="C61" s="3">
        <f>IFERROR(__xludf.DUMMYFUNCTION("""COMPUTED_VALUE"""),47.862)</f>
        <v>47.862</v>
      </c>
      <c r="D61" s="3">
        <f>IFERROR(__xludf.DUMMYFUNCTION("""COMPUTED_VALUE"""),127.7615)</f>
        <v>127.7615</v>
      </c>
      <c r="E61" s="3">
        <f>IFERROR(__xludf.DUMMYFUNCTION("""COMPUTED_VALUE"""),0.0)</f>
        <v>0</v>
      </c>
      <c r="F61" s="3">
        <f>IFERROR(__xludf.DUMMYFUNCTION("""COMPUTED_VALUE"""),2.0)</f>
        <v>2</v>
      </c>
      <c r="G61" s="3">
        <f>IFERROR(__xludf.DUMMYFUNCTION("""COMPUTED_VALUE"""),4.0)</f>
        <v>4</v>
      </c>
      <c r="H61" s="3">
        <f>IFERROR(__xludf.DUMMYFUNCTION("""COMPUTED_VALUE"""),9.0)</f>
        <v>9</v>
      </c>
      <c r="I61" s="3">
        <f>IFERROR(__xludf.DUMMYFUNCTION("""COMPUTED_VALUE"""),15.0)</f>
        <v>15</v>
      </c>
      <c r="J61" s="3">
        <f>IFERROR(__xludf.DUMMYFUNCTION("""COMPUTED_VALUE"""),21.0)</f>
        <v>21</v>
      </c>
      <c r="K61" s="3">
        <f>IFERROR(__xludf.DUMMYFUNCTION("""COMPUTED_VALUE"""),33.0)</f>
        <v>33</v>
      </c>
      <c r="L61" s="3">
        <f>IFERROR(__xludf.DUMMYFUNCTION("""COMPUTED_VALUE"""),38.0)</f>
        <v>38</v>
      </c>
      <c r="M61" s="3">
        <f>IFERROR(__xludf.DUMMYFUNCTION("""COMPUTED_VALUE"""),44.0)</f>
        <v>44</v>
      </c>
      <c r="N61" s="3">
        <f>IFERROR(__xludf.DUMMYFUNCTION("""COMPUTED_VALUE"""),59.0)</f>
        <v>59</v>
      </c>
      <c r="O61" s="3">
        <f>IFERROR(__xludf.DUMMYFUNCTION("""COMPUTED_VALUE"""),80.0)</f>
        <v>80</v>
      </c>
      <c r="P61" s="3">
        <f>IFERROR(__xludf.DUMMYFUNCTION("""COMPUTED_VALUE"""),95.0)</f>
        <v>95</v>
      </c>
      <c r="Q61" s="3">
        <f>IFERROR(__xludf.DUMMYFUNCTION("""COMPUTED_VALUE"""),121.0)</f>
        <v>121</v>
      </c>
      <c r="R61" s="3">
        <f>IFERROR(__xludf.DUMMYFUNCTION("""COMPUTED_VALUE"""),155.0)</f>
        <v>155</v>
      </c>
      <c r="S61" s="3">
        <f>IFERROR(__xludf.DUMMYFUNCTION("""COMPUTED_VALUE"""),190.0)</f>
        <v>190</v>
      </c>
      <c r="T61" s="3">
        <f>IFERROR(__xludf.DUMMYFUNCTION("""COMPUTED_VALUE"""),227.0)</f>
        <v>227</v>
      </c>
      <c r="U61" s="3">
        <f>IFERROR(__xludf.DUMMYFUNCTION("""COMPUTED_VALUE"""),277.0)</f>
        <v>277</v>
      </c>
      <c r="V61" s="3">
        <f>IFERROR(__xludf.DUMMYFUNCTION("""COMPUTED_VALUE"""),295.0)</f>
        <v>295</v>
      </c>
      <c r="W61" s="3">
        <f>IFERROR(__xludf.DUMMYFUNCTION("""COMPUTED_VALUE"""),307.0)</f>
        <v>307</v>
      </c>
      <c r="X61" s="3">
        <f>IFERROR(__xludf.DUMMYFUNCTION("""COMPUTED_VALUE"""),331.0)</f>
        <v>331</v>
      </c>
      <c r="Y61" s="3">
        <f>IFERROR(__xludf.DUMMYFUNCTION("""COMPUTED_VALUE"""),360.0)</f>
        <v>360</v>
      </c>
      <c r="Z61" s="3">
        <f>IFERROR(__xludf.DUMMYFUNCTION("""COMPUTED_VALUE"""),378.0)</f>
        <v>378</v>
      </c>
      <c r="AA61" s="3">
        <f>IFERROR(__xludf.DUMMYFUNCTION("""COMPUTED_VALUE"""),395.0)</f>
        <v>395</v>
      </c>
      <c r="AB61" s="3">
        <f>IFERROR(__xludf.DUMMYFUNCTION("""COMPUTED_VALUE"""),419.0)</f>
        <v>419</v>
      </c>
      <c r="AC61" s="3">
        <f>IFERROR(__xludf.DUMMYFUNCTION("""COMPUTED_VALUE"""),425.0)</f>
        <v>425</v>
      </c>
      <c r="AD61" s="3">
        <f>IFERROR(__xludf.DUMMYFUNCTION("""COMPUTED_VALUE"""),445.0)</f>
        <v>445</v>
      </c>
      <c r="AE61" s="3">
        <f>IFERROR(__xludf.DUMMYFUNCTION("""COMPUTED_VALUE"""),457.0)</f>
        <v>457</v>
      </c>
      <c r="AF61" s="3">
        <f>IFERROR(__xludf.DUMMYFUNCTION("""COMPUTED_VALUE"""),464.0)</f>
        <v>464</v>
      </c>
      <c r="AG61" s="3">
        <f>IFERROR(__xludf.DUMMYFUNCTION("""COMPUTED_VALUE"""),470.0)</f>
        <v>470</v>
      </c>
      <c r="AH61" s="3">
        <f>IFERROR(__xludf.DUMMYFUNCTION("""COMPUTED_VALUE"""),476.0)</f>
        <v>476</v>
      </c>
      <c r="AI61" s="3">
        <f>IFERROR(__xludf.DUMMYFUNCTION("""COMPUTED_VALUE"""),479.0)</f>
        <v>479</v>
      </c>
      <c r="AJ61" s="3">
        <f>IFERROR(__xludf.DUMMYFUNCTION("""COMPUTED_VALUE"""),479.0)</f>
        <v>479</v>
      </c>
      <c r="AK61" s="3">
        <f>IFERROR(__xludf.DUMMYFUNCTION("""COMPUTED_VALUE"""),480.0)</f>
        <v>480</v>
      </c>
      <c r="AL61" s="3">
        <f>IFERROR(__xludf.DUMMYFUNCTION("""COMPUTED_VALUE"""),480.0)</f>
        <v>480</v>
      </c>
      <c r="AM61" s="3">
        <f>IFERROR(__xludf.DUMMYFUNCTION("""COMPUTED_VALUE"""),480.0)</f>
        <v>480</v>
      </c>
      <c r="AN61" s="3">
        <f>IFERROR(__xludf.DUMMYFUNCTION("""COMPUTED_VALUE"""),480.0)</f>
        <v>480</v>
      </c>
      <c r="AO61" s="3">
        <f>IFERROR(__xludf.DUMMYFUNCTION("""COMPUTED_VALUE"""),480.0)</f>
        <v>480</v>
      </c>
      <c r="AP61" s="3">
        <f>IFERROR(__xludf.DUMMYFUNCTION("""COMPUTED_VALUE"""),480.0)</f>
        <v>480</v>
      </c>
      <c r="AQ61" s="3">
        <f>IFERROR(__xludf.DUMMYFUNCTION("""COMPUTED_VALUE"""),480.0)</f>
        <v>480</v>
      </c>
      <c r="AR61" s="3">
        <f>IFERROR(__xludf.DUMMYFUNCTION("""COMPUTED_VALUE"""),480.0)</f>
        <v>480</v>
      </c>
      <c r="AS61" s="3">
        <f>IFERROR(__xludf.DUMMYFUNCTION("""COMPUTED_VALUE"""),480.0)</f>
        <v>480</v>
      </c>
      <c r="AT61" s="3">
        <f>IFERROR(__xludf.DUMMYFUNCTION("""COMPUTED_VALUE"""),480.0)</f>
        <v>480</v>
      </c>
      <c r="AU61" s="3">
        <f>IFERROR(__xludf.DUMMYFUNCTION("""COMPUTED_VALUE"""),480.0)</f>
        <v>480</v>
      </c>
      <c r="AV61" s="3">
        <f>IFERROR(__xludf.DUMMYFUNCTION("""COMPUTED_VALUE"""),481.0)</f>
        <v>481</v>
      </c>
      <c r="AW61" s="3">
        <f>IFERROR(__xludf.DUMMYFUNCTION("""COMPUTED_VALUE"""),481.0)</f>
        <v>481</v>
      </c>
      <c r="AX61" s="3">
        <f>IFERROR(__xludf.DUMMYFUNCTION("""COMPUTED_VALUE"""),481.0)</f>
        <v>481</v>
      </c>
      <c r="AY61" s="3">
        <f>IFERROR(__xludf.DUMMYFUNCTION("""COMPUTED_VALUE"""),481.0)</f>
        <v>481</v>
      </c>
      <c r="AZ61" s="3">
        <f>IFERROR(__xludf.DUMMYFUNCTION("""COMPUTED_VALUE"""),481.0)</f>
        <v>481</v>
      </c>
      <c r="BA61" s="3">
        <f>IFERROR(__xludf.DUMMYFUNCTION("""COMPUTED_VALUE"""),481.0)</f>
        <v>481</v>
      </c>
      <c r="BB61" s="3">
        <f>IFERROR(__xludf.DUMMYFUNCTION("""COMPUTED_VALUE"""),482.0)</f>
        <v>482</v>
      </c>
      <c r="BC61" s="3">
        <f>IFERROR(__xludf.DUMMYFUNCTION("""COMPUTED_VALUE"""),482.0)</f>
        <v>482</v>
      </c>
      <c r="BD61" s="3">
        <f>IFERROR(__xludf.DUMMYFUNCTION("""COMPUTED_VALUE"""),482.0)</f>
        <v>482</v>
      </c>
      <c r="BE61" s="3">
        <f>IFERROR(__xludf.DUMMYFUNCTION("""COMPUTED_VALUE"""),482.0)</f>
        <v>482</v>
      </c>
      <c r="BF61" s="3">
        <f>IFERROR(__xludf.DUMMYFUNCTION("""COMPUTED_VALUE"""),482.0)</f>
        <v>482</v>
      </c>
      <c r="BG61" s="3">
        <f>IFERROR(__xludf.DUMMYFUNCTION("""COMPUTED_VALUE"""),482.0)</f>
        <v>482</v>
      </c>
      <c r="BH61" s="3">
        <f>IFERROR(__xludf.DUMMYFUNCTION("""COMPUTED_VALUE"""),482.0)</f>
        <v>482</v>
      </c>
      <c r="BI61" s="3">
        <f>IFERROR(__xludf.DUMMYFUNCTION("""COMPUTED_VALUE"""),482.0)</f>
        <v>482</v>
      </c>
      <c r="BJ61" s="3">
        <f>IFERROR(__xludf.DUMMYFUNCTION("""COMPUTED_VALUE"""),483.0)</f>
        <v>483</v>
      </c>
      <c r="BK61" s="3">
        <f>IFERROR(__xludf.DUMMYFUNCTION("""COMPUTED_VALUE"""),484.0)</f>
        <v>484</v>
      </c>
      <c r="BL61" s="3">
        <f>IFERROR(__xludf.DUMMYFUNCTION("""COMPUTED_VALUE"""),484.0)</f>
        <v>484</v>
      </c>
      <c r="BM61" s="3">
        <f>IFERROR(__xludf.DUMMYFUNCTION("""COMPUTED_VALUE"""),484.0)</f>
        <v>484</v>
      </c>
      <c r="BN61" s="3">
        <f>IFERROR(__xludf.DUMMYFUNCTION("""COMPUTED_VALUE"""),484.0)</f>
        <v>484</v>
      </c>
      <c r="BO61" s="3">
        <f>IFERROR(__xludf.DUMMYFUNCTION("""COMPUTED_VALUE"""),484.0)</f>
        <v>484</v>
      </c>
      <c r="BP61" s="3">
        <f>IFERROR(__xludf.DUMMYFUNCTION("""COMPUTED_VALUE"""),484.0)</f>
        <v>484</v>
      </c>
      <c r="BQ61" s="3">
        <f>IFERROR(__xludf.DUMMYFUNCTION("""COMPUTED_VALUE"""),484.0)</f>
        <v>484</v>
      </c>
      <c r="BR61" s="3">
        <f>IFERROR(__xludf.DUMMYFUNCTION("""COMPUTED_VALUE"""),484.0)</f>
        <v>484</v>
      </c>
      <c r="BS61" s="3">
        <f>IFERROR(__xludf.DUMMYFUNCTION("""COMPUTED_VALUE"""),484.0)</f>
        <v>484</v>
      </c>
      <c r="BT61" s="3">
        <f>IFERROR(__xludf.DUMMYFUNCTION("""COMPUTED_VALUE"""),484.0)</f>
        <v>484</v>
      </c>
      <c r="BU61" s="3">
        <f>IFERROR(__xludf.DUMMYFUNCTION("""COMPUTED_VALUE"""),484.0)</f>
        <v>484</v>
      </c>
      <c r="BV61" s="3">
        <f>IFERROR(__xludf.DUMMYFUNCTION("""COMPUTED_VALUE"""),484.0)</f>
        <v>484</v>
      </c>
      <c r="BW61" s="3">
        <f>IFERROR(__xludf.DUMMYFUNCTION("""COMPUTED_VALUE"""),484.0)</f>
        <v>484</v>
      </c>
      <c r="BX61" s="3">
        <f>IFERROR(__xludf.DUMMYFUNCTION("""COMPUTED_VALUE"""),488.0)</f>
        <v>488</v>
      </c>
      <c r="BY61" s="3">
        <f>IFERROR(__xludf.DUMMYFUNCTION("""COMPUTED_VALUE"""),489.0)</f>
        <v>489</v>
      </c>
      <c r="BZ61" s="3">
        <f>IFERROR(__xludf.DUMMYFUNCTION("""COMPUTED_VALUE"""),491.0)</f>
        <v>491</v>
      </c>
      <c r="CA61" s="3">
        <f>IFERROR(__xludf.DUMMYFUNCTION("""COMPUTED_VALUE"""),504.0)</f>
        <v>504</v>
      </c>
      <c r="CB61" s="3">
        <f>IFERROR(__xludf.DUMMYFUNCTION("""COMPUTED_VALUE"""),524.0)</f>
        <v>524</v>
      </c>
    </row>
    <row r="62">
      <c r="A62" s="3" t="str">
        <f>IFERROR(__xludf.DUMMYFUNCTION("""COMPUTED_VALUE"""),"Henan")</f>
        <v>Henan</v>
      </c>
      <c r="B62" s="3" t="str">
        <f>IFERROR(__xludf.DUMMYFUNCTION("""COMPUTED_VALUE"""),"China")</f>
        <v>China</v>
      </c>
      <c r="C62" s="3">
        <f>IFERROR(__xludf.DUMMYFUNCTION("""COMPUTED_VALUE"""),33.882)</f>
        <v>33.882</v>
      </c>
      <c r="D62" s="3">
        <f>IFERROR(__xludf.DUMMYFUNCTION("""COMPUTED_VALUE"""),113.614)</f>
        <v>113.614</v>
      </c>
      <c r="E62" s="3">
        <f>IFERROR(__xludf.DUMMYFUNCTION("""COMPUTED_VALUE"""),5.0)</f>
        <v>5</v>
      </c>
      <c r="F62" s="3">
        <f>IFERROR(__xludf.DUMMYFUNCTION("""COMPUTED_VALUE"""),5.0)</f>
        <v>5</v>
      </c>
      <c r="G62" s="3">
        <f>IFERROR(__xludf.DUMMYFUNCTION("""COMPUTED_VALUE"""),9.0)</f>
        <v>9</v>
      </c>
      <c r="H62" s="3">
        <f>IFERROR(__xludf.DUMMYFUNCTION("""COMPUTED_VALUE"""),32.0)</f>
        <v>32</v>
      </c>
      <c r="I62" s="3">
        <f>IFERROR(__xludf.DUMMYFUNCTION("""COMPUTED_VALUE"""),83.0)</f>
        <v>83</v>
      </c>
      <c r="J62" s="3">
        <f>IFERROR(__xludf.DUMMYFUNCTION("""COMPUTED_VALUE"""),128.0)</f>
        <v>128</v>
      </c>
      <c r="K62" s="3">
        <f>IFERROR(__xludf.DUMMYFUNCTION("""COMPUTED_VALUE"""),168.0)</f>
        <v>168</v>
      </c>
      <c r="L62" s="3">
        <f>IFERROR(__xludf.DUMMYFUNCTION("""COMPUTED_VALUE"""),206.0)</f>
        <v>206</v>
      </c>
      <c r="M62" s="3">
        <f>IFERROR(__xludf.DUMMYFUNCTION("""COMPUTED_VALUE"""),278.0)</f>
        <v>278</v>
      </c>
      <c r="N62" s="3">
        <f>IFERROR(__xludf.DUMMYFUNCTION("""COMPUTED_VALUE"""),352.0)</f>
        <v>352</v>
      </c>
      <c r="O62" s="3">
        <f>IFERROR(__xludf.DUMMYFUNCTION("""COMPUTED_VALUE"""),422.0)</f>
        <v>422</v>
      </c>
      <c r="P62" s="3">
        <f>IFERROR(__xludf.DUMMYFUNCTION("""COMPUTED_VALUE"""),493.0)</f>
        <v>493</v>
      </c>
      <c r="Q62" s="3">
        <f>IFERROR(__xludf.DUMMYFUNCTION("""COMPUTED_VALUE"""),566.0)</f>
        <v>566</v>
      </c>
      <c r="R62" s="3">
        <f>IFERROR(__xludf.DUMMYFUNCTION("""COMPUTED_VALUE"""),675.0)</f>
        <v>675</v>
      </c>
      <c r="S62" s="3">
        <f>IFERROR(__xludf.DUMMYFUNCTION("""COMPUTED_VALUE"""),764.0)</f>
        <v>764</v>
      </c>
      <c r="T62" s="3">
        <f>IFERROR(__xludf.DUMMYFUNCTION("""COMPUTED_VALUE"""),851.0)</f>
        <v>851</v>
      </c>
      <c r="U62" s="3">
        <f>IFERROR(__xludf.DUMMYFUNCTION("""COMPUTED_VALUE"""),914.0)</f>
        <v>914</v>
      </c>
      <c r="V62" s="3">
        <f>IFERROR(__xludf.DUMMYFUNCTION("""COMPUTED_VALUE"""),981.0)</f>
        <v>981</v>
      </c>
      <c r="W62" s="3">
        <f>IFERROR(__xludf.DUMMYFUNCTION("""COMPUTED_VALUE"""),1033.0)</f>
        <v>1033</v>
      </c>
      <c r="X62" s="3">
        <f>IFERROR(__xludf.DUMMYFUNCTION("""COMPUTED_VALUE"""),1073.0)</f>
        <v>1073</v>
      </c>
      <c r="Y62" s="3">
        <f>IFERROR(__xludf.DUMMYFUNCTION("""COMPUTED_VALUE"""),1105.0)</f>
        <v>1105</v>
      </c>
      <c r="Z62" s="3">
        <f>IFERROR(__xludf.DUMMYFUNCTION("""COMPUTED_VALUE"""),1135.0)</f>
        <v>1135</v>
      </c>
      <c r="AA62" s="3">
        <f>IFERROR(__xludf.DUMMYFUNCTION("""COMPUTED_VALUE"""),1169.0)</f>
        <v>1169</v>
      </c>
      <c r="AB62" s="3">
        <f>IFERROR(__xludf.DUMMYFUNCTION("""COMPUTED_VALUE"""),1184.0)</f>
        <v>1184</v>
      </c>
      <c r="AC62" s="3">
        <f>IFERROR(__xludf.DUMMYFUNCTION("""COMPUTED_VALUE"""),1212.0)</f>
        <v>1212</v>
      </c>
      <c r="AD62" s="3">
        <f>IFERROR(__xludf.DUMMYFUNCTION("""COMPUTED_VALUE"""),1231.0)</f>
        <v>1231</v>
      </c>
      <c r="AE62" s="3">
        <f>IFERROR(__xludf.DUMMYFUNCTION("""COMPUTED_VALUE"""),1246.0)</f>
        <v>1246</v>
      </c>
      <c r="AF62" s="3">
        <f>IFERROR(__xludf.DUMMYFUNCTION("""COMPUTED_VALUE"""),1257.0)</f>
        <v>1257</v>
      </c>
      <c r="AG62" s="3">
        <f>IFERROR(__xludf.DUMMYFUNCTION("""COMPUTED_VALUE"""),1262.0)</f>
        <v>1262</v>
      </c>
      <c r="AH62" s="3">
        <f>IFERROR(__xludf.DUMMYFUNCTION("""COMPUTED_VALUE"""),1265.0)</f>
        <v>1265</v>
      </c>
      <c r="AI62" s="3">
        <f>IFERROR(__xludf.DUMMYFUNCTION("""COMPUTED_VALUE"""),1267.0)</f>
        <v>1267</v>
      </c>
      <c r="AJ62" s="3">
        <f>IFERROR(__xludf.DUMMYFUNCTION("""COMPUTED_VALUE"""),1270.0)</f>
        <v>1270</v>
      </c>
      <c r="AK62" s="3">
        <f>IFERROR(__xludf.DUMMYFUNCTION("""COMPUTED_VALUE"""),1271.0)</f>
        <v>1271</v>
      </c>
      <c r="AL62" s="3">
        <f>IFERROR(__xludf.DUMMYFUNCTION("""COMPUTED_VALUE"""),1271.0)</f>
        <v>1271</v>
      </c>
      <c r="AM62" s="3">
        <f>IFERROR(__xludf.DUMMYFUNCTION("""COMPUTED_VALUE"""),1271.0)</f>
        <v>1271</v>
      </c>
      <c r="AN62" s="3">
        <f>IFERROR(__xludf.DUMMYFUNCTION("""COMPUTED_VALUE"""),1271.0)</f>
        <v>1271</v>
      </c>
      <c r="AO62" s="3">
        <f>IFERROR(__xludf.DUMMYFUNCTION("""COMPUTED_VALUE"""),1272.0)</f>
        <v>1272</v>
      </c>
      <c r="AP62" s="3">
        <f>IFERROR(__xludf.DUMMYFUNCTION("""COMPUTED_VALUE"""),1272.0)</f>
        <v>1272</v>
      </c>
      <c r="AQ62" s="3">
        <f>IFERROR(__xludf.DUMMYFUNCTION("""COMPUTED_VALUE"""),1272.0)</f>
        <v>1272</v>
      </c>
      <c r="AR62" s="3">
        <f>IFERROR(__xludf.DUMMYFUNCTION("""COMPUTED_VALUE"""),1272.0)</f>
        <v>1272</v>
      </c>
      <c r="AS62" s="3">
        <f>IFERROR(__xludf.DUMMYFUNCTION("""COMPUTED_VALUE"""),1272.0)</f>
        <v>1272</v>
      </c>
      <c r="AT62" s="3">
        <f>IFERROR(__xludf.DUMMYFUNCTION("""COMPUTED_VALUE"""),1272.0)</f>
        <v>1272</v>
      </c>
      <c r="AU62" s="3">
        <f>IFERROR(__xludf.DUMMYFUNCTION("""COMPUTED_VALUE"""),1272.0)</f>
        <v>1272</v>
      </c>
      <c r="AV62" s="3">
        <f>IFERROR(__xludf.DUMMYFUNCTION("""COMPUTED_VALUE"""),1272.0)</f>
        <v>1272</v>
      </c>
      <c r="AW62" s="3">
        <f>IFERROR(__xludf.DUMMYFUNCTION("""COMPUTED_VALUE"""),1272.0)</f>
        <v>1272</v>
      </c>
      <c r="AX62" s="3">
        <f>IFERROR(__xludf.DUMMYFUNCTION("""COMPUTED_VALUE"""),1272.0)</f>
        <v>1272</v>
      </c>
      <c r="AY62" s="3">
        <f>IFERROR(__xludf.DUMMYFUNCTION("""COMPUTED_VALUE"""),1272.0)</f>
        <v>1272</v>
      </c>
      <c r="AZ62" s="3">
        <f>IFERROR(__xludf.DUMMYFUNCTION("""COMPUTED_VALUE"""),1272.0)</f>
        <v>1272</v>
      </c>
      <c r="BA62" s="3">
        <f>IFERROR(__xludf.DUMMYFUNCTION("""COMPUTED_VALUE"""),1272.0)</f>
        <v>1272</v>
      </c>
      <c r="BB62" s="3">
        <f>IFERROR(__xludf.DUMMYFUNCTION("""COMPUTED_VALUE"""),1273.0)</f>
        <v>1273</v>
      </c>
      <c r="BC62" s="3">
        <f>IFERROR(__xludf.DUMMYFUNCTION("""COMPUTED_VALUE"""),1273.0)</f>
        <v>1273</v>
      </c>
      <c r="BD62" s="3">
        <f>IFERROR(__xludf.DUMMYFUNCTION("""COMPUTED_VALUE"""),1273.0)</f>
        <v>1273</v>
      </c>
      <c r="BE62" s="3">
        <f>IFERROR(__xludf.DUMMYFUNCTION("""COMPUTED_VALUE"""),1273.0)</f>
        <v>1273</v>
      </c>
      <c r="BF62" s="3">
        <f>IFERROR(__xludf.DUMMYFUNCTION("""COMPUTED_VALUE"""),1273.0)</f>
        <v>1273</v>
      </c>
      <c r="BG62" s="3">
        <f>IFERROR(__xludf.DUMMYFUNCTION("""COMPUTED_VALUE"""),1273.0)</f>
        <v>1273</v>
      </c>
      <c r="BH62" s="3">
        <f>IFERROR(__xludf.DUMMYFUNCTION("""COMPUTED_VALUE"""),1273.0)</f>
        <v>1273</v>
      </c>
      <c r="BI62" s="3">
        <f>IFERROR(__xludf.DUMMYFUNCTION("""COMPUTED_VALUE"""),1273.0)</f>
        <v>1273</v>
      </c>
      <c r="BJ62" s="3">
        <f>IFERROR(__xludf.DUMMYFUNCTION("""COMPUTED_VALUE"""),1273.0)</f>
        <v>1273</v>
      </c>
      <c r="BK62" s="3">
        <f>IFERROR(__xludf.DUMMYFUNCTION("""COMPUTED_VALUE"""),1273.0)</f>
        <v>1273</v>
      </c>
      <c r="BL62" s="3">
        <f>IFERROR(__xludf.DUMMYFUNCTION("""COMPUTED_VALUE"""),1273.0)</f>
        <v>1273</v>
      </c>
      <c r="BM62" s="3">
        <f>IFERROR(__xludf.DUMMYFUNCTION("""COMPUTED_VALUE"""),1274.0)</f>
        <v>1274</v>
      </c>
      <c r="BN62" s="3">
        <f>IFERROR(__xludf.DUMMYFUNCTION("""COMPUTED_VALUE"""),1274.0)</f>
        <v>1274</v>
      </c>
      <c r="BO62" s="3">
        <f>IFERROR(__xludf.DUMMYFUNCTION("""COMPUTED_VALUE"""),1274.0)</f>
        <v>1274</v>
      </c>
      <c r="BP62" s="3">
        <f>IFERROR(__xludf.DUMMYFUNCTION("""COMPUTED_VALUE"""),1274.0)</f>
        <v>1274</v>
      </c>
      <c r="BQ62" s="3">
        <f>IFERROR(__xludf.DUMMYFUNCTION("""COMPUTED_VALUE"""),1275.0)</f>
        <v>1275</v>
      </c>
      <c r="BR62" s="3">
        <f>IFERROR(__xludf.DUMMYFUNCTION("""COMPUTED_VALUE"""),1275.0)</f>
        <v>1275</v>
      </c>
      <c r="BS62" s="3">
        <f>IFERROR(__xludf.DUMMYFUNCTION("""COMPUTED_VALUE"""),1275.0)</f>
        <v>1275</v>
      </c>
      <c r="BT62" s="3">
        <f>IFERROR(__xludf.DUMMYFUNCTION("""COMPUTED_VALUE"""),1276.0)</f>
        <v>1276</v>
      </c>
      <c r="BU62" s="3">
        <f>IFERROR(__xludf.DUMMYFUNCTION("""COMPUTED_VALUE"""),1276.0)</f>
        <v>1276</v>
      </c>
      <c r="BV62" s="3">
        <f>IFERROR(__xludf.DUMMYFUNCTION("""COMPUTED_VALUE"""),1276.0)</f>
        <v>1276</v>
      </c>
      <c r="BW62" s="3">
        <f>IFERROR(__xludf.DUMMYFUNCTION("""COMPUTED_VALUE"""),1276.0)</f>
        <v>1276</v>
      </c>
      <c r="BX62" s="3">
        <f>IFERROR(__xludf.DUMMYFUNCTION("""COMPUTED_VALUE"""),1276.0)</f>
        <v>1276</v>
      </c>
      <c r="BY62" s="3">
        <f>IFERROR(__xludf.DUMMYFUNCTION("""COMPUTED_VALUE"""),1276.0)</f>
        <v>1276</v>
      </c>
      <c r="BZ62" s="3">
        <f>IFERROR(__xludf.DUMMYFUNCTION("""COMPUTED_VALUE"""),1276.0)</f>
        <v>1276</v>
      </c>
      <c r="CA62" s="3">
        <f>IFERROR(__xludf.DUMMYFUNCTION("""COMPUTED_VALUE"""),1276.0)</f>
        <v>1276</v>
      </c>
      <c r="CB62" s="3">
        <f>IFERROR(__xludf.DUMMYFUNCTION("""COMPUTED_VALUE"""),1276.0)</f>
        <v>1276</v>
      </c>
    </row>
    <row r="63">
      <c r="A63" s="3" t="str">
        <f>IFERROR(__xludf.DUMMYFUNCTION("""COMPUTED_VALUE"""),"Hong Kong")</f>
        <v>Hong Kong</v>
      </c>
      <c r="B63" s="3" t="str">
        <f>IFERROR(__xludf.DUMMYFUNCTION("""COMPUTED_VALUE"""),"China")</f>
        <v>China</v>
      </c>
      <c r="C63" s="3">
        <f>IFERROR(__xludf.DUMMYFUNCTION("""COMPUTED_VALUE"""),22.3)</f>
        <v>22.3</v>
      </c>
      <c r="D63" s="3">
        <f>IFERROR(__xludf.DUMMYFUNCTION("""COMPUTED_VALUE"""),114.2)</f>
        <v>114.2</v>
      </c>
      <c r="E63" s="3">
        <f>IFERROR(__xludf.DUMMYFUNCTION("""COMPUTED_VALUE"""),0.0)</f>
        <v>0</v>
      </c>
      <c r="F63" s="3">
        <f>IFERROR(__xludf.DUMMYFUNCTION("""COMPUTED_VALUE"""),2.0)</f>
        <v>2</v>
      </c>
      <c r="G63" s="3">
        <f>IFERROR(__xludf.DUMMYFUNCTION("""COMPUTED_VALUE"""),2.0)</f>
        <v>2</v>
      </c>
      <c r="H63" s="3">
        <f>IFERROR(__xludf.DUMMYFUNCTION("""COMPUTED_VALUE"""),5.0)</f>
        <v>5</v>
      </c>
      <c r="I63" s="3">
        <f>IFERROR(__xludf.DUMMYFUNCTION("""COMPUTED_VALUE"""),8.0)</f>
        <v>8</v>
      </c>
      <c r="J63" s="3">
        <f>IFERROR(__xludf.DUMMYFUNCTION("""COMPUTED_VALUE"""),8.0)</f>
        <v>8</v>
      </c>
      <c r="K63" s="3">
        <f>IFERROR(__xludf.DUMMYFUNCTION("""COMPUTED_VALUE"""),8.0)</f>
        <v>8</v>
      </c>
      <c r="L63" s="3">
        <f>IFERROR(__xludf.DUMMYFUNCTION("""COMPUTED_VALUE"""),10.0)</f>
        <v>10</v>
      </c>
      <c r="M63" s="3">
        <f>IFERROR(__xludf.DUMMYFUNCTION("""COMPUTED_VALUE"""),10.0)</f>
        <v>10</v>
      </c>
      <c r="N63" s="3">
        <f>IFERROR(__xludf.DUMMYFUNCTION("""COMPUTED_VALUE"""),12.0)</f>
        <v>12</v>
      </c>
      <c r="O63" s="3">
        <f>IFERROR(__xludf.DUMMYFUNCTION("""COMPUTED_VALUE"""),13.0)</f>
        <v>13</v>
      </c>
      <c r="P63" s="3">
        <f>IFERROR(__xludf.DUMMYFUNCTION("""COMPUTED_VALUE"""),15.0)</f>
        <v>15</v>
      </c>
      <c r="Q63" s="3">
        <f>IFERROR(__xludf.DUMMYFUNCTION("""COMPUTED_VALUE"""),15.0)</f>
        <v>15</v>
      </c>
      <c r="R63" s="3">
        <f>IFERROR(__xludf.DUMMYFUNCTION("""COMPUTED_VALUE"""),17.0)</f>
        <v>17</v>
      </c>
      <c r="S63" s="3">
        <f>IFERROR(__xludf.DUMMYFUNCTION("""COMPUTED_VALUE"""),21.0)</f>
        <v>21</v>
      </c>
      <c r="T63" s="3">
        <f>IFERROR(__xludf.DUMMYFUNCTION("""COMPUTED_VALUE"""),24.0)</f>
        <v>24</v>
      </c>
      <c r="U63" s="3">
        <f>IFERROR(__xludf.DUMMYFUNCTION("""COMPUTED_VALUE"""),25.0)</f>
        <v>25</v>
      </c>
      <c r="V63" s="3">
        <f>IFERROR(__xludf.DUMMYFUNCTION("""COMPUTED_VALUE"""),26.0)</f>
        <v>26</v>
      </c>
      <c r="W63" s="3">
        <f>IFERROR(__xludf.DUMMYFUNCTION("""COMPUTED_VALUE"""),29.0)</f>
        <v>29</v>
      </c>
      <c r="X63" s="3">
        <f>IFERROR(__xludf.DUMMYFUNCTION("""COMPUTED_VALUE"""),38.0)</f>
        <v>38</v>
      </c>
      <c r="Y63" s="3">
        <f>IFERROR(__xludf.DUMMYFUNCTION("""COMPUTED_VALUE"""),49.0)</f>
        <v>49</v>
      </c>
      <c r="Z63" s="3">
        <f>IFERROR(__xludf.DUMMYFUNCTION("""COMPUTED_VALUE"""),50.0)</f>
        <v>50</v>
      </c>
      <c r="AA63" s="3">
        <f>IFERROR(__xludf.DUMMYFUNCTION("""COMPUTED_VALUE"""),53.0)</f>
        <v>53</v>
      </c>
      <c r="AB63" s="3">
        <f>IFERROR(__xludf.DUMMYFUNCTION("""COMPUTED_VALUE"""),56.0)</f>
        <v>56</v>
      </c>
      <c r="AC63" s="3">
        <f>IFERROR(__xludf.DUMMYFUNCTION("""COMPUTED_VALUE"""),56.0)</f>
        <v>56</v>
      </c>
      <c r="AD63" s="3">
        <f>IFERROR(__xludf.DUMMYFUNCTION("""COMPUTED_VALUE"""),57.0)</f>
        <v>57</v>
      </c>
      <c r="AE63" s="3">
        <f>IFERROR(__xludf.DUMMYFUNCTION("""COMPUTED_VALUE"""),60.0)</f>
        <v>60</v>
      </c>
      <c r="AF63" s="3">
        <f>IFERROR(__xludf.DUMMYFUNCTION("""COMPUTED_VALUE"""),62.0)</f>
        <v>62</v>
      </c>
      <c r="AG63" s="3">
        <f>IFERROR(__xludf.DUMMYFUNCTION("""COMPUTED_VALUE"""),63.0)</f>
        <v>63</v>
      </c>
      <c r="AH63" s="3">
        <f>IFERROR(__xludf.DUMMYFUNCTION("""COMPUTED_VALUE"""),68.0)</f>
        <v>68</v>
      </c>
      <c r="AI63" s="3">
        <f>IFERROR(__xludf.DUMMYFUNCTION("""COMPUTED_VALUE"""),68.0)</f>
        <v>68</v>
      </c>
      <c r="AJ63" s="3">
        <f>IFERROR(__xludf.DUMMYFUNCTION("""COMPUTED_VALUE"""),69.0)</f>
        <v>69</v>
      </c>
      <c r="AK63" s="3">
        <f>IFERROR(__xludf.DUMMYFUNCTION("""COMPUTED_VALUE"""),74.0)</f>
        <v>74</v>
      </c>
      <c r="AL63" s="3">
        <f>IFERROR(__xludf.DUMMYFUNCTION("""COMPUTED_VALUE"""),79.0)</f>
        <v>79</v>
      </c>
      <c r="AM63" s="3">
        <f>IFERROR(__xludf.DUMMYFUNCTION("""COMPUTED_VALUE"""),84.0)</f>
        <v>84</v>
      </c>
      <c r="AN63" s="3">
        <f>IFERROR(__xludf.DUMMYFUNCTION("""COMPUTED_VALUE"""),91.0)</f>
        <v>91</v>
      </c>
      <c r="AO63" s="3">
        <f>IFERROR(__xludf.DUMMYFUNCTION("""COMPUTED_VALUE"""),92.0)</f>
        <v>92</v>
      </c>
      <c r="AP63" s="3">
        <f>IFERROR(__xludf.DUMMYFUNCTION("""COMPUTED_VALUE"""),94.0)</f>
        <v>94</v>
      </c>
      <c r="AQ63" s="3">
        <f>IFERROR(__xludf.DUMMYFUNCTION("""COMPUTED_VALUE"""),95.0)</f>
        <v>95</v>
      </c>
      <c r="AR63" s="3">
        <f>IFERROR(__xludf.DUMMYFUNCTION("""COMPUTED_VALUE"""),96.0)</f>
        <v>96</v>
      </c>
      <c r="AS63" s="3">
        <f>IFERROR(__xludf.DUMMYFUNCTION("""COMPUTED_VALUE"""),100.0)</f>
        <v>100</v>
      </c>
      <c r="AT63" s="3">
        <f>IFERROR(__xludf.DUMMYFUNCTION("""COMPUTED_VALUE"""),100.0)</f>
        <v>100</v>
      </c>
      <c r="AU63" s="3">
        <f>IFERROR(__xludf.DUMMYFUNCTION("""COMPUTED_VALUE"""),105.0)</f>
        <v>105</v>
      </c>
      <c r="AV63" s="3">
        <f>IFERROR(__xludf.DUMMYFUNCTION("""COMPUTED_VALUE"""),105.0)</f>
        <v>105</v>
      </c>
      <c r="AW63" s="3">
        <f>IFERROR(__xludf.DUMMYFUNCTION("""COMPUTED_VALUE"""),107.0)</f>
        <v>107</v>
      </c>
      <c r="AX63" s="3">
        <f>IFERROR(__xludf.DUMMYFUNCTION("""COMPUTED_VALUE"""),108.0)</f>
        <v>108</v>
      </c>
      <c r="AY63" s="3">
        <f>IFERROR(__xludf.DUMMYFUNCTION("""COMPUTED_VALUE"""),114.0)</f>
        <v>114</v>
      </c>
      <c r="AZ63" s="3">
        <f>IFERROR(__xludf.DUMMYFUNCTION("""COMPUTED_VALUE"""),115.0)</f>
        <v>115</v>
      </c>
      <c r="BA63" s="3">
        <f>IFERROR(__xludf.DUMMYFUNCTION("""COMPUTED_VALUE"""),120.0)</f>
        <v>120</v>
      </c>
      <c r="BB63" s="3">
        <f>IFERROR(__xludf.DUMMYFUNCTION("""COMPUTED_VALUE"""),126.0)</f>
        <v>126</v>
      </c>
      <c r="BC63" s="3">
        <f>IFERROR(__xludf.DUMMYFUNCTION("""COMPUTED_VALUE"""),129.0)</f>
        <v>129</v>
      </c>
      <c r="BD63" s="3">
        <f>IFERROR(__xludf.DUMMYFUNCTION("""COMPUTED_VALUE"""),134.0)</f>
        <v>134</v>
      </c>
      <c r="BE63" s="3">
        <f>IFERROR(__xludf.DUMMYFUNCTION("""COMPUTED_VALUE"""),140.0)</f>
        <v>140</v>
      </c>
      <c r="BF63" s="3">
        <f>IFERROR(__xludf.DUMMYFUNCTION("""COMPUTED_VALUE"""),145.0)</f>
        <v>145</v>
      </c>
      <c r="BG63" s="3">
        <f>IFERROR(__xludf.DUMMYFUNCTION("""COMPUTED_VALUE"""),155.0)</f>
        <v>155</v>
      </c>
      <c r="BH63" s="3">
        <f>IFERROR(__xludf.DUMMYFUNCTION("""COMPUTED_VALUE"""),162.0)</f>
        <v>162</v>
      </c>
      <c r="BI63" s="3">
        <f>IFERROR(__xludf.DUMMYFUNCTION("""COMPUTED_VALUE"""),181.0)</f>
        <v>181</v>
      </c>
      <c r="BJ63" s="3">
        <f>IFERROR(__xludf.DUMMYFUNCTION("""COMPUTED_VALUE"""),208.0)</f>
        <v>208</v>
      </c>
      <c r="BK63" s="3">
        <f>IFERROR(__xludf.DUMMYFUNCTION("""COMPUTED_VALUE"""),256.0)</f>
        <v>256</v>
      </c>
      <c r="BL63" s="3">
        <f>IFERROR(__xludf.DUMMYFUNCTION("""COMPUTED_VALUE"""),273.0)</f>
        <v>273</v>
      </c>
      <c r="BM63" s="3">
        <f>IFERROR(__xludf.DUMMYFUNCTION("""COMPUTED_VALUE"""),317.0)</f>
        <v>317</v>
      </c>
      <c r="BN63" s="3">
        <f>IFERROR(__xludf.DUMMYFUNCTION("""COMPUTED_VALUE"""),356.0)</f>
        <v>356</v>
      </c>
      <c r="BO63" s="3">
        <f>IFERROR(__xludf.DUMMYFUNCTION("""COMPUTED_VALUE"""),386.0)</f>
        <v>386</v>
      </c>
      <c r="BP63" s="3">
        <f>IFERROR(__xludf.DUMMYFUNCTION("""COMPUTED_VALUE"""),410.0)</f>
        <v>410</v>
      </c>
      <c r="BQ63" s="3">
        <f>IFERROR(__xludf.DUMMYFUNCTION("""COMPUTED_VALUE"""),453.0)</f>
        <v>453</v>
      </c>
      <c r="BR63" s="3">
        <f>IFERROR(__xludf.DUMMYFUNCTION("""COMPUTED_VALUE"""),519.0)</f>
        <v>519</v>
      </c>
      <c r="BS63" s="3">
        <f>IFERROR(__xludf.DUMMYFUNCTION("""COMPUTED_VALUE"""),561.0)</f>
        <v>561</v>
      </c>
      <c r="BT63" s="3">
        <f>IFERROR(__xludf.DUMMYFUNCTION("""COMPUTED_VALUE"""),641.0)</f>
        <v>641</v>
      </c>
      <c r="BU63" s="3">
        <f>IFERROR(__xludf.DUMMYFUNCTION("""COMPUTED_VALUE"""),682.0)</f>
        <v>682</v>
      </c>
      <c r="BV63" s="3">
        <f>IFERROR(__xludf.DUMMYFUNCTION("""COMPUTED_VALUE"""),714.0)</f>
        <v>714</v>
      </c>
      <c r="BW63" s="3">
        <f>IFERROR(__xludf.DUMMYFUNCTION("""COMPUTED_VALUE"""),765.0)</f>
        <v>765</v>
      </c>
      <c r="BX63" s="3">
        <f>IFERROR(__xludf.DUMMYFUNCTION("""COMPUTED_VALUE"""),802.0)</f>
        <v>802</v>
      </c>
      <c r="BY63" s="3">
        <f>IFERROR(__xludf.DUMMYFUNCTION("""COMPUTED_VALUE"""),845.0)</f>
        <v>845</v>
      </c>
      <c r="BZ63" s="3">
        <f>IFERROR(__xludf.DUMMYFUNCTION("""COMPUTED_VALUE"""),862.0)</f>
        <v>862</v>
      </c>
      <c r="CA63" s="3">
        <f>IFERROR(__xludf.DUMMYFUNCTION("""COMPUTED_VALUE"""),890.0)</f>
        <v>890</v>
      </c>
      <c r="CB63" s="3">
        <f>IFERROR(__xludf.DUMMYFUNCTION("""COMPUTED_VALUE"""),914.0)</f>
        <v>914</v>
      </c>
    </row>
    <row r="64">
      <c r="A64" s="3" t="str">
        <f>IFERROR(__xludf.DUMMYFUNCTION("""COMPUTED_VALUE"""),"Hubei")</f>
        <v>Hubei</v>
      </c>
      <c r="B64" s="3" t="str">
        <f>IFERROR(__xludf.DUMMYFUNCTION("""COMPUTED_VALUE"""),"China")</f>
        <v>China</v>
      </c>
      <c r="C64" s="3">
        <f>IFERROR(__xludf.DUMMYFUNCTION("""COMPUTED_VALUE"""),30.9756)</f>
        <v>30.9756</v>
      </c>
      <c r="D64" s="3">
        <f>IFERROR(__xludf.DUMMYFUNCTION("""COMPUTED_VALUE"""),112.2707)</f>
        <v>112.2707</v>
      </c>
      <c r="E64" s="3">
        <f>IFERROR(__xludf.DUMMYFUNCTION("""COMPUTED_VALUE"""),444.0)</f>
        <v>444</v>
      </c>
      <c r="F64" s="3">
        <f>IFERROR(__xludf.DUMMYFUNCTION("""COMPUTED_VALUE"""),444.0)</f>
        <v>444</v>
      </c>
      <c r="G64" s="3">
        <f>IFERROR(__xludf.DUMMYFUNCTION("""COMPUTED_VALUE"""),549.0)</f>
        <v>549</v>
      </c>
      <c r="H64" s="3">
        <f>IFERROR(__xludf.DUMMYFUNCTION("""COMPUTED_VALUE"""),761.0)</f>
        <v>761</v>
      </c>
      <c r="I64" s="3">
        <f>IFERROR(__xludf.DUMMYFUNCTION("""COMPUTED_VALUE"""),1058.0)</f>
        <v>1058</v>
      </c>
      <c r="J64" s="3">
        <f>IFERROR(__xludf.DUMMYFUNCTION("""COMPUTED_VALUE"""),1423.0)</f>
        <v>1423</v>
      </c>
      <c r="K64" s="3">
        <f>IFERROR(__xludf.DUMMYFUNCTION("""COMPUTED_VALUE"""),3554.0)</f>
        <v>3554</v>
      </c>
      <c r="L64" s="3">
        <f>IFERROR(__xludf.DUMMYFUNCTION("""COMPUTED_VALUE"""),3554.0)</f>
        <v>3554</v>
      </c>
      <c r="M64" s="3">
        <f>IFERROR(__xludf.DUMMYFUNCTION("""COMPUTED_VALUE"""),4903.0)</f>
        <v>4903</v>
      </c>
      <c r="N64" s="3">
        <f>IFERROR(__xludf.DUMMYFUNCTION("""COMPUTED_VALUE"""),5806.0)</f>
        <v>5806</v>
      </c>
      <c r="O64" s="3">
        <f>IFERROR(__xludf.DUMMYFUNCTION("""COMPUTED_VALUE"""),7153.0)</f>
        <v>7153</v>
      </c>
      <c r="P64" s="3">
        <f>IFERROR(__xludf.DUMMYFUNCTION("""COMPUTED_VALUE"""),11177.0)</f>
        <v>11177</v>
      </c>
      <c r="Q64" s="3">
        <f>IFERROR(__xludf.DUMMYFUNCTION("""COMPUTED_VALUE"""),13522.0)</f>
        <v>13522</v>
      </c>
      <c r="R64" s="3">
        <f>IFERROR(__xludf.DUMMYFUNCTION("""COMPUTED_VALUE"""),16678.0)</f>
        <v>16678</v>
      </c>
      <c r="S64" s="3">
        <f>IFERROR(__xludf.DUMMYFUNCTION("""COMPUTED_VALUE"""),19665.0)</f>
        <v>19665</v>
      </c>
      <c r="T64" s="3">
        <f>IFERROR(__xludf.DUMMYFUNCTION("""COMPUTED_VALUE"""),22112.0)</f>
        <v>22112</v>
      </c>
      <c r="U64" s="3">
        <f>IFERROR(__xludf.DUMMYFUNCTION("""COMPUTED_VALUE"""),24953.0)</f>
        <v>24953</v>
      </c>
      <c r="V64" s="3">
        <f>IFERROR(__xludf.DUMMYFUNCTION("""COMPUTED_VALUE"""),27100.0)</f>
        <v>27100</v>
      </c>
      <c r="W64" s="3">
        <f>IFERROR(__xludf.DUMMYFUNCTION("""COMPUTED_VALUE"""),29631.0)</f>
        <v>29631</v>
      </c>
      <c r="X64" s="3">
        <f>IFERROR(__xludf.DUMMYFUNCTION("""COMPUTED_VALUE"""),31728.0)</f>
        <v>31728</v>
      </c>
      <c r="Y64" s="3">
        <f>IFERROR(__xludf.DUMMYFUNCTION("""COMPUTED_VALUE"""),33366.0)</f>
        <v>33366</v>
      </c>
      <c r="Z64" s="3">
        <f>IFERROR(__xludf.DUMMYFUNCTION("""COMPUTED_VALUE"""),33366.0)</f>
        <v>33366</v>
      </c>
      <c r="AA64" s="3">
        <f>IFERROR(__xludf.DUMMYFUNCTION("""COMPUTED_VALUE"""),48206.0)</f>
        <v>48206</v>
      </c>
      <c r="AB64" s="3">
        <f>IFERROR(__xludf.DUMMYFUNCTION("""COMPUTED_VALUE"""),54406.0)</f>
        <v>54406</v>
      </c>
      <c r="AC64" s="3">
        <f>IFERROR(__xludf.DUMMYFUNCTION("""COMPUTED_VALUE"""),56249.0)</f>
        <v>56249</v>
      </c>
      <c r="AD64" s="3">
        <f>IFERROR(__xludf.DUMMYFUNCTION("""COMPUTED_VALUE"""),58182.0)</f>
        <v>58182</v>
      </c>
      <c r="AE64" s="3">
        <f>IFERROR(__xludf.DUMMYFUNCTION("""COMPUTED_VALUE"""),59989.0)</f>
        <v>59989</v>
      </c>
      <c r="AF64" s="3">
        <f>IFERROR(__xludf.DUMMYFUNCTION("""COMPUTED_VALUE"""),61682.0)</f>
        <v>61682</v>
      </c>
      <c r="AG64" s="3">
        <f>IFERROR(__xludf.DUMMYFUNCTION("""COMPUTED_VALUE"""),62031.0)</f>
        <v>62031</v>
      </c>
      <c r="AH64" s="3">
        <f>IFERROR(__xludf.DUMMYFUNCTION("""COMPUTED_VALUE"""),62442.0)</f>
        <v>62442</v>
      </c>
      <c r="AI64" s="3">
        <f>IFERROR(__xludf.DUMMYFUNCTION("""COMPUTED_VALUE"""),62662.0)</f>
        <v>62662</v>
      </c>
      <c r="AJ64" s="3">
        <f>IFERROR(__xludf.DUMMYFUNCTION("""COMPUTED_VALUE"""),64084.0)</f>
        <v>64084</v>
      </c>
      <c r="AK64" s="3">
        <f>IFERROR(__xludf.DUMMYFUNCTION("""COMPUTED_VALUE"""),64084.0)</f>
        <v>64084</v>
      </c>
      <c r="AL64" s="3">
        <f>IFERROR(__xludf.DUMMYFUNCTION("""COMPUTED_VALUE"""),64287.0)</f>
        <v>64287</v>
      </c>
      <c r="AM64" s="3">
        <f>IFERROR(__xludf.DUMMYFUNCTION("""COMPUTED_VALUE"""),64786.0)</f>
        <v>64786</v>
      </c>
      <c r="AN64" s="3">
        <f>IFERROR(__xludf.DUMMYFUNCTION("""COMPUTED_VALUE"""),65187.0)</f>
        <v>65187</v>
      </c>
      <c r="AO64" s="3">
        <f>IFERROR(__xludf.DUMMYFUNCTION("""COMPUTED_VALUE"""),65596.0)</f>
        <v>65596</v>
      </c>
      <c r="AP64" s="3">
        <f>IFERROR(__xludf.DUMMYFUNCTION("""COMPUTED_VALUE"""),65914.0)</f>
        <v>65914</v>
      </c>
      <c r="AQ64" s="3">
        <f>IFERROR(__xludf.DUMMYFUNCTION("""COMPUTED_VALUE"""),66337.0)</f>
        <v>66337</v>
      </c>
      <c r="AR64" s="3">
        <f>IFERROR(__xludf.DUMMYFUNCTION("""COMPUTED_VALUE"""),66907.0)</f>
        <v>66907</v>
      </c>
      <c r="AS64" s="3">
        <f>IFERROR(__xludf.DUMMYFUNCTION("""COMPUTED_VALUE"""),67103.0)</f>
        <v>67103</v>
      </c>
      <c r="AT64" s="3">
        <f>IFERROR(__xludf.DUMMYFUNCTION("""COMPUTED_VALUE"""),67217.0)</f>
        <v>67217</v>
      </c>
      <c r="AU64" s="3">
        <f>IFERROR(__xludf.DUMMYFUNCTION("""COMPUTED_VALUE"""),67332.0)</f>
        <v>67332</v>
      </c>
      <c r="AV64" s="3">
        <f>IFERROR(__xludf.DUMMYFUNCTION("""COMPUTED_VALUE"""),67466.0)</f>
        <v>67466</v>
      </c>
      <c r="AW64" s="3">
        <f>IFERROR(__xludf.DUMMYFUNCTION("""COMPUTED_VALUE"""),67592.0)</f>
        <v>67592</v>
      </c>
      <c r="AX64" s="3">
        <f>IFERROR(__xludf.DUMMYFUNCTION("""COMPUTED_VALUE"""),67666.0)</f>
        <v>67666</v>
      </c>
      <c r="AY64" s="3">
        <f>IFERROR(__xludf.DUMMYFUNCTION("""COMPUTED_VALUE"""),67707.0)</f>
        <v>67707</v>
      </c>
      <c r="AZ64" s="3">
        <f>IFERROR(__xludf.DUMMYFUNCTION("""COMPUTED_VALUE"""),67743.0)</f>
        <v>67743</v>
      </c>
      <c r="BA64" s="3">
        <f>IFERROR(__xludf.DUMMYFUNCTION("""COMPUTED_VALUE"""),67760.0)</f>
        <v>67760</v>
      </c>
      <c r="BB64" s="3">
        <f>IFERROR(__xludf.DUMMYFUNCTION("""COMPUTED_VALUE"""),67773.0)</f>
        <v>67773</v>
      </c>
      <c r="BC64" s="3">
        <f>IFERROR(__xludf.DUMMYFUNCTION("""COMPUTED_VALUE"""),67781.0)</f>
        <v>67781</v>
      </c>
      <c r="BD64" s="3">
        <f>IFERROR(__xludf.DUMMYFUNCTION("""COMPUTED_VALUE"""),67786.0)</f>
        <v>67786</v>
      </c>
      <c r="BE64" s="3">
        <f>IFERROR(__xludf.DUMMYFUNCTION("""COMPUTED_VALUE"""),67790.0)</f>
        <v>67790</v>
      </c>
      <c r="BF64" s="3">
        <f>IFERROR(__xludf.DUMMYFUNCTION("""COMPUTED_VALUE"""),67794.0)</f>
        <v>67794</v>
      </c>
      <c r="BG64" s="3">
        <f>IFERROR(__xludf.DUMMYFUNCTION("""COMPUTED_VALUE"""),67798.0)</f>
        <v>67798</v>
      </c>
      <c r="BH64" s="3">
        <f>IFERROR(__xludf.DUMMYFUNCTION("""COMPUTED_VALUE"""),67799.0)</f>
        <v>67799</v>
      </c>
      <c r="BI64" s="3">
        <f>IFERROR(__xludf.DUMMYFUNCTION("""COMPUTED_VALUE"""),67800.0)</f>
        <v>67800</v>
      </c>
      <c r="BJ64" s="3">
        <f>IFERROR(__xludf.DUMMYFUNCTION("""COMPUTED_VALUE"""),67800.0)</f>
        <v>67800</v>
      </c>
      <c r="BK64" s="3">
        <f>IFERROR(__xludf.DUMMYFUNCTION("""COMPUTED_VALUE"""),67800.0)</f>
        <v>67800</v>
      </c>
      <c r="BL64" s="3">
        <f>IFERROR(__xludf.DUMMYFUNCTION("""COMPUTED_VALUE"""),67800.0)</f>
        <v>67800</v>
      </c>
      <c r="BM64" s="3">
        <f>IFERROR(__xludf.DUMMYFUNCTION("""COMPUTED_VALUE"""),67800.0)</f>
        <v>67800</v>
      </c>
      <c r="BN64" s="3">
        <f>IFERROR(__xludf.DUMMYFUNCTION("""COMPUTED_VALUE"""),67800.0)</f>
        <v>67800</v>
      </c>
      <c r="BO64" s="3">
        <f>IFERROR(__xludf.DUMMYFUNCTION("""COMPUTED_VALUE"""),67801.0)</f>
        <v>67801</v>
      </c>
      <c r="BP64" s="3">
        <f>IFERROR(__xludf.DUMMYFUNCTION("""COMPUTED_VALUE"""),67801.0)</f>
        <v>67801</v>
      </c>
      <c r="BQ64" s="3">
        <f>IFERROR(__xludf.DUMMYFUNCTION("""COMPUTED_VALUE"""),67801.0)</f>
        <v>67801</v>
      </c>
      <c r="BR64" s="3">
        <f>IFERROR(__xludf.DUMMYFUNCTION("""COMPUTED_VALUE"""),67801.0)</f>
        <v>67801</v>
      </c>
      <c r="BS64" s="3">
        <f>IFERROR(__xludf.DUMMYFUNCTION("""COMPUTED_VALUE"""),67801.0)</f>
        <v>67801</v>
      </c>
      <c r="BT64" s="3">
        <f>IFERROR(__xludf.DUMMYFUNCTION("""COMPUTED_VALUE"""),67801.0)</f>
        <v>67801</v>
      </c>
      <c r="BU64" s="3">
        <f>IFERROR(__xludf.DUMMYFUNCTION("""COMPUTED_VALUE"""),67801.0)</f>
        <v>67801</v>
      </c>
      <c r="BV64" s="3">
        <f>IFERROR(__xludf.DUMMYFUNCTION("""COMPUTED_VALUE"""),67801.0)</f>
        <v>67801</v>
      </c>
      <c r="BW64" s="3">
        <f>IFERROR(__xludf.DUMMYFUNCTION("""COMPUTED_VALUE"""),67802.0)</f>
        <v>67802</v>
      </c>
      <c r="BX64" s="3">
        <f>IFERROR(__xludf.DUMMYFUNCTION("""COMPUTED_VALUE"""),67802.0)</f>
        <v>67802</v>
      </c>
      <c r="BY64" s="3">
        <f>IFERROR(__xludf.DUMMYFUNCTION("""COMPUTED_VALUE"""),67802.0)</f>
        <v>67802</v>
      </c>
      <c r="BZ64" s="3">
        <f>IFERROR(__xludf.DUMMYFUNCTION("""COMPUTED_VALUE"""),67803.0)</f>
        <v>67803</v>
      </c>
      <c r="CA64" s="3">
        <f>IFERROR(__xludf.DUMMYFUNCTION("""COMPUTED_VALUE"""),67803.0)</f>
        <v>67803</v>
      </c>
      <c r="CB64" s="3">
        <f>IFERROR(__xludf.DUMMYFUNCTION("""COMPUTED_VALUE"""),67803.0)</f>
        <v>67803</v>
      </c>
    </row>
    <row r="65">
      <c r="A65" s="3" t="str">
        <f>IFERROR(__xludf.DUMMYFUNCTION("""COMPUTED_VALUE"""),"Hunan")</f>
        <v>Hunan</v>
      </c>
      <c r="B65" s="3" t="str">
        <f>IFERROR(__xludf.DUMMYFUNCTION("""COMPUTED_VALUE"""),"China")</f>
        <v>China</v>
      </c>
      <c r="C65" s="3">
        <f>IFERROR(__xludf.DUMMYFUNCTION("""COMPUTED_VALUE"""),27.6104)</f>
        <v>27.6104</v>
      </c>
      <c r="D65" s="3">
        <f>IFERROR(__xludf.DUMMYFUNCTION("""COMPUTED_VALUE"""),111.7088)</f>
        <v>111.7088</v>
      </c>
      <c r="E65" s="3">
        <f>IFERROR(__xludf.DUMMYFUNCTION("""COMPUTED_VALUE"""),4.0)</f>
        <v>4</v>
      </c>
      <c r="F65" s="3">
        <f>IFERROR(__xludf.DUMMYFUNCTION("""COMPUTED_VALUE"""),9.0)</f>
        <v>9</v>
      </c>
      <c r="G65" s="3">
        <f>IFERROR(__xludf.DUMMYFUNCTION("""COMPUTED_VALUE"""),24.0)</f>
        <v>24</v>
      </c>
      <c r="H65" s="3">
        <f>IFERROR(__xludf.DUMMYFUNCTION("""COMPUTED_VALUE"""),43.0)</f>
        <v>43</v>
      </c>
      <c r="I65" s="3">
        <f>IFERROR(__xludf.DUMMYFUNCTION("""COMPUTED_VALUE"""),69.0)</f>
        <v>69</v>
      </c>
      <c r="J65" s="3">
        <f>IFERROR(__xludf.DUMMYFUNCTION("""COMPUTED_VALUE"""),100.0)</f>
        <v>100</v>
      </c>
      <c r="K65" s="3">
        <f>IFERROR(__xludf.DUMMYFUNCTION("""COMPUTED_VALUE"""),143.0)</f>
        <v>143</v>
      </c>
      <c r="L65" s="3">
        <f>IFERROR(__xludf.DUMMYFUNCTION("""COMPUTED_VALUE"""),221.0)</f>
        <v>221</v>
      </c>
      <c r="M65" s="3">
        <f>IFERROR(__xludf.DUMMYFUNCTION("""COMPUTED_VALUE"""),277.0)</f>
        <v>277</v>
      </c>
      <c r="N65" s="3">
        <f>IFERROR(__xludf.DUMMYFUNCTION("""COMPUTED_VALUE"""),332.0)</f>
        <v>332</v>
      </c>
      <c r="O65" s="3">
        <f>IFERROR(__xludf.DUMMYFUNCTION("""COMPUTED_VALUE"""),389.0)</f>
        <v>389</v>
      </c>
      <c r="P65" s="3">
        <f>IFERROR(__xludf.DUMMYFUNCTION("""COMPUTED_VALUE"""),463.0)</f>
        <v>463</v>
      </c>
      <c r="Q65" s="3">
        <f>IFERROR(__xludf.DUMMYFUNCTION("""COMPUTED_VALUE"""),521.0)</f>
        <v>521</v>
      </c>
      <c r="R65" s="3">
        <f>IFERROR(__xludf.DUMMYFUNCTION("""COMPUTED_VALUE"""),593.0)</f>
        <v>593</v>
      </c>
      <c r="S65" s="3">
        <f>IFERROR(__xludf.DUMMYFUNCTION("""COMPUTED_VALUE"""),661.0)</f>
        <v>661</v>
      </c>
      <c r="T65" s="3">
        <f>IFERROR(__xludf.DUMMYFUNCTION("""COMPUTED_VALUE"""),711.0)</f>
        <v>711</v>
      </c>
      <c r="U65" s="3">
        <f>IFERROR(__xludf.DUMMYFUNCTION("""COMPUTED_VALUE"""),772.0)</f>
        <v>772</v>
      </c>
      <c r="V65" s="3">
        <f>IFERROR(__xludf.DUMMYFUNCTION("""COMPUTED_VALUE"""),803.0)</f>
        <v>803</v>
      </c>
      <c r="W65" s="3">
        <f>IFERROR(__xludf.DUMMYFUNCTION("""COMPUTED_VALUE"""),838.0)</f>
        <v>838</v>
      </c>
      <c r="X65" s="3">
        <f>IFERROR(__xludf.DUMMYFUNCTION("""COMPUTED_VALUE"""),879.0)</f>
        <v>879</v>
      </c>
      <c r="Y65" s="3">
        <f>IFERROR(__xludf.DUMMYFUNCTION("""COMPUTED_VALUE"""),912.0)</f>
        <v>912</v>
      </c>
      <c r="Z65" s="3">
        <f>IFERROR(__xludf.DUMMYFUNCTION("""COMPUTED_VALUE"""),946.0)</f>
        <v>946</v>
      </c>
      <c r="AA65" s="3">
        <f>IFERROR(__xludf.DUMMYFUNCTION("""COMPUTED_VALUE"""),968.0)</f>
        <v>968</v>
      </c>
      <c r="AB65" s="3">
        <f>IFERROR(__xludf.DUMMYFUNCTION("""COMPUTED_VALUE"""),988.0)</f>
        <v>988</v>
      </c>
      <c r="AC65" s="3">
        <f>IFERROR(__xludf.DUMMYFUNCTION("""COMPUTED_VALUE"""),1001.0)</f>
        <v>1001</v>
      </c>
      <c r="AD65" s="3">
        <f>IFERROR(__xludf.DUMMYFUNCTION("""COMPUTED_VALUE"""),1004.0)</f>
        <v>1004</v>
      </c>
      <c r="AE65" s="3">
        <f>IFERROR(__xludf.DUMMYFUNCTION("""COMPUTED_VALUE"""),1006.0)</f>
        <v>1006</v>
      </c>
      <c r="AF65" s="3">
        <f>IFERROR(__xludf.DUMMYFUNCTION("""COMPUTED_VALUE"""),1007.0)</f>
        <v>1007</v>
      </c>
      <c r="AG65" s="3">
        <f>IFERROR(__xludf.DUMMYFUNCTION("""COMPUTED_VALUE"""),1008.0)</f>
        <v>1008</v>
      </c>
      <c r="AH65" s="3">
        <f>IFERROR(__xludf.DUMMYFUNCTION("""COMPUTED_VALUE"""),1010.0)</f>
        <v>1010</v>
      </c>
      <c r="AI65" s="3">
        <f>IFERROR(__xludf.DUMMYFUNCTION("""COMPUTED_VALUE"""),1011.0)</f>
        <v>1011</v>
      </c>
      <c r="AJ65" s="3">
        <f>IFERROR(__xludf.DUMMYFUNCTION("""COMPUTED_VALUE"""),1013.0)</f>
        <v>1013</v>
      </c>
      <c r="AK65" s="3">
        <f>IFERROR(__xludf.DUMMYFUNCTION("""COMPUTED_VALUE"""),1016.0)</f>
        <v>1016</v>
      </c>
      <c r="AL65" s="3">
        <f>IFERROR(__xludf.DUMMYFUNCTION("""COMPUTED_VALUE"""),1016.0)</f>
        <v>1016</v>
      </c>
      <c r="AM65" s="3">
        <f>IFERROR(__xludf.DUMMYFUNCTION("""COMPUTED_VALUE"""),1016.0)</f>
        <v>1016</v>
      </c>
      <c r="AN65" s="3">
        <f>IFERROR(__xludf.DUMMYFUNCTION("""COMPUTED_VALUE"""),1016.0)</f>
        <v>1016</v>
      </c>
      <c r="AO65" s="3">
        <f>IFERROR(__xludf.DUMMYFUNCTION("""COMPUTED_VALUE"""),1017.0)</f>
        <v>1017</v>
      </c>
      <c r="AP65" s="3">
        <f>IFERROR(__xludf.DUMMYFUNCTION("""COMPUTED_VALUE"""),1017.0)</f>
        <v>1017</v>
      </c>
      <c r="AQ65" s="3">
        <f>IFERROR(__xludf.DUMMYFUNCTION("""COMPUTED_VALUE"""),1018.0)</f>
        <v>1018</v>
      </c>
      <c r="AR65" s="3">
        <f>IFERROR(__xludf.DUMMYFUNCTION("""COMPUTED_VALUE"""),1018.0)</f>
        <v>1018</v>
      </c>
      <c r="AS65" s="3">
        <f>IFERROR(__xludf.DUMMYFUNCTION("""COMPUTED_VALUE"""),1018.0)</f>
        <v>1018</v>
      </c>
      <c r="AT65" s="3">
        <f>IFERROR(__xludf.DUMMYFUNCTION("""COMPUTED_VALUE"""),1018.0)</f>
        <v>1018</v>
      </c>
      <c r="AU65" s="3">
        <f>IFERROR(__xludf.DUMMYFUNCTION("""COMPUTED_VALUE"""),1018.0)</f>
        <v>1018</v>
      </c>
      <c r="AV65" s="3">
        <f>IFERROR(__xludf.DUMMYFUNCTION("""COMPUTED_VALUE"""),1018.0)</f>
        <v>1018</v>
      </c>
      <c r="AW65" s="3">
        <f>IFERROR(__xludf.DUMMYFUNCTION("""COMPUTED_VALUE"""),1018.0)</f>
        <v>1018</v>
      </c>
      <c r="AX65" s="3">
        <f>IFERROR(__xludf.DUMMYFUNCTION("""COMPUTED_VALUE"""),1018.0)</f>
        <v>1018</v>
      </c>
      <c r="AY65" s="3">
        <f>IFERROR(__xludf.DUMMYFUNCTION("""COMPUTED_VALUE"""),1018.0)</f>
        <v>1018</v>
      </c>
      <c r="AZ65" s="3">
        <f>IFERROR(__xludf.DUMMYFUNCTION("""COMPUTED_VALUE"""),1018.0)</f>
        <v>1018</v>
      </c>
      <c r="BA65" s="3">
        <f>IFERROR(__xludf.DUMMYFUNCTION("""COMPUTED_VALUE"""),1018.0)</f>
        <v>1018</v>
      </c>
      <c r="BB65" s="3">
        <f>IFERROR(__xludf.DUMMYFUNCTION("""COMPUTED_VALUE"""),1018.0)</f>
        <v>1018</v>
      </c>
      <c r="BC65" s="3">
        <f>IFERROR(__xludf.DUMMYFUNCTION("""COMPUTED_VALUE"""),1018.0)</f>
        <v>1018</v>
      </c>
      <c r="BD65" s="3">
        <f>IFERROR(__xludf.DUMMYFUNCTION("""COMPUTED_VALUE"""),1018.0)</f>
        <v>1018</v>
      </c>
      <c r="BE65" s="3">
        <f>IFERROR(__xludf.DUMMYFUNCTION("""COMPUTED_VALUE"""),1018.0)</f>
        <v>1018</v>
      </c>
      <c r="BF65" s="3">
        <f>IFERROR(__xludf.DUMMYFUNCTION("""COMPUTED_VALUE"""),1018.0)</f>
        <v>1018</v>
      </c>
      <c r="BG65" s="3">
        <f>IFERROR(__xludf.DUMMYFUNCTION("""COMPUTED_VALUE"""),1018.0)</f>
        <v>1018</v>
      </c>
      <c r="BH65" s="3">
        <f>IFERROR(__xludf.DUMMYFUNCTION("""COMPUTED_VALUE"""),1018.0)</f>
        <v>1018</v>
      </c>
      <c r="BI65" s="3">
        <f>IFERROR(__xludf.DUMMYFUNCTION("""COMPUTED_VALUE"""),1018.0)</f>
        <v>1018</v>
      </c>
      <c r="BJ65" s="3">
        <f>IFERROR(__xludf.DUMMYFUNCTION("""COMPUTED_VALUE"""),1018.0)</f>
        <v>1018</v>
      </c>
      <c r="BK65" s="3">
        <f>IFERROR(__xludf.DUMMYFUNCTION("""COMPUTED_VALUE"""),1018.0)</f>
        <v>1018</v>
      </c>
      <c r="BL65" s="3">
        <f>IFERROR(__xludf.DUMMYFUNCTION("""COMPUTED_VALUE"""),1018.0)</f>
        <v>1018</v>
      </c>
      <c r="BM65" s="3">
        <f>IFERROR(__xludf.DUMMYFUNCTION("""COMPUTED_VALUE"""),1018.0)</f>
        <v>1018</v>
      </c>
      <c r="BN65" s="3">
        <f>IFERROR(__xludf.DUMMYFUNCTION("""COMPUTED_VALUE"""),1018.0)</f>
        <v>1018</v>
      </c>
      <c r="BO65" s="3">
        <f>IFERROR(__xludf.DUMMYFUNCTION("""COMPUTED_VALUE"""),1018.0)</f>
        <v>1018</v>
      </c>
      <c r="BP65" s="3">
        <f>IFERROR(__xludf.DUMMYFUNCTION("""COMPUTED_VALUE"""),1018.0)</f>
        <v>1018</v>
      </c>
      <c r="BQ65" s="3">
        <f>IFERROR(__xludf.DUMMYFUNCTION("""COMPUTED_VALUE"""),1018.0)</f>
        <v>1018</v>
      </c>
      <c r="BR65" s="3">
        <f>IFERROR(__xludf.DUMMYFUNCTION("""COMPUTED_VALUE"""),1018.0)</f>
        <v>1018</v>
      </c>
      <c r="BS65" s="3">
        <f>IFERROR(__xludf.DUMMYFUNCTION("""COMPUTED_VALUE"""),1018.0)</f>
        <v>1018</v>
      </c>
      <c r="BT65" s="3">
        <f>IFERROR(__xludf.DUMMYFUNCTION("""COMPUTED_VALUE"""),1018.0)</f>
        <v>1018</v>
      </c>
      <c r="BU65" s="3">
        <f>IFERROR(__xludf.DUMMYFUNCTION("""COMPUTED_VALUE"""),1018.0)</f>
        <v>1018</v>
      </c>
      <c r="BV65" s="3">
        <f>IFERROR(__xludf.DUMMYFUNCTION("""COMPUTED_VALUE"""),1018.0)</f>
        <v>1018</v>
      </c>
      <c r="BW65" s="3">
        <f>IFERROR(__xludf.DUMMYFUNCTION("""COMPUTED_VALUE"""),1018.0)</f>
        <v>1018</v>
      </c>
      <c r="BX65" s="3">
        <f>IFERROR(__xludf.DUMMYFUNCTION("""COMPUTED_VALUE"""),1019.0)</f>
        <v>1019</v>
      </c>
      <c r="BY65" s="3">
        <f>IFERROR(__xludf.DUMMYFUNCTION("""COMPUTED_VALUE"""),1019.0)</f>
        <v>1019</v>
      </c>
      <c r="BZ65" s="3">
        <f>IFERROR(__xludf.DUMMYFUNCTION("""COMPUTED_VALUE"""),1019.0)</f>
        <v>1019</v>
      </c>
      <c r="CA65" s="3">
        <f>IFERROR(__xludf.DUMMYFUNCTION("""COMPUTED_VALUE"""),1019.0)</f>
        <v>1019</v>
      </c>
      <c r="CB65" s="3">
        <f>IFERROR(__xludf.DUMMYFUNCTION("""COMPUTED_VALUE"""),1019.0)</f>
        <v>1019</v>
      </c>
    </row>
    <row r="66">
      <c r="A66" s="3" t="str">
        <f>IFERROR(__xludf.DUMMYFUNCTION("""COMPUTED_VALUE"""),"Inner Mongolia")</f>
        <v>Inner Mongolia</v>
      </c>
      <c r="B66" s="3" t="str">
        <f>IFERROR(__xludf.DUMMYFUNCTION("""COMPUTED_VALUE"""),"China")</f>
        <v>China</v>
      </c>
      <c r="C66" s="3">
        <f>IFERROR(__xludf.DUMMYFUNCTION("""COMPUTED_VALUE"""),44.0935)</f>
        <v>44.0935</v>
      </c>
      <c r="D66" s="3">
        <f>IFERROR(__xludf.DUMMYFUNCTION("""COMPUTED_VALUE"""),113.9448)</f>
        <v>113.9448</v>
      </c>
      <c r="E66" s="3">
        <f>IFERROR(__xludf.DUMMYFUNCTION("""COMPUTED_VALUE"""),0.0)</f>
        <v>0</v>
      </c>
      <c r="F66" s="3">
        <f>IFERROR(__xludf.DUMMYFUNCTION("""COMPUTED_VALUE"""),0.0)</f>
        <v>0</v>
      </c>
      <c r="G66" s="3">
        <f>IFERROR(__xludf.DUMMYFUNCTION("""COMPUTED_VALUE"""),1.0)</f>
        <v>1</v>
      </c>
      <c r="H66" s="3">
        <f>IFERROR(__xludf.DUMMYFUNCTION("""COMPUTED_VALUE"""),7.0)</f>
        <v>7</v>
      </c>
      <c r="I66" s="3">
        <f>IFERROR(__xludf.DUMMYFUNCTION("""COMPUTED_VALUE"""),7.0)</f>
        <v>7</v>
      </c>
      <c r="J66" s="3">
        <f>IFERROR(__xludf.DUMMYFUNCTION("""COMPUTED_VALUE"""),11.0)</f>
        <v>11</v>
      </c>
      <c r="K66" s="3">
        <f>IFERROR(__xludf.DUMMYFUNCTION("""COMPUTED_VALUE"""),15.0)</f>
        <v>15</v>
      </c>
      <c r="L66" s="3">
        <f>IFERROR(__xludf.DUMMYFUNCTION("""COMPUTED_VALUE"""),16.0)</f>
        <v>16</v>
      </c>
      <c r="M66" s="3">
        <f>IFERROR(__xludf.DUMMYFUNCTION("""COMPUTED_VALUE"""),19.0)</f>
        <v>19</v>
      </c>
      <c r="N66" s="3">
        <f>IFERROR(__xludf.DUMMYFUNCTION("""COMPUTED_VALUE"""),20.0)</f>
        <v>20</v>
      </c>
      <c r="O66" s="3">
        <f>IFERROR(__xludf.DUMMYFUNCTION("""COMPUTED_VALUE"""),23.0)</f>
        <v>23</v>
      </c>
      <c r="P66" s="3">
        <f>IFERROR(__xludf.DUMMYFUNCTION("""COMPUTED_VALUE"""),27.0)</f>
        <v>27</v>
      </c>
      <c r="Q66" s="3">
        <f>IFERROR(__xludf.DUMMYFUNCTION("""COMPUTED_VALUE"""),34.0)</f>
        <v>34</v>
      </c>
      <c r="R66" s="3">
        <f>IFERROR(__xludf.DUMMYFUNCTION("""COMPUTED_VALUE"""),35.0)</f>
        <v>35</v>
      </c>
      <c r="S66" s="3">
        <f>IFERROR(__xludf.DUMMYFUNCTION("""COMPUTED_VALUE"""),42.0)</f>
        <v>42</v>
      </c>
      <c r="T66" s="3">
        <f>IFERROR(__xludf.DUMMYFUNCTION("""COMPUTED_VALUE"""),46.0)</f>
        <v>46</v>
      </c>
      <c r="U66" s="3">
        <f>IFERROR(__xludf.DUMMYFUNCTION("""COMPUTED_VALUE"""),50.0)</f>
        <v>50</v>
      </c>
      <c r="V66" s="3">
        <f>IFERROR(__xludf.DUMMYFUNCTION("""COMPUTED_VALUE"""),52.0)</f>
        <v>52</v>
      </c>
      <c r="W66" s="3">
        <f>IFERROR(__xludf.DUMMYFUNCTION("""COMPUTED_VALUE"""),54.0)</f>
        <v>54</v>
      </c>
      <c r="X66" s="3">
        <f>IFERROR(__xludf.DUMMYFUNCTION("""COMPUTED_VALUE"""),58.0)</f>
        <v>58</v>
      </c>
      <c r="Y66" s="3">
        <f>IFERROR(__xludf.DUMMYFUNCTION("""COMPUTED_VALUE"""),58.0)</f>
        <v>58</v>
      </c>
      <c r="Z66" s="3">
        <f>IFERROR(__xludf.DUMMYFUNCTION("""COMPUTED_VALUE"""),60.0)</f>
        <v>60</v>
      </c>
      <c r="AA66" s="3">
        <f>IFERROR(__xludf.DUMMYFUNCTION("""COMPUTED_VALUE"""),61.0)</f>
        <v>61</v>
      </c>
      <c r="AB66" s="3">
        <f>IFERROR(__xludf.DUMMYFUNCTION("""COMPUTED_VALUE"""),65.0)</f>
        <v>65</v>
      </c>
      <c r="AC66" s="3">
        <f>IFERROR(__xludf.DUMMYFUNCTION("""COMPUTED_VALUE"""),68.0)</f>
        <v>68</v>
      </c>
      <c r="AD66" s="3">
        <f>IFERROR(__xludf.DUMMYFUNCTION("""COMPUTED_VALUE"""),70.0)</f>
        <v>70</v>
      </c>
      <c r="AE66" s="3">
        <f>IFERROR(__xludf.DUMMYFUNCTION("""COMPUTED_VALUE"""),72.0)</f>
        <v>72</v>
      </c>
      <c r="AF66" s="3">
        <f>IFERROR(__xludf.DUMMYFUNCTION("""COMPUTED_VALUE"""),73.0)</f>
        <v>73</v>
      </c>
      <c r="AG66" s="3">
        <f>IFERROR(__xludf.DUMMYFUNCTION("""COMPUTED_VALUE"""),75.0)</f>
        <v>75</v>
      </c>
      <c r="AH66" s="3">
        <f>IFERROR(__xludf.DUMMYFUNCTION("""COMPUTED_VALUE"""),75.0)</f>
        <v>75</v>
      </c>
      <c r="AI66" s="3">
        <f>IFERROR(__xludf.DUMMYFUNCTION("""COMPUTED_VALUE"""),75.0)</f>
        <v>75</v>
      </c>
      <c r="AJ66" s="3">
        <f>IFERROR(__xludf.DUMMYFUNCTION("""COMPUTED_VALUE"""),75.0)</f>
        <v>75</v>
      </c>
      <c r="AK66" s="3">
        <f>IFERROR(__xludf.DUMMYFUNCTION("""COMPUTED_VALUE"""),75.0)</f>
        <v>75</v>
      </c>
      <c r="AL66" s="3">
        <f>IFERROR(__xludf.DUMMYFUNCTION("""COMPUTED_VALUE"""),75.0)</f>
        <v>75</v>
      </c>
      <c r="AM66" s="3">
        <f>IFERROR(__xludf.DUMMYFUNCTION("""COMPUTED_VALUE"""),75.0)</f>
        <v>75</v>
      </c>
      <c r="AN66" s="3">
        <f>IFERROR(__xludf.DUMMYFUNCTION("""COMPUTED_VALUE"""),75.0)</f>
        <v>75</v>
      </c>
      <c r="AO66" s="3">
        <f>IFERROR(__xludf.DUMMYFUNCTION("""COMPUTED_VALUE"""),75.0)</f>
        <v>75</v>
      </c>
      <c r="AP66" s="3">
        <f>IFERROR(__xludf.DUMMYFUNCTION("""COMPUTED_VALUE"""),75.0)</f>
        <v>75</v>
      </c>
      <c r="AQ66" s="3">
        <f>IFERROR(__xludf.DUMMYFUNCTION("""COMPUTED_VALUE"""),75.0)</f>
        <v>75</v>
      </c>
      <c r="AR66" s="3">
        <f>IFERROR(__xludf.DUMMYFUNCTION("""COMPUTED_VALUE"""),75.0)</f>
        <v>75</v>
      </c>
      <c r="AS66" s="3">
        <f>IFERROR(__xludf.DUMMYFUNCTION("""COMPUTED_VALUE"""),75.0)</f>
        <v>75</v>
      </c>
      <c r="AT66" s="3">
        <f>IFERROR(__xludf.DUMMYFUNCTION("""COMPUTED_VALUE"""),75.0)</f>
        <v>75</v>
      </c>
      <c r="AU66" s="3">
        <f>IFERROR(__xludf.DUMMYFUNCTION("""COMPUTED_VALUE"""),75.0)</f>
        <v>75</v>
      </c>
      <c r="AV66" s="3">
        <f>IFERROR(__xludf.DUMMYFUNCTION("""COMPUTED_VALUE"""),75.0)</f>
        <v>75</v>
      </c>
      <c r="AW66" s="3">
        <f>IFERROR(__xludf.DUMMYFUNCTION("""COMPUTED_VALUE"""),75.0)</f>
        <v>75</v>
      </c>
      <c r="AX66" s="3">
        <f>IFERROR(__xludf.DUMMYFUNCTION("""COMPUTED_VALUE"""),75.0)</f>
        <v>75</v>
      </c>
      <c r="AY66" s="3">
        <f>IFERROR(__xludf.DUMMYFUNCTION("""COMPUTED_VALUE"""),75.0)</f>
        <v>75</v>
      </c>
      <c r="AZ66" s="3">
        <f>IFERROR(__xludf.DUMMYFUNCTION("""COMPUTED_VALUE"""),75.0)</f>
        <v>75</v>
      </c>
      <c r="BA66" s="3">
        <f>IFERROR(__xludf.DUMMYFUNCTION("""COMPUTED_VALUE"""),75.0)</f>
        <v>75</v>
      </c>
      <c r="BB66" s="3">
        <f>IFERROR(__xludf.DUMMYFUNCTION("""COMPUTED_VALUE"""),75.0)</f>
        <v>75</v>
      </c>
      <c r="BC66" s="3">
        <f>IFERROR(__xludf.DUMMYFUNCTION("""COMPUTED_VALUE"""),75.0)</f>
        <v>75</v>
      </c>
      <c r="BD66" s="3">
        <f>IFERROR(__xludf.DUMMYFUNCTION("""COMPUTED_VALUE"""),75.0)</f>
        <v>75</v>
      </c>
      <c r="BE66" s="3">
        <f>IFERROR(__xludf.DUMMYFUNCTION("""COMPUTED_VALUE"""),75.0)</f>
        <v>75</v>
      </c>
      <c r="BF66" s="3">
        <f>IFERROR(__xludf.DUMMYFUNCTION("""COMPUTED_VALUE"""),75.0)</f>
        <v>75</v>
      </c>
      <c r="BG66" s="3">
        <f>IFERROR(__xludf.DUMMYFUNCTION("""COMPUTED_VALUE"""),75.0)</f>
        <v>75</v>
      </c>
      <c r="BH66" s="3">
        <f>IFERROR(__xludf.DUMMYFUNCTION("""COMPUTED_VALUE"""),75.0)</f>
        <v>75</v>
      </c>
      <c r="BI66" s="3">
        <f>IFERROR(__xludf.DUMMYFUNCTION("""COMPUTED_VALUE"""),75.0)</f>
        <v>75</v>
      </c>
      <c r="BJ66" s="3">
        <f>IFERROR(__xludf.DUMMYFUNCTION("""COMPUTED_VALUE"""),75.0)</f>
        <v>75</v>
      </c>
      <c r="BK66" s="3">
        <f>IFERROR(__xludf.DUMMYFUNCTION("""COMPUTED_VALUE"""),75.0)</f>
        <v>75</v>
      </c>
      <c r="BL66" s="3">
        <f>IFERROR(__xludf.DUMMYFUNCTION("""COMPUTED_VALUE"""),75.0)</f>
        <v>75</v>
      </c>
      <c r="BM66" s="3">
        <f>IFERROR(__xludf.DUMMYFUNCTION("""COMPUTED_VALUE"""),75.0)</f>
        <v>75</v>
      </c>
      <c r="BN66" s="3">
        <f>IFERROR(__xludf.DUMMYFUNCTION("""COMPUTED_VALUE"""),75.0)</f>
        <v>75</v>
      </c>
      <c r="BO66" s="3">
        <f>IFERROR(__xludf.DUMMYFUNCTION("""COMPUTED_VALUE"""),75.0)</f>
        <v>75</v>
      </c>
      <c r="BP66" s="3">
        <f>IFERROR(__xludf.DUMMYFUNCTION("""COMPUTED_VALUE"""),77.0)</f>
        <v>77</v>
      </c>
      <c r="BQ66" s="3">
        <f>IFERROR(__xludf.DUMMYFUNCTION("""COMPUTED_VALUE"""),89.0)</f>
        <v>89</v>
      </c>
      <c r="BR66" s="3">
        <f>IFERROR(__xludf.DUMMYFUNCTION("""COMPUTED_VALUE"""),92.0)</f>
        <v>92</v>
      </c>
      <c r="BS66" s="3">
        <f>IFERROR(__xludf.DUMMYFUNCTION("""COMPUTED_VALUE"""),94.0)</f>
        <v>94</v>
      </c>
      <c r="BT66" s="3">
        <f>IFERROR(__xludf.DUMMYFUNCTION("""COMPUTED_VALUE"""),95.0)</f>
        <v>95</v>
      </c>
      <c r="BU66" s="3">
        <f>IFERROR(__xludf.DUMMYFUNCTION("""COMPUTED_VALUE"""),97.0)</f>
        <v>97</v>
      </c>
      <c r="BV66" s="3">
        <f>IFERROR(__xludf.DUMMYFUNCTION("""COMPUTED_VALUE"""),107.0)</f>
        <v>107</v>
      </c>
      <c r="BW66" s="3">
        <f>IFERROR(__xludf.DUMMYFUNCTION("""COMPUTED_VALUE"""),111.0)</f>
        <v>111</v>
      </c>
      <c r="BX66" s="3">
        <f>IFERROR(__xludf.DUMMYFUNCTION("""COMPUTED_VALUE"""),117.0)</f>
        <v>117</v>
      </c>
      <c r="BY66" s="3">
        <f>IFERROR(__xludf.DUMMYFUNCTION("""COMPUTED_VALUE"""),117.0)</f>
        <v>117</v>
      </c>
      <c r="BZ66" s="3">
        <f>IFERROR(__xludf.DUMMYFUNCTION("""COMPUTED_VALUE"""),117.0)</f>
        <v>117</v>
      </c>
      <c r="CA66" s="3">
        <f>IFERROR(__xludf.DUMMYFUNCTION("""COMPUTED_VALUE"""),117.0)</f>
        <v>117</v>
      </c>
      <c r="CB66" s="3">
        <f>IFERROR(__xludf.DUMMYFUNCTION("""COMPUTED_VALUE"""),118.0)</f>
        <v>118</v>
      </c>
    </row>
    <row r="67">
      <c r="A67" s="3" t="str">
        <f>IFERROR(__xludf.DUMMYFUNCTION("""COMPUTED_VALUE"""),"Jiangsu")</f>
        <v>Jiangsu</v>
      </c>
      <c r="B67" s="3" t="str">
        <f>IFERROR(__xludf.DUMMYFUNCTION("""COMPUTED_VALUE"""),"China")</f>
        <v>China</v>
      </c>
      <c r="C67" s="3">
        <f>IFERROR(__xludf.DUMMYFUNCTION("""COMPUTED_VALUE"""),32.9711)</f>
        <v>32.9711</v>
      </c>
      <c r="D67" s="3">
        <f>IFERROR(__xludf.DUMMYFUNCTION("""COMPUTED_VALUE"""),119.455)</f>
        <v>119.455</v>
      </c>
      <c r="E67" s="3">
        <f>IFERROR(__xludf.DUMMYFUNCTION("""COMPUTED_VALUE"""),1.0)</f>
        <v>1</v>
      </c>
      <c r="F67" s="3">
        <f>IFERROR(__xludf.DUMMYFUNCTION("""COMPUTED_VALUE"""),5.0)</f>
        <v>5</v>
      </c>
      <c r="G67" s="3">
        <f>IFERROR(__xludf.DUMMYFUNCTION("""COMPUTED_VALUE"""),9.0)</f>
        <v>9</v>
      </c>
      <c r="H67" s="3">
        <f>IFERROR(__xludf.DUMMYFUNCTION("""COMPUTED_VALUE"""),18.0)</f>
        <v>18</v>
      </c>
      <c r="I67" s="3">
        <f>IFERROR(__xludf.DUMMYFUNCTION("""COMPUTED_VALUE"""),33.0)</f>
        <v>33</v>
      </c>
      <c r="J67" s="3">
        <f>IFERROR(__xludf.DUMMYFUNCTION("""COMPUTED_VALUE"""),47.0)</f>
        <v>47</v>
      </c>
      <c r="K67" s="3">
        <f>IFERROR(__xludf.DUMMYFUNCTION("""COMPUTED_VALUE"""),70.0)</f>
        <v>70</v>
      </c>
      <c r="L67" s="3">
        <f>IFERROR(__xludf.DUMMYFUNCTION("""COMPUTED_VALUE"""),99.0)</f>
        <v>99</v>
      </c>
      <c r="M67" s="3">
        <f>IFERROR(__xludf.DUMMYFUNCTION("""COMPUTED_VALUE"""),129.0)</f>
        <v>129</v>
      </c>
      <c r="N67" s="3">
        <f>IFERROR(__xludf.DUMMYFUNCTION("""COMPUTED_VALUE"""),168.0)</f>
        <v>168</v>
      </c>
      <c r="O67" s="3">
        <f>IFERROR(__xludf.DUMMYFUNCTION("""COMPUTED_VALUE"""),202.0)</f>
        <v>202</v>
      </c>
      <c r="P67" s="3">
        <f>IFERROR(__xludf.DUMMYFUNCTION("""COMPUTED_VALUE"""),236.0)</f>
        <v>236</v>
      </c>
      <c r="Q67" s="3">
        <f>IFERROR(__xludf.DUMMYFUNCTION("""COMPUTED_VALUE"""),271.0)</f>
        <v>271</v>
      </c>
      <c r="R67" s="3">
        <f>IFERROR(__xludf.DUMMYFUNCTION("""COMPUTED_VALUE"""),308.0)</f>
        <v>308</v>
      </c>
      <c r="S67" s="3">
        <f>IFERROR(__xludf.DUMMYFUNCTION("""COMPUTED_VALUE"""),341.0)</f>
        <v>341</v>
      </c>
      <c r="T67" s="3">
        <f>IFERROR(__xludf.DUMMYFUNCTION("""COMPUTED_VALUE"""),373.0)</f>
        <v>373</v>
      </c>
      <c r="U67" s="3">
        <f>IFERROR(__xludf.DUMMYFUNCTION("""COMPUTED_VALUE"""),408.0)</f>
        <v>408</v>
      </c>
      <c r="V67" s="3">
        <f>IFERROR(__xludf.DUMMYFUNCTION("""COMPUTED_VALUE"""),439.0)</f>
        <v>439</v>
      </c>
      <c r="W67" s="3">
        <f>IFERROR(__xludf.DUMMYFUNCTION("""COMPUTED_VALUE"""),468.0)</f>
        <v>468</v>
      </c>
      <c r="X67" s="3">
        <f>IFERROR(__xludf.DUMMYFUNCTION("""COMPUTED_VALUE"""),492.0)</f>
        <v>492</v>
      </c>
      <c r="Y67" s="3">
        <f>IFERROR(__xludf.DUMMYFUNCTION("""COMPUTED_VALUE"""),515.0)</f>
        <v>515</v>
      </c>
      <c r="Z67" s="3">
        <f>IFERROR(__xludf.DUMMYFUNCTION("""COMPUTED_VALUE"""),543.0)</f>
        <v>543</v>
      </c>
      <c r="AA67" s="3">
        <f>IFERROR(__xludf.DUMMYFUNCTION("""COMPUTED_VALUE"""),570.0)</f>
        <v>570</v>
      </c>
      <c r="AB67" s="3">
        <f>IFERROR(__xludf.DUMMYFUNCTION("""COMPUTED_VALUE"""),593.0)</f>
        <v>593</v>
      </c>
      <c r="AC67" s="3">
        <f>IFERROR(__xludf.DUMMYFUNCTION("""COMPUTED_VALUE"""),604.0)</f>
        <v>604</v>
      </c>
      <c r="AD67" s="3">
        <f>IFERROR(__xludf.DUMMYFUNCTION("""COMPUTED_VALUE"""),617.0)</f>
        <v>617</v>
      </c>
      <c r="AE67" s="3">
        <f>IFERROR(__xludf.DUMMYFUNCTION("""COMPUTED_VALUE"""),626.0)</f>
        <v>626</v>
      </c>
      <c r="AF67" s="3">
        <f>IFERROR(__xludf.DUMMYFUNCTION("""COMPUTED_VALUE"""),629.0)</f>
        <v>629</v>
      </c>
      <c r="AG67" s="3">
        <f>IFERROR(__xludf.DUMMYFUNCTION("""COMPUTED_VALUE"""),631.0)</f>
        <v>631</v>
      </c>
      <c r="AH67" s="3">
        <f>IFERROR(__xludf.DUMMYFUNCTION("""COMPUTED_VALUE"""),631.0)</f>
        <v>631</v>
      </c>
      <c r="AI67" s="3">
        <f>IFERROR(__xludf.DUMMYFUNCTION("""COMPUTED_VALUE"""),631.0)</f>
        <v>631</v>
      </c>
      <c r="AJ67" s="3">
        <f>IFERROR(__xludf.DUMMYFUNCTION("""COMPUTED_VALUE"""),631.0)</f>
        <v>631</v>
      </c>
      <c r="AK67" s="3">
        <f>IFERROR(__xludf.DUMMYFUNCTION("""COMPUTED_VALUE"""),631.0)</f>
        <v>631</v>
      </c>
      <c r="AL67" s="3">
        <f>IFERROR(__xludf.DUMMYFUNCTION("""COMPUTED_VALUE"""),631.0)</f>
        <v>631</v>
      </c>
      <c r="AM67" s="3">
        <f>IFERROR(__xludf.DUMMYFUNCTION("""COMPUTED_VALUE"""),631.0)</f>
        <v>631</v>
      </c>
      <c r="AN67" s="3">
        <f>IFERROR(__xludf.DUMMYFUNCTION("""COMPUTED_VALUE"""),631.0)</f>
        <v>631</v>
      </c>
      <c r="AO67" s="3">
        <f>IFERROR(__xludf.DUMMYFUNCTION("""COMPUTED_VALUE"""),631.0)</f>
        <v>631</v>
      </c>
      <c r="AP67" s="3">
        <f>IFERROR(__xludf.DUMMYFUNCTION("""COMPUTED_VALUE"""),631.0)</f>
        <v>631</v>
      </c>
      <c r="AQ67" s="3">
        <f>IFERROR(__xludf.DUMMYFUNCTION("""COMPUTED_VALUE"""),631.0)</f>
        <v>631</v>
      </c>
      <c r="AR67" s="3">
        <f>IFERROR(__xludf.DUMMYFUNCTION("""COMPUTED_VALUE"""),631.0)</f>
        <v>631</v>
      </c>
      <c r="AS67" s="3">
        <f>IFERROR(__xludf.DUMMYFUNCTION("""COMPUTED_VALUE"""),631.0)</f>
        <v>631</v>
      </c>
      <c r="AT67" s="3">
        <f>IFERROR(__xludf.DUMMYFUNCTION("""COMPUTED_VALUE"""),631.0)</f>
        <v>631</v>
      </c>
      <c r="AU67" s="3">
        <f>IFERROR(__xludf.DUMMYFUNCTION("""COMPUTED_VALUE"""),631.0)</f>
        <v>631</v>
      </c>
      <c r="AV67" s="3">
        <f>IFERROR(__xludf.DUMMYFUNCTION("""COMPUTED_VALUE"""),631.0)</f>
        <v>631</v>
      </c>
      <c r="AW67" s="3">
        <f>IFERROR(__xludf.DUMMYFUNCTION("""COMPUTED_VALUE"""),631.0)</f>
        <v>631</v>
      </c>
      <c r="AX67" s="3">
        <f>IFERROR(__xludf.DUMMYFUNCTION("""COMPUTED_VALUE"""),631.0)</f>
        <v>631</v>
      </c>
      <c r="AY67" s="3">
        <f>IFERROR(__xludf.DUMMYFUNCTION("""COMPUTED_VALUE"""),631.0)</f>
        <v>631</v>
      </c>
      <c r="AZ67" s="3">
        <f>IFERROR(__xludf.DUMMYFUNCTION("""COMPUTED_VALUE"""),631.0)</f>
        <v>631</v>
      </c>
      <c r="BA67" s="3">
        <f>IFERROR(__xludf.DUMMYFUNCTION("""COMPUTED_VALUE"""),631.0)</f>
        <v>631</v>
      </c>
      <c r="BB67" s="3">
        <f>IFERROR(__xludf.DUMMYFUNCTION("""COMPUTED_VALUE"""),631.0)</f>
        <v>631</v>
      </c>
      <c r="BC67" s="3">
        <f>IFERROR(__xludf.DUMMYFUNCTION("""COMPUTED_VALUE"""),631.0)</f>
        <v>631</v>
      </c>
      <c r="BD67" s="3">
        <f>IFERROR(__xludf.DUMMYFUNCTION("""COMPUTED_VALUE"""),631.0)</f>
        <v>631</v>
      </c>
      <c r="BE67" s="3">
        <f>IFERROR(__xludf.DUMMYFUNCTION("""COMPUTED_VALUE"""),631.0)</f>
        <v>631</v>
      </c>
      <c r="BF67" s="3">
        <f>IFERROR(__xludf.DUMMYFUNCTION("""COMPUTED_VALUE"""),631.0)</f>
        <v>631</v>
      </c>
      <c r="BG67" s="3">
        <f>IFERROR(__xludf.DUMMYFUNCTION("""COMPUTED_VALUE"""),631.0)</f>
        <v>631</v>
      </c>
      <c r="BH67" s="3">
        <f>IFERROR(__xludf.DUMMYFUNCTION("""COMPUTED_VALUE"""),631.0)</f>
        <v>631</v>
      </c>
      <c r="BI67" s="3">
        <f>IFERROR(__xludf.DUMMYFUNCTION("""COMPUTED_VALUE"""),631.0)</f>
        <v>631</v>
      </c>
      <c r="BJ67" s="3">
        <f>IFERROR(__xludf.DUMMYFUNCTION("""COMPUTED_VALUE"""),631.0)</f>
        <v>631</v>
      </c>
      <c r="BK67" s="3">
        <f>IFERROR(__xludf.DUMMYFUNCTION("""COMPUTED_VALUE"""),631.0)</f>
        <v>631</v>
      </c>
      <c r="BL67" s="3">
        <f>IFERROR(__xludf.DUMMYFUNCTION("""COMPUTED_VALUE"""),631.0)</f>
        <v>631</v>
      </c>
      <c r="BM67" s="3">
        <f>IFERROR(__xludf.DUMMYFUNCTION("""COMPUTED_VALUE"""),633.0)</f>
        <v>633</v>
      </c>
      <c r="BN67" s="3">
        <f>IFERROR(__xludf.DUMMYFUNCTION("""COMPUTED_VALUE"""),633.0)</f>
        <v>633</v>
      </c>
      <c r="BO67" s="3">
        <f>IFERROR(__xludf.DUMMYFUNCTION("""COMPUTED_VALUE"""),636.0)</f>
        <v>636</v>
      </c>
      <c r="BP67" s="3">
        <f>IFERROR(__xludf.DUMMYFUNCTION("""COMPUTED_VALUE"""),638.0)</f>
        <v>638</v>
      </c>
      <c r="BQ67" s="3">
        <f>IFERROR(__xludf.DUMMYFUNCTION("""COMPUTED_VALUE"""),640.0)</f>
        <v>640</v>
      </c>
      <c r="BR67" s="3">
        <f>IFERROR(__xludf.DUMMYFUNCTION("""COMPUTED_VALUE"""),641.0)</f>
        <v>641</v>
      </c>
      <c r="BS67" s="3">
        <f>IFERROR(__xludf.DUMMYFUNCTION("""COMPUTED_VALUE"""),641.0)</f>
        <v>641</v>
      </c>
      <c r="BT67" s="3">
        <f>IFERROR(__xludf.DUMMYFUNCTION("""COMPUTED_VALUE"""),644.0)</f>
        <v>644</v>
      </c>
      <c r="BU67" s="3">
        <f>IFERROR(__xludf.DUMMYFUNCTION("""COMPUTED_VALUE"""),645.0)</f>
        <v>645</v>
      </c>
      <c r="BV67" s="3">
        <f>IFERROR(__xludf.DUMMYFUNCTION("""COMPUTED_VALUE"""),646.0)</f>
        <v>646</v>
      </c>
      <c r="BW67" s="3">
        <f>IFERROR(__xludf.DUMMYFUNCTION("""COMPUTED_VALUE"""),646.0)</f>
        <v>646</v>
      </c>
      <c r="BX67" s="3">
        <f>IFERROR(__xludf.DUMMYFUNCTION("""COMPUTED_VALUE"""),647.0)</f>
        <v>647</v>
      </c>
      <c r="BY67" s="3">
        <f>IFERROR(__xludf.DUMMYFUNCTION("""COMPUTED_VALUE"""),651.0)</f>
        <v>651</v>
      </c>
      <c r="BZ67" s="3">
        <f>IFERROR(__xludf.DUMMYFUNCTION("""COMPUTED_VALUE"""),651.0)</f>
        <v>651</v>
      </c>
      <c r="CA67" s="3">
        <f>IFERROR(__xludf.DUMMYFUNCTION("""COMPUTED_VALUE"""),651.0)</f>
        <v>651</v>
      </c>
      <c r="CB67" s="3">
        <f>IFERROR(__xludf.DUMMYFUNCTION("""COMPUTED_VALUE"""),651.0)</f>
        <v>651</v>
      </c>
    </row>
    <row r="68">
      <c r="A68" s="3" t="str">
        <f>IFERROR(__xludf.DUMMYFUNCTION("""COMPUTED_VALUE"""),"Jiangxi")</f>
        <v>Jiangxi</v>
      </c>
      <c r="B68" s="3" t="str">
        <f>IFERROR(__xludf.DUMMYFUNCTION("""COMPUTED_VALUE"""),"China")</f>
        <v>China</v>
      </c>
      <c r="C68" s="3">
        <f>IFERROR(__xludf.DUMMYFUNCTION("""COMPUTED_VALUE"""),27.614)</f>
        <v>27.614</v>
      </c>
      <c r="D68" s="3">
        <f>IFERROR(__xludf.DUMMYFUNCTION("""COMPUTED_VALUE"""),115.7221)</f>
        <v>115.7221</v>
      </c>
      <c r="E68" s="3">
        <f>IFERROR(__xludf.DUMMYFUNCTION("""COMPUTED_VALUE"""),2.0)</f>
        <v>2</v>
      </c>
      <c r="F68" s="3">
        <f>IFERROR(__xludf.DUMMYFUNCTION("""COMPUTED_VALUE"""),7.0)</f>
        <v>7</v>
      </c>
      <c r="G68" s="3">
        <f>IFERROR(__xludf.DUMMYFUNCTION("""COMPUTED_VALUE"""),18.0)</f>
        <v>18</v>
      </c>
      <c r="H68" s="3">
        <f>IFERROR(__xludf.DUMMYFUNCTION("""COMPUTED_VALUE"""),18.0)</f>
        <v>18</v>
      </c>
      <c r="I68" s="3">
        <f>IFERROR(__xludf.DUMMYFUNCTION("""COMPUTED_VALUE"""),36.0)</f>
        <v>36</v>
      </c>
      <c r="J68" s="3">
        <f>IFERROR(__xludf.DUMMYFUNCTION("""COMPUTED_VALUE"""),72.0)</f>
        <v>72</v>
      </c>
      <c r="K68" s="3">
        <f>IFERROR(__xludf.DUMMYFUNCTION("""COMPUTED_VALUE"""),109.0)</f>
        <v>109</v>
      </c>
      <c r="L68" s="3">
        <f>IFERROR(__xludf.DUMMYFUNCTION("""COMPUTED_VALUE"""),109.0)</f>
        <v>109</v>
      </c>
      <c r="M68" s="3">
        <f>IFERROR(__xludf.DUMMYFUNCTION("""COMPUTED_VALUE"""),162.0)</f>
        <v>162</v>
      </c>
      <c r="N68" s="3">
        <f>IFERROR(__xludf.DUMMYFUNCTION("""COMPUTED_VALUE"""),240.0)</f>
        <v>240</v>
      </c>
      <c r="O68" s="3">
        <f>IFERROR(__xludf.DUMMYFUNCTION("""COMPUTED_VALUE"""),286.0)</f>
        <v>286</v>
      </c>
      <c r="P68" s="3">
        <f>IFERROR(__xludf.DUMMYFUNCTION("""COMPUTED_VALUE"""),333.0)</f>
        <v>333</v>
      </c>
      <c r="Q68" s="3">
        <f>IFERROR(__xludf.DUMMYFUNCTION("""COMPUTED_VALUE"""),391.0)</f>
        <v>391</v>
      </c>
      <c r="R68" s="3">
        <f>IFERROR(__xludf.DUMMYFUNCTION("""COMPUTED_VALUE"""),476.0)</f>
        <v>476</v>
      </c>
      <c r="S68" s="3">
        <f>IFERROR(__xludf.DUMMYFUNCTION("""COMPUTED_VALUE"""),548.0)</f>
        <v>548</v>
      </c>
      <c r="T68" s="3">
        <f>IFERROR(__xludf.DUMMYFUNCTION("""COMPUTED_VALUE"""),600.0)</f>
        <v>600</v>
      </c>
      <c r="U68" s="3">
        <f>IFERROR(__xludf.DUMMYFUNCTION("""COMPUTED_VALUE"""),661.0)</f>
        <v>661</v>
      </c>
      <c r="V68" s="3">
        <f>IFERROR(__xludf.DUMMYFUNCTION("""COMPUTED_VALUE"""),698.0)</f>
        <v>698</v>
      </c>
      <c r="W68" s="3">
        <f>IFERROR(__xludf.DUMMYFUNCTION("""COMPUTED_VALUE"""),740.0)</f>
        <v>740</v>
      </c>
      <c r="X68" s="3">
        <f>IFERROR(__xludf.DUMMYFUNCTION("""COMPUTED_VALUE"""),771.0)</f>
        <v>771</v>
      </c>
      <c r="Y68" s="3">
        <f>IFERROR(__xludf.DUMMYFUNCTION("""COMPUTED_VALUE"""),804.0)</f>
        <v>804</v>
      </c>
      <c r="Z68" s="3">
        <f>IFERROR(__xludf.DUMMYFUNCTION("""COMPUTED_VALUE"""),844.0)</f>
        <v>844</v>
      </c>
      <c r="AA68" s="3">
        <f>IFERROR(__xludf.DUMMYFUNCTION("""COMPUTED_VALUE"""),872.0)</f>
        <v>872</v>
      </c>
      <c r="AB68" s="3">
        <f>IFERROR(__xludf.DUMMYFUNCTION("""COMPUTED_VALUE"""),900.0)</f>
        <v>900</v>
      </c>
      <c r="AC68" s="3">
        <f>IFERROR(__xludf.DUMMYFUNCTION("""COMPUTED_VALUE"""),913.0)</f>
        <v>913</v>
      </c>
      <c r="AD68" s="3">
        <f>IFERROR(__xludf.DUMMYFUNCTION("""COMPUTED_VALUE"""),925.0)</f>
        <v>925</v>
      </c>
      <c r="AE68" s="3">
        <f>IFERROR(__xludf.DUMMYFUNCTION("""COMPUTED_VALUE"""),930.0)</f>
        <v>930</v>
      </c>
      <c r="AF68" s="3">
        <f>IFERROR(__xludf.DUMMYFUNCTION("""COMPUTED_VALUE"""),933.0)</f>
        <v>933</v>
      </c>
      <c r="AG68" s="3">
        <f>IFERROR(__xludf.DUMMYFUNCTION("""COMPUTED_VALUE"""),934.0)</f>
        <v>934</v>
      </c>
      <c r="AH68" s="3">
        <f>IFERROR(__xludf.DUMMYFUNCTION("""COMPUTED_VALUE"""),934.0)</f>
        <v>934</v>
      </c>
      <c r="AI68" s="3">
        <f>IFERROR(__xludf.DUMMYFUNCTION("""COMPUTED_VALUE"""),934.0)</f>
        <v>934</v>
      </c>
      <c r="AJ68" s="3">
        <f>IFERROR(__xludf.DUMMYFUNCTION("""COMPUTED_VALUE"""),934.0)</f>
        <v>934</v>
      </c>
      <c r="AK68" s="3">
        <f>IFERROR(__xludf.DUMMYFUNCTION("""COMPUTED_VALUE"""),934.0)</f>
        <v>934</v>
      </c>
      <c r="AL68" s="3">
        <f>IFERROR(__xludf.DUMMYFUNCTION("""COMPUTED_VALUE"""),934.0)</f>
        <v>934</v>
      </c>
      <c r="AM68" s="3">
        <f>IFERROR(__xludf.DUMMYFUNCTION("""COMPUTED_VALUE"""),934.0)</f>
        <v>934</v>
      </c>
      <c r="AN68" s="3">
        <f>IFERROR(__xludf.DUMMYFUNCTION("""COMPUTED_VALUE"""),934.0)</f>
        <v>934</v>
      </c>
      <c r="AO68" s="3">
        <f>IFERROR(__xludf.DUMMYFUNCTION("""COMPUTED_VALUE"""),934.0)</f>
        <v>934</v>
      </c>
      <c r="AP68" s="3">
        <f>IFERROR(__xludf.DUMMYFUNCTION("""COMPUTED_VALUE"""),935.0)</f>
        <v>935</v>
      </c>
      <c r="AQ68" s="3">
        <f>IFERROR(__xludf.DUMMYFUNCTION("""COMPUTED_VALUE"""),935.0)</f>
        <v>935</v>
      </c>
      <c r="AR68" s="3">
        <f>IFERROR(__xludf.DUMMYFUNCTION("""COMPUTED_VALUE"""),935.0)</f>
        <v>935</v>
      </c>
      <c r="AS68" s="3">
        <f>IFERROR(__xludf.DUMMYFUNCTION("""COMPUTED_VALUE"""),935.0)</f>
        <v>935</v>
      </c>
      <c r="AT68" s="3">
        <f>IFERROR(__xludf.DUMMYFUNCTION("""COMPUTED_VALUE"""),935.0)</f>
        <v>935</v>
      </c>
      <c r="AU68" s="3">
        <f>IFERROR(__xludf.DUMMYFUNCTION("""COMPUTED_VALUE"""),935.0)</f>
        <v>935</v>
      </c>
      <c r="AV68" s="3">
        <f>IFERROR(__xludf.DUMMYFUNCTION("""COMPUTED_VALUE"""),935.0)</f>
        <v>935</v>
      </c>
      <c r="AW68" s="3">
        <f>IFERROR(__xludf.DUMMYFUNCTION("""COMPUTED_VALUE"""),935.0)</f>
        <v>935</v>
      </c>
      <c r="AX68" s="3">
        <f>IFERROR(__xludf.DUMMYFUNCTION("""COMPUTED_VALUE"""),935.0)</f>
        <v>935</v>
      </c>
      <c r="AY68" s="3">
        <f>IFERROR(__xludf.DUMMYFUNCTION("""COMPUTED_VALUE"""),935.0)</f>
        <v>935</v>
      </c>
      <c r="AZ68" s="3">
        <f>IFERROR(__xludf.DUMMYFUNCTION("""COMPUTED_VALUE"""),935.0)</f>
        <v>935</v>
      </c>
      <c r="BA68" s="3">
        <f>IFERROR(__xludf.DUMMYFUNCTION("""COMPUTED_VALUE"""),935.0)</f>
        <v>935</v>
      </c>
      <c r="BB68" s="3">
        <f>IFERROR(__xludf.DUMMYFUNCTION("""COMPUTED_VALUE"""),935.0)</f>
        <v>935</v>
      </c>
      <c r="BC68" s="3">
        <f>IFERROR(__xludf.DUMMYFUNCTION("""COMPUTED_VALUE"""),935.0)</f>
        <v>935</v>
      </c>
      <c r="BD68" s="3">
        <f>IFERROR(__xludf.DUMMYFUNCTION("""COMPUTED_VALUE"""),935.0)</f>
        <v>935</v>
      </c>
      <c r="BE68" s="3">
        <f>IFERROR(__xludf.DUMMYFUNCTION("""COMPUTED_VALUE"""),935.0)</f>
        <v>935</v>
      </c>
      <c r="BF68" s="3">
        <f>IFERROR(__xludf.DUMMYFUNCTION("""COMPUTED_VALUE"""),935.0)</f>
        <v>935</v>
      </c>
      <c r="BG68" s="3">
        <f>IFERROR(__xludf.DUMMYFUNCTION("""COMPUTED_VALUE"""),935.0)</f>
        <v>935</v>
      </c>
      <c r="BH68" s="3">
        <f>IFERROR(__xludf.DUMMYFUNCTION("""COMPUTED_VALUE"""),935.0)</f>
        <v>935</v>
      </c>
      <c r="BI68" s="3">
        <f>IFERROR(__xludf.DUMMYFUNCTION("""COMPUTED_VALUE"""),935.0)</f>
        <v>935</v>
      </c>
      <c r="BJ68" s="3">
        <f>IFERROR(__xludf.DUMMYFUNCTION("""COMPUTED_VALUE"""),935.0)</f>
        <v>935</v>
      </c>
      <c r="BK68" s="3">
        <f>IFERROR(__xludf.DUMMYFUNCTION("""COMPUTED_VALUE"""),935.0)</f>
        <v>935</v>
      </c>
      <c r="BL68" s="3">
        <f>IFERROR(__xludf.DUMMYFUNCTION("""COMPUTED_VALUE"""),935.0)</f>
        <v>935</v>
      </c>
      <c r="BM68" s="3">
        <f>IFERROR(__xludf.DUMMYFUNCTION("""COMPUTED_VALUE"""),936.0)</f>
        <v>936</v>
      </c>
      <c r="BN68" s="3">
        <f>IFERROR(__xludf.DUMMYFUNCTION("""COMPUTED_VALUE"""),936.0)</f>
        <v>936</v>
      </c>
      <c r="BO68" s="3">
        <f>IFERROR(__xludf.DUMMYFUNCTION("""COMPUTED_VALUE"""),936.0)</f>
        <v>936</v>
      </c>
      <c r="BP68" s="3">
        <f>IFERROR(__xludf.DUMMYFUNCTION("""COMPUTED_VALUE"""),936.0)</f>
        <v>936</v>
      </c>
      <c r="BQ68" s="3">
        <f>IFERROR(__xludf.DUMMYFUNCTION("""COMPUTED_VALUE"""),936.0)</f>
        <v>936</v>
      </c>
      <c r="BR68" s="3">
        <f>IFERROR(__xludf.DUMMYFUNCTION("""COMPUTED_VALUE"""),936.0)</f>
        <v>936</v>
      </c>
      <c r="BS68" s="3">
        <f>IFERROR(__xludf.DUMMYFUNCTION("""COMPUTED_VALUE"""),936.0)</f>
        <v>936</v>
      </c>
      <c r="BT68" s="3">
        <f>IFERROR(__xludf.DUMMYFUNCTION("""COMPUTED_VALUE"""),937.0)</f>
        <v>937</v>
      </c>
      <c r="BU68" s="3">
        <f>IFERROR(__xludf.DUMMYFUNCTION("""COMPUTED_VALUE"""),937.0)</f>
        <v>937</v>
      </c>
      <c r="BV68" s="3">
        <f>IFERROR(__xludf.DUMMYFUNCTION("""COMPUTED_VALUE"""),937.0)</f>
        <v>937</v>
      </c>
      <c r="BW68" s="3">
        <f>IFERROR(__xludf.DUMMYFUNCTION("""COMPUTED_VALUE"""),937.0)</f>
        <v>937</v>
      </c>
      <c r="BX68" s="3">
        <f>IFERROR(__xludf.DUMMYFUNCTION("""COMPUTED_VALUE"""),937.0)</f>
        <v>937</v>
      </c>
      <c r="BY68" s="3">
        <f>IFERROR(__xludf.DUMMYFUNCTION("""COMPUTED_VALUE"""),937.0)</f>
        <v>937</v>
      </c>
      <c r="BZ68" s="3">
        <f>IFERROR(__xludf.DUMMYFUNCTION("""COMPUTED_VALUE"""),937.0)</f>
        <v>937</v>
      </c>
      <c r="CA68" s="3">
        <f>IFERROR(__xludf.DUMMYFUNCTION("""COMPUTED_VALUE"""),937.0)</f>
        <v>937</v>
      </c>
      <c r="CB68" s="3">
        <f>IFERROR(__xludf.DUMMYFUNCTION("""COMPUTED_VALUE"""),937.0)</f>
        <v>937</v>
      </c>
    </row>
    <row r="69">
      <c r="A69" s="3" t="str">
        <f>IFERROR(__xludf.DUMMYFUNCTION("""COMPUTED_VALUE"""),"Jilin")</f>
        <v>Jilin</v>
      </c>
      <c r="B69" s="3" t="str">
        <f>IFERROR(__xludf.DUMMYFUNCTION("""COMPUTED_VALUE"""),"China")</f>
        <v>China</v>
      </c>
      <c r="C69" s="3">
        <f>IFERROR(__xludf.DUMMYFUNCTION("""COMPUTED_VALUE"""),43.6661)</f>
        <v>43.6661</v>
      </c>
      <c r="D69" s="3">
        <f>IFERROR(__xludf.DUMMYFUNCTION("""COMPUTED_VALUE"""),126.1923)</f>
        <v>126.1923</v>
      </c>
      <c r="E69" s="3">
        <f>IFERROR(__xludf.DUMMYFUNCTION("""COMPUTED_VALUE"""),0.0)</f>
        <v>0</v>
      </c>
      <c r="F69" s="3">
        <f>IFERROR(__xludf.DUMMYFUNCTION("""COMPUTED_VALUE"""),1.0)</f>
        <v>1</v>
      </c>
      <c r="G69" s="3">
        <f>IFERROR(__xludf.DUMMYFUNCTION("""COMPUTED_VALUE"""),3.0)</f>
        <v>3</v>
      </c>
      <c r="H69" s="3">
        <f>IFERROR(__xludf.DUMMYFUNCTION("""COMPUTED_VALUE"""),4.0)</f>
        <v>4</v>
      </c>
      <c r="I69" s="3">
        <f>IFERROR(__xludf.DUMMYFUNCTION("""COMPUTED_VALUE"""),4.0)</f>
        <v>4</v>
      </c>
      <c r="J69" s="3">
        <f>IFERROR(__xludf.DUMMYFUNCTION("""COMPUTED_VALUE"""),6.0)</f>
        <v>6</v>
      </c>
      <c r="K69" s="3">
        <f>IFERROR(__xludf.DUMMYFUNCTION("""COMPUTED_VALUE"""),8.0)</f>
        <v>8</v>
      </c>
      <c r="L69" s="3">
        <f>IFERROR(__xludf.DUMMYFUNCTION("""COMPUTED_VALUE"""),9.0)</f>
        <v>9</v>
      </c>
      <c r="M69" s="3">
        <f>IFERROR(__xludf.DUMMYFUNCTION("""COMPUTED_VALUE"""),14.0)</f>
        <v>14</v>
      </c>
      <c r="N69" s="3">
        <f>IFERROR(__xludf.DUMMYFUNCTION("""COMPUTED_VALUE"""),14.0)</f>
        <v>14</v>
      </c>
      <c r="O69" s="3">
        <f>IFERROR(__xludf.DUMMYFUNCTION("""COMPUTED_VALUE"""),17.0)</f>
        <v>17</v>
      </c>
      <c r="P69" s="3">
        <f>IFERROR(__xludf.DUMMYFUNCTION("""COMPUTED_VALUE"""),23.0)</f>
        <v>23</v>
      </c>
      <c r="Q69" s="3">
        <f>IFERROR(__xludf.DUMMYFUNCTION("""COMPUTED_VALUE"""),31.0)</f>
        <v>31</v>
      </c>
      <c r="R69" s="3">
        <f>IFERROR(__xludf.DUMMYFUNCTION("""COMPUTED_VALUE"""),42.0)</f>
        <v>42</v>
      </c>
      <c r="S69" s="3">
        <f>IFERROR(__xludf.DUMMYFUNCTION("""COMPUTED_VALUE"""),54.0)</f>
        <v>54</v>
      </c>
      <c r="T69" s="3">
        <f>IFERROR(__xludf.DUMMYFUNCTION("""COMPUTED_VALUE"""),59.0)</f>
        <v>59</v>
      </c>
      <c r="U69" s="3">
        <f>IFERROR(__xludf.DUMMYFUNCTION("""COMPUTED_VALUE"""),65.0)</f>
        <v>65</v>
      </c>
      <c r="V69" s="3">
        <f>IFERROR(__xludf.DUMMYFUNCTION("""COMPUTED_VALUE"""),69.0)</f>
        <v>69</v>
      </c>
      <c r="W69" s="3">
        <f>IFERROR(__xludf.DUMMYFUNCTION("""COMPUTED_VALUE"""),78.0)</f>
        <v>78</v>
      </c>
      <c r="X69" s="3">
        <f>IFERROR(__xludf.DUMMYFUNCTION("""COMPUTED_VALUE"""),80.0)</f>
        <v>80</v>
      </c>
      <c r="Y69" s="3">
        <f>IFERROR(__xludf.DUMMYFUNCTION("""COMPUTED_VALUE"""),81.0)</f>
        <v>81</v>
      </c>
      <c r="Z69" s="3">
        <f>IFERROR(__xludf.DUMMYFUNCTION("""COMPUTED_VALUE"""),83.0)</f>
        <v>83</v>
      </c>
      <c r="AA69" s="3">
        <f>IFERROR(__xludf.DUMMYFUNCTION("""COMPUTED_VALUE"""),84.0)</f>
        <v>84</v>
      </c>
      <c r="AB69" s="3">
        <f>IFERROR(__xludf.DUMMYFUNCTION("""COMPUTED_VALUE"""),86.0)</f>
        <v>86</v>
      </c>
      <c r="AC69" s="3">
        <f>IFERROR(__xludf.DUMMYFUNCTION("""COMPUTED_VALUE"""),88.0)</f>
        <v>88</v>
      </c>
      <c r="AD69" s="3">
        <f>IFERROR(__xludf.DUMMYFUNCTION("""COMPUTED_VALUE"""),89.0)</f>
        <v>89</v>
      </c>
      <c r="AE69" s="3">
        <f>IFERROR(__xludf.DUMMYFUNCTION("""COMPUTED_VALUE"""),89.0)</f>
        <v>89</v>
      </c>
      <c r="AF69" s="3">
        <f>IFERROR(__xludf.DUMMYFUNCTION("""COMPUTED_VALUE"""),89.0)</f>
        <v>89</v>
      </c>
      <c r="AG69" s="3">
        <f>IFERROR(__xludf.DUMMYFUNCTION("""COMPUTED_VALUE"""),90.0)</f>
        <v>90</v>
      </c>
      <c r="AH69" s="3">
        <f>IFERROR(__xludf.DUMMYFUNCTION("""COMPUTED_VALUE"""),91.0)</f>
        <v>91</v>
      </c>
      <c r="AI69" s="3">
        <f>IFERROR(__xludf.DUMMYFUNCTION("""COMPUTED_VALUE"""),91.0)</f>
        <v>91</v>
      </c>
      <c r="AJ69" s="3">
        <f>IFERROR(__xludf.DUMMYFUNCTION("""COMPUTED_VALUE"""),91.0)</f>
        <v>91</v>
      </c>
      <c r="AK69" s="3">
        <f>IFERROR(__xludf.DUMMYFUNCTION("""COMPUTED_VALUE"""),91.0)</f>
        <v>91</v>
      </c>
      <c r="AL69" s="3">
        <f>IFERROR(__xludf.DUMMYFUNCTION("""COMPUTED_VALUE"""),93.0)</f>
        <v>93</v>
      </c>
      <c r="AM69" s="3">
        <f>IFERROR(__xludf.DUMMYFUNCTION("""COMPUTED_VALUE"""),93.0)</f>
        <v>93</v>
      </c>
      <c r="AN69" s="3">
        <f>IFERROR(__xludf.DUMMYFUNCTION("""COMPUTED_VALUE"""),93.0)</f>
        <v>93</v>
      </c>
      <c r="AO69" s="3">
        <f>IFERROR(__xludf.DUMMYFUNCTION("""COMPUTED_VALUE"""),93.0)</f>
        <v>93</v>
      </c>
      <c r="AP69" s="3">
        <f>IFERROR(__xludf.DUMMYFUNCTION("""COMPUTED_VALUE"""),93.0)</f>
        <v>93</v>
      </c>
      <c r="AQ69" s="3">
        <f>IFERROR(__xludf.DUMMYFUNCTION("""COMPUTED_VALUE"""),93.0)</f>
        <v>93</v>
      </c>
      <c r="AR69" s="3">
        <f>IFERROR(__xludf.DUMMYFUNCTION("""COMPUTED_VALUE"""),93.0)</f>
        <v>93</v>
      </c>
      <c r="AS69" s="3">
        <f>IFERROR(__xludf.DUMMYFUNCTION("""COMPUTED_VALUE"""),93.0)</f>
        <v>93</v>
      </c>
      <c r="AT69" s="3">
        <f>IFERROR(__xludf.DUMMYFUNCTION("""COMPUTED_VALUE"""),93.0)</f>
        <v>93</v>
      </c>
      <c r="AU69" s="3">
        <f>IFERROR(__xludf.DUMMYFUNCTION("""COMPUTED_VALUE"""),93.0)</f>
        <v>93</v>
      </c>
      <c r="AV69" s="3">
        <f>IFERROR(__xludf.DUMMYFUNCTION("""COMPUTED_VALUE"""),93.0)</f>
        <v>93</v>
      </c>
      <c r="AW69" s="3">
        <f>IFERROR(__xludf.DUMMYFUNCTION("""COMPUTED_VALUE"""),93.0)</f>
        <v>93</v>
      </c>
      <c r="AX69" s="3">
        <f>IFERROR(__xludf.DUMMYFUNCTION("""COMPUTED_VALUE"""),93.0)</f>
        <v>93</v>
      </c>
      <c r="AY69" s="3">
        <f>IFERROR(__xludf.DUMMYFUNCTION("""COMPUTED_VALUE"""),93.0)</f>
        <v>93</v>
      </c>
      <c r="AZ69" s="3">
        <f>IFERROR(__xludf.DUMMYFUNCTION("""COMPUTED_VALUE"""),93.0)</f>
        <v>93</v>
      </c>
      <c r="BA69" s="3">
        <f>IFERROR(__xludf.DUMMYFUNCTION("""COMPUTED_VALUE"""),93.0)</f>
        <v>93</v>
      </c>
      <c r="BB69" s="3">
        <f>IFERROR(__xludf.DUMMYFUNCTION("""COMPUTED_VALUE"""),93.0)</f>
        <v>93</v>
      </c>
      <c r="BC69" s="3">
        <f>IFERROR(__xludf.DUMMYFUNCTION("""COMPUTED_VALUE"""),93.0)</f>
        <v>93</v>
      </c>
      <c r="BD69" s="3">
        <f>IFERROR(__xludf.DUMMYFUNCTION("""COMPUTED_VALUE"""),93.0)</f>
        <v>93</v>
      </c>
      <c r="BE69" s="3">
        <f>IFERROR(__xludf.DUMMYFUNCTION("""COMPUTED_VALUE"""),93.0)</f>
        <v>93</v>
      </c>
      <c r="BF69" s="3">
        <f>IFERROR(__xludf.DUMMYFUNCTION("""COMPUTED_VALUE"""),93.0)</f>
        <v>93</v>
      </c>
      <c r="BG69" s="3">
        <f>IFERROR(__xludf.DUMMYFUNCTION("""COMPUTED_VALUE"""),93.0)</f>
        <v>93</v>
      </c>
      <c r="BH69" s="3">
        <f>IFERROR(__xludf.DUMMYFUNCTION("""COMPUTED_VALUE"""),93.0)</f>
        <v>93</v>
      </c>
      <c r="BI69" s="3">
        <f>IFERROR(__xludf.DUMMYFUNCTION("""COMPUTED_VALUE"""),93.0)</f>
        <v>93</v>
      </c>
      <c r="BJ69" s="3">
        <f>IFERROR(__xludf.DUMMYFUNCTION("""COMPUTED_VALUE"""),93.0)</f>
        <v>93</v>
      </c>
      <c r="BK69" s="3">
        <f>IFERROR(__xludf.DUMMYFUNCTION("""COMPUTED_VALUE"""),93.0)</f>
        <v>93</v>
      </c>
      <c r="BL69" s="3">
        <f>IFERROR(__xludf.DUMMYFUNCTION("""COMPUTED_VALUE"""),93.0)</f>
        <v>93</v>
      </c>
      <c r="BM69" s="3">
        <f>IFERROR(__xludf.DUMMYFUNCTION("""COMPUTED_VALUE"""),93.0)</f>
        <v>93</v>
      </c>
      <c r="BN69" s="3">
        <f>IFERROR(__xludf.DUMMYFUNCTION("""COMPUTED_VALUE"""),93.0)</f>
        <v>93</v>
      </c>
      <c r="BO69" s="3">
        <f>IFERROR(__xludf.DUMMYFUNCTION("""COMPUTED_VALUE"""),93.0)</f>
        <v>93</v>
      </c>
      <c r="BP69" s="3">
        <f>IFERROR(__xludf.DUMMYFUNCTION("""COMPUTED_VALUE"""),94.0)</f>
        <v>94</v>
      </c>
      <c r="BQ69" s="3">
        <f>IFERROR(__xludf.DUMMYFUNCTION("""COMPUTED_VALUE"""),95.0)</f>
        <v>95</v>
      </c>
      <c r="BR69" s="3">
        <f>IFERROR(__xludf.DUMMYFUNCTION("""COMPUTED_VALUE"""),95.0)</f>
        <v>95</v>
      </c>
      <c r="BS69" s="3">
        <f>IFERROR(__xludf.DUMMYFUNCTION("""COMPUTED_VALUE"""),97.0)</f>
        <v>97</v>
      </c>
      <c r="BT69" s="3">
        <f>IFERROR(__xludf.DUMMYFUNCTION("""COMPUTED_VALUE"""),98.0)</f>
        <v>98</v>
      </c>
      <c r="BU69" s="3">
        <f>IFERROR(__xludf.DUMMYFUNCTION("""COMPUTED_VALUE"""),98.0)</f>
        <v>98</v>
      </c>
      <c r="BV69" s="3">
        <f>IFERROR(__xludf.DUMMYFUNCTION("""COMPUTED_VALUE"""),98.0)</f>
        <v>98</v>
      </c>
      <c r="BW69" s="3">
        <f>IFERROR(__xludf.DUMMYFUNCTION("""COMPUTED_VALUE"""),98.0)</f>
        <v>98</v>
      </c>
      <c r="BX69" s="3">
        <f>IFERROR(__xludf.DUMMYFUNCTION("""COMPUTED_VALUE"""),98.0)</f>
        <v>98</v>
      </c>
      <c r="BY69" s="3">
        <f>IFERROR(__xludf.DUMMYFUNCTION("""COMPUTED_VALUE"""),98.0)</f>
        <v>98</v>
      </c>
      <c r="BZ69" s="3">
        <f>IFERROR(__xludf.DUMMYFUNCTION("""COMPUTED_VALUE"""),98.0)</f>
        <v>98</v>
      </c>
      <c r="CA69" s="3">
        <f>IFERROR(__xludf.DUMMYFUNCTION("""COMPUTED_VALUE"""),98.0)</f>
        <v>98</v>
      </c>
      <c r="CB69" s="3">
        <f>IFERROR(__xludf.DUMMYFUNCTION("""COMPUTED_VALUE"""),98.0)</f>
        <v>98</v>
      </c>
    </row>
    <row r="70">
      <c r="A70" s="3" t="str">
        <f>IFERROR(__xludf.DUMMYFUNCTION("""COMPUTED_VALUE"""),"Liaoning")</f>
        <v>Liaoning</v>
      </c>
      <c r="B70" s="3" t="str">
        <f>IFERROR(__xludf.DUMMYFUNCTION("""COMPUTED_VALUE"""),"China")</f>
        <v>China</v>
      </c>
      <c r="C70" s="3">
        <f>IFERROR(__xludf.DUMMYFUNCTION("""COMPUTED_VALUE"""),41.2956)</f>
        <v>41.2956</v>
      </c>
      <c r="D70" s="3">
        <f>IFERROR(__xludf.DUMMYFUNCTION("""COMPUTED_VALUE"""),122.6085)</f>
        <v>122.6085</v>
      </c>
      <c r="E70" s="3">
        <f>IFERROR(__xludf.DUMMYFUNCTION("""COMPUTED_VALUE"""),2.0)</f>
        <v>2</v>
      </c>
      <c r="F70" s="3">
        <f>IFERROR(__xludf.DUMMYFUNCTION("""COMPUTED_VALUE"""),3.0)</f>
        <v>3</v>
      </c>
      <c r="G70" s="3">
        <f>IFERROR(__xludf.DUMMYFUNCTION("""COMPUTED_VALUE"""),4.0)</f>
        <v>4</v>
      </c>
      <c r="H70" s="3">
        <f>IFERROR(__xludf.DUMMYFUNCTION("""COMPUTED_VALUE"""),17.0)</f>
        <v>17</v>
      </c>
      <c r="I70" s="3">
        <f>IFERROR(__xludf.DUMMYFUNCTION("""COMPUTED_VALUE"""),21.0)</f>
        <v>21</v>
      </c>
      <c r="J70" s="3">
        <f>IFERROR(__xludf.DUMMYFUNCTION("""COMPUTED_VALUE"""),27.0)</f>
        <v>27</v>
      </c>
      <c r="K70" s="3">
        <f>IFERROR(__xludf.DUMMYFUNCTION("""COMPUTED_VALUE"""),34.0)</f>
        <v>34</v>
      </c>
      <c r="L70" s="3">
        <f>IFERROR(__xludf.DUMMYFUNCTION("""COMPUTED_VALUE"""),39.0)</f>
        <v>39</v>
      </c>
      <c r="M70" s="3">
        <f>IFERROR(__xludf.DUMMYFUNCTION("""COMPUTED_VALUE"""),41.0)</f>
        <v>41</v>
      </c>
      <c r="N70" s="3">
        <f>IFERROR(__xludf.DUMMYFUNCTION("""COMPUTED_VALUE"""),48.0)</f>
        <v>48</v>
      </c>
      <c r="O70" s="3">
        <f>IFERROR(__xludf.DUMMYFUNCTION("""COMPUTED_VALUE"""),64.0)</f>
        <v>64</v>
      </c>
      <c r="P70" s="3">
        <f>IFERROR(__xludf.DUMMYFUNCTION("""COMPUTED_VALUE"""),70.0)</f>
        <v>70</v>
      </c>
      <c r="Q70" s="3">
        <f>IFERROR(__xludf.DUMMYFUNCTION("""COMPUTED_VALUE"""),74.0)</f>
        <v>74</v>
      </c>
      <c r="R70" s="3">
        <f>IFERROR(__xludf.DUMMYFUNCTION("""COMPUTED_VALUE"""),81.0)</f>
        <v>81</v>
      </c>
      <c r="S70" s="3">
        <f>IFERROR(__xludf.DUMMYFUNCTION("""COMPUTED_VALUE"""),89.0)</f>
        <v>89</v>
      </c>
      <c r="T70" s="3">
        <f>IFERROR(__xludf.DUMMYFUNCTION("""COMPUTED_VALUE"""),94.0)</f>
        <v>94</v>
      </c>
      <c r="U70" s="3">
        <f>IFERROR(__xludf.DUMMYFUNCTION("""COMPUTED_VALUE"""),99.0)</f>
        <v>99</v>
      </c>
      <c r="V70" s="3">
        <f>IFERROR(__xludf.DUMMYFUNCTION("""COMPUTED_VALUE"""),105.0)</f>
        <v>105</v>
      </c>
      <c r="W70" s="3">
        <f>IFERROR(__xludf.DUMMYFUNCTION("""COMPUTED_VALUE"""),107.0)</f>
        <v>107</v>
      </c>
      <c r="X70" s="3">
        <f>IFERROR(__xludf.DUMMYFUNCTION("""COMPUTED_VALUE"""),108.0)</f>
        <v>108</v>
      </c>
      <c r="Y70" s="3">
        <f>IFERROR(__xludf.DUMMYFUNCTION("""COMPUTED_VALUE"""),111.0)</f>
        <v>111</v>
      </c>
      <c r="Z70" s="3">
        <f>IFERROR(__xludf.DUMMYFUNCTION("""COMPUTED_VALUE"""),116.0)</f>
        <v>116</v>
      </c>
      <c r="AA70" s="3">
        <f>IFERROR(__xludf.DUMMYFUNCTION("""COMPUTED_VALUE"""),117.0)</f>
        <v>117</v>
      </c>
      <c r="AB70" s="3">
        <f>IFERROR(__xludf.DUMMYFUNCTION("""COMPUTED_VALUE"""),119.0)</f>
        <v>119</v>
      </c>
      <c r="AC70" s="3">
        <f>IFERROR(__xludf.DUMMYFUNCTION("""COMPUTED_VALUE"""),119.0)</f>
        <v>119</v>
      </c>
      <c r="AD70" s="3">
        <f>IFERROR(__xludf.DUMMYFUNCTION("""COMPUTED_VALUE"""),121.0)</f>
        <v>121</v>
      </c>
      <c r="AE70" s="3">
        <f>IFERROR(__xludf.DUMMYFUNCTION("""COMPUTED_VALUE"""),121.0)</f>
        <v>121</v>
      </c>
      <c r="AF70" s="3">
        <f>IFERROR(__xludf.DUMMYFUNCTION("""COMPUTED_VALUE"""),121.0)</f>
        <v>121</v>
      </c>
      <c r="AG70" s="3">
        <f>IFERROR(__xludf.DUMMYFUNCTION("""COMPUTED_VALUE"""),121.0)</f>
        <v>121</v>
      </c>
      <c r="AH70" s="3">
        <f>IFERROR(__xludf.DUMMYFUNCTION("""COMPUTED_VALUE"""),121.0)</f>
        <v>121</v>
      </c>
      <c r="AI70" s="3">
        <f>IFERROR(__xludf.DUMMYFUNCTION("""COMPUTED_VALUE"""),121.0)</f>
        <v>121</v>
      </c>
      <c r="AJ70" s="3">
        <f>IFERROR(__xludf.DUMMYFUNCTION("""COMPUTED_VALUE"""),121.0)</f>
        <v>121</v>
      </c>
      <c r="AK70" s="3">
        <f>IFERROR(__xludf.DUMMYFUNCTION("""COMPUTED_VALUE"""),121.0)</f>
        <v>121</v>
      </c>
      <c r="AL70" s="3">
        <f>IFERROR(__xludf.DUMMYFUNCTION("""COMPUTED_VALUE"""),121.0)</f>
        <v>121</v>
      </c>
      <c r="AM70" s="3">
        <f>IFERROR(__xludf.DUMMYFUNCTION("""COMPUTED_VALUE"""),121.0)</f>
        <v>121</v>
      </c>
      <c r="AN70" s="3">
        <f>IFERROR(__xludf.DUMMYFUNCTION("""COMPUTED_VALUE"""),121.0)</f>
        <v>121</v>
      </c>
      <c r="AO70" s="3">
        <f>IFERROR(__xludf.DUMMYFUNCTION("""COMPUTED_VALUE"""),121.0)</f>
        <v>121</v>
      </c>
      <c r="AP70" s="3">
        <f>IFERROR(__xludf.DUMMYFUNCTION("""COMPUTED_VALUE"""),121.0)</f>
        <v>121</v>
      </c>
      <c r="AQ70" s="3">
        <f>IFERROR(__xludf.DUMMYFUNCTION("""COMPUTED_VALUE"""),121.0)</f>
        <v>121</v>
      </c>
      <c r="AR70" s="3">
        <f>IFERROR(__xludf.DUMMYFUNCTION("""COMPUTED_VALUE"""),122.0)</f>
        <v>122</v>
      </c>
      <c r="AS70" s="3">
        <f>IFERROR(__xludf.DUMMYFUNCTION("""COMPUTED_VALUE"""),122.0)</f>
        <v>122</v>
      </c>
      <c r="AT70" s="3">
        <f>IFERROR(__xludf.DUMMYFUNCTION("""COMPUTED_VALUE"""),125.0)</f>
        <v>125</v>
      </c>
      <c r="AU70" s="3">
        <f>IFERROR(__xludf.DUMMYFUNCTION("""COMPUTED_VALUE"""),125.0)</f>
        <v>125</v>
      </c>
      <c r="AV70" s="3">
        <f>IFERROR(__xludf.DUMMYFUNCTION("""COMPUTED_VALUE"""),125.0)</f>
        <v>125</v>
      </c>
      <c r="AW70" s="3">
        <f>IFERROR(__xludf.DUMMYFUNCTION("""COMPUTED_VALUE"""),125.0)</f>
        <v>125</v>
      </c>
      <c r="AX70" s="3">
        <f>IFERROR(__xludf.DUMMYFUNCTION("""COMPUTED_VALUE"""),125.0)</f>
        <v>125</v>
      </c>
      <c r="AY70" s="3">
        <f>IFERROR(__xludf.DUMMYFUNCTION("""COMPUTED_VALUE"""),125.0)</f>
        <v>125</v>
      </c>
      <c r="AZ70" s="3">
        <f>IFERROR(__xludf.DUMMYFUNCTION("""COMPUTED_VALUE"""),125.0)</f>
        <v>125</v>
      </c>
      <c r="BA70" s="3">
        <f>IFERROR(__xludf.DUMMYFUNCTION("""COMPUTED_VALUE"""),125.0)</f>
        <v>125</v>
      </c>
      <c r="BB70" s="3">
        <f>IFERROR(__xludf.DUMMYFUNCTION("""COMPUTED_VALUE"""),125.0)</f>
        <v>125</v>
      </c>
      <c r="BC70" s="3">
        <f>IFERROR(__xludf.DUMMYFUNCTION("""COMPUTED_VALUE"""),125.0)</f>
        <v>125</v>
      </c>
      <c r="BD70" s="3">
        <f>IFERROR(__xludf.DUMMYFUNCTION("""COMPUTED_VALUE"""),125.0)</f>
        <v>125</v>
      </c>
      <c r="BE70" s="3">
        <f>IFERROR(__xludf.DUMMYFUNCTION("""COMPUTED_VALUE"""),125.0)</f>
        <v>125</v>
      </c>
      <c r="BF70" s="3">
        <f>IFERROR(__xludf.DUMMYFUNCTION("""COMPUTED_VALUE"""),125.0)</f>
        <v>125</v>
      </c>
      <c r="BG70" s="3">
        <f>IFERROR(__xludf.DUMMYFUNCTION("""COMPUTED_VALUE"""),125.0)</f>
        <v>125</v>
      </c>
      <c r="BH70" s="3">
        <f>IFERROR(__xludf.DUMMYFUNCTION("""COMPUTED_VALUE"""),125.0)</f>
        <v>125</v>
      </c>
      <c r="BI70" s="3">
        <f>IFERROR(__xludf.DUMMYFUNCTION("""COMPUTED_VALUE"""),125.0)</f>
        <v>125</v>
      </c>
      <c r="BJ70" s="3">
        <f>IFERROR(__xludf.DUMMYFUNCTION("""COMPUTED_VALUE"""),125.0)</f>
        <v>125</v>
      </c>
      <c r="BK70" s="3">
        <f>IFERROR(__xludf.DUMMYFUNCTION("""COMPUTED_VALUE"""),126.0)</f>
        <v>126</v>
      </c>
      <c r="BL70" s="3">
        <f>IFERROR(__xludf.DUMMYFUNCTION("""COMPUTED_VALUE"""),126.0)</f>
        <v>126</v>
      </c>
      <c r="BM70" s="3">
        <f>IFERROR(__xludf.DUMMYFUNCTION("""COMPUTED_VALUE"""),127.0)</f>
        <v>127</v>
      </c>
      <c r="BN70" s="3">
        <f>IFERROR(__xludf.DUMMYFUNCTION("""COMPUTED_VALUE"""),127.0)</f>
        <v>127</v>
      </c>
      <c r="BO70" s="3">
        <f>IFERROR(__xludf.DUMMYFUNCTION("""COMPUTED_VALUE"""),127.0)</f>
        <v>127</v>
      </c>
      <c r="BP70" s="3">
        <f>IFERROR(__xludf.DUMMYFUNCTION("""COMPUTED_VALUE"""),127.0)</f>
        <v>127</v>
      </c>
      <c r="BQ70" s="3">
        <f>IFERROR(__xludf.DUMMYFUNCTION("""COMPUTED_VALUE"""),128.0)</f>
        <v>128</v>
      </c>
      <c r="BR70" s="3">
        <f>IFERROR(__xludf.DUMMYFUNCTION("""COMPUTED_VALUE"""),128.0)</f>
        <v>128</v>
      </c>
      <c r="BS70" s="3">
        <f>IFERROR(__xludf.DUMMYFUNCTION("""COMPUTED_VALUE"""),132.0)</f>
        <v>132</v>
      </c>
      <c r="BT70" s="3">
        <f>IFERROR(__xludf.DUMMYFUNCTION("""COMPUTED_VALUE"""),134.0)</f>
        <v>134</v>
      </c>
      <c r="BU70" s="3">
        <f>IFERROR(__xludf.DUMMYFUNCTION("""COMPUTED_VALUE"""),136.0)</f>
        <v>136</v>
      </c>
      <c r="BV70" s="3">
        <f>IFERROR(__xludf.DUMMYFUNCTION("""COMPUTED_VALUE"""),139.0)</f>
        <v>139</v>
      </c>
      <c r="BW70" s="3">
        <f>IFERROR(__xludf.DUMMYFUNCTION("""COMPUTED_VALUE"""),140.0)</f>
        <v>140</v>
      </c>
      <c r="BX70" s="3">
        <f>IFERROR(__xludf.DUMMYFUNCTION("""COMPUTED_VALUE"""),141.0)</f>
        <v>141</v>
      </c>
      <c r="BY70" s="3">
        <f>IFERROR(__xludf.DUMMYFUNCTION("""COMPUTED_VALUE"""),141.0)</f>
        <v>141</v>
      </c>
      <c r="BZ70" s="3">
        <f>IFERROR(__xludf.DUMMYFUNCTION("""COMPUTED_VALUE"""),141.0)</f>
        <v>141</v>
      </c>
      <c r="CA70" s="3">
        <f>IFERROR(__xludf.DUMMYFUNCTION("""COMPUTED_VALUE"""),142.0)</f>
        <v>142</v>
      </c>
      <c r="CB70" s="3">
        <f>IFERROR(__xludf.DUMMYFUNCTION("""COMPUTED_VALUE"""),142.0)</f>
        <v>142</v>
      </c>
    </row>
    <row r="71">
      <c r="A71" s="3" t="str">
        <f>IFERROR(__xludf.DUMMYFUNCTION("""COMPUTED_VALUE"""),"Macau")</f>
        <v>Macau</v>
      </c>
      <c r="B71" s="3" t="str">
        <f>IFERROR(__xludf.DUMMYFUNCTION("""COMPUTED_VALUE"""),"China")</f>
        <v>China</v>
      </c>
      <c r="C71" s="3">
        <f>IFERROR(__xludf.DUMMYFUNCTION("""COMPUTED_VALUE"""),22.1667)</f>
        <v>22.1667</v>
      </c>
      <c r="D71" s="3">
        <f>IFERROR(__xludf.DUMMYFUNCTION("""COMPUTED_VALUE"""),113.55)</f>
        <v>113.55</v>
      </c>
      <c r="E71" s="3">
        <f>IFERROR(__xludf.DUMMYFUNCTION("""COMPUTED_VALUE"""),1.0)</f>
        <v>1</v>
      </c>
      <c r="F71" s="3">
        <f>IFERROR(__xludf.DUMMYFUNCTION("""COMPUTED_VALUE"""),2.0)</f>
        <v>2</v>
      </c>
      <c r="G71" s="3">
        <f>IFERROR(__xludf.DUMMYFUNCTION("""COMPUTED_VALUE"""),2.0)</f>
        <v>2</v>
      </c>
      <c r="H71" s="3">
        <f>IFERROR(__xludf.DUMMYFUNCTION("""COMPUTED_VALUE"""),2.0)</f>
        <v>2</v>
      </c>
      <c r="I71" s="3">
        <f>IFERROR(__xludf.DUMMYFUNCTION("""COMPUTED_VALUE"""),5.0)</f>
        <v>5</v>
      </c>
      <c r="J71" s="3">
        <f>IFERROR(__xludf.DUMMYFUNCTION("""COMPUTED_VALUE"""),6.0)</f>
        <v>6</v>
      </c>
      <c r="K71" s="3">
        <f>IFERROR(__xludf.DUMMYFUNCTION("""COMPUTED_VALUE"""),7.0)</f>
        <v>7</v>
      </c>
      <c r="L71" s="3">
        <f>IFERROR(__xludf.DUMMYFUNCTION("""COMPUTED_VALUE"""),7.0)</f>
        <v>7</v>
      </c>
      <c r="M71" s="3">
        <f>IFERROR(__xludf.DUMMYFUNCTION("""COMPUTED_VALUE"""),7.0)</f>
        <v>7</v>
      </c>
      <c r="N71" s="3">
        <f>IFERROR(__xludf.DUMMYFUNCTION("""COMPUTED_VALUE"""),7.0)</f>
        <v>7</v>
      </c>
      <c r="O71" s="3">
        <f>IFERROR(__xludf.DUMMYFUNCTION("""COMPUTED_VALUE"""),7.0)</f>
        <v>7</v>
      </c>
      <c r="P71" s="3">
        <f>IFERROR(__xludf.DUMMYFUNCTION("""COMPUTED_VALUE"""),8.0)</f>
        <v>8</v>
      </c>
      <c r="Q71" s="3">
        <f>IFERROR(__xludf.DUMMYFUNCTION("""COMPUTED_VALUE"""),8.0)</f>
        <v>8</v>
      </c>
      <c r="R71" s="3">
        <f>IFERROR(__xludf.DUMMYFUNCTION("""COMPUTED_VALUE"""),10.0)</f>
        <v>10</v>
      </c>
      <c r="S71" s="3">
        <f>IFERROR(__xludf.DUMMYFUNCTION("""COMPUTED_VALUE"""),10.0)</f>
        <v>10</v>
      </c>
      <c r="T71" s="3">
        <f>IFERROR(__xludf.DUMMYFUNCTION("""COMPUTED_VALUE"""),10.0)</f>
        <v>10</v>
      </c>
      <c r="U71" s="3">
        <f>IFERROR(__xludf.DUMMYFUNCTION("""COMPUTED_VALUE"""),10.0)</f>
        <v>10</v>
      </c>
      <c r="V71" s="3">
        <f>IFERROR(__xludf.DUMMYFUNCTION("""COMPUTED_VALUE"""),10.0)</f>
        <v>10</v>
      </c>
      <c r="W71" s="3">
        <f>IFERROR(__xludf.DUMMYFUNCTION("""COMPUTED_VALUE"""),10.0)</f>
        <v>10</v>
      </c>
      <c r="X71" s="3">
        <f>IFERROR(__xludf.DUMMYFUNCTION("""COMPUTED_VALUE"""),10.0)</f>
        <v>10</v>
      </c>
      <c r="Y71" s="3">
        <f>IFERROR(__xludf.DUMMYFUNCTION("""COMPUTED_VALUE"""),10.0)</f>
        <v>10</v>
      </c>
      <c r="Z71" s="3">
        <f>IFERROR(__xludf.DUMMYFUNCTION("""COMPUTED_VALUE"""),10.0)</f>
        <v>10</v>
      </c>
      <c r="AA71" s="3">
        <f>IFERROR(__xludf.DUMMYFUNCTION("""COMPUTED_VALUE"""),10.0)</f>
        <v>10</v>
      </c>
      <c r="AB71" s="3">
        <f>IFERROR(__xludf.DUMMYFUNCTION("""COMPUTED_VALUE"""),10.0)</f>
        <v>10</v>
      </c>
      <c r="AC71" s="3">
        <f>IFERROR(__xludf.DUMMYFUNCTION("""COMPUTED_VALUE"""),10.0)</f>
        <v>10</v>
      </c>
      <c r="AD71" s="3">
        <f>IFERROR(__xludf.DUMMYFUNCTION("""COMPUTED_VALUE"""),10.0)</f>
        <v>10</v>
      </c>
      <c r="AE71" s="3">
        <f>IFERROR(__xludf.DUMMYFUNCTION("""COMPUTED_VALUE"""),10.0)</f>
        <v>10</v>
      </c>
      <c r="AF71" s="3">
        <f>IFERROR(__xludf.DUMMYFUNCTION("""COMPUTED_VALUE"""),10.0)</f>
        <v>10</v>
      </c>
      <c r="AG71" s="3">
        <f>IFERROR(__xludf.DUMMYFUNCTION("""COMPUTED_VALUE"""),10.0)</f>
        <v>10</v>
      </c>
      <c r="AH71" s="3">
        <f>IFERROR(__xludf.DUMMYFUNCTION("""COMPUTED_VALUE"""),10.0)</f>
        <v>10</v>
      </c>
      <c r="AI71" s="3">
        <f>IFERROR(__xludf.DUMMYFUNCTION("""COMPUTED_VALUE"""),10.0)</f>
        <v>10</v>
      </c>
      <c r="AJ71" s="3">
        <f>IFERROR(__xludf.DUMMYFUNCTION("""COMPUTED_VALUE"""),10.0)</f>
        <v>10</v>
      </c>
      <c r="AK71" s="3">
        <f>IFERROR(__xludf.DUMMYFUNCTION("""COMPUTED_VALUE"""),10.0)</f>
        <v>10</v>
      </c>
      <c r="AL71" s="3">
        <f>IFERROR(__xludf.DUMMYFUNCTION("""COMPUTED_VALUE"""),10.0)</f>
        <v>10</v>
      </c>
      <c r="AM71" s="3">
        <f>IFERROR(__xludf.DUMMYFUNCTION("""COMPUTED_VALUE"""),10.0)</f>
        <v>10</v>
      </c>
      <c r="AN71" s="3">
        <f>IFERROR(__xludf.DUMMYFUNCTION("""COMPUTED_VALUE"""),10.0)</f>
        <v>10</v>
      </c>
      <c r="AO71" s="3">
        <f>IFERROR(__xludf.DUMMYFUNCTION("""COMPUTED_VALUE"""),10.0)</f>
        <v>10</v>
      </c>
      <c r="AP71" s="3">
        <f>IFERROR(__xludf.DUMMYFUNCTION("""COMPUTED_VALUE"""),10.0)</f>
        <v>10</v>
      </c>
      <c r="AQ71" s="3">
        <f>IFERROR(__xludf.DUMMYFUNCTION("""COMPUTED_VALUE"""),10.0)</f>
        <v>10</v>
      </c>
      <c r="AR71" s="3">
        <f>IFERROR(__xludf.DUMMYFUNCTION("""COMPUTED_VALUE"""),10.0)</f>
        <v>10</v>
      </c>
      <c r="AS71" s="3">
        <f>IFERROR(__xludf.DUMMYFUNCTION("""COMPUTED_VALUE"""),10.0)</f>
        <v>10</v>
      </c>
      <c r="AT71" s="3">
        <f>IFERROR(__xludf.DUMMYFUNCTION("""COMPUTED_VALUE"""),10.0)</f>
        <v>10</v>
      </c>
      <c r="AU71" s="3">
        <f>IFERROR(__xludf.DUMMYFUNCTION("""COMPUTED_VALUE"""),10.0)</f>
        <v>10</v>
      </c>
      <c r="AV71" s="3">
        <f>IFERROR(__xludf.DUMMYFUNCTION("""COMPUTED_VALUE"""),10.0)</f>
        <v>10</v>
      </c>
      <c r="AW71" s="3">
        <f>IFERROR(__xludf.DUMMYFUNCTION("""COMPUTED_VALUE"""),10.0)</f>
        <v>10</v>
      </c>
      <c r="AX71" s="3">
        <f>IFERROR(__xludf.DUMMYFUNCTION("""COMPUTED_VALUE"""),10.0)</f>
        <v>10</v>
      </c>
      <c r="AY71" s="3">
        <f>IFERROR(__xludf.DUMMYFUNCTION("""COMPUTED_VALUE"""),10.0)</f>
        <v>10</v>
      </c>
      <c r="AZ71" s="3">
        <f>IFERROR(__xludf.DUMMYFUNCTION("""COMPUTED_VALUE"""),10.0)</f>
        <v>10</v>
      </c>
      <c r="BA71" s="3">
        <f>IFERROR(__xludf.DUMMYFUNCTION("""COMPUTED_VALUE"""),10.0)</f>
        <v>10</v>
      </c>
      <c r="BB71" s="3">
        <f>IFERROR(__xludf.DUMMYFUNCTION("""COMPUTED_VALUE"""),10.0)</f>
        <v>10</v>
      </c>
      <c r="BC71" s="3">
        <f>IFERROR(__xludf.DUMMYFUNCTION("""COMPUTED_VALUE"""),10.0)</f>
        <v>10</v>
      </c>
      <c r="BD71" s="3">
        <f>IFERROR(__xludf.DUMMYFUNCTION("""COMPUTED_VALUE"""),10.0)</f>
        <v>10</v>
      </c>
      <c r="BE71" s="3">
        <f>IFERROR(__xludf.DUMMYFUNCTION("""COMPUTED_VALUE"""),10.0)</f>
        <v>10</v>
      </c>
      <c r="BF71" s="3">
        <f>IFERROR(__xludf.DUMMYFUNCTION("""COMPUTED_VALUE"""),10.0)</f>
        <v>10</v>
      </c>
      <c r="BG71" s="3">
        <f>IFERROR(__xludf.DUMMYFUNCTION("""COMPUTED_VALUE"""),11.0)</f>
        <v>11</v>
      </c>
      <c r="BH71" s="3">
        <f>IFERROR(__xludf.DUMMYFUNCTION("""COMPUTED_VALUE"""),12.0)</f>
        <v>12</v>
      </c>
      <c r="BI71" s="3">
        <f>IFERROR(__xludf.DUMMYFUNCTION("""COMPUTED_VALUE"""),15.0)</f>
        <v>15</v>
      </c>
      <c r="BJ71" s="3">
        <f>IFERROR(__xludf.DUMMYFUNCTION("""COMPUTED_VALUE"""),17.0)</f>
        <v>17</v>
      </c>
      <c r="BK71" s="3">
        <f>IFERROR(__xludf.DUMMYFUNCTION("""COMPUTED_VALUE"""),17.0)</f>
        <v>17</v>
      </c>
      <c r="BL71" s="3">
        <f>IFERROR(__xludf.DUMMYFUNCTION("""COMPUTED_VALUE"""),18.0)</f>
        <v>18</v>
      </c>
      <c r="BM71" s="3">
        <f>IFERROR(__xludf.DUMMYFUNCTION("""COMPUTED_VALUE"""),24.0)</f>
        <v>24</v>
      </c>
      <c r="BN71" s="3">
        <f>IFERROR(__xludf.DUMMYFUNCTION("""COMPUTED_VALUE"""),24.0)</f>
        <v>24</v>
      </c>
      <c r="BO71" s="3">
        <f>IFERROR(__xludf.DUMMYFUNCTION("""COMPUTED_VALUE"""),25.0)</f>
        <v>25</v>
      </c>
      <c r="BP71" s="3">
        <f>IFERROR(__xludf.DUMMYFUNCTION("""COMPUTED_VALUE"""),30.0)</f>
        <v>30</v>
      </c>
      <c r="BQ71" s="3">
        <f>IFERROR(__xludf.DUMMYFUNCTION("""COMPUTED_VALUE"""),31.0)</f>
        <v>31</v>
      </c>
      <c r="BR71" s="3">
        <f>IFERROR(__xludf.DUMMYFUNCTION("""COMPUTED_VALUE"""),33.0)</f>
        <v>33</v>
      </c>
      <c r="BS71" s="3">
        <f>IFERROR(__xludf.DUMMYFUNCTION("""COMPUTED_VALUE"""),37.0)</f>
        <v>37</v>
      </c>
      <c r="BT71" s="3">
        <f>IFERROR(__xludf.DUMMYFUNCTION("""COMPUTED_VALUE"""),37.0)</f>
        <v>37</v>
      </c>
      <c r="BU71" s="3">
        <f>IFERROR(__xludf.DUMMYFUNCTION("""COMPUTED_VALUE"""),38.0)</f>
        <v>38</v>
      </c>
      <c r="BV71" s="3">
        <f>IFERROR(__xludf.DUMMYFUNCTION("""COMPUTED_VALUE"""),41.0)</f>
        <v>41</v>
      </c>
      <c r="BW71" s="3">
        <f>IFERROR(__xludf.DUMMYFUNCTION("""COMPUTED_VALUE"""),41.0)</f>
        <v>41</v>
      </c>
      <c r="BX71" s="3">
        <f>IFERROR(__xludf.DUMMYFUNCTION("""COMPUTED_VALUE"""),41.0)</f>
        <v>41</v>
      </c>
      <c r="BY71" s="3">
        <f>IFERROR(__xludf.DUMMYFUNCTION("""COMPUTED_VALUE"""),43.0)</f>
        <v>43</v>
      </c>
      <c r="BZ71" s="3">
        <f>IFERROR(__xludf.DUMMYFUNCTION("""COMPUTED_VALUE"""),43.0)</f>
        <v>43</v>
      </c>
      <c r="CA71" s="3">
        <f>IFERROR(__xludf.DUMMYFUNCTION("""COMPUTED_VALUE"""),44.0)</f>
        <v>44</v>
      </c>
      <c r="CB71" s="3">
        <f>IFERROR(__xludf.DUMMYFUNCTION("""COMPUTED_VALUE"""),44.0)</f>
        <v>44</v>
      </c>
    </row>
    <row r="72">
      <c r="A72" s="3" t="str">
        <f>IFERROR(__xludf.DUMMYFUNCTION("""COMPUTED_VALUE"""),"Ningxia")</f>
        <v>Ningxia</v>
      </c>
      <c r="B72" s="3" t="str">
        <f>IFERROR(__xludf.DUMMYFUNCTION("""COMPUTED_VALUE"""),"China")</f>
        <v>China</v>
      </c>
      <c r="C72" s="3">
        <f>IFERROR(__xludf.DUMMYFUNCTION("""COMPUTED_VALUE"""),37.2692)</f>
        <v>37.2692</v>
      </c>
      <c r="D72" s="3">
        <f>IFERROR(__xludf.DUMMYFUNCTION("""COMPUTED_VALUE"""),106.1655)</f>
        <v>106.1655</v>
      </c>
      <c r="E72" s="3">
        <f>IFERROR(__xludf.DUMMYFUNCTION("""COMPUTED_VALUE"""),1.0)</f>
        <v>1</v>
      </c>
      <c r="F72" s="3">
        <f>IFERROR(__xludf.DUMMYFUNCTION("""COMPUTED_VALUE"""),1.0)</f>
        <v>1</v>
      </c>
      <c r="G72" s="3">
        <f>IFERROR(__xludf.DUMMYFUNCTION("""COMPUTED_VALUE"""),2.0)</f>
        <v>2</v>
      </c>
      <c r="H72" s="3">
        <f>IFERROR(__xludf.DUMMYFUNCTION("""COMPUTED_VALUE"""),3.0)</f>
        <v>3</v>
      </c>
      <c r="I72" s="3">
        <f>IFERROR(__xludf.DUMMYFUNCTION("""COMPUTED_VALUE"""),4.0)</f>
        <v>4</v>
      </c>
      <c r="J72" s="3">
        <f>IFERROR(__xludf.DUMMYFUNCTION("""COMPUTED_VALUE"""),7.0)</f>
        <v>7</v>
      </c>
      <c r="K72" s="3">
        <f>IFERROR(__xludf.DUMMYFUNCTION("""COMPUTED_VALUE"""),11.0)</f>
        <v>11</v>
      </c>
      <c r="L72" s="3">
        <f>IFERROR(__xludf.DUMMYFUNCTION("""COMPUTED_VALUE"""),12.0)</f>
        <v>12</v>
      </c>
      <c r="M72" s="3">
        <f>IFERROR(__xludf.DUMMYFUNCTION("""COMPUTED_VALUE"""),17.0)</f>
        <v>17</v>
      </c>
      <c r="N72" s="3">
        <f>IFERROR(__xludf.DUMMYFUNCTION("""COMPUTED_VALUE"""),21.0)</f>
        <v>21</v>
      </c>
      <c r="O72" s="3">
        <f>IFERROR(__xludf.DUMMYFUNCTION("""COMPUTED_VALUE"""),26.0)</f>
        <v>26</v>
      </c>
      <c r="P72" s="3">
        <f>IFERROR(__xludf.DUMMYFUNCTION("""COMPUTED_VALUE"""),28.0)</f>
        <v>28</v>
      </c>
      <c r="Q72" s="3">
        <f>IFERROR(__xludf.DUMMYFUNCTION("""COMPUTED_VALUE"""),31.0)</f>
        <v>31</v>
      </c>
      <c r="R72" s="3">
        <f>IFERROR(__xludf.DUMMYFUNCTION("""COMPUTED_VALUE"""),34.0)</f>
        <v>34</v>
      </c>
      <c r="S72" s="3">
        <f>IFERROR(__xludf.DUMMYFUNCTION("""COMPUTED_VALUE"""),34.0)</f>
        <v>34</v>
      </c>
      <c r="T72" s="3">
        <f>IFERROR(__xludf.DUMMYFUNCTION("""COMPUTED_VALUE"""),40.0)</f>
        <v>40</v>
      </c>
      <c r="U72" s="3">
        <f>IFERROR(__xludf.DUMMYFUNCTION("""COMPUTED_VALUE"""),43.0)</f>
        <v>43</v>
      </c>
      <c r="V72" s="3">
        <f>IFERROR(__xludf.DUMMYFUNCTION("""COMPUTED_VALUE"""),45.0)</f>
        <v>45</v>
      </c>
      <c r="W72" s="3">
        <f>IFERROR(__xludf.DUMMYFUNCTION("""COMPUTED_VALUE"""),45.0)</f>
        <v>45</v>
      </c>
      <c r="X72" s="3">
        <f>IFERROR(__xludf.DUMMYFUNCTION("""COMPUTED_VALUE"""),49.0)</f>
        <v>49</v>
      </c>
      <c r="Y72" s="3">
        <f>IFERROR(__xludf.DUMMYFUNCTION("""COMPUTED_VALUE"""),53.0)</f>
        <v>53</v>
      </c>
      <c r="Z72" s="3">
        <f>IFERROR(__xludf.DUMMYFUNCTION("""COMPUTED_VALUE"""),58.0)</f>
        <v>58</v>
      </c>
      <c r="AA72" s="3">
        <f>IFERROR(__xludf.DUMMYFUNCTION("""COMPUTED_VALUE"""),64.0)</f>
        <v>64</v>
      </c>
      <c r="AB72" s="3">
        <f>IFERROR(__xludf.DUMMYFUNCTION("""COMPUTED_VALUE"""),67.0)</f>
        <v>67</v>
      </c>
      <c r="AC72" s="3">
        <f>IFERROR(__xludf.DUMMYFUNCTION("""COMPUTED_VALUE"""),70.0)</f>
        <v>70</v>
      </c>
      <c r="AD72" s="3">
        <f>IFERROR(__xludf.DUMMYFUNCTION("""COMPUTED_VALUE"""),70.0)</f>
        <v>70</v>
      </c>
      <c r="AE72" s="3">
        <f>IFERROR(__xludf.DUMMYFUNCTION("""COMPUTED_VALUE"""),70.0)</f>
        <v>70</v>
      </c>
      <c r="AF72" s="3">
        <f>IFERROR(__xludf.DUMMYFUNCTION("""COMPUTED_VALUE"""),70.0)</f>
        <v>70</v>
      </c>
      <c r="AG72" s="3">
        <f>IFERROR(__xludf.DUMMYFUNCTION("""COMPUTED_VALUE"""),71.0)</f>
        <v>71</v>
      </c>
      <c r="AH72" s="3">
        <f>IFERROR(__xludf.DUMMYFUNCTION("""COMPUTED_VALUE"""),71.0)</f>
        <v>71</v>
      </c>
      <c r="AI72" s="3">
        <f>IFERROR(__xludf.DUMMYFUNCTION("""COMPUTED_VALUE"""),71.0)</f>
        <v>71</v>
      </c>
      <c r="AJ72" s="3">
        <f>IFERROR(__xludf.DUMMYFUNCTION("""COMPUTED_VALUE"""),71.0)</f>
        <v>71</v>
      </c>
      <c r="AK72" s="3">
        <f>IFERROR(__xludf.DUMMYFUNCTION("""COMPUTED_VALUE"""),71.0)</f>
        <v>71</v>
      </c>
      <c r="AL72" s="3">
        <f>IFERROR(__xludf.DUMMYFUNCTION("""COMPUTED_VALUE"""),71.0)</f>
        <v>71</v>
      </c>
      <c r="AM72" s="3">
        <f>IFERROR(__xludf.DUMMYFUNCTION("""COMPUTED_VALUE"""),71.0)</f>
        <v>71</v>
      </c>
      <c r="AN72" s="3">
        <f>IFERROR(__xludf.DUMMYFUNCTION("""COMPUTED_VALUE"""),71.0)</f>
        <v>71</v>
      </c>
      <c r="AO72" s="3">
        <f>IFERROR(__xludf.DUMMYFUNCTION("""COMPUTED_VALUE"""),72.0)</f>
        <v>72</v>
      </c>
      <c r="AP72" s="3">
        <f>IFERROR(__xludf.DUMMYFUNCTION("""COMPUTED_VALUE"""),72.0)</f>
        <v>72</v>
      </c>
      <c r="AQ72" s="3">
        <f>IFERROR(__xludf.DUMMYFUNCTION("""COMPUTED_VALUE"""),73.0)</f>
        <v>73</v>
      </c>
      <c r="AR72" s="3">
        <f>IFERROR(__xludf.DUMMYFUNCTION("""COMPUTED_VALUE"""),73.0)</f>
        <v>73</v>
      </c>
      <c r="AS72" s="3">
        <f>IFERROR(__xludf.DUMMYFUNCTION("""COMPUTED_VALUE"""),74.0)</f>
        <v>74</v>
      </c>
      <c r="AT72" s="3">
        <f>IFERROR(__xludf.DUMMYFUNCTION("""COMPUTED_VALUE"""),74.0)</f>
        <v>74</v>
      </c>
      <c r="AU72" s="3">
        <f>IFERROR(__xludf.DUMMYFUNCTION("""COMPUTED_VALUE"""),75.0)</f>
        <v>75</v>
      </c>
      <c r="AV72" s="3">
        <f>IFERROR(__xludf.DUMMYFUNCTION("""COMPUTED_VALUE"""),75.0)</f>
        <v>75</v>
      </c>
      <c r="AW72" s="3">
        <f>IFERROR(__xludf.DUMMYFUNCTION("""COMPUTED_VALUE"""),75.0)</f>
        <v>75</v>
      </c>
      <c r="AX72" s="3">
        <f>IFERROR(__xludf.DUMMYFUNCTION("""COMPUTED_VALUE"""),75.0)</f>
        <v>75</v>
      </c>
      <c r="AY72" s="3">
        <f>IFERROR(__xludf.DUMMYFUNCTION("""COMPUTED_VALUE"""),75.0)</f>
        <v>75</v>
      </c>
      <c r="AZ72" s="3">
        <f>IFERROR(__xludf.DUMMYFUNCTION("""COMPUTED_VALUE"""),75.0)</f>
        <v>75</v>
      </c>
      <c r="BA72" s="3">
        <f>IFERROR(__xludf.DUMMYFUNCTION("""COMPUTED_VALUE"""),75.0)</f>
        <v>75</v>
      </c>
      <c r="BB72" s="3">
        <f>IFERROR(__xludf.DUMMYFUNCTION("""COMPUTED_VALUE"""),75.0)</f>
        <v>75</v>
      </c>
      <c r="BC72" s="3">
        <f>IFERROR(__xludf.DUMMYFUNCTION("""COMPUTED_VALUE"""),75.0)</f>
        <v>75</v>
      </c>
      <c r="BD72" s="3">
        <f>IFERROR(__xludf.DUMMYFUNCTION("""COMPUTED_VALUE"""),75.0)</f>
        <v>75</v>
      </c>
      <c r="BE72" s="3">
        <f>IFERROR(__xludf.DUMMYFUNCTION("""COMPUTED_VALUE"""),75.0)</f>
        <v>75</v>
      </c>
      <c r="BF72" s="3">
        <f>IFERROR(__xludf.DUMMYFUNCTION("""COMPUTED_VALUE"""),75.0)</f>
        <v>75</v>
      </c>
      <c r="BG72" s="3">
        <f>IFERROR(__xludf.DUMMYFUNCTION("""COMPUTED_VALUE"""),75.0)</f>
        <v>75</v>
      </c>
      <c r="BH72" s="3">
        <f>IFERROR(__xludf.DUMMYFUNCTION("""COMPUTED_VALUE"""),75.0)</f>
        <v>75</v>
      </c>
      <c r="BI72" s="3">
        <f>IFERROR(__xludf.DUMMYFUNCTION("""COMPUTED_VALUE"""),75.0)</f>
        <v>75</v>
      </c>
      <c r="BJ72" s="3">
        <f>IFERROR(__xludf.DUMMYFUNCTION("""COMPUTED_VALUE"""),75.0)</f>
        <v>75</v>
      </c>
      <c r="BK72" s="3">
        <f>IFERROR(__xludf.DUMMYFUNCTION("""COMPUTED_VALUE"""),75.0)</f>
        <v>75</v>
      </c>
      <c r="BL72" s="3">
        <f>IFERROR(__xludf.DUMMYFUNCTION("""COMPUTED_VALUE"""),75.0)</f>
        <v>75</v>
      </c>
      <c r="BM72" s="3">
        <f>IFERROR(__xludf.DUMMYFUNCTION("""COMPUTED_VALUE"""),75.0)</f>
        <v>75</v>
      </c>
      <c r="BN72" s="3">
        <f>IFERROR(__xludf.DUMMYFUNCTION("""COMPUTED_VALUE"""),75.0)</f>
        <v>75</v>
      </c>
      <c r="BO72" s="3">
        <f>IFERROR(__xludf.DUMMYFUNCTION("""COMPUTED_VALUE"""),75.0)</f>
        <v>75</v>
      </c>
      <c r="BP72" s="3">
        <f>IFERROR(__xludf.DUMMYFUNCTION("""COMPUTED_VALUE"""),75.0)</f>
        <v>75</v>
      </c>
      <c r="BQ72" s="3">
        <f>IFERROR(__xludf.DUMMYFUNCTION("""COMPUTED_VALUE"""),75.0)</f>
        <v>75</v>
      </c>
      <c r="BR72" s="3">
        <f>IFERROR(__xludf.DUMMYFUNCTION("""COMPUTED_VALUE"""),75.0)</f>
        <v>75</v>
      </c>
      <c r="BS72" s="3">
        <f>IFERROR(__xludf.DUMMYFUNCTION("""COMPUTED_VALUE"""),75.0)</f>
        <v>75</v>
      </c>
      <c r="BT72" s="3">
        <f>IFERROR(__xludf.DUMMYFUNCTION("""COMPUTED_VALUE"""),75.0)</f>
        <v>75</v>
      </c>
      <c r="BU72" s="3">
        <f>IFERROR(__xludf.DUMMYFUNCTION("""COMPUTED_VALUE"""),75.0)</f>
        <v>75</v>
      </c>
      <c r="BV72" s="3">
        <f>IFERROR(__xludf.DUMMYFUNCTION("""COMPUTED_VALUE"""),75.0)</f>
        <v>75</v>
      </c>
      <c r="BW72" s="3">
        <f>IFERROR(__xludf.DUMMYFUNCTION("""COMPUTED_VALUE"""),75.0)</f>
        <v>75</v>
      </c>
      <c r="BX72" s="3">
        <f>IFERROR(__xludf.DUMMYFUNCTION("""COMPUTED_VALUE"""),75.0)</f>
        <v>75</v>
      </c>
      <c r="BY72" s="3">
        <f>IFERROR(__xludf.DUMMYFUNCTION("""COMPUTED_VALUE"""),75.0)</f>
        <v>75</v>
      </c>
      <c r="BZ72" s="3">
        <f>IFERROR(__xludf.DUMMYFUNCTION("""COMPUTED_VALUE"""),75.0)</f>
        <v>75</v>
      </c>
      <c r="CA72" s="3">
        <f>IFERROR(__xludf.DUMMYFUNCTION("""COMPUTED_VALUE"""),75.0)</f>
        <v>75</v>
      </c>
      <c r="CB72" s="3">
        <f>IFERROR(__xludf.DUMMYFUNCTION("""COMPUTED_VALUE"""),75.0)</f>
        <v>75</v>
      </c>
    </row>
    <row r="73">
      <c r="A73" s="3" t="str">
        <f>IFERROR(__xludf.DUMMYFUNCTION("""COMPUTED_VALUE"""),"Qinghai")</f>
        <v>Qinghai</v>
      </c>
      <c r="B73" s="3" t="str">
        <f>IFERROR(__xludf.DUMMYFUNCTION("""COMPUTED_VALUE"""),"China")</f>
        <v>China</v>
      </c>
      <c r="C73" s="3">
        <f>IFERROR(__xludf.DUMMYFUNCTION("""COMPUTED_VALUE"""),35.7452)</f>
        <v>35.7452</v>
      </c>
      <c r="D73" s="3">
        <f>IFERROR(__xludf.DUMMYFUNCTION("""COMPUTED_VALUE"""),95.9956)</f>
        <v>95.9956</v>
      </c>
      <c r="E73" s="3">
        <f>IFERROR(__xludf.DUMMYFUNCTION("""COMPUTED_VALUE"""),0.0)</f>
        <v>0</v>
      </c>
      <c r="F73" s="3">
        <f>IFERROR(__xludf.DUMMYFUNCTION("""COMPUTED_VALUE"""),0.0)</f>
        <v>0</v>
      </c>
      <c r="G73" s="3">
        <f>IFERROR(__xludf.DUMMYFUNCTION("""COMPUTED_VALUE"""),0.0)</f>
        <v>0</v>
      </c>
      <c r="H73" s="3">
        <f>IFERROR(__xludf.DUMMYFUNCTION("""COMPUTED_VALUE"""),1.0)</f>
        <v>1</v>
      </c>
      <c r="I73" s="3">
        <f>IFERROR(__xludf.DUMMYFUNCTION("""COMPUTED_VALUE"""),1.0)</f>
        <v>1</v>
      </c>
      <c r="J73" s="3">
        <f>IFERROR(__xludf.DUMMYFUNCTION("""COMPUTED_VALUE"""),6.0)</f>
        <v>6</v>
      </c>
      <c r="K73" s="3">
        <f>IFERROR(__xludf.DUMMYFUNCTION("""COMPUTED_VALUE"""),6.0)</f>
        <v>6</v>
      </c>
      <c r="L73" s="3">
        <f>IFERROR(__xludf.DUMMYFUNCTION("""COMPUTED_VALUE"""),6.0)</f>
        <v>6</v>
      </c>
      <c r="M73" s="3">
        <f>IFERROR(__xludf.DUMMYFUNCTION("""COMPUTED_VALUE"""),8.0)</f>
        <v>8</v>
      </c>
      <c r="N73" s="3">
        <f>IFERROR(__xludf.DUMMYFUNCTION("""COMPUTED_VALUE"""),8.0)</f>
        <v>8</v>
      </c>
      <c r="O73" s="3">
        <f>IFERROR(__xludf.DUMMYFUNCTION("""COMPUTED_VALUE"""),9.0)</f>
        <v>9</v>
      </c>
      <c r="P73" s="3">
        <f>IFERROR(__xludf.DUMMYFUNCTION("""COMPUTED_VALUE"""),11.0)</f>
        <v>11</v>
      </c>
      <c r="Q73" s="3">
        <f>IFERROR(__xludf.DUMMYFUNCTION("""COMPUTED_VALUE"""),13.0)</f>
        <v>13</v>
      </c>
      <c r="R73" s="3">
        <f>IFERROR(__xludf.DUMMYFUNCTION("""COMPUTED_VALUE"""),15.0)</f>
        <v>15</v>
      </c>
      <c r="S73" s="3">
        <f>IFERROR(__xludf.DUMMYFUNCTION("""COMPUTED_VALUE"""),17.0)</f>
        <v>17</v>
      </c>
      <c r="T73" s="3">
        <f>IFERROR(__xludf.DUMMYFUNCTION("""COMPUTED_VALUE"""),18.0)</f>
        <v>18</v>
      </c>
      <c r="U73" s="3">
        <f>IFERROR(__xludf.DUMMYFUNCTION("""COMPUTED_VALUE"""),18.0)</f>
        <v>18</v>
      </c>
      <c r="V73" s="3">
        <f>IFERROR(__xludf.DUMMYFUNCTION("""COMPUTED_VALUE"""),18.0)</f>
        <v>18</v>
      </c>
      <c r="W73" s="3">
        <f>IFERROR(__xludf.DUMMYFUNCTION("""COMPUTED_VALUE"""),18.0)</f>
        <v>18</v>
      </c>
      <c r="X73" s="3">
        <f>IFERROR(__xludf.DUMMYFUNCTION("""COMPUTED_VALUE"""),18.0)</f>
        <v>18</v>
      </c>
      <c r="Y73" s="3">
        <f>IFERROR(__xludf.DUMMYFUNCTION("""COMPUTED_VALUE"""),18.0)</f>
        <v>18</v>
      </c>
      <c r="Z73" s="3">
        <f>IFERROR(__xludf.DUMMYFUNCTION("""COMPUTED_VALUE"""),18.0)</f>
        <v>18</v>
      </c>
      <c r="AA73" s="3">
        <f>IFERROR(__xludf.DUMMYFUNCTION("""COMPUTED_VALUE"""),18.0)</f>
        <v>18</v>
      </c>
      <c r="AB73" s="3">
        <f>IFERROR(__xludf.DUMMYFUNCTION("""COMPUTED_VALUE"""),18.0)</f>
        <v>18</v>
      </c>
      <c r="AC73" s="3">
        <f>IFERROR(__xludf.DUMMYFUNCTION("""COMPUTED_VALUE"""),18.0)</f>
        <v>18</v>
      </c>
      <c r="AD73" s="3">
        <f>IFERROR(__xludf.DUMMYFUNCTION("""COMPUTED_VALUE"""),18.0)</f>
        <v>18</v>
      </c>
      <c r="AE73" s="3">
        <f>IFERROR(__xludf.DUMMYFUNCTION("""COMPUTED_VALUE"""),18.0)</f>
        <v>18</v>
      </c>
      <c r="AF73" s="3">
        <f>IFERROR(__xludf.DUMMYFUNCTION("""COMPUTED_VALUE"""),18.0)</f>
        <v>18</v>
      </c>
      <c r="AG73" s="3">
        <f>IFERROR(__xludf.DUMMYFUNCTION("""COMPUTED_VALUE"""),18.0)</f>
        <v>18</v>
      </c>
      <c r="AH73" s="3">
        <f>IFERROR(__xludf.DUMMYFUNCTION("""COMPUTED_VALUE"""),18.0)</f>
        <v>18</v>
      </c>
      <c r="AI73" s="3">
        <f>IFERROR(__xludf.DUMMYFUNCTION("""COMPUTED_VALUE"""),18.0)</f>
        <v>18</v>
      </c>
      <c r="AJ73" s="3">
        <f>IFERROR(__xludf.DUMMYFUNCTION("""COMPUTED_VALUE"""),18.0)</f>
        <v>18</v>
      </c>
      <c r="AK73" s="3">
        <f>IFERROR(__xludf.DUMMYFUNCTION("""COMPUTED_VALUE"""),18.0)</f>
        <v>18</v>
      </c>
      <c r="AL73" s="3">
        <f>IFERROR(__xludf.DUMMYFUNCTION("""COMPUTED_VALUE"""),18.0)</f>
        <v>18</v>
      </c>
      <c r="AM73" s="3">
        <f>IFERROR(__xludf.DUMMYFUNCTION("""COMPUTED_VALUE"""),18.0)</f>
        <v>18</v>
      </c>
      <c r="AN73" s="3">
        <f>IFERROR(__xludf.DUMMYFUNCTION("""COMPUTED_VALUE"""),18.0)</f>
        <v>18</v>
      </c>
      <c r="AO73" s="3">
        <f>IFERROR(__xludf.DUMMYFUNCTION("""COMPUTED_VALUE"""),18.0)</f>
        <v>18</v>
      </c>
      <c r="AP73" s="3">
        <f>IFERROR(__xludf.DUMMYFUNCTION("""COMPUTED_VALUE"""),18.0)</f>
        <v>18</v>
      </c>
      <c r="AQ73" s="3">
        <f>IFERROR(__xludf.DUMMYFUNCTION("""COMPUTED_VALUE"""),18.0)</f>
        <v>18</v>
      </c>
      <c r="AR73" s="3">
        <f>IFERROR(__xludf.DUMMYFUNCTION("""COMPUTED_VALUE"""),18.0)</f>
        <v>18</v>
      </c>
      <c r="AS73" s="3">
        <f>IFERROR(__xludf.DUMMYFUNCTION("""COMPUTED_VALUE"""),18.0)</f>
        <v>18</v>
      </c>
      <c r="AT73" s="3">
        <f>IFERROR(__xludf.DUMMYFUNCTION("""COMPUTED_VALUE"""),18.0)</f>
        <v>18</v>
      </c>
      <c r="AU73" s="3">
        <f>IFERROR(__xludf.DUMMYFUNCTION("""COMPUTED_VALUE"""),18.0)</f>
        <v>18</v>
      </c>
      <c r="AV73" s="3">
        <f>IFERROR(__xludf.DUMMYFUNCTION("""COMPUTED_VALUE"""),18.0)</f>
        <v>18</v>
      </c>
      <c r="AW73" s="3">
        <f>IFERROR(__xludf.DUMMYFUNCTION("""COMPUTED_VALUE"""),18.0)</f>
        <v>18</v>
      </c>
      <c r="AX73" s="3">
        <f>IFERROR(__xludf.DUMMYFUNCTION("""COMPUTED_VALUE"""),18.0)</f>
        <v>18</v>
      </c>
      <c r="AY73" s="3">
        <f>IFERROR(__xludf.DUMMYFUNCTION("""COMPUTED_VALUE"""),18.0)</f>
        <v>18</v>
      </c>
      <c r="AZ73" s="3">
        <f>IFERROR(__xludf.DUMMYFUNCTION("""COMPUTED_VALUE"""),18.0)</f>
        <v>18</v>
      </c>
      <c r="BA73" s="3">
        <f>IFERROR(__xludf.DUMMYFUNCTION("""COMPUTED_VALUE"""),18.0)</f>
        <v>18</v>
      </c>
      <c r="BB73" s="3">
        <f>IFERROR(__xludf.DUMMYFUNCTION("""COMPUTED_VALUE"""),18.0)</f>
        <v>18</v>
      </c>
      <c r="BC73" s="3">
        <f>IFERROR(__xludf.DUMMYFUNCTION("""COMPUTED_VALUE"""),18.0)</f>
        <v>18</v>
      </c>
      <c r="BD73" s="3">
        <f>IFERROR(__xludf.DUMMYFUNCTION("""COMPUTED_VALUE"""),18.0)</f>
        <v>18</v>
      </c>
      <c r="BE73" s="3">
        <f>IFERROR(__xludf.DUMMYFUNCTION("""COMPUTED_VALUE"""),18.0)</f>
        <v>18</v>
      </c>
      <c r="BF73" s="3">
        <f>IFERROR(__xludf.DUMMYFUNCTION("""COMPUTED_VALUE"""),18.0)</f>
        <v>18</v>
      </c>
      <c r="BG73" s="3">
        <f>IFERROR(__xludf.DUMMYFUNCTION("""COMPUTED_VALUE"""),18.0)</f>
        <v>18</v>
      </c>
      <c r="BH73" s="3">
        <f>IFERROR(__xludf.DUMMYFUNCTION("""COMPUTED_VALUE"""),18.0)</f>
        <v>18</v>
      </c>
      <c r="BI73" s="3">
        <f>IFERROR(__xludf.DUMMYFUNCTION("""COMPUTED_VALUE"""),18.0)</f>
        <v>18</v>
      </c>
      <c r="BJ73" s="3">
        <f>IFERROR(__xludf.DUMMYFUNCTION("""COMPUTED_VALUE"""),18.0)</f>
        <v>18</v>
      </c>
      <c r="BK73" s="3">
        <f>IFERROR(__xludf.DUMMYFUNCTION("""COMPUTED_VALUE"""),18.0)</f>
        <v>18</v>
      </c>
      <c r="BL73" s="3">
        <f>IFERROR(__xludf.DUMMYFUNCTION("""COMPUTED_VALUE"""),18.0)</f>
        <v>18</v>
      </c>
      <c r="BM73" s="3">
        <f>IFERROR(__xludf.DUMMYFUNCTION("""COMPUTED_VALUE"""),18.0)</f>
        <v>18</v>
      </c>
      <c r="BN73" s="3">
        <f>IFERROR(__xludf.DUMMYFUNCTION("""COMPUTED_VALUE"""),18.0)</f>
        <v>18</v>
      </c>
      <c r="BO73" s="3">
        <f>IFERROR(__xludf.DUMMYFUNCTION("""COMPUTED_VALUE"""),18.0)</f>
        <v>18</v>
      </c>
      <c r="BP73" s="3">
        <f>IFERROR(__xludf.DUMMYFUNCTION("""COMPUTED_VALUE"""),18.0)</f>
        <v>18</v>
      </c>
      <c r="BQ73" s="3">
        <f>IFERROR(__xludf.DUMMYFUNCTION("""COMPUTED_VALUE"""),18.0)</f>
        <v>18</v>
      </c>
      <c r="BR73" s="3">
        <f>IFERROR(__xludf.DUMMYFUNCTION("""COMPUTED_VALUE"""),18.0)</f>
        <v>18</v>
      </c>
      <c r="BS73" s="3">
        <f>IFERROR(__xludf.DUMMYFUNCTION("""COMPUTED_VALUE"""),18.0)</f>
        <v>18</v>
      </c>
      <c r="BT73" s="3">
        <f>IFERROR(__xludf.DUMMYFUNCTION("""COMPUTED_VALUE"""),18.0)</f>
        <v>18</v>
      </c>
      <c r="BU73" s="3">
        <f>IFERROR(__xludf.DUMMYFUNCTION("""COMPUTED_VALUE"""),18.0)</f>
        <v>18</v>
      </c>
      <c r="BV73" s="3">
        <f>IFERROR(__xludf.DUMMYFUNCTION("""COMPUTED_VALUE"""),18.0)</f>
        <v>18</v>
      </c>
      <c r="BW73" s="3">
        <f>IFERROR(__xludf.DUMMYFUNCTION("""COMPUTED_VALUE"""),18.0)</f>
        <v>18</v>
      </c>
      <c r="BX73" s="3">
        <f>IFERROR(__xludf.DUMMYFUNCTION("""COMPUTED_VALUE"""),18.0)</f>
        <v>18</v>
      </c>
      <c r="BY73" s="3">
        <f>IFERROR(__xludf.DUMMYFUNCTION("""COMPUTED_VALUE"""),18.0)</f>
        <v>18</v>
      </c>
      <c r="BZ73" s="3">
        <f>IFERROR(__xludf.DUMMYFUNCTION("""COMPUTED_VALUE"""),18.0)</f>
        <v>18</v>
      </c>
      <c r="CA73" s="3">
        <f>IFERROR(__xludf.DUMMYFUNCTION("""COMPUTED_VALUE"""),18.0)</f>
        <v>18</v>
      </c>
      <c r="CB73" s="3">
        <f>IFERROR(__xludf.DUMMYFUNCTION("""COMPUTED_VALUE"""),18.0)</f>
        <v>18</v>
      </c>
    </row>
    <row r="74">
      <c r="A74" s="3" t="str">
        <f>IFERROR(__xludf.DUMMYFUNCTION("""COMPUTED_VALUE"""),"Shaanxi")</f>
        <v>Shaanxi</v>
      </c>
      <c r="B74" s="3" t="str">
        <f>IFERROR(__xludf.DUMMYFUNCTION("""COMPUTED_VALUE"""),"China")</f>
        <v>China</v>
      </c>
      <c r="C74" s="3">
        <f>IFERROR(__xludf.DUMMYFUNCTION("""COMPUTED_VALUE"""),35.1917)</f>
        <v>35.1917</v>
      </c>
      <c r="D74" s="3">
        <f>IFERROR(__xludf.DUMMYFUNCTION("""COMPUTED_VALUE"""),108.8701)</f>
        <v>108.8701</v>
      </c>
      <c r="E74" s="3">
        <f>IFERROR(__xludf.DUMMYFUNCTION("""COMPUTED_VALUE"""),0.0)</f>
        <v>0</v>
      </c>
      <c r="F74" s="3">
        <f>IFERROR(__xludf.DUMMYFUNCTION("""COMPUTED_VALUE"""),3.0)</f>
        <v>3</v>
      </c>
      <c r="G74" s="3">
        <f>IFERROR(__xludf.DUMMYFUNCTION("""COMPUTED_VALUE"""),5.0)</f>
        <v>5</v>
      </c>
      <c r="H74" s="3">
        <f>IFERROR(__xludf.DUMMYFUNCTION("""COMPUTED_VALUE"""),15.0)</f>
        <v>15</v>
      </c>
      <c r="I74" s="3">
        <f>IFERROR(__xludf.DUMMYFUNCTION("""COMPUTED_VALUE"""),22.0)</f>
        <v>22</v>
      </c>
      <c r="J74" s="3">
        <f>IFERROR(__xludf.DUMMYFUNCTION("""COMPUTED_VALUE"""),35.0)</f>
        <v>35</v>
      </c>
      <c r="K74" s="3">
        <f>IFERROR(__xludf.DUMMYFUNCTION("""COMPUTED_VALUE"""),46.0)</f>
        <v>46</v>
      </c>
      <c r="L74" s="3">
        <f>IFERROR(__xludf.DUMMYFUNCTION("""COMPUTED_VALUE"""),56.0)</f>
        <v>56</v>
      </c>
      <c r="M74" s="3">
        <f>IFERROR(__xludf.DUMMYFUNCTION("""COMPUTED_VALUE"""),63.0)</f>
        <v>63</v>
      </c>
      <c r="N74" s="3">
        <f>IFERROR(__xludf.DUMMYFUNCTION("""COMPUTED_VALUE"""),87.0)</f>
        <v>87</v>
      </c>
      <c r="O74" s="3">
        <f>IFERROR(__xludf.DUMMYFUNCTION("""COMPUTED_VALUE"""),101.0)</f>
        <v>101</v>
      </c>
      <c r="P74" s="3">
        <f>IFERROR(__xludf.DUMMYFUNCTION("""COMPUTED_VALUE"""),116.0)</f>
        <v>116</v>
      </c>
      <c r="Q74" s="3">
        <f>IFERROR(__xludf.DUMMYFUNCTION("""COMPUTED_VALUE"""),128.0)</f>
        <v>128</v>
      </c>
      <c r="R74" s="3">
        <f>IFERROR(__xludf.DUMMYFUNCTION("""COMPUTED_VALUE"""),142.0)</f>
        <v>142</v>
      </c>
      <c r="S74" s="3">
        <f>IFERROR(__xludf.DUMMYFUNCTION("""COMPUTED_VALUE"""),165.0)</f>
        <v>165</v>
      </c>
      <c r="T74" s="3">
        <f>IFERROR(__xludf.DUMMYFUNCTION("""COMPUTED_VALUE"""),173.0)</f>
        <v>173</v>
      </c>
      <c r="U74" s="3">
        <f>IFERROR(__xludf.DUMMYFUNCTION("""COMPUTED_VALUE"""),184.0)</f>
        <v>184</v>
      </c>
      <c r="V74" s="3">
        <f>IFERROR(__xludf.DUMMYFUNCTION("""COMPUTED_VALUE"""),195.0)</f>
        <v>195</v>
      </c>
      <c r="W74" s="3">
        <f>IFERROR(__xludf.DUMMYFUNCTION("""COMPUTED_VALUE"""),208.0)</f>
        <v>208</v>
      </c>
      <c r="X74" s="3">
        <f>IFERROR(__xludf.DUMMYFUNCTION("""COMPUTED_VALUE"""),213.0)</f>
        <v>213</v>
      </c>
      <c r="Y74" s="3">
        <f>IFERROR(__xludf.DUMMYFUNCTION("""COMPUTED_VALUE"""),219.0)</f>
        <v>219</v>
      </c>
      <c r="Z74" s="3">
        <f>IFERROR(__xludf.DUMMYFUNCTION("""COMPUTED_VALUE"""),225.0)</f>
        <v>225</v>
      </c>
      <c r="AA74" s="3">
        <f>IFERROR(__xludf.DUMMYFUNCTION("""COMPUTED_VALUE"""),229.0)</f>
        <v>229</v>
      </c>
      <c r="AB74" s="3">
        <f>IFERROR(__xludf.DUMMYFUNCTION("""COMPUTED_VALUE"""),230.0)</f>
        <v>230</v>
      </c>
      <c r="AC74" s="3">
        <f>IFERROR(__xludf.DUMMYFUNCTION("""COMPUTED_VALUE"""),232.0)</f>
        <v>232</v>
      </c>
      <c r="AD74" s="3">
        <f>IFERROR(__xludf.DUMMYFUNCTION("""COMPUTED_VALUE"""),236.0)</f>
        <v>236</v>
      </c>
      <c r="AE74" s="3">
        <f>IFERROR(__xludf.DUMMYFUNCTION("""COMPUTED_VALUE"""),240.0)</f>
        <v>240</v>
      </c>
      <c r="AF74" s="3">
        <f>IFERROR(__xludf.DUMMYFUNCTION("""COMPUTED_VALUE"""),240.0)</f>
        <v>240</v>
      </c>
      <c r="AG74" s="3">
        <f>IFERROR(__xludf.DUMMYFUNCTION("""COMPUTED_VALUE"""),242.0)</f>
        <v>242</v>
      </c>
      <c r="AH74" s="3">
        <f>IFERROR(__xludf.DUMMYFUNCTION("""COMPUTED_VALUE"""),245.0)</f>
        <v>245</v>
      </c>
      <c r="AI74" s="3">
        <f>IFERROR(__xludf.DUMMYFUNCTION("""COMPUTED_VALUE"""),245.0)</f>
        <v>245</v>
      </c>
      <c r="AJ74" s="3">
        <f>IFERROR(__xludf.DUMMYFUNCTION("""COMPUTED_VALUE"""),245.0)</f>
        <v>245</v>
      </c>
      <c r="AK74" s="3">
        <f>IFERROR(__xludf.DUMMYFUNCTION("""COMPUTED_VALUE"""),245.0)</f>
        <v>245</v>
      </c>
      <c r="AL74" s="3">
        <f>IFERROR(__xludf.DUMMYFUNCTION("""COMPUTED_VALUE"""),245.0)</f>
        <v>245</v>
      </c>
      <c r="AM74" s="3">
        <f>IFERROR(__xludf.DUMMYFUNCTION("""COMPUTED_VALUE"""),245.0)</f>
        <v>245</v>
      </c>
      <c r="AN74" s="3">
        <f>IFERROR(__xludf.DUMMYFUNCTION("""COMPUTED_VALUE"""),245.0)</f>
        <v>245</v>
      </c>
      <c r="AO74" s="3">
        <f>IFERROR(__xludf.DUMMYFUNCTION("""COMPUTED_VALUE"""),245.0)</f>
        <v>245</v>
      </c>
      <c r="AP74" s="3">
        <f>IFERROR(__xludf.DUMMYFUNCTION("""COMPUTED_VALUE"""),245.0)</f>
        <v>245</v>
      </c>
      <c r="AQ74" s="3">
        <f>IFERROR(__xludf.DUMMYFUNCTION("""COMPUTED_VALUE"""),245.0)</f>
        <v>245</v>
      </c>
      <c r="AR74" s="3">
        <f>IFERROR(__xludf.DUMMYFUNCTION("""COMPUTED_VALUE"""),245.0)</f>
        <v>245</v>
      </c>
      <c r="AS74" s="3">
        <f>IFERROR(__xludf.DUMMYFUNCTION("""COMPUTED_VALUE"""),245.0)</f>
        <v>245</v>
      </c>
      <c r="AT74" s="3">
        <f>IFERROR(__xludf.DUMMYFUNCTION("""COMPUTED_VALUE"""),245.0)</f>
        <v>245</v>
      </c>
      <c r="AU74" s="3">
        <f>IFERROR(__xludf.DUMMYFUNCTION("""COMPUTED_VALUE"""),245.0)</f>
        <v>245</v>
      </c>
      <c r="AV74" s="3">
        <f>IFERROR(__xludf.DUMMYFUNCTION("""COMPUTED_VALUE"""),245.0)</f>
        <v>245</v>
      </c>
      <c r="AW74" s="3">
        <f>IFERROR(__xludf.DUMMYFUNCTION("""COMPUTED_VALUE"""),245.0)</f>
        <v>245</v>
      </c>
      <c r="AX74" s="3">
        <f>IFERROR(__xludf.DUMMYFUNCTION("""COMPUTED_VALUE"""),245.0)</f>
        <v>245</v>
      </c>
      <c r="AY74" s="3">
        <f>IFERROR(__xludf.DUMMYFUNCTION("""COMPUTED_VALUE"""),245.0)</f>
        <v>245</v>
      </c>
      <c r="AZ74" s="3">
        <f>IFERROR(__xludf.DUMMYFUNCTION("""COMPUTED_VALUE"""),245.0)</f>
        <v>245</v>
      </c>
      <c r="BA74" s="3">
        <f>IFERROR(__xludf.DUMMYFUNCTION("""COMPUTED_VALUE"""),245.0)</f>
        <v>245</v>
      </c>
      <c r="BB74" s="3">
        <f>IFERROR(__xludf.DUMMYFUNCTION("""COMPUTED_VALUE"""),245.0)</f>
        <v>245</v>
      </c>
      <c r="BC74" s="3">
        <f>IFERROR(__xludf.DUMMYFUNCTION("""COMPUTED_VALUE"""),245.0)</f>
        <v>245</v>
      </c>
      <c r="BD74" s="3">
        <f>IFERROR(__xludf.DUMMYFUNCTION("""COMPUTED_VALUE"""),245.0)</f>
        <v>245</v>
      </c>
      <c r="BE74" s="3">
        <f>IFERROR(__xludf.DUMMYFUNCTION("""COMPUTED_VALUE"""),245.0)</f>
        <v>245</v>
      </c>
      <c r="BF74" s="3">
        <f>IFERROR(__xludf.DUMMYFUNCTION("""COMPUTED_VALUE"""),245.0)</f>
        <v>245</v>
      </c>
      <c r="BG74" s="3">
        <f>IFERROR(__xludf.DUMMYFUNCTION("""COMPUTED_VALUE"""),245.0)</f>
        <v>245</v>
      </c>
      <c r="BH74" s="3">
        <f>IFERROR(__xludf.DUMMYFUNCTION("""COMPUTED_VALUE"""),246.0)</f>
        <v>246</v>
      </c>
      <c r="BI74" s="3">
        <f>IFERROR(__xludf.DUMMYFUNCTION("""COMPUTED_VALUE"""),246.0)</f>
        <v>246</v>
      </c>
      <c r="BJ74" s="3">
        <f>IFERROR(__xludf.DUMMYFUNCTION("""COMPUTED_VALUE"""),246.0)</f>
        <v>246</v>
      </c>
      <c r="BK74" s="3">
        <f>IFERROR(__xludf.DUMMYFUNCTION("""COMPUTED_VALUE"""),247.0)</f>
        <v>247</v>
      </c>
      <c r="BL74" s="3">
        <f>IFERROR(__xludf.DUMMYFUNCTION("""COMPUTED_VALUE"""),248.0)</f>
        <v>248</v>
      </c>
      <c r="BM74" s="3">
        <f>IFERROR(__xludf.DUMMYFUNCTION("""COMPUTED_VALUE"""),248.0)</f>
        <v>248</v>
      </c>
      <c r="BN74" s="3">
        <f>IFERROR(__xludf.DUMMYFUNCTION("""COMPUTED_VALUE"""),248.0)</f>
        <v>248</v>
      </c>
      <c r="BO74" s="3">
        <f>IFERROR(__xludf.DUMMYFUNCTION("""COMPUTED_VALUE"""),249.0)</f>
        <v>249</v>
      </c>
      <c r="BP74" s="3">
        <f>IFERROR(__xludf.DUMMYFUNCTION("""COMPUTED_VALUE"""),250.0)</f>
        <v>250</v>
      </c>
      <c r="BQ74" s="3">
        <f>IFERROR(__xludf.DUMMYFUNCTION("""COMPUTED_VALUE"""),253.0)</f>
        <v>253</v>
      </c>
      <c r="BR74" s="3">
        <f>IFERROR(__xludf.DUMMYFUNCTION("""COMPUTED_VALUE"""),253.0)</f>
        <v>253</v>
      </c>
      <c r="BS74" s="3">
        <f>IFERROR(__xludf.DUMMYFUNCTION("""COMPUTED_VALUE"""),253.0)</f>
        <v>253</v>
      </c>
      <c r="BT74" s="3">
        <f>IFERROR(__xludf.DUMMYFUNCTION("""COMPUTED_VALUE"""),253.0)</f>
        <v>253</v>
      </c>
      <c r="BU74" s="3">
        <f>IFERROR(__xludf.DUMMYFUNCTION("""COMPUTED_VALUE"""),253.0)</f>
        <v>253</v>
      </c>
      <c r="BV74" s="3">
        <f>IFERROR(__xludf.DUMMYFUNCTION("""COMPUTED_VALUE"""),253.0)</f>
        <v>253</v>
      </c>
      <c r="BW74" s="3">
        <f>IFERROR(__xludf.DUMMYFUNCTION("""COMPUTED_VALUE"""),255.0)</f>
        <v>255</v>
      </c>
      <c r="BX74" s="3">
        <f>IFERROR(__xludf.DUMMYFUNCTION("""COMPUTED_VALUE"""),255.0)</f>
        <v>255</v>
      </c>
      <c r="BY74" s="3">
        <f>IFERROR(__xludf.DUMMYFUNCTION("""COMPUTED_VALUE"""),255.0)</f>
        <v>255</v>
      </c>
      <c r="BZ74" s="3">
        <f>IFERROR(__xludf.DUMMYFUNCTION("""COMPUTED_VALUE"""),256.0)</f>
        <v>256</v>
      </c>
      <c r="CA74" s="3">
        <f>IFERROR(__xludf.DUMMYFUNCTION("""COMPUTED_VALUE"""),256.0)</f>
        <v>256</v>
      </c>
      <c r="CB74" s="3">
        <f>IFERROR(__xludf.DUMMYFUNCTION("""COMPUTED_VALUE"""),256.0)</f>
        <v>256</v>
      </c>
    </row>
    <row r="75">
      <c r="A75" s="3" t="str">
        <f>IFERROR(__xludf.DUMMYFUNCTION("""COMPUTED_VALUE"""),"Shandong")</f>
        <v>Shandong</v>
      </c>
      <c r="B75" s="3" t="str">
        <f>IFERROR(__xludf.DUMMYFUNCTION("""COMPUTED_VALUE"""),"China")</f>
        <v>China</v>
      </c>
      <c r="C75" s="3">
        <f>IFERROR(__xludf.DUMMYFUNCTION("""COMPUTED_VALUE"""),36.3427)</f>
        <v>36.3427</v>
      </c>
      <c r="D75" s="3">
        <f>IFERROR(__xludf.DUMMYFUNCTION("""COMPUTED_VALUE"""),118.1498)</f>
        <v>118.1498</v>
      </c>
      <c r="E75" s="3">
        <f>IFERROR(__xludf.DUMMYFUNCTION("""COMPUTED_VALUE"""),2.0)</f>
        <v>2</v>
      </c>
      <c r="F75" s="3">
        <f>IFERROR(__xludf.DUMMYFUNCTION("""COMPUTED_VALUE"""),6.0)</f>
        <v>6</v>
      </c>
      <c r="G75" s="3">
        <f>IFERROR(__xludf.DUMMYFUNCTION("""COMPUTED_VALUE"""),15.0)</f>
        <v>15</v>
      </c>
      <c r="H75" s="3">
        <f>IFERROR(__xludf.DUMMYFUNCTION("""COMPUTED_VALUE"""),27.0)</f>
        <v>27</v>
      </c>
      <c r="I75" s="3">
        <f>IFERROR(__xludf.DUMMYFUNCTION("""COMPUTED_VALUE"""),46.0)</f>
        <v>46</v>
      </c>
      <c r="J75" s="3">
        <f>IFERROR(__xludf.DUMMYFUNCTION("""COMPUTED_VALUE"""),75.0)</f>
        <v>75</v>
      </c>
      <c r="K75" s="3">
        <f>IFERROR(__xludf.DUMMYFUNCTION("""COMPUTED_VALUE"""),95.0)</f>
        <v>95</v>
      </c>
      <c r="L75" s="3">
        <f>IFERROR(__xludf.DUMMYFUNCTION("""COMPUTED_VALUE"""),130.0)</f>
        <v>130</v>
      </c>
      <c r="M75" s="3">
        <f>IFERROR(__xludf.DUMMYFUNCTION("""COMPUTED_VALUE"""),158.0)</f>
        <v>158</v>
      </c>
      <c r="N75" s="3">
        <f>IFERROR(__xludf.DUMMYFUNCTION("""COMPUTED_VALUE"""),184.0)</f>
        <v>184</v>
      </c>
      <c r="O75" s="3">
        <f>IFERROR(__xludf.DUMMYFUNCTION("""COMPUTED_VALUE"""),206.0)</f>
        <v>206</v>
      </c>
      <c r="P75" s="3">
        <f>IFERROR(__xludf.DUMMYFUNCTION("""COMPUTED_VALUE"""),230.0)</f>
        <v>230</v>
      </c>
      <c r="Q75" s="3">
        <f>IFERROR(__xludf.DUMMYFUNCTION("""COMPUTED_VALUE"""),259.0)</f>
        <v>259</v>
      </c>
      <c r="R75" s="3">
        <f>IFERROR(__xludf.DUMMYFUNCTION("""COMPUTED_VALUE"""),275.0)</f>
        <v>275</v>
      </c>
      <c r="S75" s="3">
        <f>IFERROR(__xludf.DUMMYFUNCTION("""COMPUTED_VALUE"""),307.0)</f>
        <v>307</v>
      </c>
      <c r="T75" s="3">
        <f>IFERROR(__xludf.DUMMYFUNCTION("""COMPUTED_VALUE"""),347.0)</f>
        <v>347</v>
      </c>
      <c r="U75" s="3">
        <f>IFERROR(__xludf.DUMMYFUNCTION("""COMPUTED_VALUE"""),386.0)</f>
        <v>386</v>
      </c>
      <c r="V75" s="3">
        <f>IFERROR(__xludf.DUMMYFUNCTION("""COMPUTED_VALUE"""),416.0)</f>
        <v>416</v>
      </c>
      <c r="W75" s="3">
        <f>IFERROR(__xludf.DUMMYFUNCTION("""COMPUTED_VALUE"""),444.0)</f>
        <v>444</v>
      </c>
      <c r="X75" s="3">
        <f>IFERROR(__xludf.DUMMYFUNCTION("""COMPUTED_VALUE"""),466.0)</f>
        <v>466</v>
      </c>
      <c r="Y75" s="3">
        <f>IFERROR(__xludf.DUMMYFUNCTION("""COMPUTED_VALUE"""),487.0)</f>
        <v>487</v>
      </c>
      <c r="Z75" s="3">
        <f>IFERROR(__xludf.DUMMYFUNCTION("""COMPUTED_VALUE"""),497.0)</f>
        <v>497</v>
      </c>
      <c r="AA75" s="3">
        <f>IFERROR(__xludf.DUMMYFUNCTION("""COMPUTED_VALUE"""),509.0)</f>
        <v>509</v>
      </c>
      <c r="AB75" s="3">
        <f>IFERROR(__xludf.DUMMYFUNCTION("""COMPUTED_VALUE"""),523.0)</f>
        <v>523</v>
      </c>
      <c r="AC75" s="3">
        <f>IFERROR(__xludf.DUMMYFUNCTION("""COMPUTED_VALUE"""),532.0)</f>
        <v>532</v>
      </c>
      <c r="AD75" s="3">
        <f>IFERROR(__xludf.DUMMYFUNCTION("""COMPUTED_VALUE"""),537.0)</f>
        <v>537</v>
      </c>
      <c r="AE75" s="3">
        <f>IFERROR(__xludf.DUMMYFUNCTION("""COMPUTED_VALUE"""),541.0)</f>
        <v>541</v>
      </c>
      <c r="AF75" s="3">
        <f>IFERROR(__xludf.DUMMYFUNCTION("""COMPUTED_VALUE"""),543.0)</f>
        <v>543</v>
      </c>
      <c r="AG75" s="3">
        <f>IFERROR(__xludf.DUMMYFUNCTION("""COMPUTED_VALUE"""),544.0)</f>
        <v>544</v>
      </c>
      <c r="AH75" s="3">
        <f>IFERROR(__xludf.DUMMYFUNCTION("""COMPUTED_VALUE"""),546.0)</f>
        <v>546</v>
      </c>
      <c r="AI75" s="3">
        <f>IFERROR(__xludf.DUMMYFUNCTION("""COMPUTED_VALUE"""),749.0)</f>
        <v>749</v>
      </c>
      <c r="AJ75" s="3">
        <f>IFERROR(__xludf.DUMMYFUNCTION("""COMPUTED_VALUE"""),750.0)</f>
        <v>750</v>
      </c>
      <c r="AK75" s="3">
        <f>IFERROR(__xludf.DUMMYFUNCTION("""COMPUTED_VALUE"""),754.0)</f>
        <v>754</v>
      </c>
      <c r="AL75" s="3">
        <f>IFERROR(__xludf.DUMMYFUNCTION("""COMPUTED_VALUE"""),755.0)</f>
        <v>755</v>
      </c>
      <c r="AM75" s="3">
        <f>IFERROR(__xludf.DUMMYFUNCTION("""COMPUTED_VALUE"""),756.0)</f>
        <v>756</v>
      </c>
      <c r="AN75" s="3">
        <f>IFERROR(__xludf.DUMMYFUNCTION("""COMPUTED_VALUE"""),756.0)</f>
        <v>756</v>
      </c>
      <c r="AO75" s="3">
        <f>IFERROR(__xludf.DUMMYFUNCTION("""COMPUTED_VALUE"""),756.0)</f>
        <v>756</v>
      </c>
      <c r="AP75" s="3">
        <f>IFERROR(__xludf.DUMMYFUNCTION("""COMPUTED_VALUE"""),756.0)</f>
        <v>756</v>
      </c>
      <c r="AQ75" s="3">
        <f>IFERROR(__xludf.DUMMYFUNCTION("""COMPUTED_VALUE"""),756.0)</f>
        <v>756</v>
      </c>
      <c r="AR75" s="3">
        <f>IFERROR(__xludf.DUMMYFUNCTION("""COMPUTED_VALUE"""),758.0)</f>
        <v>758</v>
      </c>
      <c r="AS75" s="3">
        <f>IFERROR(__xludf.DUMMYFUNCTION("""COMPUTED_VALUE"""),758.0)</f>
        <v>758</v>
      </c>
      <c r="AT75" s="3">
        <f>IFERROR(__xludf.DUMMYFUNCTION("""COMPUTED_VALUE"""),758.0)</f>
        <v>758</v>
      </c>
      <c r="AU75" s="3">
        <f>IFERROR(__xludf.DUMMYFUNCTION("""COMPUTED_VALUE"""),758.0)</f>
        <v>758</v>
      </c>
      <c r="AV75" s="3">
        <f>IFERROR(__xludf.DUMMYFUNCTION("""COMPUTED_VALUE"""),758.0)</f>
        <v>758</v>
      </c>
      <c r="AW75" s="3">
        <f>IFERROR(__xludf.DUMMYFUNCTION("""COMPUTED_VALUE"""),758.0)</f>
        <v>758</v>
      </c>
      <c r="AX75" s="3">
        <f>IFERROR(__xludf.DUMMYFUNCTION("""COMPUTED_VALUE"""),758.0)</f>
        <v>758</v>
      </c>
      <c r="AY75" s="3">
        <f>IFERROR(__xludf.DUMMYFUNCTION("""COMPUTED_VALUE"""),758.0)</f>
        <v>758</v>
      </c>
      <c r="AZ75" s="3">
        <f>IFERROR(__xludf.DUMMYFUNCTION("""COMPUTED_VALUE"""),758.0)</f>
        <v>758</v>
      </c>
      <c r="BA75" s="3">
        <f>IFERROR(__xludf.DUMMYFUNCTION("""COMPUTED_VALUE"""),758.0)</f>
        <v>758</v>
      </c>
      <c r="BB75" s="3">
        <f>IFERROR(__xludf.DUMMYFUNCTION("""COMPUTED_VALUE"""),760.0)</f>
        <v>760</v>
      </c>
      <c r="BC75" s="3">
        <f>IFERROR(__xludf.DUMMYFUNCTION("""COMPUTED_VALUE"""),760.0)</f>
        <v>760</v>
      </c>
      <c r="BD75" s="3">
        <f>IFERROR(__xludf.DUMMYFUNCTION("""COMPUTED_VALUE"""),760.0)</f>
        <v>760</v>
      </c>
      <c r="BE75" s="3">
        <f>IFERROR(__xludf.DUMMYFUNCTION("""COMPUTED_VALUE"""),760.0)</f>
        <v>760</v>
      </c>
      <c r="BF75" s="3">
        <f>IFERROR(__xludf.DUMMYFUNCTION("""COMPUTED_VALUE"""),760.0)</f>
        <v>760</v>
      </c>
      <c r="BG75" s="3">
        <f>IFERROR(__xludf.DUMMYFUNCTION("""COMPUTED_VALUE"""),760.0)</f>
        <v>760</v>
      </c>
      <c r="BH75" s="3">
        <f>IFERROR(__xludf.DUMMYFUNCTION("""COMPUTED_VALUE"""),761.0)</f>
        <v>761</v>
      </c>
      <c r="BI75" s="3">
        <f>IFERROR(__xludf.DUMMYFUNCTION("""COMPUTED_VALUE"""),761.0)</f>
        <v>761</v>
      </c>
      <c r="BJ75" s="3">
        <f>IFERROR(__xludf.DUMMYFUNCTION("""COMPUTED_VALUE"""),761.0)</f>
        <v>761</v>
      </c>
      <c r="BK75" s="3">
        <f>IFERROR(__xludf.DUMMYFUNCTION("""COMPUTED_VALUE"""),762.0)</f>
        <v>762</v>
      </c>
      <c r="BL75" s="3">
        <f>IFERROR(__xludf.DUMMYFUNCTION("""COMPUTED_VALUE"""),764.0)</f>
        <v>764</v>
      </c>
      <c r="BM75" s="3">
        <f>IFERROR(__xludf.DUMMYFUNCTION("""COMPUTED_VALUE"""),767.0)</f>
        <v>767</v>
      </c>
      <c r="BN75" s="3">
        <f>IFERROR(__xludf.DUMMYFUNCTION("""COMPUTED_VALUE"""),768.0)</f>
        <v>768</v>
      </c>
      <c r="BO75" s="3">
        <f>IFERROR(__xludf.DUMMYFUNCTION("""COMPUTED_VALUE"""),768.0)</f>
        <v>768</v>
      </c>
      <c r="BP75" s="3">
        <f>IFERROR(__xludf.DUMMYFUNCTION("""COMPUTED_VALUE"""),769.0)</f>
        <v>769</v>
      </c>
      <c r="BQ75" s="3">
        <f>IFERROR(__xludf.DUMMYFUNCTION("""COMPUTED_VALUE"""),771.0)</f>
        <v>771</v>
      </c>
      <c r="BR75" s="3">
        <f>IFERROR(__xludf.DUMMYFUNCTION("""COMPUTED_VALUE"""),772.0)</f>
        <v>772</v>
      </c>
      <c r="BS75" s="3">
        <f>IFERROR(__xludf.DUMMYFUNCTION("""COMPUTED_VALUE"""),772.0)</f>
        <v>772</v>
      </c>
      <c r="BT75" s="3">
        <f>IFERROR(__xludf.DUMMYFUNCTION("""COMPUTED_VALUE"""),772.0)</f>
        <v>772</v>
      </c>
      <c r="BU75" s="3">
        <f>IFERROR(__xludf.DUMMYFUNCTION("""COMPUTED_VALUE"""),773.0)</f>
        <v>773</v>
      </c>
      <c r="BV75" s="3">
        <f>IFERROR(__xludf.DUMMYFUNCTION("""COMPUTED_VALUE"""),774.0)</f>
        <v>774</v>
      </c>
      <c r="BW75" s="3">
        <f>IFERROR(__xludf.DUMMYFUNCTION("""COMPUTED_VALUE"""),774.0)</f>
        <v>774</v>
      </c>
      <c r="BX75" s="3">
        <f>IFERROR(__xludf.DUMMYFUNCTION("""COMPUTED_VALUE"""),775.0)</f>
        <v>775</v>
      </c>
      <c r="BY75" s="3">
        <f>IFERROR(__xludf.DUMMYFUNCTION("""COMPUTED_VALUE"""),778.0)</f>
        <v>778</v>
      </c>
      <c r="BZ75" s="3">
        <f>IFERROR(__xludf.DUMMYFUNCTION("""COMPUTED_VALUE"""),778.0)</f>
        <v>778</v>
      </c>
      <c r="CA75" s="3">
        <f>IFERROR(__xludf.DUMMYFUNCTION("""COMPUTED_VALUE"""),779.0)</f>
        <v>779</v>
      </c>
      <c r="CB75" s="3">
        <f>IFERROR(__xludf.DUMMYFUNCTION("""COMPUTED_VALUE"""),780.0)</f>
        <v>780</v>
      </c>
    </row>
    <row r="76">
      <c r="A76" s="3" t="str">
        <f>IFERROR(__xludf.DUMMYFUNCTION("""COMPUTED_VALUE"""),"Shanghai")</f>
        <v>Shanghai</v>
      </c>
      <c r="B76" s="3" t="str">
        <f>IFERROR(__xludf.DUMMYFUNCTION("""COMPUTED_VALUE"""),"China")</f>
        <v>China</v>
      </c>
      <c r="C76" s="3">
        <f>IFERROR(__xludf.DUMMYFUNCTION("""COMPUTED_VALUE"""),31.202)</f>
        <v>31.202</v>
      </c>
      <c r="D76" s="3">
        <f>IFERROR(__xludf.DUMMYFUNCTION("""COMPUTED_VALUE"""),121.4491)</f>
        <v>121.4491</v>
      </c>
      <c r="E76" s="3">
        <f>IFERROR(__xludf.DUMMYFUNCTION("""COMPUTED_VALUE"""),9.0)</f>
        <v>9</v>
      </c>
      <c r="F76" s="3">
        <f>IFERROR(__xludf.DUMMYFUNCTION("""COMPUTED_VALUE"""),16.0)</f>
        <v>16</v>
      </c>
      <c r="G76" s="3">
        <f>IFERROR(__xludf.DUMMYFUNCTION("""COMPUTED_VALUE"""),20.0)</f>
        <v>20</v>
      </c>
      <c r="H76" s="3">
        <f>IFERROR(__xludf.DUMMYFUNCTION("""COMPUTED_VALUE"""),33.0)</f>
        <v>33</v>
      </c>
      <c r="I76" s="3">
        <f>IFERROR(__xludf.DUMMYFUNCTION("""COMPUTED_VALUE"""),40.0)</f>
        <v>40</v>
      </c>
      <c r="J76" s="3">
        <f>IFERROR(__xludf.DUMMYFUNCTION("""COMPUTED_VALUE"""),53.0)</f>
        <v>53</v>
      </c>
      <c r="K76" s="3">
        <f>IFERROR(__xludf.DUMMYFUNCTION("""COMPUTED_VALUE"""),66.0)</f>
        <v>66</v>
      </c>
      <c r="L76" s="3">
        <f>IFERROR(__xludf.DUMMYFUNCTION("""COMPUTED_VALUE"""),96.0)</f>
        <v>96</v>
      </c>
      <c r="M76" s="3">
        <f>IFERROR(__xludf.DUMMYFUNCTION("""COMPUTED_VALUE"""),112.0)</f>
        <v>112</v>
      </c>
      <c r="N76" s="3">
        <f>IFERROR(__xludf.DUMMYFUNCTION("""COMPUTED_VALUE"""),135.0)</f>
        <v>135</v>
      </c>
      <c r="O76" s="3">
        <f>IFERROR(__xludf.DUMMYFUNCTION("""COMPUTED_VALUE"""),169.0)</f>
        <v>169</v>
      </c>
      <c r="P76" s="3">
        <f>IFERROR(__xludf.DUMMYFUNCTION("""COMPUTED_VALUE"""),182.0)</f>
        <v>182</v>
      </c>
      <c r="Q76" s="3">
        <f>IFERROR(__xludf.DUMMYFUNCTION("""COMPUTED_VALUE"""),203.0)</f>
        <v>203</v>
      </c>
      <c r="R76" s="3">
        <f>IFERROR(__xludf.DUMMYFUNCTION("""COMPUTED_VALUE"""),219.0)</f>
        <v>219</v>
      </c>
      <c r="S76" s="3">
        <f>IFERROR(__xludf.DUMMYFUNCTION("""COMPUTED_VALUE"""),243.0)</f>
        <v>243</v>
      </c>
      <c r="T76" s="3">
        <f>IFERROR(__xludf.DUMMYFUNCTION("""COMPUTED_VALUE"""),257.0)</f>
        <v>257</v>
      </c>
      <c r="U76" s="3">
        <f>IFERROR(__xludf.DUMMYFUNCTION("""COMPUTED_VALUE"""),277.0)</f>
        <v>277</v>
      </c>
      <c r="V76" s="3">
        <f>IFERROR(__xludf.DUMMYFUNCTION("""COMPUTED_VALUE"""),286.0)</f>
        <v>286</v>
      </c>
      <c r="W76" s="3">
        <f>IFERROR(__xludf.DUMMYFUNCTION("""COMPUTED_VALUE"""),293.0)</f>
        <v>293</v>
      </c>
      <c r="X76" s="3">
        <f>IFERROR(__xludf.DUMMYFUNCTION("""COMPUTED_VALUE"""),299.0)</f>
        <v>299</v>
      </c>
      <c r="Y76" s="3">
        <f>IFERROR(__xludf.DUMMYFUNCTION("""COMPUTED_VALUE"""),303.0)</f>
        <v>303</v>
      </c>
      <c r="Z76" s="3">
        <f>IFERROR(__xludf.DUMMYFUNCTION("""COMPUTED_VALUE"""),311.0)</f>
        <v>311</v>
      </c>
      <c r="AA76" s="3">
        <f>IFERROR(__xludf.DUMMYFUNCTION("""COMPUTED_VALUE"""),315.0)</f>
        <v>315</v>
      </c>
      <c r="AB76" s="3">
        <f>IFERROR(__xludf.DUMMYFUNCTION("""COMPUTED_VALUE"""),318.0)</f>
        <v>318</v>
      </c>
      <c r="AC76" s="3">
        <f>IFERROR(__xludf.DUMMYFUNCTION("""COMPUTED_VALUE"""),326.0)</f>
        <v>326</v>
      </c>
      <c r="AD76" s="3">
        <f>IFERROR(__xludf.DUMMYFUNCTION("""COMPUTED_VALUE"""),328.0)</f>
        <v>328</v>
      </c>
      <c r="AE76" s="3">
        <f>IFERROR(__xludf.DUMMYFUNCTION("""COMPUTED_VALUE"""),333.0)</f>
        <v>333</v>
      </c>
      <c r="AF76" s="3">
        <f>IFERROR(__xludf.DUMMYFUNCTION("""COMPUTED_VALUE"""),333.0)</f>
        <v>333</v>
      </c>
      <c r="AG76" s="3">
        <f>IFERROR(__xludf.DUMMYFUNCTION("""COMPUTED_VALUE"""),333.0)</f>
        <v>333</v>
      </c>
      <c r="AH76" s="3">
        <f>IFERROR(__xludf.DUMMYFUNCTION("""COMPUTED_VALUE"""),334.0)</f>
        <v>334</v>
      </c>
      <c r="AI76" s="3">
        <f>IFERROR(__xludf.DUMMYFUNCTION("""COMPUTED_VALUE"""),334.0)</f>
        <v>334</v>
      </c>
      <c r="AJ76" s="3">
        <f>IFERROR(__xludf.DUMMYFUNCTION("""COMPUTED_VALUE"""),335.0)</f>
        <v>335</v>
      </c>
      <c r="AK76" s="3">
        <f>IFERROR(__xludf.DUMMYFUNCTION("""COMPUTED_VALUE"""),335.0)</f>
        <v>335</v>
      </c>
      <c r="AL76" s="3">
        <f>IFERROR(__xludf.DUMMYFUNCTION("""COMPUTED_VALUE"""),335.0)</f>
        <v>335</v>
      </c>
      <c r="AM76" s="3">
        <f>IFERROR(__xludf.DUMMYFUNCTION("""COMPUTED_VALUE"""),336.0)</f>
        <v>336</v>
      </c>
      <c r="AN76" s="3">
        <f>IFERROR(__xludf.DUMMYFUNCTION("""COMPUTED_VALUE"""),337.0)</f>
        <v>337</v>
      </c>
      <c r="AO76" s="3">
        <f>IFERROR(__xludf.DUMMYFUNCTION("""COMPUTED_VALUE"""),337.0)</f>
        <v>337</v>
      </c>
      <c r="AP76" s="3">
        <f>IFERROR(__xludf.DUMMYFUNCTION("""COMPUTED_VALUE"""),337.0)</f>
        <v>337</v>
      </c>
      <c r="AQ76" s="3">
        <f>IFERROR(__xludf.DUMMYFUNCTION("""COMPUTED_VALUE"""),337.0)</f>
        <v>337</v>
      </c>
      <c r="AR76" s="3">
        <f>IFERROR(__xludf.DUMMYFUNCTION("""COMPUTED_VALUE"""),337.0)</f>
        <v>337</v>
      </c>
      <c r="AS76" s="3">
        <f>IFERROR(__xludf.DUMMYFUNCTION("""COMPUTED_VALUE"""),337.0)</f>
        <v>337</v>
      </c>
      <c r="AT76" s="3">
        <f>IFERROR(__xludf.DUMMYFUNCTION("""COMPUTED_VALUE"""),338.0)</f>
        <v>338</v>
      </c>
      <c r="AU76" s="3">
        <f>IFERROR(__xludf.DUMMYFUNCTION("""COMPUTED_VALUE"""),338.0)</f>
        <v>338</v>
      </c>
      <c r="AV76" s="3">
        <f>IFERROR(__xludf.DUMMYFUNCTION("""COMPUTED_VALUE"""),339.0)</f>
        <v>339</v>
      </c>
      <c r="AW76" s="3">
        <f>IFERROR(__xludf.DUMMYFUNCTION("""COMPUTED_VALUE"""),342.0)</f>
        <v>342</v>
      </c>
      <c r="AX76" s="3">
        <f>IFERROR(__xludf.DUMMYFUNCTION("""COMPUTED_VALUE"""),342.0)</f>
        <v>342</v>
      </c>
      <c r="AY76" s="3">
        <f>IFERROR(__xludf.DUMMYFUNCTION("""COMPUTED_VALUE"""),342.0)</f>
        <v>342</v>
      </c>
      <c r="AZ76" s="3">
        <f>IFERROR(__xludf.DUMMYFUNCTION("""COMPUTED_VALUE"""),342.0)</f>
        <v>342</v>
      </c>
      <c r="BA76" s="3">
        <f>IFERROR(__xludf.DUMMYFUNCTION("""COMPUTED_VALUE"""),344.0)</f>
        <v>344</v>
      </c>
      <c r="BB76" s="3">
        <f>IFERROR(__xludf.DUMMYFUNCTION("""COMPUTED_VALUE"""),344.0)</f>
        <v>344</v>
      </c>
      <c r="BC76" s="3">
        <f>IFERROR(__xludf.DUMMYFUNCTION("""COMPUTED_VALUE"""),344.0)</f>
        <v>344</v>
      </c>
      <c r="BD76" s="3">
        <f>IFERROR(__xludf.DUMMYFUNCTION("""COMPUTED_VALUE"""),346.0)</f>
        <v>346</v>
      </c>
      <c r="BE76" s="3">
        <f>IFERROR(__xludf.DUMMYFUNCTION("""COMPUTED_VALUE"""),353.0)</f>
        <v>353</v>
      </c>
      <c r="BF76" s="3">
        <f>IFERROR(__xludf.DUMMYFUNCTION("""COMPUTED_VALUE"""),353.0)</f>
        <v>353</v>
      </c>
      <c r="BG76" s="3">
        <f>IFERROR(__xludf.DUMMYFUNCTION("""COMPUTED_VALUE"""),355.0)</f>
        <v>355</v>
      </c>
      <c r="BH76" s="3">
        <f>IFERROR(__xludf.DUMMYFUNCTION("""COMPUTED_VALUE"""),358.0)</f>
        <v>358</v>
      </c>
      <c r="BI76" s="3">
        <f>IFERROR(__xludf.DUMMYFUNCTION("""COMPUTED_VALUE"""),361.0)</f>
        <v>361</v>
      </c>
      <c r="BJ76" s="3">
        <f>IFERROR(__xludf.DUMMYFUNCTION("""COMPUTED_VALUE"""),363.0)</f>
        <v>363</v>
      </c>
      <c r="BK76" s="3">
        <f>IFERROR(__xludf.DUMMYFUNCTION("""COMPUTED_VALUE"""),371.0)</f>
        <v>371</v>
      </c>
      <c r="BL76" s="3">
        <f>IFERROR(__xludf.DUMMYFUNCTION("""COMPUTED_VALUE"""),380.0)</f>
        <v>380</v>
      </c>
      <c r="BM76" s="3">
        <f>IFERROR(__xludf.DUMMYFUNCTION("""COMPUTED_VALUE"""),404.0)</f>
        <v>404</v>
      </c>
      <c r="BN76" s="3">
        <f>IFERROR(__xludf.DUMMYFUNCTION("""COMPUTED_VALUE"""),404.0)</f>
        <v>404</v>
      </c>
      <c r="BO76" s="3">
        <f>IFERROR(__xludf.DUMMYFUNCTION("""COMPUTED_VALUE"""),414.0)</f>
        <v>414</v>
      </c>
      <c r="BP76" s="3">
        <f>IFERROR(__xludf.DUMMYFUNCTION("""COMPUTED_VALUE"""),433.0)</f>
        <v>433</v>
      </c>
      <c r="BQ76" s="3">
        <f>IFERROR(__xludf.DUMMYFUNCTION("""COMPUTED_VALUE"""),451.0)</f>
        <v>451</v>
      </c>
      <c r="BR76" s="3">
        <f>IFERROR(__xludf.DUMMYFUNCTION("""COMPUTED_VALUE"""),468.0)</f>
        <v>468</v>
      </c>
      <c r="BS76" s="3">
        <f>IFERROR(__xludf.DUMMYFUNCTION("""COMPUTED_VALUE"""),485.0)</f>
        <v>485</v>
      </c>
      <c r="BT76" s="3">
        <f>IFERROR(__xludf.DUMMYFUNCTION("""COMPUTED_VALUE"""),492.0)</f>
        <v>492</v>
      </c>
      <c r="BU76" s="3">
        <f>IFERROR(__xludf.DUMMYFUNCTION("""COMPUTED_VALUE"""),498.0)</f>
        <v>498</v>
      </c>
      <c r="BV76" s="3">
        <f>IFERROR(__xludf.DUMMYFUNCTION("""COMPUTED_VALUE"""),509.0)</f>
        <v>509</v>
      </c>
      <c r="BW76" s="3">
        <f>IFERROR(__xludf.DUMMYFUNCTION("""COMPUTED_VALUE"""),516.0)</f>
        <v>516</v>
      </c>
      <c r="BX76" s="3">
        <f>IFERROR(__xludf.DUMMYFUNCTION("""COMPUTED_VALUE"""),522.0)</f>
        <v>522</v>
      </c>
      <c r="BY76" s="3">
        <f>IFERROR(__xludf.DUMMYFUNCTION("""COMPUTED_VALUE"""),526.0)</f>
        <v>526</v>
      </c>
      <c r="BZ76" s="3">
        <f>IFERROR(__xludf.DUMMYFUNCTION("""COMPUTED_VALUE"""),529.0)</f>
        <v>529</v>
      </c>
      <c r="CA76" s="3">
        <f>IFERROR(__xludf.DUMMYFUNCTION("""COMPUTED_VALUE"""),531.0)</f>
        <v>531</v>
      </c>
      <c r="CB76" s="3">
        <f>IFERROR(__xludf.DUMMYFUNCTION("""COMPUTED_VALUE"""),536.0)</f>
        <v>536</v>
      </c>
    </row>
    <row r="77">
      <c r="A77" s="3" t="str">
        <f>IFERROR(__xludf.DUMMYFUNCTION("""COMPUTED_VALUE"""),"Shanxi")</f>
        <v>Shanxi</v>
      </c>
      <c r="B77" s="3" t="str">
        <f>IFERROR(__xludf.DUMMYFUNCTION("""COMPUTED_VALUE"""),"China")</f>
        <v>China</v>
      </c>
      <c r="C77" s="3">
        <f>IFERROR(__xludf.DUMMYFUNCTION("""COMPUTED_VALUE"""),37.5777)</f>
        <v>37.5777</v>
      </c>
      <c r="D77" s="3">
        <f>IFERROR(__xludf.DUMMYFUNCTION("""COMPUTED_VALUE"""),112.2922)</f>
        <v>112.2922</v>
      </c>
      <c r="E77" s="3">
        <f>IFERROR(__xludf.DUMMYFUNCTION("""COMPUTED_VALUE"""),1.0)</f>
        <v>1</v>
      </c>
      <c r="F77" s="3">
        <f>IFERROR(__xludf.DUMMYFUNCTION("""COMPUTED_VALUE"""),1.0)</f>
        <v>1</v>
      </c>
      <c r="G77" s="3">
        <f>IFERROR(__xludf.DUMMYFUNCTION("""COMPUTED_VALUE"""),1.0)</f>
        <v>1</v>
      </c>
      <c r="H77" s="3">
        <f>IFERROR(__xludf.DUMMYFUNCTION("""COMPUTED_VALUE"""),6.0)</f>
        <v>6</v>
      </c>
      <c r="I77" s="3">
        <f>IFERROR(__xludf.DUMMYFUNCTION("""COMPUTED_VALUE"""),9.0)</f>
        <v>9</v>
      </c>
      <c r="J77" s="3">
        <f>IFERROR(__xludf.DUMMYFUNCTION("""COMPUTED_VALUE"""),13.0)</f>
        <v>13</v>
      </c>
      <c r="K77" s="3">
        <f>IFERROR(__xludf.DUMMYFUNCTION("""COMPUTED_VALUE"""),27.0)</f>
        <v>27</v>
      </c>
      <c r="L77" s="3">
        <f>IFERROR(__xludf.DUMMYFUNCTION("""COMPUTED_VALUE"""),27.0)</f>
        <v>27</v>
      </c>
      <c r="M77" s="3">
        <f>IFERROR(__xludf.DUMMYFUNCTION("""COMPUTED_VALUE"""),35.0)</f>
        <v>35</v>
      </c>
      <c r="N77" s="3">
        <f>IFERROR(__xludf.DUMMYFUNCTION("""COMPUTED_VALUE"""),39.0)</f>
        <v>39</v>
      </c>
      <c r="O77" s="3">
        <f>IFERROR(__xludf.DUMMYFUNCTION("""COMPUTED_VALUE"""),47.0)</f>
        <v>47</v>
      </c>
      <c r="P77" s="3">
        <f>IFERROR(__xludf.DUMMYFUNCTION("""COMPUTED_VALUE"""),66.0)</f>
        <v>66</v>
      </c>
      <c r="Q77" s="3">
        <f>IFERROR(__xludf.DUMMYFUNCTION("""COMPUTED_VALUE"""),74.0)</f>
        <v>74</v>
      </c>
      <c r="R77" s="3">
        <f>IFERROR(__xludf.DUMMYFUNCTION("""COMPUTED_VALUE"""),81.0)</f>
        <v>81</v>
      </c>
      <c r="S77" s="3">
        <f>IFERROR(__xludf.DUMMYFUNCTION("""COMPUTED_VALUE"""),81.0)</f>
        <v>81</v>
      </c>
      <c r="T77" s="3">
        <f>IFERROR(__xludf.DUMMYFUNCTION("""COMPUTED_VALUE"""),96.0)</f>
        <v>96</v>
      </c>
      <c r="U77" s="3">
        <f>IFERROR(__xludf.DUMMYFUNCTION("""COMPUTED_VALUE"""),104.0)</f>
        <v>104</v>
      </c>
      <c r="V77" s="3">
        <f>IFERROR(__xludf.DUMMYFUNCTION("""COMPUTED_VALUE"""),115.0)</f>
        <v>115</v>
      </c>
      <c r="W77" s="3">
        <f>IFERROR(__xludf.DUMMYFUNCTION("""COMPUTED_VALUE"""),119.0)</f>
        <v>119</v>
      </c>
      <c r="X77" s="3">
        <f>IFERROR(__xludf.DUMMYFUNCTION("""COMPUTED_VALUE"""),119.0)</f>
        <v>119</v>
      </c>
      <c r="Y77" s="3">
        <f>IFERROR(__xludf.DUMMYFUNCTION("""COMPUTED_VALUE"""),124.0)</f>
        <v>124</v>
      </c>
      <c r="Z77" s="3">
        <f>IFERROR(__xludf.DUMMYFUNCTION("""COMPUTED_VALUE"""),126.0)</f>
        <v>126</v>
      </c>
      <c r="AA77" s="3">
        <f>IFERROR(__xludf.DUMMYFUNCTION("""COMPUTED_VALUE"""),126.0)</f>
        <v>126</v>
      </c>
      <c r="AB77" s="3">
        <f>IFERROR(__xludf.DUMMYFUNCTION("""COMPUTED_VALUE"""),127.0)</f>
        <v>127</v>
      </c>
      <c r="AC77" s="3">
        <f>IFERROR(__xludf.DUMMYFUNCTION("""COMPUTED_VALUE"""),128.0)</f>
        <v>128</v>
      </c>
      <c r="AD77" s="3">
        <f>IFERROR(__xludf.DUMMYFUNCTION("""COMPUTED_VALUE"""),129.0)</f>
        <v>129</v>
      </c>
      <c r="AE77" s="3">
        <f>IFERROR(__xludf.DUMMYFUNCTION("""COMPUTED_VALUE"""),130.0)</f>
        <v>130</v>
      </c>
      <c r="AF77" s="3">
        <f>IFERROR(__xludf.DUMMYFUNCTION("""COMPUTED_VALUE"""),131.0)</f>
        <v>131</v>
      </c>
      <c r="AG77" s="3">
        <f>IFERROR(__xludf.DUMMYFUNCTION("""COMPUTED_VALUE"""),131.0)</f>
        <v>131</v>
      </c>
      <c r="AH77" s="3">
        <f>IFERROR(__xludf.DUMMYFUNCTION("""COMPUTED_VALUE"""),132.0)</f>
        <v>132</v>
      </c>
      <c r="AI77" s="3">
        <f>IFERROR(__xludf.DUMMYFUNCTION("""COMPUTED_VALUE"""),132.0)</f>
        <v>132</v>
      </c>
      <c r="AJ77" s="3">
        <f>IFERROR(__xludf.DUMMYFUNCTION("""COMPUTED_VALUE"""),132.0)</f>
        <v>132</v>
      </c>
      <c r="AK77" s="3">
        <f>IFERROR(__xludf.DUMMYFUNCTION("""COMPUTED_VALUE"""),132.0)</f>
        <v>132</v>
      </c>
      <c r="AL77" s="3">
        <f>IFERROR(__xludf.DUMMYFUNCTION("""COMPUTED_VALUE"""),133.0)</f>
        <v>133</v>
      </c>
      <c r="AM77" s="3">
        <f>IFERROR(__xludf.DUMMYFUNCTION("""COMPUTED_VALUE"""),133.0)</f>
        <v>133</v>
      </c>
      <c r="AN77" s="3">
        <f>IFERROR(__xludf.DUMMYFUNCTION("""COMPUTED_VALUE"""),133.0)</f>
        <v>133</v>
      </c>
      <c r="AO77" s="3">
        <f>IFERROR(__xludf.DUMMYFUNCTION("""COMPUTED_VALUE"""),133.0)</f>
        <v>133</v>
      </c>
      <c r="AP77" s="3">
        <f>IFERROR(__xludf.DUMMYFUNCTION("""COMPUTED_VALUE"""),133.0)</f>
        <v>133</v>
      </c>
      <c r="AQ77" s="3">
        <f>IFERROR(__xludf.DUMMYFUNCTION("""COMPUTED_VALUE"""),133.0)</f>
        <v>133</v>
      </c>
      <c r="AR77" s="3">
        <f>IFERROR(__xludf.DUMMYFUNCTION("""COMPUTED_VALUE"""),133.0)</f>
        <v>133</v>
      </c>
      <c r="AS77" s="3">
        <f>IFERROR(__xludf.DUMMYFUNCTION("""COMPUTED_VALUE"""),133.0)</f>
        <v>133</v>
      </c>
      <c r="AT77" s="3">
        <f>IFERROR(__xludf.DUMMYFUNCTION("""COMPUTED_VALUE"""),133.0)</f>
        <v>133</v>
      </c>
      <c r="AU77" s="3">
        <f>IFERROR(__xludf.DUMMYFUNCTION("""COMPUTED_VALUE"""),133.0)</f>
        <v>133</v>
      </c>
      <c r="AV77" s="3">
        <f>IFERROR(__xludf.DUMMYFUNCTION("""COMPUTED_VALUE"""),133.0)</f>
        <v>133</v>
      </c>
      <c r="AW77" s="3">
        <f>IFERROR(__xludf.DUMMYFUNCTION("""COMPUTED_VALUE"""),133.0)</f>
        <v>133</v>
      </c>
      <c r="AX77" s="3">
        <f>IFERROR(__xludf.DUMMYFUNCTION("""COMPUTED_VALUE"""),133.0)</f>
        <v>133</v>
      </c>
      <c r="AY77" s="3">
        <f>IFERROR(__xludf.DUMMYFUNCTION("""COMPUTED_VALUE"""),133.0)</f>
        <v>133</v>
      </c>
      <c r="AZ77" s="3">
        <f>IFERROR(__xludf.DUMMYFUNCTION("""COMPUTED_VALUE"""),133.0)</f>
        <v>133</v>
      </c>
      <c r="BA77" s="3">
        <f>IFERROR(__xludf.DUMMYFUNCTION("""COMPUTED_VALUE"""),133.0)</f>
        <v>133</v>
      </c>
      <c r="BB77" s="3">
        <f>IFERROR(__xludf.DUMMYFUNCTION("""COMPUTED_VALUE"""),133.0)</f>
        <v>133</v>
      </c>
      <c r="BC77" s="3">
        <f>IFERROR(__xludf.DUMMYFUNCTION("""COMPUTED_VALUE"""),133.0)</f>
        <v>133</v>
      </c>
      <c r="BD77" s="3">
        <f>IFERROR(__xludf.DUMMYFUNCTION("""COMPUTED_VALUE"""),133.0)</f>
        <v>133</v>
      </c>
      <c r="BE77" s="3">
        <f>IFERROR(__xludf.DUMMYFUNCTION("""COMPUTED_VALUE"""),133.0)</f>
        <v>133</v>
      </c>
      <c r="BF77" s="3">
        <f>IFERROR(__xludf.DUMMYFUNCTION("""COMPUTED_VALUE"""),133.0)</f>
        <v>133</v>
      </c>
      <c r="BG77" s="3">
        <f>IFERROR(__xludf.DUMMYFUNCTION("""COMPUTED_VALUE"""),133.0)</f>
        <v>133</v>
      </c>
      <c r="BH77" s="3">
        <f>IFERROR(__xludf.DUMMYFUNCTION("""COMPUTED_VALUE"""),133.0)</f>
        <v>133</v>
      </c>
      <c r="BI77" s="3">
        <f>IFERROR(__xludf.DUMMYFUNCTION("""COMPUTED_VALUE"""),133.0)</f>
        <v>133</v>
      </c>
      <c r="BJ77" s="3">
        <f>IFERROR(__xludf.DUMMYFUNCTION("""COMPUTED_VALUE"""),133.0)</f>
        <v>133</v>
      </c>
      <c r="BK77" s="3">
        <f>IFERROR(__xludf.DUMMYFUNCTION("""COMPUTED_VALUE"""),133.0)</f>
        <v>133</v>
      </c>
      <c r="BL77" s="3">
        <f>IFERROR(__xludf.DUMMYFUNCTION("""COMPUTED_VALUE"""),133.0)</f>
        <v>133</v>
      </c>
      <c r="BM77" s="3">
        <f>IFERROR(__xludf.DUMMYFUNCTION("""COMPUTED_VALUE"""),133.0)</f>
        <v>133</v>
      </c>
      <c r="BN77" s="3">
        <f>IFERROR(__xludf.DUMMYFUNCTION("""COMPUTED_VALUE"""),134.0)</f>
        <v>134</v>
      </c>
      <c r="BO77" s="3">
        <f>IFERROR(__xludf.DUMMYFUNCTION("""COMPUTED_VALUE"""),134.0)</f>
        <v>134</v>
      </c>
      <c r="BP77" s="3">
        <f>IFERROR(__xludf.DUMMYFUNCTION("""COMPUTED_VALUE"""),134.0)</f>
        <v>134</v>
      </c>
      <c r="BQ77" s="3">
        <f>IFERROR(__xludf.DUMMYFUNCTION("""COMPUTED_VALUE"""),135.0)</f>
        <v>135</v>
      </c>
      <c r="BR77" s="3">
        <f>IFERROR(__xludf.DUMMYFUNCTION("""COMPUTED_VALUE"""),135.0)</f>
        <v>135</v>
      </c>
      <c r="BS77" s="3">
        <f>IFERROR(__xludf.DUMMYFUNCTION("""COMPUTED_VALUE"""),135.0)</f>
        <v>135</v>
      </c>
      <c r="BT77" s="3">
        <f>IFERROR(__xludf.DUMMYFUNCTION("""COMPUTED_VALUE"""),136.0)</f>
        <v>136</v>
      </c>
      <c r="BU77" s="3">
        <f>IFERROR(__xludf.DUMMYFUNCTION("""COMPUTED_VALUE"""),136.0)</f>
        <v>136</v>
      </c>
      <c r="BV77" s="3">
        <f>IFERROR(__xludf.DUMMYFUNCTION("""COMPUTED_VALUE"""),136.0)</f>
        <v>136</v>
      </c>
      <c r="BW77" s="3">
        <f>IFERROR(__xludf.DUMMYFUNCTION("""COMPUTED_VALUE"""),137.0)</f>
        <v>137</v>
      </c>
      <c r="BX77" s="3">
        <f>IFERROR(__xludf.DUMMYFUNCTION("""COMPUTED_VALUE"""),137.0)</f>
        <v>137</v>
      </c>
      <c r="BY77" s="3">
        <f>IFERROR(__xludf.DUMMYFUNCTION("""COMPUTED_VALUE"""),137.0)</f>
        <v>137</v>
      </c>
      <c r="BZ77" s="3">
        <f>IFERROR(__xludf.DUMMYFUNCTION("""COMPUTED_VALUE"""),137.0)</f>
        <v>137</v>
      </c>
      <c r="CA77" s="3">
        <f>IFERROR(__xludf.DUMMYFUNCTION("""COMPUTED_VALUE"""),138.0)</f>
        <v>138</v>
      </c>
      <c r="CB77" s="3">
        <f>IFERROR(__xludf.DUMMYFUNCTION("""COMPUTED_VALUE"""),138.0)</f>
        <v>138</v>
      </c>
    </row>
    <row r="78">
      <c r="A78" s="3" t="str">
        <f>IFERROR(__xludf.DUMMYFUNCTION("""COMPUTED_VALUE"""),"Sichuan")</f>
        <v>Sichuan</v>
      </c>
      <c r="B78" s="3" t="str">
        <f>IFERROR(__xludf.DUMMYFUNCTION("""COMPUTED_VALUE"""),"China")</f>
        <v>China</v>
      </c>
      <c r="C78" s="3">
        <f>IFERROR(__xludf.DUMMYFUNCTION("""COMPUTED_VALUE"""),30.6171)</f>
        <v>30.6171</v>
      </c>
      <c r="D78" s="3">
        <f>IFERROR(__xludf.DUMMYFUNCTION("""COMPUTED_VALUE"""),102.7103)</f>
        <v>102.7103</v>
      </c>
      <c r="E78" s="3">
        <f>IFERROR(__xludf.DUMMYFUNCTION("""COMPUTED_VALUE"""),5.0)</f>
        <v>5</v>
      </c>
      <c r="F78" s="3">
        <f>IFERROR(__xludf.DUMMYFUNCTION("""COMPUTED_VALUE"""),8.0)</f>
        <v>8</v>
      </c>
      <c r="G78" s="3">
        <f>IFERROR(__xludf.DUMMYFUNCTION("""COMPUTED_VALUE"""),15.0)</f>
        <v>15</v>
      </c>
      <c r="H78" s="3">
        <f>IFERROR(__xludf.DUMMYFUNCTION("""COMPUTED_VALUE"""),28.0)</f>
        <v>28</v>
      </c>
      <c r="I78" s="3">
        <f>IFERROR(__xludf.DUMMYFUNCTION("""COMPUTED_VALUE"""),44.0)</f>
        <v>44</v>
      </c>
      <c r="J78" s="3">
        <f>IFERROR(__xludf.DUMMYFUNCTION("""COMPUTED_VALUE"""),69.0)</f>
        <v>69</v>
      </c>
      <c r="K78" s="3">
        <f>IFERROR(__xludf.DUMMYFUNCTION("""COMPUTED_VALUE"""),90.0)</f>
        <v>90</v>
      </c>
      <c r="L78" s="3">
        <f>IFERROR(__xludf.DUMMYFUNCTION("""COMPUTED_VALUE"""),108.0)</f>
        <v>108</v>
      </c>
      <c r="M78" s="3">
        <f>IFERROR(__xludf.DUMMYFUNCTION("""COMPUTED_VALUE"""),142.0)</f>
        <v>142</v>
      </c>
      <c r="N78" s="3">
        <f>IFERROR(__xludf.DUMMYFUNCTION("""COMPUTED_VALUE"""),177.0)</f>
        <v>177</v>
      </c>
      <c r="O78" s="3">
        <f>IFERROR(__xludf.DUMMYFUNCTION("""COMPUTED_VALUE"""),207.0)</f>
        <v>207</v>
      </c>
      <c r="P78" s="3">
        <f>IFERROR(__xludf.DUMMYFUNCTION("""COMPUTED_VALUE"""),231.0)</f>
        <v>231</v>
      </c>
      <c r="Q78" s="3">
        <f>IFERROR(__xludf.DUMMYFUNCTION("""COMPUTED_VALUE"""),254.0)</f>
        <v>254</v>
      </c>
      <c r="R78" s="3">
        <f>IFERROR(__xludf.DUMMYFUNCTION("""COMPUTED_VALUE"""),282.0)</f>
        <v>282</v>
      </c>
      <c r="S78" s="3">
        <f>IFERROR(__xludf.DUMMYFUNCTION("""COMPUTED_VALUE"""),301.0)</f>
        <v>301</v>
      </c>
      <c r="T78" s="3">
        <f>IFERROR(__xludf.DUMMYFUNCTION("""COMPUTED_VALUE"""),321.0)</f>
        <v>321</v>
      </c>
      <c r="U78" s="3">
        <f>IFERROR(__xludf.DUMMYFUNCTION("""COMPUTED_VALUE"""),344.0)</f>
        <v>344</v>
      </c>
      <c r="V78" s="3">
        <f>IFERROR(__xludf.DUMMYFUNCTION("""COMPUTED_VALUE"""),364.0)</f>
        <v>364</v>
      </c>
      <c r="W78" s="3">
        <f>IFERROR(__xludf.DUMMYFUNCTION("""COMPUTED_VALUE"""),386.0)</f>
        <v>386</v>
      </c>
      <c r="X78" s="3">
        <f>IFERROR(__xludf.DUMMYFUNCTION("""COMPUTED_VALUE"""),405.0)</f>
        <v>405</v>
      </c>
      <c r="Y78" s="3">
        <f>IFERROR(__xludf.DUMMYFUNCTION("""COMPUTED_VALUE"""),417.0)</f>
        <v>417</v>
      </c>
      <c r="Z78" s="3">
        <f>IFERROR(__xludf.DUMMYFUNCTION("""COMPUTED_VALUE"""),436.0)</f>
        <v>436</v>
      </c>
      <c r="AA78" s="3">
        <f>IFERROR(__xludf.DUMMYFUNCTION("""COMPUTED_VALUE"""),451.0)</f>
        <v>451</v>
      </c>
      <c r="AB78" s="3">
        <f>IFERROR(__xludf.DUMMYFUNCTION("""COMPUTED_VALUE"""),463.0)</f>
        <v>463</v>
      </c>
      <c r="AC78" s="3">
        <f>IFERROR(__xludf.DUMMYFUNCTION("""COMPUTED_VALUE"""),470.0)</f>
        <v>470</v>
      </c>
      <c r="AD78" s="3">
        <f>IFERROR(__xludf.DUMMYFUNCTION("""COMPUTED_VALUE"""),481.0)</f>
        <v>481</v>
      </c>
      <c r="AE78" s="3">
        <f>IFERROR(__xludf.DUMMYFUNCTION("""COMPUTED_VALUE"""),495.0)</f>
        <v>495</v>
      </c>
      <c r="AF78" s="3">
        <f>IFERROR(__xludf.DUMMYFUNCTION("""COMPUTED_VALUE"""),508.0)</f>
        <v>508</v>
      </c>
      <c r="AG78" s="3">
        <f>IFERROR(__xludf.DUMMYFUNCTION("""COMPUTED_VALUE"""),514.0)</f>
        <v>514</v>
      </c>
      <c r="AH78" s="3">
        <f>IFERROR(__xludf.DUMMYFUNCTION("""COMPUTED_VALUE"""),520.0)</f>
        <v>520</v>
      </c>
      <c r="AI78" s="3">
        <f>IFERROR(__xludf.DUMMYFUNCTION("""COMPUTED_VALUE"""),525.0)</f>
        <v>525</v>
      </c>
      <c r="AJ78" s="3">
        <f>IFERROR(__xludf.DUMMYFUNCTION("""COMPUTED_VALUE"""),526.0)</f>
        <v>526</v>
      </c>
      <c r="AK78" s="3">
        <f>IFERROR(__xludf.DUMMYFUNCTION("""COMPUTED_VALUE"""),526.0)</f>
        <v>526</v>
      </c>
      <c r="AL78" s="3">
        <f>IFERROR(__xludf.DUMMYFUNCTION("""COMPUTED_VALUE"""),527.0)</f>
        <v>527</v>
      </c>
      <c r="AM78" s="3">
        <f>IFERROR(__xludf.DUMMYFUNCTION("""COMPUTED_VALUE"""),529.0)</f>
        <v>529</v>
      </c>
      <c r="AN78" s="3">
        <f>IFERROR(__xludf.DUMMYFUNCTION("""COMPUTED_VALUE"""),531.0)</f>
        <v>531</v>
      </c>
      <c r="AO78" s="3">
        <f>IFERROR(__xludf.DUMMYFUNCTION("""COMPUTED_VALUE"""),534.0)</f>
        <v>534</v>
      </c>
      <c r="AP78" s="3">
        <f>IFERROR(__xludf.DUMMYFUNCTION("""COMPUTED_VALUE"""),538.0)</f>
        <v>538</v>
      </c>
      <c r="AQ78" s="3">
        <f>IFERROR(__xludf.DUMMYFUNCTION("""COMPUTED_VALUE"""),538.0)</f>
        <v>538</v>
      </c>
      <c r="AR78" s="3">
        <f>IFERROR(__xludf.DUMMYFUNCTION("""COMPUTED_VALUE"""),538.0)</f>
        <v>538</v>
      </c>
      <c r="AS78" s="3">
        <f>IFERROR(__xludf.DUMMYFUNCTION("""COMPUTED_VALUE"""),538.0)</f>
        <v>538</v>
      </c>
      <c r="AT78" s="3">
        <f>IFERROR(__xludf.DUMMYFUNCTION("""COMPUTED_VALUE"""),538.0)</f>
        <v>538</v>
      </c>
      <c r="AU78" s="3">
        <f>IFERROR(__xludf.DUMMYFUNCTION("""COMPUTED_VALUE"""),538.0)</f>
        <v>538</v>
      </c>
      <c r="AV78" s="3">
        <f>IFERROR(__xludf.DUMMYFUNCTION("""COMPUTED_VALUE"""),539.0)</f>
        <v>539</v>
      </c>
      <c r="AW78" s="3">
        <f>IFERROR(__xludf.DUMMYFUNCTION("""COMPUTED_VALUE"""),539.0)</f>
        <v>539</v>
      </c>
      <c r="AX78" s="3">
        <f>IFERROR(__xludf.DUMMYFUNCTION("""COMPUTED_VALUE"""),539.0)</f>
        <v>539</v>
      </c>
      <c r="AY78" s="3">
        <f>IFERROR(__xludf.DUMMYFUNCTION("""COMPUTED_VALUE"""),539.0)</f>
        <v>539</v>
      </c>
      <c r="AZ78" s="3">
        <f>IFERROR(__xludf.DUMMYFUNCTION("""COMPUTED_VALUE"""),539.0)</f>
        <v>539</v>
      </c>
      <c r="BA78" s="3">
        <f>IFERROR(__xludf.DUMMYFUNCTION("""COMPUTED_VALUE"""),539.0)</f>
        <v>539</v>
      </c>
      <c r="BB78" s="3">
        <f>IFERROR(__xludf.DUMMYFUNCTION("""COMPUTED_VALUE"""),539.0)</f>
        <v>539</v>
      </c>
      <c r="BC78" s="3">
        <f>IFERROR(__xludf.DUMMYFUNCTION("""COMPUTED_VALUE"""),539.0)</f>
        <v>539</v>
      </c>
      <c r="BD78" s="3">
        <f>IFERROR(__xludf.DUMMYFUNCTION("""COMPUTED_VALUE"""),539.0)</f>
        <v>539</v>
      </c>
      <c r="BE78" s="3">
        <f>IFERROR(__xludf.DUMMYFUNCTION("""COMPUTED_VALUE"""),539.0)</f>
        <v>539</v>
      </c>
      <c r="BF78" s="3">
        <f>IFERROR(__xludf.DUMMYFUNCTION("""COMPUTED_VALUE"""),539.0)</f>
        <v>539</v>
      </c>
      <c r="BG78" s="3">
        <f>IFERROR(__xludf.DUMMYFUNCTION("""COMPUTED_VALUE"""),539.0)</f>
        <v>539</v>
      </c>
      <c r="BH78" s="3">
        <f>IFERROR(__xludf.DUMMYFUNCTION("""COMPUTED_VALUE"""),540.0)</f>
        <v>540</v>
      </c>
      <c r="BI78" s="3">
        <f>IFERROR(__xludf.DUMMYFUNCTION("""COMPUTED_VALUE"""),540.0)</f>
        <v>540</v>
      </c>
      <c r="BJ78" s="3">
        <f>IFERROR(__xludf.DUMMYFUNCTION("""COMPUTED_VALUE"""),540.0)</f>
        <v>540</v>
      </c>
      <c r="BK78" s="3">
        <f>IFERROR(__xludf.DUMMYFUNCTION("""COMPUTED_VALUE"""),541.0)</f>
        <v>541</v>
      </c>
      <c r="BL78" s="3">
        <f>IFERROR(__xludf.DUMMYFUNCTION("""COMPUTED_VALUE"""),542.0)</f>
        <v>542</v>
      </c>
      <c r="BM78" s="3">
        <f>IFERROR(__xludf.DUMMYFUNCTION("""COMPUTED_VALUE"""),543.0)</f>
        <v>543</v>
      </c>
      <c r="BN78" s="3">
        <f>IFERROR(__xludf.DUMMYFUNCTION("""COMPUTED_VALUE"""),543.0)</f>
        <v>543</v>
      </c>
      <c r="BO78" s="3">
        <f>IFERROR(__xludf.DUMMYFUNCTION("""COMPUTED_VALUE"""),545.0)</f>
        <v>545</v>
      </c>
      <c r="BP78" s="3">
        <f>IFERROR(__xludf.DUMMYFUNCTION("""COMPUTED_VALUE"""),547.0)</f>
        <v>547</v>
      </c>
      <c r="BQ78" s="3">
        <f>IFERROR(__xludf.DUMMYFUNCTION("""COMPUTED_VALUE"""),547.0)</f>
        <v>547</v>
      </c>
      <c r="BR78" s="3">
        <f>IFERROR(__xludf.DUMMYFUNCTION("""COMPUTED_VALUE"""),548.0)</f>
        <v>548</v>
      </c>
      <c r="BS78" s="3">
        <f>IFERROR(__xludf.DUMMYFUNCTION("""COMPUTED_VALUE"""),548.0)</f>
        <v>548</v>
      </c>
      <c r="BT78" s="3">
        <f>IFERROR(__xludf.DUMMYFUNCTION("""COMPUTED_VALUE"""),550.0)</f>
        <v>550</v>
      </c>
      <c r="BU78" s="3">
        <f>IFERROR(__xludf.DUMMYFUNCTION("""COMPUTED_VALUE"""),550.0)</f>
        <v>550</v>
      </c>
      <c r="BV78" s="3">
        <f>IFERROR(__xludf.DUMMYFUNCTION("""COMPUTED_VALUE"""),550.0)</f>
        <v>550</v>
      </c>
      <c r="BW78" s="3">
        <f>IFERROR(__xludf.DUMMYFUNCTION("""COMPUTED_VALUE"""),552.0)</f>
        <v>552</v>
      </c>
      <c r="BX78" s="3">
        <f>IFERROR(__xludf.DUMMYFUNCTION("""COMPUTED_VALUE"""),554.0)</f>
        <v>554</v>
      </c>
      <c r="BY78" s="3">
        <f>IFERROR(__xludf.DUMMYFUNCTION("""COMPUTED_VALUE"""),555.0)</f>
        <v>555</v>
      </c>
      <c r="BZ78" s="3">
        <f>IFERROR(__xludf.DUMMYFUNCTION("""COMPUTED_VALUE"""),557.0)</f>
        <v>557</v>
      </c>
      <c r="CA78" s="3">
        <f>IFERROR(__xludf.DUMMYFUNCTION("""COMPUTED_VALUE"""),558.0)</f>
        <v>558</v>
      </c>
      <c r="CB78" s="3">
        <f>IFERROR(__xludf.DUMMYFUNCTION("""COMPUTED_VALUE"""),559.0)</f>
        <v>559</v>
      </c>
    </row>
    <row r="79">
      <c r="A79" s="3" t="str">
        <f>IFERROR(__xludf.DUMMYFUNCTION("""COMPUTED_VALUE"""),"Tianjin")</f>
        <v>Tianjin</v>
      </c>
      <c r="B79" s="3" t="str">
        <f>IFERROR(__xludf.DUMMYFUNCTION("""COMPUTED_VALUE"""),"China")</f>
        <v>China</v>
      </c>
      <c r="C79" s="3">
        <f>IFERROR(__xludf.DUMMYFUNCTION("""COMPUTED_VALUE"""),39.3054)</f>
        <v>39.3054</v>
      </c>
      <c r="D79" s="3">
        <f>IFERROR(__xludf.DUMMYFUNCTION("""COMPUTED_VALUE"""),117.323)</f>
        <v>117.323</v>
      </c>
      <c r="E79" s="3">
        <f>IFERROR(__xludf.DUMMYFUNCTION("""COMPUTED_VALUE"""),4.0)</f>
        <v>4</v>
      </c>
      <c r="F79" s="3">
        <f>IFERROR(__xludf.DUMMYFUNCTION("""COMPUTED_VALUE"""),4.0)</f>
        <v>4</v>
      </c>
      <c r="G79" s="3">
        <f>IFERROR(__xludf.DUMMYFUNCTION("""COMPUTED_VALUE"""),8.0)</f>
        <v>8</v>
      </c>
      <c r="H79" s="3">
        <f>IFERROR(__xludf.DUMMYFUNCTION("""COMPUTED_VALUE"""),10.0)</f>
        <v>10</v>
      </c>
      <c r="I79" s="3">
        <f>IFERROR(__xludf.DUMMYFUNCTION("""COMPUTED_VALUE"""),14.0)</f>
        <v>14</v>
      </c>
      <c r="J79" s="3">
        <f>IFERROR(__xludf.DUMMYFUNCTION("""COMPUTED_VALUE"""),23.0)</f>
        <v>23</v>
      </c>
      <c r="K79" s="3">
        <f>IFERROR(__xludf.DUMMYFUNCTION("""COMPUTED_VALUE"""),24.0)</f>
        <v>24</v>
      </c>
      <c r="L79" s="3">
        <f>IFERROR(__xludf.DUMMYFUNCTION("""COMPUTED_VALUE"""),27.0)</f>
        <v>27</v>
      </c>
      <c r="M79" s="3">
        <f>IFERROR(__xludf.DUMMYFUNCTION("""COMPUTED_VALUE"""),31.0)</f>
        <v>31</v>
      </c>
      <c r="N79" s="3">
        <f>IFERROR(__xludf.DUMMYFUNCTION("""COMPUTED_VALUE"""),32.0)</f>
        <v>32</v>
      </c>
      <c r="O79" s="3">
        <f>IFERROR(__xludf.DUMMYFUNCTION("""COMPUTED_VALUE"""),41.0)</f>
        <v>41</v>
      </c>
      <c r="P79" s="3">
        <f>IFERROR(__xludf.DUMMYFUNCTION("""COMPUTED_VALUE"""),48.0)</f>
        <v>48</v>
      </c>
      <c r="Q79" s="3">
        <f>IFERROR(__xludf.DUMMYFUNCTION("""COMPUTED_VALUE"""),60.0)</f>
        <v>60</v>
      </c>
      <c r="R79" s="3">
        <f>IFERROR(__xludf.DUMMYFUNCTION("""COMPUTED_VALUE"""),67.0)</f>
        <v>67</v>
      </c>
      <c r="S79" s="3">
        <f>IFERROR(__xludf.DUMMYFUNCTION("""COMPUTED_VALUE"""),69.0)</f>
        <v>69</v>
      </c>
      <c r="T79" s="3">
        <f>IFERROR(__xludf.DUMMYFUNCTION("""COMPUTED_VALUE"""),79.0)</f>
        <v>79</v>
      </c>
      <c r="U79" s="3">
        <f>IFERROR(__xludf.DUMMYFUNCTION("""COMPUTED_VALUE"""),81.0)</f>
        <v>81</v>
      </c>
      <c r="V79" s="3">
        <f>IFERROR(__xludf.DUMMYFUNCTION("""COMPUTED_VALUE"""),88.0)</f>
        <v>88</v>
      </c>
      <c r="W79" s="3">
        <f>IFERROR(__xludf.DUMMYFUNCTION("""COMPUTED_VALUE"""),91.0)</f>
        <v>91</v>
      </c>
      <c r="X79" s="3">
        <f>IFERROR(__xludf.DUMMYFUNCTION("""COMPUTED_VALUE"""),95.0)</f>
        <v>95</v>
      </c>
      <c r="Y79" s="3">
        <f>IFERROR(__xludf.DUMMYFUNCTION("""COMPUTED_VALUE"""),106.0)</f>
        <v>106</v>
      </c>
      <c r="Z79" s="3">
        <f>IFERROR(__xludf.DUMMYFUNCTION("""COMPUTED_VALUE"""),112.0)</f>
        <v>112</v>
      </c>
      <c r="AA79" s="3">
        <f>IFERROR(__xludf.DUMMYFUNCTION("""COMPUTED_VALUE"""),119.0)</f>
        <v>119</v>
      </c>
      <c r="AB79" s="3">
        <f>IFERROR(__xludf.DUMMYFUNCTION("""COMPUTED_VALUE"""),120.0)</f>
        <v>120</v>
      </c>
      <c r="AC79" s="3">
        <f>IFERROR(__xludf.DUMMYFUNCTION("""COMPUTED_VALUE"""),122.0)</f>
        <v>122</v>
      </c>
      <c r="AD79" s="3">
        <f>IFERROR(__xludf.DUMMYFUNCTION("""COMPUTED_VALUE"""),124.0)</f>
        <v>124</v>
      </c>
      <c r="AE79" s="3">
        <f>IFERROR(__xludf.DUMMYFUNCTION("""COMPUTED_VALUE"""),125.0)</f>
        <v>125</v>
      </c>
      <c r="AF79" s="3">
        <f>IFERROR(__xludf.DUMMYFUNCTION("""COMPUTED_VALUE"""),128.0)</f>
        <v>128</v>
      </c>
      <c r="AG79" s="3">
        <f>IFERROR(__xludf.DUMMYFUNCTION("""COMPUTED_VALUE"""),130.0)</f>
        <v>130</v>
      </c>
      <c r="AH79" s="3">
        <f>IFERROR(__xludf.DUMMYFUNCTION("""COMPUTED_VALUE"""),131.0)</f>
        <v>131</v>
      </c>
      <c r="AI79" s="3">
        <f>IFERROR(__xludf.DUMMYFUNCTION("""COMPUTED_VALUE"""),132.0)</f>
        <v>132</v>
      </c>
      <c r="AJ79" s="3">
        <f>IFERROR(__xludf.DUMMYFUNCTION("""COMPUTED_VALUE"""),135.0)</f>
        <v>135</v>
      </c>
      <c r="AK79" s="3">
        <f>IFERROR(__xludf.DUMMYFUNCTION("""COMPUTED_VALUE"""),135.0)</f>
        <v>135</v>
      </c>
      <c r="AL79" s="3">
        <f>IFERROR(__xludf.DUMMYFUNCTION("""COMPUTED_VALUE"""),135.0)</f>
        <v>135</v>
      </c>
      <c r="AM79" s="3">
        <f>IFERROR(__xludf.DUMMYFUNCTION("""COMPUTED_VALUE"""),135.0)</f>
        <v>135</v>
      </c>
      <c r="AN79" s="3">
        <f>IFERROR(__xludf.DUMMYFUNCTION("""COMPUTED_VALUE"""),135.0)</f>
        <v>135</v>
      </c>
      <c r="AO79" s="3">
        <f>IFERROR(__xludf.DUMMYFUNCTION("""COMPUTED_VALUE"""),136.0)</f>
        <v>136</v>
      </c>
      <c r="AP79" s="3">
        <f>IFERROR(__xludf.DUMMYFUNCTION("""COMPUTED_VALUE"""),136.0)</f>
        <v>136</v>
      </c>
      <c r="AQ79" s="3">
        <f>IFERROR(__xludf.DUMMYFUNCTION("""COMPUTED_VALUE"""),136.0)</f>
        <v>136</v>
      </c>
      <c r="AR79" s="3">
        <f>IFERROR(__xludf.DUMMYFUNCTION("""COMPUTED_VALUE"""),136.0)</f>
        <v>136</v>
      </c>
      <c r="AS79" s="3">
        <f>IFERROR(__xludf.DUMMYFUNCTION("""COMPUTED_VALUE"""),136.0)</f>
        <v>136</v>
      </c>
      <c r="AT79" s="3">
        <f>IFERROR(__xludf.DUMMYFUNCTION("""COMPUTED_VALUE"""),136.0)</f>
        <v>136</v>
      </c>
      <c r="AU79" s="3">
        <f>IFERROR(__xludf.DUMMYFUNCTION("""COMPUTED_VALUE"""),136.0)</f>
        <v>136</v>
      </c>
      <c r="AV79" s="3">
        <f>IFERROR(__xludf.DUMMYFUNCTION("""COMPUTED_VALUE"""),136.0)</f>
        <v>136</v>
      </c>
      <c r="AW79" s="3">
        <f>IFERROR(__xludf.DUMMYFUNCTION("""COMPUTED_VALUE"""),136.0)</f>
        <v>136</v>
      </c>
      <c r="AX79" s="3">
        <f>IFERROR(__xludf.DUMMYFUNCTION("""COMPUTED_VALUE"""),136.0)</f>
        <v>136</v>
      </c>
      <c r="AY79" s="3">
        <f>IFERROR(__xludf.DUMMYFUNCTION("""COMPUTED_VALUE"""),136.0)</f>
        <v>136</v>
      </c>
      <c r="AZ79" s="3">
        <f>IFERROR(__xludf.DUMMYFUNCTION("""COMPUTED_VALUE"""),136.0)</f>
        <v>136</v>
      </c>
      <c r="BA79" s="3">
        <f>IFERROR(__xludf.DUMMYFUNCTION("""COMPUTED_VALUE"""),136.0)</f>
        <v>136</v>
      </c>
      <c r="BB79" s="3">
        <f>IFERROR(__xludf.DUMMYFUNCTION("""COMPUTED_VALUE"""),136.0)</f>
        <v>136</v>
      </c>
      <c r="BC79" s="3">
        <f>IFERROR(__xludf.DUMMYFUNCTION("""COMPUTED_VALUE"""),136.0)</f>
        <v>136</v>
      </c>
      <c r="BD79" s="3">
        <f>IFERROR(__xludf.DUMMYFUNCTION("""COMPUTED_VALUE"""),136.0)</f>
        <v>136</v>
      </c>
      <c r="BE79" s="3">
        <f>IFERROR(__xludf.DUMMYFUNCTION("""COMPUTED_VALUE"""),136.0)</f>
        <v>136</v>
      </c>
      <c r="BF79" s="3">
        <f>IFERROR(__xludf.DUMMYFUNCTION("""COMPUTED_VALUE"""),136.0)</f>
        <v>136</v>
      </c>
      <c r="BG79" s="3">
        <f>IFERROR(__xludf.DUMMYFUNCTION("""COMPUTED_VALUE"""),136.0)</f>
        <v>136</v>
      </c>
      <c r="BH79" s="3">
        <f>IFERROR(__xludf.DUMMYFUNCTION("""COMPUTED_VALUE"""),136.0)</f>
        <v>136</v>
      </c>
      <c r="BI79" s="3">
        <f>IFERROR(__xludf.DUMMYFUNCTION("""COMPUTED_VALUE"""),136.0)</f>
        <v>136</v>
      </c>
      <c r="BJ79" s="3">
        <f>IFERROR(__xludf.DUMMYFUNCTION("""COMPUTED_VALUE"""),137.0)</f>
        <v>137</v>
      </c>
      <c r="BK79" s="3">
        <f>IFERROR(__xludf.DUMMYFUNCTION("""COMPUTED_VALUE"""),137.0)</f>
        <v>137</v>
      </c>
      <c r="BL79" s="3">
        <f>IFERROR(__xludf.DUMMYFUNCTION("""COMPUTED_VALUE"""),137.0)</f>
        <v>137</v>
      </c>
      <c r="BM79" s="3">
        <f>IFERROR(__xludf.DUMMYFUNCTION("""COMPUTED_VALUE"""),137.0)</f>
        <v>137</v>
      </c>
      <c r="BN79" s="3">
        <f>IFERROR(__xludf.DUMMYFUNCTION("""COMPUTED_VALUE"""),141.0)</f>
        <v>141</v>
      </c>
      <c r="BO79" s="3">
        <f>IFERROR(__xludf.DUMMYFUNCTION("""COMPUTED_VALUE"""),145.0)</f>
        <v>145</v>
      </c>
      <c r="BP79" s="3">
        <f>IFERROR(__xludf.DUMMYFUNCTION("""COMPUTED_VALUE"""),145.0)</f>
        <v>145</v>
      </c>
      <c r="BQ79" s="3">
        <f>IFERROR(__xludf.DUMMYFUNCTION("""COMPUTED_VALUE"""),151.0)</f>
        <v>151</v>
      </c>
      <c r="BR79" s="3">
        <f>IFERROR(__xludf.DUMMYFUNCTION("""COMPUTED_VALUE"""),155.0)</f>
        <v>155</v>
      </c>
      <c r="BS79" s="3">
        <f>IFERROR(__xludf.DUMMYFUNCTION("""COMPUTED_VALUE"""),161.0)</f>
        <v>161</v>
      </c>
      <c r="BT79" s="3">
        <f>IFERROR(__xludf.DUMMYFUNCTION("""COMPUTED_VALUE"""),166.0)</f>
        <v>166</v>
      </c>
      <c r="BU79" s="3">
        <f>IFERROR(__xludf.DUMMYFUNCTION("""COMPUTED_VALUE"""),174.0)</f>
        <v>174</v>
      </c>
      <c r="BV79" s="3">
        <f>IFERROR(__xludf.DUMMYFUNCTION("""COMPUTED_VALUE"""),174.0)</f>
        <v>174</v>
      </c>
      <c r="BW79" s="3">
        <f>IFERROR(__xludf.DUMMYFUNCTION("""COMPUTED_VALUE"""),176.0)</f>
        <v>176</v>
      </c>
      <c r="BX79" s="3">
        <f>IFERROR(__xludf.DUMMYFUNCTION("""COMPUTED_VALUE"""),176.0)</f>
        <v>176</v>
      </c>
      <c r="BY79" s="3">
        <f>IFERROR(__xludf.DUMMYFUNCTION("""COMPUTED_VALUE"""),180.0)</f>
        <v>180</v>
      </c>
      <c r="BZ79" s="3">
        <f>IFERROR(__xludf.DUMMYFUNCTION("""COMPUTED_VALUE"""),180.0)</f>
        <v>180</v>
      </c>
      <c r="CA79" s="3">
        <f>IFERROR(__xludf.DUMMYFUNCTION("""COMPUTED_VALUE"""),180.0)</f>
        <v>180</v>
      </c>
      <c r="CB79" s="3">
        <f>IFERROR(__xludf.DUMMYFUNCTION("""COMPUTED_VALUE"""),180.0)</f>
        <v>180</v>
      </c>
    </row>
    <row r="80">
      <c r="A80" s="3" t="str">
        <f>IFERROR(__xludf.DUMMYFUNCTION("""COMPUTED_VALUE"""),"Tibet")</f>
        <v>Tibet</v>
      </c>
      <c r="B80" s="3" t="str">
        <f>IFERROR(__xludf.DUMMYFUNCTION("""COMPUTED_VALUE"""),"China")</f>
        <v>China</v>
      </c>
      <c r="C80" s="3">
        <f>IFERROR(__xludf.DUMMYFUNCTION("""COMPUTED_VALUE"""),31.6927)</f>
        <v>31.6927</v>
      </c>
      <c r="D80" s="3">
        <f>IFERROR(__xludf.DUMMYFUNCTION("""COMPUTED_VALUE"""),88.0924)</f>
        <v>88.0924</v>
      </c>
      <c r="E80" s="3">
        <f>IFERROR(__xludf.DUMMYFUNCTION("""COMPUTED_VALUE"""),0.0)</f>
        <v>0</v>
      </c>
      <c r="F80" s="3">
        <f>IFERROR(__xludf.DUMMYFUNCTION("""COMPUTED_VALUE"""),0.0)</f>
        <v>0</v>
      </c>
      <c r="G80" s="3">
        <f>IFERROR(__xludf.DUMMYFUNCTION("""COMPUTED_VALUE"""),0.0)</f>
        <v>0</v>
      </c>
      <c r="H80" s="3">
        <f>IFERROR(__xludf.DUMMYFUNCTION("""COMPUTED_VALUE"""),0.0)</f>
        <v>0</v>
      </c>
      <c r="I80" s="3">
        <f>IFERROR(__xludf.DUMMYFUNCTION("""COMPUTED_VALUE"""),0.0)</f>
        <v>0</v>
      </c>
      <c r="J80" s="3">
        <f>IFERROR(__xludf.DUMMYFUNCTION("""COMPUTED_VALUE"""),0.0)</f>
        <v>0</v>
      </c>
      <c r="K80" s="3">
        <f>IFERROR(__xludf.DUMMYFUNCTION("""COMPUTED_VALUE"""),0.0)</f>
        <v>0</v>
      </c>
      <c r="L80" s="3">
        <f>IFERROR(__xludf.DUMMYFUNCTION("""COMPUTED_VALUE"""),0.0)</f>
        <v>0</v>
      </c>
      <c r="M80" s="3">
        <f>IFERROR(__xludf.DUMMYFUNCTION("""COMPUTED_VALUE"""),1.0)</f>
        <v>1</v>
      </c>
      <c r="N80" s="3">
        <f>IFERROR(__xludf.DUMMYFUNCTION("""COMPUTED_VALUE"""),1.0)</f>
        <v>1</v>
      </c>
      <c r="O80" s="3">
        <f>IFERROR(__xludf.DUMMYFUNCTION("""COMPUTED_VALUE"""),1.0)</f>
        <v>1</v>
      </c>
      <c r="P80" s="3">
        <f>IFERROR(__xludf.DUMMYFUNCTION("""COMPUTED_VALUE"""),1.0)</f>
        <v>1</v>
      </c>
      <c r="Q80" s="3">
        <f>IFERROR(__xludf.DUMMYFUNCTION("""COMPUTED_VALUE"""),1.0)</f>
        <v>1</v>
      </c>
      <c r="R80" s="3">
        <f>IFERROR(__xludf.DUMMYFUNCTION("""COMPUTED_VALUE"""),1.0)</f>
        <v>1</v>
      </c>
      <c r="S80" s="3">
        <f>IFERROR(__xludf.DUMMYFUNCTION("""COMPUTED_VALUE"""),1.0)</f>
        <v>1</v>
      </c>
      <c r="T80" s="3">
        <f>IFERROR(__xludf.DUMMYFUNCTION("""COMPUTED_VALUE"""),1.0)</f>
        <v>1</v>
      </c>
      <c r="U80" s="3">
        <f>IFERROR(__xludf.DUMMYFUNCTION("""COMPUTED_VALUE"""),1.0)</f>
        <v>1</v>
      </c>
      <c r="V80" s="3">
        <f>IFERROR(__xludf.DUMMYFUNCTION("""COMPUTED_VALUE"""),1.0)</f>
        <v>1</v>
      </c>
      <c r="W80" s="3">
        <f>IFERROR(__xludf.DUMMYFUNCTION("""COMPUTED_VALUE"""),1.0)</f>
        <v>1</v>
      </c>
      <c r="X80" s="3">
        <f>IFERROR(__xludf.DUMMYFUNCTION("""COMPUTED_VALUE"""),1.0)</f>
        <v>1</v>
      </c>
      <c r="Y80" s="3">
        <f>IFERROR(__xludf.DUMMYFUNCTION("""COMPUTED_VALUE"""),1.0)</f>
        <v>1</v>
      </c>
      <c r="Z80" s="3">
        <f>IFERROR(__xludf.DUMMYFUNCTION("""COMPUTED_VALUE"""),1.0)</f>
        <v>1</v>
      </c>
      <c r="AA80" s="3">
        <f>IFERROR(__xludf.DUMMYFUNCTION("""COMPUTED_VALUE"""),1.0)</f>
        <v>1</v>
      </c>
      <c r="AB80" s="3">
        <f>IFERROR(__xludf.DUMMYFUNCTION("""COMPUTED_VALUE"""),1.0)</f>
        <v>1</v>
      </c>
      <c r="AC80" s="3">
        <f>IFERROR(__xludf.DUMMYFUNCTION("""COMPUTED_VALUE"""),1.0)</f>
        <v>1</v>
      </c>
      <c r="AD80" s="3">
        <f>IFERROR(__xludf.DUMMYFUNCTION("""COMPUTED_VALUE"""),1.0)</f>
        <v>1</v>
      </c>
      <c r="AE80" s="3">
        <f>IFERROR(__xludf.DUMMYFUNCTION("""COMPUTED_VALUE"""),1.0)</f>
        <v>1</v>
      </c>
      <c r="AF80" s="3">
        <f>IFERROR(__xludf.DUMMYFUNCTION("""COMPUTED_VALUE"""),1.0)</f>
        <v>1</v>
      </c>
      <c r="AG80" s="3">
        <f>IFERROR(__xludf.DUMMYFUNCTION("""COMPUTED_VALUE"""),1.0)</f>
        <v>1</v>
      </c>
      <c r="AH80" s="3">
        <f>IFERROR(__xludf.DUMMYFUNCTION("""COMPUTED_VALUE"""),1.0)</f>
        <v>1</v>
      </c>
      <c r="AI80" s="3">
        <f>IFERROR(__xludf.DUMMYFUNCTION("""COMPUTED_VALUE"""),1.0)</f>
        <v>1</v>
      </c>
      <c r="AJ80" s="3">
        <f>IFERROR(__xludf.DUMMYFUNCTION("""COMPUTED_VALUE"""),1.0)</f>
        <v>1</v>
      </c>
      <c r="AK80" s="3">
        <f>IFERROR(__xludf.DUMMYFUNCTION("""COMPUTED_VALUE"""),1.0)</f>
        <v>1</v>
      </c>
      <c r="AL80" s="3">
        <f>IFERROR(__xludf.DUMMYFUNCTION("""COMPUTED_VALUE"""),1.0)</f>
        <v>1</v>
      </c>
      <c r="AM80" s="3">
        <f>IFERROR(__xludf.DUMMYFUNCTION("""COMPUTED_VALUE"""),1.0)</f>
        <v>1</v>
      </c>
      <c r="AN80" s="3">
        <f>IFERROR(__xludf.DUMMYFUNCTION("""COMPUTED_VALUE"""),1.0)</f>
        <v>1</v>
      </c>
      <c r="AO80" s="3">
        <f>IFERROR(__xludf.DUMMYFUNCTION("""COMPUTED_VALUE"""),1.0)</f>
        <v>1</v>
      </c>
      <c r="AP80" s="3">
        <f>IFERROR(__xludf.DUMMYFUNCTION("""COMPUTED_VALUE"""),1.0)</f>
        <v>1</v>
      </c>
      <c r="AQ80" s="3">
        <f>IFERROR(__xludf.DUMMYFUNCTION("""COMPUTED_VALUE"""),1.0)</f>
        <v>1</v>
      </c>
      <c r="AR80" s="3">
        <f>IFERROR(__xludf.DUMMYFUNCTION("""COMPUTED_VALUE"""),1.0)</f>
        <v>1</v>
      </c>
      <c r="AS80" s="3">
        <f>IFERROR(__xludf.DUMMYFUNCTION("""COMPUTED_VALUE"""),1.0)</f>
        <v>1</v>
      </c>
      <c r="AT80" s="3">
        <f>IFERROR(__xludf.DUMMYFUNCTION("""COMPUTED_VALUE"""),1.0)</f>
        <v>1</v>
      </c>
      <c r="AU80" s="3">
        <f>IFERROR(__xludf.DUMMYFUNCTION("""COMPUTED_VALUE"""),1.0)</f>
        <v>1</v>
      </c>
      <c r="AV80" s="3">
        <f>IFERROR(__xludf.DUMMYFUNCTION("""COMPUTED_VALUE"""),1.0)</f>
        <v>1</v>
      </c>
      <c r="AW80" s="3">
        <f>IFERROR(__xludf.DUMMYFUNCTION("""COMPUTED_VALUE"""),1.0)</f>
        <v>1</v>
      </c>
      <c r="AX80" s="3">
        <f>IFERROR(__xludf.DUMMYFUNCTION("""COMPUTED_VALUE"""),1.0)</f>
        <v>1</v>
      </c>
      <c r="AY80" s="3">
        <f>IFERROR(__xludf.DUMMYFUNCTION("""COMPUTED_VALUE"""),1.0)</f>
        <v>1</v>
      </c>
      <c r="AZ80" s="3">
        <f>IFERROR(__xludf.DUMMYFUNCTION("""COMPUTED_VALUE"""),1.0)</f>
        <v>1</v>
      </c>
      <c r="BA80" s="3">
        <f>IFERROR(__xludf.DUMMYFUNCTION("""COMPUTED_VALUE"""),1.0)</f>
        <v>1</v>
      </c>
      <c r="BB80" s="3">
        <f>IFERROR(__xludf.DUMMYFUNCTION("""COMPUTED_VALUE"""),1.0)</f>
        <v>1</v>
      </c>
      <c r="BC80" s="3">
        <f>IFERROR(__xludf.DUMMYFUNCTION("""COMPUTED_VALUE"""),1.0)</f>
        <v>1</v>
      </c>
      <c r="BD80" s="3">
        <f>IFERROR(__xludf.DUMMYFUNCTION("""COMPUTED_VALUE"""),1.0)</f>
        <v>1</v>
      </c>
      <c r="BE80" s="3">
        <f>IFERROR(__xludf.DUMMYFUNCTION("""COMPUTED_VALUE"""),1.0)</f>
        <v>1</v>
      </c>
      <c r="BF80" s="3">
        <f>IFERROR(__xludf.DUMMYFUNCTION("""COMPUTED_VALUE"""),1.0)</f>
        <v>1</v>
      </c>
      <c r="BG80" s="3">
        <f>IFERROR(__xludf.DUMMYFUNCTION("""COMPUTED_VALUE"""),1.0)</f>
        <v>1</v>
      </c>
      <c r="BH80" s="3">
        <f>IFERROR(__xludf.DUMMYFUNCTION("""COMPUTED_VALUE"""),1.0)</f>
        <v>1</v>
      </c>
      <c r="BI80" s="3">
        <f>IFERROR(__xludf.DUMMYFUNCTION("""COMPUTED_VALUE"""),1.0)</f>
        <v>1</v>
      </c>
      <c r="BJ80" s="3">
        <f>IFERROR(__xludf.DUMMYFUNCTION("""COMPUTED_VALUE"""),1.0)</f>
        <v>1</v>
      </c>
      <c r="BK80" s="3">
        <f>IFERROR(__xludf.DUMMYFUNCTION("""COMPUTED_VALUE"""),1.0)</f>
        <v>1</v>
      </c>
      <c r="BL80" s="3">
        <f>IFERROR(__xludf.DUMMYFUNCTION("""COMPUTED_VALUE"""),1.0)</f>
        <v>1</v>
      </c>
      <c r="BM80" s="3">
        <f>IFERROR(__xludf.DUMMYFUNCTION("""COMPUTED_VALUE"""),1.0)</f>
        <v>1</v>
      </c>
      <c r="BN80" s="3">
        <f>IFERROR(__xludf.DUMMYFUNCTION("""COMPUTED_VALUE"""),1.0)</f>
        <v>1</v>
      </c>
      <c r="BO80" s="3">
        <f>IFERROR(__xludf.DUMMYFUNCTION("""COMPUTED_VALUE"""),1.0)</f>
        <v>1</v>
      </c>
      <c r="BP80" s="3">
        <f>IFERROR(__xludf.DUMMYFUNCTION("""COMPUTED_VALUE"""),1.0)</f>
        <v>1</v>
      </c>
      <c r="BQ80" s="3">
        <f>IFERROR(__xludf.DUMMYFUNCTION("""COMPUTED_VALUE"""),1.0)</f>
        <v>1</v>
      </c>
      <c r="BR80" s="3">
        <f>IFERROR(__xludf.DUMMYFUNCTION("""COMPUTED_VALUE"""),1.0)</f>
        <v>1</v>
      </c>
      <c r="BS80" s="3">
        <f>IFERROR(__xludf.DUMMYFUNCTION("""COMPUTED_VALUE"""),1.0)</f>
        <v>1</v>
      </c>
      <c r="BT80" s="3">
        <f>IFERROR(__xludf.DUMMYFUNCTION("""COMPUTED_VALUE"""),1.0)</f>
        <v>1</v>
      </c>
      <c r="BU80" s="3">
        <f>IFERROR(__xludf.DUMMYFUNCTION("""COMPUTED_VALUE"""),1.0)</f>
        <v>1</v>
      </c>
      <c r="BV80" s="3">
        <f>IFERROR(__xludf.DUMMYFUNCTION("""COMPUTED_VALUE"""),1.0)</f>
        <v>1</v>
      </c>
      <c r="BW80" s="3">
        <f>IFERROR(__xludf.DUMMYFUNCTION("""COMPUTED_VALUE"""),1.0)</f>
        <v>1</v>
      </c>
      <c r="BX80" s="3">
        <f>IFERROR(__xludf.DUMMYFUNCTION("""COMPUTED_VALUE"""),1.0)</f>
        <v>1</v>
      </c>
      <c r="BY80" s="3">
        <f>IFERROR(__xludf.DUMMYFUNCTION("""COMPUTED_VALUE"""),1.0)</f>
        <v>1</v>
      </c>
      <c r="BZ80" s="3">
        <f>IFERROR(__xludf.DUMMYFUNCTION("""COMPUTED_VALUE"""),1.0)</f>
        <v>1</v>
      </c>
      <c r="CA80" s="3">
        <f>IFERROR(__xludf.DUMMYFUNCTION("""COMPUTED_VALUE"""),1.0)</f>
        <v>1</v>
      </c>
      <c r="CB80" s="3">
        <f>IFERROR(__xludf.DUMMYFUNCTION("""COMPUTED_VALUE"""),1.0)</f>
        <v>1</v>
      </c>
    </row>
    <row r="81">
      <c r="A81" s="3" t="str">
        <f>IFERROR(__xludf.DUMMYFUNCTION("""COMPUTED_VALUE"""),"Xinjiang")</f>
        <v>Xinjiang</v>
      </c>
      <c r="B81" s="3" t="str">
        <f>IFERROR(__xludf.DUMMYFUNCTION("""COMPUTED_VALUE"""),"China")</f>
        <v>China</v>
      </c>
      <c r="C81" s="3">
        <f>IFERROR(__xludf.DUMMYFUNCTION("""COMPUTED_VALUE"""),41.1129)</f>
        <v>41.1129</v>
      </c>
      <c r="D81" s="3">
        <f>IFERROR(__xludf.DUMMYFUNCTION("""COMPUTED_VALUE"""),85.2401)</f>
        <v>85.2401</v>
      </c>
      <c r="E81" s="3">
        <f>IFERROR(__xludf.DUMMYFUNCTION("""COMPUTED_VALUE"""),0.0)</f>
        <v>0</v>
      </c>
      <c r="F81" s="3">
        <f>IFERROR(__xludf.DUMMYFUNCTION("""COMPUTED_VALUE"""),2.0)</f>
        <v>2</v>
      </c>
      <c r="G81" s="3">
        <f>IFERROR(__xludf.DUMMYFUNCTION("""COMPUTED_VALUE"""),2.0)</f>
        <v>2</v>
      </c>
      <c r="H81" s="3">
        <f>IFERROR(__xludf.DUMMYFUNCTION("""COMPUTED_VALUE"""),3.0)</f>
        <v>3</v>
      </c>
      <c r="I81" s="3">
        <f>IFERROR(__xludf.DUMMYFUNCTION("""COMPUTED_VALUE"""),4.0)</f>
        <v>4</v>
      </c>
      <c r="J81" s="3">
        <f>IFERROR(__xludf.DUMMYFUNCTION("""COMPUTED_VALUE"""),5.0)</f>
        <v>5</v>
      </c>
      <c r="K81" s="3">
        <f>IFERROR(__xludf.DUMMYFUNCTION("""COMPUTED_VALUE"""),10.0)</f>
        <v>10</v>
      </c>
      <c r="L81" s="3">
        <f>IFERROR(__xludf.DUMMYFUNCTION("""COMPUTED_VALUE"""),13.0)</f>
        <v>13</v>
      </c>
      <c r="M81" s="3">
        <f>IFERROR(__xludf.DUMMYFUNCTION("""COMPUTED_VALUE"""),14.0)</f>
        <v>14</v>
      </c>
      <c r="N81" s="3">
        <f>IFERROR(__xludf.DUMMYFUNCTION("""COMPUTED_VALUE"""),17.0)</f>
        <v>17</v>
      </c>
      <c r="O81" s="3">
        <f>IFERROR(__xludf.DUMMYFUNCTION("""COMPUTED_VALUE"""),18.0)</f>
        <v>18</v>
      </c>
      <c r="P81" s="3">
        <f>IFERROR(__xludf.DUMMYFUNCTION("""COMPUTED_VALUE"""),21.0)</f>
        <v>21</v>
      </c>
      <c r="Q81" s="3">
        <f>IFERROR(__xludf.DUMMYFUNCTION("""COMPUTED_VALUE"""),24.0)</f>
        <v>24</v>
      </c>
      <c r="R81" s="3">
        <f>IFERROR(__xludf.DUMMYFUNCTION("""COMPUTED_VALUE"""),29.0)</f>
        <v>29</v>
      </c>
      <c r="S81" s="3">
        <f>IFERROR(__xludf.DUMMYFUNCTION("""COMPUTED_VALUE"""),32.0)</f>
        <v>32</v>
      </c>
      <c r="T81" s="3">
        <f>IFERROR(__xludf.DUMMYFUNCTION("""COMPUTED_VALUE"""),36.0)</f>
        <v>36</v>
      </c>
      <c r="U81" s="3">
        <f>IFERROR(__xludf.DUMMYFUNCTION("""COMPUTED_VALUE"""),39.0)</f>
        <v>39</v>
      </c>
      <c r="V81" s="3">
        <f>IFERROR(__xludf.DUMMYFUNCTION("""COMPUTED_VALUE"""),42.0)</f>
        <v>42</v>
      </c>
      <c r="W81" s="3">
        <f>IFERROR(__xludf.DUMMYFUNCTION("""COMPUTED_VALUE"""),45.0)</f>
        <v>45</v>
      </c>
      <c r="X81" s="3">
        <f>IFERROR(__xludf.DUMMYFUNCTION("""COMPUTED_VALUE"""),49.0)</f>
        <v>49</v>
      </c>
      <c r="Y81" s="3">
        <f>IFERROR(__xludf.DUMMYFUNCTION("""COMPUTED_VALUE"""),55.0)</f>
        <v>55</v>
      </c>
      <c r="Z81" s="3">
        <f>IFERROR(__xludf.DUMMYFUNCTION("""COMPUTED_VALUE"""),59.0)</f>
        <v>59</v>
      </c>
      <c r="AA81" s="3">
        <f>IFERROR(__xludf.DUMMYFUNCTION("""COMPUTED_VALUE"""),63.0)</f>
        <v>63</v>
      </c>
      <c r="AB81" s="3">
        <f>IFERROR(__xludf.DUMMYFUNCTION("""COMPUTED_VALUE"""),65.0)</f>
        <v>65</v>
      </c>
      <c r="AC81" s="3">
        <f>IFERROR(__xludf.DUMMYFUNCTION("""COMPUTED_VALUE"""),70.0)</f>
        <v>70</v>
      </c>
      <c r="AD81" s="3">
        <f>IFERROR(__xludf.DUMMYFUNCTION("""COMPUTED_VALUE"""),71.0)</f>
        <v>71</v>
      </c>
      <c r="AE81" s="3">
        <f>IFERROR(__xludf.DUMMYFUNCTION("""COMPUTED_VALUE"""),75.0)</f>
        <v>75</v>
      </c>
      <c r="AF81" s="3">
        <f>IFERROR(__xludf.DUMMYFUNCTION("""COMPUTED_VALUE"""),76.0)</f>
        <v>76</v>
      </c>
      <c r="AG81" s="3">
        <f>IFERROR(__xludf.DUMMYFUNCTION("""COMPUTED_VALUE"""),76.0)</f>
        <v>76</v>
      </c>
      <c r="AH81" s="3">
        <f>IFERROR(__xludf.DUMMYFUNCTION("""COMPUTED_VALUE"""),76.0)</f>
        <v>76</v>
      </c>
      <c r="AI81" s="3">
        <f>IFERROR(__xludf.DUMMYFUNCTION("""COMPUTED_VALUE"""),76.0)</f>
        <v>76</v>
      </c>
      <c r="AJ81" s="3">
        <f>IFERROR(__xludf.DUMMYFUNCTION("""COMPUTED_VALUE"""),76.0)</f>
        <v>76</v>
      </c>
      <c r="AK81" s="3">
        <f>IFERROR(__xludf.DUMMYFUNCTION("""COMPUTED_VALUE"""),76.0)</f>
        <v>76</v>
      </c>
      <c r="AL81" s="3">
        <f>IFERROR(__xludf.DUMMYFUNCTION("""COMPUTED_VALUE"""),76.0)</f>
        <v>76</v>
      </c>
      <c r="AM81" s="3">
        <f>IFERROR(__xludf.DUMMYFUNCTION("""COMPUTED_VALUE"""),76.0)</f>
        <v>76</v>
      </c>
      <c r="AN81" s="3">
        <f>IFERROR(__xludf.DUMMYFUNCTION("""COMPUTED_VALUE"""),76.0)</f>
        <v>76</v>
      </c>
      <c r="AO81" s="3">
        <f>IFERROR(__xludf.DUMMYFUNCTION("""COMPUTED_VALUE"""),76.0)</f>
        <v>76</v>
      </c>
      <c r="AP81" s="3">
        <f>IFERROR(__xludf.DUMMYFUNCTION("""COMPUTED_VALUE"""),76.0)</f>
        <v>76</v>
      </c>
      <c r="AQ81" s="3">
        <f>IFERROR(__xludf.DUMMYFUNCTION("""COMPUTED_VALUE"""),76.0)</f>
        <v>76</v>
      </c>
      <c r="AR81" s="3">
        <f>IFERROR(__xludf.DUMMYFUNCTION("""COMPUTED_VALUE"""),76.0)</f>
        <v>76</v>
      </c>
      <c r="AS81" s="3">
        <f>IFERROR(__xludf.DUMMYFUNCTION("""COMPUTED_VALUE"""),76.0)</f>
        <v>76</v>
      </c>
      <c r="AT81" s="3">
        <f>IFERROR(__xludf.DUMMYFUNCTION("""COMPUTED_VALUE"""),76.0)</f>
        <v>76</v>
      </c>
      <c r="AU81" s="3">
        <f>IFERROR(__xludf.DUMMYFUNCTION("""COMPUTED_VALUE"""),76.0)</f>
        <v>76</v>
      </c>
      <c r="AV81" s="3">
        <f>IFERROR(__xludf.DUMMYFUNCTION("""COMPUTED_VALUE"""),76.0)</f>
        <v>76</v>
      </c>
      <c r="AW81" s="3">
        <f>IFERROR(__xludf.DUMMYFUNCTION("""COMPUTED_VALUE"""),76.0)</f>
        <v>76</v>
      </c>
      <c r="AX81" s="3">
        <f>IFERROR(__xludf.DUMMYFUNCTION("""COMPUTED_VALUE"""),76.0)</f>
        <v>76</v>
      </c>
      <c r="AY81" s="3">
        <f>IFERROR(__xludf.DUMMYFUNCTION("""COMPUTED_VALUE"""),76.0)</f>
        <v>76</v>
      </c>
      <c r="AZ81" s="3">
        <f>IFERROR(__xludf.DUMMYFUNCTION("""COMPUTED_VALUE"""),76.0)</f>
        <v>76</v>
      </c>
      <c r="BA81" s="3">
        <f>IFERROR(__xludf.DUMMYFUNCTION("""COMPUTED_VALUE"""),76.0)</f>
        <v>76</v>
      </c>
      <c r="BB81" s="3">
        <f>IFERROR(__xludf.DUMMYFUNCTION("""COMPUTED_VALUE"""),76.0)</f>
        <v>76</v>
      </c>
      <c r="BC81" s="3">
        <f>IFERROR(__xludf.DUMMYFUNCTION("""COMPUTED_VALUE"""),76.0)</f>
        <v>76</v>
      </c>
      <c r="BD81" s="3">
        <f>IFERROR(__xludf.DUMMYFUNCTION("""COMPUTED_VALUE"""),76.0)</f>
        <v>76</v>
      </c>
      <c r="BE81" s="3">
        <f>IFERROR(__xludf.DUMMYFUNCTION("""COMPUTED_VALUE"""),76.0)</f>
        <v>76</v>
      </c>
      <c r="BF81" s="3">
        <f>IFERROR(__xludf.DUMMYFUNCTION("""COMPUTED_VALUE"""),76.0)</f>
        <v>76</v>
      </c>
      <c r="BG81" s="3">
        <f>IFERROR(__xludf.DUMMYFUNCTION("""COMPUTED_VALUE"""),76.0)</f>
        <v>76</v>
      </c>
      <c r="BH81" s="3">
        <f>IFERROR(__xludf.DUMMYFUNCTION("""COMPUTED_VALUE"""),76.0)</f>
        <v>76</v>
      </c>
      <c r="BI81" s="3">
        <f>IFERROR(__xludf.DUMMYFUNCTION("""COMPUTED_VALUE"""),76.0)</f>
        <v>76</v>
      </c>
      <c r="BJ81" s="3">
        <f>IFERROR(__xludf.DUMMYFUNCTION("""COMPUTED_VALUE"""),76.0)</f>
        <v>76</v>
      </c>
      <c r="BK81" s="3">
        <f>IFERROR(__xludf.DUMMYFUNCTION("""COMPUTED_VALUE"""),76.0)</f>
        <v>76</v>
      </c>
      <c r="BL81" s="3">
        <f>IFERROR(__xludf.DUMMYFUNCTION("""COMPUTED_VALUE"""),76.0)</f>
        <v>76</v>
      </c>
      <c r="BM81" s="3">
        <f>IFERROR(__xludf.DUMMYFUNCTION("""COMPUTED_VALUE"""),76.0)</f>
        <v>76</v>
      </c>
      <c r="BN81" s="3">
        <f>IFERROR(__xludf.DUMMYFUNCTION("""COMPUTED_VALUE"""),76.0)</f>
        <v>76</v>
      </c>
      <c r="BO81" s="3">
        <f>IFERROR(__xludf.DUMMYFUNCTION("""COMPUTED_VALUE"""),76.0)</f>
        <v>76</v>
      </c>
      <c r="BP81" s="3">
        <f>IFERROR(__xludf.DUMMYFUNCTION("""COMPUTED_VALUE"""),76.0)</f>
        <v>76</v>
      </c>
      <c r="BQ81" s="3">
        <f>IFERROR(__xludf.DUMMYFUNCTION("""COMPUTED_VALUE"""),76.0)</f>
        <v>76</v>
      </c>
      <c r="BR81" s="3">
        <f>IFERROR(__xludf.DUMMYFUNCTION("""COMPUTED_VALUE"""),76.0)</f>
        <v>76</v>
      </c>
      <c r="BS81" s="3">
        <f>IFERROR(__xludf.DUMMYFUNCTION("""COMPUTED_VALUE"""),76.0)</f>
        <v>76</v>
      </c>
      <c r="BT81" s="3">
        <f>IFERROR(__xludf.DUMMYFUNCTION("""COMPUTED_VALUE"""),76.0)</f>
        <v>76</v>
      </c>
      <c r="BU81" s="3">
        <f>IFERROR(__xludf.DUMMYFUNCTION("""COMPUTED_VALUE"""),76.0)</f>
        <v>76</v>
      </c>
      <c r="BV81" s="3">
        <f>IFERROR(__xludf.DUMMYFUNCTION("""COMPUTED_VALUE"""),76.0)</f>
        <v>76</v>
      </c>
      <c r="BW81" s="3">
        <f>IFERROR(__xludf.DUMMYFUNCTION("""COMPUTED_VALUE"""),76.0)</f>
        <v>76</v>
      </c>
      <c r="BX81" s="3">
        <f>IFERROR(__xludf.DUMMYFUNCTION("""COMPUTED_VALUE"""),76.0)</f>
        <v>76</v>
      </c>
      <c r="BY81" s="3">
        <f>IFERROR(__xludf.DUMMYFUNCTION("""COMPUTED_VALUE"""),76.0)</f>
        <v>76</v>
      </c>
      <c r="BZ81" s="3">
        <f>IFERROR(__xludf.DUMMYFUNCTION("""COMPUTED_VALUE"""),76.0)</f>
        <v>76</v>
      </c>
      <c r="CA81" s="3">
        <f>IFERROR(__xludf.DUMMYFUNCTION("""COMPUTED_VALUE"""),76.0)</f>
        <v>76</v>
      </c>
      <c r="CB81" s="3">
        <f>IFERROR(__xludf.DUMMYFUNCTION("""COMPUTED_VALUE"""),76.0)</f>
        <v>76</v>
      </c>
    </row>
    <row r="82">
      <c r="A82" s="3" t="str">
        <f>IFERROR(__xludf.DUMMYFUNCTION("""COMPUTED_VALUE"""),"Yunnan")</f>
        <v>Yunnan</v>
      </c>
      <c r="B82" s="3" t="str">
        <f>IFERROR(__xludf.DUMMYFUNCTION("""COMPUTED_VALUE"""),"China")</f>
        <v>China</v>
      </c>
      <c r="C82" s="3">
        <f>IFERROR(__xludf.DUMMYFUNCTION("""COMPUTED_VALUE"""),24.974)</f>
        <v>24.974</v>
      </c>
      <c r="D82" s="3">
        <f>IFERROR(__xludf.DUMMYFUNCTION("""COMPUTED_VALUE"""),101.487)</f>
        <v>101.487</v>
      </c>
      <c r="E82" s="3">
        <f>IFERROR(__xludf.DUMMYFUNCTION("""COMPUTED_VALUE"""),1.0)</f>
        <v>1</v>
      </c>
      <c r="F82" s="3">
        <f>IFERROR(__xludf.DUMMYFUNCTION("""COMPUTED_VALUE"""),2.0)</f>
        <v>2</v>
      </c>
      <c r="G82" s="3">
        <f>IFERROR(__xludf.DUMMYFUNCTION("""COMPUTED_VALUE"""),5.0)</f>
        <v>5</v>
      </c>
      <c r="H82" s="3">
        <f>IFERROR(__xludf.DUMMYFUNCTION("""COMPUTED_VALUE"""),11.0)</f>
        <v>11</v>
      </c>
      <c r="I82" s="3">
        <f>IFERROR(__xludf.DUMMYFUNCTION("""COMPUTED_VALUE"""),16.0)</f>
        <v>16</v>
      </c>
      <c r="J82" s="3">
        <f>IFERROR(__xludf.DUMMYFUNCTION("""COMPUTED_VALUE"""),26.0)</f>
        <v>26</v>
      </c>
      <c r="K82" s="3">
        <f>IFERROR(__xludf.DUMMYFUNCTION("""COMPUTED_VALUE"""),44.0)</f>
        <v>44</v>
      </c>
      <c r="L82" s="3">
        <f>IFERROR(__xludf.DUMMYFUNCTION("""COMPUTED_VALUE"""),55.0)</f>
        <v>55</v>
      </c>
      <c r="M82" s="3">
        <f>IFERROR(__xludf.DUMMYFUNCTION("""COMPUTED_VALUE"""),70.0)</f>
        <v>70</v>
      </c>
      <c r="N82" s="3">
        <f>IFERROR(__xludf.DUMMYFUNCTION("""COMPUTED_VALUE"""),83.0)</f>
        <v>83</v>
      </c>
      <c r="O82" s="3">
        <f>IFERROR(__xludf.DUMMYFUNCTION("""COMPUTED_VALUE"""),93.0)</f>
        <v>93</v>
      </c>
      <c r="P82" s="3">
        <f>IFERROR(__xludf.DUMMYFUNCTION("""COMPUTED_VALUE"""),105.0)</f>
        <v>105</v>
      </c>
      <c r="Q82" s="3">
        <f>IFERROR(__xludf.DUMMYFUNCTION("""COMPUTED_VALUE"""),117.0)</f>
        <v>117</v>
      </c>
      <c r="R82" s="3">
        <f>IFERROR(__xludf.DUMMYFUNCTION("""COMPUTED_VALUE"""),122.0)</f>
        <v>122</v>
      </c>
      <c r="S82" s="3">
        <f>IFERROR(__xludf.DUMMYFUNCTION("""COMPUTED_VALUE"""),128.0)</f>
        <v>128</v>
      </c>
      <c r="T82" s="3">
        <f>IFERROR(__xludf.DUMMYFUNCTION("""COMPUTED_VALUE"""),133.0)</f>
        <v>133</v>
      </c>
      <c r="U82" s="3">
        <f>IFERROR(__xludf.DUMMYFUNCTION("""COMPUTED_VALUE"""),138.0)</f>
        <v>138</v>
      </c>
      <c r="V82" s="3">
        <f>IFERROR(__xludf.DUMMYFUNCTION("""COMPUTED_VALUE"""),138.0)</f>
        <v>138</v>
      </c>
      <c r="W82" s="3">
        <f>IFERROR(__xludf.DUMMYFUNCTION("""COMPUTED_VALUE"""),141.0)</f>
        <v>141</v>
      </c>
      <c r="X82" s="3">
        <f>IFERROR(__xludf.DUMMYFUNCTION("""COMPUTED_VALUE"""),149.0)</f>
        <v>149</v>
      </c>
      <c r="Y82" s="3">
        <f>IFERROR(__xludf.DUMMYFUNCTION("""COMPUTED_VALUE"""),153.0)</f>
        <v>153</v>
      </c>
      <c r="Z82" s="3">
        <f>IFERROR(__xludf.DUMMYFUNCTION("""COMPUTED_VALUE"""),154.0)</f>
        <v>154</v>
      </c>
      <c r="AA82" s="3">
        <f>IFERROR(__xludf.DUMMYFUNCTION("""COMPUTED_VALUE"""),156.0)</f>
        <v>156</v>
      </c>
      <c r="AB82" s="3">
        <f>IFERROR(__xludf.DUMMYFUNCTION("""COMPUTED_VALUE"""),162.0)</f>
        <v>162</v>
      </c>
      <c r="AC82" s="3">
        <f>IFERROR(__xludf.DUMMYFUNCTION("""COMPUTED_VALUE"""),168.0)</f>
        <v>168</v>
      </c>
      <c r="AD82" s="3">
        <f>IFERROR(__xludf.DUMMYFUNCTION("""COMPUTED_VALUE"""),171.0)</f>
        <v>171</v>
      </c>
      <c r="AE82" s="3">
        <f>IFERROR(__xludf.DUMMYFUNCTION("""COMPUTED_VALUE"""),171.0)</f>
        <v>171</v>
      </c>
      <c r="AF82" s="3">
        <f>IFERROR(__xludf.DUMMYFUNCTION("""COMPUTED_VALUE"""),172.0)</f>
        <v>172</v>
      </c>
      <c r="AG82" s="3">
        <f>IFERROR(__xludf.DUMMYFUNCTION("""COMPUTED_VALUE"""),172.0)</f>
        <v>172</v>
      </c>
      <c r="AH82" s="3">
        <f>IFERROR(__xludf.DUMMYFUNCTION("""COMPUTED_VALUE"""),174.0)</f>
        <v>174</v>
      </c>
      <c r="AI82" s="3">
        <f>IFERROR(__xludf.DUMMYFUNCTION("""COMPUTED_VALUE"""),174.0)</f>
        <v>174</v>
      </c>
      <c r="AJ82" s="3">
        <f>IFERROR(__xludf.DUMMYFUNCTION("""COMPUTED_VALUE"""),174.0)</f>
        <v>174</v>
      </c>
      <c r="AK82" s="3">
        <f>IFERROR(__xludf.DUMMYFUNCTION("""COMPUTED_VALUE"""),174.0)</f>
        <v>174</v>
      </c>
      <c r="AL82" s="3">
        <f>IFERROR(__xludf.DUMMYFUNCTION("""COMPUTED_VALUE"""),174.0)</f>
        <v>174</v>
      </c>
      <c r="AM82" s="3">
        <f>IFERROR(__xludf.DUMMYFUNCTION("""COMPUTED_VALUE"""),174.0)</f>
        <v>174</v>
      </c>
      <c r="AN82" s="3">
        <f>IFERROR(__xludf.DUMMYFUNCTION("""COMPUTED_VALUE"""),174.0)</f>
        <v>174</v>
      </c>
      <c r="AO82" s="3">
        <f>IFERROR(__xludf.DUMMYFUNCTION("""COMPUTED_VALUE"""),174.0)</f>
        <v>174</v>
      </c>
      <c r="AP82" s="3">
        <f>IFERROR(__xludf.DUMMYFUNCTION("""COMPUTED_VALUE"""),174.0)</f>
        <v>174</v>
      </c>
      <c r="AQ82" s="3">
        <f>IFERROR(__xludf.DUMMYFUNCTION("""COMPUTED_VALUE"""),174.0)</f>
        <v>174</v>
      </c>
      <c r="AR82" s="3">
        <f>IFERROR(__xludf.DUMMYFUNCTION("""COMPUTED_VALUE"""),174.0)</f>
        <v>174</v>
      </c>
      <c r="AS82" s="3">
        <f>IFERROR(__xludf.DUMMYFUNCTION("""COMPUTED_VALUE"""),174.0)</f>
        <v>174</v>
      </c>
      <c r="AT82" s="3">
        <f>IFERROR(__xludf.DUMMYFUNCTION("""COMPUTED_VALUE"""),174.0)</f>
        <v>174</v>
      </c>
      <c r="AU82" s="3">
        <f>IFERROR(__xludf.DUMMYFUNCTION("""COMPUTED_VALUE"""),174.0)</f>
        <v>174</v>
      </c>
      <c r="AV82" s="3">
        <f>IFERROR(__xludf.DUMMYFUNCTION("""COMPUTED_VALUE"""),174.0)</f>
        <v>174</v>
      </c>
      <c r="AW82" s="3">
        <f>IFERROR(__xludf.DUMMYFUNCTION("""COMPUTED_VALUE"""),174.0)</f>
        <v>174</v>
      </c>
      <c r="AX82" s="3">
        <f>IFERROR(__xludf.DUMMYFUNCTION("""COMPUTED_VALUE"""),174.0)</f>
        <v>174</v>
      </c>
      <c r="AY82" s="3">
        <f>IFERROR(__xludf.DUMMYFUNCTION("""COMPUTED_VALUE"""),174.0)</f>
        <v>174</v>
      </c>
      <c r="AZ82" s="3">
        <f>IFERROR(__xludf.DUMMYFUNCTION("""COMPUTED_VALUE"""),174.0)</f>
        <v>174</v>
      </c>
      <c r="BA82" s="3">
        <f>IFERROR(__xludf.DUMMYFUNCTION("""COMPUTED_VALUE"""),174.0)</f>
        <v>174</v>
      </c>
      <c r="BB82" s="3">
        <f>IFERROR(__xludf.DUMMYFUNCTION("""COMPUTED_VALUE"""),174.0)</f>
        <v>174</v>
      </c>
      <c r="BC82" s="3">
        <f>IFERROR(__xludf.DUMMYFUNCTION("""COMPUTED_VALUE"""),174.0)</f>
        <v>174</v>
      </c>
      <c r="BD82" s="3">
        <f>IFERROR(__xludf.DUMMYFUNCTION("""COMPUTED_VALUE"""),174.0)</f>
        <v>174</v>
      </c>
      <c r="BE82" s="3">
        <f>IFERROR(__xludf.DUMMYFUNCTION("""COMPUTED_VALUE"""),174.0)</f>
        <v>174</v>
      </c>
      <c r="BF82" s="3">
        <f>IFERROR(__xludf.DUMMYFUNCTION("""COMPUTED_VALUE"""),174.0)</f>
        <v>174</v>
      </c>
      <c r="BG82" s="3">
        <f>IFERROR(__xludf.DUMMYFUNCTION("""COMPUTED_VALUE"""),176.0)</f>
        <v>176</v>
      </c>
      <c r="BH82" s="3">
        <f>IFERROR(__xludf.DUMMYFUNCTION("""COMPUTED_VALUE"""),176.0)</f>
        <v>176</v>
      </c>
      <c r="BI82" s="3">
        <f>IFERROR(__xludf.DUMMYFUNCTION("""COMPUTED_VALUE"""),176.0)</f>
        <v>176</v>
      </c>
      <c r="BJ82" s="3">
        <f>IFERROR(__xludf.DUMMYFUNCTION("""COMPUTED_VALUE"""),176.0)</f>
        <v>176</v>
      </c>
      <c r="BK82" s="3">
        <f>IFERROR(__xludf.DUMMYFUNCTION("""COMPUTED_VALUE"""),176.0)</f>
        <v>176</v>
      </c>
      <c r="BL82" s="3">
        <f>IFERROR(__xludf.DUMMYFUNCTION("""COMPUTED_VALUE"""),176.0)</f>
        <v>176</v>
      </c>
      <c r="BM82" s="3">
        <f>IFERROR(__xludf.DUMMYFUNCTION("""COMPUTED_VALUE"""),176.0)</f>
        <v>176</v>
      </c>
      <c r="BN82" s="3">
        <f>IFERROR(__xludf.DUMMYFUNCTION("""COMPUTED_VALUE"""),176.0)</f>
        <v>176</v>
      </c>
      <c r="BO82" s="3">
        <f>IFERROR(__xludf.DUMMYFUNCTION("""COMPUTED_VALUE"""),176.0)</f>
        <v>176</v>
      </c>
      <c r="BP82" s="3">
        <f>IFERROR(__xludf.DUMMYFUNCTION("""COMPUTED_VALUE"""),176.0)</f>
        <v>176</v>
      </c>
      <c r="BQ82" s="3">
        <f>IFERROR(__xludf.DUMMYFUNCTION("""COMPUTED_VALUE"""),178.0)</f>
        <v>178</v>
      </c>
      <c r="BR82" s="3">
        <f>IFERROR(__xludf.DUMMYFUNCTION("""COMPUTED_VALUE"""),180.0)</f>
        <v>180</v>
      </c>
      <c r="BS82" s="3">
        <f>IFERROR(__xludf.DUMMYFUNCTION("""COMPUTED_VALUE"""),180.0)</f>
        <v>180</v>
      </c>
      <c r="BT82" s="3">
        <f>IFERROR(__xludf.DUMMYFUNCTION("""COMPUTED_VALUE"""),180.0)</f>
        <v>180</v>
      </c>
      <c r="BU82" s="3">
        <f>IFERROR(__xludf.DUMMYFUNCTION("""COMPUTED_VALUE"""),180.0)</f>
        <v>180</v>
      </c>
      <c r="BV82" s="3">
        <f>IFERROR(__xludf.DUMMYFUNCTION("""COMPUTED_VALUE"""),182.0)</f>
        <v>182</v>
      </c>
      <c r="BW82" s="3">
        <f>IFERROR(__xludf.DUMMYFUNCTION("""COMPUTED_VALUE"""),182.0)</f>
        <v>182</v>
      </c>
      <c r="BX82" s="3">
        <f>IFERROR(__xludf.DUMMYFUNCTION("""COMPUTED_VALUE"""),183.0)</f>
        <v>183</v>
      </c>
      <c r="BY82" s="3">
        <f>IFERROR(__xludf.DUMMYFUNCTION("""COMPUTED_VALUE"""),184.0)</f>
        <v>184</v>
      </c>
      <c r="BZ82" s="3">
        <f>IFERROR(__xludf.DUMMYFUNCTION("""COMPUTED_VALUE"""),184.0)</f>
        <v>184</v>
      </c>
      <c r="CA82" s="3">
        <f>IFERROR(__xludf.DUMMYFUNCTION("""COMPUTED_VALUE"""),184.0)</f>
        <v>184</v>
      </c>
      <c r="CB82" s="3">
        <f>IFERROR(__xludf.DUMMYFUNCTION("""COMPUTED_VALUE"""),184.0)</f>
        <v>184</v>
      </c>
    </row>
    <row r="83">
      <c r="A83" s="3" t="str">
        <f>IFERROR(__xludf.DUMMYFUNCTION("""COMPUTED_VALUE"""),"Zhejiang")</f>
        <v>Zhejiang</v>
      </c>
      <c r="B83" s="3" t="str">
        <f>IFERROR(__xludf.DUMMYFUNCTION("""COMPUTED_VALUE"""),"China")</f>
        <v>China</v>
      </c>
      <c r="C83" s="3">
        <f>IFERROR(__xludf.DUMMYFUNCTION("""COMPUTED_VALUE"""),29.1832)</f>
        <v>29.1832</v>
      </c>
      <c r="D83" s="3">
        <f>IFERROR(__xludf.DUMMYFUNCTION("""COMPUTED_VALUE"""),120.0934)</f>
        <v>120.0934</v>
      </c>
      <c r="E83" s="3">
        <f>IFERROR(__xludf.DUMMYFUNCTION("""COMPUTED_VALUE"""),10.0)</f>
        <v>10</v>
      </c>
      <c r="F83" s="3">
        <f>IFERROR(__xludf.DUMMYFUNCTION("""COMPUTED_VALUE"""),27.0)</f>
        <v>27</v>
      </c>
      <c r="G83" s="3">
        <f>IFERROR(__xludf.DUMMYFUNCTION("""COMPUTED_VALUE"""),43.0)</f>
        <v>43</v>
      </c>
      <c r="H83" s="3">
        <f>IFERROR(__xludf.DUMMYFUNCTION("""COMPUTED_VALUE"""),62.0)</f>
        <v>62</v>
      </c>
      <c r="I83" s="3">
        <f>IFERROR(__xludf.DUMMYFUNCTION("""COMPUTED_VALUE"""),104.0)</f>
        <v>104</v>
      </c>
      <c r="J83" s="3">
        <f>IFERROR(__xludf.DUMMYFUNCTION("""COMPUTED_VALUE"""),128.0)</f>
        <v>128</v>
      </c>
      <c r="K83" s="3">
        <f>IFERROR(__xludf.DUMMYFUNCTION("""COMPUTED_VALUE"""),173.0)</f>
        <v>173</v>
      </c>
      <c r="L83" s="3">
        <f>IFERROR(__xludf.DUMMYFUNCTION("""COMPUTED_VALUE"""),296.0)</f>
        <v>296</v>
      </c>
      <c r="M83" s="3">
        <f>IFERROR(__xludf.DUMMYFUNCTION("""COMPUTED_VALUE"""),428.0)</f>
        <v>428</v>
      </c>
      <c r="N83" s="3">
        <f>IFERROR(__xludf.DUMMYFUNCTION("""COMPUTED_VALUE"""),538.0)</f>
        <v>538</v>
      </c>
      <c r="O83" s="3">
        <f>IFERROR(__xludf.DUMMYFUNCTION("""COMPUTED_VALUE"""),599.0)</f>
        <v>599</v>
      </c>
      <c r="P83" s="3">
        <f>IFERROR(__xludf.DUMMYFUNCTION("""COMPUTED_VALUE"""),661.0)</f>
        <v>661</v>
      </c>
      <c r="Q83" s="3">
        <f>IFERROR(__xludf.DUMMYFUNCTION("""COMPUTED_VALUE"""),724.0)</f>
        <v>724</v>
      </c>
      <c r="R83" s="3">
        <f>IFERROR(__xludf.DUMMYFUNCTION("""COMPUTED_VALUE"""),829.0)</f>
        <v>829</v>
      </c>
      <c r="S83" s="3">
        <f>IFERROR(__xludf.DUMMYFUNCTION("""COMPUTED_VALUE"""),895.0)</f>
        <v>895</v>
      </c>
      <c r="T83" s="3">
        <f>IFERROR(__xludf.DUMMYFUNCTION("""COMPUTED_VALUE"""),954.0)</f>
        <v>954</v>
      </c>
      <c r="U83" s="3">
        <f>IFERROR(__xludf.DUMMYFUNCTION("""COMPUTED_VALUE"""),1006.0)</f>
        <v>1006</v>
      </c>
      <c r="V83" s="3">
        <f>IFERROR(__xludf.DUMMYFUNCTION("""COMPUTED_VALUE"""),1048.0)</f>
        <v>1048</v>
      </c>
      <c r="W83" s="3">
        <f>IFERROR(__xludf.DUMMYFUNCTION("""COMPUTED_VALUE"""),1075.0)</f>
        <v>1075</v>
      </c>
      <c r="X83" s="3">
        <f>IFERROR(__xludf.DUMMYFUNCTION("""COMPUTED_VALUE"""),1092.0)</f>
        <v>1092</v>
      </c>
      <c r="Y83" s="3">
        <f>IFERROR(__xludf.DUMMYFUNCTION("""COMPUTED_VALUE"""),1117.0)</f>
        <v>1117</v>
      </c>
      <c r="Z83" s="3">
        <f>IFERROR(__xludf.DUMMYFUNCTION("""COMPUTED_VALUE"""),1131.0)</f>
        <v>1131</v>
      </c>
      <c r="AA83" s="3">
        <f>IFERROR(__xludf.DUMMYFUNCTION("""COMPUTED_VALUE"""),1145.0)</f>
        <v>1145</v>
      </c>
      <c r="AB83" s="3">
        <f>IFERROR(__xludf.DUMMYFUNCTION("""COMPUTED_VALUE"""),1155.0)</f>
        <v>1155</v>
      </c>
      <c r="AC83" s="3">
        <f>IFERROR(__xludf.DUMMYFUNCTION("""COMPUTED_VALUE"""),1162.0)</f>
        <v>1162</v>
      </c>
      <c r="AD83" s="3">
        <f>IFERROR(__xludf.DUMMYFUNCTION("""COMPUTED_VALUE"""),1167.0)</f>
        <v>1167</v>
      </c>
      <c r="AE83" s="3">
        <f>IFERROR(__xludf.DUMMYFUNCTION("""COMPUTED_VALUE"""),1171.0)</f>
        <v>1171</v>
      </c>
      <c r="AF83" s="3">
        <f>IFERROR(__xludf.DUMMYFUNCTION("""COMPUTED_VALUE"""),1172.0)</f>
        <v>1172</v>
      </c>
      <c r="AG83" s="3">
        <f>IFERROR(__xludf.DUMMYFUNCTION("""COMPUTED_VALUE"""),1174.0)</f>
        <v>1174</v>
      </c>
      <c r="AH83" s="3">
        <f>IFERROR(__xludf.DUMMYFUNCTION("""COMPUTED_VALUE"""),1175.0)</f>
        <v>1175</v>
      </c>
      <c r="AI83" s="3">
        <f>IFERROR(__xludf.DUMMYFUNCTION("""COMPUTED_VALUE"""),1203.0)</f>
        <v>1203</v>
      </c>
      <c r="AJ83" s="3">
        <f>IFERROR(__xludf.DUMMYFUNCTION("""COMPUTED_VALUE"""),1205.0)</f>
        <v>1205</v>
      </c>
      <c r="AK83" s="3">
        <f>IFERROR(__xludf.DUMMYFUNCTION("""COMPUTED_VALUE"""),1205.0)</f>
        <v>1205</v>
      </c>
      <c r="AL83" s="3">
        <f>IFERROR(__xludf.DUMMYFUNCTION("""COMPUTED_VALUE"""),1205.0)</f>
        <v>1205</v>
      </c>
      <c r="AM83" s="3">
        <f>IFERROR(__xludf.DUMMYFUNCTION("""COMPUTED_VALUE"""),1205.0)</f>
        <v>1205</v>
      </c>
      <c r="AN83" s="3">
        <f>IFERROR(__xludf.DUMMYFUNCTION("""COMPUTED_VALUE"""),1205.0)</f>
        <v>1205</v>
      </c>
      <c r="AO83" s="3">
        <f>IFERROR(__xludf.DUMMYFUNCTION("""COMPUTED_VALUE"""),1205.0)</f>
        <v>1205</v>
      </c>
      <c r="AP83" s="3">
        <f>IFERROR(__xludf.DUMMYFUNCTION("""COMPUTED_VALUE"""),1205.0)</f>
        <v>1205</v>
      </c>
      <c r="AQ83" s="3">
        <f>IFERROR(__xludf.DUMMYFUNCTION("""COMPUTED_VALUE"""),1205.0)</f>
        <v>1205</v>
      </c>
      <c r="AR83" s="3">
        <f>IFERROR(__xludf.DUMMYFUNCTION("""COMPUTED_VALUE"""),1205.0)</f>
        <v>1205</v>
      </c>
      <c r="AS83" s="3">
        <f>IFERROR(__xludf.DUMMYFUNCTION("""COMPUTED_VALUE"""),1206.0)</f>
        <v>1206</v>
      </c>
      <c r="AT83" s="3">
        <f>IFERROR(__xludf.DUMMYFUNCTION("""COMPUTED_VALUE"""),1213.0)</f>
        <v>1213</v>
      </c>
      <c r="AU83" s="3">
        <f>IFERROR(__xludf.DUMMYFUNCTION("""COMPUTED_VALUE"""),1213.0)</f>
        <v>1213</v>
      </c>
      <c r="AV83" s="3">
        <f>IFERROR(__xludf.DUMMYFUNCTION("""COMPUTED_VALUE"""),1215.0)</f>
        <v>1215</v>
      </c>
      <c r="AW83" s="3">
        <f>IFERROR(__xludf.DUMMYFUNCTION("""COMPUTED_VALUE"""),1215.0)</f>
        <v>1215</v>
      </c>
      <c r="AX83" s="3">
        <f>IFERROR(__xludf.DUMMYFUNCTION("""COMPUTED_VALUE"""),1215.0)</f>
        <v>1215</v>
      </c>
      <c r="AY83" s="3">
        <f>IFERROR(__xludf.DUMMYFUNCTION("""COMPUTED_VALUE"""),1215.0)</f>
        <v>1215</v>
      </c>
      <c r="AZ83" s="3">
        <f>IFERROR(__xludf.DUMMYFUNCTION("""COMPUTED_VALUE"""),1215.0)</f>
        <v>1215</v>
      </c>
      <c r="BA83" s="3">
        <f>IFERROR(__xludf.DUMMYFUNCTION("""COMPUTED_VALUE"""),1215.0)</f>
        <v>1215</v>
      </c>
      <c r="BB83" s="3">
        <f>IFERROR(__xludf.DUMMYFUNCTION("""COMPUTED_VALUE"""),1215.0)</f>
        <v>1215</v>
      </c>
      <c r="BC83" s="3">
        <f>IFERROR(__xludf.DUMMYFUNCTION("""COMPUTED_VALUE"""),1215.0)</f>
        <v>1215</v>
      </c>
      <c r="BD83" s="3">
        <f>IFERROR(__xludf.DUMMYFUNCTION("""COMPUTED_VALUE"""),1215.0)</f>
        <v>1215</v>
      </c>
      <c r="BE83" s="3">
        <f>IFERROR(__xludf.DUMMYFUNCTION("""COMPUTED_VALUE"""),1227.0)</f>
        <v>1227</v>
      </c>
      <c r="BF83" s="3">
        <f>IFERROR(__xludf.DUMMYFUNCTION("""COMPUTED_VALUE"""),1231.0)</f>
        <v>1231</v>
      </c>
      <c r="BG83" s="3">
        <f>IFERROR(__xludf.DUMMYFUNCTION("""COMPUTED_VALUE"""),1231.0)</f>
        <v>1231</v>
      </c>
      <c r="BH83" s="3">
        <f>IFERROR(__xludf.DUMMYFUNCTION("""COMPUTED_VALUE"""),1232.0)</f>
        <v>1232</v>
      </c>
      <c r="BI83" s="3">
        <f>IFERROR(__xludf.DUMMYFUNCTION("""COMPUTED_VALUE"""),1232.0)</f>
        <v>1232</v>
      </c>
      <c r="BJ83" s="3">
        <f>IFERROR(__xludf.DUMMYFUNCTION("""COMPUTED_VALUE"""),1233.0)</f>
        <v>1233</v>
      </c>
      <c r="BK83" s="3">
        <f>IFERROR(__xludf.DUMMYFUNCTION("""COMPUTED_VALUE"""),1234.0)</f>
        <v>1234</v>
      </c>
      <c r="BL83" s="3">
        <f>IFERROR(__xludf.DUMMYFUNCTION("""COMPUTED_VALUE"""),1236.0)</f>
        <v>1236</v>
      </c>
      <c r="BM83" s="3">
        <f>IFERROR(__xludf.DUMMYFUNCTION("""COMPUTED_VALUE"""),1238.0)</f>
        <v>1238</v>
      </c>
      <c r="BN83" s="3">
        <f>IFERROR(__xludf.DUMMYFUNCTION("""COMPUTED_VALUE"""),1238.0)</f>
        <v>1238</v>
      </c>
      <c r="BO83" s="3">
        <f>IFERROR(__xludf.DUMMYFUNCTION("""COMPUTED_VALUE"""),1240.0)</f>
        <v>1240</v>
      </c>
      <c r="BP83" s="3">
        <f>IFERROR(__xludf.DUMMYFUNCTION("""COMPUTED_VALUE"""),1241.0)</f>
        <v>1241</v>
      </c>
      <c r="BQ83" s="3">
        <f>IFERROR(__xludf.DUMMYFUNCTION("""COMPUTED_VALUE"""),1243.0)</f>
        <v>1243</v>
      </c>
      <c r="BR83" s="3">
        <f>IFERROR(__xludf.DUMMYFUNCTION("""COMPUTED_VALUE"""),1247.0)</f>
        <v>1247</v>
      </c>
      <c r="BS83" s="3">
        <f>IFERROR(__xludf.DUMMYFUNCTION("""COMPUTED_VALUE"""),1251.0)</f>
        <v>1251</v>
      </c>
      <c r="BT83" s="3">
        <f>IFERROR(__xludf.DUMMYFUNCTION("""COMPUTED_VALUE"""),1254.0)</f>
        <v>1254</v>
      </c>
      <c r="BU83" s="3">
        <f>IFERROR(__xludf.DUMMYFUNCTION("""COMPUTED_VALUE"""),1255.0)</f>
        <v>1255</v>
      </c>
      <c r="BV83" s="3">
        <f>IFERROR(__xludf.DUMMYFUNCTION("""COMPUTED_VALUE"""),1257.0)</f>
        <v>1257</v>
      </c>
      <c r="BW83" s="3">
        <f>IFERROR(__xludf.DUMMYFUNCTION("""COMPUTED_VALUE"""),1257.0)</f>
        <v>1257</v>
      </c>
      <c r="BX83" s="3">
        <f>IFERROR(__xludf.DUMMYFUNCTION("""COMPUTED_VALUE"""),1258.0)</f>
        <v>1258</v>
      </c>
      <c r="BY83" s="3">
        <f>IFERROR(__xludf.DUMMYFUNCTION("""COMPUTED_VALUE"""),1260.0)</f>
        <v>1260</v>
      </c>
      <c r="BZ83" s="3">
        <f>IFERROR(__xludf.DUMMYFUNCTION("""COMPUTED_VALUE"""),1262.0)</f>
        <v>1262</v>
      </c>
      <c r="CA83" s="3">
        <f>IFERROR(__xludf.DUMMYFUNCTION("""COMPUTED_VALUE"""),1263.0)</f>
        <v>1263</v>
      </c>
      <c r="CB83" s="3">
        <f>IFERROR(__xludf.DUMMYFUNCTION("""COMPUTED_VALUE"""),1264.0)</f>
        <v>1264</v>
      </c>
    </row>
    <row r="84">
      <c r="A84" s="3" t="str">
        <f>IFERROR(__xludf.DUMMYFUNCTION("""COMPUTED_VALUE"""),"")</f>
        <v/>
      </c>
      <c r="B84" s="3" t="str">
        <f>IFERROR(__xludf.DUMMYFUNCTION("""COMPUTED_VALUE"""),"Colombia")</f>
        <v>Colombia</v>
      </c>
      <c r="C84" s="3">
        <f>IFERROR(__xludf.DUMMYFUNCTION("""COMPUTED_VALUE"""),4.5709)</f>
        <v>4.5709</v>
      </c>
      <c r="D84" s="3">
        <f>IFERROR(__xludf.DUMMYFUNCTION("""COMPUTED_VALUE"""),-74.2973)</f>
        <v>-74.2973</v>
      </c>
      <c r="E84" s="3">
        <f>IFERROR(__xludf.DUMMYFUNCTION("""COMPUTED_VALUE"""),0.0)</f>
        <v>0</v>
      </c>
      <c r="F84" s="3">
        <f>IFERROR(__xludf.DUMMYFUNCTION("""COMPUTED_VALUE"""),0.0)</f>
        <v>0</v>
      </c>
      <c r="G84" s="3">
        <f>IFERROR(__xludf.DUMMYFUNCTION("""COMPUTED_VALUE"""),0.0)</f>
        <v>0</v>
      </c>
      <c r="H84" s="3">
        <f>IFERROR(__xludf.DUMMYFUNCTION("""COMPUTED_VALUE"""),0.0)</f>
        <v>0</v>
      </c>
      <c r="I84" s="3">
        <f>IFERROR(__xludf.DUMMYFUNCTION("""COMPUTED_VALUE"""),0.0)</f>
        <v>0</v>
      </c>
      <c r="J84" s="3">
        <f>IFERROR(__xludf.DUMMYFUNCTION("""COMPUTED_VALUE"""),0.0)</f>
        <v>0</v>
      </c>
      <c r="K84" s="3">
        <f>IFERROR(__xludf.DUMMYFUNCTION("""COMPUTED_VALUE"""),0.0)</f>
        <v>0</v>
      </c>
      <c r="L84" s="3">
        <f>IFERROR(__xludf.DUMMYFUNCTION("""COMPUTED_VALUE"""),0.0)</f>
        <v>0</v>
      </c>
      <c r="M84" s="3">
        <f>IFERROR(__xludf.DUMMYFUNCTION("""COMPUTED_VALUE"""),0.0)</f>
        <v>0</v>
      </c>
      <c r="N84" s="3">
        <f>IFERROR(__xludf.DUMMYFUNCTION("""COMPUTED_VALUE"""),0.0)</f>
        <v>0</v>
      </c>
      <c r="O84" s="3">
        <f>IFERROR(__xludf.DUMMYFUNCTION("""COMPUTED_VALUE"""),0.0)</f>
        <v>0</v>
      </c>
      <c r="P84" s="3">
        <f>IFERROR(__xludf.DUMMYFUNCTION("""COMPUTED_VALUE"""),0.0)</f>
        <v>0</v>
      </c>
      <c r="Q84" s="3">
        <f>IFERROR(__xludf.DUMMYFUNCTION("""COMPUTED_VALUE"""),0.0)</f>
        <v>0</v>
      </c>
      <c r="R84" s="3">
        <f>IFERROR(__xludf.DUMMYFUNCTION("""COMPUTED_VALUE"""),0.0)</f>
        <v>0</v>
      </c>
      <c r="S84" s="3">
        <f>IFERROR(__xludf.DUMMYFUNCTION("""COMPUTED_VALUE"""),0.0)</f>
        <v>0</v>
      </c>
      <c r="T84" s="3">
        <f>IFERROR(__xludf.DUMMYFUNCTION("""COMPUTED_VALUE"""),0.0)</f>
        <v>0</v>
      </c>
      <c r="U84" s="3">
        <f>IFERROR(__xludf.DUMMYFUNCTION("""COMPUTED_VALUE"""),0.0)</f>
        <v>0</v>
      </c>
      <c r="V84" s="3">
        <f>IFERROR(__xludf.DUMMYFUNCTION("""COMPUTED_VALUE"""),0.0)</f>
        <v>0</v>
      </c>
      <c r="W84" s="3">
        <f>IFERROR(__xludf.DUMMYFUNCTION("""COMPUTED_VALUE"""),0.0)</f>
        <v>0</v>
      </c>
      <c r="X84" s="3">
        <f>IFERROR(__xludf.DUMMYFUNCTION("""COMPUTED_VALUE"""),0.0)</f>
        <v>0</v>
      </c>
      <c r="Y84" s="3">
        <f>IFERROR(__xludf.DUMMYFUNCTION("""COMPUTED_VALUE"""),0.0)</f>
        <v>0</v>
      </c>
      <c r="Z84" s="3">
        <f>IFERROR(__xludf.DUMMYFUNCTION("""COMPUTED_VALUE"""),0.0)</f>
        <v>0</v>
      </c>
      <c r="AA84" s="3">
        <f>IFERROR(__xludf.DUMMYFUNCTION("""COMPUTED_VALUE"""),0.0)</f>
        <v>0</v>
      </c>
      <c r="AB84" s="3">
        <f>IFERROR(__xludf.DUMMYFUNCTION("""COMPUTED_VALUE"""),0.0)</f>
        <v>0</v>
      </c>
      <c r="AC84" s="3">
        <f>IFERROR(__xludf.DUMMYFUNCTION("""COMPUTED_VALUE"""),0.0)</f>
        <v>0</v>
      </c>
      <c r="AD84" s="3">
        <f>IFERROR(__xludf.DUMMYFUNCTION("""COMPUTED_VALUE"""),0.0)</f>
        <v>0</v>
      </c>
      <c r="AE84" s="3">
        <f>IFERROR(__xludf.DUMMYFUNCTION("""COMPUTED_VALUE"""),0.0)</f>
        <v>0</v>
      </c>
      <c r="AF84" s="3">
        <f>IFERROR(__xludf.DUMMYFUNCTION("""COMPUTED_VALUE"""),0.0)</f>
        <v>0</v>
      </c>
      <c r="AG84" s="3">
        <f>IFERROR(__xludf.DUMMYFUNCTION("""COMPUTED_VALUE"""),0.0)</f>
        <v>0</v>
      </c>
      <c r="AH84" s="3">
        <f>IFERROR(__xludf.DUMMYFUNCTION("""COMPUTED_VALUE"""),0.0)</f>
        <v>0</v>
      </c>
      <c r="AI84" s="3">
        <f>IFERROR(__xludf.DUMMYFUNCTION("""COMPUTED_VALUE"""),0.0)</f>
        <v>0</v>
      </c>
      <c r="AJ84" s="3">
        <f>IFERROR(__xludf.DUMMYFUNCTION("""COMPUTED_VALUE"""),0.0)</f>
        <v>0</v>
      </c>
      <c r="AK84" s="3">
        <f>IFERROR(__xludf.DUMMYFUNCTION("""COMPUTED_VALUE"""),0.0)</f>
        <v>0</v>
      </c>
      <c r="AL84" s="3">
        <f>IFERROR(__xludf.DUMMYFUNCTION("""COMPUTED_VALUE"""),0.0)</f>
        <v>0</v>
      </c>
      <c r="AM84" s="3">
        <f>IFERROR(__xludf.DUMMYFUNCTION("""COMPUTED_VALUE"""),0.0)</f>
        <v>0</v>
      </c>
      <c r="AN84" s="3">
        <f>IFERROR(__xludf.DUMMYFUNCTION("""COMPUTED_VALUE"""),0.0)</f>
        <v>0</v>
      </c>
      <c r="AO84" s="3">
        <f>IFERROR(__xludf.DUMMYFUNCTION("""COMPUTED_VALUE"""),0.0)</f>
        <v>0</v>
      </c>
      <c r="AP84" s="3">
        <f>IFERROR(__xludf.DUMMYFUNCTION("""COMPUTED_VALUE"""),0.0)</f>
        <v>0</v>
      </c>
      <c r="AQ84" s="3">
        <f>IFERROR(__xludf.DUMMYFUNCTION("""COMPUTED_VALUE"""),0.0)</f>
        <v>0</v>
      </c>
      <c r="AR84" s="3">
        <f>IFERROR(__xludf.DUMMYFUNCTION("""COMPUTED_VALUE"""),0.0)</f>
        <v>0</v>
      </c>
      <c r="AS84" s="3">
        <f>IFERROR(__xludf.DUMMYFUNCTION("""COMPUTED_VALUE"""),0.0)</f>
        <v>0</v>
      </c>
      <c r="AT84" s="3">
        <f>IFERROR(__xludf.DUMMYFUNCTION("""COMPUTED_VALUE"""),0.0)</f>
        <v>0</v>
      </c>
      <c r="AU84" s="3">
        <f>IFERROR(__xludf.DUMMYFUNCTION("""COMPUTED_VALUE"""),0.0)</f>
        <v>0</v>
      </c>
      <c r="AV84" s="3">
        <f>IFERROR(__xludf.DUMMYFUNCTION("""COMPUTED_VALUE"""),0.0)</f>
        <v>0</v>
      </c>
      <c r="AW84" s="3">
        <f>IFERROR(__xludf.DUMMYFUNCTION("""COMPUTED_VALUE"""),1.0)</f>
        <v>1</v>
      </c>
      <c r="AX84" s="3">
        <f>IFERROR(__xludf.DUMMYFUNCTION("""COMPUTED_VALUE"""),1.0)</f>
        <v>1</v>
      </c>
      <c r="AY84" s="3">
        <f>IFERROR(__xludf.DUMMYFUNCTION("""COMPUTED_VALUE"""),1.0)</f>
        <v>1</v>
      </c>
      <c r="AZ84" s="3">
        <f>IFERROR(__xludf.DUMMYFUNCTION("""COMPUTED_VALUE"""),1.0)</f>
        <v>1</v>
      </c>
      <c r="BA84" s="3">
        <f>IFERROR(__xludf.DUMMYFUNCTION("""COMPUTED_VALUE"""),3.0)</f>
        <v>3</v>
      </c>
      <c r="BB84" s="3">
        <f>IFERROR(__xludf.DUMMYFUNCTION("""COMPUTED_VALUE"""),9.0)</f>
        <v>9</v>
      </c>
      <c r="BC84" s="3">
        <f>IFERROR(__xludf.DUMMYFUNCTION("""COMPUTED_VALUE"""),9.0)</f>
        <v>9</v>
      </c>
      <c r="BD84" s="3">
        <f>IFERROR(__xludf.DUMMYFUNCTION("""COMPUTED_VALUE"""),13.0)</f>
        <v>13</v>
      </c>
      <c r="BE84" s="3">
        <f>IFERROR(__xludf.DUMMYFUNCTION("""COMPUTED_VALUE"""),22.0)</f>
        <v>22</v>
      </c>
      <c r="BF84" s="3">
        <f>IFERROR(__xludf.DUMMYFUNCTION("""COMPUTED_VALUE"""),34.0)</f>
        <v>34</v>
      </c>
      <c r="BG84" s="3">
        <f>IFERROR(__xludf.DUMMYFUNCTION("""COMPUTED_VALUE"""),54.0)</f>
        <v>54</v>
      </c>
      <c r="BH84" s="3">
        <f>IFERROR(__xludf.DUMMYFUNCTION("""COMPUTED_VALUE"""),65.0)</f>
        <v>65</v>
      </c>
      <c r="BI84" s="3">
        <f>IFERROR(__xludf.DUMMYFUNCTION("""COMPUTED_VALUE"""),93.0)</f>
        <v>93</v>
      </c>
      <c r="BJ84" s="3">
        <f>IFERROR(__xludf.DUMMYFUNCTION("""COMPUTED_VALUE"""),102.0)</f>
        <v>102</v>
      </c>
      <c r="BK84" s="3">
        <f>IFERROR(__xludf.DUMMYFUNCTION("""COMPUTED_VALUE"""),128.0)</f>
        <v>128</v>
      </c>
      <c r="BL84" s="3">
        <f>IFERROR(__xludf.DUMMYFUNCTION("""COMPUTED_VALUE"""),196.0)</f>
        <v>196</v>
      </c>
      <c r="BM84" s="3">
        <f>IFERROR(__xludf.DUMMYFUNCTION("""COMPUTED_VALUE"""),231.0)</f>
        <v>231</v>
      </c>
      <c r="BN84" s="3">
        <f>IFERROR(__xludf.DUMMYFUNCTION("""COMPUTED_VALUE"""),277.0)</f>
        <v>277</v>
      </c>
      <c r="BO84" s="3">
        <f>IFERROR(__xludf.DUMMYFUNCTION("""COMPUTED_VALUE"""),378.0)</f>
        <v>378</v>
      </c>
      <c r="BP84" s="3">
        <f>IFERROR(__xludf.DUMMYFUNCTION("""COMPUTED_VALUE"""),470.0)</f>
        <v>470</v>
      </c>
      <c r="BQ84" s="3">
        <f>IFERROR(__xludf.DUMMYFUNCTION("""COMPUTED_VALUE"""),491.0)</f>
        <v>491</v>
      </c>
      <c r="BR84" s="3">
        <f>IFERROR(__xludf.DUMMYFUNCTION("""COMPUTED_VALUE"""),539.0)</f>
        <v>539</v>
      </c>
      <c r="BS84" s="3">
        <f>IFERROR(__xludf.DUMMYFUNCTION("""COMPUTED_VALUE"""),608.0)</f>
        <v>608</v>
      </c>
      <c r="BT84" s="3">
        <f>IFERROR(__xludf.DUMMYFUNCTION("""COMPUTED_VALUE"""),702.0)</f>
        <v>702</v>
      </c>
      <c r="BU84" s="3">
        <f>IFERROR(__xludf.DUMMYFUNCTION("""COMPUTED_VALUE"""),798.0)</f>
        <v>798</v>
      </c>
      <c r="BV84" s="3">
        <f>IFERROR(__xludf.DUMMYFUNCTION("""COMPUTED_VALUE"""),906.0)</f>
        <v>906</v>
      </c>
      <c r="BW84" s="3">
        <f>IFERROR(__xludf.DUMMYFUNCTION("""COMPUTED_VALUE"""),1065.0)</f>
        <v>1065</v>
      </c>
      <c r="BX84" s="3">
        <f>IFERROR(__xludf.DUMMYFUNCTION("""COMPUTED_VALUE"""),1161.0)</f>
        <v>1161</v>
      </c>
      <c r="BY84" s="3">
        <f>IFERROR(__xludf.DUMMYFUNCTION("""COMPUTED_VALUE"""),1267.0)</f>
        <v>1267</v>
      </c>
      <c r="BZ84" s="3">
        <f>IFERROR(__xludf.DUMMYFUNCTION("""COMPUTED_VALUE"""),1406.0)</f>
        <v>1406</v>
      </c>
      <c r="CA84" s="3">
        <f>IFERROR(__xludf.DUMMYFUNCTION("""COMPUTED_VALUE"""),1485.0)</f>
        <v>1485</v>
      </c>
      <c r="CB84" s="3">
        <f>IFERROR(__xludf.DUMMYFUNCTION("""COMPUTED_VALUE"""),1579.0)</f>
        <v>1579</v>
      </c>
    </row>
    <row r="85">
      <c r="A85" s="3" t="str">
        <f>IFERROR(__xludf.DUMMYFUNCTION("""COMPUTED_VALUE"""),"")</f>
        <v/>
      </c>
      <c r="B85" s="3" t="str">
        <f>IFERROR(__xludf.DUMMYFUNCTION("""COMPUTED_VALUE"""),"Congo (Brazzaville)")</f>
        <v>Congo (Brazzaville)</v>
      </c>
      <c r="C85" s="3">
        <f>IFERROR(__xludf.DUMMYFUNCTION("""COMPUTED_VALUE"""),-4.0383)</f>
        <v>-4.0383</v>
      </c>
      <c r="D85" s="3">
        <f>IFERROR(__xludf.DUMMYFUNCTION("""COMPUTED_VALUE"""),21.7587)</f>
        <v>21.7587</v>
      </c>
      <c r="E85" s="3">
        <f>IFERROR(__xludf.DUMMYFUNCTION("""COMPUTED_VALUE"""),0.0)</f>
        <v>0</v>
      </c>
      <c r="F85" s="3">
        <f>IFERROR(__xludf.DUMMYFUNCTION("""COMPUTED_VALUE"""),0.0)</f>
        <v>0</v>
      </c>
      <c r="G85" s="3">
        <f>IFERROR(__xludf.DUMMYFUNCTION("""COMPUTED_VALUE"""),0.0)</f>
        <v>0</v>
      </c>
      <c r="H85" s="3">
        <f>IFERROR(__xludf.DUMMYFUNCTION("""COMPUTED_VALUE"""),0.0)</f>
        <v>0</v>
      </c>
      <c r="I85" s="3">
        <f>IFERROR(__xludf.DUMMYFUNCTION("""COMPUTED_VALUE"""),0.0)</f>
        <v>0</v>
      </c>
      <c r="J85" s="3">
        <f>IFERROR(__xludf.DUMMYFUNCTION("""COMPUTED_VALUE"""),0.0)</f>
        <v>0</v>
      </c>
      <c r="K85" s="3">
        <f>IFERROR(__xludf.DUMMYFUNCTION("""COMPUTED_VALUE"""),0.0)</f>
        <v>0</v>
      </c>
      <c r="L85" s="3">
        <f>IFERROR(__xludf.DUMMYFUNCTION("""COMPUTED_VALUE"""),0.0)</f>
        <v>0</v>
      </c>
      <c r="M85" s="3">
        <f>IFERROR(__xludf.DUMMYFUNCTION("""COMPUTED_VALUE"""),0.0)</f>
        <v>0</v>
      </c>
      <c r="N85" s="3">
        <f>IFERROR(__xludf.DUMMYFUNCTION("""COMPUTED_VALUE"""),0.0)</f>
        <v>0</v>
      </c>
      <c r="O85" s="3">
        <f>IFERROR(__xludf.DUMMYFUNCTION("""COMPUTED_VALUE"""),0.0)</f>
        <v>0</v>
      </c>
      <c r="P85" s="3">
        <f>IFERROR(__xludf.DUMMYFUNCTION("""COMPUTED_VALUE"""),0.0)</f>
        <v>0</v>
      </c>
      <c r="Q85" s="3">
        <f>IFERROR(__xludf.DUMMYFUNCTION("""COMPUTED_VALUE"""),0.0)</f>
        <v>0</v>
      </c>
      <c r="R85" s="3">
        <f>IFERROR(__xludf.DUMMYFUNCTION("""COMPUTED_VALUE"""),0.0)</f>
        <v>0</v>
      </c>
      <c r="S85" s="3">
        <f>IFERROR(__xludf.DUMMYFUNCTION("""COMPUTED_VALUE"""),0.0)</f>
        <v>0</v>
      </c>
      <c r="T85" s="3">
        <f>IFERROR(__xludf.DUMMYFUNCTION("""COMPUTED_VALUE"""),0.0)</f>
        <v>0</v>
      </c>
      <c r="U85" s="3">
        <f>IFERROR(__xludf.DUMMYFUNCTION("""COMPUTED_VALUE"""),0.0)</f>
        <v>0</v>
      </c>
      <c r="V85" s="3">
        <f>IFERROR(__xludf.DUMMYFUNCTION("""COMPUTED_VALUE"""),0.0)</f>
        <v>0</v>
      </c>
      <c r="W85" s="3">
        <f>IFERROR(__xludf.DUMMYFUNCTION("""COMPUTED_VALUE"""),0.0)</f>
        <v>0</v>
      </c>
      <c r="X85" s="3">
        <f>IFERROR(__xludf.DUMMYFUNCTION("""COMPUTED_VALUE"""),0.0)</f>
        <v>0</v>
      </c>
      <c r="Y85" s="3">
        <f>IFERROR(__xludf.DUMMYFUNCTION("""COMPUTED_VALUE"""),0.0)</f>
        <v>0</v>
      </c>
      <c r="Z85" s="3">
        <f>IFERROR(__xludf.DUMMYFUNCTION("""COMPUTED_VALUE"""),0.0)</f>
        <v>0</v>
      </c>
      <c r="AA85" s="3">
        <f>IFERROR(__xludf.DUMMYFUNCTION("""COMPUTED_VALUE"""),0.0)</f>
        <v>0</v>
      </c>
      <c r="AB85" s="3">
        <f>IFERROR(__xludf.DUMMYFUNCTION("""COMPUTED_VALUE"""),0.0)</f>
        <v>0</v>
      </c>
      <c r="AC85" s="3">
        <f>IFERROR(__xludf.DUMMYFUNCTION("""COMPUTED_VALUE"""),0.0)</f>
        <v>0</v>
      </c>
      <c r="AD85" s="3">
        <f>IFERROR(__xludf.DUMMYFUNCTION("""COMPUTED_VALUE"""),0.0)</f>
        <v>0</v>
      </c>
      <c r="AE85" s="3">
        <f>IFERROR(__xludf.DUMMYFUNCTION("""COMPUTED_VALUE"""),0.0)</f>
        <v>0</v>
      </c>
      <c r="AF85" s="3">
        <f>IFERROR(__xludf.DUMMYFUNCTION("""COMPUTED_VALUE"""),0.0)</f>
        <v>0</v>
      </c>
      <c r="AG85" s="3">
        <f>IFERROR(__xludf.DUMMYFUNCTION("""COMPUTED_VALUE"""),0.0)</f>
        <v>0</v>
      </c>
      <c r="AH85" s="3">
        <f>IFERROR(__xludf.DUMMYFUNCTION("""COMPUTED_VALUE"""),0.0)</f>
        <v>0</v>
      </c>
      <c r="AI85" s="3">
        <f>IFERROR(__xludf.DUMMYFUNCTION("""COMPUTED_VALUE"""),0.0)</f>
        <v>0</v>
      </c>
      <c r="AJ85" s="3">
        <f>IFERROR(__xludf.DUMMYFUNCTION("""COMPUTED_VALUE"""),0.0)</f>
        <v>0</v>
      </c>
      <c r="AK85" s="3">
        <f>IFERROR(__xludf.DUMMYFUNCTION("""COMPUTED_VALUE"""),0.0)</f>
        <v>0</v>
      </c>
      <c r="AL85" s="3">
        <f>IFERROR(__xludf.DUMMYFUNCTION("""COMPUTED_VALUE"""),0.0)</f>
        <v>0</v>
      </c>
      <c r="AM85" s="3">
        <f>IFERROR(__xludf.DUMMYFUNCTION("""COMPUTED_VALUE"""),0.0)</f>
        <v>0</v>
      </c>
      <c r="AN85" s="3">
        <f>IFERROR(__xludf.DUMMYFUNCTION("""COMPUTED_VALUE"""),0.0)</f>
        <v>0</v>
      </c>
      <c r="AO85" s="3">
        <f>IFERROR(__xludf.DUMMYFUNCTION("""COMPUTED_VALUE"""),0.0)</f>
        <v>0</v>
      </c>
      <c r="AP85" s="3">
        <f>IFERROR(__xludf.DUMMYFUNCTION("""COMPUTED_VALUE"""),0.0)</f>
        <v>0</v>
      </c>
      <c r="AQ85" s="3">
        <f>IFERROR(__xludf.DUMMYFUNCTION("""COMPUTED_VALUE"""),0.0)</f>
        <v>0</v>
      </c>
      <c r="AR85" s="3">
        <f>IFERROR(__xludf.DUMMYFUNCTION("""COMPUTED_VALUE"""),0.0)</f>
        <v>0</v>
      </c>
      <c r="AS85" s="3">
        <f>IFERROR(__xludf.DUMMYFUNCTION("""COMPUTED_VALUE"""),0.0)</f>
        <v>0</v>
      </c>
      <c r="AT85" s="3">
        <f>IFERROR(__xludf.DUMMYFUNCTION("""COMPUTED_VALUE"""),0.0)</f>
        <v>0</v>
      </c>
      <c r="AU85" s="3">
        <f>IFERROR(__xludf.DUMMYFUNCTION("""COMPUTED_VALUE"""),0.0)</f>
        <v>0</v>
      </c>
      <c r="AV85" s="3">
        <f>IFERROR(__xludf.DUMMYFUNCTION("""COMPUTED_VALUE"""),0.0)</f>
        <v>0</v>
      </c>
      <c r="AW85" s="3">
        <f>IFERROR(__xludf.DUMMYFUNCTION("""COMPUTED_VALUE"""),0.0)</f>
        <v>0</v>
      </c>
      <c r="AX85" s="3">
        <f>IFERROR(__xludf.DUMMYFUNCTION("""COMPUTED_VALUE"""),0.0)</f>
        <v>0</v>
      </c>
      <c r="AY85" s="3">
        <f>IFERROR(__xludf.DUMMYFUNCTION("""COMPUTED_VALUE"""),0.0)</f>
        <v>0</v>
      </c>
      <c r="AZ85" s="3">
        <f>IFERROR(__xludf.DUMMYFUNCTION("""COMPUTED_VALUE"""),0.0)</f>
        <v>0</v>
      </c>
      <c r="BA85" s="3">
        <f>IFERROR(__xludf.DUMMYFUNCTION("""COMPUTED_VALUE"""),0.0)</f>
        <v>0</v>
      </c>
      <c r="BB85" s="3">
        <f>IFERROR(__xludf.DUMMYFUNCTION("""COMPUTED_VALUE"""),0.0)</f>
        <v>0</v>
      </c>
      <c r="BC85" s="3">
        <f>IFERROR(__xludf.DUMMYFUNCTION("""COMPUTED_VALUE"""),0.0)</f>
        <v>0</v>
      </c>
      <c r="BD85" s="3">
        <f>IFERROR(__xludf.DUMMYFUNCTION("""COMPUTED_VALUE"""),0.0)</f>
        <v>0</v>
      </c>
      <c r="BE85" s="3">
        <f>IFERROR(__xludf.DUMMYFUNCTION("""COMPUTED_VALUE"""),0.0)</f>
        <v>0</v>
      </c>
      <c r="BF85" s="3">
        <f>IFERROR(__xludf.DUMMYFUNCTION("""COMPUTED_VALUE"""),1.0)</f>
        <v>1</v>
      </c>
      <c r="BG85" s="3">
        <f>IFERROR(__xludf.DUMMYFUNCTION("""COMPUTED_VALUE"""),1.0)</f>
        <v>1</v>
      </c>
      <c r="BH85" s="3">
        <f>IFERROR(__xludf.DUMMYFUNCTION("""COMPUTED_VALUE"""),1.0)</f>
        <v>1</v>
      </c>
      <c r="BI85" s="3">
        <f>IFERROR(__xludf.DUMMYFUNCTION("""COMPUTED_VALUE"""),1.0)</f>
        <v>1</v>
      </c>
      <c r="BJ85" s="3">
        <f>IFERROR(__xludf.DUMMYFUNCTION("""COMPUTED_VALUE"""),3.0)</f>
        <v>3</v>
      </c>
      <c r="BK85" s="3">
        <f>IFERROR(__xludf.DUMMYFUNCTION("""COMPUTED_VALUE"""),3.0)</f>
        <v>3</v>
      </c>
      <c r="BL85" s="3">
        <f>IFERROR(__xludf.DUMMYFUNCTION("""COMPUTED_VALUE"""),3.0)</f>
        <v>3</v>
      </c>
      <c r="BM85" s="3">
        <f>IFERROR(__xludf.DUMMYFUNCTION("""COMPUTED_VALUE"""),3.0)</f>
        <v>3</v>
      </c>
      <c r="BN85" s="3">
        <f>IFERROR(__xludf.DUMMYFUNCTION("""COMPUTED_VALUE"""),4.0)</f>
        <v>4</v>
      </c>
      <c r="BO85" s="3">
        <f>IFERROR(__xludf.DUMMYFUNCTION("""COMPUTED_VALUE"""),4.0)</f>
        <v>4</v>
      </c>
      <c r="BP85" s="3">
        <f>IFERROR(__xludf.DUMMYFUNCTION("""COMPUTED_VALUE"""),4.0)</f>
        <v>4</v>
      </c>
      <c r="BQ85" s="3">
        <f>IFERROR(__xludf.DUMMYFUNCTION("""COMPUTED_VALUE"""),4.0)</f>
        <v>4</v>
      </c>
      <c r="BR85" s="3">
        <f>IFERROR(__xludf.DUMMYFUNCTION("""COMPUTED_VALUE"""),4.0)</f>
        <v>4</v>
      </c>
      <c r="BS85" s="3">
        <f>IFERROR(__xludf.DUMMYFUNCTION("""COMPUTED_VALUE"""),4.0)</f>
        <v>4</v>
      </c>
      <c r="BT85" s="3">
        <f>IFERROR(__xludf.DUMMYFUNCTION("""COMPUTED_VALUE"""),19.0)</f>
        <v>19</v>
      </c>
      <c r="BU85" s="3">
        <f>IFERROR(__xludf.DUMMYFUNCTION("""COMPUTED_VALUE"""),19.0)</f>
        <v>19</v>
      </c>
      <c r="BV85" s="3">
        <f>IFERROR(__xludf.DUMMYFUNCTION("""COMPUTED_VALUE"""),19.0)</f>
        <v>19</v>
      </c>
      <c r="BW85" s="3">
        <f>IFERROR(__xludf.DUMMYFUNCTION("""COMPUTED_VALUE"""),19.0)</f>
        <v>19</v>
      </c>
      <c r="BX85" s="3">
        <f>IFERROR(__xludf.DUMMYFUNCTION("""COMPUTED_VALUE"""),22.0)</f>
        <v>22</v>
      </c>
      <c r="BY85" s="3">
        <f>IFERROR(__xludf.DUMMYFUNCTION("""COMPUTED_VALUE"""),22.0)</f>
        <v>22</v>
      </c>
      <c r="BZ85" s="3">
        <f>IFERROR(__xludf.DUMMYFUNCTION("""COMPUTED_VALUE"""),22.0)</f>
        <v>22</v>
      </c>
      <c r="CA85" s="3">
        <f>IFERROR(__xludf.DUMMYFUNCTION("""COMPUTED_VALUE"""),45.0)</f>
        <v>45</v>
      </c>
      <c r="CB85" s="3">
        <f>IFERROR(__xludf.DUMMYFUNCTION("""COMPUTED_VALUE"""),45.0)</f>
        <v>45</v>
      </c>
    </row>
    <row r="86">
      <c r="A86" s="3" t="str">
        <f>IFERROR(__xludf.DUMMYFUNCTION("""COMPUTED_VALUE"""),"")</f>
        <v/>
      </c>
      <c r="B86" s="3" t="str">
        <f>IFERROR(__xludf.DUMMYFUNCTION("""COMPUTED_VALUE"""),"Congo (Kinshasa)")</f>
        <v>Congo (Kinshasa)</v>
      </c>
      <c r="C86" s="3">
        <f>IFERROR(__xludf.DUMMYFUNCTION("""COMPUTED_VALUE"""),-4.0383)</f>
        <v>-4.0383</v>
      </c>
      <c r="D86" s="3">
        <f>IFERROR(__xludf.DUMMYFUNCTION("""COMPUTED_VALUE"""),21.7587)</f>
        <v>21.7587</v>
      </c>
      <c r="E86" s="3">
        <f>IFERROR(__xludf.DUMMYFUNCTION("""COMPUTED_VALUE"""),0.0)</f>
        <v>0</v>
      </c>
      <c r="F86" s="3">
        <f>IFERROR(__xludf.DUMMYFUNCTION("""COMPUTED_VALUE"""),0.0)</f>
        <v>0</v>
      </c>
      <c r="G86" s="3">
        <f>IFERROR(__xludf.DUMMYFUNCTION("""COMPUTED_VALUE"""),0.0)</f>
        <v>0</v>
      </c>
      <c r="H86" s="3">
        <f>IFERROR(__xludf.DUMMYFUNCTION("""COMPUTED_VALUE"""),0.0)</f>
        <v>0</v>
      </c>
      <c r="I86" s="3">
        <f>IFERROR(__xludf.DUMMYFUNCTION("""COMPUTED_VALUE"""),0.0)</f>
        <v>0</v>
      </c>
      <c r="J86" s="3">
        <f>IFERROR(__xludf.DUMMYFUNCTION("""COMPUTED_VALUE"""),0.0)</f>
        <v>0</v>
      </c>
      <c r="K86" s="3">
        <f>IFERROR(__xludf.DUMMYFUNCTION("""COMPUTED_VALUE"""),0.0)</f>
        <v>0</v>
      </c>
      <c r="L86" s="3">
        <f>IFERROR(__xludf.DUMMYFUNCTION("""COMPUTED_VALUE"""),0.0)</f>
        <v>0</v>
      </c>
      <c r="M86" s="3">
        <f>IFERROR(__xludf.DUMMYFUNCTION("""COMPUTED_VALUE"""),0.0)</f>
        <v>0</v>
      </c>
      <c r="N86" s="3">
        <f>IFERROR(__xludf.DUMMYFUNCTION("""COMPUTED_VALUE"""),0.0)</f>
        <v>0</v>
      </c>
      <c r="O86" s="3">
        <f>IFERROR(__xludf.DUMMYFUNCTION("""COMPUTED_VALUE"""),0.0)</f>
        <v>0</v>
      </c>
      <c r="P86" s="3">
        <f>IFERROR(__xludf.DUMMYFUNCTION("""COMPUTED_VALUE"""),0.0)</f>
        <v>0</v>
      </c>
      <c r="Q86" s="3">
        <f>IFERROR(__xludf.DUMMYFUNCTION("""COMPUTED_VALUE"""),0.0)</f>
        <v>0</v>
      </c>
      <c r="R86" s="3">
        <f>IFERROR(__xludf.DUMMYFUNCTION("""COMPUTED_VALUE"""),0.0)</f>
        <v>0</v>
      </c>
      <c r="S86" s="3">
        <f>IFERROR(__xludf.DUMMYFUNCTION("""COMPUTED_VALUE"""),0.0)</f>
        <v>0</v>
      </c>
      <c r="T86" s="3">
        <f>IFERROR(__xludf.DUMMYFUNCTION("""COMPUTED_VALUE"""),0.0)</f>
        <v>0</v>
      </c>
      <c r="U86" s="3">
        <f>IFERROR(__xludf.DUMMYFUNCTION("""COMPUTED_VALUE"""),0.0)</f>
        <v>0</v>
      </c>
      <c r="V86" s="3">
        <f>IFERROR(__xludf.DUMMYFUNCTION("""COMPUTED_VALUE"""),0.0)</f>
        <v>0</v>
      </c>
      <c r="W86" s="3">
        <f>IFERROR(__xludf.DUMMYFUNCTION("""COMPUTED_VALUE"""),0.0)</f>
        <v>0</v>
      </c>
      <c r="X86" s="3">
        <f>IFERROR(__xludf.DUMMYFUNCTION("""COMPUTED_VALUE"""),0.0)</f>
        <v>0</v>
      </c>
      <c r="Y86" s="3">
        <f>IFERROR(__xludf.DUMMYFUNCTION("""COMPUTED_VALUE"""),0.0)</f>
        <v>0</v>
      </c>
      <c r="Z86" s="3">
        <f>IFERROR(__xludf.DUMMYFUNCTION("""COMPUTED_VALUE"""),0.0)</f>
        <v>0</v>
      </c>
      <c r="AA86" s="3">
        <f>IFERROR(__xludf.DUMMYFUNCTION("""COMPUTED_VALUE"""),0.0)</f>
        <v>0</v>
      </c>
      <c r="AB86" s="3">
        <f>IFERROR(__xludf.DUMMYFUNCTION("""COMPUTED_VALUE"""),0.0)</f>
        <v>0</v>
      </c>
      <c r="AC86" s="3">
        <f>IFERROR(__xludf.DUMMYFUNCTION("""COMPUTED_VALUE"""),0.0)</f>
        <v>0</v>
      </c>
      <c r="AD86" s="3">
        <f>IFERROR(__xludf.DUMMYFUNCTION("""COMPUTED_VALUE"""),0.0)</f>
        <v>0</v>
      </c>
      <c r="AE86" s="3">
        <f>IFERROR(__xludf.DUMMYFUNCTION("""COMPUTED_VALUE"""),0.0)</f>
        <v>0</v>
      </c>
      <c r="AF86" s="3">
        <f>IFERROR(__xludf.DUMMYFUNCTION("""COMPUTED_VALUE"""),0.0)</f>
        <v>0</v>
      </c>
      <c r="AG86" s="3">
        <f>IFERROR(__xludf.DUMMYFUNCTION("""COMPUTED_VALUE"""),0.0)</f>
        <v>0</v>
      </c>
      <c r="AH86" s="3">
        <f>IFERROR(__xludf.DUMMYFUNCTION("""COMPUTED_VALUE"""),0.0)</f>
        <v>0</v>
      </c>
      <c r="AI86" s="3">
        <f>IFERROR(__xludf.DUMMYFUNCTION("""COMPUTED_VALUE"""),0.0)</f>
        <v>0</v>
      </c>
      <c r="AJ86" s="3">
        <f>IFERROR(__xludf.DUMMYFUNCTION("""COMPUTED_VALUE"""),0.0)</f>
        <v>0</v>
      </c>
      <c r="AK86" s="3">
        <f>IFERROR(__xludf.DUMMYFUNCTION("""COMPUTED_VALUE"""),0.0)</f>
        <v>0</v>
      </c>
      <c r="AL86" s="3">
        <f>IFERROR(__xludf.DUMMYFUNCTION("""COMPUTED_VALUE"""),0.0)</f>
        <v>0</v>
      </c>
      <c r="AM86" s="3">
        <f>IFERROR(__xludf.DUMMYFUNCTION("""COMPUTED_VALUE"""),0.0)</f>
        <v>0</v>
      </c>
      <c r="AN86" s="3">
        <f>IFERROR(__xludf.DUMMYFUNCTION("""COMPUTED_VALUE"""),0.0)</f>
        <v>0</v>
      </c>
      <c r="AO86" s="3">
        <f>IFERROR(__xludf.DUMMYFUNCTION("""COMPUTED_VALUE"""),0.0)</f>
        <v>0</v>
      </c>
      <c r="AP86" s="3">
        <f>IFERROR(__xludf.DUMMYFUNCTION("""COMPUTED_VALUE"""),0.0)</f>
        <v>0</v>
      </c>
      <c r="AQ86" s="3">
        <f>IFERROR(__xludf.DUMMYFUNCTION("""COMPUTED_VALUE"""),0.0)</f>
        <v>0</v>
      </c>
      <c r="AR86" s="3">
        <f>IFERROR(__xludf.DUMMYFUNCTION("""COMPUTED_VALUE"""),0.0)</f>
        <v>0</v>
      </c>
      <c r="AS86" s="3">
        <f>IFERROR(__xludf.DUMMYFUNCTION("""COMPUTED_VALUE"""),0.0)</f>
        <v>0</v>
      </c>
      <c r="AT86" s="3">
        <f>IFERROR(__xludf.DUMMYFUNCTION("""COMPUTED_VALUE"""),0.0)</f>
        <v>0</v>
      </c>
      <c r="AU86" s="3">
        <f>IFERROR(__xludf.DUMMYFUNCTION("""COMPUTED_VALUE"""),0.0)</f>
        <v>0</v>
      </c>
      <c r="AV86" s="3">
        <f>IFERROR(__xludf.DUMMYFUNCTION("""COMPUTED_VALUE"""),0.0)</f>
        <v>0</v>
      </c>
      <c r="AW86" s="3">
        <f>IFERROR(__xludf.DUMMYFUNCTION("""COMPUTED_VALUE"""),0.0)</f>
        <v>0</v>
      </c>
      <c r="AX86" s="3">
        <f>IFERROR(__xludf.DUMMYFUNCTION("""COMPUTED_VALUE"""),0.0)</f>
        <v>0</v>
      </c>
      <c r="AY86" s="3">
        <f>IFERROR(__xludf.DUMMYFUNCTION("""COMPUTED_VALUE"""),0.0)</f>
        <v>0</v>
      </c>
      <c r="AZ86" s="3">
        <f>IFERROR(__xludf.DUMMYFUNCTION("""COMPUTED_VALUE"""),0.0)</f>
        <v>0</v>
      </c>
      <c r="BA86" s="3">
        <f>IFERROR(__xludf.DUMMYFUNCTION("""COMPUTED_VALUE"""),0.0)</f>
        <v>0</v>
      </c>
      <c r="BB86" s="3">
        <f>IFERROR(__xludf.DUMMYFUNCTION("""COMPUTED_VALUE"""),1.0)</f>
        <v>1</v>
      </c>
      <c r="BC86" s="3">
        <f>IFERROR(__xludf.DUMMYFUNCTION("""COMPUTED_VALUE"""),1.0)</f>
        <v>1</v>
      </c>
      <c r="BD86" s="3">
        <f>IFERROR(__xludf.DUMMYFUNCTION("""COMPUTED_VALUE"""),2.0)</f>
        <v>2</v>
      </c>
      <c r="BE86" s="3">
        <f>IFERROR(__xludf.DUMMYFUNCTION("""COMPUTED_VALUE"""),2.0)</f>
        <v>2</v>
      </c>
      <c r="BF86" s="3">
        <f>IFERROR(__xludf.DUMMYFUNCTION("""COMPUTED_VALUE"""),2.0)</f>
        <v>2</v>
      </c>
      <c r="BG86" s="3">
        <f>IFERROR(__xludf.DUMMYFUNCTION("""COMPUTED_VALUE"""),2.0)</f>
        <v>2</v>
      </c>
      <c r="BH86" s="3">
        <f>IFERROR(__xludf.DUMMYFUNCTION("""COMPUTED_VALUE"""),3.0)</f>
        <v>3</v>
      </c>
      <c r="BI86" s="3">
        <f>IFERROR(__xludf.DUMMYFUNCTION("""COMPUTED_VALUE"""),4.0)</f>
        <v>4</v>
      </c>
      <c r="BJ86" s="3">
        <f>IFERROR(__xludf.DUMMYFUNCTION("""COMPUTED_VALUE"""),14.0)</f>
        <v>14</v>
      </c>
      <c r="BK86" s="3">
        <f>IFERROR(__xludf.DUMMYFUNCTION("""COMPUTED_VALUE"""),18.0)</f>
        <v>18</v>
      </c>
      <c r="BL86" s="3">
        <f>IFERROR(__xludf.DUMMYFUNCTION("""COMPUTED_VALUE"""),23.0)</f>
        <v>23</v>
      </c>
      <c r="BM86" s="3">
        <f>IFERROR(__xludf.DUMMYFUNCTION("""COMPUTED_VALUE"""),30.0)</f>
        <v>30</v>
      </c>
      <c r="BN86" s="3">
        <f>IFERROR(__xludf.DUMMYFUNCTION("""COMPUTED_VALUE"""),36.0)</f>
        <v>36</v>
      </c>
      <c r="BO86" s="3">
        <f>IFERROR(__xludf.DUMMYFUNCTION("""COMPUTED_VALUE"""),45.0)</f>
        <v>45</v>
      </c>
      <c r="BP86" s="3">
        <f>IFERROR(__xludf.DUMMYFUNCTION("""COMPUTED_VALUE"""),48.0)</f>
        <v>48</v>
      </c>
      <c r="BQ86" s="3">
        <f>IFERROR(__xludf.DUMMYFUNCTION("""COMPUTED_VALUE"""),51.0)</f>
        <v>51</v>
      </c>
      <c r="BR86" s="3">
        <f>IFERROR(__xludf.DUMMYFUNCTION("""COMPUTED_VALUE"""),51.0)</f>
        <v>51</v>
      </c>
      <c r="BS86" s="3">
        <f>IFERROR(__xludf.DUMMYFUNCTION("""COMPUTED_VALUE"""),65.0)</f>
        <v>65</v>
      </c>
      <c r="BT86" s="3">
        <f>IFERROR(__xludf.DUMMYFUNCTION("""COMPUTED_VALUE"""),65.0)</f>
        <v>65</v>
      </c>
      <c r="BU86" s="3">
        <f>IFERROR(__xludf.DUMMYFUNCTION("""COMPUTED_VALUE"""),81.0)</f>
        <v>81</v>
      </c>
      <c r="BV86" s="3">
        <f>IFERROR(__xludf.DUMMYFUNCTION("""COMPUTED_VALUE"""),98.0)</f>
        <v>98</v>
      </c>
      <c r="BW86" s="3">
        <f>IFERROR(__xludf.DUMMYFUNCTION("""COMPUTED_VALUE"""),109.0)</f>
        <v>109</v>
      </c>
      <c r="BX86" s="3">
        <f>IFERROR(__xludf.DUMMYFUNCTION("""COMPUTED_VALUE"""),134.0)</f>
        <v>134</v>
      </c>
      <c r="BY86" s="3">
        <f>IFERROR(__xludf.DUMMYFUNCTION("""COMPUTED_VALUE"""),134.0)</f>
        <v>134</v>
      </c>
      <c r="BZ86" s="3">
        <f>IFERROR(__xludf.DUMMYFUNCTION("""COMPUTED_VALUE"""),154.0)</f>
        <v>154</v>
      </c>
      <c r="CA86" s="3">
        <f>IFERROR(__xludf.DUMMYFUNCTION("""COMPUTED_VALUE"""),154.0)</f>
        <v>154</v>
      </c>
      <c r="CB86" s="3">
        <f>IFERROR(__xludf.DUMMYFUNCTION("""COMPUTED_VALUE"""),161.0)</f>
        <v>161</v>
      </c>
    </row>
    <row r="87">
      <c r="A87" s="3" t="str">
        <f>IFERROR(__xludf.DUMMYFUNCTION("""COMPUTED_VALUE"""),"")</f>
        <v/>
      </c>
      <c r="B87" s="3" t="str">
        <f>IFERROR(__xludf.DUMMYFUNCTION("""COMPUTED_VALUE"""),"Costa Rica")</f>
        <v>Costa Rica</v>
      </c>
      <c r="C87" s="3">
        <f>IFERROR(__xludf.DUMMYFUNCTION("""COMPUTED_VALUE"""),9.7489)</f>
        <v>9.7489</v>
      </c>
      <c r="D87" s="3">
        <f>IFERROR(__xludf.DUMMYFUNCTION("""COMPUTED_VALUE"""),-83.7534)</f>
        <v>-83.7534</v>
      </c>
      <c r="E87" s="3">
        <f>IFERROR(__xludf.DUMMYFUNCTION("""COMPUTED_VALUE"""),0.0)</f>
        <v>0</v>
      </c>
      <c r="F87" s="3">
        <f>IFERROR(__xludf.DUMMYFUNCTION("""COMPUTED_VALUE"""),0.0)</f>
        <v>0</v>
      </c>
      <c r="G87" s="3">
        <f>IFERROR(__xludf.DUMMYFUNCTION("""COMPUTED_VALUE"""),0.0)</f>
        <v>0</v>
      </c>
      <c r="H87" s="3">
        <f>IFERROR(__xludf.DUMMYFUNCTION("""COMPUTED_VALUE"""),0.0)</f>
        <v>0</v>
      </c>
      <c r="I87" s="3">
        <f>IFERROR(__xludf.DUMMYFUNCTION("""COMPUTED_VALUE"""),0.0)</f>
        <v>0</v>
      </c>
      <c r="J87" s="3">
        <f>IFERROR(__xludf.DUMMYFUNCTION("""COMPUTED_VALUE"""),0.0)</f>
        <v>0</v>
      </c>
      <c r="K87" s="3">
        <f>IFERROR(__xludf.DUMMYFUNCTION("""COMPUTED_VALUE"""),0.0)</f>
        <v>0</v>
      </c>
      <c r="L87" s="3">
        <f>IFERROR(__xludf.DUMMYFUNCTION("""COMPUTED_VALUE"""),0.0)</f>
        <v>0</v>
      </c>
      <c r="M87" s="3">
        <f>IFERROR(__xludf.DUMMYFUNCTION("""COMPUTED_VALUE"""),0.0)</f>
        <v>0</v>
      </c>
      <c r="N87" s="3">
        <f>IFERROR(__xludf.DUMMYFUNCTION("""COMPUTED_VALUE"""),0.0)</f>
        <v>0</v>
      </c>
      <c r="O87" s="3">
        <f>IFERROR(__xludf.DUMMYFUNCTION("""COMPUTED_VALUE"""),0.0)</f>
        <v>0</v>
      </c>
      <c r="P87" s="3">
        <f>IFERROR(__xludf.DUMMYFUNCTION("""COMPUTED_VALUE"""),0.0)</f>
        <v>0</v>
      </c>
      <c r="Q87" s="3">
        <f>IFERROR(__xludf.DUMMYFUNCTION("""COMPUTED_VALUE"""),0.0)</f>
        <v>0</v>
      </c>
      <c r="R87" s="3">
        <f>IFERROR(__xludf.DUMMYFUNCTION("""COMPUTED_VALUE"""),0.0)</f>
        <v>0</v>
      </c>
      <c r="S87" s="3">
        <f>IFERROR(__xludf.DUMMYFUNCTION("""COMPUTED_VALUE"""),0.0)</f>
        <v>0</v>
      </c>
      <c r="T87" s="3">
        <f>IFERROR(__xludf.DUMMYFUNCTION("""COMPUTED_VALUE"""),0.0)</f>
        <v>0</v>
      </c>
      <c r="U87" s="3">
        <f>IFERROR(__xludf.DUMMYFUNCTION("""COMPUTED_VALUE"""),0.0)</f>
        <v>0</v>
      </c>
      <c r="V87" s="3">
        <f>IFERROR(__xludf.DUMMYFUNCTION("""COMPUTED_VALUE"""),0.0)</f>
        <v>0</v>
      </c>
      <c r="W87" s="3">
        <f>IFERROR(__xludf.DUMMYFUNCTION("""COMPUTED_VALUE"""),0.0)</f>
        <v>0</v>
      </c>
      <c r="X87" s="3">
        <f>IFERROR(__xludf.DUMMYFUNCTION("""COMPUTED_VALUE"""),0.0)</f>
        <v>0</v>
      </c>
      <c r="Y87" s="3">
        <f>IFERROR(__xludf.DUMMYFUNCTION("""COMPUTED_VALUE"""),0.0)</f>
        <v>0</v>
      </c>
      <c r="Z87" s="3">
        <f>IFERROR(__xludf.DUMMYFUNCTION("""COMPUTED_VALUE"""),0.0)</f>
        <v>0</v>
      </c>
      <c r="AA87" s="3">
        <f>IFERROR(__xludf.DUMMYFUNCTION("""COMPUTED_VALUE"""),0.0)</f>
        <v>0</v>
      </c>
      <c r="AB87" s="3">
        <f>IFERROR(__xludf.DUMMYFUNCTION("""COMPUTED_VALUE"""),0.0)</f>
        <v>0</v>
      </c>
      <c r="AC87" s="3">
        <f>IFERROR(__xludf.DUMMYFUNCTION("""COMPUTED_VALUE"""),0.0)</f>
        <v>0</v>
      </c>
      <c r="AD87" s="3">
        <f>IFERROR(__xludf.DUMMYFUNCTION("""COMPUTED_VALUE"""),0.0)</f>
        <v>0</v>
      </c>
      <c r="AE87" s="3">
        <f>IFERROR(__xludf.DUMMYFUNCTION("""COMPUTED_VALUE"""),0.0)</f>
        <v>0</v>
      </c>
      <c r="AF87" s="3">
        <f>IFERROR(__xludf.DUMMYFUNCTION("""COMPUTED_VALUE"""),0.0)</f>
        <v>0</v>
      </c>
      <c r="AG87" s="3">
        <f>IFERROR(__xludf.DUMMYFUNCTION("""COMPUTED_VALUE"""),0.0)</f>
        <v>0</v>
      </c>
      <c r="AH87" s="3">
        <f>IFERROR(__xludf.DUMMYFUNCTION("""COMPUTED_VALUE"""),0.0)</f>
        <v>0</v>
      </c>
      <c r="AI87" s="3">
        <f>IFERROR(__xludf.DUMMYFUNCTION("""COMPUTED_VALUE"""),0.0)</f>
        <v>0</v>
      </c>
      <c r="AJ87" s="3">
        <f>IFERROR(__xludf.DUMMYFUNCTION("""COMPUTED_VALUE"""),0.0)</f>
        <v>0</v>
      </c>
      <c r="AK87" s="3">
        <f>IFERROR(__xludf.DUMMYFUNCTION("""COMPUTED_VALUE"""),0.0)</f>
        <v>0</v>
      </c>
      <c r="AL87" s="3">
        <f>IFERROR(__xludf.DUMMYFUNCTION("""COMPUTED_VALUE"""),0.0)</f>
        <v>0</v>
      </c>
      <c r="AM87" s="3">
        <f>IFERROR(__xludf.DUMMYFUNCTION("""COMPUTED_VALUE"""),0.0)</f>
        <v>0</v>
      </c>
      <c r="AN87" s="3">
        <f>IFERROR(__xludf.DUMMYFUNCTION("""COMPUTED_VALUE"""),0.0)</f>
        <v>0</v>
      </c>
      <c r="AO87" s="3">
        <f>IFERROR(__xludf.DUMMYFUNCTION("""COMPUTED_VALUE"""),0.0)</f>
        <v>0</v>
      </c>
      <c r="AP87" s="3">
        <f>IFERROR(__xludf.DUMMYFUNCTION("""COMPUTED_VALUE"""),0.0)</f>
        <v>0</v>
      </c>
      <c r="AQ87" s="3">
        <f>IFERROR(__xludf.DUMMYFUNCTION("""COMPUTED_VALUE"""),0.0)</f>
        <v>0</v>
      </c>
      <c r="AR87" s="3">
        <f>IFERROR(__xludf.DUMMYFUNCTION("""COMPUTED_VALUE"""),0.0)</f>
        <v>0</v>
      </c>
      <c r="AS87" s="3">
        <f>IFERROR(__xludf.DUMMYFUNCTION("""COMPUTED_VALUE"""),0.0)</f>
        <v>0</v>
      </c>
      <c r="AT87" s="3">
        <f>IFERROR(__xludf.DUMMYFUNCTION("""COMPUTED_VALUE"""),0.0)</f>
        <v>0</v>
      </c>
      <c r="AU87" s="3">
        <f>IFERROR(__xludf.DUMMYFUNCTION("""COMPUTED_VALUE"""),0.0)</f>
        <v>0</v>
      </c>
      <c r="AV87" s="3">
        <f>IFERROR(__xludf.DUMMYFUNCTION("""COMPUTED_VALUE"""),0.0)</f>
        <v>0</v>
      </c>
      <c r="AW87" s="3">
        <f>IFERROR(__xludf.DUMMYFUNCTION("""COMPUTED_VALUE"""),1.0)</f>
        <v>1</v>
      </c>
      <c r="AX87" s="3">
        <f>IFERROR(__xludf.DUMMYFUNCTION("""COMPUTED_VALUE"""),1.0)</f>
        <v>1</v>
      </c>
      <c r="AY87" s="3">
        <f>IFERROR(__xludf.DUMMYFUNCTION("""COMPUTED_VALUE"""),5.0)</f>
        <v>5</v>
      </c>
      <c r="AZ87" s="3">
        <f>IFERROR(__xludf.DUMMYFUNCTION("""COMPUTED_VALUE"""),9.0)</f>
        <v>9</v>
      </c>
      <c r="BA87" s="3">
        <f>IFERROR(__xludf.DUMMYFUNCTION("""COMPUTED_VALUE"""),9.0)</f>
        <v>9</v>
      </c>
      <c r="BB87" s="3">
        <f>IFERROR(__xludf.DUMMYFUNCTION("""COMPUTED_VALUE"""),13.0)</f>
        <v>13</v>
      </c>
      <c r="BC87" s="3">
        <f>IFERROR(__xludf.DUMMYFUNCTION("""COMPUTED_VALUE"""),22.0)</f>
        <v>22</v>
      </c>
      <c r="BD87" s="3">
        <f>IFERROR(__xludf.DUMMYFUNCTION("""COMPUTED_VALUE"""),23.0)</f>
        <v>23</v>
      </c>
      <c r="BE87" s="3">
        <f>IFERROR(__xludf.DUMMYFUNCTION("""COMPUTED_VALUE"""),26.0)</f>
        <v>26</v>
      </c>
      <c r="BF87" s="3">
        <f>IFERROR(__xludf.DUMMYFUNCTION("""COMPUTED_VALUE"""),27.0)</f>
        <v>27</v>
      </c>
      <c r="BG87" s="3">
        <f>IFERROR(__xludf.DUMMYFUNCTION("""COMPUTED_VALUE"""),35.0)</f>
        <v>35</v>
      </c>
      <c r="BH87" s="3">
        <f>IFERROR(__xludf.DUMMYFUNCTION("""COMPUTED_VALUE"""),41.0)</f>
        <v>41</v>
      </c>
      <c r="BI87" s="3">
        <f>IFERROR(__xludf.DUMMYFUNCTION("""COMPUTED_VALUE"""),50.0)</f>
        <v>50</v>
      </c>
      <c r="BJ87" s="3">
        <f>IFERROR(__xludf.DUMMYFUNCTION("""COMPUTED_VALUE"""),69.0)</f>
        <v>69</v>
      </c>
      <c r="BK87" s="3">
        <f>IFERROR(__xludf.DUMMYFUNCTION("""COMPUTED_VALUE"""),89.0)</f>
        <v>89</v>
      </c>
      <c r="BL87" s="3">
        <f>IFERROR(__xludf.DUMMYFUNCTION("""COMPUTED_VALUE"""),117.0)</f>
        <v>117</v>
      </c>
      <c r="BM87" s="3">
        <f>IFERROR(__xludf.DUMMYFUNCTION("""COMPUTED_VALUE"""),134.0)</f>
        <v>134</v>
      </c>
      <c r="BN87" s="3">
        <f>IFERROR(__xludf.DUMMYFUNCTION("""COMPUTED_VALUE"""),158.0)</f>
        <v>158</v>
      </c>
      <c r="BO87" s="3">
        <f>IFERROR(__xludf.DUMMYFUNCTION("""COMPUTED_VALUE"""),177.0)</f>
        <v>177</v>
      </c>
      <c r="BP87" s="3">
        <f>IFERROR(__xludf.DUMMYFUNCTION("""COMPUTED_VALUE"""),201.0)</f>
        <v>201</v>
      </c>
      <c r="BQ87" s="3">
        <f>IFERROR(__xludf.DUMMYFUNCTION("""COMPUTED_VALUE"""),231.0)</f>
        <v>231</v>
      </c>
      <c r="BR87" s="3">
        <f>IFERROR(__xludf.DUMMYFUNCTION("""COMPUTED_VALUE"""),263.0)</f>
        <v>263</v>
      </c>
      <c r="BS87" s="3">
        <f>IFERROR(__xludf.DUMMYFUNCTION("""COMPUTED_VALUE"""),295.0)</f>
        <v>295</v>
      </c>
      <c r="BT87" s="3">
        <f>IFERROR(__xludf.DUMMYFUNCTION("""COMPUTED_VALUE"""),314.0)</f>
        <v>314</v>
      </c>
      <c r="BU87" s="3">
        <f>IFERROR(__xludf.DUMMYFUNCTION("""COMPUTED_VALUE"""),330.0)</f>
        <v>330</v>
      </c>
      <c r="BV87" s="3">
        <f>IFERROR(__xludf.DUMMYFUNCTION("""COMPUTED_VALUE"""),347.0)</f>
        <v>347</v>
      </c>
      <c r="BW87" s="3">
        <f>IFERROR(__xludf.DUMMYFUNCTION("""COMPUTED_VALUE"""),375.0)</f>
        <v>375</v>
      </c>
      <c r="BX87" s="3">
        <f>IFERROR(__xludf.DUMMYFUNCTION("""COMPUTED_VALUE"""),396.0)</f>
        <v>396</v>
      </c>
      <c r="BY87" s="3">
        <f>IFERROR(__xludf.DUMMYFUNCTION("""COMPUTED_VALUE"""),416.0)</f>
        <v>416</v>
      </c>
      <c r="BZ87" s="3">
        <f>IFERROR(__xludf.DUMMYFUNCTION("""COMPUTED_VALUE"""),435.0)</f>
        <v>435</v>
      </c>
      <c r="CA87" s="3">
        <f>IFERROR(__xludf.DUMMYFUNCTION("""COMPUTED_VALUE"""),454.0)</f>
        <v>454</v>
      </c>
      <c r="CB87" s="3">
        <f>IFERROR(__xludf.DUMMYFUNCTION("""COMPUTED_VALUE"""),467.0)</f>
        <v>467</v>
      </c>
    </row>
    <row r="88">
      <c r="A88" s="3" t="str">
        <f>IFERROR(__xludf.DUMMYFUNCTION("""COMPUTED_VALUE"""),"")</f>
        <v/>
      </c>
      <c r="B88" s="3" t="str">
        <f>IFERROR(__xludf.DUMMYFUNCTION("""COMPUTED_VALUE"""),"Cote d'Ivoire")</f>
        <v>Cote d'Ivoire</v>
      </c>
      <c r="C88" s="3">
        <f>IFERROR(__xludf.DUMMYFUNCTION("""COMPUTED_VALUE"""),7.54)</f>
        <v>7.54</v>
      </c>
      <c r="D88" s="3">
        <f>IFERROR(__xludf.DUMMYFUNCTION("""COMPUTED_VALUE"""),-5.5471)</f>
        <v>-5.5471</v>
      </c>
      <c r="E88" s="3">
        <f>IFERROR(__xludf.DUMMYFUNCTION("""COMPUTED_VALUE"""),0.0)</f>
        <v>0</v>
      </c>
      <c r="F88" s="3">
        <f>IFERROR(__xludf.DUMMYFUNCTION("""COMPUTED_VALUE"""),0.0)</f>
        <v>0</v>
      </c>
      <c r="G88" s="3">
        <f>IFERROR(__xludf.DUMMYFUNCTION("""COMPUTED_VALUE"""),0.0)</f>
        <v>0</v>
      </c>
      <c r="H88" s="3">
        <f>IFERROR(__xludf.DUMMYFUNCTION("""COMPUTED_VALUE"""),0.0)</f>
        <v>0</v>
      </c>
      <c r="I88" s="3">
        <f>IFERROR(__xludf.DUMMYFUNCTION("""COMPUTED_VALUE"""),0.0)</f>
        <v>0</v>
      </c>
      <c r="J88" s="3">
        <f>IFERROR(__xludf.DUMMYFUNCTION("""COMPUTED_VALUE"""),0.0)</f>
        <v>0</v>
      </c>
      <c r="K88" s="3">
        <f>IFERROR(__xludf.DUMMYFUNCTION("""COMPUTED_VALUE"""),0.0)</f>
        <v>0</v>
      </c>
      <c r="L88" s="3">
        <f>IFERROR(__xludf.DUMMYFUNCTION("""COMPUTED_VALUE"""),0.0)</f>
        <v>0</v>
      </c>
      <c r="M88" s="3">
        <f>IFERROR(__xludf.DUMMYFUNCTION("""COMPUTED_VALUE"""),0.0)</f>
        <v>0</v>
      </c>
      <c r="N88" s="3">
        <f>IFERROR(__xludf.DUMMYFUNCTION("""COMPUTED_VALUE"""),0.0)</f>
        <v>0</v>
      </c>
      <c r="O88" s="3">
        <f>IFERROR(__xludf.DUMMYFUNCTION("""COMPUTED_VALUE"""),0.0)</f>
        <v>0</v>
      </c>
      <c r="P88" s="3">
        <f>IFERROR(__xludf.DUMMYFUNCTION("""COMPUTED_VALUE"""),0.0)</f>
        <v>0</v>
      </c>
      <c r="Q88" s="3">
        <f>IFERROR(__xludf.DUMMYFUNCTION("""COMPUTED_VALUE"""),0.0)</f>
        <v>0</v>
      </c>
      <c r="R88" s="3">
        <f>IFERROR(__xludf.DUMMYFUNCTION("""COMPUTED_VALUE"""),0.0)</f>
        <v>0</v>
      </c>
      <c r="S88" s="3">
        <f>IFERROR(__xludf.DUMMYFUNCTION("""COMPUTED_VALUE"""),0.0)</f>
        <v>0</v>
      </c>
      <c r="T88" s="3">
        <f>IFERROR(__xludf.DUMMYFUNCTION("""COMPUTED_VALUE"""),0.0)</f>
        <v>0</v>
      </c>
      <c r="U88" s="3">
        <f>IFERROR(__xludf.DUMMYFUNCTION("""COMPUTED_VALUE"""),0.0)</f>
        <v>0</v>
      </c>
      <c r="V88" s="3">
        <f>IFERROR(__xludf.DUMMYFUNCTION("""COMPUTED_VALUE"""),0.0)</f>
        <v>0</v>
      </c>
      <c r="W88" s="3">
        <f>IFERROR(__xludf.DUMMYFUNCTION("""COMPUTED_VALUE"""),0.0)</f>
        <v>0</v>
      </c>
      <c r="X88" s="3">
        <f>IFERROR(__xludf.DUMMYFUNCTION("""COMPUTED_VALUE"""),0.0)</f>
        <v>0</v>
      </c>
      <c r="Y88" s="3">
        <f>IFERROR(__xludf.DUMMYFUNCTION("""COMPUTED_VALUE"""),0.0)</f>
        <v>0</v>
      </c>
      <c r="Z88" s="3">
        <f>IFERROR(__xludf.DUMMYFUNCTION("""COMPUTED_VALUE"""),0.0)</f>
        <v>0</v>
      </c>
      <c r="AA88" s="3">
        <f>IFERROR(__xludf.DUMMYFUNCTION("""COMPUTED_VALUE"""),0.0)</f>
        <v>0</v>
      </c>
      <c r="AB88" s="3">
        <f>IFERROR(__xludf.DUMMYFUNCTION("""COMPUTED_VALUE"""),0.0)</f>
        <v>0</v>
      </c>
      <c r="AC88" s="3">
        <f>IFERROR(__xludf.DUMMYFUNCTION("""COMPUTED_VALUE"""),0.0)</f>
        <v>0</v>
      </c>
      <c r="AD88" s="3">
        <f>IFERROR(__xludf.DUMMYFUNCTION("""COMPUTED_VALUE"""),0.0)</f>
        <v>0</v>
      </c>
      <c r="AE88" s="3">
        <f>IFERROR(__xludf.DUMMYFUNCTION("""COMPUTED_VALUE"""),0.0)</f>
        <v>0</v>
      </c>
      <c r="AF88" s="3">
        <f>IFERROR(__xludf.DUMMYFUNCTION("""COMPUTED_VALUE"""),0.0)</f>
        <v>0</v>
      </c>
      <c r="AG88" s="3">
        <f>IFERROR(__xludf.DUMMYFUNCTION("""COMPUTED_VALUE"""),0.0)</f>
        <v>0</v>
      </c>
      <c r="AH88" s="3">
        <f>IFERROR(__xludf.DUMMYFUNCTION("""COMPUTED_VALUE"""),0.0)</f>
        <v>0</v>
      </c>
      <c r="AI88" s="3">
        <f>IFERROR(__xludf.DUMMYFUNCTION("""COMPUTED_VALUE"""),0.0)</f>
        <v>0</v>
      </c>
      <c r="AJ88" s="3">
        <f>IFERROR(__xludf.DUMMYFUNCTION("""COMPUTED_VALUE"""),0.0)</f>
        <v>0</v>
      </c>
      <c r="AK88" s="3">
        <f>IFERROR(__xludf.DUMMYFUNCTION("""COMPUTED_VALUE"""),0.0)</f>
        <v>0</v>
      </c>
      <c r="AL88" s="3">
        <f>IFERROR(__xludf.DUMMYFUNCTION("""COMPUTED_VALUE"""),0.0)</f>
        <v>0</v>
      </c>
      <c r="AM88" s="3">
        <f>IFERROR(__xludf.DUMMYFUNCTION("""COMPUTED_VALUE"""),0.0)</f>
        <v>0</v>
      </c>
      <c r="AN88" s="3">
        <f>IFERROR(__xludf.DUMMYFUNCTION("""COMPUTED_VALUE"""),0.0)</f>
        <v>0</v>
      </c>
      <c r="AO88" s="3">
        <f>IFERROR(__xludf.DUMMYFUNCTION("""COMPUTED_VALUE"""),0.0)</f>
        <v>0</v>
      </c>
      <c r="AP88" s="3">
        <f>IFERROR(__xludf.DUMMYFUNCTION("""COMPUTED_VALUE"""),0.0)</f>
        <v>0</v>
      </c>
      <c r="AQ88" s="3">
        <f>IFERROR(__xludf.DUMMYFUNCTION("""COMPUTED_VALUE"""),0.0)</f>
        <v>0</v>
      </c>
      <c r="AR88" s="3">
        <f>IFERROR(__xludf.DUMMYFUNCTION("""COMPUTED_VALUE"""),0.0)</f>
        <v>0</v>
      </c>
      <c r="AS88" s="3">
        <f>IFERROR(__xludf.DUMMYFUNCTION("""COMPUTED_VALUE"""),0.0)</f>
        <v>0</v>
      </c>
      <c r="AT88" s="3">
        <f>IFERROR(__xludf.DUMMYFUNCTION("""COMPUTED_VALUE"""),0.0)</f>
        <v>0</v>
      </c>
      <c r="AU88" s="3">
        <f>IFERROR(__xludf.DUMMYFUNCTION("""COMPUTED_VALUE"""),0.0)</f>
        <v>0</v>
      </c>
      <c r="AV88" s="3">
        <f>IFERROR(__xludf.DUMMYFUNCTION("""COMPUTED_VALUE"""),0.0)</f>
        <v>0</v>
      </c>
      <c r="AW88" s="3">
        <f>IFERROR(__xludf.DUMMYFUNCTION("""COMPUTED_VALUE"""),0.0)</f>
        <v>0</v>
      </c>
      <c r="AX88" s="3">
        <f>IFERROR(__xludf.DUMMYFUNCTION("""COMPUTED_VALUE"""),0.0)</f>
        <v>0</v>
      </c>
      <c r="AY88" s="3">
        <f>IFERROR(__xludf.DUMMYFUNCTION("""COMPUTED_VALUE"""),0.0)</f>
        <v>0</v>
      </c>
      <c r="AZ88" s="3">
        <f>IFERROR(__xludf.DUMMYFUNCTION("""COMPUTED_VALUE"""),0.0)</f>
        <v>0</v>
      </c>
      <c r="BA88" s="3">
        <f>IFERROR(__xludf.DUMMYFUNCTION("""COMPUTED_VALUE"""),0.0)</f>
        <v>0</v>
      </c>
      <c r="BB88" s="3">
        <f>IFERROR(__xludf.DUMMYFUNCTION("""COMPUTED_VALUE"""),1.0)</f>
        <v>1</v>
      </c>
      <c r="BC88" s="3">
        <f>IFERROR(__xludf.DUMMYFUNCTION("""COMPUTED_VALUE"""),1.0)</f>
        <v>1</v>
      </c>
      <c r="BD88" s="3">
        <f>IFERROR(__xludf.DUMMYFUNCTION("""COMPUTED_VALUE"""),1.0)</f>
        <v>1</v>
      </c>
      <c r="BE88" s="3">
        <f>IFERROR(__xludf.DUMMYFUNCTION("""COMPUTED_VALUE"""),1.0)</f>
        <v>1</v>
      </c>
      <c r="BF88" s="3">
        <f>IFERROR(__xludf.DUMMYFUNCTION("""COMPUTED_VALUE"""),1.0)</f>
        <v>1</v>
      </c>
      <c r="BG88" s="3">
        <f>IFERROR(__xludf.DUMMYFUNCTION("""COMPUTED_VALUE"""),1.0)</f>
        <v>1</v>
      </c>
      <c r="BH88" s="3">
        <f>IFERROR(__xludf.DUMMYFUNCTION("""COMPUTED_VALUE"""),5.0)</f>
        <v>5</v>
      </c>
      <c r="BI88" s="3">
        <f>IFERROR(__xludf.DUMMYFUNCTION("""COMPUTED_VALUE"""),6.0)</f>
        <v>6</v>
      </c>
      <c r="BJ88" s="3">
        <f>IFERROR(__xludf.DUMMYFUNCTION("""COMPUTED_VALUE"""),9.0)</f>
        <v>9</v>
      </c>
      <c r="BK88" s="3">
        <f>IFERROR(__xludf.DUMMYFUNCTION("""COMPUTED_VALUE"""),9.0)</f>
        <v>9</v>
      </c>
      <c r="BL88" s="3">
        <f>IFERROR(__xludf.DUMMYFUNCTION("""COMPUTED_VALUE"""),14.0)</f>
        <v>14</v>
      </c>
      <c r="BM88" s="3">
        <f>IFERROR(__xludf.DUMMYFUNCTION("""COMPUTED_VALUE"""),14.0)</f>
        <v>14</v>
      </c>
      <c r="BN88" s="3">
        <f>IFERROR(__xludf.DUMMYFUNCTION("""COMPUTED_VALUE"""),25.0)</f>
        <v>25</v>
      </c>
      <c r="BO88" s="3">
        <f>IFERROR(__xludf.DUMMYFUNCTION("""COMPUTED_VALUE"""),73.0)</f>
        <v>73</v>
      </c>
      <c r="BP88" s="3">
        <f>IFERROR(__xludf.DUMMYFUNCTION("""COMPUTED_VALUE"""),80.0)</f>
        <v>80</v>
      </c>
      <c r="BQ88" s="3">
        <f>IFERROR(__xludf.DUMMYFUNCTION("""COMPUTED_VALUE"""),96.0)</f>
        <v>96</v>
      </c>
      <c r="BR88" s="3">
        <f>IFERROR(__xludf.DUMMYFUNCTION("""COMPUTED_VALUE"""),101.0)</f>
        <v>101</v>
      </c>
      <c r="BS88" s="3">
        <f>IFERROR(__xludf.DUMMYFUNCTION("""COMPUTED_VALUE"""),101.0)</f>
        <v>101</v>
      </c>
      <c r="BT88" s="3">
        <f>IFERROR(__xludf.DUMMYFUNCTION("""COMPUTED_VALUE"""),165.0)</f>
        <v>165</v>
      </c>
      <c r="BU88" s="3">
        <f>IFERROR(__xludf.DUMMYFUNCTION("""COMPUTED_VALUE"""),168.0)</f>
        <v>168</v>
      </c>
      <c r="BV88" s="3">
        <f>IFERROR(__xludf.DUMMYFUNCTION("""COMPUTED_VALUE"""),179.0)</f>
        <v>179</v>
      </c>
      <c r="BW88" s="3">
        <f>IFERROR(__xludf.DUMMYFUNCTION("""COMPUTED_VALUE"""),190.0)</f>
        <v>190</v>
      </c>
      <c r="BX88" s="3">
        <f>IFERROR(__xludf.DUMMYFUNCTION("""COMPUTED_VALUE"""),194.0)</f>
        <v>194</v>
      </c>
      <c r="BY88" s="3">
        <f>IFERROR(__xludf.DUMMYFUNCTION("""COMPUTED_VALUE"""),218.0)</f>
        <v>218</v>
      </c>
      <c r="BZ88" s="3">
        <f>IFERROR(__xludf.DUMMYFUNCTION("""COMPUTED_VALUE"""),245.0)</f>
        <v>245</v>
      </c>
      <c r="CA88" s="3">
        <f>IFERROR(__xludf.DUMMYFUNCTION("""COMPUTED_VALUE"""),261.0)</f>
        <v>261</v>
      </c>
      <c r="CB88" s="3">
        <f>IFERROR(__xludf.DUMMYFUNCTION("""COMPUTED_VALUE"""),323.0)</f>
        <v>323</v>
      </c>
    </row>
    <row r="89">
      <c r="A89" s="3" t="str">
        <f>IFERROR(__xludf.DUMMYFUNCTION("""COMPUTED_VALUE"""),"")</f>
        <v/>
      </c>
      <c r="B89" s="3" t="str">
        <f>IFERROR(__xludf.DUMMYFUNCTION("""COMPUTED_VALUE"""),"Croatia")</f>
        <v>Croatia</v>
      </c>
      <c r="C89" s="3">
        <f>IFERROR(__xludf.DUMMYFUNCTION("""COMPUTED_VALUE"""),45.1)</f>
        <v>45.1</v>
      </c>
      <c r="D89" s="3">
        <f>IFERROR(__xludf.DUMMYFUNCTION("""COMPUTED_VALUE"""),15.2)</f>
        <v>15.2</v>
      </c>
      <c r="E89" s="3">
        <f>IFERROR(__xludf.DUMMYFUNCTION("""COMPUTED_VALUE"""),0.0)</f>
        <v>0</v>
      </c>
      <c r="F89" s="3">
        <f>IFERROR(__xludf.DUMMYFUNCTION("""COMPUTED_VALUE"""),0.0)</f>
        <v>0</v>
      </c>
      <c r="G89" s="3">
        <f>IFERROR(__xludf.DUMMYFUNCTION("""COMPUTED_VALUE"""),0.0)</f>
        <v>0</v>
      </c>
      <c r="H89" s="3">
        <f>IFERROR(__xludf.DUMMYFUNCTION("""COMPUTED_VALUE"""),0.0)</f>
        <v>0</v>
      </c>
      <c r="I89" s="3">
        <f>IFERROR(__xludf.DUMMYFUNCTION("""COMPUTED_VALUE"""),0.0)</f>
        <v>0</v>
      </c>
      <c r="J89" s="3">
        <f>IFERROR(__xludf.DUMMYFUNCTION("""COMPUTED_VALUE"""),0.0)</f>
        <v>0</v>
      </c>
      <c r="K89" s="3">
        <f>IFERROR(__xludf.DUMMYFUNCTION("""COMPUTED_VALUE"""),0.0)</f>
        <v>0</v>
      </c>
      <c r="L89" s="3">
        <f>IFERROR(__xludf.DUMMYFUNCTION("""COMPUTED_VALUE"""),0.0)</f>
        <v>0</v>
      </c>
      <c r="M89" s="3">
        <f>IFERROR(__xludf.DUMMYFUNCTION("""COMPUTED_VALUE"""),0.0)</f>
        <v>0</v>
      </c>
      <c r="N89" s="3">
        <f>IFERROR(__xludf.DUMMYFUNCTION("""COMPUTED_VALUE"""),0.0)</f>
        <v>0</v>
      </c>
      <c r="O89" s="3">
        <f>IFERROR(__xludf.DUMMYFUNCTION("""COMPUTED_VALUE"""),0.0)</f>
        <v>0</v>
      </c>
      <c r="P89" s="3">
        <f>IFERROR(__xludf.DUMMYFUNCTION("""COMPUTED_VALUE"""),0.0)</f>
        <v>0</v>
      </c>
      <c r="Q89" s="3">
        <f>IFERROR(__xludf.DUMMYFUNCTION("""COMPUTED_VALUE"""),0.0)</f>
        <v>0</v>
      </c>
      <c r="R89" s="3">
        <f>IFERROR(__xludf.DUMMYFUNCTION("""COMPUTED_VALUE"""),0.0)</f>
        <v>0</v>
      </c>
      <c r="S89" s="3">
        <f>IFERROR(__xludf.DUMMYFUNCTION("""COMPUTED_VALUE"""),0.0)</f>
        <v>0</v>
      </c>
      <c r="T89" s="3">
        <f>IFERROR(__xludf.DUMMYFUNCTION("""COMPUTED_VALUE"""),0.0)</f>
        <v>0</v>
      </c>
      <c r="U89" s="3">
        <f>IFERROR(__xludf.DUMMYFUNCTION("""COMPUTED_VALUE"""),0.0)</f>
        <v>0</v>
      </c>
      <c r="V89" s="3">
        <f>IFERROR(__xludf.DUMMYFUNCTION("""COMPUTED_VALUE"""),0.0)</f>
        <v>0</v>
      </c>
      <c r="W89" s="3">
        <f>IFERROR(__xludf.DUMMYFUNCTION("""COMPUTED_VALUE"""),0.0)</f>
        <v>0</v>
      </c>
      <c r="X89" s="3">
        <f>IFERROR(__xludf.DUMMYFUNCTION("""COMPUTED_VALUE"""),0.0)</f>
        <v>0</v>
      </c>
      <c r="Y89" s="3">
        <f>IFERROR(__xludf.DUMMYFUNCTION("""COMPUTED_VALUE"""),0.0)</f>
        <v>0</v>
      </c>
      <c r="Z89" s="3">
        <f>IFERROR(__xludf.DUMMYFUNCTION("""COMPUTED_VALUE"""),0.0)</f>
        <v>0</v>
      </c>
      <c r="AA89" s="3">
        <f>IFERROR(__xludf.DUMMYFUNCTION("""COMPUTED_VALUE"""),0.0)</f>
        <v>0</v>
      </c>
      <c r="AB89" s="3">
        <f>IFERROR(__xludf.DUMMYFUNCTION("""COMPUTED_VALUE"""),0.0)</f>
        <v>0</v>
      </c>
      <c r="AC89" s="3">
        <f>IFERROR(__xludf.DUMMYFUNCTION("""COMPUTED_VALUE"""),0.0)</f>
        <v>0</v>
      </c>
      <c r="AD89" s="3">
        <f>IFERROR(__xludf.DUMMYFUNCTION("""COMPUTED_VALUE"""),0.0)</f>
        <v>0</v>
      </c>
      <c r="AE89" s="3">
        <f>IFERROR(__xludf.DUMMYFUNCTION("""COMPUTED_VALUE"""),0.0)</f>
        <v>0</v>
      </c>
      <c r="AF89" s="3">
        <f>IFERROR(__xludf.DUMMYFUNCTION("""COMPUTED_VALUE"""),0.0)</f>
        <v>0</v>
      </c>
      <c r="AG89" s="3">
        <f>IFERROR(__xludf.DUMMYFUNCTION("""COMPUTED_VALUE"""),0.0)</f>
        <v>0</v>
      </c>
      <c r="AH89" s="3">
        <f>IFERROR(__xludf.DUMMYFUNCTION("""COMPUTED_VALUE"""),0.0)</f>
        <v>0</v>
      </c>
      <c r="AI89" s="3">
        <f>IFERROR(__xludf.DUMMYFUNCTION("""COMPUTED_VALUE"""),0.0)</f>
        <v>0</v>
      </c>
      <c r="AJ89" s="3">
        <f>IFERROR(__xludf.DUMMYFUNCTION("""COMPUTED_VALUE"""),0.0)</f>
        <v>0</v>
      </c>
      <c r="AK89" s="3">
        <f>IFERROR(__xludf.DUMMYFUNCTION("""COMPUTED_VALUE"""),0.0)</f>
        <v>0</v>
      </c>
      <c r="AL89" s="3">
        <f>IFERROR(__xludf.DUMMYFUNCTION("""COMPUTED_VALUE"""),0.0)</f>
        <v>0</v>
      </c>
      <c r="AM89" s="3">
        <f>IFERROR(__xludf.DUMMYFUNCTION("""COMPUTED_VALUE"""),1.0)</f>
        <v>1</v>
      </c>
      <c r="AN89" s="3">
        <f>IFERROR(__xludf.DUMMYFUNCTION("""COMPUTED_VALUE"""),3.0)</f>
        <v>3</v>
      </c>
      <c r="AO89" s="3">
        <f>IFERROR(__xludf.DUMMYFUNCTION("""COMPUTED_VALUE"""),3.0)</f>
        <v>3</v>
      </c>
      <c r="AP89" s="3">
        <f>IFERROR(__xludf.DUMMYFUNCTION("""COMPUTED_VALUE"""),5.0)</f>
        <v>5</v>
      </c>
      <c r="AQ89" s="3">
        <f>IFERROR(__xludf.DUMMYFUNCTION("""COMPUTED_VALUE"""),6.0)</f>
        <v>6</v>
      </c>
      <c r="AR89" s="3">
        <f>IFERROR(__xludf.DUMMYFUNCTION("""COMPUTED_VALUE"""),7.0)</f>
        <v>7</v>
      </c>
      <c r="AS89" s="3">
        <f>IFERROR(__xludf.DUMMYFUNCTION("""COMPUTED_VALUE"""),7.0)</f>
        <v>7</v>
      </c>
      <c r="AT89" s="3">
        <f>IFERROR(__xludf.DUMMYFUNCTION("""COMPUTED_VALUE"""),9.0)</f>
        <v>9</v>
      </c>
      <c r="AU89" s="3">
        <f>IFERROR(__xludf.DUMMYFUNCTION("""COMPUTED_VALUE"""),10.0)</f>
        <v>10</v>
      </c>
      <c r="AV89" s="3">
        <f>IFERROR(__xludf.DUMMYFUNCTION("""COMPUTED_VALUE"""),10.0)</f>
        <v>10</v>
      </c>
      <c r="AW89" s="3">
        <f>IFERROR(__xludf.DUMMYFUNCTION("""COMPUTED_VALUE"""),11.0)</f>
        <v>11</v>
      </c>
      <c r="AX89" s="3">
        <f>IFERROR(__xludf.DUMMYFUNCTION("""COMPUTED_VALUE"""),12.0)</f>
        <v>12</v>
      </c>
      <c r="AY89" s="3">
        <f>IFERROR(__xludf.DUMMYFUNCTION("""COMPUTED_VALUE"""),12.0)</f>
        <v>12</v>
      </c>
      <c r="AZ89" s="3">
        <f>IFERROR(__xludf.DUMMYFUNCTION("""COMPUTED_VALUE"""),12.0)</f>
        <v>12</v>
      </c>
      <c r="BA89" s="3">
        <f>IFERROR(__xludf.DUMMYFUNCTION("""COMPUTED_VALUE"""),14.0)</f>
        <v>14</v>
      </c>
      <c r="BB89" s="3">
        <f>IFERROR(__xludf.DUMMYFUNCTION("""COMPUTED_VALUE"""),19.0)</f>
        <v>19</v>
      </c>
      <c r="BC89" s="3">
        <f>IFERROR(__xludf.DUMMYFUNCTION("""COMPUTED_VALUE"""),19.0)</f>
        <v>19</v>
      </c>
      <c r="BD89" s="3">
        <f>IFERROR(__xludf.DUMMYFUNCTION("""COMPUTED_VALUE"""),32.0)</f>
        <v>32</v>
      </c>
      <c r="BE89" s="3">
        <f>IFERROR(__xludf.DUMMYFUNCTION("""COMPUTED_VALUE"""),38.0)</f>
        <v>38</v>
      </c>
      <c r="BF89" s="3">
        <f>IFERROR(__xludf.DUMMYFUNCTION("""COMPUTED_VALUE"""),49.0)</f>
        <v>49</v>
      </c>
      <c r="BG89" s="3">
        <f>IFERROR(__xludf.DUMMYFUNCTION("""COMPUTED_VALUE"""),57.0)</f>
        <v>57</v>
      </c>
      <c r="BH89" s="3">
        <f>IFERROR(__xludf.DUMMYFUNCTION("""COMPUTED_VALUE"""),65.0)</f>
        <v>65</v>
      </c>
      <c r="BI89" s="3">
        <f>IFERROR(__xludf.DUMMYFUNCTION("""COMPUTED_VALUE"""),81.0)</f>
        <v>81</v>
      </c>
      <c r="BJ89" s="3">
        <f>IFERROR(__xludf.DUMMYFUNCTION("""COMPUTED_VALUE"""),105.0)</f>
        <v>105</v>
      </c>
      <c r="BK89" s="3">
        <f>IFERROR(__xludf.DUMMYFUNCTION("""COMPUTED_VALUE"""),128.0)</f>
        <v>128</v>
      </c>
      <c r="BL89" s="3">
        <f>IFERROR(__xludf.DUMMYFUNCTION("""COMPUTED_VALUE"""),206.0)</f>
        <v>206</v>
      </c>
      <c r="BM89" s="3">
        <f>IFERROR(__xludf.DUMMYFUNCTION("""COMPUTED_VALUE"""),254.0)</f>
        <v>254</v>
      </c>
      <c r="BN89" s="3">
        <f>IFERROR(__xludf.DUMMYFUNCTION("""COMPUTED_VALUE"""),315.0)</f>
        <v>315</v>
      </c>
      <c r="BO89" s="3">
        <f>IFERROR(__xludf.DUMMYFUNCTION("""COMPUTED_VALUE"""),382.0)</f>
        <v>382</v>
      </c>
      <c r="BP89" s="3">
        <f>IFERROR(__xludf.DUMMYFUNCTION("""COMPUTED_VALUE"""),442.0)</f>
        <v>442</v>
      </c>
      <c r="BQ89" s="3">
        <f>IFERROR(__xludf.DUMMYFUNCTION("""COMPUTED_VALUE"""),495.0)</f>
        <v>495</v>
      </c>
      <c r="BR89" s="3">
        <f>IFERROR(__xludf.DUMMYFUNCTION("""COMPUTED_VALUE"""),586.0)</f>
        <v>586</v>
      </c>
      <c r="BS89" s="3">
        <f>IFERROR(__xludf.DUMMYFUNCTION("""COMPUTED_VALUE"""),657.0)</f>
        <v>657</v>
      </c>
      <c r="BT89" s="3">
        <f>IFERROR(__xludf.DUMMYFUNCTION("""COMPUTED_VALUE"""),713.0)</f>
        <v>713</v>
      </c>
      <c r="BU89" s="3">
        <f>IFERROR(__xludf.DUMMYFUNCTION("""COMPUTED_VALUE"""),790.0)</f>
        <v>790</v>
      </c>
      <c r="BV89" s="3">
        <f>IFERROR(__xludf.DUMMYFUNCTION("""COMPUTED_VALUE"""),867.0)</f>
        <v>867</v>
      </c>
      <c r="BW89" s="3">
        <f>IFERROR(__xludf.DUMMYFUNCTION("""COMPUTED_VALUE"""),963.0)</f>
        <v>963</v>
      </c>
      <c r="BX89" s="3">
        <f>IFERROR(__xludf.DUMMYFUNCTION("""COMPUTED_VALUE"""),1011.0)</f>
        <v>1011</v>
      </c>
      <c r="BY89" s="3">
        <f>IFERROR(__xludf.DUMMYFUNCTION("""COMPUTED_VALUE"""),1079.0)</f>
        <v>1079</v>
      </c>
      <c r="BZ89" s="3">
        <f>IFERROR(__xludf.DUMMYFUNCTION("""COMPUTED_VALUE"""),1126.0)</f>
        <v>1126</v>
      </c>
      <c r="CA89" s="3">
        <f>IFERROR(__xludf.DUMMYFUNCTION("""COMPUTED_VALUE"""),1182.0)</f>
        <v>1182</v>
      </c>
      <c r="CB89" s="3">
        <f>IFERROR(__xludf.DUMMYFUNCTION("""COMPUTED_VALUE"""),1222.0)</f>
        <v>1222</v>
      </c>
    </row>
    <row r="90">
      <c r="A90" s="3" t="str">
        <f>IFERROR(__xludf.DUMMYFUNCTION("""COMPUTED_VALUE"""),"")</f>
        <v/>
      </c>
      <c r="B90" s="3" t="str">
        <f>IFERROR(__xludf.DUMMYFUNCTION("""COMPUTED_VALUE"""),"Diamond Princess")</f>
        <v>Diamond Princess</v>
      </c>
      <c r="C90" s="3">
        <f>IFERROR(__xludf.DUMMYFUNCTION("""COMPUTED_VALUE"""),0.0)</f>
        <v>0</v>
      </c>
      <c r="D90" s="3">
        <f>IFERROR(__xludf.DUMMYFUNCTION("""COMPUTED_VALUE"""),0.0)</f>
        <v>0</v>
      </c>
      <c r="E90" s="3">
        <f>IFERROR(__xludf.DUMMYFUNCTION("""COMPUTED_VALUE"""),0.0)</f>
        <v>0</v>
      </c>
      <c r="F90" s="3">
        <f>IFERROR(__xludf.DUMMYFUNCTION("""COMPUTED_VALUE"""),0.0)</f>
        <v>0</v>
      </c>
      <c r="G90" s="3">
        <f>IFERROR(__xludf.DUMMYFUNCTION("""COMPUTED_VALUE"""),0.0)</f>
        <v>0</v>
      </c>
      <c r="H90" s="3">
        <f>IFERROR(__xludf.DUMMYFUNCTION("""COMPUTED_VALUE"""),0.0)</f>
        <v>0</v>
      </c>
      <c r="I90" s="3">
        <f>IFERROR(__xludf.DUMMYFUNCTION("""COMPUTED_VALUE"""),0.0)</f>
        <v>0</v>
      </c>
      <c r="J90" s="3">
        <f>IFERROR(__xludf.DUMMYFUNCTION("""COMPUTED_VALUE"""),0.0)</f>
        <v>0</v>
      </c>
      <c r="K90" s="3">
        <f>IFERROR(__xludf.DUMMYFUNCTION("""COMPUTED_VALUE"""),0.0)</f>
        <v>0</v>
      </c>
      <c r="L90" s="3">
        <f>IFERROR(__xludf.DUMMYFUNCTION("""COMPUTED_VALUE"""),0.0)</f>
        <v>0</v>
      </c>
      <c r="M90" s="3">
        <f>IFERROR(__xludf.DUMMYFUNCTION("""COMPUTED_VALUE"""),0.0)</f>
        <v>0</v>
      </c>
      <c r="N90" s="3">
        <f>IFERROR(__xludf.DUMMYFUNCTION("""COMPUTED_VALUE"""),0.0)</f>
        <v>0</v>
      </c>
      <c r="O90" s="3">
        <f>IFERROR(__xludf.DUMMYFUNCTION("""COMPUTED_VALUE"""),0.0)</f>
        <v>0</v>
      </c>
      <c r="P90" s="3">
        <f>IFERROR(__xludf.DUMMYFUNCTION("""COMPUTED_VALUE"""),0.0)</f>
        <v>0</v>
      </c>
      <c r="Q90" s="3">
        <f>IFERROR(__xludf.DUMMYFUNCTION("""COMPUTED_VALUE"""),0.0)</f>
        <v>0</v>
      </c>
      <c r="R90" s="3">
        <f>IFERROR(__xludf.DUMMYFUNCTION("""COMPUTED_VALUE"""),0.0)</f>
        <v>0</v>
      </c>
      <c r="S90" s="3">
        <f>IFERROR(__xludf.DUMMYFUNCTION("""COMPUTED_VALUE"""),0.0)</f>
        <v>0</v>
      </c>
      <c r="T90" s="3">
        <f>IFERROR(__xludf.DUMMYFUNCTION("""COMPUTED_VALUE"""),0.0)</f>
        <v>0</v>
      </c>
      <c r="U90" s="3">
        <f>IFERROR(__xludf.DUMMYFUNCTION("""COMPUTED_VALUE"""),61.0)</f>
        <v>61</v>
      </c>
      <c r="V90" s="3">
        <f>IFERROR(__xludf.DUMMYFUNCTION("""COMPUTED_VALUE"""),61.0)</f>
        <v>61</v>
      </c>
      <c r="W90" s="3">
        <f>IFERROR(__xludf.DUMMYFUNCTION("""COMPUTED_VALUE"""),64.0)</f>
        <v>64</v>
      </c>
      <c r="X90" s="3">
        <f>IFERROR(__xludf.DUMMYFUNCTION("""COMPUTED_VALUE"""),135.0)</f>
        <v>135</v>
      </c>
      <c r="Y90" s="3">
        <f>IFERROR(__xludf.DUMMYFUNCTION("""COMPUTED_VALUE"""),135.0)</f>
        <v>135</v>
      </c>
      <c r="Z90" s="3">
        <f>IFERROR(__xludf.DUMMYFUNCTION("""COMPUTED_VALUE"""),175.0)</f>
        <v>175</v>
      </c>
      <c r="AA90" s="3">
        <f>IFERROR(__xludf.DUMMYFUNCTION("""COMPUTED_VALUE"""),175.0)</f>
        <v>175</v>
      </c>
      <c r="AB90" s="3">
        <f>IFERROR(__xludf.DUMMYFUNCTION("""COMPUTED_VALUE"""),218.0)</f>
        <v>218</v>
      </c>
      <c r="AC90" s="3">
        <f>IFERROR(__xludf.DUMMYFUNCTION("""COMPUTED_VALUE"""),285.0)</f>
        <v>285</v>
      </c>
      <c r="AD90" s="3">
        <f>IFERROR(__xludf.DUMMYFUNCTION("""COMPUTED_VALUE"""),355.0)</f>
        <v>355</v>
      </c>
      <c r="AE90" s="3">
        <f>IFERROR(__xludf.DUMMYFUNCTION("""COMPUTED_VALUE"""),454.0)</f>
        <v>454</v>
      </c>
      <c r="AF90" s="3">
        <f>IFERROR(__xludf.DUMMYFUNCTION("""COMPUTED_VALUE"""),542.0)</f>
        <v>542</v>
      </c>
      <c r="AG90" s="3">
        <f>IFERROR(__xludf.DUMMYFUNCTION("""COMPUTED_VALUE"""),621.0)</f>
        <v>621</v>
      </c>
      <c r="AH90" s="3">
        <f>IFERROR(__xludf.DUMMYFUNCTION("""COMPUTED_VALUE"""),634.0)</f>
        <v>634</v>
      </c>
      <c r="AI90" s="3">
        <f>IFERROR(__xludf.DUMMYFUNCTION("""COMPUTED_VALUE"""),634.0)</f>
        <v>634</v>
      </c>
      <c r="AJ90" s="3">
        <f>IFERROR(__xludf.DUMMYFUNCTION("""COMPUTED_VALUE"""),634.0)</f>
        <v>634</v>
      </c>
      <c r="AK90" s="3">
        <f>IFERROR(__xludf.DUMMYFUNCTION("""COMPUTED_VALUE"""),691.0)</f>
        <v>691</v>
      </c>
      <c r="AL90" s="3">
        <f>IFERROR(__xludf.DUMMYFUNCTION("""COMPUTED_VALUE"""),691.0)</f>
        <v>691</v>
      </c>
      <c r="AM90" s="3">
        <f>IFERROR(__xludf.DUMMYFUNCTION("""COMPUTED_VALUE"""),691.0)</f>
        <v>691</v>
      </c>
      <c r="AN90" s="3">
        <f>IFERROR(__xludf.DUMMYFUNCTION("""COMPUTED_VALUE"""),705.0)</f>
        <v>705</v>
      </c>
      <c r="AO90" s="3">
        <f>IFERROR(__xludf.DUMMYFUNCTION("""COMPUTED_VALUE"""),705.0)</f>
        <v>705</v>
      </c>
      <c r="AP90" s="3">
        <f>IFERROR(__xludf.DUMMYFUNCTION("""COMPUTED_VALUE"""),705.0)</f>
        <v>705</v>
      </c>
      <c r="AQ90" s="3">
        <f>IFERROR(__xludf.DUMMYFUNCTION("""COMPUTED_VALUE"""),705.0)</f>
        <v>705</v>
      </c>
      <c r="AR90" s="3">
        <f>IFERROR(__xludf.DUMMYFUNCTION("""COMPUTED_VALUE"""),705.0)</f>
        <v>705</v>
      </c>
      <c r="AS90" s="3">
        <f>IFERROR(__xludf.DUMMYFUNCTION("""COMPUTED_VALUE"""),705.0)</f>
        <v>705</v>
      </c>
      <c r="AT90" s="3">
        <f>IFERROR(__xludf.DUMMYFUNCTION("""COMPUTED_VALUE"""),706.0)</f>
        <v>706</v>
      </c>
      <c r="AU90" s="3">
        <f>IFERROR(__xludf.DUMMYFUNCTION("""COMPUTED_VALUE"""),706.0)</f>
        <v>706</v>
      </c>
      <c r="AV90" s="3">
        <f>IFERROR(__xludf.DUMMYFUNCTION("""COMPUTED_VALUE"""),706.0)</f>
        <v>706</v>
      </c>
      <c r="AW90" s="3">
        <f>IFERROR(__xludf.DUMMYFUNCTION("""COMPUTED_VALUE"""),706.0)</f>
        <v>706</v>
      </c>
      <c r="AX90" s="3">
        <f>IFERROR(__xludf.DUMMYFUNCTION("""COMPUTED_VALUE"""),706.0)</f>
        <v>706</v>
      </c>
      <c r="AY90" s="3">
        <f>IFERROR(__xludf.DUMMYFUNCTION("""COMPUTED_VALUE"""),706.0)</f>
        <v>706</v>
      </c>
      <c r="AZ90" s="3">
        <f>IFERROR(__xludf.DUMMYFUNCTION("""COMPUTED_VALUE"""),706.0)</f>
        <v>706</v>
      </c>
      <c r="BA90" s="3">
        <f>IFERROR(__xludf.DUMMYFUNCTION("""COMPUTED_VALUE"""),706.0)</f>
        <v>706</v>
      </c>
      <c r="BB90" s="3">
        <f>IFERROR(__xludf.DUMMYFUNCTION("""COMPUTED_VALUE"""),706.0)</f>
        <v>706</v>
      </c>
      <c r="BC90" s="3">
        <f>IFERROR(__xludf.DUMMYFUNCTION("""COMPUTED_VALUE"""),706.0)</f>
        <v>706</v>
      </c>
      <c r="BD90" s="3">
        <f>IFERROR(__xludf.DUMMYFUNCTION("""COMPUTED_VALUE"""),706.0)</f>
        <v>706</v>
      </c>
      <c r="BE90" s="3">
        <f>IFERROR(__xludf.DUMMYFUNCTION("""COMPUTED_VALUE"""),706.0)</f>
        <v>706</v>
      </c>
      <c r="BF90" s="3">
        <f>IFERROR(__xludf.DUMMYFUNCTION("""COMPUTED_VALUE"""),706.0)</f>
        <v>706</v>
      </c>
      <c r="BG90" s="3">
        <f>IFERROR(__xludf.DUMMYFUNCTION("""COMPUTED_VALUE"""),706.0)</f>
        <v>706</v>
      </c>
      <c r="BH90" s="3">
        <f>IFERROR(__xludf.DUMMYFUNCTION("""COMPUTED_VALUE"""),706.0)</f>
        <v>706</v>
      </c>
      <c r="BI90" s="3">
        <f>IFERROR(__xludf.DUMMYFUNCTION("""COMPUTED_VALUE"""),712.0)</f>
        <v>712</v>
      </c>
      <c r="BJ90" s="3">
        <f>IFERROR(__xludf.DUMMYFUNCTION("""COMPUTED_VALUE"""),712.0)</f>
        <v>712</v>
      </c>
      <c r="BK90" s="3">
        <f>IFERROR(__xludf.DUMMYFUNCTION("""COMPUTED_VALUE"""),712.0)</f>
        <v>712</v>
      </c>
      <c r="BL90" s="3">
        <f>IFERROR(__xludf.DUMMYFUNCTION("""COMPUTED_VALUE"""),712.0)</f>
        <v>712</v>
      </c>
      <c r="BM90" s="3">
        <f>IFERROR(__xludf.DUMMYFUNCTION("""COMPUTED_VALUE"""),712.0)</f>
        <v>712</v>
      </c>
      <c r="BN90" s="3">
        <f>IFERROR(__xludf.DUMMYFUNCTION("""COMPUTED_VALUE"""),712.0)</f>
        <v>712</v>
      </c>
      <c r="BO90" s="3">
        <f>IFERROR(__xludf.DUMMYFUNCTION("""COMPUTED_VALUE"""),712.0)</f>
        <v>712</v>
      </c>
      <c r="BP90" s="3">
        <f>IFERROR(__xludf.DUMMYFUNCTION("""COMPUTED_VALUE"""),712.0)</f>
        <v>712</v>
      </c>
      <c r="BQ90" s="3">
        <f>IFERROR(__xludf.DUMMYFUNCTION("""COMPUTED_VALUE"""),712.0)</f>
        <v>712</v>
      </c>
      <c r="BR90" s="3">
        <f>IFERROR(__xludf.DUMMYFUNCTION("""COMPUTED_VALUE"""),712.0)</f>
        <v>712</v>
      </c>
      <c r="BS90" s="3">
        <f>IFERROR(__xludf.DUMMYFUNCTION("""COMPUTED_VALUE"""),712.0)</f>
        <v>712</v>
      </c>
      <c r="BT90" s="3">
        <f>IFERROR(__xludf.DUMMYFUNCTION("""COMPUTED_VALUE"""),712.0)</f>
        <v>712</v>
      </c>
      <c r="BU90" s="3">
        <f>IFERROR(__xludf.DUMMYFUNCTION("""COMPUTED_VALUE"""),712.0)</f>
        <v>712</v>
      </c>
      <c r="BV90" s="3">
        <f>IFERROR(__xludf.DUMMYFUNCTION("""COMPUTED_VALUE"""),712.0)</f>
        <v>712</v>
      </c>
      <c r="BW90" s="3">
        <f>IFERROR(__xludf.DUMMYFUNCTION("""COMPUTED_VALUE"""),712.0)</f>
        <v>712</v>
      </c>
      <c r="BX90" s="3">
        <f>IFERROR(__xludf.DUMMYFUNCTION("""COMPUTED_VALUE"""),712.0)</f>
        <v>712</v>
      </c>
      <c r="BY90" s="3">
        <f>IFERROR(__xludf.DUMMYFUNCTION("""COMPUTED_VALUE"""),712.0)</f>
        <v>712</v>
      </c>
      <c r="BZ90" s="3">
        <f>IFERROR(__xludf.DUMMYFUNCTION("""COMPUTED_VALUE"""),712.0)</f>
        <v>712</v>
      </c>
      <c r="CA90" s="3">
        <f>IFERROR(__xludf.DUMMYFUNCTION("""COMPUTED_VALUE"""),712.0)</f>
        <v>712</v>
      </c>
      <c r="CB90" s="3">
        <f>IFERROR(__xludf.DUMMYFUNCTION("""COMPUTED_VALUE"""),712.0)</f>
        <v>712</v>
      </c>
    </row>
    <row r="91">
      <c r="A91" s="3" t="str">
        <f>IFERROR(__xludf.DUMMYFUNCTION("""COMPUTED_VALUE"""),"")</f>
        <v/>
      </c>
      <c r="B91" s="3" t="str">
        <f>IFERROR(__xludf.DUMMYFUNCTION("""COMPUTED_VALUE"""),"Cuba")</f>
        <v>Cuba</v>
      </c>
      <c r="C91" s="3">
        <f>IFERROR(__xludf.DUMMYFUNCTION("""COMPUTED_VALUE"""),22.0)</f>
        <v>22</v>
      </c>
      <c r="D91" s="3">
        <f>IFERROR(__xludf.DUMMYFUNCTION("""COMPUTED_VALUE"""),-80.0)</f>
        <v>-80</v>
      </c>
      <c r="E91" s="3">
        <f>IFERROR(__xludf.DUMMYFUNCTION("""COMPUTED_VALUE"""),0.0)</f>
        <v>0</v>
      </c>
      <c r="F91" s="3">
        <f>IFERROR(__xludf.DUMMYFUNCTION("""COMPUTED_VALUE"""),0.0)</f>
        <v>0</v>
      </c>
      <c r="G91" s="3">
        <f>IFERROR(__xludf.DUMMYFUNCTION("""COMPUTED_VALUE"""),0.0)</f>
        <v>0</v>
      </c>
      <c r="H91" s="3">
        <f>IFERROR(__xludf.DUMMYFUNCTION("""COMPUTED_VALUE"""),0.0)</f>
        <v>0</v>
      </c>
      <c r="I91" s="3">
        <f>IFERROR(__xludf.DUMMYFUNCTION("""COMPUTED_VALUE"""),0.0)</f>
        <v>0</v>
      </c>
      <c r="J91" s="3">
        <f>IFERROR(__xludf.DUMMYFUNCTION("""COMPUTED_VALUE"""),0.0)</f>
        <v>0</v>
      </c>
      <c r="K91" s="3">
        <f>IFERROR(__xludf.DUMMYFUNCTION("""COMPUTED_VALUE"""),0.0)</f>
        <v>0</v>
      </c>
      <c r="L91" s="3">
        <f>IFERROR(__xludf.DUMMYFUNCTION("""COMPUTED_VALUE"""),0.0)</f>
        <v>0</v>
      </c>
      <c r="M91" s="3">
        <f>IFERROR(__xludf.DUMMYFUNCTION("""COMPUTED_VALUE"""),0.0)</f>
        <v>0</v>
      </c>
      <c r="N91" s="3">
        <f>IFERROR(__xludf.DUMMYFUNCTION("""COMPUTED_VALUE"""),0.0)</f>
        <v>0</v>
      </c>
      <c r="O91" s="3">
        <f>IFERROR(__xludf.DUMMYFUNCTION("""COMPUTED_VALUE"""),0.0)</f>
        <v>0</v>
      </c>
      <c r="P91" s="3">
        <f>IFERROR(__xludf.DUMMYFUNCTION("""COMPUTED_VALUE"""),0.0)</f>
        <v>0</v>
      </c>
      <c r="Q91" s="3">
        <f>IFERROR(__xludf.DUMMYFUNCTION("""COMPUTED_VALUE"""),0.0)</f>
        <v>0</v>
      </c>
      <c r="R91" s="3">
        <f>IFERROR(__xludf.DUMMYFUNCTION("""COMPUTED_VALUE"""),0.0)</f>
        <v>0</v>
      </c>
      <c r="S91" s="3">
        <f>IFERROR(__xludf.DUMMYFUNCTION("""COMPUTED_VALUE"""),0.0)</f>
        <v>0</v>
      </c>
      <c r="T91" s="3">
        <f>IFERROR(__xludf.DUMMYFUNCTION("""COMPUTED_VALUE"""),0.0)</f>
        <v>0</v>
      </c>
      <c r="U91" s="3">
        <f>IFERROR(__xludf.DUMMYFUNCTION("""COMPUTED_VALUE"""),0.0)</f>
        <v>0</v>
      </c>
      <c r="V91" s="3">
        <f>IFERROR(__xludf.DUMMYFUNCTION("""COMPUTED_VALUE"""),0.0)</f>
        <v>0</v>
      </c>
      <c r="W91" s="3">
        <f>IFERROR(__xludf.DUMMYFUNCTION("""COMPUTED_VALUE"""),0.0)</f>
        <v>0</v>
      </c>
      <c r="X91" s="3">
        <f>IFERROR(__xludf.DUMMYFUNCTION("""COMPUTED_VALUE"""),0.0)</f>
        <v>0</v>
      </c>
      <c r="Y91" s="3">
        <f>IFERROR(__xludf.DUMMYFUNCTION("""COMPUTED_VALUE"""),0.0)</f>
        <v>0</v>
      </c>
      <c r="Z91" s="3">
        <f>IFERROR(__xludf.DUMMYFUNCTION("""COMPUTED_VALUE"""),0.0)</f>
        <v>0</v>
      </c>
      <c r="AA91" s="3">
        <f>IFERROR(__xludf.DUMMYFUNCTION("""COMPUTED_VALUE"""),0.0)</f>
        <v>0</v>
      </c>
      <c r="AB91" s="3">
        <f>IFERROR(__xludf.DUMMYFUNCTION("""COMPUTED_VALUE"""),0.0)</f>
        <v>0</v>
      </c>
      <c r="AC91" s="3">
        <f>IFERROR(__xludf.DUMMYFUNCTION("""COMPUTED_VALUE"""),0.0)</f>
        <v>0</v>
      </c>
      <c r="AD91" s="3">
        <f>IFERROR(__xludf.DUMMYFUNCTION("""COMPUTED_VALUE"""),0.0)</f>
        <v>0</v>
      </c>
      <c r="AE91" s="3">
        <f>IFERROR(__xludf.DUMMYFUNCTION("""COMPUTED_VALUE"""),0.0)</f>
        <v>0</v>
      </c>
      <c r="AF91" s="3">
        <f>IFERROR(__xludf.DUMMYFUNCTION("""COMPUTED_VALUE"""),0.0)</f>
        <v>0</v>
      </c>
      <c r="AG91" s="3">
        <f>IFERROR(__xludf.DUMMYFUNCTION("""COMPUTED_VALUE"""),0.0)</f>
        <v>0</v>
      </c>
      <c r="AH91" s="3">
        <f>IFERROR(__xludf.DUMMYFUNCTION("""COMPUTED_VALUE"""),0.0)</f>
        <v>0</v>
      </c>
      <c r="AI91" s="3">
        <f>IFERROR(__xludf.DUMMYFUNCTION("""COMPUTED_VALUE"""),0.0)</f>
        <v>0</v>
      </c>
      <c r="AJ91" s="3">
        <f>IFERROR(__xludf.DUMMYFUNCTION("""COMPUTED_VALUE"""),0.0)</f>
        <v>0</v>
      </c>
      <c r="AK91" s="3">
        <f>IFERROR(__xludf.DUMMYFUNCTION("""COMPUTED_VALUE"""),0.0)</f>
        <v>0</v>
      </c>
      <c r="AL91" s="3">
        <f>IFERROR(__xludf.DUMMYFUNCTION("""COMPUTED_VALUE"""),0.0)</f>
        <v>0</v>
      </c>
      <c r="AM91" s="3">
        <f>IFERROR(__xludf.DUMMYFUNCTION("""COMPUTED_VALUE"""),0.0)</f>
        <v>0</v>
      </c>
      <c r="AN91" s="3">
        <f>IFERROR(__xludf.DUMMYFUNCTION("""COMPUTED_VALUE"""),0.0)</f>
        <v>0</v>
      </c>
      <c r="AO91" s="3">
        <f>IFERROR(__xludf.DUMMYFUNCTION("""COMPUTED_VALUE"""),0.0)</f>
        <v>0</v>
      </c>
      <c r="AP91" s="3">
        <f>IFERROR(__xludf.DUMMYFUNCTION("""COMPUTED_VALUE"""),0.0)</f>
        <v>0</v>
      </c>
      <c r="AQ91" s="3">
        <f>IFERROR(__xludf.DUMMYFUNCTION("""COMPUTED_VALUE"""),0.0)</f>
        <v>0</v>
      </c>
      <c r="AR91" s="3">
        <f>IFERROR(__xludf.DUMMYFUNCTION("""COMPUTED_VALUE"""),0.0)</f>
        <v>0</v>
      </c>
      <c r="AS91" s="3">
        <f>IFERROR(__xludf.DUMMYFUNCTION("""COMPUTED_VALUE"""),0.0)</f>
        <v>0</v>
      </c>
      <c r="AT91" s="3">
        <f>IFERROR(__xludf.DUMMYFUNCTION("""COMPUTED_VALUE"""),0.0)</f>
        <v>0</v>
      </c>
      <c r="AU91" s="3">
        <f>IFERROR(__xludf.DUMMYFUNCTION("""COMPUTED_VALUE"""),0.0)</f>
        <v>0</v>
      </c>
      <c r="AV91" s="3">
        <f>IFERROR(__xludf.DUMMYFUNCTION("""COMPUTED_VALUE"""),0.0)</f>
        <v>0</v>
      </c>
      <c r="AW91" s="3">
        <f>IFERROR(__xludf.DUMMYFUNCTION("""COMPUTED_VALUE"""),0.0)</f>
        <v>0</v>
      </c>
      <c r="AX91" s="3">
        <f>IFERROR(__xludf.DUMMYFUNCTION("""COMPUTED_VALUE"""),0.0)</f>
        <v>0</v>
      </c>
      <c r="AY91" s="3">
        <f>IFERROR(__xludf.DUMMYFUNCTION("""COMPUTED_VALUE"""),0.0)</f>
        <v>0</v>
      </c>
      <c r="AZ91" s="3">
        <f>IFERROR(__xludf.DUMMYFUNCTION("""COMPUTED_VALUE"""),0.0)</f>
        <v>0</v>
      </c>
      <c r="BA91" s="3">
        <f>IFERROR(__xludf.DUMMYFUNCTION("""COMPUTED_VALUE"""),0.0)</f>
        <v>0</v>
      </c>
      <c r="BB91" s="3">
        <f>IFERROR(__xludf.DUMMYFUNCTION("""COMPUTED_VALUE"""),0.0)</f>
        <v>0</v>
      </c>
      <c r="BC91" s="3">
        <f>IFERROR(__xludf.DUMMYFUNCTION("""COMPUTED_VALUE"""),3.0)</f>
        <v>3</v>
      </c>
      <c r="BD91" s="3">
        <f>IFERROR(__xludf.DUMMYFUNCTION("""COMPUTED_VALUE"""),4.0)</f>
        <v>4</v>
      </c>
      <c r="BE91" s="3">
        <f>IFERROR(__xludf.DUMMYFUNCTION("""COMPUTED_VALUE"""),4.0)</f>
        <v>4</v>
      </c>
      <c r="BF91" s="3">
        <f>IFERROR(__xludf.DUMMYFUNCTION("""COMPUTED_VALUE"""),4.0)</f>
        <v>4</v>
      </c>
      <c r="BG91" s="3">
        <f>IFERROR(__xludf.DUMMYFUNCTION("""COMPUTED_VALUE"""),4.0)</f>
        <v>4</v>
      </c>
      <c r="BH91" s="3">
        <f>IFERROR(__xludf.DUMMYFUNCTION("""COMPUTED_VALUE"""),5.0)</f>
        <v>5</v>
      </c>
      <c r="BI91" s="3">
        <f>IFERROR(__xludf.DUMMYFUNCTION("""COMPUTED_VALUE"""),7.0)</f>
        <v>7</v>
      </c>
      <c r="BJ91" s="3">
        <f>IFERROR(__xludf.DUMMYFUNCTION("""COMPUTED_VALUE"""),11.0)</f>
        <v>11</v>
      </c>
      <c r="BK91" s="3">
        <f>IFERROR(__xludf.DUMMYFUNCTION("""COMPUTED_VALUE"""),16.0)</f>
        <v>16</v>
      </c>
      <c r="BL91" s="3">
        <f>IFERROR(__xludf.DUMMYFUNCTION("""COMPUTED_VALUE"""),21.0)</f>
        <v>21</v>
      </c>
      <c r="BM91" s="3">
        <f>IFERROR(__xludf.DUMMYFUNCTION("""COMPUTED_VALUE"""),35.0)</f>
        <v>35</v>
      </c>
      <c r="BN91" s="3">
        <f>IFERROR(__xludf.DUMMYFUNCTION("""COMPUTED_VALUE"""),40.0)</f>
        <v>40</v>
      </c>
      <c r="BO91" s="3">
        <f>IFERROR(__xludf.DUMMYFUNCTION("""COMPUTED_VALUE"""),48.0)</f>
        <v>48</v>
      </c>
      <c r="BP91" s="3">
        <f>IFERROR(__xludf.DUMMYFUNCTION("""COMPUTED_VALUE"""),57.0)</f>
        <v>57</v>
      </c>
      <c r="BQ91" s="3">
        <f>IFERROR(__xludf.DUMMYFUNCTION("""COMPUTED_VALUE"""),67.0)</f>
        <v>67</v>
      </c>
      <c r="BR91" s="3">
        <f>IFERROR(__xludf.DUMMYFUNCTION("""COMPUTED_VALUE"""),80.0)</f>
        <v>80</v>
      </c>
      <c r="BS91" s="3">
        <f>IFERROR(__xludf.DUMMYFUNCTION("""COMPUTED_VALUE"""),119.0)</f>
        <v>119</v>
      </c>
      <c r="BT91" s="3">
        <f>IFERROR(__xludf.DUMMYFUNCTION("""COMPUTED_VALUE"""),139.0)</f>
        <v>139</v>
      </c>
      <c r="BU91" s="3">
        <f>IFERROR(__xludf.DUMMYFUNCTION("""COMPUTED_VALUE"""),170.0)</f>
        <v>170</v>
      </c>
      <c r="BV91" s="3">
        <f>IFERROR(__xludf.DUMMYFUNCTION("""COMPUTED_VALUE"""),186.0)</f>
        <v>186</v>
      </c>
      <c r="BW91" s="3">
        <f>IFERROR(__xludf.DUMMYFUNCTION("""COMPUTED_VALUE"""),212.0)</f>
        <v>212</v>
      </c>
      <c r="BX91" s="3">
        <f>IFERROR(__xludf.DUMMYFUNCTION("""COMPUTED_VALUE"""),233.0)</f>
        <v>233</v>
      </c>
      <c r="BY91" s="3">
        <f>IFERROR(__xludf.DUMMYFUNCTION("""COMPUTED_VALUE"""),269.0)</f>
        <v>269</v>
      </c>
      <c r="BZ91" s="3">
        <f>IFERROR(__xludf.DUMMYFUNCTION("""COMPUTED_VALUE"""),288.0)</f>
        <v>288</v>
      </c>
      <c r="CA91" s="3">
        <f>IFERROR(__xludf.DUMMYFUNCTION("""COMPUTED_VALUE"""),320.0)</f>
        <v>320</v>
      </c>
      <c r="CB91" s="3">
        <f>IFERROR(__xludf.DUMMYFUNCTION("""COMPUTED_VALUE"""),350.0)</f>
        <v>350</v>
      </c>
    </row>
    <row r="92">
      <c r="A92" s="3" t="str">
        <f>IFERROR(__xludf.DUMMYFUNCTION("""COMPUTED_VALUE"""),"")</f>
        <v/>
      </c>
      <c r="B92" s="3" t="str">
        <f>IFERROR(__xludf.DUMMYFUNCTION("""COMPUTED_VALUE"""),"Cyprus")</f>
        <v>Cyprus</v>
      </c>
      <c r="C92" s="3">
        <f>IFERROR(__xludf.DUMMYFUNCTION("""COMPUTED_VALUE"""),35.1264)</f>
        <v>35.1264</v>
      </c>
      <c r="D92" s="3">
        <f>IFERROR(__xludf.DUMMYFUNCTION("""COMPUTED_VALUE"""),33.4299)</f>
        <v>33.4299</v>
      </c>
      <c r="E92" s="3">
        <f>IFERROR(__xludf.DUMMYFUNCTION("""COMPUTED_VALUE"""),0.0)</f>
        <v>0</v>
      </c>
      <c r="F92" s="3">
        <f>IFERROR(__xludf.DUMMYFUNCTION("""COMPUTED_VALUE"""),0.0)</f>
        <v>0</v>
      </c>
      <c r="G92" s="3">
        <f>IFERROR(__xludf.DUMMYFUNCTION("""COMPUTED_VALUE"""),0.0)</f>
        <v>0</v>
      </c>
      <c r="H92" s="3">
        <f>IFERROR(__xludf.DUMMYFUNCTION("""COMPUTED_VALUE"""),0.0)</f>
        <v>0</v>
      </c>
      <c r="I92" s="3">
        <f>IFERROR(__xludf.DUMMYFUNCTION("""COMPUTED_VALUE"""),0.0)</f>
        <v>0</v>
      </c>
      <c r="J92" s="3">
        <f>IFERROR(__xludf.DUMMYFUNCTION("""COMPUTED_VALUE"""),0.0)</f>
        <v>0</v>
      </c>
      <c r="K92" s="3">
        <f>IFERROR(__xludf.DUMMYFUNCTION("""COMPUTED_VALUE"""),0.0)</f>
        <v>0</v>
      </c>
      <c r="L92" s="3">
        <f>IFERROR(__xludf.DUMMYFUNCTION("""COMPUTED_VALUE"""),0.0)</f>
        <v>0</v>
      </c>
      <c r="M92" s="3">
        <f>IFERROR(__xludf.DUMMYFUNCTION("""COMPUTED_VALUE"""),0.0)</f>
        <v>0</v>
      </c>
      <c r="N92" s="3">
        <f>IFERROR(__xludf.DUMMYFUNCTION("""COMPUTED_VALUE"""),0.0)</f>
        <v>0</v>
      </c>
      <c r="O92" s="3">
        <f>IFERROR(__xludf.DUMMYFUNCTION("""COMPUTED_VALUE"""),0.0)</f>
        <v>0</v>
      </c>
      <c r="P92" s="3">
        <f>IFERROR(__xludf.DUMMYFUNCTION("""COMPUTED_VALUE"""),0.0)</f>
        <v>0</v>
      </c>
      <c r="Q92" s="3">
        <f>IFERROR(__xludf.DUMMYFUNCTION("""COMPUTED_VALUE"""),0.0)</f>
        <v>0</v>
      </c>
      <c r="R92" s="3">
        <f>IFERROR(__xludf.DUMMYFUNCTION("""COMPUTED_VALUE"""),0.0)</f>
        <v>0</v>
      </c>
      <c r="S92" s="3">
        <f>IFERROR(__xludf.DUMMYFUNCTION("""COMPUTED_VALUE"""),0.0)</f>
        <v>0</v>
      </c>
      <c r="T92" s="3">
        <f>IFERROR(__xludf.DUMMYFUNCTION("""COMPUTED_VALUE"""),0.0)</f>
        <v>0</v>
      </c>
      <c r="U92" s="3">
        <f>IFERROR(__xludf.DUMMYFUNCTION("""COMPUTED_VALUE"""),0.0)</f>
        <v>0</v>
      </c>
      <c r="V92" s="3">
        <f>IFERROR(__xludf.DUMMYFUNCTION("""COMPUTED_VALUE"""),0.0)</f>
        <v>0</v>
      </c>
      <c r="W92" s="3">
        <f>IFERROR(__xludf.DUMMYFUNCTION("""COMPUTED_VALUE"""),0.0)</f>
        <v>0</v>
      </c>
      <c r="X92" s="3">
        <f>IFERROR(__xludf.DUMMYFUNCTION("""COMPUTED_VALUE"""),0.0)</f>
        <v>0</v>
      </c>
      <c r="Y92" s="3">
        <f>IFERROR(__xludf.DUMMYFUNCTION("""COMPUTED_VALUE"""),0.0)</f>
        <v>0</v>
      </c>
      <c r="Z92" s="3">
        <f>IFERROR(__xludf.DUMMYFUNCTION("""COMPUTED_VALUE"""),0.0)</f>
        <v>0</v>
      </c>
      <c r="AA92" s="3">
        <f>IFERROR(__xludf.DUMMYFUNCTION("""COMPUTED_VALUE"""),0.0)</f>
        <v>0</v>
      </c>
      <c r="AB92" s="3">
        <f>IFERROR(__xludf.DUMMYFUNCTION("""COMPUTED_VALUE"""),0.0)</f>
        <v>0</v>
      </c>
      <c r="AC92" s="3">
        <f>IFERROR(__xludf.DUMMYFUNCTION("""COMPUTED_VALUE"""),0.0)</f>
        <v>0</v>
      </c>
      <c r="AD92" s="3">
        <f>IFERROR(__xludf.DUMMYFUNCTION("""COMPUTED_VALUE"""),0.0)</f>
        <v>0</v>
      </c>
      <c r="AE92" s="3">
        <f>IFERROR(__xludf.DUMMYFUNCTION("""COMPUTED_VALUE"""),0.0)</f>
        <v>0</v>
      </c>
      <c r="AF92" s="3">
        <f>IFERROR(__xludf.DUMMYFUNCTION("""COMPUTED_VALUE"""),0.0)</f>
        <v>0</v>
      </c>
      <c r="AG92" s="3">
        <f>IFERROR(__xludf.DUMMYFUNCTION("""COMPUTED_VALUE"""),0.0)</f>
        <v>0</v>
      </c>
      <c r="AH92" s="3">
        <f>IFERROR(__xludf.DUMMYFUNCTION("""COMPUTED_VALUE"""),0.0)</f>
        <v>0</v>
      </c>
      <c r="AI92" s="3">
        <f>IFERROR(__xludf.DUMMYFUNCTION("""COMPUTED_VALUE"""),0.0)</f>
        <v>0</v>
      </c>
      <c r="AJ92" s="3">
        <f>IFERROR(__xludf.DUMMYFUNCTION("""COMPUTED_VALUE"""),0.0)</f>
        <v>0</v>
      </c>
      <c r="AK92" s="3">
        <f>IFERROR(__xludf.DUMMYFUNCTION("""COMPUTED_VALUE"""),0.0)</f>
        <v>0</v>
      </c>
      <c r="AL92" s="3">
        <f>IFERROR(__xludf.DUMMYFUNCTION("""COMPUTED_VALUE"""),0.0)</f>
        <v>0</v>
      </c>
      <c r="AM92" s="3">
        <f>IFERROR(__xludf.DUMMYFUNCTION("""COMPUTED_VALUE"""),0.0)</f>
        <v>0</v>
      </c>
      <c r="AN92" s="3">
        <f>IFERROR(__xludf.DUMMYFUNCTION("""COMPUTED_VALUE"""),0.0)</f>
        <v>0</v>
      </c>
      <c r="AO92" s="3">
        <f>IFERROR(__xludf.DUMMYFUNCTION("""COMPUTED_VALUE"""),0.0)</f>
        <v>0</v>
      </c>
      <c r="AP92" s="3">
        <f>IFERROR(__xludf.DUMMYFUNCTION("""COMPUTED_VALUE"""),0.0)</f>
        <v>0</v>
      </c>
      <c r="AQ92" s="3">
        <f>IFERROR(__xludf.DUMMYFUNCTION("""COMPUTED_VALUE"""),0.0)</f>
        <v>0</v>
      </c>
      <c r="AR92" s="3">
        <f>IFERROR(__xludf.DUMMYFUNCTION("""COMPUTED_VALUE"""),0.0)</f>
        <v>0</v>
      </c>
      <c r="AS92" s="3">
        <f>IFERROR(__xludf.DUMMYFUNCTION("""COMPUTED_VALUE"""),0.0)</f>
        <v>0</v>
      </c>
      <c r="AT92" s="3">
        <f>IFERROR(__xludf.DUMMYFUNCTION("""COMPUTED_VALUE"""),0.0)</f>
        <v>0</v>
      </c>
      <c r="AU92" s="3">
        <f>IFERROR(__xludf.DUMMYFUNCTION("""COMPUTED_VALUE"""),0.0)</f>
        <v>0</v>
      </c>
      <c r="AV92" s="3">
        <f>IFERROR(__xludf.DUMMYFUNCTION("""COMPUTED_VALUE"""),0.0)</f>
        <v>0</v>
      </c>
      <c r="AW92" s="3">
        <f>IFERROR(__xludf.DUMMYFUNCTION("""COMPUTED_VALUE"""),0.0)</f>
        <v>0</v>
      </c>
      <c r="AX92" s="3">
        <f>IFERROR(__xludf.DUMMYFUNCTION("""COMPUTED_VALUE"""),0.0)</f>
        <v>0</v>
      </c>
      <c r="AY92" s="3">
        <f>IFERROR(__xludf.DUMMYFUNCTION("""COMPUTED_VALUE"""),0.0)</f>
        <v>0</v>
      </c>
      <c r="AZ92" s="3">
        <f>IFERROR(__xludf.DUMMYFUNCTION("""COMPUTED_VALUE"""),2.0)</f>
        <v>2</v>
      </c>
      <c r="BA92" s="3">
        <f>IFERROR(__xludf.DUMMYFUNCTION("""COMPUTED_VALUE"""),3.0)</f>
        <v>3</v>
      </c>
      <c r="BB92" s="3">
        <f>IFERROR(__xludf.DUMMYFUNCTION("""COMPUTED_VALUE"""),6.0)</f>
        <v>6</v>
      </c>
      <c r="BC92" s="3">
        <f>IFERROR(__xludf.DUMMYFUNCTION("""COMPUTED_VALUE"""),6.0)</f>
        <v>6</v>
      </c>
      <c r="BD92" s="3">
        <f>IFERROR(__xludf.DUMMYFUNCTION("""COMPUTED_VALUE"""),14.0)</f>
        <v>14</v>
      </c>
      <c r="BE92" s="3">
        <f>IFERROR(__xludf.DUMMYFUNCTION("""COMPUTED_VALUE"""),26.0)</f>
        <v>26</v>
      </c>
      <c r="BF92" s="3">
        <f>IFERROR(__xludf.DUMMYFUNCTION("""COMPUTED_VALUE"""),26.0)</f>
        <v>26</v>
      </c>
      <c r="BG92" s="3">
        <f>IFERROR(__xludf.DUMMYFUNCTION("""COMPUTED_VALUE"""),33.0)</f>
        <v>33</v>
      </c>
      <c r="BH92" s="3">
        <f>IFERROR(__xludf.DUMMYFUNCTION("""COMPUTED_VALUE"""),46.0)</f>
        <v>46</v>
      </c>
      <c r="BI92" s="3">
        <f>IFERROR(__xludf.DUMMYFUNCTION("""COMPUTED_VALUE"""),49.0)</f>
        <v>49</v>
      </c>
      <c r="BJ92" s="3">
        <f>IFERROR(__xludf.DUMMYFUNCTION("""COMPUTED_VALUE"""),67.0)</f>
        <v>67</v>
      </c>
      <c r="BK92" s="3">
        <f>IFERROR(__xludf.DUMMYFUNCTION("""COMPUTED_VALUE"""),67.0)</f>
        <v>67</v>
      </c>
      <c r="BL92" s="3">
        <f>IFERROR(__xludf.DUMMYFUNCTION("""COMPUTED_VALUE"""),84.0)</f>
        <v>84</v>
      </c>
      <c r="BM92" s="3">
        <f>IFERROR(__xludf.DUMMYFUNCTION("""COMPUTED_VALUE"""),95.0)</f>
        <v>95</v>
      </c>
      <c r="BN92" s="3">
        <f>IFERROR(__xludf.DUMMYFUNCTION("""COMPUTED_VALUE"""),116.0)</f>
        <v>116</v>
      </c>
      <c r="BO92" s="3">
        <f>IFERROR(__xludf.DUMMYFUNCTION("""COMPUTED_VALUE"""),124.0)</f>
        <v>124</v>
      </c>
      <c r="BP92" s="3">
        <f>IFERROR(__xludf.DUMMYFUNCTION("""COMPUTED_VALUE"""),132.0)</f>
        <v>132</v>
      </c>
      <c r="BQ92" s="3">
        <f>IFERROR(__xludf.DUMMYFUNCTION("""COMPUTED_VALUE"""),146.0)</f>
        <v>146</v>
      </c>
      <c r="BR92" s="3">
        <f>IFERROR(__xludf.DUMMYFUNCTION("""COMPUTED_VALUE"""),162.0)</f>
        <v>162</v>
      </c>
      <c r="BS92" s="3">
        <f>IFERROR(__xludf.DUMMYFUNCTION("""COMPUTED_VALUE"""),179.0)</f>
        <v>179</v>
      </c>
      <c r="BT92" s="3">
        <f>IFERROR(__xludf.DUMMYFUNCTION("""COMPUTED_VALUE"""),214.0)</f>
        <v>214</v>
      </c>
      <c r="BU92" s="3">
        <f>IFERROR(__xludf.DUMMYFUNCTION("""COMPUTED_VALUE"""),230.0)</f>
        <v>230</v>
      </c>
      <c r="BV92" s="3">
        <f>IFERROR(__xludf.DUMMYFUNCTION("""COMPUTED_VALUE"""),262.0)</f>
        <v>262</v>
      </c>
      <c r="BW92" s="3">
        <f>IFERROR(__xludf.DUMMYFUNCTION("""COMPUTED_VALUE"""),320.0)</f>
        <v>320</v>
      </c>
      <c r="BX92" s="3">
        <f>IFERROR(__xludf.DUMMYFUNCTION("""COMPUTED_VALUE"""),356.0)</f>
        <v>356</v>
      </c>
      <c r="BY92" s="3">
        <f>IFERROR(__xludf.DUMMYFUNCTION("""COMPUTED_VALUE"""),396.0)</f>
        <v>396</v>
      </c>
      <c r="BZ92" s="3">
        <f>IFERROR(__xludf.DUMMYFUNCTION("""COMPUTED_VALUE"""),426.0)</f>
        <v>426</v>
      </c>
      <c r="CA92" s="3">
        <f>IFERROR(__xludf.DUMMYFUNCTION("""COMPUTED_VALUE"""),446.0)</f>
        <v>446</v>
      </c>
      <c r="CB92" s="3">
        <f>IFERROR(__xludf.DUMMYFUNCTION("""COMPUTED_VALUE"""),465.0)</f>
        <v>465</v>
      </c>
    </row>
    <row r="93">
      <c r="A93" s="3" t="str">
        <f>IFERROR(__xludf.DUMMYFUNCTION("""COMPUTED_VALUE"""),"")</f>
        <v/>
      </c>
      <c r="B93" s="3" t="str">
        <f>IFERROR(__xludf.DUMMYFUNCTION("""COMPUTED_VALUE"""),"Czechia")</f>
        <v>Czechia</v>
      </c>
      <c r="C93" s="3">
        <f>IFERROR(__xludf.DUMMYFUNCTION("""COMPUTED_VALUE"""),49.8175)</f>
        <v>49.8175</v>
      </c>
      <c r="D93" s="3">
        <f>IFERROR(__xludf.DUMMYFUNCTION("""COMPUTED_VALUE"""),15.473)</f>
        <v>15.473</v>
      </c>
      <c r="E93" s="3">
        <f>IFERROR(__xludf.DUMMYFUNCTION("""COMPUTED_VALUE"""),0.0)</f>
        <v>0</v>
      </c>
      <c r="F93" s="3">
        <f>IFERROR(__xludf.DUMMYFUNCTION("""COMPUTED_VALUE"""),0.0)</f>
        <v>0</v>
      </c>
      <c r="G93" s="3">
        <f>IFERROR(__xludf.DUMMYFUNCTION("""COMPUTED_VALUE"""),0.0)</f>
        <v>0</v>
      </c>
      <c r="H93" s="3">
        <f>IFERROR(__xludf.DUMMYFUNCTION("""COMPUTED_VALUE"""),0.0)</f>
        <v>0</v>
      </c>
      <c r="I93" s="3">
        <f>IFERROR(__xludf.DUMMYFUNCTION("""COMPUTED_VALUE"""),0.0)</f>
        <v>0</v>
      </c>
      <c r="J93" s="3">
        <f>IFERROR(__xludf.DUMMYFUNCTION("""COMPUTED_VALUE"""),0.0)</f>
        <v>0</v>
      </c>
      <c r="K93" s="3">
        <f>IFERROR(__xludf.DUMMYFUNCTION("""COMPUTED_VALUE"""),0.0)</f>
        <v>0</v>
      </c>
      <c r="L93" s="3">
        <f>IFERROR(__xludf.DUMMYFUNCTION("""COMPUTED_VALUE"""),0.0)</f>
        <v>0</v>
      </c>
      <c r="M93" s="3">
        <f>IFERROR(__xludf.DUMMYFUNCTION("""COMPUTED_VALUE"""),0.0)</f>
        <v>0</v>
      </c>
      <c r="N93" s="3">
        <f>IFERROR(__xludf.DUMMYFUNCTION("""COMPUTED_VALUE"""),0.0)</f>
        <v>0</v>
      </c>
      <c r="O93" s="3">
        <f>IFERROR(__xludf.DUMMYFUNCTION("""COMPUTED_VALUE"""),0.0)</f>
        <v>0</v>
      </c>
      <c r="P93" s="3">
        <f>IFERROR(__xludf.DUMMYFUNCTION("""COMPUTED_VALUE"""),0.0)</f>
        <v>0</v>
      </c>
      <c r="Q93" s="3">
        <f>IFERROR(__xludf.DUMMYFUNCTION("""COMPUTED_VALUE"""),0.0)</f>
        <v>0</v>
      </c>
      <c r="R93" s="3">
        <f>IFERROR(__xludf.DUMMYFUNCTION("""COMPUTED_VALUE"""),0.0)</f>
        <v>0</v>
      </c>
      <c r="S93" s="3">
        <f>IFERROR(__xludf.DUMMYFUNCTION("""COMPUTED_VALUE"""),0.0)</f>
        <v>0</v>
      </c>
      <c r="T93" s="3">
        <f>IFERROR(__xludf.DUMMYFUNCTION("""COMPUTED_VALUE"""),0.0)</f>
        <v>0</v>
      </c>
      <c r="U93" s="3">
        <f>IFERROR(__xludf.DUMMYFUNCTION("""COMPUTED_VALUE"""),0.0)</f>
        <v>0</v>
      </c>
      <c r="V93" s="3">
        <f>IFERROR(__xludf.DUMMYFUNCTION("""COMPUTED_VALUE"""),0.0)</f>
        <v>0</v>
      </c>
      <c r="W93" s="3">
        <f>IFERROR(__xludf.DUMMYFUNCTION("""COMPUTED_VALUE"""),0.0)</f>
        <v>0</v>
      </c>
      <c r="X93" s="3">
        <f>IFERROR(__xludf.DUMMYFUNCTION("""COMPUTED_VALUE"""),0.0)</f>
        <v>0</v>
      </c>
      <c r="Y93" s="3">
        <f>IFERROR(__xludf.DUMMYFUNCTION("""COMPUTED_VALUE"""),0.0)</f>
        <v>0</v>
      </c>
      <c r="Z93" s="3">
        <f>IFERROR(__xludf.DUMMYFUNCTION("""COMPUTED_VALUE"""),0.0)</f>
        <v>0</v>
      </c>
      <c r="AA93" s="3">
        <f>IFERROR(__xludf.DUMMYFUNCTION("""COMPUTED_VALUE"""),0.0)</f>
        <v>0</v>
      </c>
      <c r="AB93" s="3">
        <f>IFERROR(__xludf.DUMMYFUNCTION("""COMPUTED_VALUE"""),0.0)</f>
        <v>0</v>
      </c>
      <c r="AC93" s="3">
        <f>IFERROR(__xludf.DUMMYFUNCTION("""COMPUTED_VALUE"""),0.0)</f>
        <v>0</v>
      </c>
      <c r="AD93" s="3">
        <f>IFERROR(__xludf.DUMMYFUNCTION("""COMPUTED_VALUE"""),0.0)</f>
        <v>0</v>
      </c>
      <c r="AE93" s="3">
        <f>IFERROR(__xludf.DUMMYFUNCTION("""COMPUTED_VALUE"""),0.0)</f>
        <v>0</v>
      </c>
      <c r="AF93" s="3">
        <f>IFERROR(__xludf.DUMMYFUNCTION("""COMPUTED_VALUE"""),0.0)</f>
        <v>0</v>
      </c>
      <c r="AG93" s="3">
        <f>IFERROR(__xludf.DUMMYFUNCTION("""COMPUTED_VALUE"""),0.0)</f>
        <v>0</v>
      </c>
      <c r="AH93" s="3">
        <f>IFERROR(__xludf.DUMMYFUNCTION("""COMPUTED_VALUE"""),0.0)</f>
        <v>0</v>
      </c>
      <c r="AI93" s="3">
        <f>IFERROR(__xludf.DUMMYFUNCTION("""COMPUTED_VALUE"""),0.0)</f>
        <v>0</v>
      </c>
      <c r="AJ93" s="3">
        <f>IFERROR(__xludf.DUMMYFUNCTION("""COMPUTED_VALUE"""),0.0)</f>
        <v>0</v>
      </c>
      <c r="AK93" s="3">
        <f>IFERROR(__xludf.DUMMYFUNCTION("""COMPUTED_VALUE"""),0.0)</f>
        <v>0</v>
      </c>
      <c r="AL93" s="3">
        <f>IFERROR(__xludf.DUMMYFUNCTION("""COMPUTED_VALUE"""),0.0)</f>
        <v>0</v>
      </c>
      <c r="AM93" s="3">
        <f>IFERROR(__xludf.DUMMYFUNCTION("""COMPUTED_VALUE"""),0.0)</f>
        <v>0</v>
      </c>
      <c r="AN93" s="3">
        <f>IFERROR(__xludf.DUMMYFUNCTION("""COMPUTED_VALUE"""),0.0)</f>
        <v>0</v>
      </c>
      <c r="AO93" s="3">
        <f>IFERROR(__xludf.DUMMYFUNCTION("""COMPUTED_VALUE"""),0.0)</f>
        <v>0</v>
      </c>
      <c r="AP93" s="3">
        <f>IFERROR(__xludf.DUMMYFUNCTION("""COMPUTED_VALUE"""),0.0)</f>
        <v>0</v>
      </c>
      <c r="AQ93" s="3">
        <f>IFERROR(__xludf.DUMMYFUNCTION("""COMPUTED_VALUE"""),0.0)</f>
        <v>0</v>
      </c>
      <c r="AR93" s="3">
        <f>IFERROR(__xludf.DUMMYFUNCTION("""COMPUTED_VALUE"""),3.0)</f>
        <v>3</v>
      </c>
      <c r="AS93" s="3">
        <f>IFERROR(__xludf.DUMMYFUNCTION("""COMPUTED_VALUE"""),3.0)</f>
        <v>3</v>
      </c>
      <c r="AT93" s="3">
        <f>IFERROR(__xludf.DUMMYFUNCTION("""COMPUTED_VALUE"""),5.0)</f>
        <v>5</v>
      </c>
      <c r="AU93" s="3">
        <f>IFERROR(__xludf.DUMMYFUNCTION("""COMPUTED_VALUE"""),8.0)</f>
        <v>8</v>
      </c>
      <c r="AV93" s="3">
        <f>IFERROR(__xludf.DUMMYFUNCTION("""COMPUTED_VALUE"""),12.0)</f>
        <v>12</v>
      </c>
      <c r="AW93" s="3">
        <f>IFERROR(__xludf.DUMMYFUNCTION("""COMPUTED_VALUE"""),18.0)</f>
        <v>18</v>
      </c>
      <c r="AX93" s="3">
        <f>IFERROR(__xludf.DUMMYFUNCTION("""COMPUTED_VALUE"""),19.0)</f>
        <v>19</v>
      </c>
      <c r="AY93" s="3">
        <f>IFERROR(__xludf.DUMMYFUNCTION("""COMPUTED_VALUE"""),31.0)</f>
        <v>31</v>
      </c>
      <c r="AZ93" s="3">
        <f>IFERROR(__xludf.DUMMYFUNCTION("""COMPUTED_VALUE"""),31.0)</f>
        <v>31</v>
      </c>
      <c r="BA93" s="3">
        <f>IFERROR(__xludf.DUMMYFUNCTION("""COMPUTED_VALUE"""),41.0)</f>
        <v>41</v>
      </c>
      <c r="BB93" s="3">
        <f>IFERROR(__xludf.DUMMYFUNCTION("""COMPUTED_VALUE"""),91.0)</f>
        <v>91</v>
      </c>
      <c r="BC93" s="3">
        <f>IFERROR(__xludf.DUMMYFUNCTION("""COMPUTED_VALUE"""),94.0)</f>
        <v>94</v>
      </c>
      <c r="BD93" s="3">
        <f>IFERROR(__xludf.DUMMYFUNCTION("""COMPUTED_VALUE"""),141.0)</f>
        <v>141</v>
      </c>
      <c r="BE93" s="3">
        <f>IFERROR(__xludf.DUMMYFUNCTION("""COMPUTED_VALUE"""),189.0)</f>
        <v>189</v>
      </c>
      <c r="BF93" s="3">
        <f>IFERROR(__xludf.DUMMYFUNCTION("""COMPUTED_VALUE"""),253.0)</f>
        <v>253</v>
      </c>
      <c r="BG93" s="3">
        <f>IFERROR(__xludf.DUMMYFUNCTION("""COMPUTED_VALUE"""),298.0)</f>
        <v>298</v>
      </c>
      <c r="BH93" s="3">
        <f>IFERROR(__xludf.DUMMYFUNCTION("""COMPUTED_VALUE"""),396.0)</f>
        <v>396</v>
      </c>
      <c r="BI93" s="3">
        <f>IFERROR(__xludf.DUMMYFUNCTION("""COMPUTED_VALUE"""),464.0)</f>
        <v>464</v>
      </c>
      <c r="BJ93" s="3">
        <f>IFERROR(__xludf.DUMMYFUNCTION("""COMPUTED_VALUE"""),694.0)</f>
        <v>694</v>
      </c>
      <c r="BK93" s="3">
        <f>IFERROR(__xludf.DUMMYFUNCTION("""COMPUTED_VALUE"""),833.0)</f>
        <v>833</v>
      </c>
      <c r="BL93" s="3">
        <f>IFERROR(__xludf.DUMMYFUNCTION("""COMPUTED_VALUE"""),995.0)</f>
        <v>995</v>
      </c>
      <c r="BM93" s="3">
        <f>IFERROR(__xludf.DUMMYFUNCTION("""COMPUTED_VALUE"""),1120.0)</f>
        <v>1120</v>
      </c>
      <c r="BN93" s="3">
        <f>IFERROR(__xludf.DUMMYFUNCTION("""COMPUTED_VALUE"""),1236.0)</f>
        <v>1236</v>
      </c>
      <c r="BO93" s="3">
        <f>IFERROR(__xludf.DUMMYFUNCTION("""COMPUTED_VALUE"""),1394.0)</f>
        <v>1394</v>
      </c>
      <c r="BP93" s="3">
        <f>IFERROR(__xludf.DUMMYFUNCTION("""COMPUTED_VALUE"""),1654.0)</f>
        <v>1654</v>
      </c>
      <c r="BQ93" s="3">
        <f>IFERROR(__xludf.DUMMYFUNCTION("""COMPUTED_VALUE"""),1925.0)</f>
        <v>1925</v>
      </c>
      <c r="BR93" s="3">
        <f>IFERROR(__xludf.DUMMYFUNCTION("""COMPUTED_VALUE"""),2279.0)</f>
        <v>2279</v>
      </c>
      <c r="BS93" s="3">
        <f>IFERROR(__xludf.DUMMYFUNCTION("""COMPUTED_VALUE"""),2631.0)</f>
        <v>2631</v>
      </c>
      <c r="BT93" s="3">
        <f>IFERROR(__xludf.DUMMYFUNCTION("""COMPUTED_VALUE"""),2817.0)</f>
        <v>2817</v>
      </c>
      <c r="BU93" s="3">
        <f>IFERROR(__xludf.DUMMYFUNCTION("""COMPUTED_VALUE"""),3001.0)</f>
        <v>3001</v>
      </c>
      <c r="BV93" s="3">
        <f>IFERROR(__xludf.DUMMYFUNCTION("""COMPUTED_VALUE"""),3308.0)</f>
        <v>3308</v>
      </c>
      <c r="BW93" s="3">
        <f>IFERROR(__xludf.DUMMYFUNCTION("""COMPUTED_VALUE"""),3508.0)</f>
        <v>3508</v>
      </c>
      <c r="BX93" s="3">
        <f>IFERROR(__xludf.DUMMYFUNCTION("""COMPUTED_VALUE"""),3858.0)</f>
        <v>3858</v>
      </c>
      <c r="BY93" s="3">
        <f>IFERROR(__xludf.DUMMYFUNCTION("""COMPUTED_VALUE"""),4091.0)</f>
        <v>4091</v>
      </c>
      <c r="BZ93" s="3">
        <f>IFERROR(__xludf.DUMMYFUNCTION("""COMPUTED_VALUE"""),4472.0)</f>
        <v>4472</v>
      </c>
      <c r="CA93" s="3">
        <f>IFERROR(__xludf.DUMMYFUNCTION("""COMPUTED_VALUE"""),4587.0)</f>
        <v>4587</v>
      </c>
      <c r="CB93" s="3">
        <f>IFERROR(__xludf.DUMMYFUNCTION("""COMPUTED_VALUE"""),4822.0)</f>
        <v>4822</v>
      </c>
    </row>
    <row r="94">
      <c r="A94" s="3" t="str">
        <f>IFERROR(__xludf.DUMMYFUNCTION("""COMPUTED_VALUE"""),"Faroe Islands")</f>
        <v>Faroe Islands</v>
      </c>
      <c r="B94" s="3" t="str">
        <f>IFERROR(__xludf.DUMMYFUNCTION("""COMPUTED_VALUE"""),"Denmark")</f>
        <v>Denmark</v>
      </c>
      <c r="C94" s="3">
        <f>IFERROR(__xludf.DUMMYFUNCTION("""COMPUTED_VALUE"""),61.8926)</f>
        <v>61.8926</v>
      </c>
      <c r="D94" s="3">
        <f>IFERROR(__xludf.DUMMYFUNCTION("""COMPUTED_VALUE"""),-6.9118)</f>
        <v>-6.9118</v>
      </c>
      <c r="E94" s="3">
        <f>IFERROR(__xludf.DUMMYFUNCTION("""COMPUTED_VALUE"""),0.0)</f>
        <v>0</v>
      </c>
      <c r="F94" s="3">
        <f>IFERROR(__xludf.DUMMYFUNCTION("""COMPUTED_VALUE"""),0.0)</f>
        <v>0</v>
      </c>
      <c r="G94" s="3">
        <f>IFERROR(__xludf.DUMMYFUNCTION("""COMPUTED_VALUE"""),0.0)</f>
        <v>0</v>
      </c>
      <c r="H94" s="3">
        <f>IFERROR(__xludf.DUMMYFUNCTION("""COMPUTED_VALUE"""),0.0)</f>
        <v>0</v>
      </c>
      <c r="I94" s="3">
        <f>IFERROR(__xludf.DUMMYFUNCTION("""COMPUTED_VALUE"""),0.0)</f>
        <v>0</v>
      </c>
      <c r="J94" s="3">
        <f>IFERROR(__xludf.DUMMYFUNCTION("""COMPUTED_VALUE"""),0.0)</f>
        <v>0</v>
      </c>
      <c r="K94" s="3">
        <f>IFERROR(__xludf.DUMMYFUNCTION("""COMPUTED_VALUE"""),0.0)</f>
        <v>0</v>
      </c>
      <c r="L94" s="3">
        <f>IFERROR(__xludf.DUMMYFUNCTION("""COMPUTED_VALUE"""),0.0)</f>
        <v>0</v>
      </c>
      <c r="M94" s="3">
        <f>IFERROR(__xludf.DUMMYFUNCTION("""COMPUTED_VALUE"""),0.0)</f>
        <v>0</v>
      </c>
      <c r="N94" s="3">
        <f>IFERROR(__xludf.DUMMYFUNCTION("""COMPUTED_VALUE"""),0.0)</f>
        <v>0</v>
      </c>
      <c r="O94" s="3">
        <f>IFERROR(__xludf.DUMMYFUNCTION("""COMPUTED_VALUE"""),0.0)</f>
        <v>0</v>
      </c>
      <c r="P94" s="3">
        <f>IFERROR(__xludf.DUMMYFUNCTION("""COMPUTED_VALUE"""),0.0)</f>
        <v>0</v>
      </c>
      <c r="Q94" s="3">
        <f>IFERROR(__xludf.DUMMYFUNCTION("""COMPUTED_VALUE"""),0.0)</f>
        <v>0</v>
      </c>
      <c r="R94" s="3">
        <f>IFERROR(__xludf.DUMMYFUNCTION("""COMPUTED_VALUE"""),0.0)</f>
        <v>0</v>
      </c>
      <c r="S94" s="3">
        <f>IFERROR(__xludf.DUMMYFUNCTION("""COMPUTED_VALUE"""),0.0)</f>
        <v>0</v>
      </c>
      <c r="T94" s="3">
        <f>IFERROR(__xludf.DUMMYFUNCTION("""COMPUTED_VALUE"""),0.0)</f>
        <v>0</v>
      </c>
      <c r="U94" s="3">
        <f>IFERROR(__xludf.DUMMYFUNCTION("""COMPUTED_VALUE"""),0.0)</f>
        <v>0</v>
      </c>
      <c r="V94" s="3">
        <f>IFERROR(__xludf.DUMMYFUNCTION("""COMPUTED_VALUE"""),0.0)</f>
        <v>0</v>
      </c>
      <c r="W94" s="3">
        <f>IFERROR(__xludf.DUMMYFUNCTION("""COMPUTED_VALUE"""),0.0)</f>
        <v>0</v>
      </c>
      <c r="X94" s="3">
        <f>IFERROR(__xludf.DUMMYFUNCTION("""COMPUTED_VALUE"""),0.0)</f>
        <v>0</v>
      </c>
      <c r="Y94" s="3">
        <f>IFERROR(__xludf.DUMMYFUNCTION("""COMPUTED_VALUE"""),0.0)</f>
        <v>0</v>
      </c>
      <c r="Z94" s="3">
        <f>IFERROR(__xludf.DUMMYFUNCTION("""COMPUTED_VALUE"""),0.0)</f>
        <v>0</v>
      </c>
      <c r="AA94" s="3">
        <f>IFERROR(__xludf.DUMMYFUNCTION("""COMPUTED_VALUE"""),0.0)</f>
        <v>0</v>
      </c>
      <c r="AB94" s="3">
        <f>IFERROR(__xludf.DUMMYFUNCTION("""COMPUTED_VALUE"""),0.0)</f>
        <v>0</v>
      </c>
      <c r="AC94" s="3">
        <f>IFERROR(__xludf.DUMMYFUNCTION("""COMPUTED_VALUE"""),0.0)</f>
        <v>0</v>
      </c>
      <c r="AD94" s="3">
        <f>IFERROR(__xludf.DUMMYFUNCTION("""COMPUTED_VALUE"""),0.0)</f>
        <v>0</v>
      </c>
      <c r="AE94" s="3">
        <f>IFERROR(__xludf.DUMMYFUNCTION("""COMPUTED_VALUE"""),0.0)</f>
        <v>0</v>
      </c>
      <c r="AF94" s="3">
        <f>IFERROR(__xludf.DUMMYFUNCTION("""COMPUTED_VALUE"""),0.0)</f>
        <v>0</v>
      </c>
      <c r="AG94" s="3">
        <f>IFERROR(__xludf.DUMMYFUNCTION("""COMPUTED_VALUE"""),0.0)</f>
        <v>0</v>
      </c>
      <c r="AH94" s="3">
        <f>IFERROR(__xludf.DUMMYFUNCTION("""COMPUTED_VALUE"""),0.0)</f>
        <v>0</v>
      </c>
      <c r="AI94" s="3">
        <f>IFERROR(__xludf.DUMMYFUNCTION("""COMPUTED_VALUE"""),0.0)</f>
        <v>0</v>
      </c>
      <c r="AJ94" s="3">
        <f>IFERROR(__xludf.DUMMYFUNCTION("""COMPUTED_VALUE"""),0.0)</f>
        <v>0</v>
      </c>
      <c r="AK94" s="3">
        <f>IFERROR(__xludf.DUMMYFUNCTION("""COMPUTED_VALUE"""),0.0)</f>
        <v>0</v>
      </c>
      <c r="AL94" s="3">
        <f>IFERROR(__xludf.DUMMYFUNCTION("""COMPUTED_VALUE"""),0.0)</f>
        <v>0</v>
      </c>
      <c r="AM94" s="3">
        <f>IFERROR(__xludf.DUMMYFUNCTION("""COMPUTED_VALUE"""),0.0)</f>
        <v>0</v>
      </c>
      <c r="AN94" s="3">
        <f>IFERROR(__xludf.DUMMYFUNCTION("""COMPUTED_VALUE"""),0.0)</f>
        <v>0</v>
      </c>
      <c r="AO94" s="3">
        <f>IFERROR(__xludf.DUMMYFUNCTION("""COMPUTED_VALUE"""),0.0)</f>
        <v>0</v>
      </c>
      <c r="AP94" s="3">
        <f>IFERROR(__xludf.DUMMYFUNCTION("""COMPUTED_VALUE"""),0.0)</f>
        <v>0</v>
      </c>
      <c r="AQ94" s="3">
        <f>IFERROR(__xludf.DUMMYFUNCTION("""COMPUTED_VALUE"""),0.0)</f>
        <v>0</v>
      </c>
      <c r="AR94" s="3">
        <f>IFERROR(__xludf.DUMMYFUNCTION("""COMPUTED_VALUE"""),0.0)</f>
        <v>0</v>
      </c>
      <c r="AS94" s="3">
        <f>IFERROR(__xludf.DUMMYFUNCTION("""COMPUTED_VALUE"""),0.0)</f>
        <v>0</v>
      </c>
      <c r="AT94" s="3">
        <f>IFERROR(__xludf.DUMMYFUNCTION("""COMPUTED_VALUE"""),0.0)</f>
        <v>0</v>
      </c>
      <c r="AU94" s="3">
        <f>IFERROR(__xludf.DUMMYFUNCTION("""COMPUTED_VALUE"""),1.0)</f>
        <v>1</v>
      </c>
      <c r="AV94" s="3">
        <f>IFERROR(__xludf.DUMMYFUNCTION("""COMPUTED_VALUE"""),1.0)</f>
        <v>1</v>
      </c>
      <c r="AW94" s="3">
        <f>IFERROR(__xludf.DUMMYFUNCTION("""COMPUTED_VALUE"""),1.0)</f>
        <v>1</v>
      </c>
      <c r="AX94" s="3">
        <f>IFERROR(__xludf.DUMMYFUNCTION("""COMPUTED_VALUE"""),1.0)</f>
        <v>1</v>
      </c>
      <c r="AY94" s="3">
        <f>IFERROR(__xludf.DUMMYFUNCTION("""COMPUTED_VALUE"""),2.0)</f>
        <v>2</v>
      </c>
      <c r="AZ94" s="3">
        <f>IFERROR(__xludf.DUMMYFUNCTION("""COMPUTED_VALUE"""),2.0)</f>
        <v>2</v>
      </c>
      <c r="BA94" s="3">
        <f>IFERROR(__xludf.DUMMYFUNCTION("""COMPUTED_VALUE"""),2.0)</f>
        <v>2</v>
      </c>
      <c r="BB94" s="3">
        <f>IFERROR(__xludf.DUMMYFUNCTION("""COMPUTED_VALUE"""),2.0)</f>
        <v>2</v>
      </c>
      <c r="BC94" s="3">
        <f>IFERROR(__xludf.DUMMYFUNCTION("""COMPUTED_VALUE"""),2.0)</f>
        <v>2</v>
      </c>
      <c r="BD94" s="3">
        <f>IFERROR(__xludf.DUMMYFUNCTION("""COMPUTED_VALUE"""),3.0)</f>
        <v>3</v>
      </c>
      <c r="BE94" s="3">
        <f>IFERROR(__xludf.DUMMYFUNCTION("""COMPUTED_VALUE"""),9.0)</f>
        <v>9</v>
      </c>
      <c r="BF94" s="3">
        <f>IFERROR(__xludf.DUMMYFUNCTION("""COMPUTED_VALUE"""),11.0)</f>
        <v>11</v>
      </c>
      <c r="BG94" s="3">
        <f>IFERROR(__xludf.DUMMYFUNCTION("""COMPUTED_VALUE"""),18.0)</f>
        <v>18</v>
      </c>
      <c r="BH94" s="3">
        <f>IFERROR(__xludf.DUMMYFUNCTION("""COMPUTED_VALUE"""),47.0)</f>
        <v>47</v>
      </c>
      <c r="BI94" s="3">
        <f>IFERROR(__xludf.DUMMYFUNCTION("""COMPUTED_VALUE"""),58.0)</f>
        <v>58</v>
      </c>
      <c r="BJ94" s="3">
        <f>IFERROR(__xludf.DUMMYFUNCTION("""COMPUTED_VALUE"""),72.0)</f>
        <v>72</v>
      </c>
      <c r="BK94" s="3">
        <f>IFERROR(__xludf.DUMMYFUNCTION("""COMPUTED_VALUE"""),80.0)</f>
        <v>80</v>
      </c>
      <c r="BL94" s="3">
        <f>IFERROR(__xludf.DUMMYFUNCTION("""COMPUTED_VALUE"""),92.0)</f>
        <v>92</v>
      </c>
      <c r="BM94" s="3">
        <f>IFERROR(__xludf.DUMMYFUNCTION("""COMPUTED_VALUE"""),115.0)</f>
        <v>115</v>
      </c>
      <c r="BN94" s="3">
        <f>IFERROR(__xludf.DUMMYFUNCTION("""COMPUTED_VALUE"""),118.0)</f>
        <v>118</v>
      </c>
      <c r="BO94" s="3">
        <f>IFERROR(__xludf.DUMMYFUNCTION("""COMPUTED_VALUE"""),122.0)</f>
        <v>122</v>
      </c>
      <c r="BP94" s="3">
        <f>IFERROR(__xludf.DUMMYFUNCTION("""COMPUTED_VALUE"""),132.0)</f>
        <v>132</v>
      </c>
      <c r="BQ94" s="3">
        <f>IFERROR(__xludf.DUMMYFUNCTION("""COMPUTED_VALUE"""),140.0)</f>
        <v>140</v>
      </c>
      <c r="BR94" s="3">
        <f>IFERROR(__xludf.DUMMYFUNCTION("""COMPUTED_VALUE"""),144.0)</f>
        <v>144</v>
      </c>
      <c r="BS94" s="3">
        <f>IFERROR(__xludf.DUMMYFUNCTION("""COMPUTED_VALUE"""),155.0)</f>
        <v>155</v>
      </c>
      <c r="BT94" s="3">
        <f>IFERROR(__xludf.DUMMYFUNCTION("""COMPUTED_VALUE"""),159.0)</f>
        <v>159</v>
      </c>
      <c r="BU94" s="3">
        <f>IFERROR(__xludf.DUMMYFUNCTION("""COMPUTED_VALUE"""),168.0)</f>
        <v>168</v>
      </c>
      <c r="BV94" s="3">
        <f>IFERROR(__xludf.DUMMYFUNCTION("""COMPUTED_VALUE"""),169.0)</f>
        <v>169</v>
      </c>
      <c r="BW94" s="3">
        <f>IFERROR(__xludf.DUMMYFUNCTION("""COMPUTED_VALUE"""),173.0)</f>
        <v>173</v>
      </c>
      <c r="BX94" s="3">
        <f>IFERROR(__xludf.DUMMYFUNCTION("""COMPUTED_VALUE"""),177.0)</f>
        <v>177</v>
      </c>
      <c r="BY94" s="3">
        <f>IFERROR(__xludf.DUMMYFUNCTION("""COMPUTED_VALUE"""),179.0)</f>
        <v>179</v>
      </c>
      <c r="BZ94" s="3">
        <f>IFERROR(__xludf.DUMMYFUNCTION("""COMPUTED_VALUE"""),181.0)</f>
        <v>181</v>
      </c>
      <c r="CA94" s="3">
        <f>IFERROR(__xludf.DUMMYFUNCTION("""COMPUTED_VALUE"""),181.0)</f>
        <v>181</v>
      </c>
      <c r="CB94" s="3">
        <f>IFERROR(__xludf.DUMMYFUNCTION("""COMPUTED_VALUE"""),183.0)</f>
        <v>183</v>
      </c>
    </row>
    <row r="95">
      <c r="A95" s="3" t="str">
        <f>IFERROR(__xludf.DUMMYFUNCTION("""COMPUTED_VALUE"""),"Greenland")</f>
        <v>Greenland</v>
      </c>
      <c r="B95" s="3" t="str">
        <f>IFERROR(__xludf.DUMMYFUNCTION("""COMPUTED_VALUE"""),"Denmark")</f>
        <v>Denmark</v>
      </c>
      <c r="C95" s="3">
        <f>IFERROR(__xludf.DUMMYFUNCTION("""COMPUTED_VALUE"""),71.7069)</f>
        <v>71.7069</v>
      </c>
      <c r="D95" s="3">
        <f>IFERROR(__xludf.DUMMYFUNCTION("""COMPUTED_VALUE"""),-42.6043)</f>
        <v>-42.6043</v>
      </c>
      <c r="E95" s="3">
        <f>IFERROR(__xludf.DUMMYFUNCTION("""COMPUTED_VALUE"""),0.0)</f>
        <v>0</v>
      </c>
      <c r="F95" s="3">
        <f>IFERROR(__xludf.DUMMYFUNCTION("""COMPUTED_VALUE"""),0.0)</f>
        <v>0</v>
      </c>
      <c r="G95" s="3">
        <f>IFERROR(__xludf.DUMMYFUNCTION("""COMPUTED_VALUE"""),0.0)</f>
        <v>0</v>
      </c>
      <c r="H95" s="3">
        <f>IFERROR(__xludf.DUMMYFUNCTION("""COMPUTED_VALUE"""),0.0)</f>
        <v>0</v>
      </c>
      <c r="I95" s="3">
        <f>IFERROR(__xludf.DUMMYFUNCTION("""COMPUTED_VALUE"""),0.0)</f>
        <v>0</v>
      </c>
      <c r="J95" s="3">
        <f>IFERROR(__xludf.DUMMYFUNCTION("""COMPUTED_VALUE"""),0.0)</f>
        <v>0</v>
      </c>
      <c r="K95" s="3">
        <f>IFERROR(__xludf.DUMMYFUNCTION("""COMPUTED_VALUE"""),0.0)</f>
        <v>0</v>
      </c>
      <c r="L95" s="3">
        <f>IFERROR(__xludf.DUMMYFUNCTION("""COMPUTED_VALUE"""),0.0)</f>
        <v>0</v>
      </c>
      <c r="M95" s="3">
        <f>IFERROR(__xludf.DUMMYFUNCTION("""COMPUTED_VALUE"""),0.0)</f>
        <v>0</v>
      </c>
      <c r="N95" s="3">
        <f>IFERROR(__xludf.DUMMYFUNCTION("""COMPUTED_VALUE"""),0.0)</f>
        <v>0</v>
      </c>
      <c r="O95" s="3">
        <f>IFERROR(__xludf.DUMMYFUNCTION("""COMPUTED_VALUE"""),0.0)</f>
        <v>0</v>
      </c>
      <c r="P95" s="3">
        <f>IFERROR(__xludf.DUMMYFUNCTION("""COMPUTED_VALUE"""),0.0)</f>
        <v>0</v>
      </c>
      <c r="Q95" s="3">
        <f>IFERROR(__xludf.DUMMYFUNCTION("""COMPUTED_VALUE"""),0.0)</f>
        <v>0</v>
      </c>
      <c r="R95" s="3">
        <f>IFERROR(__xludf.DUMMYFUNCTION("""COMPUTED_VALUE"""),0.0)</f>
        <v>0</v>
      </c>
      <c r="S95" s="3">
        <f>IFERROR(__xludf.DUMMYFUNCTION("""COMPUTED_VALUE"""),0.0)</f>
        <v>0</v>
      </c>
      <c r="T95" s="3">
        <f>IFERROR(__xludf.DUMMYFUNCTION("""COMPUTED_VALUE"""),0.0)</f>
        <v>0</v>
      </c>
      <c r="U95" s="3">
        <f>IFERROR(__xludf.DUMMYFUNCTION("""COMPUTED_VALUE"""),0.0)</f>
        <v>0</v>
      </c>
      <c r="V95" s="3">
        <f>IFERROR(__xludf.DUMMYFUNCTION("""COMPUTED_VALUE"""),0.0)</f>
        <v>0</v>
      </c>
      <c r="W95" s="3">
        <f>IFERROR(__xludf.DUMMYFUNCTION("""COMPUTED_VALUE"""),0.0)</f>
        <v>0</v>
      </c>
      <c r="X95" s="3">
        <f>IFERROR(__xludf.DUMMYFUNCTION("""COMPUTED_VALUE"""),0.0)</f>
        <v>0</v>
      </c>
      <c r="Y95" s="3">
        <f>IFERROR(__xludf.DUMMYFUNCTION("""COMPUTED_VALUE"""),0.0)</f>
        <v>0</v>
      </c>
      <c r="Z95" s="3">
        <f>IFERROR(__xludf.DUMMYFUNCTION("""COMPUTED_VALUE"""),0.0)</f>
        <v>0</v>
      </c>
      <c r="AA95" s="3">
        <f>IFERROR(__xludf.DUMMYFUNCTION("""COMPUTED_VALUE"""),0.0)</f>
        <v>0</v>
      </c>
      <c r="AB95" s="3">
        <f>IFERROR(__xludf.DUMMYFUNCTION("""COMPUTED_VALUE"""),0.0)</f>
        <v>0</v>
      </c>
      <c r="AC95" s="3">
        <f>IFERROR(__xludf.DUMMYFUNCTION("""COMPUTED_VALUE"""),0.0)</f>
        <v>0</v>
      </c>
      <c r="AD95" s="3">
        <f>IFERROR(__xludf.DUMMYFUNCTION("""COMPUTED_VALUE"""),0.0)</f>
        <v>0</v>
      </c>
      <c r="AE95" s="3">
        <f>IFERROR(__xludf.DUMMYFUNCTION("""COMPUTED_VALUE"""),0.0)</f>
        <v>0</v>
      </c>
      <c r="AF95" s="3">
        <f>IFERROR(__xludf.DUMMYFUNCTION("""COMPUTED_VALUE"""),0.0)</f>
        <v>0</v>
      </c>
      <c r="AG95" s="3">
        <f>IFERROR(__xludf.DUMMYFUNCTION("""COMPUTED_VALUE"""),0.0)</f>
        <v>0</v>
      </c>
      <c r="AH95" s="3">
        <f>IFERROR(__xludf.DUMMYFUNCTION("""COMPUTED_VALUE"""),0.0)</f>
        <v>0</v>
      </c>
      <c r="AI95" s="3">
        <f>IFERROR(__xludf.DUMMYFUNCTION("""COMPUTED_VALUE"""),0.0)</f>
        <v>0</v>
      </c>
      <c r="AJ95" s="3">
        <f>IFERROR(__xludf.DUMMYFUNCTION("""COMPUTED_VALUE"""),0.0)</f>
        <v>0</v>
      </c>
      <c r="AK95" s="3">
        <f>IFERROR(__xludf.DUMMYFUNCTION("""COMPUTED_VALUE"""),0.0)</f>
        <v>0</v>
      </c>
      <c r="AL95" s="3">
        <f>IFERROR(__xludf.DUMMYFUNCTION("""COMPUTED_VALUE"""),0.0)</f>
        <v>0</v>
      </c>
      <c r="AM95" s="3">
        <f>IFERROR(__xludf.DUMMYFUNCTION("""COMPUTED_VALUE"""),0.0)</f>
        <v>0</v>
      </c>
      <c r="AN95" s="3">
        <f>IFERROR(__xludf.DUMMYFUNCTION("""COMPUTED_VALUE"""),0.0)</f>
        <v>0</v>
      </c>
      <c r="AO95" s="3">
        <f>IFERROR(__xludf.DUMMYFUNCTION("""COMPUTED_VALUE"""),0.0)</f>
        <v>0</v>
      </c>
      <c r="AP95" s="3">
        <f>IFERROR(__xludf.DUMMYFUNCTION("""COMPUTED_VALUE"""),0.0)</f>
        <v>0</v>
      </c>
      <c r="AQ95" s="3">
        <f>IFERROR(__xludf.DUMMYFUNCTION("""COMPUTED_VALUE"""),0.0)</f>
        <v>0</v>
      </c>
      <c r="AR95" s="3">
        <f>IFERROR(__xludf.DUMMYFUNCTION("""COMPUTED_VALUE"""),0.0)</f>
        <v>0</v>
      </c>
      <c r="AS95" s="3">
        <f>IFERROR(__xludf.DUMMYFUNCTION("""COMPUTED_VALUE"""),0.0)</f>
        <v>0</v>
      </c>
      <c r="AT95" s="3">
        <f>IFERROR(__xludf.DUMMYFUNCTION("""COMPUTED_VALUE"""),0.0)</f>
        <v>0</v>
      </c>
      <c r="AU95" s="3">
        <f>IFERROR(__xludf.DUMMYFUNCTION("""COMPUTED_VALUE"""),0.0)</f>
        <v>0</v>
      </c>
      <c r="AV95" s="3">
        <f>IFERROR(__xludf.DUMMYFUNCTION("""COMPUTED_VALUE"""),0.0)</f>
        <v>0</v>
      </c>
      <c r="AW95" s="3">
        <f>IFERROR(__xludf.DUMMYFUNCTION("""COMPUTED_VALUE"""),0.0)</f>
        <v>0</v>
      </c>
      <c r="AX95" s="3">
        <f>IFERROR(__xludf.DUMMYFUNCTION("""COMPUTED_VALUE"""),0.0)</f>
        <v>0</v>
      </c>
      <c r="AY95" s="3">
        <f>IFERROR(__xludf.DUMMYFUNCTION("""COMPUTED_VALUE"""),0.0)</f>
        <v>0</v>
      </c>
      <c r="AZ95" s="3">
        <f>IFERROR(__xludf.DUMMYFUNCTION("""COMPUTED_VALUE"""),0.0)</f>
        <v>0</v>
      </c>
      <c r="BA95" s="3">
        <f>IFERROR(__xludf.DUMMYFUNCTION("""COMPUTED_VALUE"""),0.0)</f>
        <v>0</v>
      </c>
      <c r="BB95" s="3">
        <f>IFERROR(__xludf.DUMMYFUNCTION("""COMPUTED_VALUE"""),0.0)</f>
        <v>0</v>
      </c>
      <c r="BC95" s="3">
        <f>IFERROR(__xludf.DUMMYFUNCTION("""COMPUTED_VALUE"""),0.0)</f>
        <v>0</v>
      </c>
      <c r="BD95" s="3">
        <f>IFERROR(__xludf.DUMMYFUNCTION("""COMPUTED_VALUE"""),0.0)</f>
        <v>0</v>
      </c>
      <c r="BE95" s="3">
        <f>IFERROR(__xludf.DUMMYFUNCTION("""COMPUTED_VALUE"""),0.0)</f>
        <v>0</v>
      </c>
      <c r="BF95" s="3">
        <f>IFERROR(__xludf.DUMMYFUNCTION("""COMPUTED_VALUE"""),0.0)</f>
        <v>0</v>
      </c>
      <c r="BG95" s="3">
        <f>IFERROR(__xludf.DUMMYFUNCTION("""COMPUTED_VALUE"""),1.0)</f>
        <v>1</v>
      </c>
      <c r="BH95" s="3">
        <f>IFERROR(__xludf.DUMMYFUNCTION("""COMPUTED_VALUE"""),1.0)</f>
        <v>1</v>
      </c>
      <c r="BI95" s="3">
        <f>IFERROR(__xludf.DUMMYFUNCTION("""COMPUTED_VALUE"""),1.0)</f>
        <v>1</v>
      </c>
      <c r="BJ95" s="3">
        <f>IFERROR(__xludf.DUMMYFUNCTION("""COMPUTED_VALUE"""),2.0)</f>
        <v>2</v>
      </c>
      <c r="BK95" s="3">
        <f>IFERROR(__xludf.DUMMYFUNCTION("""COMPUTED_VALUE"""),2.0)</f>
        <v>2</v>
      </c>
      <c r="BL95" s="3">
        <f>IFERROR(__xludf.DUMMYFUNCTION("""COMPUTED_VALUE"""),2.0)</f>
        <v>2</v>
      </c>
      <c r="BM95" s="3">
        <f>IFERROR(__xludf.DUMMYFUNCTION("""COMPUTED_VALUE"""),4.0)</f>
        <v>4</v>
      </c>
      <c r="BN95" s="3">
        <f>IFERROR(__xludf.DUMMYFUNCTION("""COMPUTED_VALUE"""),4.0)</f>
        <v>4</v>
      </c>
      <c r="BO95" s="3">
        <f>IFERROR(__xludf.DUMMYFUNCTION("""COMPUTED_VALUE"""),5.0)</f>
        <v>5</v>
      </c>
      <c r="BP95" s="3">
        <f>IFERROR(__xludf.DUMMYFUNCTION("""COMPUTED_VALUE"""),6.0)</f>
        <v>6</v>
      </c>
      <c r="BQ95" s="3">
        <f>IFERROR(__xludf.DUMMYFUNCTION("""COMPUTED_VALUE"""),6.0)</f>
        <v>6</v>
      </c>
      <c r="BR95" s="3">
        <f>IFERROR(__xludf.DUMMYFUNCTION("""COMPUTED_VALUE"""),10.0)</f>
        <v>10</v>
      </c>
      <c r="BS95" s="3">
        <f>IFERROR(__xludf.DUMMYFUNCTION("""COMPUTED_VALUE"""),10.0)</f>
        <v>10</v>
      </c>
      <c r="BT95" s="3">
        <f>IFERROR(__xludf.DUMMYFUNCTION("""COMPUTED_VALUE"""),10.0)</f>
        <v>10</v>
      </c>
      <c r="BU95" s="3">
        <f>IFERROR(__xludf.DUMMYFUNCTION("""COMPUTED_VALUE"""),10.0)</f>
        <v>10</v>
      </c>
      <c r="BV95" s="3">
        <f>IFERROR(__xludf.DUMMYFUNCTION("""COMPUTED_VALUE"""),10.0)</f>
        <v>10</v>
      </c>
      <c r="BW95" s="3">
        <f>IFERROR(__xludf.DUMMYFUNCTION("""COMPUTED_VALUE"""),10.0)</f>
        <v>10</v>
      </c>
      <c r="BX95" s="3">
        <f>IFERROR(__xludf.DUMMYFUNCTION("""COMPUTED_VALUE"""),10.0)</f>
        <v>10</v>
      </c>
      <c r="BY95" s="3">
        <f>IFERROR(__xludf.DUMMYFUNCTION("""COMPUTED_VALUE"""),10.0)</f>
        <v>10</v>
      </c>
      <c r="BZ95" s="3">
        <f>IFERROR(__xludf.DUMMYFUNCTION("""COMPUTED_VALUE"""),11.0)</f>
        <v>11</v>
      </c>
      <c r="CA95" s="3">
        <f>IFERROR(__xludf.DUMMYFUNCTION("""COMPUTED_VALUE"""),11.0)</f>
        <v>11</v>
      </c>
      <c r="CB95" s="3">
        <f>IFERROR(__xludf.DUMMYFUNCTION("""COMPUTED_VALUE"""),11.0)</f>
        <v>11</v>
      </c>
    </row>
    <row r="96">
      <c r="A96" s="3" t="str">
        <f>IFERROR(__xludf.DUMMYFUNCTION("""COMPUTED_VALUE"""),"")</f>
        <v/>
      </c>
      <c r="B96" s="3" t="str">
        <f>IFERROR(__xludf.DUMMYFUNCTION("""COMPUTED_VALUE"""),"Denmark")</f>
        <v>Denmark</v>
      </c>
      <c r="C96" s="3">
        <f>IFERROR(__xludf.DUMMYFUNCTION("""COMPUTED_VALUE"""),56.2639)</f>
        <v>56.2639</v>
      </c>
      <c r="D96" s="3">
        <f>IFERROR(__xludf.DUMMYFUNCTION("""COMPUTED_VALUE"""),9.5018)</f>
        <v>9.5018</v>
      </c>
      <c r="E96" s="3">
        <f>IFERROR(__xludf.DUMMYFUNCTION("""COMPUTED_VALUE"""),0.0)</f>
        <v>0</v>
      </c>
      <c r="F96" s="3">
        <f>IFERROR(__xludf.DUMMYFUNCTION("""COMPUTED_VALUE"""),0.0)</f>
        <v>0</v>
      </c>
      <c r="G96" s="3">
        <f>IFERROR(__xludf.DUMMYFUNCTION("""COMPUTED_VALUE"""),0.0)</f>
        <v>0</v>
      </c>
      <c r="H96" s="3">
        <f>IFERROR(__xludf.DUMMYFUNCTION("""COMPUTED_VALUE"""),0.0)</f>
        <v>0</v>
      </c>
      <c r="I96" s="3">
        <f>IFERROR(__xludf.DUMMYFUNCTION("""COMPUTED_VALUE"""),0.0)</f>
        <v>0</v>
      </c>
      <c r="J96" s="3">
        <f>IFERROR(__xludf.DUMMYFUNCTION("""COMPUTED_VALUE"""),0.0)</f>
        <v>0</v>
      </c>
      <c r="K96" s="3">
        <f>IFERROR(__xludf.DUMMYFUNCTION("""COMPUTED_VALUE"""),0.0)</f>
        <v>0</v>
      </c>
      <c r="L96" s="3">
        <f>IFERROR(__xludf.DUMMYFUNCTION("""COMPUTED_VALUE"""),0.0)</f>
        <v>0</v>
      </c>
      <c r="M96" s="3">
        <f>IFERROR(__xludf.DUMMYFUNCTION("""COMPUTED_VALUE"""),0.0)</f>
        <v>0</v>
      </c>
      <c r="N96" s="3">
        <f>IFERROR(__xludf.DUMMYFUNCTION("""COMPUTED_VALUE"""),0.0)</f>
        <v>0</v>
      </c>
      <c r="O96" s="3">
        <f>IFERROR(__xludf.DUMMYFUNCTION("""COMPUTED_VALUE"""),0.0)</f>
        <v>0</v>
      </c>
      <c r="P96" s="3">
        <f>IFERROR(__xludf.DUMMYFUNCTION("""COMPUTED_VALUE"""),0.0)</f>
        <v>0</v>
      </c>
      <c r="Q96" s="3">
        <f>IFERROR(__xludf.DUMMYFUNCTION("""COMPUTED_VALUE"""),0.0)</f>
        <v>0</v>
      </c>
      <c r="R96" s="3">
        <f>IFERROR(__xludf.DUMMYFUNCTION("""COMPUTED_VALUE"""),0.0)</f>
        <v>0</v>
      </c>
      <c r="S96" s="3">
        <f>IFERROR(__xludf.DUMMYFUNCTION("""COMPUTED_VALUE"""),0.0)</f>
        <v>0</v>
      </c>
      <c r="T96" s="3">
        <f>IFERROR(__xludf.DUMMYFUNCTION("""COMPUTED_VALUE"""),0.0)</f>
        <v>0</v>
      </c>
      <c r="U96" s="3">
        <f>IFERROR(__xludf.DUMMYFUNCTION("""COMPUTED_VALUE"""),0.0)</f>
        <v>0</v>
      </c>
      <c r="V96" s="3">
        <f>IFERROR(__xludf.DUMMYFUNCTION("""COMPUTED_VALUE"""),0.0)</f>
        <v>0</v>
      </c>
      <c r="W96" s="3">
        <f>IFERROR(__xludf.DUMMYFUNCTION("""COMPUTED_VALUE"""),0.0)</f>
        <v>0</v>
      </c>
      <c r="X96" s="3">
        <f>IFERROR(__xludf.DUMMYFUNCTION("""COMPUTED_VALUE"""),0.0)</f>
        <v>0</v>
      </c>
      <c r="Y96" s="3">
        <f>IFERROR(__xludf.DUMMYFUNCTION("""COMPUTED_VALUE"""),0.0)</f>
        <v>0</v>
      </c>
      <c r="Z96" s="3">
        <f>IFERROR(__xludf.DUMMYFUNCTION("""COMPUTED_VALUE"""),0.0)</f>
        <v>0</v>
      </c>
      <c r="AA96" s="3">
        <f>IFERROR(__xludf.DUMMYFUNCTION("""COMPUTED_VALUE"""),0.0)</f>
        <v>0</v>
      </c>
      <c r="AB96" s="3">
        <f>IFERROR(__xludf.DUMMYFUNCTION("""COMPUTED_VALUE"""),0.0)</f>
        <v>0</v>
      </c>
      <c r="AC96" s="3">
        <f>IFERROR(__xludf.DUMMYFUNCTION("""COMPUTED_VALUE"""),0.0)</f>
        <v>0</v>
      </c>
      <c r="AD96" s="3">
        <f>IFERROR(__xludf.DUMMYFUNCTION("""COMPUTED_VALUE"""),0.0)</f>
        <v>0</v>
      </c>
      <c r="AE96" s="3">
        <f>IFERROR(__xludf.DUMMYFUNCTION("""COMPUTED_VALUE"""),0.0)</f>
        <v>0</v>
      </c>
      <c r="AF96" s="3">
        <f>IFERROR(__xludf.DUMMYFUNCTION("""COMPUTED_VALUE"""),0.0)</f>
        <v>0</v>
      </c>
      <c r="AG96" s="3">
        <f>IFERROR(__xludf.DUMMYFUNCTION("""COMPUTED_VALUE"""),0.0)</f>
        <v>0</v>
      </c>
      <c r="AH96" s="3">
        <f>IFERROR(__xludf.DUMMYFUNCTION("""COMPUTED_VALUE"""),0.0)</f>
        <v>0</v>
      </c>
      <c r="AI96" s="3">
        <f>IFERROR(__xludf.DUMMYFUNCTION("""COMPUTED_VALUE"""),0.0)</f>
        <v>0</v>
      </c>
      <c r="AJ96" s="3">
        <f>IFERROR(__xludf.DUMMYFUNCTION("""COMPUTED_VALUE"""),0.0)</f>
        <v>0</v>
      </c>
      <c r="AK96" s="3">
        <f>IFERROR(__xludf.DUMMYFUNCTION("""COMPUTED_VALUE"""),0.0)</f>
        <v>0</v>
      </c>
      <c r="AL96" s="3">
        <f>IFERROR(__xludf.DUMMYFUNCTION("""COMPUTED_VALUE"""),0.0)</f>
        <v>0</v>
      </c>
      <c r="AM96" s="3">
        <f>IFERROR(__xludf.DUMMYFUNCTION("""COMPUTED_VALUE"""),0.0)</f>
        <v>0</v>
      </c>
      <c r="AN96" s="3">
        <f>IFERROR(__xludf.DUMMYFUNCTION("""COMPUTED_VALUE"""),0.0)</f>
        <v>0</v>
      </c>
      <c r="AO96" s="3">
        <f>IFERROR(__xludf.DUMMYFUNCTION("""COMPUTED_VALUE"""),1.0)</f>
        <v>1</v>
      </c>
      <c r="AP96" s="3">
        <f>IFERROR(__xludf.DUMMYFUNCTION("""COMPUTED_VALUE"""),1.0)</f>
        <v>1</v>
      </c>
      <c r="AQ96" s="3">
        <f>IFERROR(__xludf.DUMMYFUNCTION("""COMPUTED_VALUE"""),3.0)</f>
        <v>3</v>
      </c>
      <c r="AR96" s="3">
        <f>IFERROR(__xludf.DUMMYFUNCTION("""COMPUTED_VALUE"""),4.0)</f>
        <v>4</v>
      </c>
      <c r="AS96" s="3">
        <f>IFERROR(__xludf.DUMMYFUNCTION("""COMPUTED_VALUE"""),4.0)</f>
        <v>4</v>
      </c>
      <c r="AT96" s="3">
        <f>IFERROR(__xludf.DUMMYFUNCTION("""COMPUTED_VALUE"""),6.0)</f>
        <v>6</v>
      </c>
      <c r="AU96" s="3">
        <f>IFERROR(__xludf.DUMMYFUNCTION("""COMPUTED_VALUE"""),10.0)</f>
        <v>10</v>
      </c>
      <c r="AV96" s="3">
        <f>IFERROR(__xludf.DUMMYFUNCTION("""COMPUTED_VALUE"""),10.0)</f>
        <v>10</v>
      </c>
      <c r="AW96" s="3">
        <f>IFERROR(__xludf.DUMMYFUNCTION("""COMPUTED_VALUE"""),23.0)</f>
        <v>23</v>
      </c>
      <c r="AX96" s="3">
        <f>IFERROR(__xludf.DUMMYFUNCTION("""COMPUTED_VALUE"""),23.0)</f>
        <v>23</v>
      </c>
      <c r="AY96" s="3">
        <f>IFERROR(__xludf.DUMMYFUNCTION("""COMPUTED_VALUE"""),35.0)</f>
        <v>35</v>
      </c>
      <c r="AZ96" s="3">
        <f>IFERROR(__xludf.DUMMYFUNCTION("""COMPUTED_VALUE"""),90.0)</f>
        <v>90</v>
      </c>
      <c r="BA96" s="3">
        <f>IFERROR(__xludf.DUMMYFUNCTION("""COMPUTED_VALUE"""),262.0)</f>
        <v>262</v>
      </c>
      <c r="BB96" s="3">
        <f>IFERROR(__xludf.DUMMYFUNCTION("""COMPUTED_VALUE"""),442.0)</f>
        <v>442</v>
      </c>
      <c r="BC96" s="3">
        <f>IFERROR(__xludf.DUMMYFUNCTION("""COMPUTED_VALUE"""),615.0)</f>
        <v>615</v>
      </c>
      <c r="BD96" s="3">
        <f>IFERROR(__xludf.DUMMYFUNCTION("""COMPUTED_VALUE"""),801.0)</f>
        <v>801</v>
      </c>
      <c r="BE96" s="3">
        <f>IFERROR(__xludf.DUMMYFUNCTION("""COMPUTED_VALUE"""),827.0)</f>
        <v>827</v>
      </c>
      <c r="BF96" s="3">
        <f>IFERROR(__xludf.DUMMYFUNCTION("""COMPUTED_VALUE"""),864.0)</f>
        <v>864</v>
      </c>
      <c r="BG96" s="3">
        <f>IFERROR(__xludf.DUMMYFUNCTION("""COMPUTED_VALUE"""),914.0)</f>
        <v>914</v>
      </c>
      <c r="BH96" s="3">
        <f>IFERROR(__xludf.DUMMYFUNCTION("""COMPUTED_VALUE"""),977.0)</f>
        <v>977</v>
      </c>
      <c r="BI96" s="3">
        <f>IFERROR(__xludf.DUMMYFUNCTION("""COMPUTED_VALUE"""),1057.0)</f>
        <v>1057</v>
      </c>
      <c r="BJ96" s="3">
        <f>IFERROR(__xludf.DUMMYFUNCTION("""COMPUTED_VALUE"""),1151.0)</f>
        <v>1151</v>
      </c>
      <c r="BK96" s="3">
        <f>IFERROR(__xludf.DUMMYFUNCTION("""COMPUTED_VALUE"""),1255.0)</f>
        <v>1255</v>
      </c>
      <c r="BL96" s="3">
        <f>IFERROR(__xludf.DUMMYFUNCTION("""COMPUTED_VALUE"""),1326.0)</f>
        <v>1326</v>
      </c>
      <c r="BM96" s="3">
        <f>IFERROR(__xludf.DUMMYFUNCTION("""COMPUTED_VALUE"""),1395.0)</f>
        <v>1395</v>
      </c>
      <c r="BN96" s="3">
        <f>IFERROR(__xludf.DUMMYFUNCTION("""COMPUTED_VALUE"""),1450.0)</f>
        <v>1450</v>
      </c>
      <c r="BO96" s="3">
        <f>IFERROR(__xludf.DUMMYFUNCTION("""COMPUTED_VALUE"""),1591.0)</f>
        <v>1591</v>
      </c>
      <c r="BP96" s="3">
        <f>IFERROR(__xludf.DUMMYFUNCTION("""COMPUTED_VALUE"""),1724.0)</f>
        <v>1724</v>
      </c>
      <c r="BQ96" s="3">
        <f>IFERROR(__xludf.DUMMYFUNCTION("""COMPUTED_VALUE"""),1877.0)</f>
        <v>1877</v>
      </c>
      <c r="BR96" s="3">
        <f>IFERROR(__xludf.DUMMYFUNCTION("""COMPUTED_VALUE"""),2046.0)</f>
        <v>2046</v>
      </c>
      <c r="BS96" s="3">
        <f>IFERROR(__xludf.DUMMYFUNCTION("""COMPUTED_VALUE"""),2201.0)</f>
        <v>2201</v>
      </c>
      <c r="BT96" s="3">
        <f>IFERROR(__xludf.DUMMYFUNCTION("""COMPUTED_VALUE"""),2395.0)</f>
        <v>2395</v>
      </c>
      <c r="BU96" s="3">
        <f>IFERROR(__xludf.DUMMYFUNCTION("""COMPUTED_VALUE"""),2577.0)</f>
        <v>2577</v>
      </c>
      <c r="BV96" s="3">
        <f>IFERROR(__xludf.DUMMYFUNCTION("""COMPUTED_VALUE"""),2860.0)</f>
        <v>2860</v>
      </c>
      <c r="BW96" s="3">
        <f>IFERROR(__xludf.DUMMYFUNCTION("""COMPUTED_VALUE"""),3107.0)</f>
        <v>3107</v>
      </c>
      <c r="BX96" s="3">
        <f>IFERROR(__xludf.DUMMYFUNCTION("""COMPUTED_VALUE"""),3386.0)</f>
        <v>3386</v>
      </c>
      <c r="BY96" s="3">
        <f>IFERROR(__xludf.DUMMYFUNCTION("""COMPUTED_VALUE"""),3757.0)</f>
        <v>3757</v>
      </c>
      <c r="BZ96" s="3">
        <f>IFERROR(__xludf.DUMMYFUNCTION("""COMPUTED_VALUE"""),4077.0)</f>
        <v>4077</v>
      </c>
      <c r="CA96" s="3">
        <f>IFERROR(__xludf.DUMMYFUNCTION("""COMPUTED_VALUE"""),4369.0)</f>
        <v>4369</v>
      </c>
      <c r="CB96" s="3">
        <f>IFERROR(__xludf.DUMMYFUNCTION("""COMPUTED_VALUE"""),4681.0)</f>
        <v>4681</v>
      </c>
    </row>
    <row r="97">
      <c r="A97" s="3" t="str">
        <f>IFERROR(__xludf.DUMMYFUNCTION("""COMPUTED_VALUE"""),"")</f>
        <v/>
      </c>
      <c r="B97" s="3" t="str">
        <f>IFERROR(__xludf.DUMMYFUNCTION("""COMPUTED_VALUE"""),"Djibouti")</f>
        <v>Djibouti</v>
      </c>
      <c r="C97" s="3">
        <f>IFERROR(__xludf.DUMMYFUNCTION("""COMPUTED_VALUE"""),11.8251)</f>
        <v>11.8251</v>
      </c>
      <c r="D97" s="3">
        <f>IFERROR(__xludf.DUMMYFUNCTION("""COMPUTED_VALUE"""),42.5903)</f>
        <v>42.5903</v>
      </c>
      <c r="E97" s="3">
        <f>IFERROR(__xludf.DUMMYFUNCTION("""COMPUTED_VALUE"""),0.0)</f>
        <v>0</v>
      </c>
      <c r="F97" s="3">
        <f>IFERROR(__xludf.DUMMYFUNCTION("""COMPUTED_VALUE"""),0.0)</f>
        <v>0</v>
      </c>
      <c r="G97" s="3">
        <f>IFERROR(__xludf.DUMMYFUNCTION("""COMPUTED_VALUE"""),0.0)</f>
        <v>0</v>
      </c>
      <c r="H97" s="3">
        <f>IFERROR(__xludf.DUMMYFUNCTION("""COMPUTED_VALUE"""),0.0)</f>
        <v>0</v>
      </c>
      <c r="I97" s="3">
        <f>IFERROR(__xludf.DUMMYFUNCTION("""COMPUTED_VALUE"""),0.0)</f>
        <v>0</v>
      </c>
      <c r="J97" s="3">
        <f>IFERROR(__xludf.DUMMYFUNCTION("""COMPUTED_VALUE"""),0.0)</f>
        <v>0</v>
      </c>
      <c r="K97" s="3">
        <f>IFERROR(__xludf.DUMMYFUNCTION("""COMPUTED_VALUE"""),0.0)</f>
        <v>0</v>
      </c>
      <c r="L97" s="3">
        <f>IFERROR(__xludf.DUMMYFUNCTION("""COMPUTED_VALUE"""),0.0)</f>
        <v>0</v>
      </c>
      <c r="M97" s="3">
        <f>IFERROR(__xludf.DUMMYFUNCTION("""COMPUTED_VALUE"""),0.0)</f>
        <v>0</v>
      </c>
      <c r="N97" s="3">
        <f>IFERROR(__xludf.DUMMYFUNCTION("""COMPUTED_VALUE"""),0.0)</f>
        <v>0</v>
      </c>
      <c r="O97" s="3">
        <f>IFERROR(__xludf.DUMMYFUNCTION("""COMPUTED_VALUE"""),0.0)</f>
        <v>0</v>
      </c>
      <c r="P97" s="3">
        <f>IFERROR(__xludf.DUMMYFUNCTION("""COMPUTED_VALUE"""),0.0)</f>
        <v>0</v>
      </c>
      <c r="Q97" s="3">
        <f>IFERROR(__xludf.DUMMYFUNCTION("""COMPUTED_VALUE"""),0.0)</f>
        <v>0</v>
      </c>
      <c r="R97" s="3">
        <f>IFERROR(__xludf.DUMMYFUNCTION("""COMPUTED_VALUE"""),0.0)</f>
        <v>0</v>
      </c>
      <c r="S97" s="3">
        <f>IFERROR(__xludf.DUMMYFUNCTION("""COMPUTED_VALUE"""),0.0)</f>
        <v>0</v>
      </c>
      <c r="T97" s="3">
        <f>IFERROR(__xludf.DUMMYFUNCTION("""COMPUTED_VALUE"""),0.0)</f>
        <v>0</v>
      </c>
      <c r="U97" s="3">
        <f>IFERROR(__xludf.DUMMYFUNCTION("""COMPUTED_VALUE"""),0.0)</f>
        <v>0</v>
      </c>
      <c r="V97" s="3">
        <f>IFERROR(__xludf.DUMMYFUNCTION("""COMPUTED_VALUE"""),0.0)</f>
        <v>0</v>
      </c>
      <c r="W97" s="3">
        <f>IFERROR(__xludf.DUMMYFUNCTION("""COMPUTED_VALUE"""),0.0)</f>
        <v>0</v>
      </c>
      <c r="X97" s="3">
        <f>IFERROR(__xludf.DUMMYFUNCTION("""COMPUTED_VALUE"""),0.0)</f>
        <v>0</v>
      </c>
      <c r="Y97" s="3">
        <f>IFERROR(__xludf.DUMMYFUNCTION("""COMPUTED_VALUE"""),0.0)</f>
        <v>0</v>
      </c>
      <c r="Z97" s="3">
        <f>IFERROR(__xludf.DUMMYFUNCTION("""COMPUTED_VALUE"""),0.0)</f>
        <v>0</v>
      </c>
      <c r="AA97" s="3">
        <f>IFERROR(__xludf.DUMMYFUNCTION("""COMPUTED_VALUE"""),0.0)</f>
        <v>0</v>
      </c>
      <c r="AB97" s="3">
        <f>IFERROR(__xludf.DUMMYFUNCTION("""COMPUTED_VALUE"""),0.0)</f>
        <v>0</v>
      </c>
      <c r="AC97" s="3">
        <f>IFERROR(__xludf.DUMMYFUNCTION("""COMPUTED_VALUE"""),0.0)</f>
        <v>0</v>
      </c>
      <c r="AD97" s="3">
        <f>IFERROR(__xludf.DUMMYFUNCTION("""COMPUTED_VALUE"""),0.0)</f>
        <v>0</v>
      </c>
      <c r="AE97" s="3">
        <f>IFERROR(__xludf.DUMMYFUNCTION("""COMPUTED_VALUE"""),0.0)</f>
        <v>0</v>
      </c>
      <c r="AF97" s="3">
        <f>IFERROR(__xludf.DUMMYFUNCTION("""COMPUTED_VALUE"""),0.0)</f>
        <v>0</v>
      </c>
      <c r="AG97" s="3">
        <f>IFERROR(__xludf.DUMMYFUNCTION("""COMPUTED_VALUE"""),0.0)</f>
        <v>0</v>
      </c>
      <c r="AH97" s="3">
        <f>IFERROR(__xludf.DUMMYFUNCTION("""COMPUTED_VALUE"""),0.0)</f>
        <v>0</v>
      </c>
      <c r="AI97" s="3">
        <f>IFERROR(__xludf.DUMMYFUNCTION("""COMPUTED_VALUE"""),0.0)</f>
        <v>0</v>
      </c>
      <c r="AJ97" s="3">
        <f>IFERROR(__xludf.DUMMYFUNCTION("""COMPUTED_VALUE"""),0.0)</f>
        <v>0</v>
      </c>
      <c r="AK97" s="3">
        <f>IFERROR(__xludf.DUMMYFUNCTION("""COMPUTED_VALUE"""),0.0)</f>
        <v>0</v>
      </c>
      <c r="AL97" s="3">
        <f>IFERROR(__xludf.DUMMYFUNCTION("""COMPUTED_VALUE"""),0.0)</f>
        <v>0</v>
      </c>
      <c r="AM97" s="3">
        <f>IFERROR(__xludf.DUMMYFUNCTION("""COMPUTED_VALUE"""),0.0)</f>
        <v>0</v>
      </c>
      <c r="AN97" s="3">
        <f>IFERROR(__xludf.DUMMYFUNCTION("""COMPUTED_VALUE"""),0.0)</f>
        <v>0</v>
      </c>
      <c r="AO97" s="3">
        <f>IFERROR(__xludf.DUMMYFUNCTION("""COMPUTED_VALUE"""),0.0)</f>
        <v>0</v>
      </c>
      <c r="AP97" s="3">
        <f>IFERROR(__xludf.DUMMYFUNCTION("""COMPUTED_VALUE"""),0.0)</f>
        <v>0</v>
      </c>
      <c r="AQ97" s="3">
        <f>IFERROR(__xludf.DUMMYFUNCTION("""COMPUTED_VALUE"""),0.0)</f>
        <v>0</v>
      </c>
      <c r="AR97" s="3">
        <f>IFERROR(__xludf.DUMMYFUNCTION("""COMPUTED_VALUE"""),0.0)</f>
        <v>0</v>
      </c>
      <c r="AS97" s="3">
        <f>IFERROR(__xludf.DUMMYFUNCTION("""COMPUTED_VALUE"""),0.0)</f>
        <v>0</v>
      </c>
      <c r="AT97" s="3">
        <f>IFERROR(__xludf.DUMMYFUNCTION("""COMPUTED_VALUE"""),0.0)</f>
        <v>0</v>
      </c>
      <c r="AU97" s="3">
        <f>IFERROR(__xludf.DUMMYFUNCTION("""COMPUTED_VALUE"""),0.0)</f>
        <v>0</v>
      </c>
      <c r="AV97" s="3">
        <f>IFERROR(__xludf.DUMMYFUNCTION("""COMPUTED_VALUE"""),0.0)</f>
        <v>0</v>
      </c>
      <c r="AW97" s="3">
        <f>IFERROR(__xludf.DUMMYFUNCTION("""COMPUTED_VALUE"""),0.0)</f>
        <v>0</v>
      </c>
      <c r="AX97" s="3">
        <f>IFERROR(__xludf.DUMMYFUNCTION("""COMPUTED_VALUE"""),0.0)</f>
        <v>0</v>
      </c>
      <c r="AY97" s="3">
        <f>IFERROR(__xludf.DUMMYFUNCTION("""COMPUTED_VALUE"""),0.0)</f>
        <v>0</v>
      </c>
      <c r="AZ97" s="3">
        <f>IFERROR(__xludf.DUMMYFUNCTION("""COMPUTED_VALUE"""),0.0)</f>
        <v>0</v>
      </c>
      <c r="BA97" s="3">
        <f>IFERROR(__xludf.DUMMYFUNCTION("""COMPUTED_VALUE"""),0.0)</f>
        <v>0</v>
      </c>
      <c r="BB97" s="3">
        <f>IFERROR(__xludf.DUMMYFUNCTION("""COMPUTED_VALUE"""),0.0)</f>
        <v>0</v>
      </c>
      <c r="BC97" s="3">
        <f>IFERROR(__xludf.DUMMYFUNCTION("""COMPUTED_VALUE"""),0.0)</f>
        <v>0</v>
      </c>
      <c r="BD97" s="3">
        <f>IFERROR(__xludf.DUMMYFUNCTION("""COMPUTED_VALUE"""),0.0)</f>
        <v>0</v>
      </c>
      <c r="BE97" s="3">
        <f>IFERROR(__xludf.DUMMYFUNCTION("""COMPUTED_VALUE"""),0.0)</f>
        <v>0</v>
      </c>
      <c r="BF97" s="3">
        <f>IFERROR(__xludf.DUMMYFUNCTION("""COMPUTED_VALUE"""),0.0)</f>
        <v>0</v>
      </c>
      <c r="BG97" s="3">
        <f>IFERROR(__xludf.DUMMYFUNCTION("""COMPUTED_VALUE"""),0.0)</f>
        <v>0</v>
      </c>
      <c r="BH97" s="3">
        <f>IFERROR(__xludf.DUMMYFUNCTION("""COMPUTED_VALUE"""),0.0)</f>
        <v>0</v>
      </c>
      <c r="BI97" s="3">
        <f>IFERROR(__xludf.DUMMYFUNCTION("""COMPUTED_VALUE"""),1.0)</f>
        <v>1</v>
      </c>
      <c r="BJ97" s="3">
        <f>IFERROR(__xludf.DUMMYFUNCTION("""COMPUTED_VALUE"""),1.0)</f>
        <v>1</v>
      </c>
      <c r="BK97" s="3">
        <f>IFERROR(__xludf.DUMMYFUNCTION("""COMPUTED_VALUE"""),1.0)</f>
        <v>1</v>
      </c>
      <c r="BL97" s="3">
        <f>IFERROR(__xludf.DUMMYFUNCTION("""COMPUTED_VALUE"""),1.0)</f>
        <v>1</v>
      </c>
      <c r="BM97" s="3">
        <f>IFERROR(__xludf.DUMMYFUNCTION("""COMPUTED_VALUE"""),1.0)</f>
        <v>1</v>
      </c>
      <c r="BN97" s="3">
        <f>IFERROR(__xludf.DUMMYFUNCTION("""COMPUTED_VALUE"""),3.0)</f>
        <v>3</v>
      </c>
      <c r="BO97" s="3">
        <f>IFERROR(__xludf.DUMMYFUNCTION("""COMPUTED_VALUE"""),3.0)</f>
        <v>3</v>
      </c>
      <c r="BP97" s="3">
        <f>IFERROR(__xludf.DUMMYFUNCTION("""COMPUTED_VALUE"""),11.0)</f>
        <v>11</v>
      </c>
      <c r="BQ97" s="3">
        <f>IFERROR(__xludf.DUMMYFUNCTION("""COMPUTED_VALUE"""),11.0)</f>
        <v>11</v>
      </c>
      <c r="BR97" s="3">
        <f>IFERROR(__xludf.DUMMYFUNCTION("""COMPUTED_VALUE"""),12.0)</f>
        <v>12</v>
      </c>
      <c r="BS97" s="3">
        <f>IFERROR(__xludf.DUMMYFUNCTION("""COMPUTED_VALUE"""),14.0)</f>
        <v>14</v>
      </c>
      <c r="BT97" s="3">
        <f>IFERROR(__xludf.DUMMYFUNCTION("""COMPUTED_VALUE"""),18.0)</f>
        <v>18</v>
      </c>
      <c r="BU97" s="3">
        <f>IFERROR(__xludf.DUMMYFUNCTION("""COMPUTED_VALUE"""),18.0)</f>
        <v>18</v>
      </c>
      <c r="BV97" s="3">
        <f>IFERROR(__xludf.DUMMYFUNCTION("""COMPUTED_VALUE"""),30.0)</f>
        <v>30</v>
      </c>
      <c r="BW97" s="3">
        <f>IFERROR(__xludf.DUMMYFUNCTION("""COMPUTED_VALUE"""),33.0)</f>
        <v>33</v>
      </c>
      <c r="BX97" s="3">
        <f>IFERROR(__xludf.DUMMYFUNCTION("""COMPUTED_VALUE"""),40.0)</f>
        <v>40</v>
      </c>
      <c r="BY97" s="3">
        <f>IFERROR(__xludf.DUMMYFUNCTION("""COMPUTED_VALUE"""),49.0)</f>
        <v>49</v>
      </c>
      <c r="BZ97" s="3">
        <f>IFERROR(__xludf.DUMMYFUNCTION("""COMPUTED_VALUE"""),50.0)</f>
        <v>50</v>
      </c>
      <c r="CA97" s="3">
        <f>IFERROR(__xludf.DUMMYFUNCTION("""COMPUTED_VALUE"""),59.0)</f>
        <v>59</v>
      </c>
      <c r="CB97" s="3">
        <f>IFERROR(__xludf.DUMMYFUNCTION("""COMPUTED_VALUE"""),90.0)</f>
        <v>90</v>
      </c>
    </row>
    <row r="98">
      <c r="A98" s="3" t="str">
        <f>IFERROR(__xludf.DUMMYFUNCTION("""COMPUTED_VALUE"""),"")</f>
        <v/>
      </c>
      <c r="B98" s="3" t="str">
        <f>IFERROR(__xludf.DUMMYFUNCTION("""COMPUTED_VALUE"""),"Dominican Republic")</f>
        <v>Dominican Republic</v>
      </c>
      <c r="C98" s="3">
        <f>IFERROR(__xludf.DUMMYFUNCTION("""COMPUTED_VALUE"""),18.7357)</f>
        <v>18.7357</v>
      </c>
      <c r="D98" s="3">
        <f>IFERROR(__xludf.DUMMYFUNCTION("""COMPUTED_VALUE"""),-70.1627)</f>
        <v>-70.1627</v>
      </c>
      <c r="E98" s="3">
        <f>IFERROR(__xludf.DUMMYFUNCTION("""COMPUTED_VALUE"""),0.0)</f>
        <v>0</v>
      </c>
      <c r="F98" s="3">
        <f>IFERROR(__xludf.DUMMYFUNCTION("""COMPUTED_VALUE"""),0.0)</f>
        <v>0</v>
      </c>
      <c r="G98" s="3">
        <f>IFERROR(__xludf.DUMMYFUNCTION("""COMPUTED_VALUE"""),0.0)</f>
        <v>0</v>
      </c>
      <c r="H98" s="3">
        <f>IFERROR(__xludf.DUMMYFUNCTION("""COMPUTED_VALUE"""),0.0)</f>
        <v>0</v>
      </c>
      <c r="I98" s="3">
        <f>IFERROR(__xludf.DUMMYFUNCTION("""COMPUTED_VALUE"""),0.0)</f>
        <v>0</v>
      </c>
      <c r="J98" s="3">
        <f>IFERROR(__xludf.DUMMYFUNCTION("""COMPUTED_VALUE"""),0.0)</f>
        <v>0</v>
      </c>
      <c r="K98" s="3">
        <f>IFERROR(__xludf.DUMMYFUNCTION("""COMPUTED_VALUE"""),0.0)</f>
        <v>0</v>
      </c>
      <c r="L98" s="3">
        <f>IFERROR(__xludf.DUMMYFUNCTION("""COMPUTED_VALUE"""),0.0)</f>
        <v>0</v>
      </c>
      <c r="M98" s="3">
        <f>IFERROR(__xludf.DUMMYFUNCTION("""COMPUTED_VALUE"""),0.0)</f>
        <v>0</v>
      </c>
      <c r="N98" s="3">
        <f>IFERROR(__xludf.DUMMYFUNCTION("""COMPUTED_VALUE"""),0.0)</f>
        <v>0</v>
      </c>
      <c r="O98" s="3">
        <f>IFERROR(__xludf.DUMMYFUNCTION("""COMPUTED_VALUE"""),0.0)</f>
        <v>0</v>
      </c>
      <c r="P98" s="3">
        <f>IFERROR(__xludf.DUMMYFUNCTION("""COMPUTED_VALUE"""),0.0)</f>
        <v>0</v>
      </c>
      <c r="Q98" s="3">
        <f>IFERROR(__xludf.DUMMYFUNCTION("""COMPUTED_VALUE"""),0.0)</f>
        <v>0</v>
      </c>
      <c r="R98" s="3">
        <f>IFERROR(__xludf.DUMMYFUNCTION("""COMPUTED_VALUE"""),0.0)</f>
        <v>0</v>
      </c>
      <c r="S98" s="3">
        <f>IFERROR(__xludf.DUMMYFUNCTION("""COMPUTED_VALUE"""),0.0)</f>
        <v>0</v>
      </c>
      <c r="T98" s="3">
        <f>IFERROR(__xludf.DUMMYFUNCTION("""COMPUTED_VALUE"""),0.0)</f>
        <v>0</v>
      </c>
      <c r="U98" s="3">
        <f>IFERROR(__xludf.DUMMYFUNCTION("""COMPUTED_VALUE"""),0.0)</f>
        <v>0</v>
      </c>
      <c r="V98" s="3">
        <f>IFERROR(__xludf.DUMMYFUNCTION("""COMPUTED_VALUE"""),0.0)</f>
        <v>0</v>
      </c>
      <c r="W98" s="3">
        <f>IFERROR(__xludf.DUMMYFUNCTION("""COMPUTED_VALUE"""),0.0)</f>
        <v>0</v>
      </c>
      <c r="X98" s="3">
        <f>IFERROR(__xludf.DUMMYFUNCTION("""COMPUTED_VALUE"""),0.0)</f>
        <v>0</v>
      </c>
      <c r="Y98" s="3">
        <f>IFERROR(__xludf.DUMMYFUNCTION("""COMPUTED_VALUE"""),0.0)</f>
        <v>0</v>
      </c>
      <c r="Z98" s="3">
        <f>IFERROR(__xludf.DUMMYFUNCTION("""COMPUTED_VALUE"""),0.0)</f>
        <v>0</v>
      </c>
      <c r="AA98" s="3">
        <f>IFERROR(__xludf.DUMMYFUNCTION("""COMPUTED_VALUE"""),0.0)</f>
        <v>0</v>
      </c>
      <c r="AB98" s="3">
        <f>IFERROR(__xludf.DUMMYFUNCTION("""COMPUTED_VALUE"""),0.0)</f>
        <v>0</v>
      </c>
      <c r="AC98" s="3">
        <f>IFERROR(__xludf.DUMMYFUNCTION("""COMPUTED_VALUE"""),0.0)</f>
        <v>0</v>
      </c>
      <c r="AD98" s="3">
        <f>IFERROR(__xludf.DUMMYFUNCTION("""COMPUTED_VALUE"""),0.0)</f>
        <v>0</v>
      </c>
      <c r="AE98" s="3">
        <f>IFERROR(__xludf.DUMMYFUNCTION("""COMPUTED_VALUE"""),0.0)</f>
        <v>0</v>
      </c>
      <c r="AF98" s="3">
        <f>IFERROR(__xludf.DUMMYFUNCTION("""COMPUTED_VALUE"""),0.0)</f>
        <v>0</v>
      </c>
      <c r="AG98" s="3">
        <f>IFERROR(__xludf.DUMMYFUNCTION("""COMPUTED_VALUE"""),0.0)</f>
        <v>0</v>
      </c>
      <c r="AH98" s="3">
        <f>IFERROR(__xludf.DUMMYFUNCTION("""COMPUTED_VALUE"""),0.0)</f>
        <v>0</v>
      </c>
      <c r="AI98" s="3">
        <f>IFERROR(__xludf.DUMMYFUNCTION("""COMPUTED_VALUE"""),0.0)</f>
        <v>0</v>
      </c>
      <c r="AJ98" s="3">
        <f>IFERROR(__xludf.DUMMYFUNCTION("""COMPUTED_VALUE"""),0.0)</f>
        <v>0</v>
      </c>
      <c r="AK98" s="3">
        <f>IFERROR(__xludf.DUMMYFUNCTION("""COMPUTED_VALUE"""),0.0)</f>
        <v>0</v>
      </c>
      <c r="AL98" s="3">
        <f>IFERROR(__xludf.DUMMYFUNCTION("""COMPUTED_VALUE"""),0.0)</f>
        <v>0</v>
      </c>
      <c r="AM98" s="3">
        <f>IFERROR(__xludf.DUMMYFUNCTION("""COMPUTED_VALUE"""),0.0)</f>
        <v>0</v>
      </c>
      <c r="AN98" s="3">
        <f>IFERROR(__xludf.DUMMYFUNCTION("""COMPUTED_VALUE"""),0.0)</f>
        <v>0</v>
      </c>
      <c r="AO98" s="3">
        <f>IFERROR(__xludf.DUMMYFUNCTION("""COMPUTED_VALUE"""),0.0)</f>
        <v>0</v>
      </c>
      <c r="AP98" s="3">
        <f>IFERROR(__xludf.DUMMYFUNCTION("""COMPUTED_VALUE"""),0.0)</f>
        <v>0</v>
      </c>
      <c r="AQ98" s="3">
        <f>IFERROR(__xludf.DUMMYFUNCTION("""COMPUTED_VALUE"""),0.0)</f>
        <v>0</v>
      </c>
      <c r="AR98" s="3">
        <f>IFERROR(__xludf.DUMMYFUNCTION("""COMPUTED_VALUE"""),1.0)</f>
        <v>1</v>
      </c>
      <c r="AS98" s="3">
        <f>IFERROR(__xludf.DUMMYFUNCTION("""COMPUTED_VALUE"""),1.0)</f>
        <v>1</v>
      </c>
      <c r="AT98" s="3">
        <f>IFERROR(__xludf.DUMMYFUNCTION("""COMPUTED_VALUE"""),1.0)</f>
        <v>1</v>
      </c>
      <c r="AU98" s="3">
        <f>IFERROR(__xludf.DUMMYFUNCTION("""COMPUTED_VALUE"""),1.0)</f>
        <v>1</v>
      </c>
      <c r="AV98" s="3">
        <f>IFERROR(__xludf.DUMMYFUNCTION("""COMPUTED_VALUE"""),1.0)</f>
        <v>1</v>
      </c>
      <c r="AW98" s="3">
        <f>IFERROR(__xludf.DUMMYFUNCTION("""COMPUTED_VALUE"""),2.0)</f>
        <v>2</v>
      </c>
      <c r="AX98" s="3">
        <f>IFERROR(__xludf.DUMMYFUNCTION("""COMPUTED_VALUE"""),2.0)</f>
        <v>2</v>
      </c>
      <c r="AY98" s="3">
        <f>IFERROR(__xludf.DUMMYFUNCTION("""COMPUTED_VALUE"""),5.0)</f>
        <v>5</v>
      </c>
      <c r="AZ98" s="3">
        <f>IFERROR(__xludf.DUMMYFUNCTION("""COMPUTED_VALUE"""),5.0)</f>
        <v>5</v>
      </c>
      <c r="BA98" s="3">
        <f>IFERROR(__xludf.DUMMYFUNCTION("""COMPUTED_VALUE"""),5.0)</f>
        <v>5</v>
      </c>
      <c r="BB98" s="3">
        <f>IFERROR(__xludf.DUMMYFUNCTION("""COMPUTED_VALUE"""),5.0)</f>
        <v>5</v>
      </c>
      <c r="BC98" s="3">
        <f>IFERROR(__xludf.DUMMYFUNCTION("""COMPUTED_VALUE"""),5.0)</f>
        <v>5</v>
      </c>
      <c r="BD98" s="3">
        <f>IFERROR(__xludf.DUMMYFUNCTION("""COMPUTED_VALUE"""),5.0)</f>
        <v>5</v>
      </c>
      <c r="BE98" s="3">
        <f>IFERROR(__xludf.DUMMYFUNCTION("""COMPUTED_VALUE"""),11.0)</f>
        <v>11</v>
      </c>
      <c r="BF98" s="3">
        <f>IFERROR(__xludf.DUMMYFUNCTION("""COMPUTED_VALUE"""),11.0)</f>
        <v>11</v>
      </c>
      <c r="BG98" s="3">
        <f>IFERROR(__xludf.DUMMYFUNCTION("""COMPUTED_VALUE"""),11.0)</f>
        <v>11</v>
      </c>
      <c r="BH98" s="3">
        <f>IFERROR(__xludf.DUMMYFUNCTION("""COMPUTED_VALUE"""),21.0)</f>
        <v>21</v>
      </c>
      <c r="BI98" s="3">
        <f>IFERROR(__xludf.DUMMYFUNCTION("""COMPUTED_VALUE"""),21.0)</f>
        <v>21</v>
      </c>
      <c r="BJ98" s="3">
        <f>IFERROR(__xludf.DUMMYFUNCTION("""COMPUTED_VALUE"""),34.0)</f>
        <v>34</v>
      </c>
      <c r="BK98" s="3">
        <f>IFERROR(__xludf.DUMMYFUNCTION("""COMPUTED_VALUE"""),72.0)</f>
        <v>72</v>
      </c>
      <c r="BL98" s="3">
        <f>IFERROR(__xludf.DUMMYFUNCTION("""COMPUTED_VALUE"""),112.0)</f>
        <v>112</v>
      </c>
      <c r="BM98" s="3">
        <f>IFERROR(__xludf.DUMMYFUNCTION("""COMPUTED_VALUE"""),202.0)</f>
        <v>202</v>
      </c>
      <c r="BN98" s="3">
        <f>IFERROR(__xludf.DUMMYFUNCTION("""COMPUTED_VALUE"""),245.0)</f>
        <v>245</v>
      </c>
      <c r="BO98" s="3">
        <f>IFERROR(__xludf.DUMMYFUNCTION("""COMPUTED_VALUE"""),312.0)</f>
        <v>312</v>
      </c>
      <c r="BP98" s="3">
        <f>IFERROR(__xludf.DUMMYFUNCTION("""COMPUTED_VALUE"""),392.0)</f>
        <v>392</v>
      </c>
      <c r="BQ98" s="3">
        <f>IFERROR(__xludf.DUMMYFUNCTION("""COMPUTED_VALUE"""),488.0)</f>
        <v>488</v>
      </c>
      <c r="BR98" s="3">
        <f>IFERROR(__xludf.DUMMYFUNCTION("""COMPUTED_VALUE"""),581.0)</f>
        <v>581</v>
      </c>
      <c r="BS98" s="3">
        <f>IFERROR(__xludf.DUMMYFUNCTION("""COMPUTED_VALUE"""),719.0)</f>
        <v>719</v>
      </c>
      <c r="BT98" s="3">
        <f>IFERROR(__xludf.DUMMYFUNCTION("""COMPUTED_VALUE"""),859.0)</f>
        <v>859</v>
      </c>
      <c r="BU98" s="3">
        <f>IFERROR(__xludf.DUMMYFUNCTION("""COMPUTED_VALUE"""),901.0)</f>
        <v>901</v>
      </c>
      <c r="BV98" s="3">
        <f>IFERROR(__xludf.DUMMYFUNCTION("""COMPUTED_VALUE"""),1109.0)</f>
        <v>1109</v>
      </c>
      <c r="BW98" s="3">
        <f>IFERROR(__xludf.DUMMYFUNCTION("""COMPUTED_VALUE"""),1284.0)</f>
        <v>1284</v>
      </c>
      <c r="BX98" s="3">
        <f>IFERROR(__xludf.DUMMYFUNCTION("""COMPUTED_VALUE"""),1380.0)</f>
        <v>1380</v>
      </c>
      <c r="BY98" s="3">
        <f>IFERROR(__xludf.DUMMYFUNCTION("""COMPUTED_VALUE"""),1488.0)</f>
        <v>1488</v>
      </c>
      <c r="BZ98" s="3">
        <f>IFERROR(__xludf.DUMMYFUNCTION("""COMPUTED_VALUE"""),1488.0)</f>
        <v>1488</v>
      </c>
      <c r="CA98" s="3">
        <f>IFERROR(__xludf.DUMMYFUNCTION("""COMPUTED_VALUE"""),1745.0)</f>
        <v>1745</v>
      </c>
      <c r="CB98" s="3">
        <f>IFERROR(__xludf.DUMMYFUNCTION("""COMPUTED_VALUE"""),1828.0)</f>
        <v>1828</v>
      </c>
    </row>
    <row r="99">
      <c r="A99" s="3" t="str">
        <f>IFERROR(__xludf.DUMMYFUNCTION("""COMPUTED_VALUE"""),"")</f>
        <v/>
      </c>
      <c r="B99" s="3" t="str">
        <f>IFERROR(__xludf.DUMMYFUNCTION("""COMPUTED_VALUE"""),"Ecuador")</f>
        <v>Ecuador</v>
      </c>
      <c r="C99" s="3">
        <f>IFERROR(__xludf.DUMMYFUNCTION("""COMPUTED_VALUE"""),-1.8312)</f>
        <v>-1.8312</v>
      </c>
      <c r="D99" s="3">
        <f>IFERROR(__xludf.DUMMYFUNCTION("""COMPUTED_VALUE"""),-78.1834)</f>
        <v>-78.1834</v>
      </c>
      <c r="E99" s="3">
        <f>IFERROR(__xludf.DUMMYFUNCTION("""COMPUTED_VALUE"""),0.0)</f>
        <v>0</v>
      </c>
      <c r="F99" s="3">
        <f>IFERROR(__xludf.DUMMYFUNCTION("""COMPUTED_VALUE"""),0.0)</f>
        <v>0</v>
      </c>
      <c r="G99" s="3">
        <f>IFERROR(__xludf.DUMMYFUNCTION("""COMPUTED_VALUE"""),0.0)</f>
        <v>0</v>
      </c>
      <c r="H99" s="3">
        <f>IFERROR(__xludf.DUMMYFUNCTION("""COMPUTED_VALUE"""),0.0)</f>
        <v>0</v>
      </c>
      <c r="I99" s="3">
        <f>IFERROR(__xludf.DUMMYFUNCTION("""COMPUTED_VALUE"""),0.0)</f>
        <v>0</v>
      </c>
      <c r="J99" s="3">
        <f>IFERROR(__xludf.DUMMYFUNCTION("""COMPUTED_VALUE"""),0.0)</f>
        <v>0</v>
      </c>
      <c r="K99" s="3">
        <f>IFERROR(__xludf.DUMMYFUNCTION("""COMPUTED_VALUE"""),0.0)</f>
        <v>0</v>
      </c>
      <c r="L99" s="3">
        <f>IFERROR(__xludf.DUMMYFUNCTION("""COMPUTED_VALUE"""),0.0)</f>
        <v>0</v>
      </c>
      <c r="M99" s="3">
        <f>IFERROR(__xludf.DUMMYFUNCTION("""COMPUTED_VALUE"""),0.0)</f>
        <v>0</v>
      </c>
      <c r="N99" s="3">
        <f>IFERROR(__xludf.DUMMYFUNCTION("""COMPUTED_VALUE"""),0.0)</f>
        <v>0</v>
      </c>
      <c r="O99" s="3">
        <f>IFERROR(__xludf.DUMMYFUNCTION("""COMPUTED_VALUE"""),0.0)</f>
        <v>0</v>
      </c>
      <c r="P99" s="3">
        <f>IFERROR(__xludf.DUMMYFUNCTION("""COMPUTED_VALUE"""),0.0)</f>
        <v>0</v>
      </c>
      <c r="Q99" s="3">
        <f>IFERROR(__xludf.DUMMYFUNCTION("""COMPUTED_VALUE"""),0.0)</f>
        <v>0</v>
      </c>
      <c r="R99" s="3">
        <f>IFERROR(__xludf.DUMMYFUNCTION("""COMPUTED_VALUE"""),0.0)</f>
        <v>0</v>
      </c>
      <c r="S99" s="3">
        <f>IFERROR(__xludf.DUMMYFUNCTION("""COMPUTED_VALUE"""),0.0)</f>
        <v>0</v>
      </c>
      <c r="T99" s="3">
        <f>IFERROR(__xludf.DUMMYFUNCTION("""COMPUTED_VALUE"""),0.0)</f>
        <v>0</v>
      </c>
      <c r="U99" s="3">
        <f>IFERROR(__xludf.DUMMYFUNCTION("""COMPUTED_VALUE"""),0.0)</f>
        <v>0</v>
      </c>
      <c r="V99" s="3">
        <f>IFERROR(__xludf.DUMMYFUNCTION("""COMPUTED_VALUE"""),0.0)</f>
        <v>0</v>
      </c>
      <c r="W99" s="3">
        <f>IFERROR(__xludf.DUMMYFUNCTION("""COMPUTED_VALUE"""),0.0)</f>
        <v>0</v>
      </c>
      <c r="X99" s="3">
        <f>IFERROR(__xludf.DUMMYFUNCTION("""COMPUTED_VALUE"""),0.0)</f>
        <v>0</v>
      </c>
      <c r="Y99" s="3">
        <f>IFERROR(__xludf.DUMMYFUNCTION("""COMPUTED_VALUE"""),0.0)</f>
        <v>0</v>
      </c>
      <c r="Z99" s="3">
        <f>IFERROR(__xludf.DUMMYFUNCTION("""COMPUTED_VALUE"""),0.0)</f>
        <v>0</v>
      </c>
      <c r="AA99" s="3">
        <f>IFERROR(__xludf.DUMMYFUNCTION("""COMPUTED_VALUE"""),0.0)</f>
        <v>0</v>
      </c>
      <c r="AB99" s="3">
        <f>IFERROR(__xludf.DUMMYFUNCTION("""COMPUTED_VALUE"""),0.0)</f>
        <v>0</v>
      </c>
      <c r="AC99" s="3">
        <f>IFERROR(__xludf.DUMMYFUNCTION("""COMPUTED_VALUE"""),0.0)</f>
        <v>0</v>
      </c>
      <c r="AD99" s="3">
        <f>IFERROR(__xludf.DUMMYFUNCTION("""COMPUTED_VALUE"""),0.0)</f>
        <v>0</v>
      </c>
      <c r="AE99" s="3">
        <f>IFERROR(__xludf.DUMMYFUNCTION("""COMPUTED_VALUE"""),0.0)</f>
        <v>0</v>
      </c>
      <c r="AF99" s="3">
        <f>IFERROR(__xludf.DUMMYFUNCTION("""COMPUTED_VALUE"""),0.0)</f>
        <v>0</v>
      </c>
      <c r="AG99" s="3">
        <f>IFERROR(__xludf.DUMMYFUNCTION("""COMPUTED_VALUE"""),0.0)</f>
        <v>0</v>
      </c>
      <c r="AH99" s="3">
        <f>IFERROR(__xludf.DUMMYFUNCTION("""COMPUTED_VALUE"""),0.0)</f>
        <v>0</v>
      </c>
      <c r="AI99" s="3">
        <f>IFERROR(__xludf.DUMMYFUNCTION("""COMPUTED_VALUE"""),0.0)</f>
        <v>0</v>
      </c>
      <c r="AJ99" s="3">
        <f>IFERROR(__xludf.DUMMYFUNCTION("""COMPUTED_VALUE"""),0.0)</f>
        <v>0</v>
      </c>
      <c r="AK99" s="3">
        <f>IFERROR(__xludf.DUMMYFUNCTION("""COMPUTED_VALUE"""),0.0)</f>
        <v>0</v>
      </c>
      <c r="AL99" s="3">
        <f>IFERROR(__xludf.DUMMYFUNCTION("""COMPUTED_VALUE"""),0.0)</f>
        <v>0</v>
      </c>
      <c r="AM99" s="3">
        <f>IFERROR(__xludf.DUMMYFUNCTION("""COMPUTED_VALUE"""),0.0)</f>
        <v>0</v>
      </c>
      <c r="AN99" s="3">
        <f>IFERROR(__xludf.DUMMYFUNCTION("""COMPUTED_VALUE"""),0.0)</f>
        <v>0</v>
      </c>
      <c r="AO99" s="3">
        <f>IFERROR(__xludf.DUMMYFUNCTION("""COMPUTED_VALUE"""),0.0)</f>
        <v>0</v>
      </c>
      <c r="AP99" s="3">
        <f>IFERROR(__xludf.DUMMYFUNCTION("""COMPUTED_VALUE"""),0.0)</f>
        <v>0</v>
      </c>
      <c r="AQ99" s="3">
        <f>IFERROR(__xludf.DUMMYFUNCTION("""COMPUTED_VALUE"""),0.0)</f>
        <v>0</v>
      </c>
      <c r="AR99" s="3">
        <f>IFERROR(__xludf.DUMMYFUNCTION("""COMPUTED_VALUE"""),6.0)</f>
        <v>6</v>
      </c>
      <c r="AS99" s="3">
        <f>IFERROR(__xludf.DUMMYFUNCTION("""COMPUTED_VALUE"""),6.0)</f>
        <v>6</v>
      </c>
      <c r="AT99" s="3">
        <f>IFERROR(__xludf.DUMMYFUNCTION("""COMPUTED_VALUE"""),7.0)</f>
        <v>7</v>
      </c>
      <c r="AU99" s="3">
        <f>IFERROR(__xludf.DUMMYFUNCTION("""COMPUTED_VALUE"""),10.0)</f>
        <v>10</v>
      </c>
      <c r="AV99" s="3">
        <f>IFERROR(__xludf.DUMMYFUNCTION("""COMPUTED_VALUE"""),13.0)</f>
        <v>13</v>
      </c>
      <c r="AW99" s="3">
        <f>IFERROR(__xludf.DUMMYFUNCTION("""COMPUTED_VALUE"""),13.0)</f>
        <v>13</v>
      </c>
      <c r="AX99" s="3">
        <f>IFERROR(__xludf.DUMMYFUNCTION("""COMPUTED_VALUE"""),13.0)</f>
        <v>13</v>
      </c>
      <c r="AY99" s="3">
        <f>IFERROR(__xludf.DUMMYFUNCTION("""COMPUTED_VALUE"""),14.0)</f>
        <v>14</v>
      </c>
      <c r="AZ99" s="3">
        <f>IFERROR(__xludf.DUMMYFUNCTION("""COMPUTED_VALUE"""),15.0)</f>
        <v>15</v>
      </c>
      <c r="BA99" s="3">
        <f>IFERROR(__xludf.DUMMYFUNCTION("""COMPUTED_VALUE"""),15.0)</f>
        <v>15</v>
      </c>
      <c r="BB99" s="3">
        <f>IFERROR(__xludf.DUMMYFUNCTION("""COMPUTED_VALUE"""),17.0)</f>
        <v>17</v>
      </c>
      <c r="BC99" s="3">
        <f>IFERROR(__xludf.DUMMYFUNCTION("""COMPUTED_VALUE"""),17.0)</f>
        <v>17</v>
      </c>
      <c r="BD99" s="3">
        <f>IFERROR(__xludf.DUMMYFUNCTION("""COMPUTED_VALUE"""),17.0)</f>
        <v>17</v>
      </c>
      <c r="BE99" s="3">
        <f>IFERROR(__xludf.DUMMYFUNCTION("""COMPUTED_VALUE"""),28.0)</f>
        <v>28</v>
      </c>
      <c r="BF99" s="3">
        <f>IFERROR(__xludf.DUMMYFUNCTION("""COMPUTED_VALUE"""),28.0)</f>
        <v>28</v>
      </c>
      <c r="BG99" s="3">
        <f>IFERROR(__xludf.DUMMYFUNCTION("""COMPUTED_VALUE"""),37.0)</f>
        <v>37</v>
      </c>
      <c r="BH99" s="3">
        <f>IFERROR(__xludf.DUMMYFUNCTION("""COMPUTED_VALUE"""),58.0)</f>
        <v>58</v>
      </c>
      <c r="BI99" s="3">
        <f>IFERROR(__xludf.DUMMYFUNCTION("""COMPUTED_VALUE"""),111.0)</f>
        <v>111</v>
      </c>
      <c r="BJ99" s="3">
        <f>IFERROR(__xludf.DUMMYFUNCTION("""COMPUTED_VALUE"""),199.0)</f>
        <v>199</v>
      </c>
      <c r="BK99" s="3">
        <f>IFERROR(__xludf.DUMMYFUNCTION("""COMPUTED_VALUE"""),367.0)</f>
        <v>367</v>
      </c>
      <c r="BL99" s="3">
        <f>IFERROR(__xludf.DUMMYFUNCTION("""COMPUTED_VALUE"""),506.0)</f>
        <v>506</v>
      </c>
      <c r="BM99" s="3">
        <f>IFERROR(__xludf.DUMMYFUNCTION("""COMPUTED_VALUE"""),789.0)</f>
        <v>789</v>
      </c>
      <c r="BN99" s="3">
        <f>IFERROR(__xludf.DUMMYFUNCTION("""COMPUTED_VALUE"""),981.0)</f>
        <v>981</v>
      </c>
      <c r="BO99" s="3">
        <f>IFERROR(__xludf.DUMMYFUNCTION("""COMPUTED_VALUE"""),1082.0)</f>
        <v>1082</v>
      </c>
      <c r="BP99" s="3">
        <f>IFERROR(__xludf.DUMMYFUNCTION("""COMPUTED_VALUE"""),1173.0)</f>
        <v>1173</v>
      </c>
      <c r="BQ99" s="3">
        <f>IFERROR(__xludf.DUMMYFUNCTION("""COMPUTED_VALUE"""),1403.0)</f>
        <v>1403</v>
      </c>
      <c r="BR99" s="3">
        <f>IFERROR(__xludf.DUMMYFUNCTION("""COMPUTED_VALUE"""),1595.0)</f>
        <v>1595</v>
      </c>
      <c r="BS99" s="3">
        <f>IFERROR(__xludf.DUMMYFUNCTION("""COMPUTED_VALUE"""),1823.0)</f>
        <v>1823</v>
      </c>
      <c r="BT99" s="3">
        <f>IFERROR(__xludf.DUMMYFUNCTION("""COMPUTED_VALUE"""),1924.0)</f>
        <v>1924</v>
      </c>
      <c r="BU99" s="3">
        <f>IFERROR(__xludf.DUMMYFUNCTION("""COMPUTED_VALUE"""),1962.0)</f>
        <v>1962</v>
      </c>
      <c r="BV99" s="3">
        <f>IFERROR(__xludf.DUMMYFUNCTION("""COMPUTED_VALUE"""),2240.0)</f>
        <v>2240</v>
      </c>
      <c r="BW99" s="3">
        <f>IFERROR(__xludf.DUMMYFUNCTION("""COMPUTED_VALUE"""),2748.0)</f>
        <v>2748</v>
      </c>
      <c r="BX99" s="3">
        <f>IFERROR(__xludf.DUMMYFUNCTION("""COMPUTED_VALUE"""),3163.0)</f>
        <v>3163</v>
      </c>
      <c r="BY99" s="3">
        <f>IFERROR(__xludf.DUMMYFUNCTION("""COMPUTED_VALUE"""),3368.0)</f>
        <v>3368</v>
      </c>
      <c r="BZ99" s="3">
        <f>IFERROR(__xludf.DUMMYFUNCTION("""COMPUTED_VALUE"""),3465.0)</f>
        <v>3465</v>
      </c>
      <c r="CA99" s="3">
        <f>IFERROR(__xludf.DUMMYFUNCTION("""COMPUTED_VALUE"""),3646.0)</f>
        <v>3646</v>
      </c>
      <c r="CB99" s="3">
        <f>IFERROR(__xludf.DUMMYFUNCTION("""COMPUTED_VALUE"""),3747.0)</f>
        <v>3747</v>
      </c>
    </row>
    <row r="100">
      <c r="A100" s="3" t="str">
        <f>IFERROR(__xludf.DUMMYFUNCTION("""COMPUTED_VALUE"""),"")</f>
        <v/>
      </c>
      <c r="B100" s="3" t="str">
        <f>IFERROR(__xludf.DUMMYFUNCTION("""COMPUTED_VALUE"""),"Egypt")</f>
        <v>Egypt</v>
      </c>
      <c r="C100" s="3">
        <f>IFERROR(__xludf.DUMMYFUNCTION("""COMPUTED_VALUE"""),26.0)</f>
        <v>26</v>
      </c>
      <c r="D100" s="3">
        <f>IFERROR(__xludf.DUMMYFUNCTION("""COMPUTED_VALUE"""),30.0)</f>
        <v>30</v>
      </c>
      <c r="E100" s="3">
        <f>IFERROR(__xludf.DUMMYFUNCTION("""COMPUTED_VALUE"""),0.0)</f>
        <v>0</v>
      </c>
      <c r="F100" s="3">
        <f>IFERROR(__xludf.DUMMYFUNCTION("""COMPUTED_VALUE"""),0.0)</f>
        <v>0</v>
      </c>
      <c r="G100" s="3">
        <f>IFERROR(__xludf.DUMMYFUNCTION("""COMPUTED_VALUE"""),0.0)</f>
        <v>0</v>
      </c>
      <c r="H100" s="3">
        <f>IFERROR(__xludf.DUMMYFUNCTION("""COMPUTED_VALUE"""),0.0)</f>
        <v>0</v>
      </c>
      <c r="I100" s="3">
        <f>IFERROR(__xludf.DUMMYFUNCTION("""COMPUTED_VALUE"""),0.0)</f>
        <v>0</v>
      </c>
      <c r="J100" s="3">
        <f>IFERROR(__xludf.DUMMYFUNCTION("""COMPUTED_VALUE"""),0.0)</f>
        <v>0</v>
      </c>
      <c r="K100" s="3">
        <f>IFERROR(__xludf.DUMMYFUNCTION("""COMPUTED_VALUE"""),0.0)</f>
        <v>0</v>
      </c>
      <c r="L100" s="3">
        <f>IFERROR(__xludf.DUMMYFUNCTION("""COMPUTED_VALUE"""),0.0)</f>
        <v>0</v>
      </c>
      <c r="M100" s="3">
        <f>IFERROR(__xludf.DUMMYFUNCTION("""COMPUTED_VALUE"""),0.0)</f>
        <v>0</v>
      </c>
      <c r="N100" s="3">
        <f>IFERROR(__xludf.DUMMYFUNCTION("""COMPUTED_VALUE"""),0.0)</f>
        <v>0</v>
      </c>
      <c r="O100" s="3">
        <f>IFERROR(__xludf.DUMMYFUNCTION("""COMPUTED_VALUE"""),0.0)</f>
        <v>0</v>
      </c>
      <c r="P100" s="3">
        <f>IFERROR(__xludf.DUMMYFUNCTION("""COMPUTED_VALUE"""),0.0)</f>
        <v>0</v>
      </c>
      <c r="Q100" s="3">
        <f>IFERROR(__xludf.DUMMYFUNCTION("""COMPUTED_VALUE"""),0.0)</f>
        <v>0</v>
      </c>
      <c r="R100" s="3">
        <f>IFERROR(__xludf.DUMMYFUNCTION("""COMPUTED_VALUE"""),0.0)</f>
        <v>0</v>
      </c>
      <c r="S100" s="3">
        <f>IFERROR(__xludf.DUMMYFUNCTION("""COMPUTED_VALUE"""),0.0)</f>
        <v>0</v>
      </c>
      <c r="T100" s="3">
        <f>IFERROR(__xludf.DUMMYFUNCTION("""COMPUTED_VALUE"""),0.0)</f>
        <v>0</v>
      </c>
      <c r="U100" s="3">
        <f>IFERROR(__xludf.DUMMYFUNCTION("""COMPUTED_VALUE"""),0.0)</f>
        <v>0</v>
      </c>
      <c r="V100" s="3">
        <f>IFERROR(__xludf.DUMMYFUNCTION("""COMPUTED_VALUE"""),0.0)</f>
        <v>0</v>
      </c>
      <c r="W100" s="3">
        <f>IFERROR(__xludf.DUMMYFUNCTION("""COMPUTED_VALUE"""),0.0)</f>
        <v>0</v>
      </c>
      <c r="X100" s="3">
        <f>IFERROR(__xludf.DUMMYFUNCTION("""COMPUTED_VALUE"""),0.0)</f>
        <v>0</v>
      </c>
      <c r="Y100" s="3">
        <f>IFERROR(__xludf.DUMMYFUNCTION("""COMPUTED_VALUE"""),0.0)</f>
        <v>0</v>
      </c>
      <c r="Z100" s="3">
        <f>IFERROR(__xludf.DUMMYFUNCTION("""COMPUTED_VALUE"""),0.0)</f>
        <v>0</v>
      </c>
      <c r="AA100" s="3">
        <f>IFERROR(__xludf.DUMMYFUNCTION("""COMPUTED_VALUE"""),0.0)</f>
        <v>0</v>
      </c>
      <c r="AB100" s="3">
        <f>IFERROR(__xludf.DUMMYFUNCTION("""COMPUTED_VALUE"""),1.0)</f>
        <v>1</v>
      </c>
      <c r="AC100" s="3">
        <f>IFERROR(__xludf.DUMMYFUNCTION("""COMPUTED_VALUE"""),1.0)</f>
        <v>1</v>
      </c>
      <c r="AD100" s="3">
        <f>IFERROR(__xludf.DUMMYFUNCTION("""COMPUTED_VALUE"""),1.0)</f>
        <v>1</v>
      </c>
      <c r="AE100" s="3">
        <f>IFERROR(__xludf.DUMMYFUNCTION("""COMPUTED_VALUE"""),1.0)</f>
        <v>1</v>
      </c>
      <c r="AF100" s="3">
        <f>IFERROR(__xludf.DUMMYFUNCTION("""COMPUTED_VALUE"""),1.0)</f>
        <v>1</v>
      </c>
      <c r="AG100" s="3">
        <f>IFERROR(__xludf.DUMMYFUNCTION("""COMPUTED_VALUE"""),1.0)</f>
        <v>1</v>
      </c>
      <c r="AH100" s="3">
        <f>IFERROR(__xludf.DUMMYFUNCTION("""COMPUTED_VALUE"""),1.0)</f>
        <v>1</v>
      </c>
      <c r="AI100" s="3">
        <f>IFERROR(__xludf.DUMMYFUNCTION("""COMPUTED_VALUE"""),1.0)</f>
        <v>1</v>
      </c>
      <c r="AJ100" s="3">
        <f>IFERROR(__xludf.DUMMYFUNCTION("""COMPUTED_VALUE"""),1.0)</f>
        <v>1</v>
      </c>
      <c r="AK100" s="3">
        <f>IFERROR(__xludf.DUMMYFUNCTION("""COMPUTED_VALUE"""),1.0)</f>
        <v>1</v>
      </c>
      <c r="AL100" s="3">
        <f>IFERROR(__xludf.DUMMYFUNCTION("""COMPUTED_VALUE"""),1.0)</f>
        <v>1</v>
      </c>
      <c r="AM100" s="3">
        <f>IFERROR(__xludf.DUMMYFUNCTION("""COMPUTED_VALUE"""),1.0)</f>
        <v>1</v>
      </c>
      <c r="AN100" s="3">
        <f>IFERROR(__xludf.DUMMYFUNCTION("""COMPUTED_VALUE"""),1.0)</f>
        <v>1</v>
      </c>
      <c r="AO100" s="3">
        <f>IFERROR(__xludf.DUMMYFUNCTION("""COMPUTED_VALUE"""),1.0)</f>
        <v>1</v>
      </c>
      <c r="AP100" s="3">
        <f>IFERROR(__xludf.DUMMYFUNCTION("""COMPUTED_VALUE"""),1.0)</f>
        <v>1</v>
      </c>
      <c r="AQ100" s="3">
        <f>IFERROR(__xludf.DUMMYFUNCTION("""COMPUTED_VALUE"""),1.0)</f>
        <v>1</v>
      </c>
      <c r="AR100" s="3">
        <f>IFERROR(__xludf.DUMMYFUNCTION("""COMPUTED_VALUE"""),2.0)</f>
        <v>2</v>
      </c>
      <c r="AS100" s="3">
        <f>IFERROR(__xludf.DUMMYFUNCTION("""COMPUTED_VALUE"""),2.0)</f>
        <v>2</v>
      </c>
      <c r="AT100" s="3">
        <f>IFERROR(__xludf.DUMMYFUNCTION("""COMPUTED_VALUE"""),2.0)</f>
        <v>2</v>
      </c>
      <c r="AU100" s="3">
        <f>IFERROR(__xludf.DUMMYFUNCTION("""COMPUTED_VALUE"""),2.0)</f>
        <v>2</v>
      </c>
      <c r="AV100" s="3">
        <f>IFERROR(__xludf.DUMMYFUNCTION("""COMPUTED_VALUE"""),3.0)</f>
        <v>3</v>
      </c>
      <c r="AW100" s="3">
        <f>IFERROR(__xludf.DUMMYFUNCTION("""COMPUTED_VALUE"""),15.0)</f>
        <v>15</v>
      </c>
      <c r="AX100" s="3">
        <f>IFERROR(__xludf.DUMMYFUNCTION("""COMPUTED_VALUE"""),15.0)</f>
        <v>15</v>
      </c>
      <c r="AY100" s="3">
        <f>IFERROR(__xludf.DUMMYFUNCTION("""COMPUTED_VALUE"""),49.0)</f>
        <v>49</v>
      </c>
      <c r="AZ100" s="3">
        <f>IFERROR(__xludf.DUMMYFUNCTION("""COMPUTED_VALUE"""),55.0)</f>
        <v>55</v>
      </c>
      <c r="BA100" s="3">
        <f>IFERROR(__xludf.DUMMYFUNCTION("""COMPUTED_VALUE"""),59.0)</f>
        <v>59</v>
      </c>
      <c r="BB100" s="3">
        <f>IFERROR(__xludf.DUMMYFUNCTION("""COMPUTED_VALUE"""),60.0)</f>
        <v>60</v>
      </c>
      <c r="BC100" s="3">
        <f>IFERROR(__xludf.DUMMYFUNCTION("""COMPUTED_VALUE"""),67.0)</f>
        <v>67</v>
      </c>
      <c r="BD100" s="3">
        <f>IFERROR(__xludf.DUMMYFUNCTION("""COMPUTED_VALUE"""),80.0)</f>
        <v>80</v>
      </c>
      <c r="BE100" s="3">
        <f>IFERROR(__xludf.DUMMYFUNCTION("""COMPUTED_VALUE"""),109.0)</f>
        <v>109</v>
      </c>
      <c r="BF100" s="3">
        <f>IFERROR(__xludf.DUMMYFUNCTION("""COMPUTED_VALUE"""),110.0)</f>
        <v>110</v>
      </c>
      <c r="BG100" s="3">
        <f>IFERROR(__xludf.DUMMYFUNCTION("""COMPUTED_VALUE"""),150.0)</f>
        <v>150</v>
      </c>
      <c r="BH100" s="3">
        <f>IFERROR(__xludf.DUMMYFUNCTION("""COMPUTED_VALUE"""),196.0)</f>
        <v>196</v>
      </c>
      <c r="BI100" s="3">
        <f>IFERROR(__xludf.DUMMYFUNCTION("""COMPUTED_VALUE"""),196.0)</f>
        <v>196</v>
      </c>
      <c r="BJ100" s="3">
        <f>IFERROR(__xludf.DUMMYFUNCTION("""COMPUTED_VALUE"""),256.0)</f>
        <v>256</v>
      </c>
      <c r="BK100" s="3">
        <f>IFERROR(__xludf.DUMMYFUNCTION("""COMPUTED_VALUE"""),285.0)</f>
        <v>285</v>
      </c>
      <c r="BL100" s="3">
        <f>IFERROR(__xludf.DUMMYFUNCTION("""COMPUTED_VALUE"""),294.0)</f>
        <v>294</v>
      </c>
      <c r="BM100" s="3">
        <f>IFERROR(__xludf.DUMMYFUNCTION("""COMPUTED_VALUE"""),327.0)</f>
        <v>327</v>
      </c>
      <c r="BN100" s="3">
        <f>IFERROR(__xludf.DUMMYFUNCTION("""COMPUTED_VALUE"""),366.0)</f>
        <v>366</v>
      </c>
      <c r="BO100" s="3">
        <f>IFERROR(__xludf.DUMMYFUNCTION("""COMPUTED_VALUE"""),402.0)</f>
        <v>402</v>
      </c>
      <c r="BP100" s="3">
        <f>IFERROR(__xludf.DUMMYFUNCTION("""COMPUTED_VALUE"""),456.0)</f>
        <v>456</v>
      </c>
      <c r="BQ100" s="3">
        <f>IFERROR(__xludf.DUMMYFUNCTION("""COMPUTED_VALUE"""),495.0)</f>
        <v>495</v>
      </c>
      <c r="BR100" s="3">
        <f>IFERROR(__xludf.DUMMYFUNCTION("""COMPUTED_VALUE"""),536.0)</f>
        <v>536</v>
      </c>
      <c r="BS100" s="3">
        <f>IFERROR(__xludf.DUMMYFUNCTION("""COMPUTED_VALUE"""),576.0)</f>
        <v>576</v>
      </c>
      <c r="BT100" s="3">
        <f>IFERROR(__xludf.DUMMYFUNCTION("""COMPUTED_VALUE"""),609.0)</f>
        <v>609</v>
      </c>
      <c r="BU100" s="3">
        <f>IFERROR(__xludf.DUMMYFUNCTION("""COMPUTED_VALUE"""),656.0)</f>
        <v>656</v>
      </c>
      <c r="BV100" s="3">
        <f>IFERROR(__xludf.DUMMYFUNCTION("""COMPUTED_VALUE"""),710.0)</f>
        <v>710</v>
      </c>
      <c r="BW100" s="3">
        <f>IFERROR(__xludf.DUMMYFUNCTION("""COMPUTED_VALUE"""),779.0)</f>
        <v>779</v>
      </c>
      <c r="BX100" s="3">
        <f>IFERROR(__xludf.DUMMYFUNCTION("""COMPUTED_VALUE"""),865.0)</f>
        <v>865</v>
      </c>
      <c r="BY100" s="3">
        <f>IFERROR(__xludf.DUMMYFUNCTION("""COMPUTED_VALUE"""),985.0)</f>
        <v>985</v>
      </c>
      <c r="BZ100" s="3">
        <f>IFERROR(__xludf.DUMMYFUNCTION("""COMPUTED_VALUE"""),1070.0)</f>
        <v>1070</v>
      </c>
      <c r="CA100" s="3">
        <f>IFERROR(__xludf.DUMMYFUNCTION("""COMPUTED_VALUE"""),1173.0)</f>
        <v>1173</v>
      </c>
      <c r="CB100" s="3">
        <f>IFERROR(__xludf.DUMMYFUNCTION("""COMPUTED_VALUE"""),1322.0)</f>
        <v>1322</v>
      </c>
    </row>
    <row r="101">
      <c r="A101" s="3" t="str">
        <f>IFERROR(__xludf.DUMMYFUNCTION("""COMPUTED_VALUE"""),"")</f>
        <v/>
      </c>
      <c r="B101" s="3" t="str">
        <f>IFERROR(__xludf.DUMMYFUNCTION("""COMPUTED_VALUE"""),"El Salvador")</f>
        <v>El Salvador</v>
      </c>
      <c r="C101" s="3">
        <f>IFERROR(__xludf.DUMMYFUNCTION("""COMPUTED_VALUE"""),13.7942)</f>
        <v>13.7942</v>
      </c>
      <c r="D101" s="3">
        <f>IFERROR(__xludf.DUMMYFUNCTION("""COMPUTED_VALUE"""),-88.8965)</f>
        <v>-88.8965</v>
      </c>
      <c r="E101" s="3">
        <f>IFERROR(__xludf.DUMMYFUNCTION("""COMPUTED_VALUE"""),0.0)</f>
        <v>0</v>
      </c>
      <c r="F101" s="3">
        <f>IFERROR(__xludf.DUMMYFUNCTION("""COMPUTED_VALUE"""),0.0)</f>
        <v>0</v>
      </c>
      <c r="G101" s="3">
        <f>IFERROR(__xludf.DUMMYFUNCTION("""COMPUTED_VALUE"""),0.0)</f>
        <v>0</v>
      </c>
      <c r="H101" s="3">
        <f>IFERROR(__xludf.DUMMYFUNCTION("""COMPUTED_VALUE"""),0.0)</f>
        <v>0</v>
      </c>
      <c r="I101" s="3">
        <f>IFERROR(__xludf.DUMMYFUNCTION("""COMPUTED_VALUE"""),0.0)</f>
        <v>0</v>
      </c>
      <c r="J101" s="3">
        <f>IFERROR(__xludf.DUMMYFUNCTION("""COMPUTED_VALUE"""),0.0)</f>
        <v>0</v>
      </c>
      <c r="K101" s="3">
        <f>IFERROR(__xludf.DUMMYFUNCTION("""COMPUTED_VALUE"""),0.0)</f>
        <v>0</v>
      </c>
      <c r="L101" s="3">
        <f>IFERROR(__xludf.DUMMYFUNCTION("""COMPUTED_VALUE"""),0.0)</f>
        <v>0</v>
      </c>
      <c r="M101" s="3">
        <f>IFERROR(__xludf.DUMMYFUNCTION("""COMPUTED_VALUE"""),0.0)</f>
        <v>0</v>
      </c>
      <c r="N101" s="3">
        <f>IFERROR(__xludf.DUMMYFUNCTION("""COMPUTED_VALUE"""),0.0)</f>
        <v>0</v>
      </c>
      <c r="O101" s="3">
        <f>IFERROR(__xludf.DUMMYFUNCTION("""COMPUTED_VALUE"""),0.0)</f>
        <v>0</v>
      </c>
      <c r="P101" s="3">
        <f>IFERROR(__xludf.DUMMYFUNCTION("""COMPUTED_VALUE"""),0.0)</f>
        <v>0</v>
      </c>
      <c r="Q101" s="3">
        <f>IFERROR(__xludf.DUMMYFUNCTION("""COMPUTED_VALUE"""),0.0)</f>
        <v>0</v>
      </c>
      <c r="R101" s="3">
        <f>IFERROR(__xludf.DUMMYFUNCTION("""COMPUTED_VALUE"""),0.0)</f>
        <v>0</v>
      </c>
      <c r="S101" s="3">
        <f>IFERROR(__xludf.DUMMYFUNCTION("""COMPUTED_VALUE"""),0.0)</f>
        <v>0</v>
      </c>
      <c r="T101" s="3">
        <f>IFERROR(__xludf.DUMMYFUNCTION("""COMPUTED_VALUE"""),0.0)</f>
        <v>0</v>
      </c>
      <c r="U101" s="3">
        <f>IFERROR(__xludf.DUMMYFUNCTION("""COMPUTED_VALUE"""),0.0)</f>
        <v>0</v>
      </c>
      <c r="V101" s="3">
        <f>IFERROR(__xludf.DUMMYFUNCTION("""COMPUTED_VALUE"""),0.0)</f>
        <v>0</v>
      </c>
      <c r="W101" s="3">
        <f>IFERROR(__xludf.DUMMYFUNCTION("""COMPUTED_VALUE"""),0.0)</f>
        <v>0</v>
      </c>
      <c r="X101" s="3">
        <f>IFERROR(__xludf.DUMMYFUNCTION("""COMPUTED_VALUE"""),0.0)</f>
        <v>0</v>
      </c>
      <c r="Y101" s="3">
        <f>IFERROR(__xludf.DUMMYFUNCTION("""COMPUTED_VALUE"""),0.0)</f>
        <v>0</v>
      </c>
      <c r="Z101" s="3">
        <f>IFERROR(__xludf.DUMMYFUNCTION("""COMPUTED_VALUE"""),0.0)</f>
        <v>0</v>
      </c>
      <c r="AA101" s="3">
        <f>IFERROR(__xludf.DUMMYFUNCTION("""COMPUTED_VALUE"""),0.0)</f>
        <v>0</v>
      </c>
      <c r="AB101" s="3">
        <f>IFERROR(__xludf.DUMMYFUNCTION("""COMPUTED_VALUE"""),0.0)</f>
        <v>0</v>
      </c>
      <c r="AC101" s="3">
        <f>IFERROR(__xludf.DUMMYFUNCTION("""COMPUTED_VALUE"""),0.0)</f>
        <v>0</v>
      </c>
      <c r="AD101" s="3">
        <f>IFERROR(__xludf.DUMMYFUNCTION("""COMPUTED_VALUE"""),0.0)</f>
        <v>0</v>
      </c>
      <c r="AE101" s="3">
        <f>IFERROR(__xludf.DUMMYFUNCTION("""COMPUTED_VALUE"""),0.0)</f>
        <v>0</v>
      </c>
      <c r="AF101" s="3">
        <f>IFERROR(__xludf.DUMMYFUNCTION("""COMPUTED_VALUE"""),0.0)</f>
        <v>0</v>
      </c>
      <c r="AG101" s="3">
        <f>IFERROR(__xludf.DUMMYFUNCTION("""COMPUTED_VALUE"""),0.0)</f>
        <v>0</v>
      </c>
      <c r="AH101" s="3">
        <f>IFERROR(__xludf.DUMMYFUNCTION("""COMPUTED_VALUE"""),0.0)</f>
        <v>0</v>
      </c>
      <c r="AI101" s="3">
        <f>IFERROR(__xludf.DUMMYFUNCTION("""COMPUTED_VALUE"""),0.0)</f>
        <v>0</v>
      </c>
      <c r="AJ101" s="3">
        <f>IFERROR(__xludf.DUMMYFUNCTION("""COMPUTED_VALUE"""),0.0)</f>
        <v>0</v>
      </c>
      <c r="AK101" s="3">
        <f>IFERROR(__xludf.DUMMYFUNCTION("""COMPUTED_VALUE"""),0.0)</f>
        <v>0</v>
      </c>
      <c r="AL101" s="3">
        <f>IFERROR(__xludf.DUMMYFUNCTION("""COMPUTED_VALUE"""),0.0)</f>
        <v>0</v>
      </c>
      <c r="AM101" s="3">
        <f>IFERROR(__xludf.DUMMYFUNCTION("""COMPUTED_VALUE"""),0.0)</f>
        <v>0</v>
      </c>
      <c r="AN101" s="3">
        <f>IFERROR(__xludf.DUMMYFUNCTION("""COMPUTED_VALUE"""),0.0)</f>
        <v>0</v>
      </c>
      <c r="AO101" s="3">
        <f>IFERROR(__xludf.DUMMYFUNCTION("""COMPUTED_VALUE"""),0.0)</f>
        <v>0</v>
      </c>
      <c r="AP101" s="3">
        <f>IFERROR(__xludf.DUMMYFUNCTION("""COMPUTED_VALUE"""),0.0)</f>
        <v>0</v>
      </c>
      <c r="AQ101" s="3">
        <f>IFERROR(__xludf.DUMMYFUNCTION("""COMPUTED_VALUE"""),0.0)</f>
        <v>0</v>
      </c>
      <c r="AR101" s="3">
        <f>IFERROR(__xludf.DUMMYFUNCTION("""COMPUTED_VALUE"""),0.0)</f>
        <v>0</v>
      </c>
      <c r="AS101" s="3">
        <f>IFERROR(__xludf.DUMMYFUNCTION("""COMPUTED_VALUE"""),0.0)</f>
        <v>0</v>
      </c>
      <c r="AT101" s="3">
        <f>IFERROR(__xludf.DUMMYFUNCTION("""COMPUTED_VALUE"""),0.0)</f>
        <v>0</v>
      </c>
      <c r="AU101" s="3">
        <f>IFERROR(__xludf.DUMMYFUNCTION("""COMPUTED_VALUE"""),0.0)</f>
        <v>0</v>
      </c>
      <c r="AV101" s="3">
        <f>IFERROR(__xludf.DUMMYFUNCTION("""COMPUTED_VALUE"""),0.0)</f>
        <v>0</v>
      </c>
      <c r="AW101" s="3">
        <f>IFERROR(__xludf.DUMMYFUNCTION("""COMPUTED_VALUE"""),0.0)</f>
        <v>0</v>
      </c>
      <c r="AX101" s="3">
        <f>IFERROR(__xludf.DUMMYFUNCTION("""COMPUTED_VALUE"""),0.0)</f>
        <v>0</v>
      </c>
      <c r="AY101" s="3">
        <f>IFERROR(__xludf.DUMMYFUNCTION("""COMPUTED_VALUE"""),0.0)</f>
        <v>0</v>
      </c>
      <c r="AZ101" s="3">
        <f>IFERROR(__xludf.DUMMYFUNCTION("""COMPUTED_VALUE"""),0.0)</f>
        <v>0</v>
      </c>
      <c r="BA101" s="3">
        <f>IFERROR(__xludf.DUMMYFUNCTION("""COMPUTED_VALUE"""),0.0)</f>
        <v>0</v>
      </c>
      <c r="BB101" s="3">
        <f>IFERROR(__xludf.DUMMYFUNCTION("""COMPUTED_VALUE"""),0.0)</f>
        <v>0</v>
      </c>
      <c r="BC101" s="3">
        <f>IFERROR(__xludf.DUMMYFUNCTION("""COMPUTED_VALUE"""),0.0)</f>
        <v>0</v>
      </c>
      <c r="BD101" s="3">
        <f>IFERROR(__xludf.DUMMYFUNCTION("""COMPUTED_VALUE"""),0.0)</f>
        <v>0</v>
      </c>
      <c r="BE101" s="3">
        <f>IFERROR(__xludf.DUMMYFUNCTION("""COMPUTED_VALUE"""),0.0)</f>
        <v>0</v>
      </c>
      <c r="BF101" s="3">
        <f>IFERROR(__xludf.DUMMYFUNCTION("""COMPUTED_VALUE"""),0.0)</f>
        <v>0</v>
      </c>
      <c r="BG101" s="3">
        <f>IFERROR(__xludf.DUMMYFUNCTION("""COMPUTED_VALUE"""),0.0)</f>
        <v>0</v>
      </c>
      <c r="BH101" s="3">
        <f>IFERROR(__xludf.DUMMYFUNCTION("""COMPUTED_VALUE"""),0.0)</f>
        <v>0</v>
      </c>
      <c r="BI101" s="3">
        <f>IFERROR(__xludf.DUMMYFUNCTION("""COMPUTED_VALUE"""),0.0)</f>
        <v>0</v>
      </c>
      <c r="BJ101" s="3">
        <f>IFERROR(__xludf.DUMMYFUNCTION("""COMPUTED_VALUE"""),1.0)</f>
        <v>1</v>
      </c>
      <c r="BK101" s="3">
        <f>IFERROR(__xludf.DUMMYFUNCTION("""COMPUTED_VALUE"""),1.0)</f>
        <v>1</v>
      </c>
      <c r="BL101" s="3">
        <f>IFERROR(__xludf.DUMMYFUNCTION("""COMPUTED_VALUE"""),3.0)</f>
        <v>3</v>
      </c>
      <c r="BM101" s="3">
        <f>IFERROR(__xludf.DUMMYFUNCTION("""COMPUTED_VALUE"""),3.0)</f>
        <v>3</v>
      </c>
      <c r="BN101" s="3">
        <f>IFERROR(__xludf.DUMMYFUNCTION("""COMPUTED_VALUE"""),3.0)</f>
        <v>3</v>
      </c>
      <c r="BO101" s="3">
        <f>IFERROR(__xludf.DUMMYFUNCTION("""COMPUTED_VALUE"""),5.0)</f>
        <v>5</v>
      </c>
      <c r="BP101" s="3">
        <f>IFERROR(__xludf.DUMMYFUNCTION("""COMPUTED_VALUE"""),9.0)</f>
        <v>9</v>
      </c>
      <c r="BQ101" s="3">
        <f>IFERROR(__xludf.DUMMYFUNCTION("""COMPUTED_VALUE"""),13.0)</f>
        <v>13</v>
      </c>
      <c r="BR101" s="3">
        <f>IFERROR(__xludf.DUMMYFUNCTION("""COMPUTED_VALUE"""),13.0)</f>
        <v>13</v>
      </c>
      <c r="BS101" s="3">
        <f>IFERROR(__xludf.DUMMYFUNCTION("""COMPUTED_VALUE"""),19.0)</f>
        <v>19</v>
      </c>
      <c r="BT101" s="3">
        <f>IFERROR(__xludf.DUMMYFUNCTION("""COMPUTED_VALUE"""),24.0)</f>
        <v>24</v>
      </c>
      <c r="BU101" s="3">
        <f>IFERROR(__xludf.DUMMYFUNCTION("""COMPUTED_VALUE"""),30.0)</f>
        <v>30</v>
      </c>
      <c r="BV101" s="3">
        <f>IFERROR(__xludf.DUMMYFUNCTION("""COMPUTED_VALUE"""),32.0)</f>
        <v>32</v>
      </c>
      <c r="BW101" s="3">
        <f>IFERROR(__xludf.DUMMYFUNCTION("""COMPUTED_VALUE"""),32.0)</f>
        <v>32</v>
      </c>
      <c r="BX101" s="3">
        <f>IFERROR(__xludf.DUMMYFUNCTION("""COMPUTED_VALUE"""),41.0)</f>
        <v>41</v>
      </c>
      <c r="BY101" s="3">
        <f>IFERROR(__xludf.DUMMYFUNCTION("""COMPUTED_VALUE"""),46.0)</f>
        <v>46</v>
      </c>
      <c r="BZ101" s="3">
        <f>IFERROR(__xludf.DUMMYFUNCTION("""COMPUTED_VALUE"""),56.0)</f>
        <v>56</v>
      </c>
      <c r="CA101" s="3">
        <f>IFERROR(__xludf.DUMMYFUNCTION("""COMPUTED_VALUE"""),62.0)</f>
        <v>62</v>
      </c>
      <c r="CB101" s="3">
        <f>IFERROR(__xludf.DUMMYFUNCTION("""COMPUTED_VALUE"""),69.0)</f>
        <v>69</v>
      </c>
    </row>
    <row r="102">
      <c r="A102" s="3" t="str">
        <f>IFERROR(__xludf.DUMMYFUNCTION("""COMPUTED_VALUE"""),"")</f>
        <v/>
      </c>
      <c r="B102" s="3" t="str">
        <f>IFERROR(__xludf.DUMMYFUNCTION("""COMPUTED_VALUE"""),"Equatorial Guinea")</f>
        <v>Equatorial Guinea</v>
      </c>
      <c r="C102" s="3">
        <f>IFERROR(__xludf.DUMMYFUNCTION("""COMPUTED_VALUE"""),1.5)</f>
        <v>1.5</v>
      </c>
      <c r="D102" s="3">
        <f>IFERROR(__xludf.DUMMYFUNCTION("""COMPUTED_VALUE"""),10.0)</f>
        <v>10</v>
      </c>
      <c r="E102" s="3">
        <f>IFERROR(__xludf.DUMMYFUNCTION("""COMPUTED_VALUE"""),0.0)</f>
        <v>0</v>
      </c>
      <c r="F102" s="3">
        <f>IFERROR(__xludf.DUMMYFUNCTION("""COMPUTED_VALUE"""),0.0)</f>
        <v>0</v>
      </c>
      <c r="G102" s="3">
        <f>IFERROR(__xludf.DUMMYFUNCTION("""COMPUTED_VALUE"""),0.0)</f>
        <v>0</v>
      </c>
      <c r="H102" s="3">
        <f>IFERROR(__xludf.DUMMYFUNCTION("""COMPUTED_VALUE"""),0.0)</f>
        <v>0</v>
      </c>
      <c r="I102" s="3">
        <f>IFERROR(__xludf.DUMMYFUNCTION("""COMPUTED_VALUE"""),0.0)</f>
        <v>0</v>
      </c>
      <c r="J102" s="3">
        <f>IFERROR(__xludf.DUMMYFUNCTION("""COMPUTED_VALUE"""),0.0)</f>
        <v>0</v>
      </c>
      <c r="K102" s="3">
        <f>IFERROR(__xludf.DUMMYFUNCTION("""COMPUTED_VALUE"""),0.0)</f>
        <v>0</v>
      </c>
      <c r="L102" s="3">
        <f>IFERROR(__xludf.DUMMYFUNCTION("""COMPUTED_VALUE"""),0.0)</f>
        <v>0</v>
      </c>
      <c r="M102" s="3">
        <f>IFERROR(__xludf.DUMMYFUNCTION("""COMPUTED_VALUE"""),0.0)</f>
        <v>0</v>
      </c>
      <c r="N102" s="3">
        <f>IFERROR(__xludf.DUMMYFUNCTION("""COMPUTED_VALUE"""),0.0)</f>
        <v>0</v>
      </c>
      <c r="O102" s="3">
        <f>IFERROR(__xludf.DUMMYFUNCTION("""COMPUTED_VALUE"""),0.0)</f>
        <v>0</v>
      </c>
      <c r="P102" s="3">
        <f>IFERROR(__xludf.DUMMYFUNCTION("""COMPUTED_VALUE"""),0.0)</f>
        <v>0</v>
      </c>
      <c r="Q102" s="3">
        <f>IFERROR(__xludf.DUMMYFUNCTION("""COMPUTED_VALUE"""),0.0)</f>
        <v>0</v>
      </c>
      <c r="R102" s="3">
        <f>IFERROR(__xludf.DUMMYFUNCTION("""COMPUTED_VALUE"""),0.0)</f>
        <v>0</v>
      </c>
      <c r="S102" s="3">
        <f>IFERROR(__xludf.DUMMYFUNCTION("""COMPUTED_VALUE"""),0.0)</f>
        <v>0</v>
      </c>
      <c r="T102" s="3">
        <f>IFERROR(__xludf.DUMMYFUNCTION("""COMPUTED_VALUE"""),0.0)</f>
        <v>0</v>
      </c>
      <c r="U102" s="3">
        <f>IFERROR(__xludf.DUMMYFUNCTION("""COMPUTED_VALUE"""),0.0)</f>
        <v>0</v>
      </c>
      <c r="V102" s="3">
        <f>IFERROR(__xludf.DUMMYFUNCTION("""COMPUTED_VALUE"""),0.0)</f>
        <v>0</v>
      </c>
      <c r="W102" s="3">
        <f>IFERROR(__xludf.DUMMYFUNCTION("""COMPUTED_VALUE"""),0.0)</f>
        <v>0</v>
      </c>
      <c r="X102" s="3">
        <f>IFERROR(__xludf.DUMMYFUNCTION("""COMPUTED_VALUE"""),0.0)</f>
        <v>0</v>
      </c>
      <c r="Y102" s="3">
        <f>IFERROR(__xludf.DUMMYFUNCTION("""COMPUTED_VALUE"""),0.0)</f>
        <v>0</v>
      </c>
      <c r="Z102" s="3">
        <f>IFERROR(__xludf.DUMMYFUNCTION("""COMPUTED_VALUE"""),0.0)</f>
        <v>0</v>
      </c>
      <c r="AA102" s="3">
        <f>IFERROR(__xludf.DUMMYFUNCTION("""COMPUTED_VALUE"""),0.0)</f>
        <v>0</v>
      </c>
      <c r="AB102" s="3">
        <f>IFERROR(__xludf.DUMMYFUNCTION("""COMPUTED_VALUE"""),0.0)</f>
        <v>0</v>
      </c>
      <c r="AC102" s="3">
        <f>IFERROR(__xludf.DUMMYFUNCTION("""COMPUTED_VALUE"""),0.0)</f>
        <v>0</v>
      </c>
      <c r="AD102" s="3">
        <f>IFERROR(__xludf.DUMMYFUNCTION("""COMPUTED_VALUE"""),0.0)</f>
        <v>0</v>
      </c>
      <c r="AE102" s="3">
        <f>IFERROR(__xludf.DUMMYFUNCTION("""COMPUTED_VALUE"""),0.0)</f>
        <v>0</v>
      </c>
      <c r="AF102" s="3">
        <f>IFERROR(__xludf.DUMMYFUNCTION("""COMPUTED_VALUE"""),0.0)</f>
        <v>0</v>
      </c>
      <c r="AG102" s="3">
        <f>IFERROR(__xludf.DUMMYFUNCTION("""COMPUTED_VALUE"""),0.0)</f>
        <v>0</v>
      </c>
      <c r="AH102" s="3">
        <f>IFERROR(__xludf.DUMMYFUNCTION("""COMPUTED_VALUE"""),0.0)</f>
        <v>0</v>
      </c>
      <c r="AI102" s="3">
        <f>IFERROR(__xludf.DUMMYFUNCTION("""COMPUTED_VALUE"""),0.0)</f>
        <v>0</v>
      </c>
      <c r="AJ102" s="3">
        <f>IFERROR(__xludf.DUMMYFUNCTION("""COMPUTED_VALUE"""),0.0)</f>
        <v>0</v>
      </c>
      <c r="AK102" s="3">
        <f>IFERROR(__xludf.DUMMYFUNCTION("""COMPUTED_VALUE"""),0.0)</f>
        <v>0</v>
      </c>
      <c r="AL102" s="3">
        <f>IFERROR(__xludf.DUMMYFUNCTION("""COMPUTED_VALUE"""),0.0)</f>
        <v>0</v>
      </c>
      <c r="AM102" s="3">
        <f>IFERROR(__xludf.DUMMYFUNCTION("""COMPUTED_VALUE"""),0.0)</f>
        <v>0</v>
      </c>
      <c r="AN102" s="3">
        <f>IFERROR(__xludf.DUMMYFUNCTION("""COMPUTED_VALUE"""),0.0)</f>
        <v>0</v>
      </c>
      <c r="AO102" s="3">
        <f>IFERROR(__xludf.DUMMYFUNCTION("""COMPUTED_VALUE"""),0.0)</f>
        <v>0</v>
      </c>
      <c r="AP102" s="3">
        <f>IFERROR(__xludf.DUMMYFUNCTION("""COMPUTED_VALUE"""),0.0)</f>
        <v>0</v>
      </c>
      <c r="AQ102" s="3">
        <f>IFERROR(__xludf.DUMMYFUNCTION("""COMPUTED_VALUE"""),0.0)</f>
        <v>0</v>
      </c>
      <c r="AR102" s="3">
        <f>IFERROR(__xludf.DUMMYFUNCTION("""COMPUTED_VALUE"""),0.0)</f>
        <v>0</v>
      </c>
      <c r="AS102" s="3">
        <f>IFERROR(__xludf.DUMMYFUNCTION("""COMPUTED_VALUE"""),0.0)</f>
        <v>0</v>
      </c>
      <c r="AT102" s="3">
        <f>IFERROR(__xludf.DUMMYFUNCTION("""COMPUTED_VALUE"""),0.0)</f>
        <v>0</v>
      </c>
      <c r="AU102" s="3">
        <f>IFERROR(__xludf.DUMMYFUNCTION("""COMPUTED_VALUE"""),0.0)</f>
        <v>0</v>
      </c>
      <c r="AV102" s="3">
        <f>IFERROR(__xludf.DUMMYFUNCTION("""COMPUTED_VALUE"""),0.0)</f>
        <v>0</v>
      </c>
      <c r="AW102" s="3">
        <f>IFERROR(__xludf.DUMMYFUNCTION("""COMPUTED_VALUE"""),0.0)</f>
        <v>0</v>
      </c>
      <c r="AX102" s="3">
        <f>IFERROR(__xludf.DUMMYFUNCTION("""COMPUTED_VALUE"""),0.0)</f>
        <v>0</v>
      </c>
      <c r="AY102" s="3">
        <f>IFERROR(__xludf.DUMMYFUNCTION("""COMPUTED_VALUE"""),0.0)</f>
        <v>0</v>
      </c>
      <c r="AZ102" s="3">
        <f>IFERROR(__xludf.DUMMYFUNCTION("""COMPUTED_VALUE"""),0.0)</f>
        <v>0</v>
      </c>
      <c r="BA102" s="3">
        <f>IFERROR(__xludf.DUMMYFUNCTION("""COMPUTED_VALUE"""),0.0)</f>
        <v>0</v>
      </c>
      <c r="BB102" s="3">
        <f>IFERROR(__xludf.DUMMYFUNCTION("""COMPUTED_VALUE"""),0.0)</f>
        <v>0</v>
      </c>
      <c r="BC102" s="3">
        <f>IFERROR(__xludf.DUMMYFUNCTION("""COMPUTED_VALUE"""),0.0)</f>
        <v>0</v>
      </c>
      <c r="BD102" s="3">
        <f>IFERROR(__xludf.DUMMYFUNCTION("""COMPUTED_VALUE"""),0.0)</f>
        <v>0</v>
      </c>
      <c r="BE102" s="3">
        <f>IFERROR(__xludf.DUMMYFUNCTION("""COMPUTED_VALUE"""),0.0)</f>
        <v>0</v>
      </c>
      <c r="BF102" s="3">
        <f>IFERROR(__xludf.DUMMYFUNCTION("""COMPUTED_VALUE"""),1.0)</f>
        <v>1</v>
      </c>
      <c r="BG102" s="3">
        <f>IFERROR(__xludf.DUMMYFUNCTION("""COMPUTED_VALUE"""),1.0)</f>
        <v>1</v>
      </c>
      <c r="BH102" s="3">
        <f>IFERROR(__xludf.DUMMYFUNCTION("""COMPUTED_VALUE"""),1.0)</f>
        <v>1</v>
      </c>
      <c r="BI102" s="3">
        <f>IFERROR(__xludf.DUMMYFUNCTION("""COMPUTED_VALUE"""),4.0)</f>
        <v>4</v>
      </c>
      <c r="BJ102" s="3">
        <f>IFERROR(__xludf.DUMMYFUNCTION("""COMPUTED_VALUE"""),6.0)</f>
        <v>6</v>
      </c>
      <c r="BK102" s="3">
        <f>IFERROR(__xludf.DUMMYFUNCTION("""COMPUTED_VALUE"""),6.0)</f>
        <v>6</v>
      </c>
      <c r="BL102" s="3">
        <f>IFERROR(__xludf.DUMMYFUNCTION("""COMPUTED_VALUE"""),6.0)</f>
        <v>6</v>
      </c>
      <c r="BM102" s="3">
        <f>IFERROR(__xludf.DUMMYFUNCTION("""COMPUTED_VALUE"""),6.0)</f>
        <v>6</v>
      </c>
      <c r="BN102" s="3">
        <f>IFERROR(__xludf.DUMMYFUNCTION("""COMPUTED_VALUE"""),9.0)</f>
        <v>9</v>
      </c>
      <c r="BO102" s="3">
        <f>IFERROR(__xludf.DUMMYFUNCTION("""COMPUTED_VALUE"""),9.0)</f>
        <v>9</v>
      </c>
      <c r="BP102" s="3">
        <f>IFERROR(__xludf.DUMMYFUNCTION("""COMPUTED_VALUE"""),9.0)</f>
        <v>9</v>
      </c>
      <c r="BQ102" s="3">
        <f>IFERROR(__xludf.DUMMYFUNCTION("""COMPUTED_VALUE"""),12.0)</f>
        <v>12</v>
      </c>
      <c r="BR102" s="3">
        <f>IFERROR(__xludf.DUMMYFUNCTION("""COMPUTED_VALUE"""),12.0)</f>
        <v>12</v>
      </c>
      <c r="BS102" s="3">
        <f>IFERROR(__xludf.DUMMYFUNCTION("""COMPUTED_VALUE"""),12.0)</f>
        <v>12</v>
      </c>
      <c r="BT102" s="3">
        <f>IFERROR(__xludf.DUMMYFUNCTION("""COMPUTED_VALUE"""),12.0)</f>
        <v>12</v>
      </c>
      <c r="BU102" s="3">
        <f>IFERROR(__xludf.DUMMYFUNCTION("""COMPUTED_VALUE"""),12.0)</f>
        <v>12</v>
      </c>
      <c r="BV102" s="3">
        <f>IFERROR(__xludf.DUMMYFUNCTION("""COMPUTED_VALUE"""),12.0)</f>
        <v>12</v>
      </c>
      <c r="BW102" s="3">
        <f>IFERROR(__xludf.DUMMYFUNCTION("""COMPUTED_VALUE"""),15.0)</f>
        <v>15</v>
      </c>
      <c r="BX102" s="3">
        <f>IFERROR(__xludf.DUMMYFUNCTION("""COMPUTED_VALUE"""),15.0)</f>
        <v>15</v>
      </c>
      <c r="BY102" s="3">
        <f>IFERROR(__xludf.DUMMYFUNCTION("""COMPUTED_VALUE"""),16.0)</f>
        <v>16</v>
      </c>
      <c r="BZ102" s="3">
        <f>IFERROR(__xludf.DUMMYFUNCTION("""COMPUTED_VALUE"""),16.0)</f>
        <v>16</v>
      </c>
      <c r="CA102" s="3">
        <f>IFERROR(__xludf.DUMMYFUNCTION("""COMPUTED_VALUE"""),16.0)</f>
        <v>16</v>
      </c>
      <c r="CB102" s="3">
        <f>IFERROR(__xludf.DUMMYFUNCTION("""COMPUTED_VALUE"""),16.0)</f>
        <v>16</v>
      </c>
    </row>
    <row r="103">
      <c r="A103" s="3" t="str">
        <f>IFERROR(__xludf.DUMMYFUNCTION("""COMPUTED_VALUE"""),"")</f>
        <v/>
      </c>
      <c r="B103" s="3" t="str">
        <f>IFERROR(__xludf.DUMMYFUNCTION("""COMPUTED_VALUE"""),"Eritrea")</f>
        <v>Eritrea</v>
      </c>
      <c r="C103" s="3">
        <f>IFERROR(__xludf.DUMMYFUNCTION("""COMPUTED_VALUE"""),15.1794)</f>
        <v>15.1794</v>
      </c>
      <c r="D103" s="3">
        <f>IFERROR(__xludf.DUMMYFUNCTION("""COMPUTED_VALUE"""),39.7823)</f>
        <v>39.7823</v>
      </c>
      <c r="E103" s="3">
        <f>IFERROR(__xludf.DUMMYFUNCTION("""COMPUTED_VALUE"""),0.0)</f>
        <v>0</v>
      </c>
      <c r="F103" s="3">
        <f>IFERROR(__xludf.DUMMYFUNCTION("""COMPUTED_VALUE"""),0.0)</f>
        <v>0</v>
      </c>
      <c r="G103" s="3">
        <f>IFERROR(__xludf.DUMMYFUNCTION("""COMPUTED_VALUE"""),0.0)</f>
        <v>0</v>
      </c>
      <c r="H103" s="3">
        <f>IFERROR(__xludf.DUMMYFUNCTION("""COMPUTED_VALUE"""),0.0)</f>
        <v>0</v>
      </c>
      <c r="I103" s="3">
        <f>IFERROR(__xludf.DUMMYFUNCTION("""COMPUTED_VALUE"""),0.0)</f>
        <v>0</v>
      </c>
      <c r="J103" s="3">
        <f>IFERROR(__xludf.DUMMYFUNCTION("""COMPUTED_VALUE"""),0.0)</f>
        <v>0</v>
      </c>
      <c r="K103" s="3">
        <f>IFERROR(__xludf.DUMMYFUNCTION("""COMPUTED_VALUE"""),0.0)</f>
        <v>0</v>
      </c>
      <c r="L103" s="3">
        <f>IFERROR(__xludf.DUMMYFUNCTION("""COMPUTED_VALUE"""),0.0)</f>
        <v>0</v>
      </c>
      <c r="M103" s="3">
        <f>IFERROR(__xludf.DUMMYFUNCTION("""COMPUTED_VALUE"""),0.0)</f>
        <v>0</v>
      </c>
      <c r="N103" s="3">
        <f>IFERROR(__xludf.DUMMYFUNCTION("""COMPUTED_VALUE"""),0.0)</f>
        <v>0</v>
      </c>
      <c r="O103" s="3">
        <f>IFERROR(__xludf.DUMMYFUNCTION("""COMPUTED_VALUE"""),0.0)</f>
        <v>0</v>
      </c>
      <c r="P103" s="3">
        <f>IFERROR(__xludf.DUMMYFUNCTION("""COMPUTED_VALUE"""),0.0)</f>
        <v>0</v>
      </c>
      <c r="Q103" s="3">
        <f>IFERROR(__xludf.DUMMYFUNCTION("""COMPUTED_VALUE"""),0.0)</f>
        <v>0</v>
      </c>
      <c r="R103" s="3">
        <f>IFERROR(__xludf.DUMMYFUNCTION("""COMPUTED_VALUE"""),0.0)</f>
        <v>0</v>
      </c>
      <c r="S103" s="3">
        <f>IFERROR(__xludf.DUMMYFUNCTION("""COMPUTED_VALUE"""),0.0)</f>
        <v>0</v>
      </c>
      <c r="T103" s="3">
        <f>IFERROR(__xludf.DUMMYFUNCTION("""COMPUTED_VALUE"""),0.0)</f>
        <v>0</v>
      </c>
      <c r="U103" s="3">
        <f>IFERROR(__xludf.DUMMYFUNCTION("""COMPUTED_VALUE"""),0.0)</f>
        <v>0</v>
      </c>
      <c r="V103" s="3">
        <f>IFERROR(__xludf.DUMMYFUNCTION("""COMPUTED_VALUE"""),0.0)</f>
        <v>0</v>
      </c>
      <c r="W103" s="3">
        <f>IFERROR(__xludf.DUMMYFUNCTION("""COMPUTED_VALUE"""),0.0)</f>
        <v>0</v>
      </c>
      <c r="X103" s="3">
        <f>IFERROR(__xludf.DUMMYFUNCTION("""COMPUTED_VALUE"""),0.0)</f>
        <v>0</v>
      </c>
      <c r="Y103" s="3">
        <f>IFERROR(__xludf.DUMMYFUNCTION("""COMPUTED_VALUE"""),0.0)</f>
        <v>0</v>
      </c>
      <c r="Z103" s="3">
        <f>IFERROR(__xludf.DUMMYFUNCTION("""COMPUTED_VALUE"""),0.0)</f>
        <v>0</v>
      </c>
      <c r="AA103" s="3">
        <f>IFERROR(__xludf.DUMMYFUNCTION("""COMPUTED_VALUE"""),0.0)</f>
        <v>0</v>
      </c>
      <c r="AB103" s="3">
        <f>IFERROR(__xludf.DUMMYFUNCTION("""COMPUTED_VALUE"""),0.0)</f>
        <v>0</v>
      </c>
      <c r="AC103" s="3">
        <f>IFERROR(__xludf.DUMMYFUNCTION("""COMPUTED_VALUE"""),0.0)</f>
        <v>0</v>
      </c>
      <c r="AD103" s="3">
        <f>IFERROR(__xludf.DUMMYFUNCTION("""COMPUTED_VALUE"""),0.0)</f>
        <v>0</v>
      </c>
      <c r="AE103" s="3">
        <f>IFERROR(__xludf.DUMMYFUNCTION("""COMPUTED_VALUE"""),0.0)</f>
        <v>0</v>
      </c>
      <c r="AF103" s="3">
        <f>IFERROR(__xludf.DUMMYFUNCTION("""COMPUTED_VALUE"""),0.0)</f>
        <v>0</v>
      </c>
      <c r="AG103" s="3">
        <f>IFERROR(__xludf.DUMMYFUNCTION("""COMPUTED_VALUE"""),0.0)</f>
        <v>0</v>
      </c>
      <c r="AH103" s="3">
        <f>IFERROR(__xludf.DUMMYFUNCTION("""COMPUTED_VALUE"""),0.0)</f>
        <v>0</v>
      </c>
      <c r="AI103" s="3">
        <f>IFERROR(__xludf.DUMMYFUNCTION("""COMPUTED_VALUE"""),0.0)</f>
        <v>0</v>
      </c>
      <c r="AJ103" s="3">
        <f>IFERROR(__xludf.DUMMYFUNCTION("""COMPUTED_VALUE"""),0.0)</f>
        <v>0</v>
      </c>
      <c r="AK103" s="3">
        <f>IFERROR(__xludf.DUMMYFUNCTION("""COMPUTED_VALUE"""),0.0)</f>
        <v>0</v>
      </c>
      <c r="AL103" s="3">
        <f>IFERROR(__xludf.DUMMYFUNCTION("""COMPUTED_VALUE"""),0.0)</f>
        <v>0</v>
      </c>
      <c r="AM103" s="3">
        <f>IFERROR(__xludf.DUMMYFUNCTION("""COMPUTED_VALUE"""),0.0)</f>
        <v>0</v>
      </c>
      <c r="AN103" s="3">
        <f>IFERROR(__xludf.DUMMYFUNCTION("""COMPUTED_VALUE"""),0.0)</f>
        <v>0</v>
      </c>
      <c r="AO103" s="3">
        <f>IFERROR(__xludf.DUMMYFUNCTION("""COMPUTED_VALUE"""),0.0)</f>
        <v>0</v>
      </c>
      <c r="AP103" s="3">
        <f>IFERROR(__xludf.DUMMYFUNCTION("""COMPUTED_VALUE"""),0.0)</f>
        <v>0</v>
      </c>
      <c r="AQ103" s="3">
        <f>IFERROR(__xludf.DUMMYFUNCTION("""COMPUTED_VALUE"""),0.0)</f>
        <v>0</v>
      </c>
      <c r="AR103" s="3">
        <f>IFERROR(__xludf.DUMMYFUNCTION("""COMPUTED_VALUE"""),0.0)</f>
        <v>0</v>
      </c>
      <c r="AS103" s="3">
        <f>IFERROR(__xludf.DUMMYFUNCTION("""COMPUTED_VALUE"""),0.0)</f>
        <v>0</v>
      </c>
      <c r="AT103" s="3">
        <f>IFERROR(__xludf.DUMMYFUNCTION("""COMPUTED_VALUE"""),0.0)</f>
        <v>0</v>
      </c>
      <c r="AU103" s="3">
        <f>IFERROR(__xludf.DUMMYFUNCTION("""COMPUTED_VALUE"""),0.0)</f>
        <v>0</v>
      </c>
      <c r="AV103" s="3">
        <f>IFERROR(__xludf.DUMMYFUNCTION("""COMPUTED_VALUE"""),0.0)</f>
        <v>0</v>
      </c>
      <c r="AW103" s="3">
        <f>IFERROR(__xludf.DUMMYFUNCTION("""COMPUTED_VALUE"""),0.0)</f>
        <v>0</v>
      </c>
      <c r="AX103" s="3">
        <f>IFERROR(__xludf.DUMMYFUNCTION("""COMPUTED_VALUE"""),0.0)</f>
        <v>0</v>
      </c>
      <c r="AY103" s="3">
        <f>IFERROR(__xludf.DUMMYFUNCTION("""COMPUTED_VALUE"""),0.0)</f>
        <v>0</v>
      </c>
      <c r="AZ103" s="3">
        <f>IFERROR(__xludf.DUMMYFUNCTION("""COMPUTED_VALUE"""),0.0)</f>
        <v>0</v>
      </c>
      <c r="BA103" s="3">
        <f>IFERROR(__xludf.DUMMYFUNCTION("""COMPUTED_VALUE"""),0.0)</f>
        <v>0</v>
      </c>
      <c r="BB103" s="3">
        <f>IFERROR(__xludf.DUMMYFUNCTION("""COMPUTED_VALUE"""),0.0)</f>
        <v>0</v>
      </c>
      <c r="BC103" s="3">
        <f>IFERROR(__xludf.DUMMYFUNCTION("""COMPUTED_VALUE"""),0.0)</f>
        <v>0</v>
      </c>
      <c r="BD103" s="3">
        <f>IFERROR(__xludf.DUMMYFUNCTION("""COMPUTED_VALUE"""),0.0)</f>
        <v>0</v>
      </c>
      <c r="BE103" s="3">
        <f>IFERROR(__xludf.DUMMYFUNCTION("""COMPUTED_VALUE"""),0.0)</f>
        <v>0</v>
      </c>
      <c r="BF103" s="3">
        <f>IFERROR(__xludf.DUMMYFUNCTION("""COMPUTED_VALUE"""),0.0)</f>
        <v>0</v>
      </c>
      <c r="BG103" s="3">
        <f>IFERROR(__xludf.DUMMYFUNCTION("""COMPUTED_VALUE"""),0.0)</f>
        <v>0</v>
      </c>
      <c r="BH103" s="3">
        <f>IFERROR(__xludf.DUMMYFUNCTION("""COMPUTED_VALUE"""),0.0)</f>
        <v>0</v>
      </c>
      <c r="BI103" s="3">
        <f>IFERROR(__xludf.DUMMYFUNCTION("""COMPUTED_VALUE"""),0.0)</f>
        <v>0</v>
      </c>
      <c r="BJ103" s="3">
        <f>IFERROR(__xludf.DUMMYFUNCTION("""COMPUTED_VALUE"""),0.0)</f>
        <v>0</v>
      </c>
      <c r="BK103" s="3">
        <f>IFERROR(__xludf.DUMMYFUNCTION("""COMPUTED_VALUE"""),0.0)</f>
        <v>0</v>
      </c>
      <c r="BL103" s="3">
        <f>IFERROR(__xludf.DUMMYFUNCTION("""COMPUTED_VALUE"""),1.0)</f>
        <v>1</v>
      </c>
      <c r="BM103" s="3">
        <f>IFERROR(__xludf.DUMMYFUNCTION("""COMPUTED_VALUE"""),1.0)</f>
        <v>1</v>
      </c>
      <c r="BN103" s="3">
        <f>IFERROR(__xludf.DUMMYFUNCTION("""COMPUTED_VALUE"""),1.0)</f>
        <v>1</v>
      </c>
      <c r="BO103" s="3">
        <f>IFERROR(__xludf.DUMMYFUNCTION("""COMPUTED_VALUE"""),1.0)</f>
        <v>1</v>
      </c>
      <c r="BP103" s="3">
        <f>IFERROR(__xludf.DUMMYFUNCTION("""COMPUTED_VALUE"""),4.0)</f>
        <v>4</v>
      </c>
      <c r="BQ103" s="3">
        <f>IFERROR(__xludf.DUMMYFUNCTION("""COMPUTED_VALUE"""),6.0)</f>
        <v>6</v>
      </c>
      <c r="BR103" s="3">
        <f>IFERROR(__xludf.DUMMYFUNCTION("""COMPUTED_VALUE"""),6.0)</f>
        <v>6</v>
      </c>
      <c r="BS103" s="3">
        <f>IFERROR(__xludf.DUMMYFUNCTION("""COMPUTED_VALUE"""),6.0)</f>
        <v>6</v>
      </c>
      <c r="BT103" s="3">
        <f>IFERROR(__xludf.DUMMYFUNCTION("""COMPUTED_VALUE"""),12.0)</f>
        <v>12</v>
      </c>
      <c r="BU103" s="3">
        <f>IFERROR(__xludf.DUMMYFUNCTION("""COMPUTED_VALUE"""),12.0)</f>
        <v>12</v>
      </c>
      <c r="BV103" s="3">
        <f>IFERROR(__xludf.DUMMYFUNCTION("""COMPUTED_VALUE"""),15.0)</f>
        <v>15</v>
      </c>
      <c r="BW103" s="3">
        <f>IFERROR(__xludf.DUMMYFUNCTION("""COMPUTED_VALUE"""),15.0)</f>
        <v>15</v>
      </c>
      <c r="BX103" s="3">
        <f>IFERROR(__xludf.DUMMYFUNCTION("""COMPUTED_VALUE"""),22.0)</f>
        <v>22</v>
      </c>
      <c r="BY103" s="3">
        <f>IFERROR(__xludf.DUMMYFUNCTION("""COMPUTED_VALUE"""),22.0)</f>
        <v>22</v>
      </c>
      <c r="BZ103" s="3">
        <f>IFERROR(__xludf.DUMMYFUNCTION("""COMPUTED_VALUE"""),29.0)</f>
        <v>29</v>
      </c>
      <c r="CA103" s="3">
        <f>IFERROR(__xludf.DUMMYFUNCTION("""COMPUTED_VALUE"""),29.0)</f>
        <v>29</v>
      </c>
      <c r="CB103" s="3">
        <f>IFERROR(__xludf.DUMMYFUNCTION("""COMPUTED_VALUE"""),31.0)</f>
        <v>31</v>
      </c>
    </row>
    <row r="104">
      <c r="A104" s="3" t="str">
        <f>IFERROR(__xludf.DUMMYFUNCTION("""COMPUTED_VALUE"""),"")</f>
        <v/>
      </c>
      <c r="B104" s="3" t="str">
        <f>IFERROR(__xludf.DUMMYFUNCTION("""COMPUTED_VALUE"""),"Estonia")</f>
        <v>Estonia</v>
      </c>
      <c r="C104" s="3">
        <f>IFERROR(__xludf.DUMMYFUNCTION("""COMPUTED_VALUE"""),58.5953)</f>
        <v>58.5953</v>
      </c>
      <c r="D104" s="3">
        <f>IFERROR(__xludf.DUMMYFUNCTION("""COMPUTED_VALUE"""),25.0136)</f>
        <v>25.0136</v>
      </c>
      <c r="E104" s="3">
        <f>IFERROR(__xludf.DUMMYFUNCTION("""COMPUTED_VALUE"""),0.0)</f>
        <v>0</v>
      </c>
      <c r="F104" s="3">
        <f>IFERROR(__xludf.DUMMYFUNCTION("""COMPUTED_VALUE"""),0.0)</f>
        <v>0</v>
      </c>
      <c r="G104" s="3">
        <f>IFERROR(__xludf.DUMMYFUNCTION("""COMPUTED_VALUE"""),0.0)</f>
        <v>0</v>
      </c>
      <c r="H104" s="3">
        <f>IFERROR(__xludf.DUMMYFUNCTION("""COMPUTED_VALUE"""),0.0)</f>
        <v>0</v>
      </c>
      <c r="I104" s="3">
        <f>IFERROR(__xludf.DUMMYFUNCTION("""COMPUTED_VALUE"""),0.0)</f>
        <v>0</v>
      </c>
      <c r="J104" s="3">
        <f>IFERROR(__xludf.DUMMYFUNCTION("""COMPUTED_VALUE"""),0.0)</f>
        <v>0</v>
      </c>
      <c r="K104" s="3">
        <f>IFERROR(__xludf.DUMMYFUNCTION("""COMPUTED_VALUE"""),0.0)</f>
        <v>0</v>
      </c>
      <c r="L104" s="3">
        <f>IFERROR(__xludf.DUMMYFUNCTION("""COMPUTED_VALUE"""),0.0)</f>
        <v>0</v>
      </c>
      <c r="M104" s="3">
        <f>IFERROR(__xludf.DUMMYFUNCTION("""COMPUTED_VALUE"""),0.0)</f>
        <v>0</v>
      </c>
      <c r="N104" s="3">
        <f>IFERROR(__xludf.DUMMYFUNCTION("""COMPUTED_VALUE"""),0.0)</f>
        <v>0</v>
      </c>
      <c r="O104" s="3">
        <f>IFERROR(__xludf.DUMMYFUNCTION("""COMPUTED_VALUE"""),0.0)</f>
        <v>0</v>
      </c>
      <c r="P104" s="3">
        <f>IFERROR(__xludf.DUMMYFUNCTION("""COMPUTED_VALUE"""),0.0)</f>
        <v>0</v>
      </c>
      <c r="Q104" s="3">
        <f>IFERROR(__xludf.DUMMYFUNCTION("""COMPUTED_VALUE"""),0.0)</f>
        <v>0</v>
      </c>
      <c r="R104" s="3">
        <f>IFERROR(__xludf.DUMMYFUNCTION("""COMPUTED_VALUE"""),0.0)</f>
        <v>0</v>
      </c>
      <c r="S104" s="3">
        <f>IFERROR(__xludf.DUMMYFUNCTION("""COMPUTED_VALUE"""),0.0)</f>
        <v>0</v>
      </c>
      <c r="T104" s="3">
        <f>IFERROR(__xludf.DUMMYFUNCTION("""COMPUTED_VALUE"""),0.0)</f>
        <v>0</v>
      </c>
      <c r="U104" s="3">
        <f>IFERROR(__xludf.DUMMYFUNCTION("""COMPUTED_VALUE"""),0.0)</f>
        <v>0</v>
      </c>
      <c r="V104" s="3">
        <f>IFERROR(__xludf.DUMMYFUNCTION("""COMPUTED_VALUE"""),0.0)</f>
        <v>0</v>
      </c>
      <c r="W104" s="3">
        <f>IFERROR(__xludf.DUMMYFUNCTION("""COMPUTED_VALUE"""),0.0)</f>
        <v>0</v>
      </c>
      <c r="X104" s="3">
        <f>IFERROR(__xludf.DUMMYFUNCTION("""COMPUTED_VALUE"""),0.0)</f>
        <v>0</v>
      </c>
      <c r="Y104" s="3">
        <f>IFERROR(__xludf.DUMMYFUNCTION("""COMPUTED_VALUE"""),0.0)</f>
        <v>0</v>
      </c>
      <c r="Z104" s="3">
        <f>IFERROR(__xludf.DUMMYFUNCTION("""COMPUTED_VALUE"""),0.0)</f>
        <v>0</v>
      </c>
      <c r="AA104" s="3">
        <f>IFERROR(__xludf.DUMMYFUNCTION("""COMPUTED_VALUE"""),0.0)</f>
        <v>0</v>
      </c>
      <c r="AB104" s="3">
        <f>IFERROR(__xludf.DUMMYFUNCTION("""COMPUTED_VALUE"""),0.0)</f>
        <v>0</v>
      </c>
      <c r="AC104" s="3">
        <f>IFERROR(__xludf.DUMMYFUNCTION("""COMPUTED_VALUE"""),0.0)</f>
        <v>0</v>
      </c>
      <c r="AD104" s="3">
        <f>IFERROR(__xludf.DUMMYFUNCTION("""COMPUTED_VALUE"""),0.0)</f>
        <v>0</v>
      </c>
      <c r="AE104" s="3">
        <f>IFERROR(__xludf.DUMMYFUNCTION("""COMPUTED_VALUE"""),0.0)</f>
        <v>0</v>
      </c>
      <c r="AF104" s="3">
        <f>IFERROR(__xludf.DUMMYFUNCTION("""COMPUTED_VALUE"""),0.0)</f>
        <v>0</v>
      </c>
      <c r="AG104" s="3">
        <f>IFERROR(__xludf.DUMMYFUNCTION("""COMPUTED_VALUE"""),0.0)</f>
        <v>0</v>
      </c>
      <c r="AH104" s="3">
        <f>IFERROR(__xludf.DUMMYFUNCTION("""COMPUTED_VALUE"""),0.0)</f>
        <v>0</v>
      </c>
      <c r="AI104" s="3">
        <f>IFERROR(__xludf.DUMMYFUNCTION("""COMPUTED_VALUE"""),0.0)</f>
        <v>0</v>
      </c>
      <c r="AJ104" s="3">
        <f>IFERROR(__xludf.DUMMYFUNCTION("""COMPUTED_VALUE"""),0.0)</f>
        <v>0</v>
      </c>
      <c r="AK104" s="3">
        <f>IFERROR(__xludf.DUMMYFUNCTION("""COMPUTED_VALUE"""),0.0)</f>
        <v>0</v>
      </c>
      <c r="AL104" s="3">
        <f>IFERROR(__xludf.DUMMYFUNCTION("""COMPUTED_VALUE"""),0.0)</f>
        <v>0</v>
      </c>
      <c r="AM104" s="3">
        <f>IFERROR(__xludf.DUMMYFUNCTION("""COMPUTED_VALUE"""),0.0)</f>
        <v>0</v>
      </c>
      <c r="AN104" s="3">
        <f>IFERROR(__xludf.DUMMYFUNCTION("""COMPUTED_VALUE"""),0.0)</f>
        <v>0</v>
      </c>
      <c r="AO104" s="3">
        <f>IFERROR(__xludf.DUMMYFUNCTION("""COMPUTED_VALUE"""),1.0)</f>
        <v>1</v>
      </c>
      <c r="AP104" s="3">
        <f>IFERROR(__xludf.DUMMYFUNCTION("""COMPUTED_VALUE"""),1.0)</f>
        <v>1</v>
      </c>
      <c r="AQ104" s="3">
        <f>IFERROR(__xludf.DUMMYFUNCTION("""COMPUTED_VALUE"""),1.0)</f>
        <v>1</v>
      </c>
      <c r="AR104" s="3">
        <f>IFERROR(__xludf.DUMMYFUNCTION("""COMPUTED_VALUE"""),1.0)</f>
        <v>1</v>
      </c>
      <c r="AS104" s="3">
        <f>IFERROR(__xludf.DUMMYFUNCTION("""COMPUTED_VALUE"""),1.0)</f>
        <v>1</v>
      </c>
      <c r="AT104" s="3">
        <f>IFERROR(__xludf.DUMMYFUNCTION("""COMPUTED_VALUE"""),2.0)</f>
        <v>2</v>
      </c>
      <c r="AU104" s="3">
        <f>IFERROR(__xludf.DUMMYFUNCTION("""COMPUTED_VALUE"""),2.0)</f>
        <v>2</v>
      </c>
      <c r="AV104" s="3">
        <f>IFERROR(__xludf.DUMMYFUNCTION("""COMPUTED_VALUE"""),3.0)</f>
        <v>3</v>
      </c>
      <c r="AW104" s="3">
        <f>IFERROR(__xludf.DUMMYFUNCTION("""COMPUTED_VALUE"""),10.0)</f>
        <v>10</v>
      </c>
      <c r="AX104" s="3">
        <f>IFERROR(__xludf.DUMMYFUNCTION("""COMPUTED_VALUE"""),10.0)</f>
        <v>10</v>
      </c>
      <c r="AY104" s="3">
        <f>IFERROR(__xludf.DUMMYFUNCTION("""COMPUTED_VALUE"""),10.0)</f>
        <v>10</v>
      </c>
      <c r="AZ104" s="3">
        <f>IFERROR(__xludf.DUMMYFUNCTION("""COMPUTED_VALUE"""),10.0)</f>
        <v>10</v>
      </c>
      <c r="BA104" s="3">
        <f>IFERROR(__xludf.DUMMYFUNCTION("""COMPUTED_VALUE"""),12.0)</f>
        <v>12</v>
      </c>
      <c r="BB104" s="3">
        <f>IFERROR(__xludf.DUMMYFUNCTION("""COMPUTED_VALUE"""),16.0)</f>
        <v>16</v>
      </c>
      <c r="BC104" s="3">
        <f>IFERROR(__xludf.DUMMYFUNCTION("""COMPUTED_VALUE"""),16.0)</f>
        <v>16</v>
      </c>
      <c r="BD104" s="3">
        <f>IFERROR(__xludf.DUMMYFUNCTION("""COMPUTED_VALUE"""),79.0)</f>
        <v>79</v>
      </c>
      <c r="BE104" s="3">
        <f>IFERROR(__xludf.DUMMYFUNCTION("""COMPUTED_VALUE"""),115.0)</f>
        <v>115</v>
      </c>
      <c r="BF104" s="3">
        <f>IFERROR(__xludf.DUMMYFUNCTION("""COMPUTED_VALUE"""),171.0)</f>
        <v>171</v>
      </c>
      <c r="BG104" s="3">
        <f>IFERROR(__xludf.DUMMYFUNCTION("""COMPUTED_VALUE"""),205.0)</f>
        <v>205</v>
      </c>
      <c r="BH104" s="3">
        <f>IFERROR(__xludf.DUMMYFUNCTION("""COMPUTED_VALUE"""),225.0)</f>
        <v>225</v>
      </c>
      <c r="BI104" s="3">
        <f>IFERROR(__xludf.DUMMYFUNCTION("""COMPUTED_VALUE"""),258.0)</f>
        <v>258</v>
      </c>
      <c r="BJ104" s="3">
        <f>IFERROR(__xludf.DUMMYFUNCTION("""COMPUTED_VALUE"""),267.0)</f>
        <v>267</v>
      </c>
      <c r="BK104" s="3">
        <f>IFERROR(__xludf.DUMMYFUNCTION("""COMPUTED_VALUE"""),283.0)</f>
        <v>283</v>
      </c>
      <c r="BL104" s="3">
        <f>IFERROR(__xludf.DUMMYFUNCTION("""COMPUTED_VALUE"""),306.0)</f>
        <v>306</v>
      </c>
      <c r="BM104" s="3">
        <f>IFERROR(__xludf.DUMMYFUNCTION("""COMPUTED_VALUE"""),326.0)</f>
        <v>326</v>
      </c>
      <c r="BN104" s="3">
        <f>IFERROR(__xludf.DUMMYFUNCTION("""COMPUTED_VALUE"""),352.0)</f>
        <v>352</v>
      </c>
      <c r="BO104" s="3">
        <f>IFERROR(__xludf.DUMMYFUNCTION("""COMPUTED_VALUE"""),369.0)</f>
        <v>369</v>
      </c>
      <c r="BP104" s="3">
        <f>IFERROR(__xludf.DUMMYFUNCTION("""COMPUTED_VALUE"""),404.0)</f>
        <v>404</v>
      </c>
      <c r="BQ104" s="3">
        <f>IFERROR(__xludf.DUMMYFUNCTION("""COMPUTED_VALUE"""),538.0)</f>
        <v>538</v>
      </c>
      <c r="BR104" s="3">
        <f>IFERROR(__xludf.DUMMYFUNCTION("""COMPUTED_VALUE"""),575.0)</f>
        <v>575</v>
      </c>
      <c r="BS104" s="3">
        <f>IFERROR(__xludf.DUMMYFUNCTION("""COMPUTED_VALUE"""),645.0)</f>
        <v>645</v>
      </c>
      <c r="BT104" s="3">
        <f>IFERROR(__xludf.DUMMYFUNCTION("""COMPUTED_VALUE"""),679.0)</f>
        <v>679</v>
      </c>
      <c r="BU104" s="3">
        <f>IFERROR(__xludf.DUMMYFUNCTION("""COMPUTED_VALUE"""),715.0)</f>
        <v>715</v>
      </c>
      <c r="BV104" s="3">
        <f>IFERROR(__xludf.DUMMYFUNCTION("""COMPUTED_VALUE"""),745.0)</f>
        <v>745</v>
      </c>
      <c r="BW104" s="3">
        <f>IFERROR(__xludf.DUMMYFUNCTION("""COMPUTED_VALUE"""),779.0)</f>
        <v>779</v>
      </c>
      <c r="BX104" s="3">
        <f>IFERROR(__xludf.DUMMYFUNCTION("""COMPUTED_VALUE"""),858.0)</f>
        <v>858</v>
      </c>
      <c r="BY104" s="3">
        <f>IFERROR(__xludf.DUMMYFUNCTION("""COMPUTED_VALUE"""),961.0)</f>
        <v>961</v>
      </c>
      <c r="BZ104" s="3">
        <f>IFERROR(__xludf.DUMMYFUNCTION("""COMPUTED_VALUE"""),1039.0)</f>
        <v>1039</v>
      </c>
      <c r="CA104" s="3">
        <f>IFERROR(__xludf.DUMMYFUNCTION("""COMPUTED_VALUE"""),1097.0)</f>
        <v>1097</v>
      </c>
      <c r="CB104" s="3">
        <f>IFERROR(__xludf.DUMMYFUNCTION("""COMPUTED_VALUE"""),1108.0)</f>
        <v>1108</v>
      </c>
    </row>
    <row r="105">
      <c r="A105" s="3" t="str">
        <f>IFERROR(__xludf.DUMMYFUNCTION("""COMPUTED_VALUE"""),"")</f>
        <v/>
      </c>
      <c r="B105" s="3" t="str">
        <f>IFERROR(__xludf.DUMMYFUNCTION("""COMPUTED_VALUE"""),"Eswatini")</f>
        <v>Eswatini</v>
      </c>
      <c r="C105" s="3">
        <f>IFERROR(__xludf.DUMMYFUNCTION("""COMPUTED_VALUE"""),-26.5225)</f>
        <v>-26.5225</v>
      </c>
      <c r="D105" s="3">
        <f>IFERROR(__xludf.DUMMYFUNCTION("""COMPUTED_VALUE"""),31.4659)</f>
        <v>31.4659</v>
      </c>
      <c r="E105" s="3">
        <f>IFERROR(__xludf.DUMMYFUNCTION("""COMPUTED_VALUE"""),0.0)</f>
        <v>0</v>
      </c>
      <c r="F105" s="3">
        <f>IFERROR(__xludf.DUMMYFUNCTION("""COMPUTED_VALUE"""),0.0)</f>
        <v>0</v>
      </c>
      <c r="G105" s="3">
        <f>IFERROR(__xludf.DUMMYFUNCTION("""COMPUTED_VALUE"""),0.0)</f>
        <v>0</v>
      </c>
      <c r="H105" s="3">
        <f>IFERROR(__xludf.DUMMYFUNCTION("""COMPUTED_VALUE"""),0.0)</f>
        <v>0</v>
      </c>
      <c r="I105" s="3">
        <f>IFERROR(__xludf.DUMMYFUNCTION("""COMPUTED_VALUE"""),0.0)</f>
        <v>0</v>
      </c>
      <c r="J105" s="3">
        <f>IFERROR(__xludf.DUMMYFUNCTION("""COMPUTED_VALUE"""),0.0)</f>
        <v>0</v>
      </c>
      <c r="K105" s="3">
        <f>IFERROR(__xludf.DUMMYFUNCTION("""COMPUTED_VALUE"""),0.0)</f>
        <v>0</v>
      </c>
      <c r="L105" s="3">
        <f>IFERROR(__xludf.DUMMYFUNCTION("""COMPUTED_VALUE"""),0.0)</f>
        <v>0</v>
      </c>
      <c r="M105" s="3">
        <f>IFERROR(__xludf.DUMMYFUNCTION("""COMPUTED_VALUE"""),0.0)</f>
        <v>0</v>
      </c>
      <c r="N105" s="3">
        <f>IFERROR(__xludf.DUMMYFUNCTION("""COMPUTED_VALUE"""),0.0)</f>
        <v>0</v>
      </c>
      <c r="O105" s="3">
        <f>IFERROR(__xludf.DUMMYFUNCTION("""COMPUTED_VALUE"""),0.0)</f>
        <v>0</v>
      </c>
      <c r="P105" s="3">
        <f>IFERROR(__xludf.DUMMYFUNCTION("""COMPUTED_VALUE"""),0.0)</f>
        <v>0</v>
      </c>
      <c r="Q105" s="3">
        <f>IFERROR(__xludf.DUMMYFUNCTION("""COMPUTED_VALUE"""),0.0)</f>
        <v>0</v>
      </c>
      <c r="R105" s="3">
        <f>IFERROR(__xludf.DUMMYFUNCTION("""COMPUTED_VALUE"""),0.0)</f>
        <v>0</v>
      </c>
      <c r="S105" s="3">
        <f>IFERROR(__xludf.DUMMYFUNCTION("""COMPUTED_VALUE"""),0.0)</f>
        <v>0</v>
      </c>
      <c r="T105" s="3">
        <f>IFERROR(__xludf.DUMMYFUNCTION("""COMPUTED_VALUE"""),0.0)</f>
        <v>0</v>
      </c>
      <c r="U105" s="3">
        <f>IFERROR(__xludf.DUMMYFUNCTION("""COMPUTED_VALUE"""),0.0)</f>
        <v>0</v>
      </c>
      <c r="V105" s="3">
        <f>IFERROR(__xludf.DUMMYFUNCTION("""COMPUTED_VALUE"""),0.0)</f>
        <v>0</v>
      </c>
      <c r="W105" s="3">
        <f>IFERROR(__xludf.DUMMYFUNCTION("""COMPUTED_VALUE"""),0.0)</f>
        <v>0</v>
      </c>
      <c r="X105" s="3">
        <f>IFERROR(__xludf.DUMMYFUNCTION("""COMPUTED_VALUE"""),0.0)</f>
        <v>0</v>
      </c>
      <c r="Y105" s="3">
        <f>IFERROR(__xludf.DUMMYFUNCTION("""COMPUTED_VALUE"""),0.0)</f>
        <v>0</v>
      </c>
      <c r="Z105" s="3">
        <f>IFERROR(__xludf.DUMMYFUNCTION("""COMPUTED_VALUE"""),0.0)</f>
        <v>0</v>
      </c>
      <c r="AA105" s="3">
        <f>IFERROR(__xludf.DUMMYFUNCTION("""COMPUTED_VALUE"""),0.0)</f>
        <v>0</v>
      </c>
      <c r="AB105" s="3">
        <f>IFERROR(__xludf.DUMMYFUNCTION("""COMPUTED_VALUE"""),0.0)</f>
        <v>0</v>
      </c>
      <c r="AC105" s="3">
        <f>IFERROR(__xludf.DUMMYFUNCTION("""COMPUTED_VALUE"""),0.0)</f>
        <v>0</v>
      </c>
      <c r="AD105" s="3">
        <f>IFERROR(__xludf.DUMMYFUNCTION("""COMPUTED_VALUE"""),0.0)</f>
        <v>0</v>
      </c>
      <c r="AE105" s="3">
        <f>IFERROR(__xludf.DUMMYFUNCTION("""COMPUTED_VALUE"""),0.0)</f>
        <v>0</v>
      </c>
      <c r="AF105" s="3">
        <f>IFERROR(__xludf.DUMMYFUNCTION("""COMPUTED_VALUE"""),0.0)</f>
        <v>0</v>
      </c>
      <c r="AG105" s="3">
        <f>IFERROR(__xludf.DUMMYFUNCTION("""COMPUTED_VALUE"""),0.0)</f>
        <v>0</v>
      </c>
      <c r="AH105" s="3">
        <f>IFERROR(__xludf.DUMMYFUNCTION("""COMPUTED_VALUE"""),0.0)</f>
        <v>0</v>
      </c>
      <c r="AI105" s="3">
        <f>IFERROR(__xludf.DUMMYFUNCTION("""COMPUTED_VALUE"""),0.0)</f>
        <v>0</v>
      </c>
      <c r="AJ105" s="3">
        <f>IFERROR(__xludf.DUMMYFUNCTION("""COMPUTED_VALUE"""),0.0)</f>
        <v>0</v>
      </c>
      <c r="AK105" s="3">
        <f>IFERROR(__xludf.DUMMYFUNCTION("""COMPUTED_VALUE"""),0.0)</f>
        <v>0</v>
      </c>
      <c r="AL105" s="3">
        <f>IFERROR(__xludf.DUMMYFUNCTION("""COMPUTED_VALUE"""),0.0)</f>
        <v>0</v>
      </c>
      <c r="AM105" s="3">
        <f>IFERROR(__xludf.DUMMYFUNCTION("""COMPUTED_VALUE"""),0.0)</f>
        <v>0</v>
      </c>
      <c r="AN105" s="3">
        <f>IFERROR(__xludf.DUMMYFUNCTION("""COMPUTED_VALUE"""),0.0)</f>
        <v>0</v>
      </c>
      <c r="AO105" s="3">
        <f>IFERROR(__xludf.DUMMYFUNCTION("""COMPUTED_VALUE"""),0.0)</f>
        <v>0</v>
      </c>
      <c r="AP105" s="3">
        <f>IFERROR(__xludf.DUMMYFUNCTION("""COMPUTED_VALUE"""),0.0)</f>
        <v>0</v>
      </c>
      <c r="AQ105" s="3">
        <f>IFERROR(__xludf.DUMMYFUNCTION("""COMPUTED_VALUE"""),0.0)</f>
        <v>0</v>
      </c>
      <c r="AR105" s="3">
        <f>IFERROR(__xludf.DUMMYFUNCTION("""COMPUTED_VALUE"""),0.0)</f>
        <v>0</v>
      </c>
      <c r="AS105" s="3">
        <f>IFERROR(__xludf.DUMMYFUNCTION("""COMPUTED_VALUE"""),0.0)</f>
        <v>0</v>
      </c>
      <c r="AT105" s="3">
        <f>IFERROR(__xludf.DUMMYFUNCTION("""COMPUTED_VALUE"""),0.0)</f>
        <v>0</v>
      </c>
      <c r="AU105" s="3">
        <f>IFERROR(__xludf.DUMMYFUNCTION("""COMPUTED_VALUE"""),0.0)</f>
        <v>0</v>
      </c>
      <c r="AV105" s="3">
        <f>IFERROR(__xludf.DUMMYFUNCTION("""COMPUTED_VALUE"""),0.0)</f>
        <v>0</v>
      </c>
      <c r="AW105" s="3">
        <f>IFERROR(__xludf.DUMMYFUNCTION("""COMPUTED_VALUE"""),0.0)</f>
        <v>0</v>
      </c>
      <c r="AX105" s="3">
        <f>IFERROR(__xludf.DUMMYFUNCTION("""COMPUTED_VALUE"""),0.0)</f>
        <v>0</v>
      </c>
      <c r="AY105" s="3">
        <f>IFERROR(__xludf.DUMMYFUNCTION("""COMPUTED_VALUE"""),0.0)</f>
        <v>0</v>
      </c>
      <c r="AZ105" s="3">
        <f>IFERROR(__xludf.DUMMYFUNCTION("""COMPUTED_VALUE"""),0.0)</f>
        <v>0</v>
      </c>
      <c r="BA105" s="3">
        <f>IFERROR(__xludf.DUMMYFUNCTION("""COMPUTED_VALUE"""),0.0)</f>
        <v>0</v>
      </c>
      <c r="BB105" s="3">
        <f>IFERROR(__xludf.DUMMYFUNCTION("""COMPUTED_VALUE"""),0.0)</f>
        <v>0</v>
      </c>
      <c r="BC105" s="3">
        <f>IFERROR(__xludf.DUMMYFUNCTION("""COMPUTED_VALUE"""),0.0)</f>
        <v>0</v>
      </c>
      <c r="BD105" s="3">
        <f>IFERROR(__xludf.DUMMYFUNCTION("""COMPUTED_VALUE"""),0.0)</f>
        <v>0</v>
      </c>
      <c r="BE105" s="3">
        <f>IFERROR(__xludf.DUMMYFUNCTION("""COMPUTED_VALUE"""),1.0)</f>
        <v>1</v>
      </c>
      <c r="BF105" s="3">
        <f>IFERROR(__xludf.DUMMYFUNCTION("""COMPUTED_VALUE"""),1.0)</f>
        <v>1</v>
      </c>
      <c r="BG105" s="3">
        <f>IFERROR(__xludf.DUMMYFUNCTION("""COMPUTED_VALUE"""),1.0)</f>
        <v>1</v>
      </c>
      <c r="BH105" s="3">
        <f>IFERROR(__xludf.DUMMYFUNCTION("""COMPUTED_VALUE"""),1.0)</f>
        <v>1</v>
      </c>
      <c r="BI105" s="3">
        <f>IFERROR(__xludf.DUMMYFUNCTION("""COMPUTED_VALUE"""),1.0)</f>
        <v>1</v>
      </c>
      <c r="BJ105" s="3">
        <f>IFERROR(__xludf.DUMMYFUNCTION("""COMPUTED_VALUE"""),1.0)</f>
        <v>1</v>
      </c>
      <c r="BK105" s="3">
        <f>IFERROR(__xludf.DUMMYFUNCTION("""COMPUTED_VALUE"""),1.0)</f>
        <v>1</v>
      </c>
      <c r="BL105" s="3">
        <f>IFERROR(__xludf.DUMMYFUNCTION("""COMPUTED_VALUE"""),1.0)</f>
        <v>1</v>
      </c>
      <c r="BM105" s="3">
        <f>IFERROR(__xludf.DUMMYFUNCTION("""COMPUTED_VALUE"""),4.0)</f>
        <v>4</v>
      </c>
      <c r="BN105" s="3">
        <f>IFERROR(__xludf.DUMMYFUNCTION("""COMPUTED_VALUE"""),4.0)</f>
        <v>4</v>
      </c>
      <c r="BO105" s="3">
        <f>IFERROR(__xludf.DUMMYFUNCTION("""COMPUTED_VALUE"""),4.0)</f>
        <v>4</v>
      </c>
      <c r="BP105" s="3">
        <f>IFERROR(__xludf.DUMMYFUNCTION("""COMPUTED_VALUE"""),4.0)</f>
        <v>4</v>
      </c>
      <c r="BQ105" s="3">
        <f>IFERROR(__xludf.DUMMYFUNCTION("""COMPUTED_VALUE"""),6.0)</f>
        <v>6</v>
      </c>
      <c r="BR105" s="3">
        <f>IFERROR(__xludf.DUMMYFUNCTION("""COMPUTED_VALUE"""),9.0)</f>
        <v>9</v>
      </c>
      <c r="BS105" s="3">
        <f>IFERROR(__xludf.DUMMYFUNCTION("""COMPUTED_VALUE"""),9.0)</f>
        <v>9</v>
      </c>
      <c r="BT105" s="3">
        <f>IFERROR(__xludf.DUMMYFUNCTION("""COMPUTED_VALUE"""),9.0)</f>
        <v>9</v>
      </c>
      <c r="BU105" s="3">
        <f>IFERROR(__xludf.DUMMYFUNCTION("""COMPUTED_VALUE"""),9.0)</f>
        <v>9</v>
      </c>
      <c r="BV105" s="3">
        <f>IFERROR(__xludf.DUMMYFUNCTION("""COMPUTED_VALUE"""),9.0)</f>
        <v>9</v>
      </c>
      <c r="BW105" s="3">
        <f>IFERROR(__xludf.DUMMYFUNCTION("""COMPUTED_VALUE"""),9.0)</f>
        <v>9</v>
      </c>
      <c r="BX105" s="3">
        <f>IFERROR(__xludf.DUMMYFUNCTION("""COMPUTED_VALUE"""),9.0)</f>
        <v>9</v>
      </c>
      <c r="BY105" s="3">
        <f>IFERROR(__xludf.DUMMYFUNCTION("""COMPUTED_VALUE"""),9.0)</f>
        <v>9</v>
      </c>
      <c r="BZ105" s="3">
        <f>IFERROR(__xludf.DUMMYFUNCTION("""COMPUTED_VALUE"""),9.0)</f>
        <v>9</v>
      </c>
      <c r="CA105" s="3">
        <f>IFERROR(__xludf.DUMMYFUNCTION("""COMPUTED_VALUE"""),9.0)</f>
        <v>9</v>
      </c>
      <c r="CB105" s="3">
        <f>IFERROR(__xludf.DUMMYFUNCTION("""COMPUTED_VALUE"""),10.0)</f>
        <v>10</v>
      </c>
    </row>
    <row r="106">
      <c r="A106" s="3" t="str">
        <f>IFERROR(__xludf.DUMMYFUNCTION("""COMPUTED_VALUE"""),"")</f>
        <v/>
      </c>
      <c r="B106" s="3" t="str">
        <f>IFERROR(__xludf.DUMMYFUNCTION("""COMPUTED_VALUE"""),"Ethiopia")</f>
        <v>Ethiopia</v>
      </c>
      <c r="C106" s="3">
        <f>IFERROR(__xludf.DUMMYFUNCTION("""COMPUTED_VALUE"""),9.145)</f>
        <v>9.145</v>
      </c>
      <c r="D106" s="3">
        <f>IFERROR(__xludf.DUMMYFUNCTION("""COMPUTED_VALUE"""),40.4897)</f>
        <v>40.4897</v>
      </c>
      <c r="E106" s="3">
        <f>IFERROR(__xludf.DUMMYFUNCTION("""COMPUTED_VALUE"""),0.0)</f>
        <v>0</v>
      </c>
      <c r="F106" s="3">
        <f>IFERROR(__xludf.DUMMYFUNCTION("""COMPUTED_VALUE"""),0.0)</f>
        <v>0</v>
      </c>
      <c r="G106" s="3">
        <f>IFERROR(__xludf.DUMMYFUNCTION("""COMPUTED_VALUE"""),0.0)</f>
        <v>0</v>
      </c>
      <c r="H106" s="3">
        <f>IFERROR(__xludf.DUMMYFUNCTION("""COMPUTED_VALUE"""),0.0)</f>
        <v>0</v>
      </c>
      <c r="I106" s="3">
        <f>IFERROR(__xludf.DUMMYFUNCTION("""COMPUTED_VALUE"""),0.0)</f>
        <v>0</v>
      </c>
      <c r="J106" s="3">
        <f>IFERROR(__xludf.DUMMYFUNCTION("""COMPUTED_VALUE"""),0.0)</f>
        <v>0</v>
      </c>
      <c r="K106" s="3">
        <f>IFERROR(__xludf.DUMMYFUNCTION("""COMPUTED_VALUE"""),0.0)</f>
        <v>0</v>
      </c>
      <c r="L106" s="3">
        <f>IFERROR(__xludf.DUMMYFUNCTION("""COMPUTED_VALUE"""),0.0)</f>
        <v>0</v>
      </c>
      <c r="M106" s="3">
        <f>IFERROR(__xludf.DUMMYFUNCTION("""COMPUTED_VALUE"""),0.0)</f>
        <v>0</v>
      </c>
      <c r="N106" s="3">
        <f>IFERROR(__xludf.DUMMYFUNCTION("""COMPUTED_VALUE"""),0.0)</f>
        <v>0</v>
      </c>
      <c r="O106" s="3">
        <f>IFERROR(__xludf.DUMMYFUNCTION("""COMPUTED_VALUE"""),0.0)</f>
        <v>0</v>
      </c>
      <c r="P106" s="3">
        <f>IFERROR(__xludf.DUMMYFUNCTION("""COMPUTED_VALUE"""),0.0)</f>
        <v>0</v>
      </c>
      <c r="Q106" s="3">
        <f>IFERROR(__xludf.DUMMYFUNCTION("""COMPUTED_VALUE"""),0.0)</f>
        <v>0</v>
      </c>
      <c r="R106" s="3">
        <f>IFERROR(__xludf.DUMMYFUNCTION("""COMPUTED_VALUE"""),0.0)</f>
        <v>0</v>
      </c>
      <c r="S106" s="3">
        <f>IFERROR(__xludf.DUMMYFUNCTION("""COMPUTED_VALUE"""),0.0)</f>
        <v>0</v>
      </c>
      <c r="T106" s="3">
        <f>IFERROR(__xludf.DUMMYFUNCTION("""COMPUTED_VALUE"""),0.0)</f>
        <v>0</v>
      </c>
      <c r="U106" s="3">
        <f>IFERROR(__xludf.DUMMYFUNCTION("""COMPUTED_VALUE"""),0.0)</f>
        <v>0</v>
      </c>
      <c r="V106" s="3">
        <f>IFERROR(__xludf.DUMMYFUNCTION("""COMPUTED_VALUE"""),0.0)</f>
        <v>0</v>
      </c>
      <c r="W106" s="3">
        <f>IFERROR(__xludf.DUMMYFUNCTION("""COMPUTED_VALUE"""),0.0)</f>
        <v>0</v>
      </c>
      <c r="X106" s="3">
        <f>IFERROR(__xludf.DUMMYFUNCTION("""COMPUTED_VALUE"""),0.0)</f>
        <v>0</v>
      </c>
      <c r="Y106" s="3">
        <f>IFERROR(__xludf.DUMMYFUNCTION("""COMPUTED_VALUE"""),0.0)</f>
        <v>0</v>
      </c>
      <c r="Z106" s="3">
        <f>IFERROR(__xludf.DUMMYFUNCTION("""COMPUTED_VALUE"""),0.0)</f>
        <v>0</v>
      </c>
      <c r="AA106" s="3">
        <f>IFERROR(__xludf.DUMMYFUNCTION("""COMPUTED_VALUE"""),0.0)</f>
        <v>0</v>
      </c>
      <c r="AB106" s="3">
        <f>IFERROR(__xludf.DUMMYFUNCTION("""COMPUTED_VALUE"""),0.0)</f>
        <v>0</v>
      </c>
      <c r="AC106" s="3">
        <f>IFERROR(__xludf.DUMMYFUNCTION("""COMPUTED_VALUE"""),0.0)</f>
        <v>0</v>
      </c>
      <c r="AD106" s="3">
        <f>IFERROR(__xludf.DUMMYFUNCTION("""COMPUTED_VALUE"""),0.0)</f>
        <v>0</v>
      </c>
      <c r="AE106" s="3">
        <f>IFERROR(__xludf.DUMMYFUNCTION("""COMPUTED_VALUE"""),0.0)</f>
        <v>0</v>
      </c>
      <c r="AF106" s="3">
        <f>IFERROR(__xludf.DUMMYFUNCTION("""COMPUTED_VALUE"""),0.0)</f>
        <v>0</v>
      </c>
      <c r="AG106" s="3">
        <f>IFERROR(__xludf.DUMMYFUNCTION("""COMPUTED_VALUE"""),0.0)</f>
        <v>0</v>
      </c>
      <c r="AH106" s="3">
        <f>IFERROR(__xludf.DUMMYFUNCTION("""COMPUTED_VALUE"""),0.0)</f>
        <v>0</v>
      </c>
      <c r="AI106" s="3">
        <f>IFERROR(__xludf.DUMMYFUNCTION("""COMPUTED_VALUE"""),0.0)</f>
        <v>0</v>
      </c>
      <c r="AJ106" s="3">
        <f>IFERROR(__xludf.DUMMYFUNCTION("""COMPUTED_VALUE"""),0.0)</f>
        <v>0</v>
      </c>
      <c r="AK106" s="3">
        <f>IFERROR(__xludf.DUMMYFUNCTION("""COMPUTED_VALUE"""),0.0)</f>
        <v>0</v>
      </c>
      <c r="AL106" s="3">
        <f>IFERROR(__xludf.DUMMYFUNCTION("""COMPUTED_VALUE"""),0.0)</f>
        <v>0</v>
      </c>
      <c r="AM106" s="3">
        <f>IFERROR(__xludf.DUMMYFUNCTION("""COMPUTED_VALUE"""),0.0)</f>
        <v>0</v>
      </c>
      <c r="AN106" s="3">
        <f>IFERROR(__xludf.DUMMYFUNCTION("""COMPUTED_VALUE"""),0.0)</f>
        <v>0</v>
      </c>
      <c r="AO106" s="3">
        <f>IFERROR(__xludf.DUMMYFUNCTION("""COMPUTED_VALUE"""),0.0)</f>
        <v>0</v>
      </c>
      <c r="AP106" s="3">
        <f>IFERROR(__xludf.DUMMYFUNCTION("""COMPUTED_VALUE"""),0.0)</f>
        <v>0</v>
      </c>
      <c r="AQ106" s="3">
        <f>IFERROR(__xludf.DUMMYFUNCTION("""COMPUTED_VALUE"""),0.0)</f>
        <v>0</v>
      </c>
      <c r="AR106" s="3">
        <f>IFERROR(__xludf.DUMMYFUNCTION("""COMPUTED_VALUE"""),0.0)</f>
        <v>0</v>
      </c>
      <c r="AS106" s="3">
        <f>IFERROR(__xludf.DUMMYFUNCTION("""COMPUTED_VALUE"""),0.0)</f>
        <v>0</v>
      </c>
      <c r="AT106" s="3">
        <f>IFERROR(__xludf.DUMMYFUNCTION("""COMPUTED_VALUE"""),0.0)</f>
        <v>0</v>
      </c>
      <c r="AU106" s="3">
        <f>IFERROR(__xludf.DUMMYFUNCTION("""COMPUTED_VALUE"""),0.0)</f>
        <v>0</v>
      </c>
      <c r="AV106" s="3">
        <f>IFERROR(__xludf.DUMMYFUNCTION("""COMPUTED_VALUE"""),0.0)</f>
        <v>0</v>
      </c>
      <c r="AW106" s="3">
        <f>IFERROR(__xludf.DUMMYFUNCTION("""COMPUTED_VALUE"""),0.0)</f>
        <v>0</v>
      </c>
      <c r="AX106" s="3">
        <f>IFERROR(__xludf.DUMMYFUNCTION("""COMPUTED_VALUE"""),0.0)</f>
        <v>0</v>
      </c>
      <c r="AY106" s="3">
        <f>IFERROR(__xludf.DUMMYFUNCTION("""COMPUTED_VALUE"""),0.0)</f>
        <v>0</v>
      </c>
      <c r="AZ106" s="3">
        <f>IFERROR(__xludf.DUMMYFUNCTION("""COMPUTED_VALUE"""),0.0)</f>
        <v>0</v>
      </c>
      <c r="BA106" s="3">
        <f>IFERROR(__xludf.DUMMYFUNCTION("""COMPUTED_VALUE"""),0.0)</f>
        <v>0</v>
      </c>
      <c r="BB106" s="3">
        <f>IFERROR(__xludf.DUMMYFUNCTION("""COMPUTED_VALUE"""),0.0)</f>
        <v>0</v>
      </c>
      <c r="BC106" s="3">
        <f>IFERROR(__xludf.DUMMYFUNCTION("""COMPUTED_VALUE"""),0.0)</f>
        <v>0</v>
      </c>
      <c r="BD106" s="3">
        <f>IFERROR(__xludf.DUMMYFUNCTION("""COMPUTED_VALUE"""),1.0)</f>
        <v>1</v>
      </c>
      <c r="BE106" s="3">
        <f>IFERROR(__xludf.DUMMYFUNCTION("""COMPUTED_VALUE"""),1.0)</f>
        <v>1</v>
      </c>
      <c r="BF106" s="3">
        <f>IFERROR(__xludf.DUMMYFUNCTION("""COMPUTED_VALUE"""),1.0)</f>
        <v>1</v>
      </c>
      <c r="BG106" s="3">
        <f>IFERROR(__xludf.DUMMYFUNCTION("""COMPUTED_VALUE"""),5.0)</f>
        <v>5</v>
      </c>
      <c r="BH106" s="3">
        <f>IFERROR(__xludf.DUMMYFUNCTION("""COMPUTED_VALUE"""),5.0)</f>
        <v>5</v>
      </c>
      <c r="BI106" s="3">
        <f>IFERROR(__xludf.DUMMYFUNCTION("""COMPUTED_VALUE"""),6.0)</f>
        <v>6</v>
      </c>
      <c r="BJ106" s="3">
        <f>IFERROR(__xludf.DUMMYFUNCTION("""COMPUTED_VALUE"""),6.0)</f>
        <v>6</v>
      </c>
      <c r="BK106" s="3">
        <f>IFERROR(__xludf.DUMMYFUNCTION("""COMPUTED_VALUE"""),9.0)</f>
        <v>9</v>
      </c>
      <c r="BL106" s="3">
        <f>IFERROR(__xludf.DUMMYFUNCTION("""COMPUTED_VALUE"""),9.0)</f>
        <v>9</v>
      </c>
      <c r="BM106" s="3">
        <f>IFERROR(__xludf.DUMMYFUNCTION("""COMPUTED_VALUE"""),11.0)</f>
        <v>11</v>
      </c>
      <c r="BN106" s="3">
        <f>IFERROR(__xludf.DUMMYFUNCTION("""COMPUTED_VALUE"""),11.0)</f>
        <v>11</v>
      </c>
      <c r="BO106" s="3">
        <f>IFERROR(__xludf.DUMMYFUNCTION("""COMPUTED_VALUE"""),12.0)</f>
        <v>12</v>
      </c>
      <c r="BP106" s="3">
        <f>IFERROR(__xludf.DUMMYFUNCTION("""COMPUTED_VALUE"""),12.0)</f>
        <v>12</v>
      </c>
      <c r="BQ106" s="3">
        <f>IFERROR(__xludf.DUMMYFUNCTION("""COMPUTED_VALUE"""),12.0)</f>
        <v>12</v>
      </c>
      <c r="BR106" s="3">
        <f>IFERROR(__xludf.DUMMYFUNCTION("""COMPUTED_VALUE"""),16.0)</f>
        <v>16</v>
      </c>
      <c r="BS106" s="3">
        <f>IFERROR(__xludf.DUMMYFUNCTION("""COMPUTED_VALUE"""),16.0)</f>
        <v>16</v>
      </c>
      <c r="BT106" s="3">
        <f>IFERROR(__xludf.DUMMYFUNCTION("""COMPUTED_VALUE"""),21.0)</f>
        <v>21</v>
      </c>
      <c r="BU106" s="3">
        <f>IFERROR(__xludf.DUMMYFUNCTION("""COMPUTED_VALUE"""),23.0)</f>
        <v>23</v>
      </c>
      <c r="BV106" s="3">
        <f>IFERROR(__xludf.DUMMYFUNCTION("""COMPUTED_VALUE"""),26.0)</f>
        <v>26</v>
      </c>
      <c r="BW106" s="3">
        <f>IFERROR(__xludf.DUMMYFUNCTION("""COMPUTED_VALUE"""),29.0)</f>
        <v>29</v>
      </c>
      <c r="BX106" s="3">
        <f>IFERROR(__xludf.DUMMYFUNCTION("""COMPUTED_VALUE"""),29.0)</f>
        <v>29</v>
      </c>
      <c r="BY106" s="3">
        <f>IFERROR(__xludf.DUMMYFUNCTION("""COMPUTED_VALUE"""),35.0)</f>
        <v>35</v>
      </c>
      <c r="BZ106" s="3">
        <f>IFERROR(__xludf.DUMMYFUNCTION("""COMPUTED_VALUE"""),38.0)</f>
        <v>38</v>
      </c>
      <c r="CA106" s="3">
        <f>IFERROR(__xludf.DUMMYFUNCTION("""COMPUTED_VALUE"""),43.0)</f>
        <v>43</v>
      </c>
      <c r="CB106" s="3">
        <f>IFERROR(__xludf.DUMMYFUNCTION("""COMPUTED_VALUE"""),44.0)</f>
        <v>44</v>
      </c>
    </row>
    <row r="107">
      <c r="A107" s="3" t="str">
        <f>IFERROR(__xludf.DUMMYFUNCTION("""COMPUTED_VALUE"""),"")</f>
        <v/>
      </c>
      <c r="B107" s="3" t="str">
        <f>IFERROR(__xludf.DUMMYFUNCTION("""COMPUTED_VALUE"""),"Fiji")</f>
        <v>Fiji</v>
      </c>
      <c r="C107" s="3">
        <f>IFERROR(__xludf.DUMMYFUNCTION("""COMPUTED_VALUE"""),-17.7134)</f>
        <v>-17.7134</v>
      </c>
      <c r="D107" s="3">
        <f>IFERROR(__xludf.DUMMYFUNCTION("""COMPUTED_VALUE"""),178.065)</f>
        <v>178.065</v>
      </c>
      <c r="E107" s="3">
        <f>IFERROR(__xludf.DUMMYFUNCTION("""COMPUTED_VALUE"""),0.0)</f>
        <v>0</v>
      </c>
      <c r="F107" s="3">
        <f>IFERROR(__xludf.DUMMYFUNCTION("""COMPUTED_VALUE"""),0.0)</f>
        <v>0</v>
      </c>
      <c r="G107" s="3">
        <f>IFERROR(__xludf.DUMMYFUNCTION("""COMPUTED_VALUE"""),0.0)</f>
        <v>0</v>
      </c>
      <c r="H107" s="3">
        <f>IFERROR(__xludf.DUMMYFUNCTION("""COMPUTED_VALUE"""),0.0)</f>
        <v>0</v>
      </c>
      <c r="I107" s="3">
        <f>IFERROR(__xludf.DUMMYFUNCTION("""COMPUTED_VALUE"""),0.0)</f>
        <v>0</v>
      </c>
      <c r="J107" s="3">
        <f>IFERROR(__xludf.DUMMYFUNCTION("""COMPUTED_VALUE"""),0.0)</f>
        <v>0</v>
      </c>
      <c r="K107" s="3">
        <f>IFERROR(__xludf.DUMMYFUNCTION("""COMPUTED_VALUE"""),0.0)</f>
        <v>0</v>
      </c>
      <c r="L107" s="3">
        <f>IFERROR(__xludf.DUMMYFUNCTION("""COMPUTED_VALUE"""),0.0)</f>
        <v>0</v>
      </c>
      <c r="M107" s="3">
        <f>IFERROR(__xludf.DUMMYFUNCTION("""COMPUTED_VALUE"""),0.0)</f>
        <v>0</v>
      </c>
      <c r="N107" s="3">
        <f>IFERROR(__xludf.DUMMYFUNCTION("""COMPUTED_VALUE"""),0.0)</f>
        <v>0</v>
      </c>
      <c r="O107" s="3">
        <f>IFERROR(__xludf.DUMMYFUNCTION("""COMPUTED_VALUE"""),0.0)</f>
        <v>0</v>
      </c>
      <c r="P107" s="3">
        <f>IFERROR(__xludf.DUMMYFUNCTION("""COMPUTED_VALUE"""),0.0)</f>
        <v>0</v>
      </c>
      <c r="Q107" s="3">
        <f>IFERROR(__xludf.DUMMYFUNCTION("""COMPUTED_VALUE"""),0.0)</f>
        <v>0</v>
      </c>
      <c r="R107" s="3">
        <f>IFERROR(__xludf.DUMMYFUNCTION("""COMPUTED_VALUE"""),0.0)</f>
        <v>0</v>
      </c>
      <c r="S107" s="3">
        <f>IFERROR(__xludf.DUMMYFUNCTION("""COMPUTED_VALUE"""),0.0)</f>
        <v>0</v>
      </c>
      <c r="T107" s="3">
        <f>IFERROR(__xludf.DUMMYFUNCTION("""COMPUTED_VALUE"""),0.0)</f>
        <v>0</v>
      </c>
      <c r="U107" s="3">
        <f>IFERROR(__xludf.DUMMYFUNCTION("""COMPUTED_VALUE"""),0.0)</f>
        <v>0</v>
      </c>
      <c r="V107" s="3">
        <f>IFERROR(__xludf.DUMMYFUNCTION("""COMPUTED_VALUE"""),0.0)</f>
        <v>0</v>
      </c>
      <c r="W107" s="3">
        <f>IFERROR(__xludf.DUMMYFUNCTION("""COMPUTED_VALUE"""),0.0)</f>
        <v>0</v>
      </c>
      <c r="X107" s="3">
        <f>IFERROR(__xludf.DUMMYFUNCTION("""COMPUTED_VALUE"""),0.0)</f>
        <v>0</v>
      </c>
      <c r="Y107" s="3">
        <f>IFERROR(__xludf.DUMMYFUNCTION("""COMPUTED_VALUE"""),0.0)</f>
        <v>0</v>
      </c>
      <c r="Z107" s="3">
        <f>IFERROR(__xludf.DUMMYFUNCTION("""COMPUTED_VALUE"""),0.0)</f>
        <v>0</v>
      </c>
      <c r="AA107" s="3">
        <f>IFERROR(__xludf.DUMMYFUNCTION("""COMPUTED_VALUE"""),0.0)</f>
        <v>0</v>
      </c>
      <c r="AB107" s="3">
        <f>IFERROR(__xludf.DUMMYFUNCTION("""COMPUTED_VALUE"""),0.0)</f>
        <v>0</v>
      </c>
      <c r="AC107" s="3">
        <f>IFERROR(__xludf.DUMMYFUNCTION("""COMPUTED_VALUE"""),0.0)</f>
        <v>0</v>
      </c>
      <c r="AD107" s="3">
        <f>IFERROR(__xludf.DUMMYFUNCTION("""COMPUTED_VALUE"""),0.0)</f>
        <v>0</v>
      </c>
      <c r="AE107" s="3">
        <f>IFERROR(__xludf.DUMMYFUNCTION("""COMPUTED_VALUE"""),0.0)</f>
        <v>0</v>
      </c>
      <c r="AF107" s="3">
        <f>IFERROR(__xludf.DUMMYFUNCTION("""COMPUTED_VALUE"""),0.0)</f>
        <v>0</v>
      </c>
      <c r="AG107" s="3">
        <f>IFERROR(__xludf.DUMMYFUNCTION("""COMPUTED_VALUE"""),0.0)</f>
        <v>0</v>
      </c>
      <c r="AH107" s="3">
        <f>IFERROR(__xludf.DUMMYFUNCTION("""COMPUTED_VALUE"""),0.0)</f>
        <v>0</v>
      </c>
      <c r="AI107" s="3">
        <f>IFERROR(__xludf.DUMMYFUNCTION("""COMPUTED_VALUE"""),0.0)</f>
        <v>0</v>
      </c>
      <c r="AJ107" s="3">
        <f>IFERROR(__xludf.DUMMYFUNCTION("""COMPUTED_VALUE"""),0.0)</f>
        <v>0</v>
      </c>
      <c r="AK107" s="3">
        <f>IFERROR(__xludf.DUMMYFUNCTION("""COMPUTED_VALUE"""),0.0)</f>
        <v>0</v>
      </c>
      <c r="AL107" s="3">
        <f>IFERROR(__xludf.DUMMYFUNCTION("""COMPUTED_VALUE"""),0.0)</f>
        <v>0</v>
      </c>
      <c r="AM107" s="3">
        <f>IFERROR(__xludf.DUMMYFUNCTION("""COMPUTED_VALUE"""),0.0)</f>
        <v>0</v>
      </c>
      <c r="AN107" s="3">
        <f>IFERROR(__xludf.DUMMYFUNCTION("""COMPUTED_VALUE"""),0.0)</f>
        <v>0</v>
      </c>
      <c r="AO107" s="3">
        <f>IFERROR(__xludf.DUMMYFUNCTION("""COMPUTED_VALUE"""),0.0)</f>
        <v>0</v>
      </c>
      <c r="AP107" s="3">
        <f>IFERROR(__xludf.DUMMYFUNCTION("""COMPUTED_VALUE"""),0.0)</f>
        <v>0</v>
      </c>
      <c r="AQ107" s="3">
        <f>IFERROR(__xludf.DUMMYFUNCTION("""COMPUTED_VALUE"""),0.0)</f>
        <v>0</v>
      </c>
      <c r="AR107" s="3">
        <f>IFERROR(__xludf.DUMMYFUNCTION("""COMPUTED_VALUE"""),0.0)</f>
        <v>0</v>
      </c>
      <c r="AS107" s="3">
        <f>IFERROR(__xludf.DUMMYFUNCTION("""COMPUTED_VALUE"""),0.0)</f>
        <v>0</v>
      </c>
      <c r="AT107" s="3">
        <f>IFERROR(__xludf.DUMMYFUNCTION("""COMPUTED_VALUE"""),0.0)</f>
        <v>0</v>
      </c>
      <c r="AU107" s="3">
        <f>IFERROR(__xludf.DUMMYFUNCTION("""COMPUTED_VALUE"""),0.0)</f>
        <v>0</v>
      </c>
      <c r="AV107" s="3">
        <f>IFERROR(__xludf.DUMMYFUNCTION("""COMPUTED_VALUE"""),0.0)</f>
        <v>0</v>
      </c>
      <c r="AW107" s="3">
        <f>IFERROR(__xludf.DUMMYFUNCTION("""COMPUTED_VALUE"""),0.0)</f>
        <v>0</v>
      </c>
      <c r="AX107" s="3">
        <f>IFERROR(__xludf.DUMMYFUNCTION("""COMPUTED_VALUE"""),0.0)</f>
        <v>0</v>
      </c>
      <c r="AY107" s="3">
        <f>IFERROR(__xludf.DUMMYFUNCTION("""COMPUTED_VALUE"""),0.0)</f>
        <v>0</v>
      </c>
      <c r="AZ107" s="3">
        <f>IFERROR(__xludf.DUMMYFUNCTION("""COMPUTED_VALUE"""),0.0)</f>
        <v>0</v>
      </c>
      <c r="BA107" s="3">
        <f>IFERROR(__xludf.DUMMYFUNCTION("""COMPUTED_VALUE"""),0.0)</f>
        <v>0</v>
      </c>
      <c r="BB107" s="3">
        <f>IFERROR(__xludf.DUMMYFUNCTION("""COMPUTED_VALUE"""),0.0)</f>
        <v>0</v>
      </c>
      <c r="BC107" s="3">
        <f>IFERROR(__xludf.DUMMYFUNCTION("""COMPUTED_VALUE"""),0.0)</f>
        <v>0</v>
      </c>
      <c r="BD107" s="3">
        <f>IFERROR(__xludf.DUMMYFUNCTION("""COMPUTED_VALUE"""),0.0)</f>
        <v>0</v>
      </c>
      <c r="BE107" s="3">
        <f>IFERROR(__xludf.DUMMYFUNCTION("""COMPUTED_VALUE"""),0.0)</f>
        <v>0</v>
      </c>
      <c r="BF107" s="3">
        <f>IFERROR(__xludf.DUMMYFUNCTION("""COMPUTED_VALUE"""),0.0)</f>
        <v>0</v>
      </c>
      <c r="BG107" s="3">
        <f>IFERROR(__xludf.DUMMYFUNCTION("""COMPUTED_VALUE"""),0.0)</f>
        <v>0</v>
      </c>
      <c r="BH107" s="3">
        <f>IFERROR(__xludf.DUMMYFUNCTION("""COMPUTED_VALUE"""),0.0)</f>
        <v>0</v>
      </c>
      <c r="BI107" s="3">
        <f>IFERROR(__xludf.DUMMYFUNCTION("""COMPUTED_VALUE"""),0.0)</f>
        <v>0</v>
      </c>
      <c r="BJ107" s="3">
        <f>IFERROR(__xludf.DUMMYFUNCTION("""COMPUTED_VALUE"""),1.0)</f>
        <v>1</v>
      </c>
      <c r="BK107" s="3">
        <f>IFERROR(__xludf.DUMMYFUNCTION("""COMPUTED_VALUE"""),1.0)</f>
        <v>1</v>
      </c>
      <c r="BL107" s="3">
        <f>IFERROR(__xludf.DUMMYFUNCTION("""COMPUTED_VALUE"""),1.0)</f>
        <v>1</v>
      </c>
      <c r="BM107" s="3">
        <f>IFERROR(__xludf.DUMMYFUNCTION("""COMPUTED_VALUE"""),2.0)</f>
        <v>2</v>
      </c>
      <c r="BN107" s="3">
        <f>IFERROR(__xludf.DUMMYFUNCTION("""COMPUTED_VALUE"""),3.0)</f>
        <v>3</v>
      </c>
      <c r="BO107" s="3">
        <f>IFERROR(__xludf.DUMMYFUNCTION("""COMPUTED_VALUE"""),4.0)</f>
        <v>4</v>
      </c>
      <c r="BP107" s="3">
        <f>IFERROR(__xludf.DUMMYFUNCTION("""COMPUTED_VALUE"""),5.0)</f>
        <v>5</v>
      </c>
      <c r="BQ107" s="3">
        <f>IFERROR(__xludf.DUMMYFUNCTION("""COMPUTED_VALUE"""),5.0)</f>
        <v>5</v>
      </c>
      <c r="BR107" s="3">
        <f>IFERROR(__xludf.DUMMYFUNCTION("""COMPUTED_VALUE"""),5.0)</f>
        <v>5</v>
      </c>
      <c r="BS107" s="3">
        <f>IFERROR(__xludf.DUMMYFUNCTION("""COMPUTED_VALUE"""),5.0)</f>
        <v>5</v>
      </c>
      <c r="BT107" s="3">
        <f>IFERROR(__xludf.DUMMYFUNCTION("""COMPUTED_VALUE"""),5.0)</f>
        <v>5</v>
      </c>
      <c r="BU107" s="3">
        <f>IFERROR(__xludf.DUMMYFUNCTION("""COMPUTED_VALUE"""),5.0)</f>
        <v>5</v>
      </c>
      <c r="BV107" s="3">
        <f>IFERROR(__xludf.DUMMYFUNCTION("""COMPUTED_VALUE"""),5.0)</f>
        <v>5</v>
      </c>
      <c r="BW107" s="3">
        <f>IFERROR(__xludf.DUMMYFUNCTION("""COMPUTED_VALUE"""),5.0)</f>
        <v>5</v>
      </c>
      <c r="BX107" s="3">
        <f>IFERROR(__xludf.DUMMYFUNCTION("""COMPUTED_VALUE"""),7.0)</f>
        <v>7</v>
      </c>
      <c r="BY107" s="3">
        <f>IFERROR(__xludf.DUMMYFUNCTION("""COMPUTED_VALUE"""),7.0)</f>
        <v>7</v>
      </c>
      <c r="BZ107" s="3">
        <f>IFERROR(__xludf.DUMMYFUNCTION("""COMPUTED_VALUE"""),12.0)</f>
        <v>12</v>
      </c>
      <c r="CA107" s="3">
        <f>IFERROR(__xludf.DUMMYFUNCTION("""COMPUTED_VALUE"""),12.0)</f>
        <v>12</v>
      </c>
      <c r="CB107" s="3">
        <f>IFERROR(__xludf.DUMMYFUNCTION("""COMPUTED_VALUE"""),14.0)</f>
        <v>14</v>
      </c>
    </row>
    <row r="108">
      <c r="A108" s="3" t="str">
        <f>IFERROR(__xludf.DUMMYFUNCTION("""COMPUTED_VALUE"""),"")</f>
        <v/>
      </c>
      <c r="B108" s="3" t="str">
        <f>IFERROR(__xludf.DUMMYFUNCTION("""COMPUTED_VALUE"""),"Finland")</f>
        <v>Finland</v>
      </c>
      <c r="C108" s="3">
        <f>IFERROR(__xludf.DUMMYFUNCTION("""COMPUTED_VALUE"""),64.0)</f>
        <v>64</v>
      </c>
      <c r="D108" s="3">
        <f>IFERROR(__xludf.DUMMYFUNCTION("""COMPUTED_VALUE"""),26.0)</f>
        <v>26</v>
      </c>
      <c r="E108" s="3">
        <f>IFERROR(__xludf.DUMMYFUNCTION("""COMPUTED_VALUE"""),0.0)</f>
        <v>0</v>
      </c>
      <c r="F108" s="3">
        <f>IFERROR(__xludf.DUMMYFUNCTION("""COMPUTED_VALUE"""),0.0)</f>
        <v>0</v>
      </c>
      <c r="G108" s="3">
        <f>IFERROR(__xludf.DUMMYFUNCTION("""COMPUTED_VALUE"""),0.0)</f>
        <v>0</v>
      </c>
      <c r="H108" s="3">
        <f>IFERROR(__xludf.DUMMYFUNCTION("""COMPUTED_VALUE"""),0.0)</f>
        <v>0</v>
      </c>
      <c r="I108" s="3">
        <f>IFERROR(__xludf.DUMMYFUNCTION("""COMPUTED_VALUE"""),0.0)</f>
        <v>0</v>
      </c>
      <c r="J108" s="3">
        <f>IFERROR(__xludf.DUMMYFUNCTION("""COMPUTED_VALUE"""),0.0)</f>
        <v>0</v>
      </c>
      <c r="K108" s="3">
        <f>IFERROR(__xludf.DUMMYFUNCTION("""COMPUTED_VALUE"""),0.0)</f>
        <v>0</v>
      </c>
      <c r="L108" s="3">
        <f>IFERROR(__xludf.DUMMYFUNCTION("""COMPUTED_VALUE"""),1.0)</f>
        <v>1</v>
      </c>
      <c r="M108" s="3">
        <f>IFERROR(__xludf.DUMMYFUNCTION("""COMPUTED_VALUE"""),1.0)</f>
        <v>1</v>
      </c>
      <c r="N108" s="3">
        <f>IFERROR(__xludf.DUMMYFUNCTION("""COMPUTED_VALUE"""),1.0)</f>
        <v>1</v>
      </c>
      <c r="O108" s="3">
        <f>IFERROR(__xludf.DUMMYFUNCTION("""COMPUTED_VALUE"""),1.0)</f>
        <v>1</v>
      </c>
      <c r="P108" s="3">
        <f>IFERROR(__xludf.DUMMYFUNCTION("""COMPUTED_VALUE"""),1.0)</f>
        <v>1</v>
      </c>
      <c r="Q108" s="3">
        <f>IFERROR(__xludf.DUMMYFUNCTION("""COMPUTED_VALUE"""),1.0)</f>
        <v>1</v>
      </c>
      <c r="R108" s="3">
        <f>IFERROR(__xludf.DUMMYFUNCTION("""COMPUTED_VALUE"""),1.0)</f>
        <v>1</v>
      </c>
      <c r="S108" s="3">
        <f>IFERROR(__xludf.DUMMYFUNCTION("""COMPUTED_VALUE"""),1.0)</f>
        <v>1</v>
      </c>
      <c r="T108" s="3">
        <f>IFERROR(__xludf.DUMMYFUNCTION("""COMPUTED_VALUE"""),1.0)</f>
        <v>1</v>
      </c>
      <c r="U108" s="3">
        <f>IFERROR(__xludf.DUMMYFUNCTION("""COMPUTED_VALUE"""),1.0)</f>
        <v>1</v>
      </c>
      <c r="V108" s="3">
        <f>IFERROR(__xludf.DUMMYFUNCTION("""COMPUTED_VALUE"""),1.0)</f>
        <v>1</v>
      </c>
      <c r="W108" s="3">
        <f>IFERROR(__xludf.DUMMYFUNCTION("""COMPUTED_VALUE"""),1.0)</f>
        <v>1</v>
      </c>
      <c r="X108" s="3">
        <f>IFERROR(__xludf.DUMMYFUNCTION("""COMPUTED_VALUE"""),1.0)</f>
        <v>1</v>
      </c>
      <c r="Y108" s="3">
        <f>IFERROR(__xludf.DUMMYFUNCTION("""COMPUTED_VALUE"""),1.0)</f>
        <v>1</v>
      </c>
      <c r="Z108" s="3">
        <f>IFERROR(__xludf.DUMMYFUNCTION("""COMPUTED_VALUE"""),1.0)</f>
        <v>1</v>
      </c>
      <c r="AA108" s="3">
        <f>IFERROR(__xludf.DUMMYFUNCTION("""COMPUTED_VALUE"""),1.0)</f>
        <v>1</v>
      </c>
      <c r="AB108" s="3">
        <f>IFERROR(__xludf.DUMMYFUNCTION("""COMPUTED_VALUE"""),1.0)</f>
        <v>1</v>
      </c>
      <c r="AC108" s="3">
        <f>IFERROR(__xludf.DUMMYFUNCTION("""COMPUTED_VALUE"""),1.0)</f>
        <v>1</v>
      </c>
      <c r="AD108" s="3">
        <f>IFERROR(__xludf.DUMMYFUNCTION("""COMPUTED_VALUE"""),1.0)</f>
        <v>1</v>
      </c>
      <c r="AE108" s="3">
        <f>IFERROR(__xludf.DUMMYFUNCTION("""COMPUTED_VALUE"""),1.0)</f>
        <v>1</v>
      </c>
      <c r="AF108" s="3">
        <f>IFERROR(__xludf.DUMMYFUNCTION("""COMPUTED_VALUE"""),1.0)</f>
        <v>1</v>
      </c>
      <c r="AG108" s="3">
        <f>IFERROR(__xludf.DUMMYFUNCTION("""COMPUTED_VALUE"""),1.0)</f>
        <v>1</v>
      </c>
      <c r="AH108" s="3">
        <f>IFERROR(__xludf.DUMMYFUNCTION("""COMPUTED_VALUE"""),1.0)</f>
        <v>1</v>
      </c>
      <c r="AI108" s="3">
        <f>IFERROR(__xludf.DUMMYFUNCTION("""COMPUTED_VALUE"""),1.0)</f>
        <v>1</v>
      </c>
      <c r="AJ108" s="3">
        <f>IFERROR(__xludf.DUMMYFUNCTION("""COMPUTED_VALUE"""),1.0)</f>
        <v>1</v>
      </c>
      <c r="AK108" s="3">
        <f>IFERROR(__xludf.DUMMYFUNCTION("""COMPUTED_VALUE"""),1.0)</f>
        <v>1</v>
      </c>
      <c r="AL108" s="3">
        <f>IFERROR(__xludf.DUMMYFUNCTION("""COMPUTED_VALUE"""),1.0)</f>
        <v>1</v>
      </c>
      <c r="AM108" s="3">
        <f>IFERROR(__xludf.DUMMYFUNCTION("""COMPUTED_VALUE"""),1.0)</f>
        <v>1</v>
      </c>
      <c r="AN108" s="3">
        <f>IFERROR(__xludf.DUMMYFUNCTION("""COMPUTED_VALUE"""),2.0)</f>
        <v>2</v>
      </c>
      <c r="AO108" s="3">
        <f>IFERROR(__xludf.DUMMYFUNCTION("""COMPUTED_VALUE"""),2.0)</f>
        <v>2</v>
      </c>
      <c r="AP108" s="3">
        <f>IFERROR(__xludf.DUMMYFUNCTION("""COMPUTED_VALUE"""),2.0)</f>
        <v>2</v>
      </c>
      <c r="AQ108" s="3">
        <f>IFERROR(__xludf.DUMMYFUNCTION("""COMPUTED_VALUE"""),3.0)</f>
        <v>3</v>
      </c>
      <c r="AR108" s="3">
        <f>IFERROR(__xludf.DUMMYFUNCTION("""COMPUTED_VALUE"""),6.0)</f>
        <v>6</v>
      </c>
      <c r="AS108" s="3">
        <f>IFERROR(__xludf.DUMMYFUNCTION("""COMPUTED_VALUE"""),6.0)</f>
        <v>6</v>
      </c>
      <c r="AT108" s="3">
        <f>IFERROR(__xludf.DUMMYFUNCTION("""COMPUTED_VALUE"""),6.0)</f>
        <v>6</v>
      </c>
      <c r="AU108" s="3">
        <f>IFERROR(__xludf.DUMMYFUNCTION("""COMPUTED_VALUE"""),6.0)</f>
        <v>6</v>
      </c>
      <c r="AV108" s="3">
        <f>IFERROR(__xludf.DUMMYFUNCTION("""COMPUTED_VALUE"""),12.0)</f>
        <v>12</v>
      </c>
      <c r="AW108" s="3">
        <f>IFERROR(__xludf.DUMMYFUNCTION("""COMPUTED_VALUE"""),15.0)</f>
        <v>15</v>
      </c>
      <c r="AX108" s="3">
        <f>IFERROR(__xludf.DUMMYFUNCTION("""COMPUTED_VALUE"""),15.0)</f>
        <v>15</v>
      </c>
      <c r="AY108" s="3">
        <f>IFERROR(__xludf.DUMMYFUNCTION("""COMPUTED_VALUE"""),23.0)</f>
        <v>23</v>
      </c>
      <c r="AZ108" s="3">
        <f>IFERROR(__xludf.DUMMYFUNCTION("""COMPUTED_VALUE"""),30.0)</f>
        <v>30</v>
      </c>
      <c r="BA108" s="3">
        <f>IFERROR(__xludf.DUMMYFUNCTION("""COMPUTED_VALUE"""),40.0)</f>
        <v>40</v>
      </c>
      <c r="BB108" s="3">
        <f>IFERROR(__xludf.DUMMYFUNCTION("""COMPUTED_VALUE"""),59.0)</f>
        <v>59</v>
      </c>
      <c r="BC108" s="3">
        <f>IFERROR(__xludf.DUMMYFUNCTION("""COMPUTED_VALUE"""),59.0)</f>
        <v>59</v>
      </c>
      <c r="BD108" s="3">
        <f>IFERROR(__xludf.DUMMYFUNCTION("""COMPUTED_VALUE"""),155.0)</f>
        <v>155</v>
      </c>
      <c r="BE108" s="3">
        <f>IFERROR(__xludf.DUMMYFUNCTION("""COMPUTED_VALUE"""),225.0)</f>
        <v>225</v>
      </c>
      <c r="BF108" s="3">
        <f>IFERROR(__xludf.DUMMYFUNCTION("""COMPUTED_VALUE"""),244.0)</f>
        <v>244</v>
      </c>
      <c r="BG108" s="3">
        <f>IFERROR(__xludf.DUMMYFUNCTION("""COMPUTED_VALUE"""),277.0)</f>
        <v>277</v>
      </c>
      <c r="BH108" s="3">
        <f>IFERROR(__xludf.DUMMYFUNCTION("""COMPUTED_VALUE"""),321.0)</f>
        <v>321</v>
      </c>
      <c r="BI108" s="3">
        <f>IFERROR(__xludf.DUMMYFUNCTION("""COMPUTED_VALUE"""),336.0)</f>
        <v>336</v>
      </c>
      <c r="BJ108" s="3">
        <f>IFERROR(__xludf.DUMMYFUNCTION("""COMPUTED_VALUE"""),400.0)</f>
        <v>400</v>
      </c>
      <c r="BK108" s="3">
        <f>IFERROR(__xludf.DUMMYFUNCTION("""COMPUTED_VALUE"""),450.0)</f>
        <v>450</v>
      </c>
      <c r="BL108" s="3">
        <f>IFERROR(__xludf.DUMMYFUNCTION("""COMPUTED_VALUE"""),523.0)</f>
        <v>523</v>
      </c>
      <c r="BM108" s="3">
        <f>IFERROR(__xludf.DUMMYFUNCTION("""COMPUTED_VALUE"""),626.0)</f>
        <v>626</v>
      </c>
      <c r="BN108" s="3">
        <f>IFERROR(__xludf.DUMMYFUNCTION("""COMPUTED_VALUE"""),700.0)</f>
        <v>700</v>
      </c>
      <c r="BO108" s="3">
        <f>IFERROR(__xludf.DUMMYFUNCTION("""COMPUTED_VALUE"""),792.0)</f>
        <v>792</v>
      </c>
      <c r="BP108" s="3">
        <f>IFERROR(__xludf.DUMMYFUNCTION("""COMPUTED_VALUE"""),880.0)</f>
        <v>880</v>
      </c>
      <c r="BQ108" s="3">
        <f>IFERROR(__xludf.DUMMYFUNCTION("""COMPUTED_VALUE"""),958.0)</f>
        <v>958</v>
      </c>
      <c r="BR108" s="3">
        <f>IFERROR(__xludf.DUMMYFUNCTION("""COMPUTED_VALUE"""),1041.0)</f>
        <v>1041</v>
      </c>
      <c r="BS108" s="3">
        <f>IFERROR(__xludf.DUMMYFUNCTION("""COMPUTED_VALUE"""),1167.0)</f>
        <v>1167</v>
      </c>
      <c r="BT108" s="3">
        <f>IFERROR(__xludf.DUMMYFUNCTION("""COMPUTED_VALUE"""),1240.0)</f>
        <v>1240</v>
      </c>
      <c r="BU108" s="3">
        <f>IFERROR(__xludf.DUMMYFUNCTION("""COMPUTED_VALUE"""),1352.0)</f>
        <v>1352</v>
      </c>
      <c r="BV108" s="3">
        <f>IFERROR(__xludf.DUMMYFUNCTION("""COMPUTED_VALUE"""),1418.0)</f>
        <v>1418</v>
      </c>
      <c r="BW108" s="3">
        <f>IFERROR(__xludf.DUMMYFUNCTION("""COMPUTED_VALUE"""),1446.0)</f>
        <v>1446</v>
      </c>
      <c r="BX108" s="3">
        <f>IFERROR(__xludf.DUMMYFUNCTION("""COMPUTED_VALUE"""),1518.0)</f>
        <v>1518</v>
      </c>
      <c r="BY108" s="3">
        <f>IFERROR(__xludf.DUMMYFUNCTION("""COMPUTED_VALUE"""),1615.0)</f>
        <v>1615</v>
      </c>
      <c r="BZ108" s="3">
        <f>IFERROR(__xludf.DUMMYFUNCTION("""COMPUTED_VALUE"""),1882.0)</f>
        <v>1882</v>
      </c>
      <c r="CA108" s="3">
        <f>IFERROR(__xludf.DUMMYFUNCTION("""COMPUTED_VALUE"""),1927.0)</f>
        <v>1927</v>
      </c>
      <c r="CB108" s="3">
        <f>IFERROR(__xludf.DUMMYFUNCTION("""COMPUTED_VALUE"""),2176.0)</f>
        <v>2176</v>
      </c>
    </row>
    <row r="109">
      <c r="A109" s="3" t="str">
        <f>IFERROR(__xludf.DUMMYFUNCTION("""COMPUTED_VALUE"""),"French Guiana")</f>
        <v>French Guiana</v>
      </c>
      <c r="B109" s="3" t="str">
        <f>IFERROR(__xludf.DUMMYFUNCTION("""COMPUTED_VALUE"""),"France")</f>
        <v>France</v>
      </c>
      <c r="C109" s="3">
        <f>IFERROR(__xludf.DUMMYFUNCTION("""COMPUTED_VALUE"""),3.9339)</f>
        <v>3.9339</v>
      </c>
      <c r="D109" s="3">
        <f>IFERROR(__xludf.DUMMYFUNCTION("""COMPUTED_VALUE"""),-53.1258)</f>
        <v>-53.1258</v>
      </c>
      <c r="E109" s="3">
        <f>IFERROR(__xludf.DUMMYFUNCTION("""COMPUTED_VALUE"""),0.0)</f>
        <v>0</v>
      </c>
      <c r="F109" s="3">
        <f>IFERROR(__xludf.DUMMYFUNCTION("""COMPUTED_VALUE"""),0.0)</f>
        <v>0</v>
      </c>
      <c r="G109" s="3">
        <f>IFERROR(__xludf.DUMMYFUNCTION("""COMPUTED_VALUE"""),0.0)</f>
        <v>0</v>
      </c>
      <c r="H109" s="3">
        <f>IFERROR(__xludf.DUMMYFUNCTION("""COMPUTED_VALUE"""),0.0)</f>
        <v>0</v>
      </c>
      <c r="I109" s="3">
        <f>IFERROR(__xludf.DUMMYFUNCTION("""COMPUTED_VALUE"""),0.0)</f>
        <v>0</v>
      </c>
      <c r="J109" s="3">
        <f>IFERROR(__xludf.DUMMYFUNCTION("""COMPUTED_VALUE"""),0.0)</f>
        <v>0</v>
      </c>
      <c r="K109" s="3">
        <f>IFERROR(__xludf.DUMMYFUNCTION("""COMPUTED_VALUE"""),0.0)</f>
        <v>0</v>
      </c>
      <c r="L109" s="3">
        <f>IFERROR(__xludf.DUMMYFUNCTION("""COMPUTED_VALUE"""),0.0)</f>
        <v>0</v>
      </c>
      <c r="M109" s="3">
        <f>IFERROR(__xludf.DUMMYFUNCTION("""COMPUTED_VALUE"""),0.0)</f>
        <v>0</v>
      </c>
      <c r="N109" s="3">
        <f>IFERROR(__xludf.DUMMYFUNCTION("""COMPUTED_VALUE"""),0.0)</f>
        <v>0</v>
      </c>
      <c r="O109" s="3">
        <f>IFERROR(__xludf.DUMMYFUNCTION("""COMPUTED_VALUE"""),0.0)</f>
        <v>0</v>
      </c>
      <c r="P109" s="3">
        <f>IFERROR(__xludf.DUMMYFUNCTION("""COMPUTED_VALUE"""),0.0)</f>
        <v>0</v>
      </c>
      <c r="Q109" s="3">
        <f>IFERROR(__xludf.DUMMYFUNCTION("""COMPUTED_VALUE"""),0.0)</f>
        <v>0</v>
      </c>
      <c r="R109" s="3">
        <f>IFERROR(__xludf.DUMMYFUNCTION("""COMPUTED_VALUE"""),0.0)</f>
        <v>0</v>
      </c>
      <c r="S109" s="3">
        <f>IFERROR(__xludf.DUMMYFUNCTION("""COMPUTED_VALUE"""),0.0)</f>
        <v>0</v>
      </c>
      <c r="T109" s="3">
        <f>IFERROR(__xludf.DUMMYFUNCTION("""COMPUTED_VALUE"""),0.0)</f>
        <v>0</v>
      </c>
      <c r="U109" s="3">
        <f>IFERROR(__xludf.DUMMYFUNCTION("""COMPUTED_VALUE"""),0.0)</f>
        <v>0</v>
      </c>
      <c r="V109" s="3">
        <f>IFERROR(__xludf.DUMMYFUNCTION("""COMPUTED_VALUE"""),0.0)</f>
        <v>0</v>
      </c>
      <c r="W109" s="3">
        <f>IFERROR(__xludf.DUMMYFUNCTION("""COMPUTED_VALUE"""),0.0)</f>
        <v>0</v>
      </c>
      <c r="X109" s="3">
        <f>IFERROR(__xludf.DUMMYFUNCTION("""COMPUTED_VALUE"""),0.0)</f>
        <v>0</v>
      </c>
      <c r="Y109" s="3">
        <f>IFERROR(__xludf.DUMMYFUNCTION("""COMPUTED_VALUE"""),0.0)</f>
        <v>0</v>
      </c>
      <c r="Z109" s="3">
        <f>IFERROR(__xludf.DUMMYFUNCTION("""COMPUTED_VALUE"""),0.0)</f>
        <v>0</v>
      </c>
      <c r="AA109" s="3">
        <f>IFERROR(__xludf.DUMMYFUNCTION("""COMPUTED_VALUE"""),0.0)</f>
        <v>0</v>
      </c>
      <c r="AB109" s="3">
        <f>IFERROR(__xludf.DUMMYFUNCTION("""COMPUTED_VALUE"""),0.0)</f>
        <v>0</v>
      </c>
      <c r="AC109" s="3">
        <f>IFERROR(__xludf.DUMMYFUNCTION("""COMPUTED_VALUE"""),0.0)</f>
        <v>0</v>
      </c>
      <c r="AD109" s="3">
        <f>IFERROR(__xludf.DUMMYFUNCTION("""COMPUTED_VALUE"""),0.0)</f>
        <v>0</v>
      </c>
      <c r="AE109" s="3">
        <f>IFERROR(__xludf.DUMMYFUNCTION("""COMPUTED_VALUE"""),0.0)</f>
        <v>0</v>
      </c>
      <c r="AF109" s="3">
        <f>IFERROR(__xludf.DUMMYFUNCTION("""COMPUTED_VALUE"""),0.0)</f>
        <v>0</v>
      </c>
      <c r="AG109" s="3">
        <f>IFERROR(__xludf.DUMMYFUNCTION("""COMPUTED_VALUE"""),0.0)</f>
        <v>0</v>
      </c>
      <c r="AH109" s="3">
        <f>IFERROR(__xludf.DUMMYFUNCTION("""COMPUTED_VALUE"""),0.0)</f>
        <v>0</v>
      </c>
      <c r="AI109" s="3">
        <f>IFERROR(__xludf.DUMMYFUNCTION("""COMPUTED_VALUE"""),0.0)</f>
        <v>0</v>
      </c>
      <c r="AJ109" s="3">
        <f>IFERROR(__xludf.DUMMYFUNCTION("""COMPUTED_VALUE"""),0.0)</f>
        <v>0</v>
      </c>
      <c r="AK109" s="3">
        <f>IFERROR(__xludf.DUMMYFUNCTION("""COMPUTED_VALUE"""),0.0)</f>
        <v>0</v>
      </c>
      <c r="AL109" s="3">
        <f>IFERROR(__xludf.DUMMYFUNCTION("""COMPUTED_VALUE"""),0.0)</f>
        <v>0</v>
      </c>
      <c r="AM109" s="3">
        <f>IFERROR(__xludf.DUMMYFUNCTION("""COMPUTED_VALUE"""),0.0)</f>
        <v>0</v>
      </c>
      <c r="AN109" s="3">
        <f>IFERROR(__xludf.DUMMYFUNCTION("""COMPUTED_VALUE"""),0.0)</f>
        <v>0</v>
      </c>
      <c r="AO109" s="3">
        <f>IFERROR(__xludf.DUMMYFUNCTION("""COMPUTED_VALUE"""),0.0)</f>
        <v>0</v>
      </c>
      <c r="AP109" s="3">
        <f>IFERROR(__xludf.DUMMYFUNCTION("""COMPUTED_VALUE"""),0.0)</f>
        <v>0</v>
      </c>
      <c r="AQ109" s="3">
        <f>IFERROR(__xludf.DUMMYFUNCTION("""COMPUTED_VALUE"""),0.0)</f>
        <v>0</v>
      </c>
      <c r="AR109" s="3">
        <f>IFERROR(__xludf.DUMMYFUNCTION("""COMPUTED_VALUE"""),0.0)</f>
        <v>0</v>
      </c>
      <c r="AS109" s="3">
        <f>IFERROR(__xludf.DUMMYFUNCTION("""COMPUTED_VALUE"""),0.0)</f>
        <v>0</v>
      </c>
      <c r="AT109" s="3">
        <f>IFERROR(__xludf.DUMMYFUNCTION("""COMPUTED_VALUE"""),0.0)</f>
        <v>0</v>
      </c>
      <c r="AU109" s="3">
        <f>IFERROR(__xludf.DUMMYFUNCTION("""COMPUTED_VALUE"""),0.0)</f>
        <v>0</v>
      </c>
      <c r="AV109" s="3">
        <f>IFERROR(__xludf.DUMMYFUNCTION("""COMPUTED_VALUE"""),0.0)</f>
        <v>0</v>
      </c>
      <c r="AW109" s="3">
        <f>IFERROR(__xludf.DUMMYFUNCTION("""COMPUTED_VALUE"""),0.0)</f>
        <v>0</v>
      </c>
      <c r="AX109" s="3">
        <f>IFERROR(__xludf.DUMMYFUNCTION("""COMPUTED_VALUE"""),5.0)</f>
        <v>5</v>
      </c>
      <c r="AY109" s="3">
        <f>IFERROR(__xludf.DUMMYFUNCTION("""COMPUTED_VALUE"""),5.0)</f>
        <v>5</v>
      </c>
      <c r="AZ109" s="3">
        <f>IFERROR(__xludf.DUMMYFUNCTION("""COMPUTED_VALUE"""),5.0)</f>
        <v>5</v>
      </c>
      <c r="BA109" s="3">
        <f>IFERROR(__xludf.DUMMYFUNCTION("""COMPUTED_VALUE"""),5.0)</f>
        <v>5</v>
      </c>
      <c r="BB109" s="3">
        <f>IFERROR(__xludf.DUMMYFUNCTION("""COMPUTED_VALUE"""),5.0)</f>
        <v>5</v>
      </c>
      <c r="BC109" s="3">
        <f>IFERROR(__xludf.DUMMYFUNCTION("""COMPUTED_VALUE"""),5.0)</f>
        <v>5</v>
      </c>
      <c r="BD109" s="3">
        <f>IFERROR(__xludf.DUMMYFUNCTION("""COMPUTED_VALUE"""),5.0)</f>
        <v>5</v>
      </c>
      <c r="BE109" s="3">
        <f>IFERROR(__xludf.DUMMYFUNCTION("""COMPUTED_VALUE"""),5.0)</f>
        <v>5</v>
      </c>
      <c r="BF109" s="3">
        <f>IFERROR(__xludf.DUMMYFUNCTION("""COMPUTED_VALUE"""),7.0)</f>
        <v>7</v>
      </c>
      <c r="BG109" s="3">
        <f>IFERROR(__xludf.DUMMYFUNCTION("""COMPUTED_VALUE"""),11.0)</f>
        <v>11</v>
      </c>
      <c r="BH109" s="3">
        <f>IFERROR(__xludf.DUMMYFUNCTION("""COMPUTED_VALUE"""),11.0)</f>
        <v>11</v>
      </c>
      <c r="BI109" s="3">
        <f>IFERROR(__xludf.DUMMYFUNCTION("""COMPUTED_VALUE"""),11.0)</f>
        <v>11</v>
      </c>
      <c r="BJ109" s="3">
        <f>IFERROR(__xludf.DUMMYFUNCTION("""COMPUTED_VALUE"""),11.0)</f>
        <v>11</v>
      </c>
      <c r="BK109" s="3">
        <f>IFERROR(__xludf.DUMMYFUNCTION("""COMPUTED_VALUE"""),15.0)</f>
        <v>15</v>
      </c>
      <c r="BL109" s="3">
        <f>IFERROR(__xludf.DUMMYFUNCTION("""COMPUTED_VALUE"""),18.0)</f>
        <v>18</v>
      </c>
      <c r="BM109" s="3">
        <f>IFERROR(__xludf.DUMMYFUNCTION("""COMPUTED_VALUE"""),18.0)</f>
        <v>18</v>
      </c>
      <c r="BN109" s="3">
        <f>IFERROR(__xludf.DUMMYFUNCTION("""COMPUTED_VALUE"""),20.0)</f>
        <v>20</v>
      </c>
      <c r="BO109" s="3">
        <f>IFERROR(__xludf.DUMMYFUNCTION("""COMPUTED_VALUE"""),23.0)</f>
        <v>23</v>
      </c>
      <c r="BP109" s="3">
        <f>IFERROR(__xludf.DUMMYFUNCTION("""COMPUTED_VALUE"""),28.0)</f>
        <v>28</v>
      </c>
      <c r="BQ109" s="3">
        <f>IFERROR(__xludf.DUMMYFUNCTION("""COMPUTED_VALUE"""),28.0)</f>
        <v>28</v>
      </c>
      <c r="BR109" s="3">
        <f>IFERROR(__xludf.DUMMYFUNCTION("""COMPUTED_VALUE"""),28.0)</f>
        <v>28</v>
      </c>
      <c r="BS109" s="3">
        <f>IFERROR(__xludf.DUMMYFUNCTION("""COMPUTED_VALUE"""),28.0)</f>
        <v>28</v>
      </c>
      <c r="BT109" s="3">
        <f>IFERROR(__xludf.DUMMYFUNCTION("""COMPUTED_VALUE"""),28.0)</f>
        <v>28</v>
      </c>
      <c r="BU109" s="3">
        <f>IFERROR(__xludf.DUMMYFUNCTION("""COMPUTED_VALUE"""),43.0)</f>
        <v>43</v>
      </c>
      <c r="BV109" s="3">
        <f>IFERROR(__xludf.DUMMYFUNCTION("""COMPUTED_VALUE"""),43.0)</f>
        <v>43</v>
      </c>
      <c r="BW109" s="3">
        <f>IFERROR(__xludf.DUMMYFUNCTION("""COMPUTED_VALUE"""),51.0)</f>
        <v>51</v>
      </c>
      <c r="BX109" s="3">
        <f>IFERROR(__xludf.DUMMYFUNCTION("""COMPUTED_VALUE"""),51.0)</f>
        <v>51</v>
      </c>
      <c r="BY109" s="3">
        <f>IFERROR(__xludf.DUMMYFUNCTION("""COMPUTED_VALUE"""),57.0)</f>
        <v>57</v>
      </c>
      <c r="BZ109" s="3">
        <f>IFERROR(__xludf.DUMMYFUNCTION("""COMPUTED_VALUE"""),61.0)</f>
        <v>61</v>
      </c>
      <c r="CA109" s="3">
        <f>IFERROR(__xludf.DUMMYFUNCTION("""COMPUTED_VALUE"""),61.0)</f>
        <v>61</v>
      </c>
      <c r="CB109" s="3">
        <f>IFERROR(__xludf.DUMMYFUNCTION("""COMPUTED_VALUE"""),72.0)</f>
        <v>72</v>
      </c>
    </row>
    <row r="110">
      <c r="A110" s="3" t="str">
        <f>IFERROR(__xludf.DUMMYFUNCTION("""COMPUTED_VALUE"""),"French Polynesia")</f>
        <v>French Polynesia</v>
      </c>
      <c r="B110" s="3" t="str">
        <f>IFERROR(__xludf.DUMMYFUNCTION("""COMPUTED_VALUE"""),"France")</f>
        <v>France</v>
      </c>
      <c r="C110" s="3">
        <f>IFERROR(__xludf.DUMMYFUNCTION("""COMPUTED_VALUE"""),-17.6797)</f>
        <v>-17.6797</v>
      </c>
      <c r="D110" s="3">
        <f>IFERROR(__xludf.DUMMYFUNCTION("""COMPUTED_VALUE"""),149.4068)</f>
        <v>149.4068</v>
      </c>
      <c r="E110" s="3">
        <f>IFERROR(__xludf.DUMMYFUNCTION("""COMPUTED_VALUE"""),0.0)</f>
        <v>0</v>
      </c>
      <c r="F110" s="3">
        <f>IFERROR(__xludf.DUMMYFUNCTION("""COMPUTED_VALUE"""),0.0)</f>
        <v>0</v>
      </c>
      <c r="G110" s="3">
        <f>IFERROR(__xludf.DUMMYFUNCTION("""COMPUTED_VALUE"""),0.0)</f>
        <v>0</v>
      </c>
      <c r="H110" s="3">
        <f>IFERROR(__xludf.DUMMYFUNCTION("""COMPUTED_VALUE"""),0.0)</f>
        <v>0</v>
      </c>
      <c r="I110" s="3">
        <f>IFERROR(__xludf.DUMMYFUNCTION("""COMPUTED_VALUE"""),0.0)</f>
        <v>0</v>
      </c>
      <c r="J110" s="3">
        <f>IFERROR(__xludf.DUMMYFUNCTION("""COMPUTED_VALUE"""),0.0)</f>
        <v>0</v>
      </c>
      <c r="K110" s="3">
        <f>IFERROR(__xludf.DUMMYFUNCTION("""COMPUTED_VALUE"""),0.0)</f>
        <v>0</v>
      </c>
      <c r="L110" s="3">
        <f>IFERROR(__xludf.DUMMYFUNCTION("""COMPUTED_VALUE"""),0.0)</f>
        <v>0</v>
      </c>
      <c r="M110" s="3">
        <f>IFERROR(__xludf.DUMMYFUNCTION("""COMPUTED_VALUE"""),0.0)</f>
        <v>0</v>
      </c>
      <c r="N110" s="3">
        <f>IFERROR(__xludf.DUMMYFUNCTION("""COMPUTED_VALUE"""),0.0)</f>
        <v>0</v>
      </c>
      <c r="O110" s="3">
        <f>IFERROR(__xludf.DUMMYFUNCTION("""COMPUTED_VALUE"""),0.0)</f>
        <v>0</v>
      </c>
      <c r="P110" s="3">
        <f>IFERROR(__xludf.DUMMYFUNCTION("""COMPUTED_VALUE"""),0.0)</f>
        <v>0</v>
      </c>
      <c r="Q110" s="3">
        <f>IFERROR(__xludf.DUMMYFUNCTION("""COMPUTED_VALUE"""),0.0)</f>
        <v>0</v>
      </c>
      <c r="R110" s="3">
        <f>IFERROR(__xludf.DUMMYFUNCTION("""COMPUTED_VALUE"""),0.0)</f>
        <v>0</v>
      </c>
      <c r="S110" s="3">
        <f>IFERROR(__xludf.DUMMYFUNCTION("""COMPUTED_VALUE"""),0.0)</f>
        <v>0</v>
      </c>
      <c r="T110" s="3">
        <f>IFERROR(__xludf.DUMMYFUNCTION("""COMPUTED_VALUE"""),0.0)</f>
        <v>0</v>
      </c>
      <c r="U110" s="3">
        <f>IFERROR(__xludf.DUMMYFUNCTION("""COMPUTED_VALUE"""),0.0)</f>
        <v>0</v>
      </c>
      <c r="V110" s="3">
        <f>IFERROR(__xludf.DUMMYFUNCTION("""COMPUTED_VALUE"""),0.0)</f>
        <v>0</v>
      </c>
      <c r="W110" s="3">
        <f>IFERROR(__xludf.DUMMYFUNCTION("""COMPUTED_VALUE"""),0.0)</f>
        <v>0</v>
      </c>
      <c r="X110" s="3">
        <f>IFERROR(__xludf.DUMMYFUNCTION("""COMPUTED_VALUE"""),0.0)</f>
        <v>0</v>
      </c>
      <c r="Y110" s="3">
        <f>IFERROR(__xludf.DUMMYFUNCTION("""COMPUTED_VALUE"""),0.0)</f>
        <v>0</v>
      </c>
      <c r="Z110" s="3">
        <f>IFERROR(__xludf.DUMMYFUNCTION("""COMPUTED_VALUE"""),0.0)</f>
        <v>0</v>
      </c>
      <c r="AA110" s="3">
        <f>IFERROR(__xludf.DUMMYFUNCTION("""COMPUTED_VALUE"""),0.0)</f>
        <v>0</v>
      </c>
      <c r="AB110" s="3">
        <f>IFERROR(__xludf.DUMMYFUNCTION("""COMPUTED_VALUE"""),0.0)</f>
        <v>0</v>
      </c>
      <c r="AC110" s="3">
        <f>IFERROR(__xludf.DUMMYFUNCTION("""COMPUTED_VALUE"""),0.0)</f>
        <v>0</v>
      </c>
      <c r="AD110" s="3">
        <f>IFERROR(__xludf.DUMMYFUNCTION("""COMPUTED_VALUE"""),0.0)</f>
        <v>0</v>
      </c>
      <c r="AE110" s="3">
        <f>IFERROR(__xludf.DUMMYFUNCTION("""COMPUTED_VALUE"""),0.0)</f>
        <v>0</v>
      </c>
      <c r="AF110" s="3">
        <f>IFERROR(__xludf.DUMMYFUNCTION("""COMPUTED_VALUE"""),0.0)</f>
        <v>0</v>
      </c>
      <c r="AG110" s="3">
        <f>IFERROR(__xludf.DUMMYFUNCTION("""COMPUTED_VALUE"""),0.0)</f>
        <v>0</v>
      </c>
      <c r="AH110" s="3">
        <f>IFERROR(__xludf.DUMMYFUNCTION("""COMPUTED_VALUE"""),0.0)</f>
        <v>0</v>
      </c>
      <c r="AI110" s="3">
        <f>IFERROR(__xludf.DUMMYFUNCTION("""COMPUTED_VALUE"""),0.0)</f>
        <v>0</v>
      </c>
      <c r="AJ110" s="3">
        <f>IFERROR(__xludf.DUMMYFUNCTION("""COMPUTED_VALUE"""),0.0)</f>
        <v>0</v>
      </c>
      <c r="AK110" s="3">
        <f>IFERROR(__xludf.DUMMYFUNCTION("""COMPUTED_VALUE"""),0.0)</f>
        <v>0</v>
      </c>
      <c r="AL110" s="3">
        <f>IFERROR(__xludf.DUMMYFUNCTION("""COMPUTED_VALUE"""),0.0)</f>
        <v>0</v>
      </c>
      <c r="AM110" s="3">
        <f>IFERROR(__xludf.DUMMYFUNCTION("""COMPUTED_VALUE"""),0.0)</f>
        <v>0</v>
      </c>
      <c r="AN110" s="3">
        <f>IFERROR(__xludf.DUMMYFUNCTION("""COMPUTED_VALUE"""),0.0)</f>
        <v>0</v>
      </c>
      <c r="AO110" s="3">
        <f>IFERROR(__xludf.DUMMYFUNCTION("""COMPUTED_VALUE"""),0.0)</f>
        <v>0</v>
      </c>
      <c r="AP110" s="3">
        <f>IFERROR(__xludf.DUMMYFUNCTION("""COMPUTED_VALUE"""),0.0)</f>
        <v>0</v>
      </c>
      <c r="AQ110" s="3">
        <f>IFERROR(__xludf.DUMMYFUNCTION("""COMPUTED_VALUE"""),0.0)</f>
        <v>0</v>
      </c>
      <c r="AR110" s="3">
        <f>IFERROR(__xludf.DUMMYFUNCTION("""COMPUTED_VALUE"""),0.0)</f>
        <v>0</v>
      </c>
      <c r="AS110" s="3">
        <f>IFERROR(__xludf.DUMMYFUNCTION("""COMPUTED_VALUE"""),0.0)</f>
        <v>0</v>
      </c>
      <c r="AT110" s="3">
        <f>IFERROR(__xludf.DUMMYFUNCTION("""COMPUTED_VALUE"""),0.0)</f>
        <v>0</v>
      </c>
      <c r="AU110" s="3">
        <f>IFERROR(__xludf.DUMMYFUNCTION("""COMPUTED_VALUE"""),0.0)</f>
        <v>0</v>
      </c>
      <c r="AV110" s="3">
        <f>IFERROR(__xludf.DUMMYFUNCTION("""COMPUTED_VALUE"""),0.0)</f>
        <v>0</v>
      </c>
      <c r="AW110" s="3">
        <f>IFERROR(__xludf.DUMMYFUNCTION("""COMPUTED_VALUE"""),0.0)</f>
        <v>0</v>
      </c>
      <c r="AX110" s="3">
        <f>IFERROR(__xludf.DUMMYFUNCTION("""COMPUTED_VALUE"""),0.0)</f>
        <v>0</v>
      </c>
      <c r="AY110" s="3">
        <f>IFERROR(__xludf.DUMMYFUNCTION("""COMPUTED_VALUE"""),0.0)</f>
        <v>0</v>
      </c>
      <c r="AZ110" s="3">
        <f>IFERROR(__xludf.DUMMYFUNCTION("""COMPUTED_VALUE"""),0.0)</f>
        <v>0</v>
      </c>
      <c r="BA110" s="3">
        <f>IFERROR(__xludf.DUMMYFUNCTION("""COMPUTED_VALUE"""),0.0)</f>
        <v>0</v>
      </c>
      <c r="BB110" s="3">
        <f>IFERROR(__xludf.DUMMYFUNCTION("""COMPUTED_VALUE"""),0.0)</f>
        <v>0</v>
      </c>
      <c r="BC110" s="3">
        <f>IFERROR(__xludf.DUMMYFUNCTION("""COMPUTED_VALUE"""),0.0)</f>
        <v>0</v>
      </c>
      <c r="BD110" s="3">
        <f>IFERROR(__xludf.DUMMYFUNCTION("""COMPUTED_VALUE"""),3.0)</f>
        <v>3</v>
      </c>
      <c r="BE110" s="3">
        <f>IFERROR(__xludf.DUMMYFUNCTION("""COMPUTED_VALUE"""),3.0)</f>
        <v>3</v>
      </c>
      <c r="BF110" s="3">
        <f>IFERROR(__xludf.DUMMYFUNCTION("""COMPUTED_VALUE"""),3.0)</f>
        <v>3</v>
      </c>
      <c r="BG110" s="3">
        <f>IFERROR(__xludf.DUMMYFUNCTION("""COMPUTED_VALUE"""),3.0)</f>
        <v>3</v>
      </c>
      <c r="BH110" s="3">
        <f>IFERROR(__xludf.DUMMYFUNCTION("""COMPUTED_VALUE"""),3.0)</f>
        <v>3</v>
      </c>
      <c r="BI110" s="3">
        <f>IFERROR(__xludf.DUMMYFUNCTION("""COMPUTED_VALUE"""),3.0)</f>
        <v>3</v>
      </c>
      <c r="BJ110" s="3">
        <f>IFERROR(__xludf.DUMMYFUNCTION("""COMPUTED_VALUE"""),6.0)</f>
        <v>6</v>
      </c>
      <c r="BK110" s="3">
        <f>IFERROR(__xludf.DUMMYFUNCTION("""COMPUTED_VALUE"""),11.0)</f>
        <v>11</v>
      </c>
      <c r="BL110" s="3">
        <f>IFERROR(__xludf.DUMMYFUNCTION("""COMPUTED_VALUE"""),15.0)</f>
        <v>15</v>
      </c>
      <c r="BM110" s="3">
        <f>IFERROR(__xludf.DUMMYFUNCTION("""COMPUTED_VALUE"""),18.0)</f>
        <v>18</v>
      </c>
      <c r="BN110" s="3">
        <f>IFERROR(__xludf.DUMMYFUNCTION("""COMPUTED_VALUE"""),18.0)</f>
        <v>18</v>
      </c>
      <c r="BO110" s="3">
        <f>IFERROR(__xludf.DUMMYFUNCTION("""COMPUTED_VALUE"""),25.0)</f>
        <v>25</v>
      </c>
      <c r="BP110" s="3">
        <f>IFERROR(__xludf.DUMMYFUNCTION("""COMPUTED_VALUE"""),25.0)</f>
        <v>25</v>
      </c>
      <c r="BQ110" s="3">
        <f>IFERROR(__xludf.DUMMYFUNCTION("""COMPUTED_VALUE"""),30.0)</f>
        <v>30</v>
      </c>
      <c r="BR110" s="3">
        <f>IFERROR(__xludf.DUMMYFUNCTION("""COMPUTED_VALUE"""),30.0)</f>
        <v>30</v>
      </c>
      <c r="BS110" s="3">
        <f>IFERROR(__xludf.DUMMYFUNCTION("""COMPUTED_VALUE"""),30.0)</f>
        <v>30</v>
      </c>
      <c r="BT110" s="3">
        <f>IFERROR(__xludf.DUMMYFUNCTION("""COMPUTED_VALUE"""),30.0)</f>
        <v>30</v>
      </c>
      <c r="BU110" s="3">
        <f>IFERROR(__xludf.DUMMYFUNCTION("""COMPUTED_VALUE"""),36.0)</f>
        <v>36</v>
      </c>
      <c r="BV110" s="3">
        <f>IFERROR(__xludf.DUMMYFUNCTION("""COMPUTED_VALUE"""),36.0)</f>
        <v>36</v>
      </c>
      <c r="BW110" s="3">
        <f>IFERROR(__xludf.DUMMYFUNCTION("""COMPUTED_VALUE"""),37.0)</f>
        <v>37</v>
      </c>
      <c r="BX110" s="3">
        <f>IFERROR(__xludf.DUMMYFUNCTION("""COMPUTED_VALUE"""),37.0)</f>
        <v>37</v>
      </c>
      <c r="BY110" s="3">
        <f>IFERROR(__xludf.DUMMYFUNCTION("""COMPUTED_VALUE"""),39.0)</f>
        <v>39</v>
      </c>
      <c r="BZ110" s="3">
        <f>IFERROR(__xludf.DUMMYFUNCTION("""COMPUTED_VALUE"""),40.0)</f>
        <v>40</v>
      </c>
      <c r="CA110" s="3">
        <f>IFERROR(__xludf.DUMMYFUNCTION("""COMPUTED_VALUE"""),41.0)</f>
        <v>41</v>
      </c>
      <c r="CB110" s="3">
        <f>IFERROR(__xludf.DUMMYFUNCTION("""COMPUTED_VALUE"""),42.0)</f>
        <v>42</v>
      </c>
    </row>
    <row r="111">
      <c r="A111" s="3" t="str">
        <f>IFERROR(__xludf.DUMMYFUNCTION("""COMPUTED_VALUE"""),"Guadeloupe")</f>
        <v>Guadeloupe</v>
      </c>
      <c r="B111" s="3" t="str">
        <f>IFERROR(__xludf.DUMMYFUNCTION("""COMPUTED_VALUE"""),"France")</f>
        <v>France</v>
      </c>
      <c r="C111" s="3">
        <f>IFERROR(__xludf.DUMMYFUNCTION("""COMPUTED_VALUE"""),16.25)</f>
        <v>16.25</v>
      </c>
      <c r="D111" s="3">
        <f>IFERROR(__xludf.DUMMYFUNCTION("""COMPUTED_VALUE"""),-61.5833)</f>
        <v>-61.5833</v>
      </c>
      <c r="E111" s="3">
        <f>IFERROR(__xludf.DUMMYFUNCTION("""COMPUTED_VALUE"""),0.0)</f>
        <v>0</v>
      </c>
      <c r="F111" s="3">
        <f>IFERROR(__xludf.DUMMYFUNCTION("""COMPUTED_VALUE"""),0.0)</f>
        <v>0</v>
      </c>
      <c r="G111" s="3">
        <f>IFERROR(__xludf.DUMMYFUNCTION("""COMPUTED_VALUE"""),0.0)</f>
        <v>0</v>
      </c>
      <c r="H111" s="3">
        <f>IFERROR(__xludf.DUMMYFUNCTION("""COMPUTED_VALUE"""),0.0)</f>
        <v>0</v>
      </c>
      <c r="I111" s="3">
        <f>IFERROR(__xludf.DUMMYFUNCTION("""COMPUTED_VALUE"""),0.0)</f>
        <v>0</v>
      </c>
      <c r="J111" s="3">
        <f>IFERROR(__xludf.DUMMYFUNCTION("""COMPUTED_VALUE"""),0.0)</f>
        <v>0</v>
      </c>
      <c r="K111" s="3">
        <f>IFERROR(__xludf.DUMMYFUNCTION("""COMPUTED_VALUE"""),0.0)</f>
        <v>0</v>
      </c>
      <c r="L111" s="3">
        <f>IFERROR(__xludf.DUMMYFUNCTION("""COMPUTED_VALUE"""),0.0)</f>
        <v>0</v>
      </c>
      <c r="M111" s="3">
        <f>IFERROR(__xludf.DUMMYFUNCTION("""COMPUTED_VALUE"""),0.0)</f>
        <v>0</v>
      </c>
      <c r="N111" s="3">
        <f>IFERROR(__xludf.DUMMYFUNCTION("""COMPUTED_VALUE"""),0.0)</f>
        <v>0</v>
      </c>
      <c r="O111" s="3">
        <f>IFERROR(__xludf.DUMMYFUNCTION("""COMPUTED_VALUE"""),0.0)</f>
        <v>0</v>
      </c>
      <c r="P111" s="3">
        <f>IFERROR(__xludf.DUMMYFUNCTION("""COMPUTED_VALUE"""),0.0)</f>
        <v>0</v>
      </c>
      <c r="Q111" s="3">
        <f>IFERROR(__xludf.DUMMYFUNCTION("""COMPUTED_VALUE"""),0.0)</f>
        <v>0</v>
      </c>
      <c r="R111" s="3">
        <f>IFERROR(__xludf.DUMMYFUNCTION("""COMPUTED_VALUE"""),0.0)</f>
        <v>0</v>
      </c>
      <c r="S111" s="3">
        <f>IFERROR(__xludf.DUMMYFUNCTION("""COMPUTED_VALUE"""),0.0)</f>
        <v>0</v>
      </c>
      <c r="T111" s="3">
        <f>IFERROR(__xludf.DUMMYFUNCTION("""COMPUTED_VALUE"""),0.0)</f>
        <v>0</v>
      </c>
      <c r="U111" s="3">
        <f>IFERROR(__xludf.DUMMYFUNCTION("""COMPUTED_VALUE"""),0.0)</f>
        <v>0</v>
      </c>
      <c r="V111" s="3">
        <f>IFERROR(__xludf.DUMMYFUNCTION("""COMPUTED_VALUE"""),0.0)</f>
        <v>0</v>
      </c>
      <c r="W111" s="3">
        <f>IFERROR(__xludf.DUMMYFUNCTION("""COMPUTED_VALUE"""),0.0)</f>
        <v>0</v>
      </c>
      <c r="X111" s="3">
        <f>IFERROR(__xludf.DUMMYFUNCTION("""COMPUTED_VALUE"""),0.0)</f>
        <v>0</v>
      </c>
      <c r="Y111" s="3">
        <f>IFERROR(__xludf.DUMMYFUNCTION("""COMPUTED_VALUE"""),0.0)</f>
        <v>0</v>
      </c>
      <c r="Z111" s="3">
        <f>IFERROR(__xludf.DUMMYFUNCTION("""COMPUTED_VALUE"""),0.0)</f>
        <v>0</v>
      </c>
      <c r="AA111" s="3">
        <f>IFERROR(__xludf.DUMMYFUNCTION("""COMPUTED_VALUE"""),0.0)</f>
        <v>0</v>
      </c>
      <c r="AB111" s="3">
        <f>IFERROR(__xludf.DUMMYFUNCTION("""COMPUTED_VALUE"""),0.0)</f>
        <v>0</v>
      </c>
      <c r="AC111" s="3">
        <f>IFERROR(__xludf.DUMMYFUNCTION("""COMPUTED_VALUE"""),0.0)</f>
        <v>0</v>
      </c>
      <c r="AD111" s="3">
        <f>IFERROR(__xludf.DUMMYFUNCTION("""COMPUTED_VALUE"""),0.0)</f>
        <v>0</v>
      </c>
      <c r="AE111" s="3">
        <f>IFERROR(__xludf.DUMMYFUNCTION("""COMPUTED_VALUE"""),0.0)</f>
        <v>0</v>
      </c>
      <c r="AF111" s="3">
        <f>IFERROR(__xludf.DUMMYFUNCTION("""COMPUTED_VALUE"""),0.0)</f>
        <v>0</v>
      </c>
      <c r="AG111" s="3">
        <f>IFERROR(__xludf.DUMMYFUNCTION("""COMPUTED_VALUE"""),0.0)</f>
        <v>0</v>
      </c>
      <c r="AH111" s="3">
        <f>IFERROR(__xludf.DUMMYFUNCTION("""COMPUTED_VALUE"""),0.0)</f>
        <v>0</v>
      </c>
      <c r="AI111" s="3">
        <f>IFERROR(__xludf.DUMMYFUNCTION("""COMPUTED_VALUE"""),0.0)</f>
        <v>0</v>
      </c>
      <c r="AJ111" s="3">
        <f>IFERROR(__xludf.DUMMYFUNCTION("""COMPUTED_VALUE"""),0.0)</f>
        <v>0</v>
      </c>
      <c r="AK111" s="3">
        <f>IFERROR(__xludf.DUMMYFUNCTION("""COMPUTED_VALUE"""),0.0)</f>
        <v>0</v>
      </c>
      <c r="AL111" s="3">
        <f>IFERROR(__xludf.DUMMYFUNCTION("""COMPUTED_VALUE"""),0.0)</f>
        <v>0</v>
      </c>
      <c r="AM111" s="3">
        <f>IFERROR(__xludf.DUMMYFUNCTION("""COMPUTED_VALUE"""),0.0)</f>
        <v>0</v>
      </c>
      <c r="AN111" s="3">
        <f>IFERROR(__xludf.DUMMYFUNCTION("""COMPUTED_VALUE"""),0.0)</f>
        <v>0</v>
      </c>
      <c r="AO111" s="3">
        <f>IFERROR(__xludf.DUMMYFUNCTION("""COMPUTED_VALUE"""),0.0)</f>
        <v>0</v>
      </c>
      <c r="AP111" s="3">
        <f>IFERROR(__xludf.DUMMYFUNCTION("""COMPUTED_VALUE"""),0.0)</f>
        <v>0</v>
      </c>
      <c r="AQ111" s="3">
        <f>IFERROR(__xludf.DUMMYFUNCTION("""COMPUTED_VALUE"""),0.0)</f>
        <v>0</v>
      </c>
      <c r="AR111" s="3">
        <f>IFERROR(__xludf.DUMMYFUNCTION("""COMPUTED_VALUE"""),0.0)</f>
        <v>0</v>
      </c>
      <c r="AS111" s="3">
        <f>IFERROR(__xludf.DUMMYFUNCTION("""COMPUTED_VALUE"""),0.0)</f>
        <v>0</v>
      </c>
      <c r="AT111" s="3">
        <f>IFERROR(__xludf.DUMMYFUNCTION("""COMPUTED_VALUE"""),0.0)</f>
        <v>0</v>
      </c>
      <c r="AU111" s="3">
        <f>IFERROR(__xludf.DUMMYFUNCTION("""COMPUTED_VALUE"""),0.0)</f>
        <v>0</v>
      </c>
      <c r="AV111" s="3">
        <f>IFERROR(__xludf.DUMMYFUNCTION("""COMPUTED_VALUE"""),0.0)</f>
        <v>0</v>
      </c>
      <c r="AW111" s="3">
        <f>IFERROR(__xludf.DUMMYFUNCTION("""COMPUTED_VALUE"""),0.0)</f>
        <v>0</v>
      </c>
      <c r="AX111" s="3">
        <f>IFERROR(__xludf.DUMMYFUNCTION("""COMPUTED_VALUE"""),0.0)</f>
        <v>0</v>
      </c>
      <c r="AY111" s="3">
        <f>IFERROR(__xludf.DUMMYFUNCTION("""COMPUTED_VALUE"""),0.0)</f>
        <v>0</v>
      </c>
      <c r="AZ111" s="3">
        <f>IFERROR(__xludf.DUMMYFUNCTION("""COMPUTED_VALUE"""),0.0)</f>
        <v>0</v>
      </c>
      <c r="BA111" s="3">
        <f>IFERROR(__xludf.DUMMYFUNCTION("""COMPUTED_VALUE"""),0.0)</f>
        <v>0</v>
      </c>
      <c r="BB111" s="3">
        <f>IFERROR(__xludf.DUMMYFUNCTION("""COMPUTED_VALUE"""),0.0)</f>
        <v>0</v>
      </c>
      <c r="BC111" s="3">
        <f>IFERROR(__xludf.DUMMYFUNCTION("""COMPUTED_VALUE"""),0.0)</f>
        <v>0</v>
      </c>
      <c r="BD111" s="3">
        <f>IFERROR(__xludf.DUMMYFUNCTION("""COMPUTED_VALUE"""),1.0)</f>
        <v>1</v>
      </c>
      <c r="BE111" s="3">
        <f>IFERROR(__xludf.DUMMYFUNCTION("""COMPUTED_VALUE"""),1.0)</f>
        <v>1</v>
      </c>
      <c r="BF111" s="3">
        <f>IFERROR(__xludf.DUMMYFUNCTION("""COMPUTED_VALUE"""),3.0)</f>
        <v>3</v>
      </c>
      <c r="BG111" s="3">
        <f>IFERROR(__xludf.DUMMYFUNCTION("""COMPUTED_VALUE"""),6.0)</f>
        <v>6</v>
      </c>
      <c r="BH111" s="3">
        <f>IFERROR(__xludf.DUMMYFUNCTION("""COMPUTED_VALUE"""),18.0)</f>
        <v>18</v>
      </c>
      <c r="BI111" s="3">
        <f>IFERROR(__xludf.DUMMYFUNCTION("""COMPUTED_VALUE"""),27.0)</f>
        <v>27</v>
      </c>
      <c r="BJ111" s="3">
        <f>IFERROR(__xludf.DUMMYFUNCTION("""COMPUTED_VALUE"""),33.0)</f>
        <v>33</v>
      </c>
      <c r="BK111" s="3">
        <f>IFERROR(__xludf.DUMMYFUNCTION("""COMPUTED_VALUE"""),45.0)</f>
        <v>45</v>
      </c>
      <c r="BL111" s="3">
        <f>IFERROR(__xludf.DUMMYFUNCTION("""COMPUTED_VALUE"""),53.0)</f>
        <v>53</v>
      </c>
      <c r="BM111" s="3">
        <f>IFERROR(__xludf.DUMMYFUNCTION("""COMPUTED_VALUE"""),58.0)</f>
        <v>58</v>
      </c>
      <c r="BN111" s="3">
        <f>IFERROR(__xludf.DUMMYFUNCTION("""COMPUTED_VALUE"""),62.0)</f>
        <v>62</v>
      </c>
      <c r="BO111" s="3">
        <f>IFERROR(__xludf.DUMMYFUNCTION("""COMPUTED_VALUE"""),62.0)</f>
        <v>62</v>
      </c>
      <c r="BP111" s="3">
        <f>IFERROR(__xludf.DUMMYFUNCTION("""COMPUTED_VALUE"""),73.0)</f>
        <v>73</v>
      </c>
      <c r="BQ111" s="3">
        <f>IFERROR(__xludf.DUMMYFUNCTION("""COMPUTED_VALUE"""),73.0)</f>
        <v>73</v>
      </c>
      <c r="BR111" s="3">
        <f>IFERROR(__xludf.DUMMYFUNCTION("""COMPUTED_VALUE"""),73.0)</f>
        <v>73</v>
      </c>
      <c r="BS111" s="3">
        <f>IFERROR(__xludf.DUMMYFUNCTION("""COMPUTED_VALUE"""),102.0)</f>
        <v>102</v>
      </c>
      <c r="BT111" s="3">
        <f>IFERROR(__xludf.DUMMYFUNCTION("""COMPUTED_VALUE"""),106.0)</f>
        <v>106</v>
      </c>
      <c r="BU111" s="3">
        <f>IFERROR(__xludf.DUMMYFUNCTION("""COMPUTED_VALUE"""),106.0)</f>
        <v>106</v>
      </c>
      <c r="BV111" s="3">
        <f>IFERROR(__xludf.DUMMYFUNCTION("""COMPUTED_VALUE"""),114.0)</f>
        <v>114</v>
      </c>
      <c r="BW111" s="3">
        <f>IFERROR(__xludf.DUMMYFUNCTION("""COMPUTED_VALUE"""),125.0)</f>
        <v>125</v>
      </c>
      <c r="BX111" s="3">
        <f>IFERROR(__xludf.DUMMYFUNCTION("""COMPUTED_VALUE"""),128.0)</f>
        <v>128</v>
      </c>
      <c r="BY111" s="3">
        <f>IFERROR(__xludf.DUMMYFUNCTION("""COMPUTED_VALUE"""),130.0)</f>
        <v>130</v>
      </c>
      <c r="BZ111" s="3">
        <f>IFERROR(__xludf.DUMMYFUNCTION("""COMPUTED_VALUE"""),134.0)</f>
        <v>134</v>
      </c>
      <c r="CA111" s="3">
        <f>IFERROR(__xludf.DUMMYFUNCTION("""COMPUTED_VALUE"""),135.0)</f>
        <v>135</v>
      </c>
      <c r="CB111" s="3">
        <f>IFERROR(__xludf.DUMMYFUNCTION("""COMPUTED_VALUE"""),135.0)</f>
        <v>135</v>
      </c>
    </row>
    <row r="112">
      <c r="A112" s="3" t="str">
        <f>IFERROR(__xludf.DUMMYFUNCTION("""COMPUTED_VALUE"""),"Mayotte")</f>
        <v>Mayotte</v>
      </c>
      <c r="B112" s="3" t="str">
        <f>IFERROR(__xludf.DUMMYFUNCTION("""COMPUTED_VALUE"""),"France")</f>
        <v>France</v>
      </c>
      <c r="C112" s="3">
        <f>IFERROR(__xludf.DUMMYFUNCTION("""COMPUTED_VALUE"""),-12.8275)</f>
        <v>-12.8275</v>
      </c>
      <c r="D112" s="3">
        <f>IFERROR(__xludf.DUMMYFUNCTION("""COMPUTED_VALUE"""),45.1662)</f>
        <v>45.1662</v>
      </c>
      <c r="E112" s="3">
        <f>IFERROR(__xludf.DUMMYFUNCTION("""COMPUTED_VALUE"""),0.0)</f>
        <v>0</v>
      </c>
      <c r="F112" s="3">
        <f>IFERROR(__xludf.DUMMYFUNCTION("""COMPUTED_VALUE"""),0.0)</f>
        <v>0</v>
      </c>
      <c r="G112" s="3">
        <f>IFERROR(__xludf.DUMMYFUNCTION("""COMPUTED_VALUE"""),0.0)</f>
        <v>0</v>
      </c>
      <c r="H112" s="3">
        <f>IFERROR(__xludf.DUMMYFUNCTION("""COMPUTED_VALUE"""),0.0)</f>
        <v>0</v>
      </c>
      <c r="I112" s="3">
        <f>IFERROR(__xludf.DUMMYFUNCTION("""COMPUTED_VALUE"""),0.0)</f>
        <v>0</v>
      </c>
      <c r="J112" s="3">
        <f>IFERROR(__xludf.DUMMYFUNCTION("""COMPUTED_VALUE"""),0.0)</f>
        <v>0</v>
      </c>
      <c r="K112" s="3">
        <f>IFERROR(__xludf.DUMMYFUNCTION("""COMPUTED_VALUE"""),0.0)</f>
        <v>0</v>
      </c>
      <c r="L112" s="3">
        <f>IFERROR(__xludf.DUMMYFUNCTION("""COMPUTED_VALUE"""),0.0)</f>
        <v>0</v>
      </c>
      <c r="M112" s="3">
        <f>IFERROR(__xludf.DUMMYFUNCTION("""COMPUTED_VALUE"""),0.0)</f>
        <v>0</v>
      </c>
      <c r="N112" s="3">
        <f>IFERROR(__xludf.DUMMYFUNCTION("""COMPUTED_VALUE"""),0.0)</f>
        <v>0</v>
      </c>
      <c r="O112" s="3">
        <f>IFERROR(__xludf.DUMMYFUNCTION("""COMPUTED_VALUE"""),0.0)</f>
        <v>0</v>
      </c>
      <c r="P112" s="3">
        <f>IFERROR(__xludf.DUMMYFUNCTION("""COMPUTED_VALUE"""),0.0)</f>
        <v>0</v>
      </c>
      <c r="Q112" s="3">
        <f>IFERROR(__xludf.DUMMYFUNCTION("""COMPUTED_VALUE"""),0.0)</f>
        <v>0</v>
      </c>
      <c r="R112" s="3">
        <f>IFERROR(__xludf.DUMMYFUNCTION("""COMPUTED_VALUE"""),0.0)</f>
        <v>0</v>
      </c>
      <c r="S112" s="3">
        <f>IFERROR(__xludf.DUMMYFUNCTION("""COMPUTED_VALUE"""),0.0)</f>
        <v>0</v>
      </c>
      <c r="T112" s="3">
        <f>IFERROR(__xludf.DUMMYFUNCTION("""COMPUTED_VALUE"""),0.0)</f>
        <v>0</v>
      </c>
      <c r="U112" s="3">
        <f>IFERROR(__xludf.DUMMYFUNCTION("""COMPUTED_VALUE"""),0.0)</f>
        <v>0</v>
      </c>
      <c r="V112" s="3">
        <f>IFERROR(__xludf.DUMMYFUNCTION("""COMPUTED_VALUE"""),0.0)</f>
        <v>0</v>
      </c>
      <c r="W112" s="3">
        <f>IFERROR(__xludf.DUMMYFUNCTION("""COMPUTED_VALUE"""),0.0)</f>
        <v>0</v>
      </c>
      <c r="X112" s="3">
        <f>IFERROR(__xludf.DUMMYFUNCTION("""COMPUTED_VALUE"""),0.0)</f>
        <v>0</v>
      </c>
      <c r="Y112" s="3">
        <f>IFERROR(__xludf.DUMMYFUNCTION("""COMPUTED_VALUE"""),0.0)</f>
        <v>0</v>
      </c>
      <c r="Z112" s="3">
        <f>IFERROR(__xludf.DUMMYFUNCTION("""COMPUTED_VALUE"""),0.0)</f>
        <v>0</v>
      </c>
      <c r="AA112" s="3">
        <f>IFERROR(__xludf.DUMMYFUNCTION("""COMPUTED_VALUE"""),0.0)</f>
        <v>0</v>
      </c>
      <c r="AB112" s="3">
        <f>IFERROR(__xludf.DUMMYFUNCTION("""COMPUTED_VALUE"""),0.0)</f>
        <v>0</v>
      </c>
      <c r="AC112" s="3">
        <f>IFERROR(__xludf.DUMMYFUNCTION("""COMPUTED_VALUE"""),0.0)</f>
        <v>0</v>
      </c>
      <c r="AD112" s="3">
        <f>IFERROR(__xludf.DUMMYFUNCTION("""COMPUTED_VALUE"""),0.0)</f>
        <v>0</v>
      </c>
      <c r="AE112" s="3">
        <f>IFERROR(__xludf.DUMMYFUNCTION("""COMPUTED_VALUE"""),0.0)</f>
        <v>0</v>
      </c>
      <c r="AF112" s="3">
        <f>IFERROR(__xludf.DUMMYFUNCTION("""COMPUTED_VALUE"""),0.0)</f>
        <v>0</v>
      </c>
      <c r="AG112" s="3">
        <f>IFERROR(__xludf.DUMMYFUNCTION("""COMPUTED_VALUE"""),0.0)</f>
        <v>0</v>
      </c>
      <c r="AH112" s="3">
        <f>IFERROR(__xludf.DUMMYFUNCTION("""COMPUTED_VALUE"""),0.0)</f>
        <v>0</v>
      </c>
      <c r="AI112" s="3">
        <f>IFERROR(__xludf.DUMMYFUNCTION("""COMPUTED_VALUE"""),0.0)</f>
        <v>0</v>
      </c>
      <c r="AJ112" s="3">
        <f>IFERROR(__xludf.DUMMYFUNCTION("""COMPUTED_VALUE"""),0.0)</f>
        <v>0</v>
      </c>
      <c r="AK112" s="3">
        <f>IFERROR(__xludf.DUMMYFUNCTION("""COMPUTED_VALUE"""),0.0)</f>
        <v>0</v>
      </c>
      <c r="AL112" s="3">
        <f>IFERROR(__xludf.DUMMYFUNCTION("""COMPUTED_VALUE"""),0.0)</f>
        <v>0</v>
      </c>
      <c r="AM112" s="3">
        <f>IFERROR(__xludf.DUMMYFUNCTION("""COMPUTED_VALUE"""),0.0)</f>
        <v>0</v>
      </c>
      <c r="AN112" s="3">
        <f>IFERROR(__xludf.DUMMYFUNCTION("""COMPUTED_VALUE"""),0.0)</f>
        <v>0</v>
      </c>
      <c r="AO112" s="3">
        <f>IFERROR(__xludf.DUMMYFUNCTION("""COMPUTED_VALUE"""),0.0)</f>
        <v>0</v>
      </c>
      <c r="AP112" s="3">
        <f>IFERROR(__xludf.DUMMYFUNCTION("""COMPUTED_VALUE"""),0.0)</f>
        <v>0</v>
      </c>
      <c r="AQ112" s="3">
        <f>IFERROR(__xludf.DUMMYFUNCTION("""COMPUTED_VALUE"""),0.0)</f>
        <v>0</v>
      </c>
      <c r="AR112" s="3">
        <f>IFERROR(__xludf.DUMMYFUNCTION("""COMPUTED_VALUE"""),0.0)</f>
        <v>0</v>
      </c>
      <c r="AS112" s="3">
        <f>IFERROR(__xludf.DUMMYFUNCTION("""COMPUTED_VALUE"""),0.0)</f>
        <v>0</v>
      </c>
      <c r="AT112" s="3">
        <f>IFERROR(__xludf.DUMMYFUNCTION("""COMPUTED_VALUE"""),0.0)</f>
        <v>0</v>
      </c>
      <c r="AU112" s="3">
        <f>IFERROR(__xludf.DUMMYFUNCTION("""COMPUTED_VALUE"""),0.0)</f>
        <v>0</v>
      </c>
      <c r="AV112" s="3">
        <f>IFERROR(__xludf.DUMMYFUNCTION("""COMPUTED_VALUE"""),0.0)</f>
        <v>0</v>
      </c>
      <c r="AW112" s="3">
        <f>IFERROR(__xludf.DUMMYFUNCTION("""COMPUTED_VALUE"""),0.0)</f>
        <v>0</v>
      </c>
      <c r="AX112" s="3">
        <f>IFERROR(__xludf.DUMMYFUNCTION("""COMPUTED_VALUE"""),0.0)</f>
        <v>0</v>
      </c>
      <c r="AY112" s="3">
        <f>IFERROR(__xludf.DUMMYFUNCTION("""COMPUTED_VALUE"""),0.0)</f>
        <v>0</v>
      </c>
      <c r="AZ112" s="3">
        <f>IFERROR(__xludf.DUMMYFUNCTION("""COMPUTED_VALUE"""),0.0)</f>
        <v>0</v>
      </c>
      <c r="BA112" s="3">
        <f>IFERROR(__xludf.DUMMYFUNCTION("""COMPUTED_VALUE"""),0.0)</f>
        <v>0</v>
      </c>
      <c r="BB112" s="3">
        <f>IFERROR(__xludf.DUMMYFUNCTION("""COMPUTED_VALUE"""),0.0)</f>
        <v>0</v>
      </c>
      <c r="BC112" s="3">
        <f>IFERROR(__xludf.DUMMYFUNCTION("""COMPUTED_VALUE"""),0.0)</f>
        <v>0</v>
      </c>
      <c r="BD112" s="3">
        <f>IFERROR(__xludf.DUMMYFUNCTION("""COMPUTED_VALUE"""),0.0)</f>
        <v>0</v>
      </c>
      <c r="BE112" s="3">
        <f>IFERROR(__xludf.DUMMYFUNCTION("""COMPUTED_VALUE"""),0.0)</f>
        <v>0</v>
      </c>
      <c r="BF112" s="3">
        <f>IFERROR(__xludf.DUMMYFUNCTION("""COMPUTED_VALUE"""),1.0)</f>
        <v>1</v>
      </c>
      <c r="BG112" s="3">
        <f>IFERROR(__xludf.DUMMYFUNCTION("""COMPUTED_VALUE"""),1.0)</f>
        <v>1</v>
      </c>
      <c r="BH112" s="3">
        <f>IFERROR(__xludf.DUMMYFUNCTION("""COMPUTED_VALUE"""),1.0)</f>
        <v>1</v>
      </c>
      <c r="BI112" s="3">
        <f>IFERROR(__xludf.DUMMYFUNCTION("""COMPUTED_VALUE"""),3.0)</f>
        <v>3</v>
      </c>
      <c r="BJ112" s="3">
        <f>IFERROR(__xludf.DUMMYFUNCTION("""COMPUTED_VALUE"""),3.0)</f>
        <v>3</v>
      </c>
      <c r="BK112" s="3">
        <f>IFERROR(__xludf.DUMMYFUNCTION("""COMPUTED_VALUE"""),6.0)</f>
        <v>6</v>
      </c>
      <c r="BL112" s="3">
        <f>IFERROR(__xludf.DUMMYFUNCTION("""COMPUTED_VALUE"""),7.0)</f>
        <v>7</v>
      </c>
      <c r="BM112" s="3">
        <f>IFERROR(__xludf.DUMMYFUNCTION("""COMPUTED_VALUE"""),11.0)</f>
        <v>11</v>
      </c>
      <c r="BN112" s="3">
        <f>IFERROR(__xludf.DUMMYFUNCTION("""COMPUTED_VALUE"""),24.0)</f>
        <v>24</v>
      </c>
      <c r="BO112" s="3">
        <f>IFERROR(__xludf.DUMMYFUNCTION("""COMPUTED_VALUE"""),36.0)</f>
        <v>36</v>
      </c>
      <c r="BP112" s="3">
        <f>IFERROR(__xludf.DUMMYFUNCTION("""COMPUTED_VALUE"""),36.0)</f>
        <v>36</v>
      </c>
      <c r="BQ112" s="3">
        <f>IFERROR(__xludf.DUMMYFUNCTION("""COMPUTED_VALUE"""),36.0)</f>
        <v>36</v>
      </c>
      <c r="BR112" s="3">
        <f>IFERROR(__xludf.DUMMYFUNCTION("""COMPUTED_VALUE"""),50.0)</f>
        <v>50</v>
      </c>
      <c r="BS112" s="3">
        <f>IFERROR(__xludf.DUMMYFUNCTION("""COMPUTED_VALUE"""),63.0)</f>
        <v>63</v>
      </c>
      <c r="BT112" s="3">
        <f>IFERROR(__xludf.DUMMYFUNCTION("""COMPUTED_VALUE"""),63.0)</f>
        <v>63</v>
      </c>
      <c r="BU112" s="3">
        <f>IFERROR(__xludf.DUMMYFUNCTION("""COMPUTED_VALUE"""),82.0)</f>
        <v>82</v>
      </c>
      <c r="BV112" s="3">
        <f>IFERROR(__xludf.DUMMYFUNCTION("""COMPUTED_VALUE"""),94.0)</f>
        <v>94</v>
      </c>
      <c r="BW112" s="3">
        <f>IFERROR(__xludf.DUMMYFUNCTION("""COMPUTED_VALUE"""),94.0)</f>
        <v>94</v>
      </c>
      <c r="BX112" s="3">
        <f>IFERROR(__xludf.DUMMYFUNCTION("""COMPUTED_VALUE"""),116.0)</f>
        <v>116</v>
      </c>
      <c r="BY112" s="3">
        <f>IFERROR(__xludf.DUMMYFUNCTION("""COMPUTED_VALUE"""),128.0)</f>
        <v>128</v>
      </c>
      <c r="BZ112" s="3">
        <f>IFERROR(__xludf.DUMMYFUNCTION("""COMPUTED_VALUE"""),134.0)</f>
        <v>134</v>
      </c>
      <c r="CA112" s="3">
        <f>IFERROR(__xludf.DUMMYFUNCTION("""COMPUTED_VALUE"""),147.0)</f>
        <v>147</v>
      </c>
      <c r="CB112" s="3">
        <f>IFERROR(__xludf.DUMMYFUNCTION("""COMPUTED_VALUE"""),147.0)</f>
        <v>147</v>
      </c>
    </row>
    <row r="113">
      <c r="A113" s="3" t="str">
        <f>IFERROR(__xludf.DUMMYFUNCTION("""COMPUTED_VALUE"""),"New Caledonia")</f>
        <v>New Caledonia</v>
      </c>
      <c r="B113" s="3" t="str">
        <f>IFERROR(__xludf.DUMMYFUNCTION("""COMPUTED_VALUE"""),"France")</f>
        <v>France</v>
      </c>
      <c r="C113" s="3">
        <f>IFERROR(__xludf.DUMMYFUNCTION("""COMPUTED_VALUE"""),-20.9043)</f>
        <v>-20.9043</v>
      </c>
      <c r="D113" s="3">
        <f>IFERROR(__xludf.DUMMYFUNCTION("""COMPUTED_VALUE"""),165.618)</f>
        <v>165.618</v>
      </c>
      <c r="E113" s="3">
        <f>IFERROR(__xludf.DUMMYFUNCTION("""COMPUTED_VALUE"""),0.0)</f>
        <v>0</v>
      </c>
      <c r="F113" s="3">
        <f>IFERROR(__xludf.DUMMYFUNCTION("""COMPUTED_VALUE"""),0.0)</f>
        <v>0</v>
      </c>
      <c r="G113" s="3">
        <f>IFERROR(__xludf.DUMMYFUNCTION("""COMPUTED_VALUE"""),0.0)</f>
        <v>0</v>
      </c>
      <c r="H113" s="3">
        <f>IFERROR(__xludf.DUMMYFUNCTION("""COMPUTED_VALUE"""),0.0)</f>
        <v>0</v>
      </c>
      <c r="I113" s="3">
        <f>IFERROR(__xludf.DUMMYFUNCTION("""COMPUTED_VALUE"""),0.0)</f>
        <v>0</v>
      </c>
      <c r="J113" s="3">
        <f>IFERROR(__xludf.DUMMYFUNCTION("""COMPUTED_VALUE"""),0.0)</f>
        <v>0</v>
      </c>
      <c r="K113" s="3">
        <f>IFERROR(__xludf.DUMMYFUNCTION("""COMPUTED_VALUE"""),0.0)</f>
        <v>0</v>
      </c>
      <c r="L113" s="3">
        <f>IFERROR(__xludf.DUMMYFUNCTION("""COMPUTED_VALUE"""),0.0)</f>
        <v>0</v>
      </c>
      <c r="M113" s="3">
        <f>IFERROR(__xludf.DUMMYFUNCTION("""COMPUTED_VALUE"""),0.0)</f>
        <v>0</v>
      </c>
      <c r="N113" s="3">
        <f>IFERROR(__xludf.DUMMYFUNCTION("""COMPUTED_VALUE"""),0.0)</f>
        <v>0</v>
      </c>
      <c r="O113" s="3">
        <f>IFERROR(__xludf.DUMMYFUNCTION("""COMPUTED_VALUE"""),0.0)</f>
        <v>0</v>
      </c>
      <c r="P113" s="3">
        <f>IFERROR(__xludf.DUMMYFUNCTION("""COMPUTED_VALUE"""),0.0)</f>
        <v>0</v>
      </c>
      <c r="Q113" s="3">
        <f>IFERROR(__xludf.DUMMYFUNCTION("""COMPUTED_VALUE"""),0.0)</f>
        <v>0</v>
      </c>
      <c r="R113" s="3">
        <f>IFERROR(__xludf.DUMMYFUNCTION("""COMPUTED_VALUE"""),0.0)</f>
        <v>0</v>
      </c>
      <c r="S113" s="3">
        <f>IFERROR(__xludf.DUMMYFUNCTION("""COMPUTED_VALUE"""),0.0)</f>
        <v>0</v>
      </c>
      <c r="T113" s="3">
        <f>IFERROR(__xludf.DUMMYFUNCTION("""COMPUTED_VALUE"""),0.0)</f>
        <v>0</v>
      </c>
      <c r="U113" s="3">
        <f>IFERROR(__xludf.DUMMYFUNCTION("""COMPUTED_VALUE"""),0.0)</f>
        <v>0</v>
      </c>
      <c r="V113" s="3">
        <f>IFERROR(__xludf.DUMMYFUNCTION("""COMPUTED_VALUE"""),0.0)</f>
        <v>0</v>
      </c>
      <c r="W113" s="3">
        <f>IFERROR(__xludf.DUMMYFUNCTION("""COMPUTED_VALUE"""),0.0)</f>
        <v>0</v>
      </c>
      <c r="X113" s="3">
        <f>IFERROR(__xludf.DUMMYFUNCTION("""COMPUTED_VALUE"""),0.0)</f>
        <v>0</v>
      </c>
      <c r="Y113" s="3">
        <f>IFERROR(__xludf.DUMMYFUNCTION("""COMPUTED_VALUE"""),0.0)</f>
        <v>0</v>
      </c>
      <c r="Z113" s="3">
        <f>IFERROR(__xludf.DUMMYFUNCTION("""COMPUTED_VALUE"""),0.0)</f>
        <v>0</v>
      </c>
      <c r="AA113" s="3">
        <f>IFERROR(__xludf.DUMMYFUNCTION("""COMPUTED_VALUE"""),0.0)</f>
        <v>0</v>
      </c>
      <c r="AB113" s="3">
        <f>IFERROR(__xludf.DUMMYFUNCTION("""COMPUTED_VALUE"""),0.0)</f>
        <v>0</v>
      </c>
      <c r="AC113" s="3">
        <f>IFERROR(__xludf.DUMMYFUNCTION("""COMPUTED_VALUE"""),0.0)</f>
        <v>0</v>
      </c>
      <c r="AD113" s="3">
        <f>IFERROR(__xludf.DUMMYFUNCTION("""COMPUTED_VALUE"""),0.0)</f>
        <v>0</v>
      </c>
      <c r="AE113" s="3">
        <f>IFERROR(__xludf.DUMMYFUNCTION("""COMPUTED_VALUE"""),0.0)</f>
        <v>0</v>
      </c>
      <c r="AF113" s="3">
        <f>IFERROR(__xludf.DUMMYFUNCTION("""COMPUTED_VALUE"""),0.0)</f>
        <v>0</v>
      </c>
      <c r="AG113" s="3">
        <f>IFERROR(__xludf.DUMMYFUNCTION("""COMPUTED_VALUE"""),0.0)</f>
        <v>0</v>
      </c>
      <c r="AH113" s="3">
        <f>IFERROR(__xludf.DUMMYFUNCTION("""COMPUTED_VALUE"""),0.0)</f>
        <v>0</v>
      </c>
      <c r="AI113" s="3">
        <f>IFERROR(__xludf.DUMMYFUNCTION("""COMPUTED_VALUE"""),0.0)</f>
        <v>0</v>
      </c>
      <c r="AJ113" s="3">
        <f>IFERROR(__xludf.DUMMYFUNCTION("""COMPUTED_VALUE"""),0.0)</f>
        <v>0</v>
      </c>
      <c r="AK113" s="3">
        <f>IFERROR(__xludf.DUMMYFUNCTION("""COMPUTED_VALUE"""),0.0)</f>
        <v>0</v>
      </c>
      <c r="AL113" s="3">
        <f>IFERROR(__xludf.DUMMYFUNCTION("""COMPUTED_VALUE"""),0.0)</f>
        <v>0</v>
      </c>
      <c r="AM113" s="3">
        <f>IFERROR(__xludf.DUMMYFUNCTION("""COMPUTED_VALUE"""),0.0)</f>
        <v>0</v>
      </c>
      <c r="AN113" s="3">
        <f>IFERROR(__xludf.DUMMYFUNCTION("""COMPUTED_VALUE"""),0.0)</f>
        <v>0</v>
      </c>
      <c r="AO113" s="3">
        <f>IFERROR(__xludf.DUMMYFUNCTION("""COMPUTED_VALUE"""),0.0)</f>
        <v>0</v>
      </c>
      <c r="AP113" s="3">
        <f>IFERROR(__xludf.DUMMYFUNCTION("""COMPUTED_VALUE"""),0.0)</f>
        <v>0</v>
      </c>
      <c r="AQ113" s="3">
        <f>IFERROR(__xludf.DUMMYFUNCTION("""COMPUTED_VALUE"""),0.0)</f>
        <v>0</v>
      </c>
      <c r="AR113" s="3">
        <f>IFERROR(__xludf.DUMMYFUNCTION("""COMPUTED_VALUE"""),0.0)</f>
        <v>0</v>
      </c>
      <c r="AS113" s="3">
        <f>IFERROR(__xludf.DUMMYFUNCTION("""COMPUTED_VALUE"""),0.0)</f>
        <v>0</v>
      </c>
      <c r="AT113" s="3">
        <f>IFERROR(__xludf.DUMMYFUNCTION("""COMPUTED_VALUE"""),0.0)</f>
        <v>0</v>
      </c>
      <c r="AU113" s="3">
        <f>IFERROR(__xludf.DUMMYFUNCTION("""COMPUTED_VALUE"""),0.0)</f>
        <v>0</v>
      </c>
      <c r="AV113" s="3">
        <f>IFERROR(__xludf.DUMMYFUNCTION("""COMPUTED_VALUE"""),0.0)</f>
        <v>0</v>
      </c>
      <c r="AW113" s="3">
        <f>IFERROR(__xludf.DUMMYFUNCTION("""COMPUTED_VALUE"""),0.0)</f>
        <v>0</v>
      </c>
      <c r="AX113" s="3">
        <f>IFERROR(__xludf.DUMMYFUNCTION("""COMPUTED_VALUE"""),0.0)</f>
        <v>0</v>
      </c>
      <c r="AY113" s="3">
        <f>IFERROR(__xludf.DUMMYFUNCTION("""COMPUTED_VALUE"""),0.0)</f>
        <v>0</v>
      </c>
      <c r="AZ113" s="3">
        <f>IFERROR(__xludf.DUMMYFUNCTION("""COMPUTED_VALUE"""),0.0)</f>
        <v>0</v>
      </c>
      <c r="BA113" s="3">
        <f>IFERROR(__xludf.DUMMYFUNCTION("""COMPUTED_VALUE"""),0.0)</f>
        <v>0</v>
      </c>
      <c r="BB113" s="3">
        <f>IFERROR(__xludf.DUMMYFUNCTION("""COMPUTED_VALUE"""),0.0)</f>
        <v>0</v>
      </c>
      <c r="BC113" s="3">
        <f>IFERROR(__xludf.DUMMYFUNCTION("""COMPUTED_VALUE"""),0.0)</f>
        <v>0</v>
      </c>
      <c r="BD113" s="3">
        <f>IFERROR(__xludf.DUMMYFUNCTION("""COMPUTED_VALUE"""),0.0)</f>
        <v>0</v>
      </c>
      <c r="BE113" s="3">
        <f>IFERROR(__xludf.DUMMYFUNCTION("""COMPUTED_VALUE"""),0.0)</f>
        <v>0</v>
      </c>
      <c r="BF113" s="3">
        <f>IFERROR(__xludf.DUMMYFUNCTION("""COMPUTED_VALUE"""),0.0)</f>
        <v>0</v>
      </c>
      <c r="BG113" s="3">
        <f>IFERROR(__xludf.DUMMYFUNCTION("""COMPUTED_VALUE"""),0.0)</f>
        <v>0</v>
      </c>
      <c r="BH113" s="3">
        <f>IFERROR(__xludf.DUMMYFUNCTION("""COMPUTED_VALUE"""),0.0)</f>
        <v>0</v>
      </c>
      <c r="BI113" s="3">
        <f>IFERROR(__xludf.DUMMYFUNCTION("""COMPUTED_VALUE"""),0.0)</f>
        <v>0</v>
      </c>
      <c r="BJ113" s="3">
        <f>IFERROR(__xludf.DUMMYFUNCTION("""COMPUTED_VALUE"""),2.0)</f>
        <v>2</v>
      </c>
      <c r="BK113" s="3">
        <f>IFERROR(__xludf.DUMMYFUNCTION("""COMPUTED_VALUE"""),2.0)</f>
        <v>2</v>
      </c>
      <c r="BL113" s="3">
        <f>IFERROR(__xludf.DUMMYFUNCTION("""COMPUTED_VALUE"""),4.0)</f>
        <v>4</v>
      </c>
      <c r="BM113" s="3">
        <f>IFERROR(__xludf.DUMMYFUNCTION("""COMPUTED_VALUE"""),4.0)</f>
        <v>4</v>
      </c>
      <c r="BN113" s="3">
        <f>IFERROR(__xludf.DUMMYFUNCTION("""COMPUTED_VALUE"""),8.0)</f>
        <v>8</v>
      </c>
      <c r="BO113" s="3">
        <f>IFERROR(__xludf.DUMMYFUNCTION("""COMPUTED_VALUE"""),10.0)</f>
        <v>10</v>
      </c>
      <c r="BP113" s="3">
        <f>IFERROR(__xludf.DUMMYFUNCTION("""COMPUTED_VALUE"""),14.0)</f>
        <v>14</v>
      </c>
      <c r="BQ113" s="3">
        <f>IFERROR(__xludf.DUMMYFUNCTION("""COMPUTED_VALUE"""),14.0)</f>
        <v>14</v>
      </c>
      <c r="BR113" s="3">
        <f>IFERROR(__xludf.DUMMYFUNCTION("""COMPUTED_VALUE"""),15.0)</f>
        <v>15</v>
      </c>
      <c r="BS113" s="3">
        <f>IFERROR(__xludf.DUMMYFUNCTION("""COMPUTED_VALUE"""),15.0)</f>
        <v>15</v>
      </c>
      <c r="BT113" s="3">
        <f>IFERROR(__xludf.DUMMYFUNCTION("""COMPUTED_VALUE"""),15.0)</f>
        <v>15</v>
      </c>
      <c r="BU113" s="3">
        <f>IFERROR(__xludf.DUMMYFUNCTION("""COMPUTED_VALUE"""),15.0)</f>
        <v>15</v>
      </c>
      <c r="BV113" s="3">
        <f>IFERROR(__xludf.DUMMYFUNCTION("""COMPUTED_VALUE"""),16.0)</f>
        <v>16</v>
      </c>
      <c r="BW113" s="3">
        <f>IFERROR(__xludf.DUMMYFUNCTION("""COMPUTED_VALUE"""),16.0)</f>
        <v>16</v>
      </c>
      <c r="BX113" s="3">
        <f>IFERROR(__xludf.DUMMYFUNCTION("""COMPUTED_VALUE"""),18.0)</f>
        <v>18</v>
      </c>
      <c r="BY113" s="3">
        <f>IFERROR(__xludf.DUMMYFUNCTION("""COMPUTED_VALUE"""),18.0)</f>
        <v>18</v>
      </c>
      <c r="BZ113" s="3">
        <f>IFERROR(__xludf.DUMMYFUNCTION("""COMPUTED_VALUE"""),17.0)</f>
        <v>17</v>
      </c>
      <c r="CA113" s="3">
        <f>IFERROR(__xludf.DUMMYFUNCTION("""COMPUTED_VALUE"""),18.0)</f>
        <v>18</v>
      </c>
      <c r="CB113" s="3">
        <f>IFERROR(__xludf.DUMMYFUNCTION("""COMPUTED_VALUE"""),18.0)</f>
        <v>18</v>
      </c>
    </row>
    <row r="114">
      <c r="A114" s="3" t="str">
        <f>IFERROR(__xludf.DUMMYFUNCTION("""COMPUTED_VALUE"""),"Reunion")</f>
        <v>Reunion</v>
      </c>
      <c r="B114" s="3" t="str">
        <f>IFERROR(__xludf.DUMMYFUNCTION("""COMPUTED_VALUE"""),"France")</f>
        <v>France</v>
      </c>
      <c r="C114" s="3">
        <f>IFERROR(__xludf.DUMMYFUNCTION("""COMPUTED_VALUE"""),-21.1351)</f>
        <v>-21.1351</v>
      </c>
      <c r="D114" s="3">
        <f>IFERROR(__xludf.DUMMYFUNCTION("""COMPUTED_VALUE"""),55.2471)</f>
        <v>55.2471</v>
      </c>
      <c r="E114" s="3">
        <f>IFERROR(__xludf.DUMMYFUNCTION("""COMPUTED_VALUE"""),0.0)</f>
        <v>0</v>
      </c>
      <c r="F114" s="3">
        <f>IFERROR(__xludf.DUMMYFUNCTION("""COMPUTED_VALUE"""),0.0)</f>
        <v>0</v>
      </c>
      <c r="G114" s="3">
        <f>IFERROR(__xludf.DUMMYFUNCTION("""COMPUTED_VALUE"""),0.0)</f>
        <v>0</v>
      </c>
      <c r="H114" s="3">
        <f>IFERROR(__xludf.DUMMYFUNCTION("""COMPUTED_VALUE"""),0.0)</f>
        <v>0</v>
      </c>
      <c r="I114" s="3">
        <f>IFERROR(__xludf.DUMMYFUNCTION("""COMPUTED_VALUE"""),0.0)</f>
        <v>0</v>
      </c>
      <c r="J114" s="3">
        <f>IFERROR(__xludf.DUMMYFUNCTION("""COMPUTED_VALUE"""),0.0)</f>
        <v>0</v>
      </c>
      <c r="K114" s="3">
        <f>IFERROR(__xludf.DUMMYFUNCTION("""COMPUTED_VALUE"""),0.0)</f>
        <v>0</v>
      </c>
      <c r="L114" s="3">
        <f>IFERROR(__xludf.DUMMYFUNCTION("""COMPUTED_VALUE"""),0.0)</f>
        <v>0</v>
      </c>
      <c r="M114" s="3">
        <f>IFERROR(__xludf.DUMMYFUNCTION("""COMPUTED_VALUE"""),0.0)</f>
        <v>0</v>
      </c>
      <c r="N114" s="3">
        <f>IFERROR(__xludf.DUMMYFUNCTION("""COMPUTED_VALUE"""),0.0)</f>
        <v>0</v>
      </c>
      <c r="O114" s="3">
        <f>IFERROR(__xludf.DUMMYFUNCTION("""COMPUTED_VALUE"""),0.0)</f>
        <v>0</v>
      </c>
      <c r="P114" s="3">
        <f>IFERROR(__xludf.DUMMYFUNCTION("""COMPUTED_VALUE"""),0.0)</f>
        <v>0</v>
      </c>
      <c r="Q114" s="3">
        <f>IFERROR(__xludf.DUMMYFUNCTION("""COMPUTED_VALUE"""),0.0)</f>
        <v>0</v>
      </c>
      <c r="R114" s="3">
        <f>IFERROR(__xludf.DUMMYFUNCTION("""COMPUTED_VALUE"""),0.0)</f>
        <v>0</v>
      </c>
      <c r="S114" s="3">
        <f>IFERROR(__xludf.DUMMYFUNCTION("""COMPUTED_VALUE"""),0.0)</f>
        <v>0</v>
      </c>
      <c r="T114" s="3">
        <f>IFERROR(__xludf.DUMMYFUNCTION("""COMPUTED_VALUE"""),0.0)</f>
        <v>0</v>
      </c>
      <c r="U114" s="3">
        <f>IFERROR(__xludf.DUMMYFUNCTION("""COMPUTED_VALUE"""),0.0)</f>
        <v>0</v>
      </c>
      <c r="V114" s="3">
        <f>IFERROR(__xludf.DUMMYFUNCTION("""COMPUTED_VALUE"""),0.0)</f>
        <v>0</v>
      </c>
      <c r="W114" s="3">
        <f>IFERROR(__xludf.DUMMYFUNCTION("""COMPUTED_VALUE"""),0.0)</f>
        <v>0</v>
      </c>
      <c r="X114" s="3">
        <f>IFERROR(__xludf.DUMMYFUNCTION("""COMPUTED_VALUE"""),0.0)</f>
        <v>0</v>
      </c>
      <c r="Y114" s="3">
        <f>IFERROR(__xludf.DUMMYFUNCTION("""COMPUTED_VALUE"""),0.0)</f>
        <v>0</v>
      </c>
      <c r="Z114" s="3">
        <f>IFERROR(__xludf.DUMMYFUNCTION("""COMPUTED_VALUE"""),0.0)</f>
        <v>0</v>
      </c>
      <c r="AA114" s="3">
        <f>IFERROR(__xludf.DUMMYFUNCTION("""COMPUTED_VALUE"""),0.0)</f>
        <v>0</v>
      </c>
      <c r="AB114" s="3">
        <f>IFERROR(__xludf.DUMMYFUNCTION("""COMPUTED_VALUE"""),0.0)</f>
        <v>0</v>
      </c>
      <c r="AC114" s="3">
        <f>IFERROR(__xludf.DUMMYFUNCTION("""COMPUTED_VALUE"""),0.0)</f>
        <v>0</v>
      </c>
      <c r="AD114" s="3">
        <f>IFERROR(__xludf.DUMMYFUNCTION("""COMPUTED_VALUE"""),0.0)</f>
        <v>0</v>
      </c>
      <c r="AE114" s="3">
        <f>IFERROR(__xludf.DUMMYFUNCTION("""COMPUTED_VALUE"""),0.0)</f>
        <v>0</v>
      </c>
      <c r="AF114" s="3">
        <f>IFERROR(__xludf.DUMMYFUNCTION("""COMPUTED_VALUE"""),0.0)</f>
        <v>0</v>
      </c>
      <c r="AG114" s="3">
        <f>IFERROR(__xludf.DUMMYFUNCTION("""COMPUTED_VALUE"""),0.0)</f>
        <v>0</v>
      </c>
      <c r="AH114" s="3">
        <f>IFERROR(__xludf.DUMMYFUNCTION("""COMPUTED_VALUE"""),0.0)</f>
        <v>0</v>
      </c>
      <c r="AI114" s="3">
        <f>IFERROR(__xludf.DUMMYFUNCTION("""COMPUTED_VALUE"""),0.0)</f>
        <v>0</v>
      </c>
      <c r="AJ114" s="3">
        <f>IFERROR(__xludf.DUMMYFUNCTION("""COMPUTED_VALUE"""),0.0)</f>
        <v>0</v>
      </c>
      <c r="AK114" s="3">
        <f>IFERROR(__xludf.DUMMYFUNCTION("""COMPUTED_VALUE"""),0.0)</f>
        <v>0</v>
      </c>
      <c r="AL114" s="3">
        <f>IFERROR(__xludf.DUMMYFUNCTION("""COMPUTED_VALUE"""),0.0)</f>
        <v>0</v>
      </c>
      <c r="AM114" s="3">
        <f>IFERROR(__xludf.DUMMYFUNCTION("""COMPUTED_VALUE"""),0.0)</f>
        <v>0</v>
      </c>
      <c r="AN114" s="3">
        <f>IFERROR(__xludf.DUMMYFUNCTION("""COMPUTED_VALUE"""),0.0)</f>
        <v>0</v>
      </c>
      <c r="AO114" s="3">
        <f>IFERROR(__xludf.DUMMYFUNCTION("""COMPUTED_VALUE"""),0.0)</f>
        <v>0</v>
      </c>
      <c r="AP114" s="3">
        <f>IFERROR(__xludf.DUMMYFUNCTION("""COMPUTED_VALUE"""),0.0)</f>
        <v>0</v>
      </c>
      <c r="AQ114" s="3">
        <f>IFERROR(__xludf.DUMMYFUNCTION("""COMPUTED_VALUE"""),0.0)</f>
        <v>0</v>
      </c>
      <c r="AR114" s="3">
        <f>IFERROR(__xludf.DUMMYFUNCTION("""COMPUTED_VALUE"""),0.0)</f>
        <v>0</v>
      </c>
      <c r="AS114" s="3">
        <f>IFERROR(__xludf.DUMMYFUNCTION("""COMPUTED_VALUE"""),0.0)</f>
        <v>0</v>
      </c>
      <c r="AT114" s="3">
        <f>IFERROR(__xludf.DUMMYFUNCTION("""COMPUTED_VALUE"""),0.0)</f>
        <v>0</v>
      </c>
      <c r="AU114" s="3">
        <f>IFERROR(__xludf.DUMMYFUNCTION("""COMPUTED_VALUE"""),0.0)</f>
        <v>0</v>
      </c>
      <c r="AV114" s="3">
        <f>IFERROR(__xludf.DUMMYFUNCTION("""COMPUTED_VALUE"""),0.0)</f>
        <v>0</v>
      </c>
      <c r="AW114" s="3">
        <f>IFERROR(__xludf.DUMMYFUNCTION("""COMPUTED_VALUE"""),0.0)</f>
        <v>0</v>
      </c>
      <c r="AX114" s="3">
        <f>IFERROR(__xludf.DUMMYFUNCTION("""COMPUTED_VALUE"""),0.0)</f>
        <v>0</v>
      </c>
      <c r="AY114" s="3">
        <f>IFERROR(__xludf.DUMMYFUNCTION("""COMPUTED_VALUE"""),0.0)</f>
        <v>0</v>
      </c>
      <c r="AZ114" s="3">
        <f>IFERROR(__xludf.DUMMYFUNCTION("""COMPUTED_VALUE"""),0.0)</f>
        <v>0</v>
      </c>
      <c r="BA114" s="3">
        <f>IFERROR(__xludf.DUMMYFUNCTION("""COMPUTED_VALUE"""),0.0)</f>
        <v>0</v>
      </c>
      <c r="BB114" s="3">
        <f>IFERROR(__xludf.DUMMYFUNCTION("""COMPUTED_VALUE"""),1.0)</f>
        <v>1</v>
      </c>
      <c r="BC114" s="3">
        <f>IFERROR(__xludf.DUMMYFUNCTION("""COMPUTED_VALUE"""),1.0)</f>
        <v>1</v>
      </c>
      <c r="BD114" s="3">
        <f>IFERROR(__xludf.DUMMYFUNCTION("""COMPUTED_VALUE"""),5.0)</f>
        <v>5</v>
      </c>
      <c r="BE114" s="3">
        <f>IFERROR(__xludf.DUMMYFUNCTION("""COMPUTED_VALUE"""),6.0)</f>
        <v>6</v>
      </c>
      <c r="BF114" s="3">
        <f>IFERROR(__xludf.DUMMYFUNCTION("""COMPUTED_VALUE"""),7.0)</f>
        <v>7</v>
      </c>
      <c r="BG114" s="3">
        <f>IFERROR(__xludf.DUMMYFUNCTION("""COMPUTED_VALUE"""),9.0)</f>
        <v>9</v>
      </c>
      <c r="BH114" s="3">
        <f>IFERROR(__xludf.DUMMYFUNCTION("""COMPUTED_VALUE"""),9.0)</f>
        <v>9</v>
      </c>
      <c r="BI114" s="3">
        <f>IFERROR(__xludf.DUMMYFUNCTION("""COMPUTED_VALUE"""),12.0)</f>
        <v>12</v>
      </c>
      <c r="BJ114" s="3">
        <f>IFERROR(__xludf.DUMMYFUNCTION("""COMPUTED_VALUE"""),14.0)</f>
        <v>14</v>
      </c>
      <c r="BK114" s="3">
        <f>IFERROR(__xludf.DUMMYFUNCTION("""COMPUTED_VALUE"""),28.0)</f>
        <v>28</v>
      </c>
      <c r="BL114" s="3">
        <f>IFERROR(__xludf.DUMMYFUNCTION("""COMPUTED_VALUE"""),45.0)</f>
        <v>45</v>
      </c>
      <c r="BM114" s="3">
        <f>IFERROR(__xludf.DUMMYFUNCTION("""COMPUTED_VALUE"""),64.0)</f>
        <v>64</v>
      </c>
      <c r="BN114" s="3">
        <f>IFERROR(__xludf.DUMMYFUNCTION("""COMPUTED_VALUE"""),71.0)</f>
        <v>71</v>
      </c>
      <c r="BO114" s="3">
        <f>IFERROR(__xludf.DUMMYFUNCTION("""COMPUTED_VALUE"""),94.0)</f>
        <v>94</v>
      </c>
      <c r="BP114" s="3">
        <f>IFERROR(__xludf.DUMMYFUNCTION("""COMPUTED_VALUE"""),111.0)</f>
        <v>111</v>
      </c>
      <c r="BQ114" s="3">
        <f>IFERROR(__xludf.DUMMYFUNCTION("""COMPUTED_VALUE"""),135.0)</f>
        <v>135</v>
      </c>
      <c r="BR114" s="3">
        <f>IFERROR(__xludf.DUMMYFUNCTION("""COMPUTED_VALUE"""),145.0)</f>
        <v>145</v>
      </c>
      <c r="BS114" s="3">
        <f>IFERROR(__xludf.DUMMYFUNCTION("""COMPUTED_VALUE"""),183.0)</f>
        <v>183</v>
      </c>
      <c r="BT114" s="3">
        <f>IFERROR(__xludf.DUMMYFUNCTION("""COMPUTED_VALUE"""),183.0)</f>
        <v>183</v>
      </c>
      <c r="BU114" s="3">
        <f>IFERROR(__xludf.DUMMYFUNCTION("""COMPUTED_VALUE"""),224.0)</f>
        <v>224</v>
      </c>
      <c r="BV114" s="3">
        <f>IFERROR(__xludf.DUMMYFUNCTION("""COMPUTED_VALUE"""),247.0)</f>
        <v>247</v>
      </c>
      <c r="BW114" s="3">
        <f>IFERROR(__xludf.DUMMYFUNCTION("""COMPUTED_VALUE"""),281.0)</f>
        <v>281</v>
      </c>
      <c r="BX114" s="3">
        <f>IFERROR(__xludf.DUMMYFUNCTION("""COMPUTED_VALUE"""),308.0)</f>
        <v>308</v>
      </c>
      <c r="BY114" s="3">
        <f>IFERROR(__xludf.DUMMYFUNCTION("""COMPUTED_VALUE"""),321.0)</f>
        <v>321</v>
      </c>
      <c r="BZ114" s="3">
        <f>IFERROR(__xludf.DUMMYFUNCTION("""COMPUTED_VALUE"""),334.0)</f>
        <v>334</v>
      </c>
      <c r="CA114" s="3">
        <f>IFERROR(__xludf.DUMMYFUNCTION("""COMPUTED_VALUE"""),344.0)</f>
        <v>344</v>
      </c>
      <c r="CB114" s="3">
        <f>IFERROR(__xludf.DUMMYFUNCTION("""COMPUTED_VALUE"""),349.0)</f>
        <v>349</v>
      </c>
    </row>
    <row r="115">
      <c r="A115" s="3" t="str">
        <f>IFERROR(__xludf.DUMMYFUNCTION("""COMPUTED_VALUE"""),"Saint Barthelemy")</f>
        <v>Saint Barthelemy</v>
      </c>
      <c r="B115" s="3" t="str">
        <f>IFERROR(__xludf.DUMMYFUNCTION("""COMPUTED_VALUE"""),"France")</f>
        <v>France</v>
      </c>
      <c r="C115" s="3">
        <f>IFERROR(__xludf.DUMMYFUNCTION("""COMPUTED_VALUE"""),17.9)</f>
        <v>17.9</v>
      </c>
      <c r="D115" s="3">
        <f>IFERROR(__xludf.DUMMYFUNCTION("""COMPUTED_VALUE"""),-62.8333)</f>
        <v>-62.8333</v>
      </c>
      <c r="E115" s="3">
        <f>IFERROR(__xludf.DUMMYFUNCTION("""COMPUTED_VALUE"""),0.0)</f>
        <v>0</v>
      </c>
      <c r="F115" s="3">
        <f>IFERROR(__xludf.DUMMYFUNCTION("""COMPUTED_VALUE"""),0.0)</f>
        <v>0</v>
      </c>
      <c r="G115" s="3">
        <f>IFERROR(__xludf.DUMMYFUNCTION("""COMPUTED_VALUE"""),0.0)</f>
        <v>0</v>
      </c>
      <c r="H115" s="3">
        <f>IFERROR(__xludf.DUMMYFUNCTION("""COMPUTED_VALUE"""),0.0)</f>
        <v>0</v>
      </c>
      <c r="I115" s="3">
        <f>IFERROR(__xludf.DUMMYFUNCTION("""COMPUTED_VALUE"""),0.0)</f>
        <v>0</v>
      </c>
      <c r="J115" s="3">
        <f>IFERROR(__xludf.DUMMYFUNCTION("""COMPUTED_VALUE"""),0.0)</f>
        <v>0</v>
      </c>
      <c r="K115" s="3">
        <f>IFERROR(__xludf.DUMMYFUNCTION("""COMPUTED_VALUE"""),0.0)</f>
        <v>0</v>
      </c>
      <c r="L115" s="3">
        <f>IFERROR(__xludf.DUMMYFUNCTION("""COMPUTED_VALUE"""),0.0)</f>
        <v>0</v>
      </c>
      <c r="M115" s="3">
        <f>IFERROR(__xludf.DUMMYFUNCTION("""COMPUTED_VALUE"""),0.0)</f>
        <v>0</v>
      </c>
      <c r="N115" s="3">
        <f>IFERROR(__xludf.DUMMYFUNCTION("""COMPUTED_VALUE"""),0.0)</f>
        <v>0</v>
      </c>
      <c r="O115" s="3">
        <f>IFERROR(__xludf.DUMMYFUNCTION("""COMPUTED_VALUE"""),0.0)</f>
        <v>0</v>
      </c>
      <c r="P115" s="3">
        <f>IFERROR(__xludf.DUMMYFUNCTION("""COMPUTED_VALUE"""),0.0)</f>
        <v>0</v>
      </c>
      <c r="Q115" s="3">
        <f>IFERROR(__xludf.DUMMYFUNCTION("""COMPUTED_VALUE"""),0.0)</f>
        <v>0</v>
      </c>
      <c r="R115" s="3">
        <f>IFERROR(__xludf.DUMMYFUNCTION("""COMPUTED_VALUE"""),0.0)</f>
        <v>0</v>
      </c>
      <c r="S115" s="3">
        <f>IFERROR(__xludf.DUMMYFUNCTION("""COMPUTED_VALUE"""),0.0)</f>
        <v>0</v>
      </c>
      <c r="T115" s="3">
        <f>IFERROR(__xludf.DUMMYFUNCTION("""COMPUTED_VALUE"""),0.0)</f>
        <v>0</v>
      </c>
      <c r="U115" s="3">
        <f>IFERROR(__xludf.DUMMYFUNCTION("""COMPUTED_VALUE"""),0.0)</f>
        <v>0</v>
      </c>
      <c r="V115" s="3">
        <f>IFERROR(__xludf.DUMMYFUNCTION("""COMPUTED_VALUE"""),0.0)</f>
        <v>0</v>
      </c>
      <c r="W115" s="3">
        <f>IFERROR(__xludf.DUMMYFUNCTION("""COMPUTED_VALUE"""),0.0)</f>
        <v>0</v>
      </c>
      <c r="X115" s="3">
        <f>IFERROR(__xludf.DUMMYFUNCTION("""COMPUTED_VALUE"""),0.0)</f>
        <v>0</v>
      </c>
      <c r="Y115" s="3">
        <f>IFERROR(__xludf.DUMMYFUNCTION("""COMPUTED_VALUE"""),0.0)</f>
        <v>0</v>
      </c>
      <c r="Z115" s="3">
        <f>IFERROR(__xludf.DUMMYFUNCTION("""COMPUTED_VALUE"""),0.0)</f>
        <v>0</v>
      </c>
      <c r="AA115" s="3">
        <f>IFERROR(__xludf.DUMMYFUNCTION("""COMPUTED_VALUE"""),0.0)</f>
        <v>0</v>
      </c>
      <c r="AB115" s="3">
        <f>IFERROR(__xludf.DUMMYFUNCTION("""COMPUTED_VALUE"""),0.0)</f>
        <v>0</v>
      </c>
      <c r="AC115" s="3">
        <f>IFERROR(__xludf.DUMMYFUNCTION("""COMPUTED_VALUE"""),0.0)</f>
        <v>0</v>
      </c>
      <c r="AD115" s="3">
        <f>IFERROR(__xludf.DUMMYFUNCTION("""COMPUTED_VALUE"""),0.0)</f>
        <v>0</v>
      </c>
      <c r="AE115" s="3">
        <f>IFERROR(__xludf.DUMMYFUNCTION("""COMPUTED_VALUE"""),0.0)</f>
        <v>0</v>
      </c>
      <c r="AF115" s="3">
        <f>IFERROR(__xludf.DUMMYFUNCTION("""COMPUTED_VALUE"""),0.0)</f>
        <v>0</v>
      </c>
      <c r="AG115" s="3">
        <f>IFERROR(__xludf.DUMMYFUNCTION("""COMPUTED_VALUE"""),0.0)</f>
        <v>0</v>
      </c>
      <c r="AH115" s="3">
        <f>IFERROR(__xludf.DUMMYFUNCTION("""COMPUTED_VALUE"""),0.0)</f>
        <v>0</v>
      </c>
      <c r="AI115" s="3">
        <f>IFERROR(__xludf.DUMMYFUNCTION("""COMPUTED_VALUE"""),0.0)</f>
        <v>0</v>
      </c>
      <c r="AJ115" s="3">
        <f>IFERROR(__xludf.DUMMYFUNCTION("""COMPUTED_VALUE"""),0.0)</f>
        <v>0</v>
      </c>
      <c r="AK115" s="3">
        <f>IFERROR(__xludf.DUMMYFUNCTION("""COMPUTED_VALUE"""),0.0)</f>
        <v>0</v>
      </c>
      <c r="AL115" s="3">
        <f>IFERROR(__xludf.DUMMYFUNCTION("""COMPUTED_VALUE"""),0.0)</f>
        <v>0</v>
      </c>
      <c r="AM115" s="3">
        <f>IFERROR(__xludf.DUMMYFUNCTION("""COMPUTED_VALUE"""),0.0)</f>
        <v>0</v>
      </c>
      <c r="AN115" s="3">
        <f>IFERROR(__xludf.DUMMYFUNCTION("""COMPUTED_VALUE"""),0.0)</f>
        <v>0</v>
      </c>
      <c r="AO115" s="3">
        <f>IFERROR(__xludf.DUMMYFUNCTION("""COMPUTED_VALUE"""),0.0)</f>
        <v>0</v>
      </c>
      <c r="AP115" s="3">
        <f>IFERROR(__xludf.DUMMYFUNCTION("""COMPUTED_VALUE"""),0.0)</f>
        <v>0</v>
      </c>
      <c r="AQ115" s="3">
        <f>IFERROR(__xludf.DUMMYFUNCTION("""COMPUTED_VALUE"""),0.0)</f>
        <v>0</v>
      </c>
      <c r="AR115" s="3">
        <f>IFERROR(__xludf.DUMMYFUNCTION("""COMPUTED_VALUE"""),0.0)</f>
        <v>0</v>
      </c>
      <c r="AS115" s="3">
        <f>IFERROR(__xludf.DUMMYFUNCTION("""COMPUTED_VALUE"""),0.0)</f>
        <v>0</v>
      </c>
      <c r="AT115" s="3">
        <f>IFERROR(__xludf.DUMMYFUNCTION("""COMPUTED_VALUE"""),0.0)</f>
        <v>0</v>
      </c>
      <c r="AU115" s="3">
        <f>IFERROR(__xludf.DUMMYFUNCTION("""COMPUTED_VALUE"""),3.0)</f>
        <v>3</v>
      </c>
      <c r="AV115" s="3">
        <f>IFERROR(__xludf.DUMMYFUNCTION("""COMPUTED_VALUE"""),3.0)</f>
        <v>3</v>
      </c>
      <c r="AW115" s="3">
        <f>IFERROR(__xludf.DUMMYFUNCTION("""COMPUTED_VALUE"""),3.0)</f>
        <v>3</v>
      </c>
      <c r="AX115" s="3">
        <f>IFERROR(__xludf.DUMMYFUNCTION("""COMPUTED_VALUE"""),3.0)</f>
        <v>3</v>
      </c>
      <c r="AY115" s="3">
        <f>IFERROR(__xludf.DUMMYFUNCTION("""COMPUTED_VALUE"""),3.0)</f>
        <v>3</v>
      </c>
      <c r="AZ115" s="3">
        <f>IFERROR(__xludf.DUMMYFUNCTION("""COMPUTED_VALUE"""),1.0)</f>
        <v>1</v>
      </c>
      <c r="BA115" s="3">
        <f>IFERROR(__xludf.DUMMYFUNCTION("""COMPUTED_VALUE"""),1.0)</f>
        <v>1</v>
      </c>
      <c r="BB115" s="3">
        <f>IFERROR(__xludf.DUMMYFUNCTION("""COMPUTED_VALUE"""),1.0)</f>
        <v>1</v>
      </c>
      <c r="BC115" s="3">
        <f>IFERROR(__xludf.DUMMYFUNCTION("""COMPUTED_VALUE"""),1.0)</f>
        <v>1</v>
      </c>
      <c r="BD115" s="3">
        <f>IFERROR(__xludf.DUMMYFUNCTION("""COMPUTED_VALUE"""),1.0)</f>
        <v>1</v>
      </c>
      <c r="BE115" s="3">
        <f>IFERROR(__xludf.DUMMYFUNCTION("""COMPUTED_VALUE"""),1.0)</f>
        <v>1</v>
      </c>
      <c r="BF115" s="3">
        <f>IFERROR(__xludf.DUMMYFUNCTION("""COMPUTED_VALUE"""),1.0)</f>
        <v>1</v>
      </c>
      <c r="BG115" s="3">
        <f>IFERROR(__xludf.DUMMYFUNCTION("""COMPUTED_VALUE"""),3.0)</f>
        <v>3</v>
      </c>
      <c r="BH115" s="3">
        <f>IFERROR(__xludf.DUMMYFUNCTION("""COMPUTED_VALUE"""),3.0)</f>
        <v>3</v>
      </c>
      <c r="BI115" s="3">
        <f>IFERROR(__xludf.DUMMYFUNCTION("""COMPUTED_VALUE"""),3.0)</f>
        <v>3</v>
      </c>
      <c r="BJ115" s="3">
        <f>IFERROR(__xludf.DUMMYFUNCTION("""COMPUTED_VALUE"""),3.0)</f>
        <v>3</v>
      </c>
      <c r="BK115" s="3">
        <f>IFERROR(__xludf.DUMMYFUNCTION("""COMPUTED_VALUE"""),3.0)</f>
        <v>3</v>
      </c>
      <c r="BL115" s="3">
        <f>IFERROR(__xludf.DUMMYFUNCTION("""COMPUTED_VALUE"""),3.0)</f>
        <v>3</v>
      </c>
      <c r="BM115" s="3">
        <f>IFERROR(__xludf.DUMMYFUNCTION("""COMPUTED_VALUE"""),3.0)</f>
        <v>3</v>
      </c>
      <c r="BN115" s="3">
        <f>IFERROR(__xludf.DUMMYFUNCTION("""COMPUTED_VALUE"""),3.0)</f>
        <v>3</v>
      </c>
      <c r="BO115" s="3">
        <f>IFERROR(__xludf.DUMMYFUNCTION("""COMPUTED_VALUE"""),3.0)</f>
        <v>3</v>
      </c>
      <c r="BP115" s="3">
        <f>IFERROR(__xludf.DUMMYFUNCTION("""COMPUTED_VALUE"""),3.0)</f>
        <v>3</v>
      </c>
      <c r="BQ115" s="3">
        <f>IFERROR(__xludf.DUMMYFUNCTION("""COMPUTED_VALUE"""),3.0)</f>
        <v>3</v>
      </c>
      <c r="BR115" s="3">
        <f>IFERROR(__xludf.DUMMYFUNCTION("""COMPUTED_VALUE"""),5.0)</f>
        <v>5</v>
      </c>
      <c r="BS115" s="3">
        <f>IFERROR(__xludf.DUMMYFUNCTION("""COMPUTED_VALUE"""),5.0)</f>
        <v>5</v>
      </c>
      <c r="BT115" s="3">
        <f>IFERROR(__xludf.DUMMYFUNCTION("""COMPUTED_VALUE"""),5.0)</f>
        <v>5</v>
      </c>
      <c r="BU115" s="3">
        <f>IFERROR(__xludf.DUMMYFUNCTION("""COMPUTED_VALUE"""),6.0)</f>
        <v>6</v>
      </c>
      <c r="BV115" s="3">
        <f>IFERROR(__xludf.DUMMYFUNCTION("""COMPUTED_VALUE"""),6.0)</f>
        <v>6</v>
      </c>
      <c r="BW115" s="3">
        <f>IFERROR(__xludf.DUMMYFUNCTION("""COMPUTED_VALUE"""),6.0)</f>
        <v>6</v>
      </c>
      <c r="BX115" s="3">
        <f>IFERROR(__xludf.DUMMYFUNCTION("""COMPUTED_VALUE"""),6.0)</f>
        <v>6</v>
      </c>
      <c r="BY115" s="3">
        <f>IFERROR(__xludf.DUMMYFUNCTION("""COMPUTED_VALUE"""),6.0)</f>
        <v>6</v>
      </c>
      <c r="BZ115" s="3">
        <f>IFERROR(__xludf.DUMMYFUNCTION("""COMPUTED_VALUE"""),6.0)</f>
        <v>6</v>
      </c>
      <c r="CA115" s="3">
        <f>IFERROR(__xludf.DUMMYFUNCTION("""COMPUTED_VALUE"""),6.0)</f>
        <v>6</v>
      </c>
      <c r="CB115" s="3">
        <f>IFERROR(__xludf.DUMMYFUNCTION("""COMPUTED_VALUE"""),6.0)</f>
        <v>6</v>
      </c>
    </row>
    <row r="116">
      <c r="A116" s="3" t="str">
        <f>IFERROR(__xludf.DUMMYFUNCTION("""COMPUTED_VALUE"""),"St Martin")</f>
        <v>St Martin</v>
      </c>
      <c r="B116" s="3" t="str">
        <f>IFERROR(__xludf.DUMMYFUNCTION("""COMPUTED_VALUE"""),"France")</f>
        <v>France</v>
      </c>
      <c r="C116" s="3">
        <f>IFERROR(__xludf.DUMMYFUNCTION("""COMPUTED_VALUE"""),18.0708)</f>
        <v>18.0708</v>
      </c>
      <c r="D116" s="3">
        <f>IFERROR(__xludf.DUMMYFUNCTION("""COMPUTED_VALUE"""),-63.0501)</f>
        <v>-63.0501</v>
      </c>
      <c r="E116" s="3">
        <f>IFERROR(__xludf.DUMMYFUNCTION("""COMPUTED_VALUE"""),0.0)</f>
        <v>0</v>
      </c>
      <c r="F116" s="3">
        <f>IFERROR(__xludf.DUMMYFUNCTION("""COMPUTED_VALUE"""),0.0)</f>
        <v>0</v>
      </c>
      <c r="G116" s="3">
        <f>IFERROR(__xludf.DUMMYFUNCTION("""COMPUTED_VALUE"""),0.0)</f>
        <v>0</v>
      </c>
      <c r="H116" s="3">
        <f>IFERROR(__xludf.DUMMYFUNCTION("""COMPUTED_VALUE"""),0.0)</f>
        <v>0</v>
      </c>
      <c r="I116" s="3">
        <f>IFERROR(__xludf.DUMMYFUNCTION("""COMPUTED_VALUE"""),0.0)</f>
        <v>0</v>
      </c>
      <c r="J116" s="3">
        <f>IFERROR(__xludf.DUMMYFUNCTION("""COMPUTED_VALUE"""),0.0)</f>
        <v>0</v>
      </c>
      <c r="K116" s="3">
        <f>IFERROR(__xludf.DUMMYFUNCTION("""COMPUTED_VALUE"""),0.0)</f>
        <v>0</v>
      </c>
      <c r="L116" s="3">
        <f>IFERROR(__xludf.DUMMYFUNCTION("""COMPUTED_VALUE"""),0.0)</f>
        <v>0</v>
      </c>
      <c r="M116" s="3">
        <f>IFERROR(__xludf.DUMMYFUNCTION("""COMPUTED_VALUE"""),0.0)</f>
        <v>0</v>
      </c>
      <c r="N116" s="3">
        <f>IFERROR(__xludf.DUMMYFUNCTION("""COMPUTED_VALUE"""),0.0)</f>
        <v>0</v>
      </c>
      <c r="O116" s="3">
        <f>IFERROR(__xludf.DUMMYFUNCTION("""COMPUTED_VALUE"""),0.0)</f>
        <v>0</v>
      </c>
      <c r="P116" s="3">
        <f>IFERROR(__xludf.DUMMYFUNCTION("""COMPUTED_VALUE"""),0.0)</f>
        <v>0</v>
      </c>
      <c r="Q116" s="3">
        <f>IFERROR(__xludf.DUMMYFUNCTION("""COMPUTED_VALUE"""),0.0)</f>
        <v>0</v>
      </c>
      <c r="R116" s="3">
        <f>IFERROR(__xludf.DUMMYFUNCTION("""COMPUTED_VALUE"""),0.0)</f>
        <v>0</v>
      </c>
      <c r="S116" s="3">
        <f>IFERROR(__xludf.DUMMYFUNCTION("""COMPUTED_VALUE"""),0.0)</f>
        <v>0</v>
      </c>
      <c r="T116" s="3">
        <f>IFERROR(__xludf.DUMMYFUNCTION("""COMPUTED_VALUE"""),0.0)</f>
        <v>0</v>
      </c>
      <c r="U116" s="3">
        <f>IFERROR(__xludf.DUMMYFUNCTION("""COMPUTED_VALUE"""),0.0)</f>
        <v>0</v>
      </c>
      <c r="V116" s="3">
        <f>IFERROR(__xludf.DUMMYFUNCTION("""COMPUTED_VALUE"""),0.0)</f>
        <v>0</v>
      </c>
      <c r="W116" s="3">
        <f>IFERROR(__xludf.DUMMYFUNCTION("""COMPUTED_VALUE"""),0.0)</f>
        <v>0</v>
      </c>
      <c r="X116" s="3">
        <f>IFERROR(__xludf.DUMMYFUNCTION("""COMPUTED_VALUE"""),0.0)</f>
        <v>0</v>
      </c>
      <c r="Y116" s="3">
        <f>IFERROR(__xludf.DUMMYFUNCTION("""COMPUTED_VALUE"""),0.0)</f>
        <v>0</v>
      </c>
      <c r="Z116" s="3">
        <f>IFERROR(__xludf.DUMMYFUNCTION("""COMPUTED_VALUE"""),0.0)</f>
        <v>0</v>
      </c>
      <c r="AA116" s="3">
        <f>IFERROR(__xludf.DUMMYFUNCTION("""COMPUTED_VALUE"""),0.0)</f>
        <v>0</v>
      </c>
      <c r="AB116" s="3">
        <f>IFERROR(__xludf.DUMMYFUNCTION("""COMPUTED_VALUE"""),0.0)</f>
        <v>0</v>
      </c>
      <c r="AC116" s="3">
        <f>IFERROR(__xludf.DUMMYFUNCTION("""COMPUTED_VALUE"""),0.0)</f>
        <v>0</v>
      </c>
      <c r="AD116" s="3">
        <f>IFERROR(__xludf.DUMMYFUNCTION("""COMPUTED_VALUE"""),0.0)</f>
        <v>0</v>
      </c>
      <c r="AE116" s="3">
        <f>IFERROR(__xludf.DUMMYFUNCTION("""COMPUTED_VALUE"""),0.0)</f>
        <v>0</v>
      </c>
      <c r="AF116" s="3">
        <f>IFERROR(__xludf.DUMMYFUNCTION("""COMPUTED_VALUE"""),0.0)</f>
        <v>0</v>
      </c>
      <c r="AG116" s="3">
        <f>IFERROR(__xludf.DUMMYFUNCTION("""COMPUTED_VALUE"""),0.0)</f>
        <v>0</v>
      </c>
      <c r="AH116" s="3">
        <f>IFERROR(__xludf.DUMMYFUNCTION("""COMPUTED_VALUE"""),0.0)</f>
        <v>0</v>
      </c>
      <c r="AI116" s="3">
        <f>IFERROR(__xludf.DUMMYFUNCTION("""COMPUTED_VALUE"""),0.0)</f>
        <v>0</v>
      </c>
      <c r="AJ116" s="3">
        <f>IFERROR(__xludf.DUMMYFUNCTION("""COMPUTED_VALUE"""),0.0)</f>
        <v>0</v>
      </c>
      <c r="AK116" s="3">
        <f>IFERROR(__xludf.DUMMYFUNCTION("""COMPUTED_VALUE"""),0.0)</f>
        <v>0</v>
      </c>
      <c r="AL116" s="3">
        <f>IFERROR(__xludf.DUMMYFUNCTION("""COMPUTED_VALUE"""),0.0)</f>
        <v>0</v>
      </c>
      <c r="AM116" s="3">
        <f>IFERROR(__xludf.DUMMYFUNCTION("""COMPUTED_VALUE"""),0.0)</f>
        <v>0</v>
      </c>
      <c r="AN116" s="3">
        <f>IFERROR(__xludf.DUMMYFUNCTION("""COMPUTED_VALUE"""),0.0)</f>
        <v>0</v>
      </c>
      <c r="AO116" s="3">
        <f>IFERROR(__xludf.DUMMYFUNCTION("""COMPUTED_VALUE"""),0.0)</f>
        <v>0</v>
      </c>
      <c r="AP116" s="3">
        <f>IFERROR(__xludf.DUMMYFUNCTION("""COMPUTED_VALUE"""),0.0)</f>
        <v>0</v>
      </c>
      <c r="AQ116" s="3">
        <f>IFERROR(__xludf.DUMMYFUNCTION("""COMPUTED_VALUE"""),0.0)</f>
        <v>0</v>
      </c>
      <c r="AR116" s="3">
        <f>IFERROR(__xludf.DUMMYFUNCTION("""COMPUTED_VALUE"""),0.0)</f>
        <v>0</v>
      </c>
      <c r="AS116" s="3">
        <f>IFERROR(__xludf.DUMMYFUNCTION("""COMPUTED_VALUE"""),0.0)</f>
        <v>0</v>
      </c>
      <c r="AT116" s="3">
        <f>IFERROR(__xludf.DUMMYFUNCTION("""COMPUTED_VALUE"""),0.0)</f>
        <v>0</v>
      </c>
      <c r="AU116" s="3">
        <f>IFERROR(__xludf.DUMMYFUNCTION("""COMPUTED_VALUE"""),0.0)</f>
        <v>0</v>
      </c>
      <c r="AV116" s="3">
        <f>IFERROR(__xludf.DUMMYFUNCTION("""COMPUTED_VALUE"""),0.0)</f>
        <v>0</v>
      </c>
      <c r="AW116" s="3">
        <f>IFERROR(__xludf.DUMMYFUNCTION("""COMPUTED_VALUE"""),0.0)</f>
        <v>0</v>
      </c>
      <c r="AX116" s="3">
        <f>IFERROR(__xludf.DUMMYFUNCTION("""COMPUTED_VALUE"""),0.0)</f>
        <v>0</v>
      </c>
      <c r="AY116" s="3">
        <f>IFERROR(__xludf.DUMMYFUNCTION("""COMPUTED_VALUE"""),0.0)</f>
        <v>0</v>
      </c>
      <c r="AZ116" s="3">
        <f>IFERROR(__xludf.DUMMYFUNCTION("""COMPUTED_VALUE"""),2.0)</f>
        <v>2</v>
      </c>
      <c r="BA116" s="3">
        <f>IFERROR(__xludf.DUMMYFUNCTION("""COMPUTED_VALUE"""),2.0)</f>
        <v>2</v>
      </c>
      <c r="BB116" s="3">
        <f>IFERROR(__xludf.DUMMYFUNCTION("""COMPUTED_VALUE"""),2.0)</f>
        <v>2</v>
      </c>
      <c r="BC116" s="3">
        <f>IFERROR(__xludf.DUMMYFUNCTION("""COMPUTED_VALUE"""),2.0)</f>
        <v>2</v>
      </c>
      <c r="BD116" s="3">
        <f>IFERROR(__xludf.DUMMYFUNCTION("""COMPUTED_VALUE"""),2.0)</f>
        <v>2</v>
      </c>
      <c r="BE116" s="3">
        <f>IFERROR(__xludf.DUMMYFUNCTION("""COMPUTED_VALUE"""),2.0)</f>
        <v>2</v>
      </c>
      <c r="BF116" s="3">
        <f>IFERROR(__xludf.DUMMYFUNCTION("""COMPUTED_VALUE"""),2.0)</f>
        <v>2</v>
      </c>
      <c r="BG116" s="3">
        <f>IFERROR(__xludf.DUMMYFUNCTION("""COMPUTED_VALUE"""),2.0)</f>
        <v>2</v>
      </c>
      <c r="BH116" s="3">
        <f>IFERROR(__xludf.DUMMYFUNCTION("""COMPUTED_VALUE"""),2.0)</f>
        <v>2</v>
      </c>
      <c r="BI116" s="3">
        <f>IFERROR(__xludf.DUMMYFUNCTION("""COMPUTED_VALUE"""),3.0)</f>
        <v>3</v>
      </c>
      <c r="BJ116" s="3">
        <f>IFERROR(__xludf.DUMMYFUNCTION("""COMPUTED_VALUE"""),4.0)</f>
        <v>4</v>
      </c>
      <c r="BK116" s="3">
        <f>IFERROR(__xludf.DUMMYFUNCTION("""COMPUTED_VALUE"""),4.0)</f>
        <v>4</v>
      </c>
      <c r="BL116" s="3">
        <f>IFERROR(__xludf.DUMMYFUNCTION("""COMPUTED_VALUE"""),4.0)</f>
        <v>4</v>
      </c>
      <c r="BM116" s="3">
        <f>IFERROR(__xludf.DUMMYFUNCTION("""COMPUTED_VALUE"""),5.0)</f>
        <v>5</v>
      </c>
      <c r="BN116" s="3">
        <f>IFERROR(__xludf.DUMMYFUNCTION("""COMPUTED_VALUE"""),8.0)</f>
        <v>8</v>
      </c>
      <c r="BO116" s="3">
        <f>IFERROR(__xludf.DUMMYFUNCTION("""COMPUTED_VALUE"""),8.0)</f>
        <v>8</v>
      </c>
      <c r="BP116" s="3">
        <f>IFERROR(__xludf.DUMMYFUNCTION("""COMPUTED_VALUE"""),11.0)</f>
        <v>11</v>
      </c>
      <c r="BQ116" s="3">
        <f>IFERROR(__xludf.DUMMYFUNCTION("""COMPUTED_VALUE"""),11.0)</f>
        <v>11</v>
      </c>
      <c r="BR116" s="3">
        <f>IFERROR(__xludf.DUMMYFUNCTION("""COMPUTED_VALUE"""),11.0)</f>
        <v>11</v>
      </c>
      <c r="BS116" s="3">
        <f>IFERROR(__xludf.DUMMYFUNCTION("""COMPUTED_VALUE"""),11.0)</f>
        <v>11</v>
      </c>
      <c r="BT116" s="3">
        <f>IFERROR(__xludf.DUMMYFUNCTION("""COMPUTED_VALUE"""),11.0)</f>
        <v>11</v>
      </c>
      <c r="BU116" s="3">
        <f>IFERROR(__xludf.DUMMYFUNCTION("""COMPUTED_VALUE"""),15.0)</f>
        <v>15</v>
      </c>
      <c r="BV116" s="3">
        <f>IFERROR(__xludf.DUMMYFUNCTION("""COMPUTED_VALUE"""),15.0)</f>
        <v>15</v>
      </c>
      <c r="BW116" s="3">
        <f>IFERROR(__xludf.DUMMYFUNCTION("""COMPUTED_VALUE"""),15.0)</f>
        <v>15</v>
      </c>
      <c r="BX116" s="3">
        <f>IFERROR(__xludf.DUMMYFUNCTION("""COMPUTED_VALUE"""),22.0)</f>
        <v>22</v>
      </c>
      <c r="BY116" s="3">
        <f>IFERROR(__xludf.DUMMYFUNCTION("""COMPUTED_VALUE"""),22.0)</f>
        <v>22</v>
      </c>
      <c r="BZ116" s="3">
        <f>IFERROR(__xludf.DUMMYFUNCTION("""COMPUTED_VALUE"""),24.0)</f>
        <v>24</v>
      </c>
      <c r="CA116" s="3">
        <f>IFERROR(__xludf.DUMMYFUNCTION("""COMPUTED_VALUE"""),32.0)</f>
        <v>32</v>
      </c>
      <c r="CB116" s="3">
        <f>IFERROR(__xludf.DUMMYFUNCTION("""COMPUTED_VALUE"""),32.0)</f>
        <v>32</v>
      </c>
    </row>
    <row r="117">
      <c r="A117" s="3" t="str">
        <f>IFERROR(__xludf.DUMMYFUNCTION("""COMPUTED_VALUE"""),"Martinique")</f>
        <v>Martinique</v>
      </c>
      <c r="B117" s="3" t="str">
        <f>IFERROR(__xludf.DUMMYFUNCTION("""COMPUTED_VALUE"""),"France")</f>
        <v>France</v>
      </c>
      <c r="C117" s="3">
        <f>IFERROR(__xludf.DUMMYFUNCTION("""COMPUTED_VALUE"""),14.6415)</f>
        <v>14.6415</v>
      </c>
      <c r="D117" s="3">
        <f>IFERROR(__xludf.DUMMYFUNCTION("""COMPUTED_VALUE"""),-61.0242)</f>
        <v>-61.0242</v>
      </c>
      <c r="E117" s="3">
        <f>IFERROR(__xludf.DUMMYFUNCTION("""COMPUTED_VALUE"""),0.0)</f>
        <v>0</v>
      </c>
      <c r="F117" s="3">
        <f>IFERROR(__xludf.DUMMYFUNCTION("""COMPUTED_VALUE"""),0.0)</f>
        <v>0</v>
      </c>
      <c r="G117" s="3">
        <f>IFERROR(__xludf.DUMMYFUNCTION("""COMPUTED_VALUE"""),0.0)</f>
        <v>0</v>
      </c>
      <c r="H117" s="3">
        <f>IFERROR(__xludf.DUMMYFUNCTION("""COMPUTED_VALUE"""),0.0)</f>
        <v>0</v>
      </c>
      <c r="I117" s="3">
        <f>IFERROR(__xludf.DUMMYFUNCTION("""COMPUTED_VALUE"""),0.0)</f>
        <v>0</v>
      </c>
      <c r="J117" s="3">
        <f>IFERROR(__xludf.DUMMYFUNCTION("""COMPUTED_VALUE"""),0.0)</f>
        <v>0</v>
      </c>
      <c r="K117" s="3">
        <f>IFERROR(__xludf.DUMMYFUNCTION("""COMPUTED_VALUE"""),0.0)</f>
        <v>0</v>
      </c>
      <c r="L117" s="3">
        <f>IFERROR(__xludf.DUMMYFUNCTION("""COMPUTED_VALUE"""),0.0)</f>
        <v>0</v>
      </c>
      <c r="M117" s="3">
        <f>IFERROR(__xludf.DUMMYFUNCTION("""COMPUTED_VALUE"""),0.0)</f>
        <v>0</v>
      </c>
      <c r="N117" s="3">
        <f>IFERROR(__xludf.DUMMYFUNCTION("""COMPUTED_VALUE"""),0.0)</f>
        <v>0</v>
      </c>
      <c r="O117" s="3">
        <f>IFERROR(__xludf.DUMMYFUNCTION("""COMPUTED_VALUE"""),0.0)</f>
        <v>0</v>
      </c>
      <c r="P117" s="3">
        <f>IFERROR(__xludf.DUMMYFUNCTION("""COMPUTED_VALUE"""),0.0)</f>
        <v>0</v>
      </c>
      <c r="Q117" s="3">
        <f>IFERROR(__xludf.DUMMYFUNCTION("""COMPUTED_VALUE"""),0.0)</f>
        <v>0</v>
      </c>
      <c r="R117" s="3">
        <f>IFERROR(__xludf.DUMMYFUNCTION("""COMPUTED_VALUE"""),0.0)</f>
        <v>0</v>
      </c>
      <c r="S117" s="3">
        <f>IFERROR(__xludf.DUMMYFUNCTION("""COMPUTED_VALUE"""),0.0)</f>
        <v>0</v>
      </c>
      <c r="T117" s="3">
        <f>IFERROR(__xludf.DUMMYFUNCTION("""COMPUTED_VALUE"""),0.0)</f>
        <v>0</v>
      </c>
      <c r="U117" s="3">
        <f>IFERROR(__xludf.DUMMYFUNCTION("""COMPUTED_VALUE"""),0.0)</f>
        <v>0</v>
      </c>
      <c r="V117" s="3">
        <f>IFERROR(__xludf.DUMMYFUNCTION("""COMPUTED_VALUE"""),0.0)</f>
        <v>0</v>
      </c>
      <c r="W117" s="3">
        <f>IFERROR(__xludf.DUMMYFUNCTION("""COMPUTED_VALUE"""),0.0)</f>
        <v>0</v>
      </c>
      <c r="X117" s="3">
        <f>IFERROR(__xludf.DUMMYFUNCTION("""COMPUTED_VALUE"""),0.0)</f>
        <v>0</v>
      </c>
      <c r="Y117" s="3">
        <f>IFERROR(__xludf.DUMMYFUNCTION("""COMPUTED_VALUE"""),0.0)</f>
        <v>0</v>
      </c>
      <c r="Z117" s="3">
        <f>IFERROR(__xludf.DUMMYFUNCTION("""COMPUTED_VALUE"""),0.0)</f>
        <v>0</v>
      </c>
      <c r="AA117" s="3">
        <f>IFERROR(__xludf.DUMMYFUNCTION("""COMPUTED_VALUE"""),0.0)</f>
        <v>0</v>
      </c>
      <c r="AB117" s="3">
        <f>IFERROR(__xludf.DUMMYFUNCTION("""COMPUTED_VALUE"""),0.0)</f>
        <v>0</v>
      </c>
      <c r="AC117" s="3">
        <f>IFERROR(__xludf.DUMMYFUNCTION("""COMPUTED_VALUE"""),0.0)</f>
        <v>0</v>
      </c>
      <c r="AD117" s="3">
        <f>IFERROR(__xludf.DUMMYFUNCTION("""COMPUTED_VALUE"""),0.0)</f>
        <v>0</v>
      </c>
      <c r="AE117" s="3">
        <f>IFERROR(__xludf.DUMMYFUNCTION("""COMPUTED_VALUE"""),0.0)</f>
        <v>0</v>
      </c>
      <c r="AF117" s="3">
        <f>IFERROR(__xludf.DUMMYFUNCTION("""COMPUTED_VALUE"""),0.0)</f>
        <v>0</v>
      </c>
      <c r="AG117" s="3">
        <f>IFERROR(__xludf.DUMMYFUNCTION("""COMPUTED_VALUE"""),0.0)</f>
        <v>0</v>
      </c>
      <c r="AH117" s="3">
        <f>IFERROR(__xludf.DUMMYFUNCTION("""COMPUTED_VALUE"""),0.0)</f>
        <v>0</v>
      </c>
      <c r="AI117" s="3">
        <f>IFERROR(__xludf.DUMMYFUNCTION("""COMPUTED_VALUE"""),0.0)</f>
        <v>0</v>
      </c>
      <c r="AJ117" s="3">
        <f>IFERROR(__xludf.DUMMYFUNCTION("""COMPUTED_VALUE"""),0.0)</f>
        <v>0</v>
      </c>
      <c r="AK117" s="3">
        <f>IFERROR(__xludf.DUMMYFUNCTION("""COMPUTED_VALUE"""),0.0)</f>
        <v>0</v>
      </c>
      <c r="AL117" s="3">
        <f>IFERROR(__xludf.DUMMYFUNCTION("""COMPUTED_VALUE"""),0.0)</f>
        <v>0</v>
      </c>
      <c r="AM117" s="3">
        <f>IFERROR(__xludf.DUMMYFUNCTION("""COMPUTED_VALUE"""),0.0)</f>
        <v>0</v>
      </c>
      <c r="AN117" s="3">
        <f>IFERROR(__xludf.DUMMYFUNCTION("""COMPUTED_VALUE"""),0.0)</f>
        <v>0</v>
      </c>
      <c r="AO117" s="3">
        <f>IFERROR(__xludf.DUMMYFUNCTION("""COMPUTED_VALUE"""),0.0)</f>
        <v>0</v>
      </c>
      <c r="AP117" s="3">
        <f>IFERROR(__xludf.DUMMYFUNCTION("""COMPUTED_VALUE"""),0.0)</f>
        <v>0</v>
      </c>
      <c r="AQ117" s="3">
        <f>IFERROR(__xludf.DUMMYFUNCTION("""COMPUTED_VALUE"""),0.0)</f>
        <v>0</v>
      </c>
      <c r="AR117" s="3">
        <f>IFERROR(__xludf.DUMMYFUNCTION("""COMPUTED_VALUE"""),0.0)</f>
        <v>0</v>
      </c>
      <c r="AS117" s="3">
        <f>IFERROR(__xludf.DUMMYFUNCTION("""COMPUTED_VALUE"""),0.0)</f>
        <v>0</v>
      </c>
      <c r="AT117" s="3">
        <f>IFERROR(__xludf.DUMMYFUNCTION("""COMPUTED_VALUE"""),0.0)</f>
        <v>0</v>
      </c>
      <c r="AU117" s="3">
        <f>IFERROR(__xludf.DUMMYFUNCTION("""COMPUTED_VALUE"""),0.0)</f>
        <v>0</v>
      </c>
      <c r="AV117" s="3">
        <f>IFERROR(__xludf.DUMMYFUNCTION("""COMPUTED_VALUE"""),0.0)</f>
        <v>0</v>
      </c>
      <c r="AW117" s="3">
        <f>IFERROR(__xludf.DUMMYFUNCTION("""COMPUTED_VALUE"""),0.0)</f>
        <v>0</v>
      </c>
      <c r="AX117" s="3">
        <f>IFERROR(__xludf.DUMMYFUNCTION("""COMPUTED_VALUE"""),2.0)</f>
        <v>2</v>
      </c>
      <c r="AY117" s="3">
        <f>IFERROR(__xludf.DUMMYFUNCTION("""COMPUTED_VALUE"""),2.0)</f>
        <v>2</v>
      </c>
      <c r="AZ117" s="3">
        <f>IFERROR(__xludf.DUMMYFUNCTION("""COMPUTED_VALUE"""),2.0)</f>
        <v>2</v>
      </c>
      <c r="BA117" s="3">
        <f>IFERROR(__xludf.DUMMYFUNCTION("""COMPUTED_VALUE"""),2.0)</f>
        <v>2</v>
      </c>
      <c r="BB117" s="3">
        <f>IFERROR(__xludf.DUMMYFUNCTION("""COMPUTED_VALUE"""),3.0)</f>
        <v>3</v>
      </c>
      <c r="BC117" s="3">
        <f>IFERROR(__xludf.DUMMYFUNCTION("""COMPUTED_VALUE"""),3.0)</f>
        <v>3</v>
      </c>
      <c r="BD117" s="3">
        <f>IFERROR(__xludf.DUMMYFUNCTION("""COMPUTED_VALUE"""),3.0)</f>
        <v>3</v>
      </c>
      <c r="BE117" s="3">
        <f>IFERROR(__xludf.DUMMYFUNCTION("""COMPUTED_VALUE"""),9.0)</f>
        <v>9</v>
      </c>
      <c r="BF117" s="3">
        <f>IFERROR(__xludf.DUMMYFUNCTION("""COMPUTED_VALUE"""),9.0)</f>
        <v>9</v>
      </c>
      <c r="BG117" s="3">
        <f>IFERROR(__xludf.DUMMYFUNCTION("""COMPUTED_VALUE"""),15.0)</f>
        <v>15</v>
      </c>
      <c r="BH117" s="3">
        <f>IFERROR(__xludf.DUMMYFUNCTION("""COMPUTED_VALUE"""),16.0)</f>
        <v>16</v>
      </c>
      <c r="BI117" s="3">
        <f>IFERROR(__xludf.DUMMYFUNCTION("""COMPUTED_VALUE"""),19.0)</f>
        <v>19</v>
      </c>
      <c r="BJ117" s="3">
        <f>IFERROR(__xludf.DUMMYFUNCTION("""COMPUTED_VALUE"""),23.0)</f>
        <v>23</v>
      </c>
      <c r="BK117" s="3">
        <f>IFERROR(__xludf.DUMMYFUNCTION("""COMPUTED_VALUE"""),32.0)</f>
        <v>32</v>
      </c>
      <c r="BL117" s="3">
        <f>IFERROR(__xludf.DUMMYFUNCTION("""COMPUTED_VALUE"""),32.0)</f>
        <v>32</v>
      </c>
      <c r="BM117" s="3">
        <f>IFERROR(__xludf.DUMMYFUNCTION("""COMPUTED_VALUE"""),44.0)</f>
        <v>44</v>
      </c>
      <c r="BN117" s="3">
        <f>IFERROR(__xludf.DUMMYFUNCTION("""COMPUTED_VALUE"""),53.0)</f>
        <v>53</v>
      </c>
      <c r="BO117" s="3">
        <f>IFERROR(__xludf.DUMMYFUNCTION("""COMPUTED_VALUE"""),57.0)</f>
        <v>57</v>
      </c>
      <c r="BP117" s="3">
        <f>IFERROR(__xludf.DUMMYFUNCTION("""COMPUTED_VALUE"""),66.0)</f>
        <v>66</v>
      </c>
      <c r="BQ117" s="3">
        <f>IFERROR(__xludf.DUMMYFUNCTION("""COMPUTED_VALUE"""),66.0)</f>
        <v>66</v>
      </c>
      <c r="BR117" s="3">
        <f>IFERROR(__xludf.DUMMYFUNCTION("""COMPUTED_VALUE"""),81.0)</f>
        <v>81</v>
      </c>
      <c r="BS117" s="3">
        <f>IFERROR(__xludf.DUMMYFUNCTION("""COMPUTED_VALUE"""),93.0)</f>
        <v>93</v>
      </c>
      <c r="BT117" s="3">
        <f>IFERROR(__xludf.DUMMYFUNCTION("""COMPUTED_VALUE"""),93.0)</f>
        <v>93</v>
      </c>
      <c r="BU117" s="3">
        <f>IFERROR(__xludf.DUMMYFUNCTION("""COMPUTED_VALUE"""),93.0)</f>
        <v>93</v>
      </c>
      <c r="BV117" s="3">
        <f>IFERROR(__xludf.DUMMYFUNCTION("""COMPUTED_VALUE"""),128.0)</f>
        <v>128</v>
      </c>
      <c r="BW117" s="3">
        <f>IFERROR(__xludf.DUMMYFUNCTION("""COMPUTED_VALUE"""),135.0)</f>
        <v>135</v>
      </c>
      <c r="BX117" s="3">
        <f>IFERROR(__xludf.DUMMYFUNCTION("""COMPUTED_VALUE"""),138.0)</f>
        <v>138</v>
      </c>
      <c r="BY117" s="3">
        <f>IFERROR(__xludf.DUMMYFUNCTION("""COMPUTED_VALUE"""),143.0)</f>
        <v>143</v>
      </c>
      <c r="BZ117" s="3">
        <f>IFERROR(__xludf.DUMMYFUNCTION("""COMPUTED_VALUE"""),145.0)</f>
        <v>145</v>
      </c>
      <c r="CA117" s="3">
        <f>IFERROR(__xludf.DUMMYFUNCTION("""COMPUTED_VALUE"""),149.0)</f>
        <v>149</v>
      </c>
      <c r="CB117" s="3">
        <f>IFERROR(__xludf.DUMMYFUNCTION("""COMPUTED_VALUE"""),151.0)</f>
        <v>151</v>
      </c>
    </row>
    <row r="118">
      <c r="A118" s="3" t="str">
        <f>IFERROR(__xludf.DUMMYFUNCTION("""COMPUTED_VALUE"""),"")</f>
        <v/>
      </c>
      <c r="B118" s="3" t="str">
        <f>IFERROR(__xludf.DUMMYFUNCTION("""COMPUTED_VALUE"""),"France")</f>
        <v>France</v>
      </c>
      <c r="C118" s="3">
        <f>IFERROR(__xludf.DUMMYFUNCTION("""COMPUTED_VALUE"""),46.2276)</f>
        <v>46.2276</v>
      </c>
      <c r="D118" s="3">
        <f>IFERROR(__xludf.DUMMYFUNCTION("""COMPUTED_VALUE"""),2.2137)</f>
        <v>2.2137</v>
      </c>
      <c r="E118" s="3">
        <f>IFERROR(__xludf.DUMMYFUNCTION("""COMPUTED_VALUE"""),0.0)</f>
        <v>0</v>
      </c>
      <c r="F118" s="3">
        <f>IFERROR(__xludf.DUMMYFUNCTION("""COMPUTED_VALUE"""),0.0)</f>
        <v>0</v>
      </c>
      <c r="G118" s="3">
        <f>IFERROR(__xludf.DUMMYFUNCTION("""COMPUTED_VALUE"""),2.0)</f>
        <v>2</v>
      </c>
      <c r="H118" s="3">
        <f>IFERROR(__xludf.DUMMYFUNCTION("""COMPUTED_VALUE"""),3.0)</f>
        <v>3</v>
      </c>
      <c r="I118" s="3">
        <f>IFERROR(__xludf.DUMMYFUNCTION("""COMPUTED_VALUE"""),3.0)</f>
        <v>3</v>
      </c>
      <c r="J118" s="3">
        <f>IFERROR(__xludf.DUMMYFUNCTION("""COMPUTED_VALUE"""),3.0)</f>
        <v>3</v>
      </c>
      <c r="K118" s="3">
        <f>IFERROR(__xludf.DUMMYFUNCTION("""COMPUTED_VALUE"""),4.0)</f>
        <v>4</v>
      </c>
      <c r="L118" s="3">
        <f>IFERROR(__xludf.DUMMYFUNCTION("""COMPUTED_VALUE"""),5.0)</f>
        <v>5</v>
      </c>
      <c r="M118" s="3">
        <f>IFERROR(__xludf.DUMMYFUNCTION("""COMPUTED_VALUE"""),5.0)</f>
        <v>5</v>
      </c>
      <c r="N118" s="3">
        <f>IFERROR(__xludf.DUMMYFUNCTION("""COMPUTED_VALUE"""),5.0)</f>
        <v>5</v>
      </c>
      <c r="O118" s="3">
        <f>IFERROR(__xludf.DUMMYFUNCTION("""COMPUTED_VALUE"""),6.0)</f>
        <v>6</v>
      </c>
      <c r="P118" s="3">
        <f>IFERROR(__xludf.DUMMYFUNCTION("""COMPUTED_VALUE"""),6.0)</f>
        <v>6</v>
      </c>
      <c r="Q118" s="3">
        <f>IFERROR(__xludf.DUMMYFUNCTION("""COMPUTED_VALUE"""),6.0)</f>
        <v>6</v>
      </c>
      <c r="R118" s="3">
        <f>IFERROR(__xludf.DUMMYFUNCTION("""COMPUTED_VALUE"""),6.0)</f>
        <v>6</v>
      </c>
      <c r="S118" s="3">
        <f>IFERROR(__xludf.DUMMYFUNCTION("""COMPUTED_VALUE"""),6.0)</f>
        <v>6</v>
      </c>
      <c r="T118" s="3">
        <f>IFERROR(__xludf.DUMMYFUNCTION("""COMPUTED_VALUE"""),6.0)</f>
        <v>6</v>
      </c>
      <c r="U118" s="3">
        <f>IFERROR(__xludf.DUMMYFUNCTION("""COMPUTED_VALUE"""),6.0)</f>
        <v>6</v>
      </c>
      <c r="V118" s="3">
        <f>IFERROR(__xludf.DUMMYFUNCTION("""COMPUTED_VALUE"""),11.0)</f>
        <v>11</v>
      </c>
      <c r="W118" s="3">
        <f>IFERROR(__xludf.DUMMYFUNCTION("""COMPUTED_VALUE"""),11.0)</f>
        <v>11</v>
      </c>
      <c r="X118" s="3">
        <f>IFERROR(__xludf.DUMMYFUNCTION("""COMPUTED_VALUE"""),11.0)</f>
        <v>11</v>
      </c>
      <c r="Y118" s="3">
        <f>IFERROR(__xludf.DUMMYFUNCTION("""COMPUTED_VALUE"""),11.0)</f>
        <v>11</v>
      </c>
      <c r="Z118" s="3">
        <f>IFERROR(__xludf.DUMMYFUNCTION("""COMPUTED_VALUE"""),11.0)</f>
        <v>11</v>
      </c>
      <c r="AA118" s="3">
        <f>IFERROR(__xludf.DUMMYFUNCTION("""COMPUTED_VALUE"""),11.0)</f>
        <v>11</v>
      </c>
      <c r="AB118" s="3">
        <f>IFERROR(__xludf.DUMMYFUNCTION("""COMPUTED_VALUE"""),11.0)</f>
        <v>11</v>
      </c>
      <c r="AC118" s="3">
        <f>IFERROR(__xludf.DUMMYFUNCTION("""COMPUTED_VALUE"""),12.0)</f>
        <v>12</v>
      </c>
      <c r="AD118" s="3">
        <f>IFERROR(__xludf.DUMMYFUNCTION("""COMPUTED_VALUE"""),12.0)</f>
        <v>12</v>
      </c>
      <c r="AE118" s="3">
        <f>IFERROR(__xludf.DUMMYFUNCTION("""COMPUTED_VALUE"""),12.0)</f>
        <v>12</v>
      </c>
      <c r="AF118" s="3">
        <f>IFERROR(__xludf.DUMMYFUNCTION("""COMPUTED_VALUE"""),12.0)</f>
        <v>12</v>
      </c>
      <c r="AG118" s="3">
        <f>IFERROR(__xludf.DUMMYFUNCTION("""COMPUTED_VALUE"""),12.0)</f>
        <v>12</v>
      </c>
      <c r="AH118" s="3">
        <f>IFERROR(__xludf.DUMMYFUNCTION("""COMPUTED_VALUE"""),12.0)</f>
        <v>12</v>
      </c>
      <c r="AI118" s="3">
        <f>IFERROR(__xludf.DUMMYFUNCTION("""COMPUTED_VALUE"""),12.0)</f>
        <v>12</v>
      </c>
      <c r="AJ118" s="3">
        <f>IFERROR(__xludf.DUMMYFUNCTION("""COMPUTED_VALUE"""),12.0)</f>
        <v>12</v>
      </c>
      <c r="AK118" s="3">
        <f>IFERROR(__xludf.DUMMYFUNCTION("""COMPUTED_VALUE"""),12.0)</f>
        <v>12</v>
      </c>
      <c r="AL118" s="3">
        <f>IFERROR(__xludf.DUMMYFUNCTION("""COMPUTED_VALUE"""),12.0)</f>
        <v>12</v>
      </c>
      <c r="AM118" s="3">
        <f>IFERROR(__xludf.DUMMYFUNCTION("""COMPUTED_VALUE"""),14.0)</f>
        <v>14</v>
      </c>
      <c r="AN118" s="3">
        <f>IFERROR(__xludf.DUMMYFUNCTION("""COMPUTED_VALUE"""),18.0)</f>
        <v>18</v>
      </c>
      <c r="AO118" s="3">
        <f>IFERROR(__xludf.DUMMYFUNCTION("""COMPUTED_VALUE"""),38.0)</f>
        <v>38</v>
      </c>
      <c r="AP118" s="3">
        <f>IFERROR(__xludf.DUMMYFUNCTION("""COMPUTED_VALUE"""),57.0)</f>
        <v>57</v>
      </c>
      <c r="AQ118" s="3">
        <f>IFERROR(__xludf.DUMMYFUNCTION("""COMPUTED_VALUE"""),100.0)</f>
        <v>100</v>
      </c>
      <c r="AR118" s="3">
        <f>IFERROR(__xludf.DUMMYFUNCTION("""COMPUTED_VALUE"""),130.0)</f>
        <v>130</v>
      </c>
      <c r="AS118" s="3">
        <f>IFERROR(__xludf.DUMMYFUNCTION("""COMPUTED_VALUE"""),191.0)</f>
        <v>191</v>
      </c>
      <c r="AT118" s="3">
        <f>IFERROR(__xludf.DUMMYFUNCTION("""COMPUTED_VALUE"""),204.0)</f>
        <v>204</v>
      </c>
      <c r="AU118" s="3">
        <f>IFERROR(__xludf.DUMMYFUNCTION("""COMPUTED_VALUE"""),285.0)</f>
        <v>285</v>
      </c>
      <c r="AV118" s="3">
        <f>IFERROR(__xludf.DUMMYFUNCTION("""COMPUTED_VALUE"""),377.0)</f>
        <v>377</v>
      </c>
      <c r="AW118" s="3">
        <f>IFERROR(__xludf.DUMMYFUNCTION("""COMPUTED_VALUE"""),653.0)</f>
        <v>653</v>
      </c>
      <c r="AX118" s="3">
        <f>IFERROR(__xludf.DUMMYFUNCTION("""COMPUTED_VALUE"""),949.0)</f>
        <v>949</v>
      </c>
      <c r="AY118" s="3">
        <f>IFERROR(__xludf.DUMMYFUNCTION("""COMPUTED_VALUE"""),1126.0)</f>
        <v>1126</v>
      </c>
      <c r="AZ118" s="3">
        <f>IFERROR(__xludf.DUMMYFUNCTION("""COMPUTED_VALUE"""),1209.0)</f>
        <v>1209</v>
      </c>
      <c r="BA118" s="3">
        <f>IFERROR(__xludf.DUMMYFUNCTION("""COMPUTED_VALUE"""),1784.0)</f>
        <v>1784</v>
      </c>
      <c r="BB118" s="3">
        <f>IFERROR(__xludf.DUMMYFUNCTION("""COMPUTED_VALUE"""),2281.0)</f>
        <v>2281</v>
      </c>
      <c r="BC118" s="3">
        <f>IFERROR(__xludf.DUMMYFUNCTION("""COMPUTED_VALUE"""),2281.0)</f>
        <v>2281</v>
      </c>
      <c r="BD118" s="3">
        <f>IFERROR(__xludf.DUMMYFUNCTION("""COMPUTED_VALUE"""),3661.0)</f>
        <v>3661</v>
      </c>
      <c r="BE118" s="3">
        <f>IFERROR(__xludf.DUMMYFUNCTION("""COMPUTED_VALUE"""),4469.0)</f>
        <v>4469</v>
      </c>
      <c r="BF118" s="3">
        <f>IFERROR(__xludf.DUMMYFUNCTION("""COMPUTED_VALUE"""),4499.0)</f>
        <v>4499</v>
      </c>
      <c r="BG118" s="3">
        <f>IFERROR(__xludf.DUMMYFUNCTION("""COMPUTED_VALUE"""),6633.0)</f>
        <v>6633</v>
      </c>
      <c r="BH118" s="3">
        <f>IFERROR(__xludf.DUMMYFUNCTION("""COMPUTED_VALUE"""),7652.0)</f>
        <v>7652</v>
      </c>
      <c r="BI118" s="3">
        <f>IFERROR(__xludf.DUMMYFUNCTION("""COMPUTED_VALUE"""),9043.0)</f>
        <v>9043</v>
      </c>
      <c r="BJ118" s="3">
        <f>IFERROR(__xludf.DUMMYFUNCTION("""COMPUTED_VALUE"""),10871.0)</f>
        <v>10871</v>
      </c>
      <c r="BK118" s="3">
        <f>IFERROR(__xludf.DUMMYFUNCTION("""COMPUTED_VALUE"""),12612.0)</f>
        <v>12612</v>
      </c>
      <c r="BL118" s="3">
        <f>IFERROR(__xludf.DUMMYFUNCTION("""COMPUTED_VALUE"""),14282.0)</f>
        <v>14282</v>
      </c>
      <c r="BM118" s="3">
        <f>IFERROR(__xludf.DUMMYFUNCTION("""COMPUTED_VALUE"""),16018.0)</f>
        <v>16018</v>
      </c>
      <c r="BN118" s="3">
        <f>IFERROR(__xludf.DUMMYFUNCTION("""COMPUTED_VALUE"""),19856.0)</f>
        <v>19856</v>
      </c>
      <c r="BO118" s="3">
        <f>IFERROR(__xludf.DUMMYFUNCTION("""COMPUTED_VALUE"""),22304.0)</f>
        <v>22304</v>
      </c>
      <c r="BP118" s="3">
        <f>IFERROR(__xludf.DUMMYFUNCTION("""COMPUTED_VALUE"""),25233.0)</f>
        <v>25233</v>
      </c>
      <c r="BQ118" s="3">
        <f>IFERROR(__xludf.DUMMYFUNCTION("""COMPUTED_VALUE"""),29155.0)</f>
        <v>29155</v>
      </c>
      <c r="BR118" s="3">
        <f>IFERROR(__xludf.DUMMYFUNCTION("""COMPUTED_VALUE"""),32964.0)</f>
        <v>32964</v>
      </c>
      <c r="BS118" s="3">
        <f>IFERROR(__xludf.DUMMYFUNCTION("""COMPUTED_VALUE"""),37575.0)</f>
        <v>37575</v>
      </c>
      <c r="BT118" s="3">
        <f>IFERROR(__xludf.DUMMYFUNCTION("""COMPUTED_VALUE"""),40174.0)</f>
        <v>40174</v>
      </c>
      <c r="BU118" s="3">
        <f>IFERROR(__xludf.DUMMYFUNCTION("""COMPUTED_VALUE"""),44550.0)</f>
        <v>44550</v>
      </c>
      <c r="BV118" s="3">
        <f>IFERROR(__xludf.DUMMYFUNCTION("""COMPUTED_VALUE"""),52128.0)</f>
        <v>52128</v>
      </c>
      <c r="BW118" s="3">
        <f>IFERROR(__xludf.DUMMYFUNCTION("""COMPUTED_VALUE"""),56989.0)</f>
        <v>56989</v>
      </c>
      <c r="BX118" s="3">
        <f>IFERROR(__xludf.DUMMYFUNCTION("""COMPUTED_VALUE"""),59105.0)</f>
        <v>59105</v>
      </c>
      <c r="BY118" s="3">
        <f>IFERROR(__xludf.DUMMYFUNCTION("""COMPUTED_VALUE"""),64338.0)</f>
        <v>64338</v>
      </c>
      <c r="BZ118" s="3">
        <f>IFERROR(__xludf.DUMMYFUNCTION("""COMPUTED_VALUE"""),89953.0)</f>
        <v>89953</v>
      </c>
      <c r="CA118" s="3">
        <f>IFERROR(__xludf.DUMMYFUNCTION("""COMPUTED_VALUE"""),92839.0)</f>
        <v>92839</v>
      </c>
      <c r="CB118" s="3">
        <f>IFERROR(__xludf.DUMMYFUNCTION("""COMPUTED_VALUE"""),98010.0)</f>
        <v>98010</v>
      </c>
    </row>
    <row r="119">
      <c r="A119" s="3" t="str">
        <f>IFERROR(__xludf.DUMMYFUNCTION("""COMPUTED_VALUE"""),"")</f>
        <v/>
      </c>
      <c r="B119" s="3" t="str">
        <f>IFERROR(__xludf.DUMMYFUNCTION("""COMPUTED_VALUE"""),"Gabon")</f>
        <v>Gabon</v>
      </c>
      <c r="C119" s="3">
        <f>IFERROR(__xludf.DUMMYFUNCTION("""COMPUTED_VALUE"""),-0.8037)</f>
        <v>-0.8037</v>
      </c>
      <c r="D119" s="3">
        <f>IFERROR(__xludf.DUMMYFUNCTION("""COMPUTED_VALUE"""),11.6094)</f>
        <v>11.6094</v>
      </c>
      <c r="E119" s="3">
        <f>IFERROR(__xludf.DUMMYFUNCTION("""COMPUTED_VALUE"""),0.0)</f>
        <v>0</v>
      </c>
      <c r="F119" s="3">
        <f>IFERROR(__xludf.DUMMYFUNCTION("""COMPUTED_VALUE"""),0.0)</f>
        <v>0</v>
      </c>
      <c r="G119" s="3">
        <f>IFERROR(__xludf.DUMMYFUNCTION("""COMPUTED_VALUE"""),0.0)</f>
        <v>0</v>
      </c>
      <c r="H119" s="3">
        <f>IFERROR(__xludf.DUMMYFUNCTION("""COMPUTED_VALUE"""),0.0)</f>
        <v>0</v>
      </c>
      <c r="I119" s="3">
        <f>IFERROR(__xludf.DUMMYFUNCTION("""COMPUTED_VALUE"""),0.0)</f>
        <v>0</v>
      </c>
      <c r="J119" s="3">
        <f>IFERROR(__xludf.DUMMYFUNCTION("""COMPUTED_VALUE"""),0.0)</f>
        <v>0</v>
      </c>
      <c r="K119" s="3">
        <f>IFERROR(__xludf.DUMMYFUNCTION("""COMPUTED_VALUE"""),0.0)</f>
        <v>0</v>
      </c>
      <c r="L119" s="3">
        <f>IFERROR(__xludf.DUMMYFUNCTION("""COMPUTED_VALUE"""),0.0)</f>
        <v>0</v>
      </c>
      <c r="M119" s="3">
        <f>IFERROR(__xludf.DUMMYFUNCTION("""COMPUTED_VALUE"""),0.0)</f>
        <v>0</v>
      </c>
      <c r="N119" s="3">
        <f>IFERROR(__xludf.DUMMYFUNCTION("""COMPUTED_VALUE"""),0.0)</f>
        <v>0</v>
      </c>
      <c r="O119" s="3">
        <f>IFERROR(__xludf.DUMMYFUNCTION("""COMPUTED_VALUE"""),0.0)</f>
        <v>0</v>
      </c>
      <c r="P119" s="3">
        <f>IFERROR(__xludf.DUMMYFUNCTION("""COMPUTED_VALUE"""),0.0)</f>
        <v>0</v>
      </c>
      <c r="Q119" s="3">
        <f>IFERROR(__xludf.DUMMYFUNCTION("""COMPUTED_VALUE"""),0.0)</f>
        <v>0</v>
      </c>
      <c r="R119" s="3">
        <f>IFERROR(__xludf.DUMMYFUNCTION("""COMPUTED_VALUE"""),0.0)</f>
        <v>0</v>
      </c>
      <c r="S119" s="3">
        <f>IFERROR(__xludf.DUMMYFUNCTION("""COMPUTED_VALUE"""),0.0)</f>
        <v>0</v>
      </c>
      <c r="T119" s="3">
        <f>IFERROR(__xludf.DUMMYFUNCTION("""COMPUTED_VALUE"""),0.0)</f>
        <v>0</v>
      </c>
      <c r="U119" s="3">
        <f>IFERROR(__xludf.DUMMYFUNCTION("""COMPUTED_VALUE"""),0.0)</f>
        <v>0</v>
      </c>
      <c r="V119" s="3">
        <f>IFERROR(__xludf.DUMMYFUNCTION("""COMPUTED_VALUE"""),0.0)</f>
        <v>0</v>
      </c>
      <c r="W119" s="3">
        <f>IFERROR(__xludf.DUMMYFUNCTION("""COMPUTED_VALUE"""),0.0)</f>
        <v>0</v>
      </c>
      <c r="X119" s="3">
        <f>IFERROR(__xludf.DUMMYFUNCTION("""COMPUTED_VALUE"""),0.0)</f>
        <v>0</v>
      </c>
      <c r="Y119" s="3">
        <f>IFERROR(__xludf.DUMMYFUNCTION("""COMPUTED_VALUE"""),0.0)</f>
        <v>0</v>
      </c>
      <c r="Z119" s="3">
        <f>IFERROR(__xludf.DUMMYFUNCTION("""COMPUTED_VALUE"""),0.0)</f>
        <v>0</v>
      </c>
      <c r="AA119" s="3">
        <f>IFERROR(__xludf.DUMMYFUNCTION("""COMPUTED_VALUE"""),0.0)</f>
        <v>0</v>
      </c>
      <c r="AB119" s="3">
        <f>IFERROR(__xludf.DUMMYFUNCTION("""COMPUTED_VALUE"""),0.0)</f>
        <v>0</v>
      </c>
      <c r="AC119" s="3">
        <f>IFERROR(__xludf.DUMMYFUNCTION("""COMPUTED_VALUE"""),0.0)</f>
        <v>0</v>
      </c>
      <c r="AD119" s="3">
        <f>IFERROR(__xludf.DUMMYFUNCTION("""COMPUTED_VALUE"""),0.0)</f>
        <v>0</v>
      </c>
      <c r="AE119" s="3">
        <f>IFERROR(__xludf.DUMMYFUNCTION("""COMPUTED_VALUE"""),0.0)</f>
        <v>0</v>
      </c>
      <c r="AF119" s="3">
        <f>IFERROR(__xludf.DUMMYFUNCTION("""COMPUTED_VALUE"""),0.0)</f>
        <v>0</v>
      </c>
      <c r="AG119" s="3">
        <f>IFERROR(__xludf.DUMMYFUNCTION("""COMPUTED_VALUE"""),0.0)</f>
        <v>0</v>
      </c>
      <c r="AH119" s="3">
        <f>IFERROR(__xludf.DUMMYFUNCTION("""COMPUTED_VALUE"""),0.0)</f>
        <v>0</v>
      </c>
      <c r="AI119" s="3">
        <f>IFERROR(__xludf.DUMMYFUNCTION("""COMPUTED_VALUE"""),0.0)</f>
        <v>0</v>
      </c>
      <c r="AJ119" s="3">
        <f>IFERROR(__xludf.DUMMYFUNCTION("""COMPUTED_VALUE"""),0.0)</f>
        <v>0</v>
      </c>
      <c r="AK119" s="3">
        <f>IFERROR(__xludf.DUMMYFUNCTION("""COMPUTED_VALUE"""),0.0)</f>
        <v>0</v>
      </c>
      <c r="AL119" s="3">
        <f>IFERROR(__xludf.DUMMYFUNCTION("""COMPUTED_VALUE"""),0.0)</f>
        <v>0</v>
      </c>
      <c r="AM119" s="3">
        <f>IFERROR(__xludf.DUMMYFUNCTION("""COMPUTED_VALUE"""),0.0)</f>
        <v>0</v>
      </c>
      <c r="AN119" s="3">
        <f>IFERROR(__xludf.DUMMYFUNCTION("""COMPUTED_VALUE"""),0.0)</f>
        <v>0</v>
      </c>
      <c r="AO119" s="3">
        <f>IFERROR(__xludf.DUMMYFUNCTION("""COMPUTED_VALUE"""),0.0)</f>
        <v>0</v>
      </c>
      <c r="AP119" s="3">
        <f>IFERROR(__xludf.DUMMYFUNCTION("""COMPUTED_VALUE"""),0.0)</f>
        <v>0</v>
      </c>
      <c r="AQ119" s="3">
        <f>IFERROR(__xludf.DUMMYFUNCTION("""COMPUTED_VALUE"""),0.0)</f>
        <v>0</v>
      </c>
      <c r="AR119" s="3">
        <f>IFERROR(__xludf.DUMMYFUNCTION("""COMPUTED_VALUE"""),0.0)</f>
        <v>0</v>
      </c>
      <c r="AS119" s="3">
        <f>IFERROR(__xludf.DUMMYFUNCTION("""COMPUTED_VALUE"""),0.0)</f>
        <v>0</v>
      </c>
      <c r="AT119" s="3">
        <f>IFERROR(__xludf.DUMMYFUNCTION("""COMPUTED_VALUE"""),0.0)</f>
        <v>0</v>
      </c>
      <c r="AU119" s="3">
        <f>IFERROR(__xludf.DUMMYFUNCTION("""COMPUTED_VALUE"""),0.0)</f>
        <v>0</v>
      </c>
      <c r="AV119" s="3">
        <f>IFERROR(__xludf.DUMMYFUNCTION("""COMPUTED_VALUE"""),0.0)</f>
        <v>0</v>
      </c>
      <c r="AW119" s="3">
        <f>IFERROR(__xludf.DUMMYFUNCTION("""COMPUTED_VALUE"""),0.0)</f>
        <v>0</v>
      </c>
      <c r="AX119" s="3">
        <f>IFERROR(__xludf.DUMMYFUNCTION("""COMPUTED_VALUE"""),0.0)</f>
        <v>0</v>
      </c>
      <c r="AY119" s="3">
        <f>IFERROR(__xludf.DUMMYFUNCTION("""COMPUTED_VALUE"""),0.0)</f>
        <v>0</v>
      </c>
      <c r="AZ119" s="3">
        <f>IFERROR(__xludf.DUMMYFUNCTION("""COMPUTED_VALUE"""),0.0)</f>
        <v>0</v>
      </c>
      <c r="BA119" s="3">
        <f>IFERROR(__xludf.DUMMYFUNCTION("""COMPUTED_VALUE"""),0.0)</f>
        <v>0</v>
      </c>
      <c r="BB119" s="3">
        <f>IFERROR(__xludf.DUMMYFUNCTION("""COMPUTED_VALUE"""),0.0)</f>
        <v>0</v>
      </c>
      <c r="BC119" s="3">
        <f>IFERROR(__xludf.DUMMYFUNCTION("""COMPUTED_VALUE"""),0.0)</f>
        <v>0</v>
      </c>
      <c r="BD119" s="3">
        <f>IFERROR(__xludf.DUMMYFUNCTION("""COMPUTED_VALUE"""),0.0)</f>
        <v>0</v>
      </c>
      <c r="BE119" s="3">
        <f>IFERROR(__xludf.DUMMYFUNCTION("""COMPUTED_VALUE"""),1.0)</f>
        <v>1</v>
      </c>
      <c r="BF119" s="3">
        <f>IFERROR(__xludf.DUMMYFUNCTION("""COMPUTED_VALUE"""),1.0)</f>
        <v>1</v>
      </c>
      <c r="BG119" s="3">
        <f>IFERROR(__xludf.DUMMYFUNCTION("""COMPUTED_VALUE"""),1.0)</f>
        <v>1</v>
      </c>
      <c r="BH119" s="3">
        <f>IFERROR(__xludf.DUMMYFUNCTION("""COMPUTED_VALUE"""),1.0)</f>
        <v>1</v>
      </c>
      <c r="BI119" s="3">
        <f>IFERROR(__xludf.DUMMYFUNCTION("""COMPUTED_VALUE"""),1.0)</f>
        <v>1</v>
      </c>
      <c r="BJ119" s="3">
        <f>IFERROR(__xludf.DUMMYFUNCTION("""COMPUTED_VALUE"""),1.0)</f>
        <v>1</v>
      </c>
      <c r="BK119" s="3">
        <f>IFERROR(__xludf.DUMMYFUNCTION("""COMPUTED_VALUE"""),3.0)</f>
        <v>3</v>
      </c>
      <c r="BL119" s="3">
        <f>IFERROR(__xludf.DUMMYFUNCTION("""COMPUTED_VALUE"""),4.0)</f>
        <v>4</v>
      </c>
      <c r="BM119" s="3">
        <f>IFERROR(__xludf.DUMMYFUNCTION("""COMPUTED_VALUE"""),5.0)</f>
        <v>5</v>
      </c>
      <c r="BN119" s="3">
        <f>IFERROR(__xludf.DUMMYFUNCTION("""COMPUTED_VALUE"""),5.0)</f>
        <v>5</v>
      </c>
      <c r="BO119" s="3">
        <f>IFERROR(__xludf.DUMMYFUNCTION("""COMPUTED_VALUE"""),6.0)</f>
        <v>6</v>
      </c>
      <c r="BP119" s="3">
        <f>IFERROR(__xludf.DUMMYFUNCTION("""COMPUTED_VALUE"""),6.0)</f>
        <v>6</v>
      </c>
      <c r="BQ119" s="3">
        <f>IFERROR(__xludf.DUMMYFUNCTION("""COMPUTED_VALUE"""),7.0)</f>
        <v>7</v>
      </c>
      <c r="BR119" s="3">
        <f>IFERROR(__xludf.DUMMYFUNCTION("""COMPUTED_VALUE"""),7.0)</f>
        <v>7</v>
      </c>
      <c r="BS119" s="3">
        <f>IFERROR(__xludf.DUMMYFUNCTION("""COMPUTED_VALUE"""),7.0)</f>
        <v>7</v>
      </c>
      <c r="BT119" s="3">
        <f>IFERROR(__xludf.DUMMYFUNCTION("""COMPUTED_VALUE"""),7.0)</f>
        <v>7</v>
      </c>
      <c r="BU119" s="3">
        <f>IFERROR(__xludf.DUMMYFUNCTION("""COMPUTED_VALUE"""),7.0)</f>
        <v>7</v>
      </c>
      <c r="BV119" s="3">
        <f>IFERROR(__xludf.DUMMYFUNCTION("""COMPUTED_VALUE"""),16.0)</f>
        <v>16</v>
      </c>
      <c r="BW119" s="3">
        <f>IFERROR(__xludf.DUMMYFUNCTION("""COMPUTED_VALUE"""),18.0)</f>
        <v>18</v>
      </c>
      <c r="BX119" s="3">
        <f>IFERROR(__xludf.DUMMYFUNCTION("""COMPUTED_VALUE"""),21.0)</f>
        <v>21</v>
      </c>
      <c r="BY119" s="3">
        <f>IFERROR(__xludf.DUMMYFUNCTION("""COMPUTED_VALUE"""),21.0)</f>
        <v>21</v>
      </c>
      <c r="BZ119" s="3">
        <f>IFERROR(__xludf.DUMMYFUNCTION("""COMPUTED_VALUE"""),21.0)</f>
        <v>21</v>
      </c>
      <c r="CA119" s="3">
        <f>IFERROR(__xludf.DUMMYFUNCTION("""COMPUTED_VALUE"""),21.0)</f>
        <v>21</v>
      </c>
      <c r="CB119" s="3">
        <f>IFERROR(__xludf.DUMMYFUNCTION("""COMPUTED_VALUE"""),24.0)</f>
        <v>24</v>
      </c>
    </row>
    <row r="120">
      <c r="A120" s="3" t="str">
        <f>IFERROR(__xludf.DUMMYFUNCTION("""COMPUTED_VALUE"""),"")</f>
        <v/>
      </c>
      <c r="B120" s="3" t="str">
        <f>IFERROR(__xludf.DUMMYFUNCTION("""COMPUTED_VALUE"""),"Gambia")</f>
        <v>Gambia</v>
      </c>
      <c r="C120" s="3">
        <f>IFERROR(__xludf.DUMMYFUNCTION("""COMPUTED_VALUE"""),13.4432)</f>
        <v>13.4432</v>
      </c>
      <c r="D120" s="3">
        <f>IFERROR(__xludf.DUMMYFUNCTION("""COMPUTED_VALUE"""),-15.3101)</f>
        <v>-15.3101</v>
      </c>
      <c r="E120" s="3">
        <f>IFERROR(__xludf.DUMMYFUNCTION("""COMPUTED_VALUE"""),0.0)</f>
        <v>0</v>
      </c>
      <c r="F120" s="3">
        <f>IFERROR(__xludf.DUMMYFUNCTION("""COMPUTED_VALUE"""),0.0)</f>
        <v>0</v>
      </c>
      <c r="G120" s="3">
        <f>IFERROR(__xludf.DUMMYFUNCTION("""COMPUTED_VALUE"""),0.0)</f>
        <v>0</v>
      </c>
      <c r="H120" s="3">
        <f>IFERROR(__xludf.DUMMYFUNCTION("""COMPUTED_VALUE"""),0.0)</f>
        <v>0</v>
      </c>
      <c r="I120" s="3">
        <f>IFERROR(__xludf.DUMMYFUNCTION("""COMPUTED_VALUE"""),0.0)</f>
        <v>0</v>
      </c>
      <c r="J120" s="3">
        <f>IFERROR(__xludf.DUMMYFUNCTION("""COMPUTED_VALUE"""),0.0)</f>
        <v>0</v>
      </c>
      <c r="K120" s="3">
        <f>IFERROR(__xludf.DUMMYFUNCTION("""COMPUTED_VALUE"""),0.0)</f>
        <v>0</v>
      </c>
      <c r="L120" s="3">
        <f>IFERROR(__xludf.DUMMYFUNCTION("""COMPUTED_VALUE"""),0.0)</f>
        <v>0</v>
      </c>
      <c r="M120" s="3">
        <f>IFERROR(__xludf.DUMMYFUNCTION("""COMPUTED_VALUE"""),0.0)</f>
        <v>0</v>
      </c>
      <c r="N120" s="3">
        <f>IFERROR(__xludf.DUMMYFUNCTION("""COMPUTED_VALUE"""),0.0)</f>
        <v>0</v>
      </c>
      <c r="O120" s="3">
        <f>IFERROR(__xludf.DUMMYFUNCTION("""COMPUTED_VALUE"""),0.0)</f>
        <v>0</v>
      </c>
      <c r="P120" s="3">
        <f>IFERROR(__xludf.DUMMYFUNCTION("""COMPUTED_VALUE"""),0.0)</f>
        <v>0</v>
      </c>
      <c r="Q120" s="3">
        <f>IFERROR(__xludf.DUMMYFUNCTION("""COMPUTED_VALUE"""),0.0)</f>
        <v>0</v>
      </c>
      <c r="R120" s="3">
        <f>IFERROR(__xludf.DUMMYFUNCTION("""COMPUTED_VALUE"""),0.0)</f>
        <v>0</v>
      </c>
      <c r="S120" s="3">
        <f>IFERROR(__xludf.DUMMYFUNCTION("""COMPUTED_VALUE"""),0.0)</f>
        <v>0</v>
      </c>
      <c r="T120" s="3">
        <f>IFERROR(__xludf.DUMMYFUNCTION("""COMPUTED_VALUE"""),0.0)</f>
        <v>0</v>
      </c>
      <c r="U120" s="3">
        <f>IFERROR(__xludf.DUMMYFUNCTION("""COMPUTED_VALUE"""),0.0)</f>
        <v>0</v>
      </c>
      <c r="V120" s="3">
        <f>IFERROR(__xludf.DUMMYFUNCTION("""COMPUTED_VALUE"""),0.0)</f>
        <v>0</v>
      </c>
      <c r="W120" s="3">
        <f>IFERROR(__xludf.DUMMYFUNCTION("""COMPUTED_VALUE"""),0.0)</f>
        <v>0</v>
      </c>
      <c r="X120" s="3">
        <f>IFERROR(__xludf.DUMMYFUNCTION("""COMPUTED_VALUE"""),0.0)</f>
        <v>0</v>
      </c>
      <c r="Y120" s="3">
        <f>IFERROR(__xludf.DUMMYFUNCTION("""COMPUTED_VALUE"""),0.0)</f>
        <v>0</v>
      </c>
      <c r="Z120" s="3">
        <f>IFERROR(__xludf.DUMMYFUNCTION("""COMPUTED_VALUE"""),0.0)</f>
        <v>0</v>
      </c>
      <c r="AA120" s="3">
        <f>IFERROR(__xludf.DUMMYFUNCTION("""COMPUTED_VALUE"""),0.0)</f>
        <v>0</v>
      </c>
      <c r="AB120" s="3">
        <f>IFERROR(__xludf.DUMMYFUNCTION("""COMPUTED_VALUE"""),0.0)</f>
        <v>0</v>
      </c>
      <c r="AC120" s="3">
        <f>IFERROR(__xludf.DUMMYFUNCTION("""COMPUTED_VALUE"""),0.0)</f>
        <v>0</v>
      </c>
      <c r="AD120" s="3">
        <f>IFERROR(__xludf.DUMMYFUNCTION("""COMPUTED_VALUE"""),0.0)</f>
        <v>0</v>
      </c>
      <c r="AE120" s="3">
        <f>IFERROR(__xludf.DUMMYFUNCTION("""COMPUTED_VALUE"""),0.0)</f>
        <v>0</v>
      </c>
      <c r="AF120" s="3">
        <f>IFERROR(__xludf.DUMMYFUNCTION("""COMPUTED_VALUE"""),0.0)</f>
        <v>0</v>
      </c>
      <c r="AG120" s="3">
        <f>IFERROR(__xludf.DUMMYFUNCTION("""COMPUTED_VALUE"""),0.0)</f>
        <v>0</v>
      </c>
      <c r="AH120" s="3">
        <f>IFERROR(__xludf.DUMMYFUNCTION("""COMPUTED_VALUE"""),0.0)</f>
        <v>0</v>
      </c>
      <c r="AI120" s="3">
        <f>IFERROR(__xludf.DUMMYFUNCTION("""COMPUTED_VALUE"""),0.0)</f>
        <v>0</v>
      </c>
      <c r="AJ120" s="3">
        <f>IFERROR(__xludf.DUMMYFUNCTION("""COMPUTED_VALUE"""),0.0)</f>
        <v>0</v>
      </c>
      <c r="AK120" s="3">
        <f>IFERROR(__xludf.DUMMYFUNCTION("""COMPUTED_VALUE"""),0.0)</f>
        <v>0</v>
      </c>
      <c r="AL120" s="3">
        <f>IFERROR(__xludf.DUMMYFUNCTION("""COMPUTED_VALUE"""),0.0)</f>
        <v>0</v>
      </c>
      <c r="AM120" s="3">
        <f>IFERROR(__xludf.DUMMYFUNCTION("""COMPUTED_VALUE"""),0.0)</f>
        <v>0</v>
      </c>
      <c r="AN120" s="3">
        <f>IFERROR(__xludf.DUMMYFUNCTION("""COMPUTED_VALUE"""),0.0)</f>
        <v>0</v>
      </c>
      <c r="AO120" s="3">
        <f>IFERROR(__xludf.DUMMYFUNCTION("""COMPUTED_VALUE"""),0.0)</f>
        <v>0</v>
      </c>
      <c r="AP120" s="3">
        <f>IFERROR(__xludf.DUMMYFUNCTION("""COMPUTED_VALUE"""),0.0)</f>
        <v>0</v>
      </c>
      <c r="AQ120" s="3">
        <f>IFERROR(__xludf.DUMMYFUNCTION("""COMPUTED_VALUE"""),0.0)</f>
        <v>0</v>
      </c>
      <c r="AR120" s="3">
        <f>IFERROR(__xludf.DUMMYFUNCTION("""COMPUTED_VALUE"""),0.0)</f>
        <v>0</v>
      </c>
      <c r="AS120" s="3">
        <f>IFERROR(__xludf.DUMMYFUNCTION("""COMPUTED_VALUE"""),0.0)</f>
        <v>0</v>
      </c>
      <c r="AT120" s="3">
        <f>IFERROR(__xludf.DUMMYFUNCTION("""COMPUTED_VALUE"""),0.0)</f>
        <v>0</v>
      </c>
      <c r="AU120" s="3">
        <f>IFERROR(__xludf.DUMMYFUNCTION("""COMPUTED_VALUE"""),0.0)</f>
        <v>0</v>
      </c>
      <c r="AV120" s="3">
        <f>IFERROR(__xludf.DUMMYFUNCTION("""COMPUTED_VALUE"""),0.0)</f>
        <v>0</v>
      </c>
      <c r="AW120" s="3">
        <f>IFERROR(__xludf.DUMMYFUNCTION("""COMPUTED_VALUE"""),0.0)</f>
        <v>0</v>
      </c>
      <c r="AX120" s="3">
        <f>IFERROR(__xludf.DUMMYFUNCTION("""COMPUTED_VALUE"""),0.0)</f>
        <v>0</v>
      </c>
      <c r="AY120" s="3">
        <f>IFERROR(__xludf.DUMMYFUNCTION("""COMPUTED_VALUE"""),0.0)</f>
        <v>0</v>
      </c>
      <c r="AZ120" s="3">
        <f>IFERROR(__xludf.DUMMYFUNCTION("""COMPUTED_VALUE"""),0.0)</f>
        <v>0</v>
      </c>
      <c r="BA120" s="3">
        <f>IFERROR(__xludf.DUMMYFUNCTION("""COMPUTED_VALUE"""),0.0)</f>
        <v>0</v>
      </c>
      <c r="BB120" s="3">
        <f>IFERROR(__xludf.DUMMYFUNCTION("""COMPUTED_VALUE"""),0.0)</f>
        <v>0</v>
      </c>
      <c r="BC120" s="3">
        <f>IFERROR(__xludf.DUMMYFUNCTION("""COMPUTED_VALUE"""),0.0)</f>
        <v>0</v>
      </c>
      <c r="BD120" s="3">
        <f>IFERROR(__xludf.DUMMYFUNCTION("""COMPUTED_VALUE"""),0.0)</f>
        <v>0</v>
      </c>
      <c r="BE120" s="3">
        <f>IFERROR(__xludf.DUMMYFUNCTION("""COMPUTED_VALUE"""),0.0)</f>
        <v>0</v>
      </c>
      <c r="BF120" s="3">
        <f>IFERROR(__xludf.DUMMYFUNCTION("""COMPUTED_VALUE"""),0.0)</f>
        <v>0</v>
      </c>
      <c r="BG120" s="3">
        <f>IFERROR(__xludf.DUMMYFUNCTION("""COMPUTED_VALUE"""),0.0)</f>
        <v>0</v>
      </c>
      <c r="BH120" s="3">
        <f>IFERROR(__xludf.DUMMYFUNCTION("""COMPUTED_VALUE"""),1.0)</f>
        <v>1</v>
      </c>
      <c r="BI120" s="3">
        <f>IFERROR(__xludf.DUMMYFUNCTION("""COMPUTED_VALUE"""),1.0)</f>
        <v>1</v>
      </c>
      <c r="BJ120" s="3">
        <f>IFERROR(__xludf.DUMMYFUNCTION("""COMPUTED_VALUE"""),1.0)</f>
        <v>1</v>
      </c>
      <c r="BK120" s="3">
        <f>IFERROR(__xludf.DUMMYFUNCTION("""COMPUTED_VALUE"""),1.0)</f>
        <v>1</v>
      </c>
      <c r="BL120" s="3">
        <f>IFERROR(__xludf.DUMMYFUNCTION("""COMPUTED_VALUE"""),1.0)</f>
        <v>1</v>
      </c>
      <c r="BM120" s="3">
        <f>IFERROR(__xludf.DUMMYFUNCTION("""COMPUTED_VALUE"""),1.0)</f>
        <v>1</v>
      </c>
      <c r="BN120" s="3">
        <f>IFERROR(__xludf.DUMMYFUNCTION("""COMPUTED_VALUE"""),2.0)</f>
        <v>2</v>
      </c>
      <c r="BO120" s="3">
        <f>IFERROR(__xludf.DUMMYFUNCTION("""COMPUTED_VALUE"""),3.0)</f>
        <v>3</v>
      </c>
      <c r="BP120" s="3">
        <f>IFERROR(__xludf.DUMMYFUNCTION("""COMPUTED_VALUE"""),3.0)</f>
        <v>3</v>
      </c>
      <c r="BQ120" s="3">
        <f>IFERROR(__xludf.DUMMYFUNCTION("""COMPUTED_VALUE"""),3.0)</f>
        <v>3</v>
      </c>
      <c r="BR120" s="3">
        <f>IFERROR(__xludf.DUMMYFUNCTION("""COMPUTED_VALUE"""),3.0)</f>
        <v>3</v>
      </c>
      <c r="BS120" s="3">
        <f>IFERROR(__xludf.DUMMYFUNCTION("""COMPUTED_VALUE"""),3.0)</f>
        <v>3</v>
      </c>
      <c r="BT120" s="3">
        <f>IFERROR(__xludf.DUMMYFUNCTION("""COMPUTED_VALUE"""),4.0)</f>
        <v>4</v>
      </c>
      <c r="BU120" s="3">
        <f>IFERROR(__xludf.DUMMYFUNCTION("""COMPUTED_VALUE"""),4.0)</f>
        <v>4</v>
      </c>
      <c r="BV120" s="3">
        <f>IFERROR(__xludf.DUMMYFUNCTION("""COMPUTED_VALUE"""),4.0)</f>
        <v>4</v>
      </c>
      <c r="BW120" s="3">
        <f>IFERROR(__xludf.DUMMYFUNCTION("""COMPUTED_VALUE"""),4.0)</f>
        <v>4</v>
      </c>
      <c r="BX120" s="3">
        <f>IFERROR(__xludf.DUMMYFUNCTION("""COMPUTED_VALUE"""),4.0)</f>
        <v>4</v>
      </c>
      <c r="BY120" s="3">
        <f>IFERROR(__xludf.DUMMYFUNCTION("""COMPUTED_VALUE"""),4.0)</f>
        <v>4</v>
      </c>
      <c r="BZ120" s="3">
        <f>IFERROR(__xludf.DUMMYFUNCTION("""COMPUTED_VALUE"""),4.0)</f>
        <v>4</v>
      </c>
      <c r="CA120" s="3">
        <f>IFERROR(__xludf.DUMMYFUNCTION("""COMPUTED_VALUE"""),4.0)</f>
        <v>4</v>
      </c>
      <c r="CB120" s="3">
        <f>IFERROR(__xludf.DUMMYFUNCTION("""COMPUTED_VALUE"""),4.0)</f>
        <v>4</v>
      </c>
    </row>
    <row r="121">
      <c r="A121" s="3" t="str">
        <f>IFERROR(__xludf.DUMMYFUNCTION("""COMPUTED_VALUE"""),"")</f>
        <v/>
      </c>
      <c r="B121" s="3" t="str">
        <f>IFERROR(__xludf.DUMMYFUNCTION("""COMPUTED_VALUE"""),"Georgia")</f>
        <v>Georgia</v>
      </c>
      <c r="C121" s="3">
        <f>IFERROR(__xludf.DUMMYFUNCTION("""COMPUTED_VALUE"""),42.3154)</f>
        <v>42.3154</v>
      </c>
      <c r="D121" s="3">
        <f>IFERROR(__xludf.DUMMYFUNCTION("""COMPUTED_VALUE"""),43.3569)</f>
        <v>43.3569</v>
      </c>
      <c r="E121" s="3">
        <f>IFERROR(__xludf.DUMMYFUNCTION("""COMPUTED_VALUE"""),0.0)</f>
        <v>0</v>
      </c>
      <c r="F121" s="3">
        <f>IFERROR(__xludf.DUMMYFUNCTION("""COMPUTED_VALUE"""),0.0)</f>
        <v>0</v>
      </c>
      <c r="G121" s="3">
        <f>IFERROR(__xludf.DUMMYFUNCTION("""COMPUTED_VALUE"""),0.0)</f>
        <v>0</v>
      </c>
      <c r="H121" s="3">
        <f>IFERROR(__xludf.DUMMYFUNCTION("""COMPUTED_VALUE"""),0.0)</f>
        <v>0</v>
      </c>
      <c r="I121" s="3">
        <f>IFERROR(__xludf.DUMMYFUNCTION("""COMPUTED_VALUE"""),0.0)</f>
        <v>0</v>
      </c>
      <c r="J121" s="3">
        <f>IFERROR(__xludf.DUMMYFUNCTION("""COMPUTED_VALUE"""),0.0)</f>
        <v>0</v>
      </c>
      <c r="K121" s="3">
        <f>IFERROR(__xludf.DUMMYFUNCTION("""COMPUTED_VALUE"""),0.0)</f>
        <v>0</v>
      </c>
      <c r="L121" s="3">
        <f>IFERROR(__xludf.DUMMYFUNCTION("""COMPUTED_VALUE"""),0.0)</f>
        <v>0</v>
      </c>
      <c r="M121" s="3">
        <f>IFERROR(__xludf.DUMMYFUNCTION("""COMPUTED_VALUE"""),0.0)</f>
        <v>0</v>
      </c>
      <c r="N121" s="3">
        <f>IFERROR(__xludf.DUMMYFUNCTION("""COMPUTED_VALUE"""),0.0)</f>
        <v>0</v>
      </c>
      <c r="O121" s="3">
        <f>IFERROR(__xludf.DUMMYFUNCTION("""COMPUTED_VALUE"""),0.0)</f>
        <v>0</v>
      </c>
      <c r="P121" s="3">
        <f>IFERROR(__xludf.DUMMYFUNCTION("""COMPUTED_VALUE"""),0.0)</f>
        <v>0</v>
      </c>
      <c r="Q121" s="3">
        <f>IFERROR(__xludf.DUMMYFUNCTION("""COMPUTED_VALUE"""),0.0)</f>
        <v>0</v>
      </c>
      <c r="R121" s="3">
        <f>IFERROR(__xludf.DUMMYFUNCTION("""COMPUTED_VALUE"""),0.0)</f>
        <v>0</v>
      </c>
      <c r="S121" s="3">
        <f>IFERROR(__xludf.DUMMYFUNCTION("""COMPUTED_VALUE"""),0.0)</f>
        <v>0</v>
      </c>
      <c r="T121" s="3">
        <f>IFERROR(__xludf.DUMMYFUNCTION("""COMPUTED_VALUE"""),0.0)</f>
        <v>0</v>
      </c>
      <c r="U121" s="3">
        <f>IFERROR(__xludf.DUMMYFUNCTION("""COMPUTED_VALUE"""),0.0)</f>
        <v>0</v>
      </c>
      <c r="V121" s="3">
        <f>IFERROR(__xludf.DUMMYFUNCTION("""COMPUTED_VALUE"""),0.0)</f>
        <v>0</v>
      </c>
      <c r="W121" s="3">
        <f>IFERROR(__xludf.DUMMYFUNCTION("""COMPUTED_VALUE"""),0.0)</f>
        <v>0</v>
      </c>
      <c r="X121" s="3">
        <f>IFERROR(__xludf.DUMMYFUNCTION("""COMPUTED_VALUE"""),0.0)</f>
        <v>0</v>
      </c>
      <c r="Y121" s="3">
        <f>IFERROR(__xludf.DUMMYFUNCTION("""COMPUTED_VALUE"""),0.0)</f>
        <v>0</v>
      </c>
      <c r="Z121" s="3">
        <f>IFERROR(__xludf.DUMMYFUNCTION("""COMPUTED_VALUE"""),0.0)</f>
        <v>0</v>
      </c>
      <c r="AA121" s="3">
        <f>IFERROR(__xludf.DUMMYFUNCTION("""COMPUTED_VALUE"""),0.0)</f>
        <v>0</v>
      </c>
      <c r="AB121" s="3">
        <f>IFERROR(__xludf.DUMMYFUNCTION("""COMPUTED_VALUE"""),0.0)</f>
        <v>0</v>
      </c>
      <c r="AC121" s="3">
        <f>IFERROR(__xludf.DUMMYFUNCTION("""COMPUTED_VALUE"""),0.0)</f>
        <v>0</v>
      </c>
      <c r="AD121" s="3">
        <f>IFERROR(__xludf.DUMMYFUNCTION("""COMPUTED_VALUE"""),0.0)</f>
        <v>0</v>
      </c>
      <c r="AE121" s="3">
        <f>IFERROR(__xludf.DUMMYFUNCTION("""COMPUTED_VALUE"""),0.0)</f>
        <v>0</v>
      </c>
      <c r="AF121" s="3">
        <f>IFERROR(__xludf.DUMMYFUNCTION("""COMPUTED_VALUE"""),0.0)</f>
        <v>0</v>
      </c>
      <c r="AG121" s="3">
        <f>IFERROR(__xludf.DUMMYFUNCTION("""COMPUTED_VALUE"""),0.0)</f>
        <v>0</v>
      </c>
      <c r="AH121" s="3">
        <f>IFERROR(__xludf.DUMMYFUNCTION("""COMPUTED_VALUE"""),0.0)</f>
        <v>0</v>
      </c>
      <c r="AI121" s="3">
        <f>IFERROR(__xludf.DUMMYFUNCTION("""COMPUTED_VALUE"""),0.0)</f>
        <v>0</v>
      </c>
      <c r="AJ121" s="3">
        <f>IFERROR(__xludf.DUMMYFUNCTION("""COMPUTED_VALUE"""),0.0)</f>
        <v>0</v>
      </c>
      <c r="AK121" s="3">
        <f>IFERROR(__xludf.DUMMYFUNCTION("""COMPUTED_VALUE"""),0.0)</f>
        <v>0</v>
      </c>
      <c r="AL121" s="3">
        <f>IFERROR(__xludf.DUMMYFUNCTION("""COMPUTED_VALUE"""),0.0)</f>
        <v>0</v>
      </c>
      <c r="AM121" s="3">
        <f>IFERROR(__xludf.DUMMYFUNCTION("""COMPUTED_VALUE"""),0.0)</f>
        <v>0</v>
      </c>
      <c r="AN121" s="3">
        <f>IFERROR(__xludf.DUMMYFUNCTION("""COMPUTED_VALUE"""),1.0)</f>
        <v>1</v>
      </c>
      <c r="AO121" s="3">
        <f>IFERROR(__xludf.DUMMYFUNCTION("""COMPUTED_VALUE"""),1.0)</f>
        <v>1</v>
      </c>
      <c r="AP121" s="3">
        <f>IFERROR(__xludf.DUMMYFUNCTION("""COMPUTED_VALUE"""),1.0)</f>
        <v>1</v>
      </c>
      <c r="AQ121" s="3">
        <f>IFERROR(__xludf.DUMMYFUNCTION("""COMPUTED_VALUE"""),1.0)</f>
        <v>1</v>
      </c>
      <c r="AR121" s="3">
        <f>IFERROR(__xludf.DUMMYFUNCTION("""COMPUTED_VALUE"""),3.0)</f>
        <v>3</v>
      </c>
      <c r="AS121" s="3">
        <f>IFERROR(__xludf.DUMMYFUNCTION("""COMPUTED_VALUE"""),3.0)</f>
        <v>3</v>
      </c>
      <c r="AT121" s="3">
        <f>IFERROR(__xludf.DUMMYFUNCTION("""COMPUTED_VALUE"""),3.0)</f>
        <v>3</v>
      </c>
      <c r="AU121" s="3">
        <f>IFERROR(__xludf.DUMMYFUNCTION("""COMPUTED_VALUE"""),3.0)</f>
        <v>3</v>
      </c>
      <c r="AV121" s="3">
        <f>IFERROR(__xludf.DUMMYFUNCTION("""COMPUTED_VALUE"""),4.0)</f>
        <v>4</v>
      </c>
      <c r="AW121" s="3">
        <f>IFERROR(__xludf.DUMMYFUNCTION("""COMPUTED_VALUE"""),4.0)</f>
        <v>4</v>
      </c>
      <c r="AX121" s="3">
        <f>IFERROR(__xludf.DUMMYFUNCTION("""COMPUTED_VALUE"""),4.0)</f>
        <v>4</v>
      </c>
      <c r="AY121" s="3">
        <f>IFERROR(__xludf.DUMMYFUNCTION("""COMPUTED_VALUE"""),13.0)</f>
        <v>13</v>
      </c>
      <c r="AZ121" s="3">
        <f>IFERROR(__xludf.DUMMYFUNCTION("""COMPUTED_VALUE"""),15.0)</f>
        <v>15</v>
      </c>
      <c r="BA121" s="3">
        <f>IFERROR(__xludf.DUMMYFUNCTION("""COMPUTED_VALUE"""),15.0)</f>
        <v>15</v>
      </c>
      <c r="BB121" s="3">
        <f>IFERROR(__xludf.DUMMYFUNCTION("""COMPUTED_VALUE"""),24.0)</f>
        <v>24</v>
      </c>
      <c r="BC121" s="3">
        <f>IFERROR(__xludf.DUMMYFUNCTION("""COMPUTED_VALUE"""),24.0)</f>
        <v>24</v>
      </c>
      <c r="BD121" s="3">
        <f>IFERROR(__xludf.DUMMYFUNCTION("""COMPUTED_VALUE"""),25.0)</f>
        <v>25</v>
      </c>
      <c r="BE121" s="3">
        <f>IFERROR(__xludf.DUMMYFUNCTION("""COMPUTED_VALUE"""),30.0)</f>
        <v>30</v>
      </c>
      <c r="BF121" s="3">
        <f>IFERROR(__xludf.DUMMYFUNCTION("""COMPUTED_VALUE"""),33.0)</f>
        <v>33</v>
      </c>
      <c r="BG121" s="3">
        <f>IFERROR(__xludf.DUMMYFUNCTION("""COMPUTED_VALUE"""),33.0)</f>
        <v>33</v>
      </c>
      <c r="BH121" s="3">
        <f>IFERROR(__xludf.DUMMYFUNCTION("""COMPUTED_VALUE"""),34.0)</f>
        <v>34</v>
      </c>
      <c r="BI121" s="3">
        <f>IFERROR(__xludf.DUMMYFUNCTION("""COMPUTED_VALUE"""),38.0)</f>
        <v>38</v>
      </c>
      <c r="BJ121" s="3">
        <f>IFERROR(__xludf.DUMMYFUNCTION("""COMPUTED_VALUE"""),40.0)</f>
        <v>40</v>
      </c>
      <c r="BK121" s="3">
        <f>IFERROR(__xludf.DUMMYFUNCTION("""COMPUTED_VALUE"""),43.0)</f>
        <v>43</v>
      </c>
      <c r="BL121" s="3">
        <f>IFERROR(__xludf.DUMMYFUNCTION("""COMPUTED_VALUE"""),49.0)</f>
        <v>49</v>
      </c>
      <c r="BM121" s="3">
        <f>IFERROR(__xludf.DUMMYFUNCTION("""COMPUTED_VALUE"""),54.0)</f>
        <v>54</v>
      </c>
      <c r="BN121" s="3">
        <f>IFERROR(__xludf.DUMMYFUNCTION("""COMPUTED_VALUE"""),61.0)</f>
        <v>61</v>
      </c>
      <c r="BO121" s="3">
        <f>IFERROR(__xludf.DUMMYFUNCTION("""COMPUTED_VALUE"""),70.0)</f>
        <v>70</v>
      </c>
      <c r="BP121" s="3">
        <f>IFERROR(__xludf.DUMMYFUNCTION("""COMPUTED_VALUE"""),75.0)</f>
        <v>75</v>
      </c>
      <c r="BQ121" s="3">
        <f>IFERROR(__xludf.DUMMYFUNCTION("""COMPUTED_VALUE"""),79.0)</f>
        <v>79</v>
      </c>
      <c r="BR121" s="3">
        <f>IFERROR(__xludf.DUMMYFUNCTION("""COMPUTED_VALUE"""),83.0)</f>
        <v>83</v>
      </c>
      <c r="BS121" s="3">
        <f>IFERROR(__xludf.DUMMYFUNCTION("""COMPUTED_VALUE"""),90.0)</f>
        <v>90</v>
      </c>
      <c r="BT121" s="3">
        <f>IFERROR(__xludf.DUMMYFUNCTION("""COMPUTED_VALUE"""),91.0)</f>
        <v>91</v>
      </c>
      <c r="BU121" s="3">
        <f>IFERROR(__xludf.DUMMYFUNCTION("""COMPUTED_VALUE"""),103.0)</f>
        <v>103</v>
      </c>
      <c r="BV121" s="3">
        <f>IFERROR(__xludf.DUMMYFUNCTION("""COMPUTED_VALUE"""),110.0)</f>
        <v>110</v>
      </c>
      <c r="BW121" s="3">
        <f>IFERROR(__xludf.DUMMYFUNCTION("""COMPUTED_VALUE"""),117.0)</f>
        <v>117</v>
      </c>
      <c r="BX121" s="3">
        <f>IFERROR(__xludf.DUMMYFUNCTION("""COMPUTED_VALUE"""),134.0)</f>
        <v>134</v>
      </c>
      <c r="BY121" s="3">
        <f>IFERROR(__xludf.DUMMYFUNCTION("""COMPUTED_VALUE"""),155.0)</f>
        <v>155</v>
      </c>
      <c r="BZ121" s="3">
        <f>IFERROR(__xludf.DUMMYFUNCTION("""COMPUTED_VALUE"""),162.0)</f>
        <v>162</v>
      </c>
      <c r="CA121" s="3">
        <f>IFERROR(__xludf.DUMMYFUNCTION("""COMPUTED_VALUE"""),174.0)</f>
        <v>174</v>
      </c>
      <c r="CB121" s="3">
        <f>IFERROR(__xludf.DUMMYFUNCTION("""COMPUTED_VALUE"""),188.0)</f>
        <v>188</v>
      </c>
    </row>
    <row r="122">
      <c r="A122" s="3" t="str">
        <f>IFERROR(__xludf.DUMMYFUNCTION("""COMPUTED_VALUE"""),"")</f>
        <v/>
      </c>
      <c r="B122" s="3" t="str">
        <f>IFERROR(__xludf.DUMMYFUNCTION("""COMPUTED_VALUE"""),"Germany")</f>
        <v>Germany</v>
      </c>
      <c r="C122" s="3">
        <f>IFERROR(__xludf.DUMMYFUNCTION("""COMPUTED_VALUE"""),51.0)</f>
        <v>51</v>
      </c>
      <c r="D122" s="3">
        <f>IFERROR(__xludf.DUMMYFUNCTION("""COMPUTED_VALUE"""),9.0)</f>
        <v>9</v>
      </c>
      <c r="E122" s="3">
        <f>IFERROR(__xludf.DUMMYFUNCTION("""COMPUTED_VALUE"""),0.0)</f>
        <v>0</v>
      </c>
      <c r="F122" s="3">
        <f>IFERROR(__xludf.DUMMYFUNCTION("""COMPUTED_VALUE"""),0.0)</f>
        <v>0</v>
      </c>
      <c r="G122" s="3">
        <f>IFERROR(__xludf.DUMMYFUNCTION("""COMPUTED_VALUE"""),0.0)</f>
        <v>0</v>
      </c>
      <c r="H122" s="3">
        <f>IFERROR(__xludf.DUMMYFUNCTION("""COMPUTED_VALUE"""),0.0)</f>
        <v>0</v>
      </c>
      <c r="I122" s="3">
        <f>IFERROR(__xludf.DUMMYFUNCTION("""COMPUTED_VALUE"""),0.0)</f>
        <v>0</v>
      </c>
      <c r="J122" s="3">
        <f>IFERROR(__xludf.DUMMYFUNCTION("""COMPUTED_VALUE"""),1.0)</f>
        <v>1</v>
      </c>
      <c r="K122" s="3">
        <f>IFERROR(__xludf.DUMMYFUNCTION("""COMPUTED_VALUE"""),4.0)</f>
        <v>4</v>
      </c>
      <c r="L122" s="3">
        <f>IFERROR(__xludf.DUMMYFUNCTION("""COMPUTED_VALUE"""),4.0)</f>
        <v>4</v>
      </c>
      <c r="M122" s="3">
        <f>IFERROR(__xludf.DUMMYFUNCTION("""COMPUTED_VALUE"""),4.0)</f>
        <v>4</v>
      </c>
      <c r="N122" s="3">
        <f>IFERROR(__xludf.DUMMYFUNCTION("""COMPUTED_VALUE"""),5.0)</f>
        <v>5</v>
      </c>
      <c r="O122" s="3">
        <f>IFERROR(__xludf.DUMMYFUNCTION("""COMPUTED_VALUE"""),8.0)</f>
        <v>8</v>
      </c>
      <c r="P122" s="3">
        <f>IFERROR(__xludf.DUMMYFUNCTION("""COMPUTED_VALUE"""),10.0)</f>
        <v>10</v>
      </c>
      <c r="Q122" s="3">
        <f>IFERROR(__xludf.DUMMYFUNCTION("""COMPUTED_VALUE"""),12.0)</f>
        <v>12</v>
      </c>
      <c r="R122" s="3">
        <f>IFERROR(__xludf.DUMMYFUNCTION("""COMPUTED_VALUE"""),12.0)</f>
        <v>12</v>
      </c>
      <c r="S122" s="3">
        <f>IFERROR(__xludf.DUMMYFUNCTION("""COMPUTED_VALUE"""),12.0)</f>
        <v>12</v>
      </c>
      <c r="T122" s="3">
        <f>IFERROR(__xludf.DUMMYFUNCTION("""COMPUTED_VALUE"""),12.0)</f>
        <v>12</v>
      </c>
      <c r="U122" s="3">
        <f>IFERROR(__xludf.DUMMYFUNCTION("""COMPUTED_VALUE"""),13.0)</f>
        <v>13</v>
      </c>
      <c r="V122" s="3">
        <f>IFERROR(__xludf.DUMMYFUNCTION("""COMPUTED_VALUE"""),13.0)</f>
        <v>13</v>
      </c>
      <c r="W122" s="3">
        <f>IFERROR(__xludf.DUMMYFUNCTION("""COMPUTED_VALUE"""),14.0)</f>
        <v>14</v>
      </c>
      <c r="X122" s="3">
        <f>IFERROR(__xludf.DUMMYFUNCTION("""COMPUTED_VALUE"""),14.0)</f>
        <v>14</v>
      </c>
      <c r="Y122" s="3">
        <f>IFERROR(__xludf.DUMMYFUNCTION("""COMPUTED_VALUE"""),16.0)</f>
        <v>16</v>
      </c>
      <c r="Z122" s="3">
        <f>IFERROR(__xludf.DUMMYFUNCTION("""COMPUTED_VALUE"""),16.0)</f>
        <v>16</v>
      </c>
      <c r="AA122" s="3">
        <f>IFERROR(__xludf.DUMMYFUNCTION("""COMPUTED_VALUE"""),16.0)</f>
        <v>16</v>
      </c>
      <c r="AB122" s="3">
        <f>IFERROR(__xludf.DUMMYFUNCTION("""COMPUTED_VALUE"""),16.0)</f>
        <v>16</v>
      </c>
      <c r="AC122" s="3">
        <f>IFERROR(__xludf.DUMMYFUNCTION("""COMPUTED_VALUE"""),16.0)</f>
        <v>16</v>
      </c>
      <c r="AD122" s="3">
        <f>IFERROR(__xludf.DUMMYFUNCTION("""COMPUTED_VALUE"""),16.0)</f>
        <v>16</v>
      </c>
      <c r="AE122" s="3">
        <f>IFERROR(__xludf.DUMMYFUNCTION("""COMPUTED_VALUE"""),16.0)</f>
        <v>16</v>
      </c>
      <c r="AF122" s="3">
        <f>IFERROR(__xludf.DUMMYFUNCTION("""COMPUTED_VALUE"""),16.0)</f>
        <v>16</v>
      </c>
      <c r="AG122" s="3">
        <f>IFERROR(__xludf.DUMMYFUNCTION("""COMPUTED_VALUE"""),16.0)</f>
        <v>16</v>
      </c>
      <c r="AH122" s="3">
        <f>IFERROR(__xludf.DUMMYFUNCTION("""COMPUTED_VALUE"""),16.0)</f>
        <v>16</v>
      </c>
      <c r="AI122" s="3">
        <f>IFERROR(__xludf.DUMMYFUNCTION("""COMPUTED_VALUE"""),16.0)</f>
        <v>16</v>
      </c>
      <c r="AJ122" s="3">
        <f>IFERROR(__xludf.DUMMYFUNCTION("""COMPUTED_VALUE"""),16.0)</f>
        <v>16</v>
      </c>
      <c r="AK122" s="3">
        <f>IFERROR(__xludf.DUMMYFUNCTION("""COMPUTED_VALUE"""),16.0)</f>
        <v>16</v>
      </c>
      <c r="AL122" s="3">
        <f>IFERROR(__xludf.DUMMYFUNCTION("""COMPUTED_VALUE"""),16.0)</f>
        <v>16</v>
      </c>
      <c r="AM122" s="3">
        <f>IFERROR(__xludf.DUMMYFUNCTION("""COMPUTED_VALUE"""),17.0)</f>
        <v>17</v>
      </c>
      <c r="AN122" s="3">
        <f>IFERROR(__xludf.DUMMYFUNCTION("""COMPUTED_VALUE"""),27.0)</f>
        <v>27</v>
      </c>
      <c r="AO122" s="3">
        <f>IFERROR(__xludf.DUMMYFUNCTION("""COMPUTED_VALUE"""),46.0)</f>
        <v>46</v>
      </c>
      <c r="AP122" s="3">
        <f>IFERROR(__xludf.DUMMYFUNCTION("""COMPUTED_VALUE"""),48.0)</f>
        <v>48</v>
      </c>
      <c r="AQ122" s="3">
        <f>IFERROR(__xludf.DUMMYFUNCTION("""COMPUTED_VALUE"""),79.0)</f>
        <v>79</v>
      </c>
      <c r="AR122" s="3">
        <f>IFERROR(__xludf.DUMMYFUNCTION("""COMPUTED_VALUE"""),130.0)</f>
        <v>130</v>
      </c>
      <c r="AS122" s="3">
        <f>IFERROR(__xludf.DUMMYFUNCTION("""COMPUTED_VALUE"""),159.0)</f>
        <v>159</v>
      </c>
      <c r="AT122" s="3">
        <f>IFERROR(__xludf.DUMMYFUNCTION("""COMPUTED_VALUE"""),196.0)</f>
        <v>196</v>
      </c>
      <c r="AU122" s="3">
        <f>IFERROR(__xludf.DUMMYFUNCTION("""COMPUTED_VALUE"""),262.0)</f>
        <v>262</v>
      </c>
      <c r="AV122" s="3">
        <f>IFERROR(__xludf.DUMMYFUNCTION("""COMPUTED_VALUE"""),482.0)</f>
        <v>482</v>
      </c>
      <c r="AW122" s="3">
        <f>IFERROR(__xludf.DUMMYFUNCTION("""COMPUTED_VALUE"""),670.0)</f>
        <v>670</v>
      </c>
      <c r="AX122" s="3">
        <f>IFERROR(__xludf.DUMMYFUNCTION("""COMPUTED_VALUE"""),799.0)</f>
        <v>799</v>
      </c>
      <c r="AY122" s="3">
        <f>IFERROR(__xludf.DUMMYFUNCTION("""COMPUTED_VALUE"""),1040.0)</f>
        <v>1040</v>
      </c>
      <c r="AZ122" s="3">
        <f>IFERROR(__xludf.DUMMYFUNCTION("""COMPUTED_VALUE"""),1176.0)</f>
        <v>1176</v>
      </c>
      <c r="BA122" s="3">
        <f>IFERROR(__xludf.DUMMYFUNCTION("""COMPUTED_VALUE"""),1457.0)</f>
        <v>1457</v>
      </c>
      <c r="BB122" s="3">
        <f>IFERROR(__xludf.DUMMYFUNCTION("""COMPUTED_VALUE"""),1908.0)</f>
        <v>1908</v>
      </c>
      <c r="BC122" s="3">
        <f>IFERROR(__xludf.DUMMYFUNCTION("""COMPUTED_VALUE"""),2078.0)</f>
        <v>2078</v>
      </c>
      <c r="BD122" s="3">
        <f>IFERROR(__xludf.DUMMYFUNCTION("""COMPUTED_VALUE"""),3675.0)</f>
        <v>3675</v>
      </c>
      <c r="BE122" s="3">
        <f>IFERROR(__xludf.DUMMYFUNCTION("""COMPUTED_VALUE"""),4585.0)</f>
        <v>4585</v>
      </c>
      <c r="BF122" s="3">
        <f>IFERROR(__xludf.DUMMYFUNCTION("""COMPUTED_VALUE"""),5795.0)</f>
        <v>5795</v>
      </c>
      <c r="BG122" s="3">
        <f>IFERROR(__xludf.DUMMYFUNCTION("""COMPUTED_VALUE"""),7272.0)</f>
        <v>7272</v>
      </c>
      <c r="BH122" s="3">
        <f>IFERROR(__xludf.DUMMYFUNCTION("""COMPUTED_VALUE"""),9257.0)</f>
        <v>9257</v>
      </c>
      <c r="BI122" s="3">
        <f>IFERROR(__xludf.DUMMYFUNCTION("""COMPUTED_VALUE"""),12327.0)</f>
        <v>12327</v>
      </c>
      <c r="BJ122" s="3">
        <f>IFERROR(__xludf.DUMMYFUNCTION("""COMPUTED_VALUE"""),15320.0)</f>
        <v>15320</v>
      </c>
      <c r="BK122" s="3">
        <f>IFERROR(__xludf.DUMMYFUNCTION("""COMPUTED_VALUE"""),19848.0)</f>
        <v>19848</v>
      </c>
      <c r="BL122" s="3">
        <f>IFERROR(__xludf.DUMMYFUNCTION("""COMPUTED_VALUE"""),22213.0)</f>
        <v>22213</v>
      </c>
      <c r="BM122" s="3">
        <f>IFERROR(__xludf.DUMMYFUNCTION("""COMPUTED_VALUE"""),24873.0)</f>
        <v>24873</v>
      </c>
      <c r="BN122" s="3">
        <f>IFERROR(__xludf.DUMMYFUNCTION("""COMPUTED_VALUE"""),29056.0)</f>
        <v>29056</v>
      </c>
      <c r="BO122" s="3">
        <f>IFERROR(__xludf.DUMMYFUNCTION("""COMPUTED_VALUE"""),32986.0)</f>
        <v>32986</v>
      </c>
      <c r="BP122" s="3">
        <f>IFERROR(__xludf.DUMMYFUNCTION("""COMPUTED_VALUE"""),37323.0)</f>
        <v>37323</v>
      </c>
      <c r="BQ122" s="3">
        <f>IFERROR(__xludf.DUMMYFUNCTION("""COMPUTED_VALUE"""),43938.0)</f>
        <v>43938</v>
      </c>
      <c r="BR122" s="3">
        <f>IFERROR(__xludf.DUMMYFUNCTION("""COMPUTED_VALUE"""),50871.0)</f>
        <v>50871</v>
      </c>
      <c r="BS122" s="3">
        <f>IFERROR(__xludf.DUMMYFUNCTION("""COMPUTED_VALUE"""),57695.0)</f>
        <v>57695</v>
      </c>
      <c r="BT122" s="3">
        <f>IFERROR(__xludf.DUMMYFUNCTION("""COMPUTED_VALUE"""),62095.0)</f>
        <v>62095</v>
      </c>
      <c r="BU122" s="3">
        <f>IFERROR(__xludf.DUMMYFUNCTION("""COMPUTED_VALUE"""),66885.0)</f>
        <v>66885</v>
      </c>
      <c r="BV122" s="3">
        <f>IFERROR(__xludf.DUMMYFUNCTION("""COMPUTED_VALUE"""),71808.0)</f>
        <v>71808</v>
      </c>
      <c r="BW122" s="3">
        <f>IFERROR(__xludf.DUMMYFUNCTION("""COMPUTED_VALUE"""),77872.0)</f>
        <v>77872</v>
      </c>
      <c r="BX122" s="3">
        <f>IFERROR(__xludf.DUMMYFUNCTION("""COMPUTED_VALUE"""),84794.0)</f>
        <v>84794</v>
      </c>
      <c r="BY122" s="3">
        <f>IFERROR(__xludf.DUMMYFUNCTION("""COMPUTED_VALUE"""),91159.0)</f>
        <v>91159</v>
      </c>
      <c r="BZ122" s="3">
        <f>IFERROR(__xludf.DUMMYFUNCTION("""COMPUTED_VALUE"""),96092.0)</f>
        <v>96092</v>
      </c>
      <c r="CA122" s="3">
        <f>IFERROR(__xludf.DUMMYFUNCTION("""COMPUTED_VALUE"""),100123.0)</f>
        <v>100123</v>
      </c>
      <c r="CB122" s="3">
        <f>IFERROR(__xludf.DUMMYFUNCTION("""COMPUTED_VALUE"""),103374.0)</f>
        <v>103374</v>
      </c>
    </row>
    <row r="123">
      <c r="A123" s="3" t="str">
        <f>IFERROR(__xludf.DUMMYFUNCTION("""COMPUTED_VALUE"""),"")</f>
        <v/>
      </c>
      <c r="B123" s="3" t="str">
        <f>IFERROR(__xludf.DUMMYFUNCTION("""COMPUTED_VALUE"""),"Ghana")</f>
        <v>Ghana</v>
      </c>
      <c r="C123" s="3">
        <f>IFERROR(__xludf.DUMMYFUNCTION("""COMPUTED_VALUE"""),7.9465)</f>
        <v>7.9465</v>
      </c>
      <c r="D123" s="3">
        <f>IFERROR(__xludf.DUMMYFUNCTION("""COMPUTED_VALUE"""),-1.0232)</f>
        <v>-1.0232</v>
      </c>
      <c r="E123" s="3">
        <f>IFERROR(__xludf.DUMMYFUNCTION("""COMPUTED_VALUE"""),0.0)</f>
        <v>0</v>
      </c>
      <c r="F123" s="3">
        <f>IFERROR(__xludf.DUMMYFUNCTION("""COMPUTED_VALUE"""),0.0)</f>
        <v>0</v>
      </c>
      <c r="G123" s="3">
        <f>IFERROR(__xludf.DUMMYFUNCTION("""COMPUTED_VALUE"""),0.0)</f>
        <v>0</v>
      </c>
      <c r="H123" s="3">
        <f>IFERROR(__xludf.DUMMYFUNCTION("""COMPUTED_VALUE"""),0.0)</f>
        <v>0</v>
      </c>
      <c r="I123" s="3">
        <f>IFERROR(__xludf.DUMMYFUNCTION("""COMPUTED_VALUE"""),0.0)</f>
        <v>0</v>
      </c>
      <c r="J123" s="3">
        <f>IFERROR(__xludf.DUMMYFUNCTION("""COMPUTED_VALUE"""),0.0)</f>
        <v>0</v>
      </c>
      <c r="K123" s="3">
        <f>IFERROR(__xludf.DUMMYFUNCTION("""COMPUTED_VALUE"""),0.0)</f>
        <v>0</v>
      </c>
      <c r="L123" s="3">
        <f>IFERROR(__xludf.DUMMYFUNCTION("""COMPUTED_VALUE"""),0.0)</f>
        <v>0</v>
      </c>
      <c r="M123" s="3">
        <f>IFERROR(__xludf.DUMMYFUNCTION("""COMPUTED_VALUE"""),0.0)</f>
        <v>0</v>
      </c>
      <c r="N123" s="3">
        <f>IFERROR(__xludf.DUMMYFUNCTION("""COMPUTED_VALUE"""),0.0)</f>
        <v>0</v>
      </c>
      <c r="O123" s="3">
        <f>IFERROR(__xludf.DUMMYFUNCTION("""COMPUTED_VALUE"""),0.0)</f>
        <v>0</v>
      </c>
      <c r="P123" s="3">
        <f>IFERROR(__xludf.DUMMYFUNCTION("""COMPUTED_VALUE"""),0.0)</f>
        <v>0</v>
      </c>
      <c r="Q123" s="3">
        <f>IFERROR(__xludf.DUMMYFUNCTION("""COMPUTED_VALUE"""),0.0)</f>
        <v>0</v>
      </c>
      <c r="R123" s="3">
        <f>IFERROR(__xludf.DUMMYFUNCTION("""COMPUTED_VALUE"""),0.0)</f>
        <v>0</v>
      </c>
      <c r="S123" s="3">
        <f>IFERROR(__xludf.DUMMYFUNCTION("""COMPUTED_VALUE"""),0.0)</f>
        <v>0</v>
      </c>
      <c r="T123" s="3">
        <f>IFERROR(__xludf.DUMMYFUNCTION("""COMPUTED_VALUE"""),0.0)</f>
        <v>0</v>
      </c>
      <c r="U123" s="3">
        <f>IFERROR(__xludf.DUMMYFUNCTION("""COMPUTED_VALUE"""),0.0)</f>
        <v>0</v>
      </c>
      <c r="V123" s="3">
        <f>IFERROR(__xludf.DUMMYFUNCTION("""COMPUTED_VALUE"""),0.0)</f>
        <v>0</v>
      </c>
      <c r="W123" s="3">
        <f>IFERROR(__xludf.DUMMYFUNCTION("""COMPUTED_VALUE"""),0.0)</f>
        <v>0</v>
      </c>
      <c r="X123" s="3">
        <f>IFERROR(__xludf.DUMMYFUNCTION("""COMPUTED_VALUE"""),0.0)</f>
        <v>0</v>
      </c>
      <c r="Y123" s="3">
        <f>IFERROR(__xludf.DUMMYFUNCTION("""COMPUTED_VALUE"""),0.0)</f>
        <v>0</v>
      </c>
      <c r="Z123" s="3">
        <f>IFERROR(__xludf.DUMMYFUNCTION("""COMPUTED_VALUE"""),0.0)</f>
        <v>0</v>
      </c>
      <c r="AA123" s="3">
        <f>IFERROR(__xludf.DUMMYFUNCTION("""COMPUTED_VALUE"""),0.0)</f>
        <v>0</v>
      </c>
      <c r="AB123" s="3">
        <f>IFERROR(__xludf.DUMMYFUNCTION("""COMPUTED_VALUE"""),0.0)</f>
        <v>0</v>
      </c>
      <c r="AC123" s="3">
        <f>IFERROR(__xludf.DUMMYFUNCTION("""COMPUTED_VALUE"""),0.0)</f>
        <v>0</v>
      </c>
      <c r="AD123" s="3">
        <f>IFERROR(__xludf.DUMMYFUNCTION("""COMPUTED_VALUE"""),0.0)</f>
        <v>0</v>
      </c>
      <c r="AE123" s="3">
        <f>IFERROR(__xludf.DUMMYFUNCTION("""COMPUTED_VALUE"""),0.0)</f>
        <v>0</v>
      </c>
      <c r="AF123" s="3">
        <f>IFERROR(__xludf.DUMMYFUNCTION("""COMPUTED_VALUE"""),0.0)</f>
        <v>0</v>
      </c>
      <c r="AG123" s="3">
        <f>IFERROR(__xludf.DUMMYFUNCTION("""COMPUTED_VALUE"""),0.0)</f>
        <v>0</v>
      </c>
      <c r="AH123" s="3">
        <f>IFERROR(__xludf.DUMMYFUNCTION("""COMPUTED_VALUE"""),0.0)</f>
        <v>0</v>
      </c>
      <c r="AI123" s="3">
        <f>IFERROR(__xludf.DUMMYFUNCTION("""COMPUTED_VALUE"""),0.0)</f>
        <v>0</v>
      </c>
      <c r="AJ123" s="3">
        <f>IFERROR(__xludf.DUMMYFUNCTION("""COMPUTED_VALUE"""),0.0)</f>
        <v>0</v>
      </c>
      <c r="AK123" s="3">
        <f>IFERROR(__xludf.DUMMYFUNCTION("""COMPUTED_VALUE"""),0.0)</f>
        <v>0</v>
      </c>
      <c r="AL123" s="3">
        <f>IFERROR(__xludf.DUMMYFUNCTION("""COMPUTED_VALUE"""),0.0)</f>
        <v>0</v>
      </c>
      <c r="AM123" s="3">
        <f>IFERROR(__xludf.DUMMYFUNCTION("""COMPUTED_VALUE"""),0.0)</f>
        <v>0</v>
      </c>
      <c r="AN123" s="3">
        <f>IFERROR(__xludf.DUMMYFUNCTION("""COMPUTED_VALUE"""),0.0)</f>
        <v>0</v>
      </c>
      <c r="AO123" s="3">
        <f>IFERROR(__xludf.DUMMYFUNCTION("""COMPUTED_VALUE"""),0.0)</f>
        <v>0</v>
      </c>
      <c r="AP123" s="3">
        <f>IFERROR(__xludf.DUMMYFUNCTION("""COMPUTED_VALUE"""),0.0)</f>
        <v>0</v>
      </c>
      <c r="AQ123" s="3">
        <f>IFERROR(__xludf.DUMMYFUNCTION("""COMPUTED_VALUE"""),0.0)</f>
        <v>0</v>
      </c>
      <c r="AR123" s="3">
        <f>IFERROR(__xludf.DUMMYFUNCTION("""COMPUTED_VALUE"""),0.0)</f>
        <v>0</v>
      </c>
      <c r="AS123" s="3">
        <f>IFERROR(__xludf.DUMMYFUNCTION("""COMPUTED_VALUE"""),0.0)</f>
        <v>0</v>
      </c>
      <c r="AT123" s="3">
        <f>IFERROR(__xludf.DUMMYFUNCTION("""COMPUTED_VALUE"""),0.0)</f>
        <v>0</v>
      </c>
      <c r="AU123" s="3">
        <f>IFERROR(__xludf.DUMMYFUNCTION("""COMPUTED_VALUE"""),0.0)</f>
        <v>0</v>
      </c>
      <c r="AV123" s="3">
        <f>IFERROR(__xludf.DUMMYFUNCTION("""COMPUTED_VALUE"""),0.0)</f>
        <v>0</v>
      </c>
      <c r="AW123" s="3">
        <f>IFERROR(__xludf.DUMMYFUNCTION("""COMPUTED_VALUE"""),0.0)</f>
        <v>0</v>
      </c>
      <c r="AX123" s="3">
        <f>IFERROR(__xludf.DUMMYFUNCTION("""COMPUTED_VALUE"""),0.0)</f>
        <v>0</v>
      </c>
      <c r="AY123" s="3">
        <f>IFERROR(__xludf.DUMMYFUNCTION("""COMPUTED_VALUE"""),0.0)</f>
        <v>0</v>
      </c>
      <c r="AZ123" s="3">
        <f>IFERROR(__xludf.DUMMYFUNCTION("""COMPUTED_VALUE"""),0.0)</f>
        <v>0</v>
      </c>
      <c r="BA123" s="3">
        <f>IFERROR(__xludf.DUMMYFUNCTION("""COMPUTED_VALUE"""),0.0)</f>
        <v>0</v>
      </c>
      <c r="BB123" s="3">
        <f>IFERROR(__xludf.DUMMYFUNCTION("""COMPUTED_VALUE"""),0.0)</f>
        <v>0</v>
      </c>
      <c r="BC123" s="3">
        <f>IFERROR(__xludf.DUMMYFUNCTION("""COMPUTED_VALUE"""),0.0)</f>
        <v>0</v>
      </c>
      <c r="BD123" s="3">
        <f>IFERROR(__xludf.DUMMYFUNCTION("""COMPUTED_VALUE"""),0.0)</f>
        <v>0</v>
      </c>
      <c r="BE123" s="3">
        <f>IFERROR(__xludf.DUMMYFUNCTION("""COMPUTED_VALUE"""),3.0)</f>
        <v>3</v>
      </c>
      <c r="BF123" s="3">
        <f>IFERROR(__xludf.DUMMYFUNCTION("""COMPUTED_VALUE"""),6.0)</f>
        <v>6</v>
      </c>
      <c r="BG123" s="3">
        <f>IFERROR(__xludf.DUMMYFUNCTION("""COMPUTED_VALUE"""),6.0)</f>
        <v>6</v>
      </c>
      <c r="BH123" s="3">
        <f>IFERROR(__xludf.DUMMYFUNCTION("""COMPUTED_VALUE"""),7.0)</f>
        <v>7</v>
      </c>
      <c r="BI123" s="3">
        <f>IFERROR(__xludf.DUMMYFUNCTION("""COMPUTED_VALUE"""),7.0)</f>
        <v>7</v>
      </c>
      <c r="BJ123" s="3">
        <f>IFERROR(__xludf.DUMMYFUNCTION("""COMPUTED_VALUE"""),11.0)</f>
        <v>11</v>
      </c>
      <c r="BK123" s="3">
        <f>IFERROR(__xludf.DUMMYFUNCTION("""COMPUTED_VALUE"""),16.0)</f>
        <v>16</v>
      </c>
      <c r="BL123" s="3">
        <f>IFERROR(__xludf.DUMMYFUNCTION("""COMPUTED_VALUE"""),19.0)</f>
        <v>19</v>
      </c>
      <c r="BM123" s="3">
        <f>IFERROR(__xludf.DUMMYFUNCTION("""COMPUTED_VALUE"""),23.0)</f>
        <v>23</v>
      </c>
      <c r="BN123" s="3">
        <f>IFERROR(__xludf.DUMMYFUNCTION("""COMPUTED_VALUE"""),27.0)</f>
        <v>27</v>
      </c>
      <c r="BO123" s="3">
        <f>IFERROR(__xludf.DUMMYFUNCTION("""COMPUTED_VALUE"""),53.0)</f>
        <v>53</v>
      </c>
      <c r="BP123" s="3">
        <f>IFERROR(__xludf.DUMMYFUNCTION("""COMPUTED_VALUE"""),93.0)</f>
        <v>93</v>
      </c>
      <c r="BQ123" s="3">
        <f>IFERROR(__xludf.DUMMYFUNCTION("""COMPUTED_VALUE"""),132.0)</f>
        <v>132</v>
      </c>
      <c r="BR123" s="3">
        <f>IFERROR(__xludf.DUMMYFUNCTION("""COMPUTED_VALUE"""),137.0)</f>
        <v>137</v>
      </c>
      <c r="BS123" s="3">
        <f>IFERROR(__xludf.DUMMYFUNCTION("""COMPUTED_VALUE"""),141.0)</f>
        <v>141</v>
      </c>
      <c r="BT123" s="3">
        <f>IFERROR(__xludf.DUMMYFUNCTION("""COMPUTED_VALUE"""),152.0)</f>
        <v>152</v>
      </c>
      <c r="BU123" s="3">
        <f>IFERROR(__xludf.DUMMYFUNCTION("""COMPUTED_VALUE"""),152.0)</f>
        <v>152</v>
      </c>
      <c r="BV123" s="3">
        <f>IFERROR(__xludf.DUMMYFUNCTION("""COMPUTED_VALUE"""),161.0)</f>
        <v>161</v>
      </c>
      <c r="BW123" s="3">
        <f>IFERROR(__xludf.DUMMYFUNCTION("""COMPUTED_VALUE"""),195.0)</f>
        <v>195</v>
      </c>
      <c r="BX123" s="3">
        <f>IFERROR(__xludf.DUMMYFUNCTION("""COMPUTED_VALUE"""),204.0)</f>
        <v>204</v>
      </c>
      <c r="BY123" s="3">
        <f>IFERROR(__xludf.DUMMYFUNCTION("""COMPUTED_VALUE"""),205.0)</f>
        <v>205</v>
      </c>
      <c r="BZ123" s="3">
        <f>IFERROR(__xludf.DUMMYFUNCTION("""COMPUTED_VALUE"""),205.0)</f>
        <v>205</v>
      </c>
      <c r="CA123" s="3">
        <f>IFERROR(__xludf.DUMMYFUNCTION("""COMPUTED_VALUE"""),214.0)</f>
        <v>214</v>
      </c>
      <c r="CB123" s="3">
        <f>IFERROR(__xludf.DUMMYFUNCTION("""COMPUTED_VALUE"""),214.0)</f>
        <v>214</v>
      </c>
    </row>
    <row r="124">
      <c r="A124" s="3" t="str">
        <f>IFERROR(__xludf.DUMMYFUNCTION("""COMPUTED_VALUE"""),"")</f>
        <v/>
      </c>
      <c r="B124" s="3" t="str">
        <f>IFERROR(__xludf.DUMMYFUNCTION("""COMPUTED_VALUE"""),"Greece")</f>
        <v>Greece</v>
      </c>
      <c r="C124" s="3">
        <f>IFERROR(__xludf.DUMMYFUNCTION("""COMPUTED_VALUE"""),39.0742)</f>
        <v>39.0742</v>
      </c>
      <c r="D124" s="3">
        <f>IFERROR(__xludf.DUMMYFUNCTION("""COMPUTED_VALUE"""),21.8243)</f>
        <v>21.8243</v>
      </c>
      <c r="E124" s="3">
        <f>IFERROR(__xludf.DUMMYFUNCTION("""COMPUTED_VALUE"""),0.0)</f>
        <v>0</v>
      </c>
      <c r="F124" s="3">
        <f>IFERROR(__xludf.DUMMYFUNCTION("""COMPUTED_VALUE"""),0.0)</f>
        <v>0</v>
      </c>
      <c r="G124" s="3">
        <f>IFERROR(__xludf.DUMMYFUNCTION("""COMPUTED_VALUE"""),0.0)</f>
        <v>0</v>
      </c>
      <c r="H124" s="3">
        <f>IFERROR(__xludf.DUMMYFUNCTION("""COMPUTED_VALUE"""),0.0)</f>
        <v>0</v>
      </c>
      <c r="I124" s="3">
        <f>IFERROR(__xludf.DUMMYFUNCTION("""COMPUTED_VALUE"""),0.0)</f>
        <v>0</v>
      </c>
      <c r="J124" s="3">
        <f>IFERROR(__xludf.DUMMYFUNCTION("""COMPUTED_VALUE"""),0.0)</f>
        <v>0</v>
      </c>
      <c r="K124" s="3">
        <f>IFERROR(__xludf.DUMMYFUNCTION("""COMPUTED_VALUE"""),0.0)</f>
        <v>0</v>
      </c>
      <c r="L124" s="3">
        <f>IFERROR(__xludf.DUMMYFUNCTION("""COMPUTED_VALUE"""),0.0)</f>
        <v>0</v>
      </c>
      <c r="M124" s="3">
        <f>IFERROR(__xludf.DUMMYFUNCTION("""COMPUTED_VALUE"""),0.0)</f>
        <v>0</v>
      </c>
      <c r="N124" s="3">
        <f>IFERROR(__xludf.DUMMYFUNCTION("""COMPUTED_VALUE"""),0.0)</f>
        <v>0</v>
      </c>
      <c r="O124" s="3">
        <f>IFERROR(__xludf.DUMMYFUNCTION("""COMPUTED_VALUE"""),0.0)</f>
        <v>0</v>
      </c>
      <c r="P124" s="3">
        <f>IFERROR(__xludf.DUMMYFUNCTION("""COMPUTED_VALUE"""),0.0)</f>
        <v>0</v>
      </c>
      <c r="Q124" s="3">
        <f>IFERROR(__xludf.DUMMYFUNCTION("""COMPUTED_VALUE"""),0.0)</f>
        <v>0</v>
      </c>
      <c r="R124" s="3">
        <f>IFERROR(__xludf.DUMMYFUNCTION("""COMPUTED_VALUE"""),0.0)</f>
        <v>0</v>
      </c>
      <c r="S124" s="3">
        <f>IFERROR(__xludf.DUMMYFUNCTION("""COMPUTED_VALUE"""),0.0)</f>
        <v>0</v>
      </c>
      <c r="T124" s="3">
        <f>IFERROR(__xludf.DUMMYFUNCTION("""COMPUTED_VALUE"""),0.0)</f>
        <v>0</v>
      </c>
      <c r="U124" s="3">
        <f>IFERROR(__xludf.DUMMYFUNCTION("""COMPUTED_VALUE"""),0.0)</f>
        <v>0</v>
      </c>
      <c r="V124" s="3">
        <f>IFERROR(__xludf.DUMMYFUNCTION("""COMPUTED_VALUE"""),0.0)</f>
        <v>0</v>
      </c>
      <c r="W124" s="3">
        <f>IFERROR(__xludf.DUMMYFUNCTION("""COMPUTED_VALUE"""),0.0)</f>
        <v>0</v>
      </c>
      <c r="X124" s="3">
        <f>IFERROR(__xludf.DUMMYFUNCTION("""COMPUTED_VALUE"""),0.0)</f>
        <v>0</v>
      </c>
      <c r="Y124" s="3">
        <f>IFERROR(__xludf.DUMMYFUNCTION("""COMPUTED_VALUE"""),0.0)</f>
        <v>0</v>
      </c>
      <c r="Z124" s="3">
        <f>IFERROR(__xludf.DUMMYFUNCTION("""COMPUTED_VALUE"""),0.0)</f>
        <v>0</v>
      </c>
      <c r="AA124" s="3">
        <f>IFERROR(__xludf.DUMMYFUNCTION("""COMPUTED_VALUE"""),0.0)</f>
        <v>0</v>
      </c>
      <c r="AB124" s="3">
        <f>IFERROR(__xludf.DUMMYFUNCTION("""COMPUTED_VALUE"""),0.0)</f>
        <v>0</v>
      </c>
      <c r="AC124" s="3">
        <f>IFERROR(__xludf.DUMMYFUNCTION("""COMPUTED_VALUE"""),0.0)</f>
        <v>0</v>
      </c>
      <c r="AD124" s="3">
        <f>IFERROR(__xludf.DUMMYFUNCTION("""COMPUTED_VALUE"""),0.0)</f>
        <v>0</v>
      </c>
      <c r="AE124" s="3">
        <f>IFERROR(__xludf.DUMMYFUNCTION("""COMPUTED_VALUE"""),0.0)</f>
        <v>0</v>
      </c>
      <c r="AF124" s="3">
        <f>IFERROR(__xludf.DUMMYFUNCTION("""COMPUTED_VALUE"""),0.0)</f>
        <v>0</v>
      </c>
      <c r="AG124" s="3">
        <f>IFERROR(__xludf.DUMMYFUNCTION("""COMPUTED_VALUE"""),0.0)</f>
        <v>0</v>
      </c>
      <c r="AH124" s="3">
        <f>IFERROR(__xludf.DUMMYFUNCTION("""COMPUTED_VALUE"""),0.0)</f>
        <v>0</v>
      </c>
      <c r="AI124" s="3">
        <f>IFERROR(__xludf.DUMMYFUNCTION("""COMPUTED_VALUE"""),0.0)</f>
        <v>0</v>
      </c>
      <c r="AJ124" s="3">
        <f>IFERROR(__xludf.DUMMYFUNCTION("""COMPUTED_VALUE"""),0.0)</f>
        <v>0</v>
      </c>
      <c r="AK124" s="3">
        <f>IFERROR(__xludf.DUMMYFUNCTION("""COMPUTED_VALUE"""),0.0)</f>
        <v>0</v>
      </c>
      <c r="AL124" s="3">
        <f>IFERROR(__xludf.DUMMYFUNCTION("""COMPUTED_VALUE"""),0.0)</f>
        <v>0</v>
      </c>
      <c r="AM124" s="3">
        <f>IFERROR(__xludf.DUMMYFUNCTION("""COMPUTED_VALUE"""),0.0)</f>
        <v>0</v>
      </c>
      <c r="AN124" s="3">
        <f>IFERROR(__xludf.DUMMYFUNCTION("""COMPUTED_VALUE"""),1.0)</f>
        <v>1</v>
      </c>
      <c r="AO124" s="3">
        <f>IFERROR(__xludf.DUMMYFUNCTION("""COMPUTED_VALUE"""),3.0)</f>
        <v>3</v>
      </c>
      <c r="AP124" s="3">
        <f>IFERROR(__xludf.DUMMYFUNCTION("""COMPUTED_VALUE"""),4.0)</f>
        <v>4</v>
      </c>
      <c r="AQ124" s="3">
        <f>IFERROR(__xludf.DUMMYFUNCTION("""COMPUTED_VALUE"""),4.0)</f>
        <v>4</v>
      </c>
      <c r="AR124" s="3">
        <f>IFERROR(__xludf.DUMMYFUNCTION("""COMPUTED_VALUE"""),7.0)</f>
        <v>7</v>
      </c>
      <c r="AS124" s="3">
        <f>IFERROR(__xludf.DUMMYFUNCTION("""COMPUTED_VALUE"""),7.0)</f>
        <v>7</v>
      </c>
      <c r="AT124" s="3">
        <f>IFERROR(__xludf.DUMMYFUNCTION("""COMPUTED_VALUE"""),7.0)</f>
        <v>7</v>
      </c>
      <c r="AU124" s="3">
        <f>IFERROR(__xludf.DUMMYFUNCTION("""COMPUTED_VALUE"""),9.0)</f>
        <v>9</v>
      </c>
      <c r="AV124" s="3">
        <f>IFERROR(__xludf.DUMMYFUNCTION("""COMPUTED_VALUE"""),31.0)</f>
        <v>31</v>
      </c>
      <c r="AW124" s="3">
        <f>IFERROR(__xludf.DUMMYFUNCTION("""COMPUTED_VALUE"""),45.0)</f>
        <v>45</v>
      </c>
      <c r="AX124" s="3">
        <f>IFERROR(__xludf.DUMMYFUNCTION("""COMPUTED_VALUE"""),46.0)</f>
        <v>46</v>
      </c>
      <c r="AY124" s="3">
        <f>IFERROR(__xludf.DUMMYFUNCTION("""COMPUTED_VALUE"""),73.0)</f>
        <v>73</v>
      </c>
      <c r="AZ124" s="3">
        <f>IFERROR(__xludf.DUMMYFUNCTION("""COMPUTED_VALUE"""),73.0)</f>
        <v>73</v>
      </c>
      <c r="BA124" s="3">
        <f>IFERROR(__xludf.DUMMYFUNCTION("""COMPUTED_VALUE"""),89.0)</f>
        <v>89</v>
      </c>
      <c r="BB124" s="3">
        <f>IFERROR(__xludf.DUMMYFUNCTION("""COMPUTED_VALUE"""),99.0)</f>
        <v>99</v>
      </c>
      <c r="BC124" s="3">
        <f>IFERROR(__xludf.DUMMYFUNCTION("""COMPUTED_VALUE"""),99.0)</f>
        <v>99</v>
      </c>
      <c r="BD124" s="3">
        <f>IFERROR(__xludf.DUMMYFUNCTION("""COMPUTED_VALUE"""),190.0)</f>
        <v>190</v>
      </c>
      <c r="BE124" s="3">
        <f>IFERROR(__xludf.DUMMYFUNCTION("""COMPUTED_VALUE"""),228.0)</f>
        <v>228</v>
      </c>
      <c r="BF124" s="3">
        <f>IFERROR(__xludf.DUMMYFUNCTION("""COMPUTED_VALUE"""),331.0)</f>
        <v>331</v>
      </c>
      <c r="BG124" s="3">
        <f>IFERROR(__xludf.DUMMYFUNCTION("""COMPUTED_VALUE"""),331.0)</f>
        <v>331</v>
      </c>
      <c r="BH124" s="3">
        <f>IFERROR(__xludf.DUMMYFUNCTION("""COMPUTED_VALUE"""),387.0)</f>
        <v>387</v>
      </c>
      <c r="BI124" s="3">
        <f>IFERROR(__xludf.DUMMYFUNCTION("""COMPUTED_VALUE"""),418.0)</f>
        <v>418</v>
      </c>
      <c r="BJ124" s="3">
        <f>IFERROR(__xludf.DUMMYFUNCTION("""COMPUTED_VALUE"""),418.0)</f>
        <v>418</v>
      </c>
      <c r="BK124" s="3">
        <f>IFERROR(__xludf.DUMMYFUNCTION("""COMPUTED_VALUE"""),495.0)</f>
        <v>495</v>
      </c>
      <c r="BL124" s="3">
        <f>IFERROR(__xludf.DUMMYFUNCTION("""COMPUTED_VALUE"""),530.0)</f>
        <v>530</v>
      </c>
      <c r="BM124" s="3">
        <f>IFERROR(__xludf.DUMMYFUNCTION("""COMPUTED_VALUE"""),624.0)</f>
        <v>624</v>
      </c>
      <c r="BN124" s="3">
        <f>IFERROR(__xludf.DUMMYFUNCTION("""COMPUTED_VALUE"""),695.0)</f>
        <v>695</v>
      </c>
      <c r="BO124" s="3">
        <f>IFERROR(__xludf.DUMMYFUNCTION("""COMPUTED_VALUE"""),743.0)</f>
        <v>743</v>
      </c>
      <c r="BP124" s="3">
        <f>IFERROR(__xludf.DUMMYFUNCTION("""COMPUTED_VALUE"""),821.0)</f>
        <v>821</v>
      </c>
      <c r="BQ124" s="3">
        <f>IFERROR(__xludf.DUMMYFUNCTION("""COMPUTED_VALUE"""),892.0)</f>
        <v>892</v>
      </c>
      <c r="BR124" s="3">
        <f>IFERROR(__xludf.DUMMYFUNCTION("""COMPUTED_VALUE"""),966.0)</f>
        <v>966</v>
      </c>
      <c r="BS124" s="3">
        <f>IFERROR(__xludf.DUMMYFUNCTION("""COMPUTED_VALUE"""),1061.0)</f>
        <v>1061</v>
      </c>
      <c r="BT124" s="3">
        <f>IFERROR(__xludf.DUMMYFUNCTION("""COMPUTED_VALUE"""),1156.0)</f>
        <v>1156</v>
      </c>
      <c r="BU124" s="3">
        <f>IFERROR(__xludf.DUMMYFUNCTION("""COMPUTED_VALUE"""),1212.0)</f>
        <v>1212</v>
      </c>
      <c r="BV124" s="3">
        <f>IFERROR(__xludf.DUMMYFUNCTION("""COMPUTED_VALUE"""),1314.0)</f>
        <v>1314</v>
      </c>
      <c r="BW124" s="3">
        <f>IFERROR(__xludf.DUMMYFUNCTION("""COMPUTED_VALUE"""),1415.0)</f>
        <v>1415</v>
      </c>
      <c r="BX124" s="3">
        <f>IFERROR(__xludf.DUMMYFUNCTION("""COMPUTED_VALUE"""),1544.0)</f>
        <v>1544</v>
      </c>
      <c r="BY124" s="3">
        <f>IFERROR(__xludf.DUMMYFUNCTION("""COMPUTED_VALUE"""),1613.0)</f>
        <v>1613</v>
      </c>
      <c r="BZ124" s="3">
        <f>IFERROR(__xludf.DUMMYFUNCTION("""COMPUTED_VALUE"""),1673.0)</f>
        <v>1673</v>
      </c>
      <c r="CA124" s="3">
        <f>IFERROR(__xludf.DUMMYFUNCTION("""COMPUTED_VALUE"""),1735.0)</f>
        <v>1735</v>
      </c>
      <c r="CB124" s="3">
        <f>IFERROR(__xludf.DUMMYFUNCTION("""COMPUTED_VALUE"""),1755.0)</f>
        <v>1755</v>
      </c>
    </row>
    <row r="125">
      <c r="A125" s="3" t="str">
        <f>IFERROR(__xludf.DUMMYFUNCTION("""COMPUTED_VALUE"""),"")</f>
        <v/>
      </c>
      <c r="B125" s="3" t="str">
        <f>IFERROR(__xludf.DUMMYFUNCTION("""COMPUTED_VALUE"""),"Guatemala")</f>
        <v>Guatemala</v>
      </c>
      <c r="C125" s="3">
        <f>IFERROR(__xludf.DUMMYFUNCTION("""COMPUTED_VALUE"""),15.7835)</f>
        <v>15.7835</v>
      </c>
      <c r="D125" s="3">
        <f>IFERROR(__xludf.DUMMYFUNCTION("""COMPUTED_VALUE"""),-90.2308)</f>
        <v>-90.2308</v>
      </c>
      <c r="E125" s="3">
        <f>IFERROR(__xludf.DUMMYFUNCTION("""COMPUTED_VALUE"""),0.0)</f>
        <v>0</v>
      </c>
      <c r="F125" s="3">
        <f>IFERROR(__xludf.DUMMYFUNCTION("""COMPUTED_VALUE"""),0.0)</f>
        <v>0</v>
      </c>
      <c r="G125" s="3">
        <f>IFERROR(__xludf.DUMMYFUNCTION("""COMPUTED_VALUE"""),0.0)</f>
        <v>0</v>
      </c>
      <c r="H125" s="3">
        <f>IFERROR(__xludf.DUMMYFUNCTION("""COMPUTED_VALUE"""),0.0)</f>
        <v>0</v>
      </c>
      <c r="I125" s="3">
        <f>IFERROR(__xludf.DUMMYFUNCTION("""COMPUTED_VALUE"""),0.0)</f>
        <v>0</v>
      </c>
      <c r="J125" s="3">
        <f>IFERROR(__xludf.DUMMYFUNCTION("""COMPUTED_VALUE"""),0.0)</f>
        <v>0</v>
      </c>
      <c r="K125" s="3">
        <f>IFERROR(__xludf.DUMMYFUNCTION("""COMPUTED_VALUE"""),0.0)</f>
        <v>0</v>
      </c>
      <c r="L125" s="3">
        <f>IFERROR(__xludf.DUMMYFUNCTION("""COMPUTED_VALUE"""),0.0)</f>
        <v>0</v>
      </c>
      <c r="M125" s="3">
        <f>IFERROR(__xludf.DUMMYFUNCTION("""COMPUTED_VALUE"""),0.0)</f>
        <v>0</v>
      </c>
      <c r="N125" s="3">
        <f>IFERROR(__xludf.DUMMYFUNCTION("""COMPUTED_VALUE"""),0.0)</f>
        <v>0</v>
      </c>
      <c r="O125" s="3">
        <f>IFERROR(__xludf.DUMMYFUNCTION("""COMPUTED_VALUE"""),0.0)</f>
        <v>0</v>
      </c>
      <c r="P125" s="3">
        <f>IFERROR(__xludf.DUMMYFUNCTION("""COMPUTED_VALUE"""),0.0)</f>
        <v>0</v>
      </c>
      <c r="Q125" s="3">
        <f>IFERROR(__xludf.DUMMYFUNCTION("""COMPUTED_VALUE"""),0.0)</f>
        <v>0</v>
      </c>
      <c r="R125" s="3">
        <f>IFERROR(__xludf.DUMMYFUNCTION("""COMPUTED_VALUE"""),0.0)</f>
        <v>0</v>
      </c>
      <c r="S125" s="3">
        <f>IFERROR(__xludf.DUMMYFUNCTION("""COMPUTED_VALUE"""),0.0)</f>
        <v>0</v>
      </c>
      <c r="T125" s="3">
        <f>IFERROR(__xludf.DUMMYFUNCTION("""COMPUTED_VALUE"""),0.0)</f>
        <v>0</v>
      </c>
      <c r="U125" s="3">
        <f>IFERROR(__xludf.DUMMYFUNCTION("""COMPUTED_VALUE"""),0.0)</f>
        <v>0</v>
      </c>
      <c r="V125" s="3">
        <f>IFERROR(__xludf.DUMMYFUNCTION("""COMPUTED_VALUE"""),0.0)</f>
        <v>0</v>
      </c>
      <c r="W125" s="3">
        <f>IFERROR(__xludf.DUMMYFUNCTION("""COMPUTED_VALUE"""),0.0)</f>
        <v>0</v>
      </c>
      <c r="X125" s="3">
        <f>IFERROR(__xludf.DUMMYFUNCTION("""COMPUTED_VALUE"""),0.0)</f>
        <v>0</v>
      </c>
      <c r="Y125" s="3">
        <f>IFERROR(__xludf.DUMMYFUNCTION("""COMPUTED_VALUE"""),0.0)</f>
        <v>0</v>
      </c>
      <c r="Z125" s="3">
        <f>IFERROR(__xludf.DUMMYFUNCTION("""COMPUTED_VALUE"""),0.0)</f>
        <v>0</v>
      </c>
      <c r="AA125" s="3">
        <f>IFERROR(__xludf.DUMMYFUNCTION("""COMPUTED_VALUE"""),0.0)</f>
        <v>0</v>
      </c>
      <c r="AB125" s="3">
        <f>IFERROR(__xludf.DUMMYFUNCTION("""COMPUTED_VALUE"""),0.0)</f>
        <v>0</v>
      </c>
      <c r="AC125" s="3">
        <f>IFERROR(__xludf.DUMMYFUNCTION("""COMPUTED_VALUE"""),0.0)</f>
        <v>0</v>
      </c>
      <c r="AD125" s="3">
        <f>IFERROR(__xludf.DUMMYFUNCTION("""COMPUTED_VALUE"""),0.0)</f>
        <v>0</v>
      </c>
      <c r="AE125" s="3">
        <f>IFERROR(__xludf.DUMMYFUNCTION("""COMPUTED_VALUE"""),0.0)</f>
        <v>0</v>
      </c>
      <c r="AF125" s="3">
        <f>IFERROR(__xludf.DUMMYFUNCTION("""COMPUTED_VALUE"""),0.0)</f>
        <v>0</v>
      </c>
      <c r="AG125" s="3">
        <f>IFERROR(__xludf.DUMMYFUNCTION("""COMPUTED_VALUE"""),0.0)</f>
        <v>0</v>
      </c>
      <c r="AH125" s="3">
        <f>IFERROR(__xludf.DUMMYFUNCTION("""COMPUTED_VALUE"""),0.0)</f>
        <v>0</v>
      </c>
      <c r="AI125" s="3">
        <f>IFERROR(__xludf.DUMMYFUNCTION("""COMPUTED_VALUE"""),0.0)</f>
        <v>0</v>
      </c>
      <c r="AJ125" s="3">
        <f>IFERROR(__xludf.DUMMYFUNCTION("""COMPUTED_VALUE"""),0.0)</f>
        <v>0</v>
      </c>
      <c r="AK125" s="3">
        <f>IFERROR(__xludf.DUMMYFUNCTION("""COMPUTED_VALUE"""),0.0)</f>
        <v>0</v>
      </c>
      <c r="AL125" s="3">
        <f>IFERROR(__xludf.DUMMYFUNCTION("""COMPUTED_VALUE"""),0.0)</f>
        <v>0</v>
      </c>
      <c r="AM125" s="3">
        <f>IFERROR(__xludf.DUMMYFUNCTION("""COMPUTED_VALUE"""),0.0)</f>
        <v>0</v>
      </c>
      <c r="AN125" s="3">
        <f>IFERROR(__xludf.DUMMYFUNCTION("""COMPUTED_VALUE"""),0.0)</f>
        <v>0</v>
      </c>
      <c r="AO125" s="3">
        <f>IFERROR(__xludf.DUMMYFUNCTION("""COMPUTED_VALUE"""),0.0)</f>
        <v>0</v>
      </c>
      <c r="AP125" s="3">
        <f>IFERROR(__xludf.DUMMYFUNCTION("""COMPUTED_VALUE"""),0.0)</f>
        <v>0</v>
      </c>
      <c r="AQ125" s="3">
        <f>IFERROR(__xludf.DUMMYFUNCTION("""COMPUTED_VALUE"""),0.0)</f>
        <v>0</v>
      </c>
      <c r="AR125" s="3">
        <f>IFERROR(__xludf.DUMMYFUNCTION("""COMPUTED_VALUE"""),0.0)</f>
        <v>0</v>
      </c>
      <c r="AS125" s="3">
        <f>IFERROR(__xludf.DUMMYFUNCTION("""COMPUTED_VALUE"""),0.0)</f>
        <v>0</v>
      </c>
      <c r="AT125" s="3">
        <f>IFERROR(__xludf.DUMMYFUNCTION("""COMPUTED_VALUE"""),0.0)</f>
        <v>0</v>
      </c>
      <c r="AU125" s="3">
        <f>IFERROR(__xludf.DUMMYFUNCTION("""COMPUTED_VALUE"""),0.0)</f>
        <v>0</v>
      </c>
      <c r="AV125" s="3">
        <f>IFERROR(__xludf.DUMMYFUNCTION("""COMPUTED_VALUE"""),0.0)</f>
        <v>0</v>
      </c>
      <c r="AW125" s="3">
        <f>IFERROR(__xludf.DUMMYFUNCTION("""COMPUTED_VALUE"""),0.0)</f>
        <v>0</v>
      </c>
      <c r="AX125" s="3">
        <f>IFERROR(__xludf.DUMMYFUNCTION("""COMPUTED_VALUE"""),0.0)</f>
        <v>0</v>
      </c>
      <c r="AY125" s="3">
        <f>IFERROR(__xludf.DUMMYFUNCTION("""COMPUTED_VALUE"""),0.0)</f>
        <v>0</v>
      </c>
      <c r="AZ125" s="3">
        <f>IFERROR(__xludf.DUMMYFUNCTION("""COMPUTED_VALUE"""),0.0)</f>
        <v>0</v>
      </c>
      <c r="BA125" s="3">
        <f>IFERROR(__xludf.DUMMYFUNCTION("""COMPUTED_VALUE"""),0.0)</f>
        <v>0</v>
      </c>
      <c r="BB125" s="3">
        <f>IFERROR(__xludf.DUMMYFUNCTION("""COMPUTED_VALUE"""),0.0)</f>
        <v>0</v>
      </c>
      <c r="BC125" s="3">
        <f>IFERROR(__xludf.DUMMYFUNCTION("""COMPUTED_VALUE"""),0.0)</f>
        <v>0</v>
      </c>
      <c r="BD125" s="3">
        <f>IFERROR(__xludf.DUMMYFUNCTION("""COMPUTED_VALUE"""),0.0)</f>
        <v>0</v>
      </c>
      <c r="BE125" s="3">
        <f>IFERROR(__xludf.DUMMYFUNCTION("""COMPUTED_VALUE"""),1.0)</f>
        <v>1</v>
      </c>
      <c r="BF125" s="3">
        <f>IFERROR(__xludf.DUMMYFUNCTION("""COMPUTED_VALUE"""),1.0)</f>
        <v>1</v>
      </c>
      <c r="BG125" s="3">
        <f>IFERROR(__xludf.DUMMYFUNCTION("""COMPUTED_VALUE"""),2.0)</f>
        <v>2</v>
      </c>
      <c r="BH125" s="3">
        <f>IFERROR(__xludf.DUMMYFUNCTION("""COMPUTED_VALUE"""),6.0)</f>
        <v>6</v>
      </c>
      <c r="BI125" s="3">
        <f>IFERROR(__xludf.DUMMYFUNCTION("""COMPUTED_VALUE"""),6.0)</f>
        <v>6</v>
      </c>
      <c r="BJ125" s="3">
        <f>IFERROR(__xludf.DUMMYFUNCTION("""COMPUTED_VALUE"""),9.0)</f>
        <v>9</v>
      </c>
      <c r="BK125" s="3">
        <f>IFERROR(__xludf.DUMMYFUNCTION("""COMPUTED_VALUE"""),12.0)</f>
        <v>12</v>
      </c>
      <c r="BL125" s="3">
        <f>IFERROR(__xludf.DUMMYFUNCTION("""COMPUTED_VALUE"""),17.0)</f>
        <v>17</v>
      </c>
      <c r="BM125" s="3">
        <f>IFERROR(__xludf.DUMMYFUNCTION("""COMPUTED_VALUE"""),19.0)</f>
        <v>19</v>
      </c>
      <c r="BN125" s="3">
        <f>IFERROR(__xludf.DUMMYFUNCTION("""COMPUTED_VALUE"""),20.0)</f>
        <v>20</v>
      </c>
      <c r="BO125" s="3">
        <f>IFERROR(__xludf.DUMMYFUNCTION("""COMPUTED_VALUE"""),21.0)</f>
        <v>21</v>
      </c>
      <c r="BP125" s="3">
        <f>IFERROR(__xludf.DUMMYFUNCTION("""COMPUTED_VALUE"""),24.0)</f>
        <v>24</v>
      </c>
      <c r="BQ125" s="3">
        <f>IFERROR(__xludf.DUMMYFUNCTION("""COMPUTED_VALUE"""),25.0)</f>
        <v>25</v>
      </c>
      <c r="BR125" s="3">
        <f>IFERROR(__xludf.DUMMYFUNCTION("""COMPUTED_VALUE"""),28.0)</f>
        <v>28</v>
      </c>
      <c r="BS125" s="3">
        <f>IFERROR(__xludf.DUMMYFUNCTION("""COMPUTED_VALUE"""),34.0)</f>
        <v>34</v>
      </c>
      <c r="BT125" s="3">
        <f>IFERROR(__xludf.DUMMYFUNCTION("""COMPUTED_VALUE"""),34.0)</f>
        <v>34</v>
      </c>
      <c r="BU125" s="3">
        <f>IFERROR(__xludf.DUMMYFUNCTION("""COMPUTED_VALUE"""),36.0)</f>
        <v>36</v>
      </c>
      <c r="BV125" s="3">
        <f>IFERROR(__xludf.DUMMYFUNCTION("""COMPUTED_VALUE"""),38.0)</f>
        <v>38</v>
      </c>
      <c r="BW125" s="3">
        <f>IFERROR(__xludf.DUMMYFUNCTION("""COMPUTED_VALUE"""),39.0)</f>
        <v>39</v>
      </c>
      <c r="BX125" s="3">
        <f>IFERROR(__xludf.DUMMYFUNCTION("""COMPUTED_VALUE"""),47.0)</f>
        <v>47</v>
      </c>
      <c r="BY125" s="3">
        <f>IFERROR(__xludf.DUMMYFUNCTION("""COMPUTED_VALUE"""),50.0)</f>
        <v>50</v>
      </c>
      <c r="BZ125" s="3">
        <f>IFERROR(__xludf.DUMMYFUNCTION("""COMPUTED_VALUE"""),61.0)</f>
        <v>61</v>
      </c>
      <c r="CA125" s="3">
        <f>IFERROR(__xludf.DUMMYFUNCTION("""COMPUTED_VALUE"""),61.0)</f>
        <v>61</v>
      </c>
      <c r="CB125" s="3">
        <f>IFERROR(__xludf.DUMMYFUNCTION("""COMPUTED_VALUE"""),70.0)</f>
        <v>70</v>
      </c>
    </row>
    <row r="126">
      <c r="A126" s="3" t="str">
        <f>IFERROR(__xludf.DUMMYFUNCTION("""COMPUTED_VALUE"""),"")</f>
        <v/>
      </c>
      <c r="B126" s="3" t="str">
        <f>IFERROR(__xludf.DUMMYFUNCTION("""COMPUTED_VALUE"""),"Guinea")</f>
        <v>Guinea</v>
      </c>
      <c r="C126" s="3">
        <f>IFERROR(__xludf.DUMMYFUNCTION("""COMPUTED_VALUE"""),9.9456)</f>
        <v>9.9456</v>
      </c>
      <c r="D126" s="3">
        <f>IFERROR(__xludf.DUMMYFUNCTION("""COMPUTED_VALUE"""),-9.6966)</f>
        <v>-9.6966</v>
      </c>
      <c r="E126" s="3">
        <f>IFERROR(__xludf.DUMMYFUNCTION("""COMPUTED_VALUE"""),0.0)</f>
        <v>0</v>
      </c>
      <c r="F126" s="3">
        <f>IFERROR(__xludf.DUMMYFUNCTION("""COMPUTED_VALUE"""),0.0)</f>
        <v>0</v>
      </c>
      <c r="G126" s="3">
        <f>IFERROR(__xludf.DUMMYFUNCTION("""COMPUTED_VALUE"""),0.0)</f>
        <v>0</v>
      </c>
      <c r="H126" s="3">
        <f>IFERROR(__xludf.DUMMYFUNCTION("""COMPUTED_VALUE"""),0.0)</f>
        <v>0</v>
      </c>
      <c r="I126" s="3">
        <f>IFERROR(__xludf.DUMMYFUNCTION("""COMPUTED_VALUE"""),0.0)</f>
        <v>0</v>
      </c>
      <c r="J126" s="3">
        <f>IFERROR(__xludf.DUMMYFUNCTION("""COMPUTED_VALUE"""),0.0)</f>
        <v>0</v>
      </c>
      <c r="K126" s="3">
        <f>IFERROR(__xludf.DUMMYFUNCTION("""COMPUTED_VALUE"""),0.0)</f>
        <v>0</v>
      </c>
      <c r="L126" s="3">
        <f>IFERROR(__xludf.DUMMYFUNCTION("""COMPUTED_VALUE"""),0.0)</f>
        <v>0</v>
      </c>
      <c r="M126" s="3">
        <f>IFERROR(__xludf.DUMMYFUNCTION("""COMPUTED_VALUE"""),0.0)</f>
        <v>0</v>
      </c>
      <c r="N126" s="3">
        <f>IFERROR(__xludf.DUMMYFUNCTION("""COMPUTED_VALUE"""),0.0)</f>
        <v>0</v>
      </c>
      <c r="O126" s="3">
        <f>IFERROR(__xludf.DUMMYFUNCTION("""COMPUTED_VALUE"""),0.0)</f>
        <v>0</v>
      </c>
      <c r="P126" s="3">
        <f>IFERROR(__xludf.DUMMYFUNCTION("""COMPUTED_VALUE"""),0.0)</f>
        <v>0</v>
      </c>
      <c r="Q126" s="3">
        <f>IFERROR(__xludf.DUMMYFUNCTION("""COMPUTED_VALUE"""),0.0)</f>
        <v>0</v>
      </c>
      <c r="R126" s="3">
        <f>IFERROR(__xludf.DUMMYFUNCTION("""COMPUTED_VALUE"""),0.0)</f>
        <v>0</v>
      </c>
      <c r="S126" s="3">
        <f>IFERROR(__xludf.DUMMYFUNCTION("""COMPUTED_VALUE"""),0.0)</f>
        <v>0</v>
      </c>
      <c r="T126" s="3">
        <f>IFERROR(__xludf.DUMMYFUNCTION("""COMPUTED_VALUE"""),0.0)</f>
        <v>0</v>
      </c>
      <c r="U126" s="3">
        <f>IFERROR(__xludf.DUMMYFUNCTION("""COMPUTED_VALUE"""),0.0)</f>
        <v>0</v>
      </c>
      <c r="V126" s="3">
        <f>IFERROR(__xludf.DUMMYFUNCTION("""COMPUTED_VALUE"""),0.0)</f>
        <v>0</v>
      </c>
      <c r="W126" s="3">
        <f>IFERROR(__xludf.DUMMYFUNCTION("""COMPUTED_VALUE"""),0.0)</f>
        <v>0</v>
      </c>
      <c r="X126" s="3">
        <f>IFERROR(__xludf.DUMMYFUNCTION("""COMPUTED_VALUE"""),0.0)</f>
        <v>0</v>
      </c>
      <c r="Y126" s="3">
        <f>IFERROR(__xludf.DUMMYFUNCTION("""COMPUTED_VALUE"""),0.0)</f>
        <v>0</v>
      </c>
      <c r="Z126" s="3">
        <f>IFERROR(__xludf.DUMMYFUNCTION("""COMPUTED_VALUE"""),0.0)</f>
        <v>0</v>
      </c>
      <c r="AA126" s="3">
        <f>IFERROR(__xludf.DUMMYFUNCTION("""COMPUTED_VALUE"""),0.0)</f>
        <v>0</v>
      </c>
      <c r="AB126" s="3">
        <f>IFERROR(__xludf.DUMMYFUNCTION("""COMPUTED_VALUE"""),0.0)</f>
        <v>0</v>
      </c>
      <c r="AC126" s="3">
        <f>IFERROR(__xludf.DUMMYFUNCTION("""COMPUTED_VALUE"""),0.0)</f>
        <v>0</v>
      </c>
      <c r="AD126" s="3">
        <f>IFERROR(__xludf.DUMMYFUNCTION("""COMPUTED_VALUE"""),0.0)</f>
        <v>0</v>
      </c>
      <c r="AE126" s="3">
        <f>IFERROR(__xludf.DUMMYFUNCTION("""COMPUTED_VALUE"""),0.0)</f>
        <v>0</v>
      </c>
      <c r="AF126" s="3">
        <f>IFERROR(__xludf.DUMMYFUNCTION("""COMPUTED_VALUE"""),0.0)</f>
        <v>0</v>
      </c>
      <c r="AG126" s="3">
        <f>IFERROR(__xludf.DUMMYFUNCTION("""COMPUTED_VALUE"""),0.0)</f>
        <v>0</v>
      </c>
      <c r="AH126" s="3">
        <f>IFERROR(__xludf.DUMMYFUNCTION("""COMPUTED_VALUE"""),0.0)</f>
        <v>0</v>
      </c>
      <c r="AI126" s="3">
        <f>IFERROR(__xludf.DUMMYFUNCTION("""COMPUTED_VALUE"""),0.0)</f>
        <v>0</v>
      </c>
      <c r="AJ126" s="3">
        <f>IFERROR(__xludf.DUMMYFUNCTION("""COMPUTED_VALUE"""),0.0)</f>
        <v>0</v>
      </c>
      <c r="AK126" s="3">
        <f>IFERROR(__xludf.DUMMYFUNCTION("""COMPUTED_VALUE"""),0.0)</f>
        <v>0</v>
      </c>
      <c r="AL126" s="3">
        <f>IFERROR(__xludf.DUMMYFUNCTION("""COMPUTED_VALUE"""),0.0)</f>
        <v>0</v>
      </c>
      <c r="AM126" s="3">
        <f>IFERROR(__xludf.DUMMYFUNCTION("""COMPUTED_VALUE"""),0.0)</f>
        <v>0</v>
      </c>
      <c r="AN126" s="3">
        <f>IFERROR(__xludf.DUMMYFUNCTION("""COMPUTED_VALUE"""),0.0)</f>
        <v>0</v>
      </c>
      <c r="AO126" s="3">
        <f>IFERROR(__xludf.DUMMYFUNCTION("""COMPUTED_VALUE"""),0.0)</f>
        <v>0</v>
      </c>
      <c r="AP126" s="3">
        <f>IFERROR(__xludf.DUMMYFUNCTION("""COMPUTED_VALUE"""),0.0)</f>
        <v>0</v>
      </c>
      <c r="AQ126" s="3">
        <f>IFERROR(__xludf.DUMMYFUNCTION("""COMPUTED_VALUE"""),0.0)</f>
        <v>0</v>
      </c>
      <c r="AR126" s="3">
        <f>IFERROR(__xludf.DUMMYFUNCTION("""COMPUTED_VALUE"""),0.0)</f>
        <v>0</v>
      </c>
      <c r="AS126" s="3">
        <f>IFERROR(__xludf.DUMMYFUNCTION("""COMPUTED_VALUE"""),0.0)</f>
        <v>0</v>
      </c>
      <c r="AT126" s="3">
        <f>IFERROR(__xludf.DUMMYFUNCTION("""COMPUTED_VALUE"""),0.0)</f>
        <v>0</v>
      </c>
      <c r="AU126" s="3">
        <f>IFERROR(__xludf.DUMMYFUNCTION("""COMPUTED_VALUE"""),0.0)</f>
        <v>0</v>
      </c>
      <c r="AV126" s="3">
        <f>IFERROR(__xludf.DUMMYFUNCTION("""COMPUTED_VALUE"""),0.0)</f>
        <v>0</v>
      </c>
      <c r="AW126" s="3">
        <f>IFERROR(__xludf.DUMMYFUNCTION("""COMPUTED_VALUE"""),0.0)</f>
        <v>0</v>
      </c>
      <c r="AX126" s="3">
        <f>IFERROR(__xludf.DUMMYFUNCTION("""COMPUTED_VALUE"""),0.0)</f>
        <v>0</v>
      </c>
      <c r="AY126" s="3">
        <f>IFERROR(__xludf.DUMMYFUNCTION("""COMPUTED_VALUE"""),0.0)</f>
        <v>0</v>
      </c>
      <c r="AZ126" s="3">
        <f>IFERROR(__xludf.DUMMYFUNCTION("""COMPUTED_VALUE"""),0.0)</f>
        <v>0</v>
      </c>
      <c r="BA126" s="3">
        <f>IFERROR(__xludf.DUMMYFUNCTION("""COMPUTED_VALUE"""),0.0)</f>
        <v>0</v>
      </c>
      <c r="BB126" s="3">
        <f>IFERROR(__xludf.DUMMYFUNCTION("""COMPUTED_VALUE"""),0.0)</f>
        <v>0</v>
      </c>
      <c r="BC126" s="3">
        <f>IFERROR(__xludf.DUMMYFUNCTION("""COMPUTED_VALUE"""),0.0)</f>
        <v>0</v>
      </c>
      <c r="BD126" s="3">
        <f>IFERROR(__xludf.DUMMYFUNCTION("""COMPUTED_VALUE"""),1.0)</f>
        <v>1</v>
      </c>
      <c r="BE126" s="3">
        <f>IFERROR(__xludf.DUMMYFUNCTION("""COMPUTED_VALUE"""),1.0)</f>
        <v>1</v>
      </c>
      <c r="BF126" s="3">
        <f>IFERROR(__xludf.DUMMYFUNCTION("""COMPUTED_VALUE"""),1.0)</f>
        <v>1</v>
      </c>
      <c r="BG126" s="3">
        <f>IFERROR(__xludf.DUMMYFUNCTION("""COMPUTED_VALUE"""),1.0)</f>
        <v>1</v>
      </c>
      <c r="BH126" s="3">
        <f>IFERROR(__xludf.DUMMYFUNCTION("""COMPUTED_VALUE"""),1.0)</f>
        <v>1</v>
      </c>
      <c r="BI126" s="3">
        <f>IFERROR(__xludf.DUMMYFUNCTION("""COMPUTED_VALUE"""),1.0)</f>
        <v>1</v>
      </c>
      <c r="BJ126" s="3">
        <f>IFERROR(__xludf.DUMMYFUNCTION("""COMPUTED_VALUE"""),1.0)</f>
        <v>1</v>
      </c>
      <c r="BK126" s="3">
        <f>IFERROR(__xludf.DUMMYFUNCTION("""COMPUTED_VALUE"""),1.0)</f>
        <v>1</v>
      </c>
      <c r="BL126" s="3">
        <f>IFERROR(__xludf.DUMMYFUNCTION("""COMPUTED_VALUE"""),2.0)</f>
        <v>2</v>
      </c>
      <c r="BM126" s="3">
        <f>IFERROR(__xludf.DUMMYFUNCTION("""COMPUTED_VALUE"""),2.0)</f>
        <v>2</v>
      </c>
      <c r="BN126" s="3">
        <f>IFERROR(__xludf.DUMMYFUNCTION("""COMPUTED_VALUE"""),4.0)</f>
        <v>4</v>
      </c>
      <c r="BO126" s="3">
        <f>IFERROR(__xludf.DUMMYFUNCTION("""COMPUTED_VALUE"""),4.0)</f>
        <v>4</v>
      </c>
      <c r="BP126" s="3">
        <f>IFERROR(__xludf.DUMMYFUNCTION("""COMPUTED_VALUE"""),4.0)</f>
        <v>4</v>
      </c>
      <c r="BQ126" s="3">
        <f>IFERROR(__xludf.DUMMYFUNCTION("""COMPUTED_VALUE"""),4.0)</f>
        <v>4</v>
      </c>
      <c r="BR126" s="3">
        <f>IFERROR(__xludf.DUMMYFUNCTION("""COMPUTED_VALUE"""),8.0)</f>
        <v>8</v>
      </c>
      <c r="BS126" s="3">
        <f>IFERROR(__xludf.DUMMYFUNCTION("""COMPUTED_VALUE"""),8.0)</f>
        <v>8</v>
      </c>
      <c r="BT126" s="3">
        <f>IFERROR(__xludf.DUMMYFUNCTION("""COMPUTED_VALUE"""),16.0)</f>
        <v>16</v>
      </c>
      <c r="BU126" s="3">
        <f>IFERROR(__xludf.DUMMYFUNCTION("""COMPUTED_VALUE"""),22.0)</f>
        <v>22</v>
      </c>
      <c r="BV126" s="3">
        <f>IFERROR(__xludf.DUMMYFUNCTION("""COMPUTED_VALUE"""),22.0)</f>
        <v>22</v>
      </c>
      <c r="BW126" s="3">
        <f>IFERROR(__xludf.DUMMYFUNCTION("""COMPUTED_VALUE"""),30.0)</f>
        <v>30</v>
      </c>
      <c r="BX126" s="3">
        <f>IFERROR(__xludf.DUMMYFUNCTION("""COMPUTED_VALUE"""),52.0)</f>
        <v>52</v>
      </c>
      <c r="BY126" s="3">
        <f>IFERROR(__xludf.DUMMYFUNCTION("""COMPUTED_VALUE"""),73.0)</f>
        <v>73</v>
      </c>
      <c r="BZ126" s="3">
        <f>IFERROR(__xludf.DUMMYFUNCTION("""COMPUTED_VALUE"""),111.0)</f>
        <v>111</v>
      </c>
      <c r="CA126" s="3">
        <f>IFERROR(__xludf.DUMMYFUNCTION("""COMPUTED_VALUE"""),121.0)</f>
        <v>121</v>
      </c>
      <c r="CB126" s="3">
        <f>IFERROR(__xludf.DUMMYFUNCTION("""COMPUTED_VALUE"""),128.0)</f>
        <v>128</v>
      </c>
    </row>
    <row r="127">
      <c r="A127" s="3" t="str">
        <f>IFERROR(__xludf.DUMMYFUNCTION("""COMPUTED_VALUE"""),"")</f>
        <v/>
      </c>
      <c r="B127" s="3" t="str">
        <f>IFERROR(__xludf.DUMMYFUNCTION("""COMPUTED_VALUE"""),"Guyana")</f>
        <v>Guyana</v>
      </c>
      <c r="C127" s="3">
        <f>IFERROR(__xludf.DUMMYFUNCTION("""COMPUTED_VALUE"""),5.0)</f>
        <v>5</v>
      </c>
      <c r="D127" s="3">
        <f>IFERROR(__xludf.DUMMYFUNCTION("""COMPUTED_VALUE"""),-58.75)</f>
        <v>-58.75</v>
      </c>
      <c r="E127" s="3">
        <f>IFERROR(__xludf.DUMMYFUNCTION("""COMPUTED_VALUE"""),0.0)</f>
        <v>0</v>
      </c>
      <c r="F127" s="3">
        <f>IFERROR(__xludf.DUMMYFUNCTION("""COMPUTED_VALUE"""),0.0)</f>
        <v>0</v>
      </c>
      <c r="G127" s="3">
        <f>IFERROR(__xludf.DUMMYFUNCTION("""COMPUTED_VALUE"""),0.0)</f>
        <v>0</v>
      </c>
      <c r="H127" s="3">
        <f>IFERROR(__xludf.DUMMYFUNCTION("""COMPUTED_VALUE"""),0.0)</f>
        <v>0</v>
      </c>
      <c r="I127" s="3">
        <f>IFERROR(__xludf.DUMMYFUNCTION("""COMPUTED_VALUE"""),0.0)</f>
        <v>0</v>
      </c>
      <c r="J127" s="3">
        <f>IFERROR(__xludf.DUMMYFUNCTION("""COMPUTED_VALUE"""),0.0)</f>
        <v>0</v>
      </c>
      <c r="K127" s="3">
        <f>IFERROR(__xludf.DUMMYFUNCTION("""COMPUTED_VALUE"""),0.0)</f>
        <v>0</v>
      </c>
      <c r="L127" s="3">
        <f>IFERROR(__xludf.DUMMYFUNCTION("""COMPUTED_VALUE"""),0.0)</f>
        <v>0</v>
      </c>
      <c r="M127" s="3">
        <f>IFERROR(__xludf.DUMMYFUNCTION("""COMPUTED_VALUE"""),0.0)</f>
        <v>0</v>
      </c>
      <c r="N127" s="3">
        <f>IFERROR(__xludf.DUMMYFUNCTION("""COMPUTED_VALUE"""),0.0)</f>
        <v>0</v>
      </c>
      <c r="O127" s="3">
        <f>IFERROR(__xludf.DUMMYFUNCTION("""COMPUTED_VALUE"""),0.0)</f>
        <v>0</v>
      </c>
      <c r="P127" s="3">
        <f>IFERROR(__xludf.DUMMYFUNCTION("""COMPUTED_VALUE"""),0.0)</f>
        <v>0</v>
      </c>
      <c r="Q127" s="3">
        <f>IFERROR(__xludf.DUMMYFUNCTION("""COMPUTED_VALUE"""),0.0)</f>
        <v>0</v>
      </c>
      <c r="R127" s="3">
        <f>IFERROR(__xludf.DUMMYFUNCTION("""COMPUTED_VALUE"""),0.0)</f>
        <v>0</v>
      </c>
      <c r="S127" s="3">
        <f>IFERROR(__xludf.DUMMYFUNCTION("""COMPUTED_VALUE"""),0.0)</f>
        <v>0</v>
      </c>
      <c r="T127" s="3">
        <f>IFERROR(__xludf.DUMMYFUNCTION("""COMPUTED_VALUE"""),0.0)</f>
        <v>0</v>
      </c>
      <c r="U127" s="3">
        <f>IFERROR(__xludf.DUMMYFUNCTION("""COMPUTED_VALUE"""),0.0)</f>
        <v>0</v>
      </c>
      <c r="V127" s="3">
        <f>IFERROR(__xludf.DUMMYFUNCTION("""COMPUTED_VALUE"""),0.0)</f>
        <v>0</v>
      </c>
      <c r="W127" s="3">
        <f>IFERROR(__xludf.DUMMYFUNCTION("""COMPUTED_VALUE"""),0.0)</f>
        <v>0</v>
      </c>
      <c r="X127" s="3">
        <f>IFERROR(__xludf.DUMMYFUNCTION("""COMPUTED_VALUE"""),0.0)</f>
        <v>0</v>
      </c>
      <c r="Y127" s="3">
        <f>IFERROR(__xludf.DUMMYFUNCTION("""COMPUTED_VALUE"""),0.0)</f>
        <v>0</v>
      </c>
      <c r="Z127" s="3">
        <f>IFERROR(__xludf.DUMMYFUNCTION("""COMPUTED_VALUE"""),0.0)</f>
        <v>0</v>
      </c>
      <c r="AA127" s="3">
        <f>IFERROR(__xludf.DUMMYFUNCTION("""COMPUTED_VALUE"""),0.0)</f>
        <v>0</v>
      </c>
      <c r="AB127" s="3">
        <f>IFERROR(__xludf.DUMMYFUNCTION("""COMPUTED_VALUE"""),0.0)</f>
        <v>0</v>
      </c>
      <c r="AC127" s="3">
        <f>IFERROR(__xludf.DUMMYFUNCTION("""COMPUTED_VALUE"""),0.0)</f>
        <v>0</v>
      </c>
      <c r="AD127" s="3">
        <f>IFERROR(__xludf.DUMMYFUNCTION("""COMPUTED_VALUE"""),0.0)</f>
        <v>0</v>
      </c>
      <c r="AE127" s="3">
        <f>IFERROR(__xludf.DUMMYFUNCTION("""COMPUTED_VALUE"""),0.0)</f>
        <v>0</v>
      </c>
      <c r="AF127" s="3">
        <f>IFERROR(__xludf.DUMMYFUNCTION("""COMPUTED_VALUE"""),0.0)</f>
        <v>0</v>
      </c>
      <c r="AG127" s="3">
        <f>IFERROR(__xludf.DUMMYFUNCTION("""COMPUTED_VALUE"""),0.0)</f>
        <v>0</v>
      </c>
      <c r="AH127" s="3">
        <f>IFERROR(__xludf.DUMMYFUNCTION("""COMPUTED_VALUE"""),0.0)</f>
        <v>0</v>
      </c>
      <c r="AI127" s="3">
        <f>IFERROR(__xludf.DUMMYFUNCTION("""COMPUTED_VALUE"""),0.0)</f>
        <v>0</v>
      </c>
      <c r="AJ127" s="3">
        <f>IFERROR(__xludf.DUMMYFUNCTION("""COMPUTED_VALUE"""),0.0)</f>
        <v>0</v>
      </c>
      <c r="AK127" s="3">
        <f>IFERROR(__xludf.DUMMYFUNCTION("""COMPUTED_VALUE"""),0.0)</f>
        <v>0</v>
      </c>
      <c r="AL127" s="3">
        <f>IFERROR(__xludf.DUMMYFUNCTION("""COMPUTED_VALUE"""),0.0)</f>
        <v>0</v>
      </c>
      <c r="AM127" s="3">
        <f>IFERROR(__xludf.DUMMYFUNCTION("""COMPUTED_VALUE"""),0.0)</f>
        <v>0</v>
      </c>
      <c r="AN127" s="3">
        <f>IFERROR(__xludf.DUMMYFUNCTION("""COMPUTED_VALUE"""),0.0)</f>
        <v>0</v>
      </c>
      <c r="AO127" s="3">
        <f>IFERROR(__xludf.DUMMYFUNCTION("""COMPUTED_VALUE"""),0.0)</f>
        <v>0</v>
      </c>
      <c r="AP127" s="3">
        <f>IFERROR(__xludf.DUMMYFUNCTION("""COMPUTED_VALUE"""),0.0)</f>
        <v>0</v>
      </c>
      <c r="AQ127" s="3">
        <f>IFERROR(__xludf.DUMMYFUNCTION("""COMPUTED_VALUE"""),0.0)</f>
        <v>0</v>
      </c>
      <c r="AR127" s="3">
        <f>IFERROR(__xludf.DUMMYFUNCTION("""COMPUTED_VALUE"""),0.0)</f>
        <v>0</v>
      </c>
      <c r="AS127" s="3">
        <f>IFERROR(__xludf.DUMMYFUNCTION("""COMPUTED_VALUE"""),0.0)</f>
        <v>0</v>
      </c>
      <c r="AT127" s="3">
        <f>IFERROR(__xludf.DUMMYFUNCTION("""COMPUTED_VALUE"""),0.0)</f>
        <v>0</v>
      </c>
      <c r="AU127" s="3">
        <f>IFERROR(__xludf.DUMMYFUNCTION("""COMPUTED_VALUE"""),0.0)</f>
        <v>0</v>
      </c>
      <c r="AV127" s="3">
        <f>IFERROR(__xludf.DUMMYFUNCTION("""COMPUTED_VALUE"""),0.0)</f>
        <v>0</v>
      </c>
      <c r="AW127" s="3">
        <f>IFERROR(__xludf.DUMMYFUNCTION("""COMPUTED_VALUE"""),0.0)</f>
        <v>0</v>
      </c>
      <c r="AX127" s="3">
        <f>IFERROR(__xludf.DUMMYFUNCTION("""COMPUTED_VALUE"""),0.0)</f>
        <v>0</v>
      </c>
      <c r="AY127" s="3">
        <f>IFERROR(__xludf.DUMMYFUNCTION("""COMPUTED_VALUE"""),0.0)</f>
        <v>0</v>
      </c>
      <c r="AZ127" s="3">
        <f>IFERROR(__xludf.DUMMYFUNCTION("""COMPUTED_VALUE"""),0.0)</f>
        <v>0</v>
      </c>
      <c r="BA127" s="3">
        <f>IFERROR(__xludf.DUMMYFUNCTION("""COMPUTED_VALUE"""),0.0)</f>
        <v>0</v>
      </c>
      <c r="BB127" s="3">
        <f>IFERROR(__xludf.DUMMYFUNCTION("""COMPUTED_VALUE"""),0.0)</f>
        <v>0</v>
      </c>
      <c r="BC127" s="3">
        <f>IFERROR(__xludf.DUMMYFUNCTION("""COMPUTED_VALUE"""),1.0)</f>
        <v>1</v>
      </c>
      <c r="BD127" s="3">
        <f>IFERROR(__xludf.DUMMYFUNCTION("""COMPUTED_VALUE"""),1.0)</f>
        <v>1</v>
      </c>
      <c r="BE127" s="3">
        <f>IFERROR(__xludf.DUMMYFUNCTION("""COMPUTED_VALUE"""),1.0)</f>
        <v>1</v>
      </c>
      <c r="BF127" s="3">
        <f>IFERROR(__xludf.DUMMYFUNCTION("""COMPUTED_VALUE"""),4.0)</f>
        <v>4</v>
      </c>
      <c r="BG127" s="3">
        <f>IFERROR(__xludf.DUMMYFUNCTION("""COMPUTED_VALUE"""),4.0)</f>
        <v>4</v>
      </c>
      <c r="BH127" s="3">
        <f>IFERROR(__xludf.DUMMYFUNCTION("""COMPUTED_VALUE"""),7.0)</f>
        <v>7</v>
      </c>
      <c r="BI127" s="3">
        <f>IFERROR(__xludf.DUMMYFUNCTION("""COMPUTED_VALUE"""),7.0)</f>
        <v>7</v>
      </c>
      <c r="BJ127" s="3">
        <f>IFERROR(__xludf.DUMMYFUNCTION("""COMPUTED_VALUE"""),7.0)</f>
        <v>7</v>
      </c>
      <c r="BK127" s="3">
        <f>IFERROR(__xludf.DUMMYFUNCTION("""COMPUTED_VALUE"""),7.0)</f>
        <v>7</v>
      </c>
      <c r="BL127" s="3">
        <f>IFERROR(__xludf.DUMMYFUNCTION("""COMPUTED_VALUE"""),7.0)</f>
        <v>7</v>
      </c>
      <c r="BM127" s="3">
        <f>IFERROR(__xludf.DUMMYFUNCTION("""COMPUTED_VALUE"""),19.0)</f>
        <v>19</v>
      </c>
      <c r="BN127" s="3">
        <f>IFERROR(__xludf.DUMMYFUNCTION("""COMPUTED_VALUE"""),20.0)</f>
        <v>20</v>
      </c>
      <c r="BO127" s="3">
        <f>IFERROR(__xludf.DUMMYFUNCTION("""COMPUTED_VALUE"""),5.0)</f>
        <v>5</v>
      </c>
      <c r="BP127" s="3">
        <f>IFERROR(__xludf.DUMMYFUNCTION("""COMPUTED_VALUE"""),5.0)</f>
        <v>5</v>
      </c>
      <c r="BQ127" s="3">
        <f>IFERROR(__xludf.DUMMYFUNCTION("""COMPUTED_VALUE"""),5.0)</f>
        <v>5</v>
      </c>
      <c r="BR127" s="3">
        <f>IFERROR(__xludf.DUMMYFUNCTION("""COMPUTED_VALUE"""),5.0)</f>
        <v>5</v>
      </c>
      <c r="BS127" s="3">
        <f>IFERROR(__xludf.DUMMYFUNCTION("""COMPUTED_VALUE"""),8.0)</f>
        <v>8</v>
      </c>
      <c r="BT127" s="3">
        <f>IFERROR(__xludf.DUMMYFUNCTION("""COMPUTED_VALUE"""),8.0)</f>
        <v>8</v>
      </c>
      <c r="BU127" s="3">
        <f>IFERROR(__xludf.DUMMYFUNCTION("""COMPUTED_VALUE"""),8.0)</f>
        <v>8</v>
      </c>
      <c r="BV127" s="3">
        <f>IFERROR(__xludf.DUMMYFUNCTION("""COMPUTED_VALUE"""),12.0)</f>
        <v>12</v>
      </c>
      <c r="BW127" s="3">
        <f>IFERROR(__xludf.DUMMYFUNCTION("""COMPUTED_VALUE"""),19.0)</f>
        <v>19</v>
      </c>
      <c r="BX127" s="3">
        <f>IFERROR(__xludf.DUMMYFUNCTION("""COMPUTED_VALUE"""),19.0)</f>
        <v>19</v>
      </c>
      <c r="BY127" s="3">
        <f>IFERROR(__xludf.DUMMYFUNCTION("""COMPUTED_VALUE"""),23.0)</f>
        <v>23</v>
      </c>
      <c r="BZ127" s="3">
        <f>IFERROR(__xludf.DUMMYFUNCTION("""COMPUTED_VALUE"""),23.0)</f>
        <v>23</v>
      </c>
      <c r="CA127" s="3">
        <f>IFERROR(__xludf.DUMMYFUNCTION("""COMPUTED_VALUE"""),24.0)</f>
        <v>24</v>
      </c>
      <c r="CB127" s="3">
        <f>IFERROR(__xludf.DUMMYFUNCTION("""COMPUTED_VALUE"""),31.0)</f>
        <v>31</v>
      </c>
    </row>
    <row r="128">
      <c r="A128" s="3" t="str">
        <f>IFERROR(__xludf.DUMMYFUNCTION("""COMPUTED_VALUE"""),"")</f>
        <v/>
      </c>
      <c r="B128" s="3" t="str">
        <f>IFERROR(__xludf.DUMMYFUNCTION("""COMPUTED_VALUE"""),"Haiti")</f>
        <v>Haiti</v>
      </c>
      <c r="C128" s="3">
        <f>IFERROR(__xludf.DUMMYFUNCTION("""COMPUTED_VALUE"""),18.9712)</f>
        <v>18.9712</v>
      </c>
      <c r="D128" s="3">
        <f>IFERROR(__xludf.DUMMYFUNCTION("""COMPUTED_VALUE"""),-72.2852)</f>
        <v>-72.2852</v>
      </c>
      <c r="E128" s="3">
        <f>IFERROR(__xludf.DUMMYFUNCTION("""COMPUTED_VALUE"""),0.0)</f>
        <v>0</v>
      </c>
      <c r="F128" s="3">
        <f>IFERROR(__xludf.DUMMYFUNCTION("""COMPUTED_VALUE"""),0.0)</f>
        <v>0</v>
      </c>
      <c r="G128" s="3">
        <f>IFERROR(__xludf.DUMMYFUNCTION("""COMPUTED_VALUE"""),0.0)</f>
        <v>0</v>
      </c>
      <c r="H128" s="3">
        <f>IFERROR(__xludf.DUMMYFUNCTION("""COMPUTED_VALUE"""),0.0)</f>
        <v>0</v>
      </c>
      <c r="I128" s="3">
        <f>IFERROR(__xludf.DUMMYFUNCTION("""COMPUTED_VALUE"""),0.0)</f>
        <v>0</v>
      </c>
      <c r="J128" s="3">
        <f>IFERROR(__xludf.DUMMYFUNCTION("""COMPUTED_VALUE"""),0.0)</f>
        <v>0</v>
      </c>
      <c r="K128" s="3">
        <f>IFERROR(__xludf.DUMMYFUNCTION("""COMPUTED_VALUE"""),0.0)</f>
        <v>0</v>
      </c>
      <c r="L128" s="3">
        <f>IFERROR(__xludf.DUMMYFUNCTION("""COMPUTED_VALUE"""),0.0)</f>
        <v>0</v>
      </c>
      <c r="M128" s="3">
        <f>IFERROR(__xludf.DUMMYFUNCTION("""COMPUTED_VALUE"""),0.0)</f>
        <v>0</v>
      </c>
      <c r="N128" s="3">
        <f>IFERROR(__xludf.DUMMYFUNCTION("""COMPUTED_VALUE"""),0.0)</f>
        <v>0</v>
      </c>
      <c r="O128" s="3">
        <f>IFERROR(__xludf.DUMMYFUNCTION("""COMPUTED_VALUE"""),0.0)</f>
        <v>0</v>
      </c>
      <c r="P128" s="3">
        <f>IFERROR(__xludf.DUMMYFUNCTION("""COMPUTED_VALUE"""),0.0)</f>
        <v>0</v>
      </c>
      <c r="Q128" s="3">
        <f>IFERROR(__xludf.DUMMYFUNCTION("""COMPUTED_VALUE"""),0.0)</f>
        <v>0</v>
      </c>
      <c r="R128" s="3">
        <f>IFERROR(__xludf.DUMMYFUNCTION("""COMPUTED_VALUE"""),0.0)</f>
        <v>0</v>
      </c>
      <c r="S128" s="3">
        <f>IFERROR(__xludf.DUMMYFUNCTION("""COMPUTED_VALUE"""),0.0)</f>
        <v>0</v>
      </c>
      <c r="T128" s="3">
        <f>IFERROR(__xludf.DUMMYFUNCTION("""COMPUTED_VALUE"""),0.0)</f>
        <v>0</v>
      </c>
      <c r="U128" s="3">
        <f>IFERROR(__xludf.DUMMYFUNCTION("""COMPUTED_VALUE"""),0.0)</f>
        <v>0</v>
      </c>
      <c r="V128" s="3">
        <f>IFERROR(__xludf.DUMMYFUNCTION("""COMPUTED_VALUE"""),0.0)</f>
        <v>0</v>
      </c>
      <c r="W128" s="3">
        <f>IFERROR(__xludf.DUMMYFUNCTION("""COMPUTED_VALUE"""),0.0)</f>
        <v>0</v>
      </c>
      <c r="X128" s="3">
        <f>IFERROR(__xludf.DUMMYFUNCTION("""COMPUTED_VALUE"""),0.0)</f>
        <v>0</v>
      </c>
      <c r="Y128" s="3">
        <f>IFERROR(__xludf.DUMMYFUNCTION("""COMPUTED_VALUE"""),0.0)</f>
        <v>0</v>
      </c>
      <c r="Z128" s="3">
        <f>IFERROR(__xludf.DUMMYFUNCTION("""COMPUTED_VALUE"""),0.0)</f>
        <v>0</v>
      </c>
      <c r="AA128" s="3">
        <f>IFERROR(__xludf.DUMMYFUNCTION("""COMPUTED_VALUE"""),0.0)</f>
        <v>0</v>
      </c>
      <c r="AB128" s="3">
        <f>IFERROR(__xludf.DUMMYFUNCTION("""COMPUTED_VALUE"""),0.0)</f>
        <v>0</v>
      </c>
      <c r="AC128" s="3">
        <f>IFERROR(__xludf.DUMMYFUNCTION("""COMPUTED_VALUE"""),0.0)</f>
        <v>0</v>
      </c>
      <c r="AD128" s="3">
        <f>IFERROR(__xludf.DUMMYFUNCTION("""COMPUTED_VALUE"""),0.0)</f>
        <v>0</v>
      </c>
      <c r="AE128" s="3">
        <f>IFERROR(__xludf.DUMMYFUNCTION("""COMPUTED_VALUE"""),0.0)</f>
        <v>0</v>
      </c>
      <c r="AF128" s="3">
        <f>IFERROR(__xludf.DUMMYFUNCTION("""COMPUTED_VALUE"""),0.0)</f>
        <v>0</v>
      </c>
      <c r="AG128" s="3">
        <f>IFERROR(__xludf.DUMMYFUNCTION("""COMPUTED_VALUE"""),0.0)</f>
        <v>0</v>
      </c>
      <c r="AH128" s="3">
        <f>IFERROR(__xludf.DUMMYFUNCTION("""COMPUTED_VALUE"""),0.0)</f>
        <v>0</v>
      </c>
      <c r="AI128" s="3">
        <f>IFERROR(__xludf.DUMMYFUNCTION("""COMPUTED_VALUE"""),0.0)</f>
        <v>0</v>
      </c>
      <c r="AJ128" s="3">
        <f>IFERROR(__xludf.DUMMYFUNCTION("""COMPUTED_VALUE"""),0.0)</f>
        <v>0</v>
      </c>
      <c r="AK128" s="3">
        <f>IFERROR(__xludf.DUMMYFUNCTION("""COMPUTED_VALUE"""),0.0)</f>
        <v>0</v>
      </c>
      <c r="AL128" s="3">
        <f>IFERROR(__xludf.DUMMYFUNCTION("""COMPUTED_VALUE"""),0.0)</f>
        <v>0</v>
      </c>
      <c r="AM128" s="3">
        <f>IFERROR(__xludf.DUMMYFUNCTION("""COMPUTED_VALUE"""),0.0)</f>
        <v>0</v>
      </c>
      <c r="AN128" s="3">
        <f>IFERROR(__xludf.DUMMYFUNCTION("""COMPUTED_VALUE"""),0.0)</f>
        <v>0</v>
      </c>
      <c r="AO128" s="3">
        <f>IFERROR(__xludf.DUMMYFUNCTION("""COMPUTED_VALUE"""),0.0)</f>
        <v>0</v>
      </c>
      <c r="AP128" s="3">
        <f>IFERROR(__xludf.DUMMYFUNCTION("""COMPUTED_VALUE"""),0.0)</f>
        <v>0</v>
      </c>
      <c r="AQ128" s="3">
        <f>IFERROR(__xludf.DUMMYFUNCTION("""COMPUTED_VALUE"""),0.0)</f>
        <v>0</v>
      </c>
      <c r="AR128" s="3">
        <f>IFERROR(__xludf.DUMMYFUNCTION("""COMPUTED_VALUE"""),0.0)</f>
        <v>0</v>
      </c>
      <c r="AS128" s="3">
        <f>IFERROR(__xludf.DUMMYFUNCTION("""COMPUTED_VALUE"""),0.0)</f>
        <v>0</v>
      </c>
      <c r="AT128" s="3">
        <f>IFERROR(__xludf.DUMMYFUNCTION("""COMPUTED_VALUE"""),0.0)</f>
        <v>0</v>
      </c>
      <c r="AU128" s="3">
        <f>IFERROR(__xludf.DUMMYFUNCTION("""COMPUTED_VALUE"""),0.0)</f>
        <v>0</v>
      </c>
      <c r="AV128" s="3">
        <f>IFERROR(__xludf.DUMMYFUNCTION("""COMPUTED_VALUE"""),0.0)</f>
        <v>0</v>
      </c>
      <c r="AW128" s="3">
        <f>IFERROR(__xludf.DUMMYFUNCTION("""COMPUTED_VALUE"""),0.0)</f>
        <v>0</v>
      </c>
      <c r="AX128" s="3">
        <f>IFERROR(__xludf.DUMMYFUNCTION("""COMPUTED_VALUE"""),0.0)</f>
        <v>0</v>
      </c>
      <c r="AY128" s="3">
        <f>IFERROR(__xludf.DUMMYFUNCTION("""COMPUTED_VALUE"""),0.0)</f>
        <v>0</v>
      </c>
      <c r="AZ128" s="3">
        <f>IFERROR(__xludf.DUMMYFUNCTION("""COMPUTED_VALUE"""),0.0)</f>
        <v>0</v>
      </c>
      <c r="BA128" s="3">
        <f>IFERROR(__xludf.DUMMYFUNCTION("""COMPUTED_VALUE"""),0.0)</f>
        <v>0</v>
      </c>
      <c r="BB128" s="3">
        <f>IFERROR(__xludf.DUMMYFUNCTION("""COMPUTED_VALUE"""),0.0)</f>
        <v>0</v>
      </c>
      <c r="BC128" s="3">
        <f>IFERROR(__xludf.DUMMYFUNCTION("""COMPUTED_VALUE"""),0.0)</f>
        <v>0</v>
      </c>
      <c r="BD128" s="3">
        <f>IFERROR(__xludf.DUMMYFUNCTION("""COMPUTED_VALUE"""),0.0)</f>
        <v>0</v>
      </c>
      <c r="BE128" s="3">
        <f>IFERROR(__xludf.DUMMYFUNCTION("""COMPUTED_VALUE"""),0.0)</f>
        <v>0</v>
      </c>
      <c r="BF128" s="3">
        <f>IFERROR(__xludf.DUMMYFUNCTION("""COMPUTED_VALUE"""),0.0)</f>
        <v>0</v>
      </c>
      <c r="BG128" s="3">
        <f>IFERROR(__xludf.DUMMYFUNCTION("""COMPUTED_VALUE"""),0.0)</f>
        <v>0</v>
      </c>
      <c r="BH128" s="3">
        <f>IFERROR(__xludf.DUMMYFUNCTION("""COMPUTED_VALUE"""),0.0)</f>
        <v>0</v>
      </c>
      <c r="BI128" s="3">
        <f>IFERROR(__xludf.DUMMYFUNCTION("""COMPUTED_VALUE"""),0.0)</f>
        <v>0</v>
      </c>
      <c r="BJ128" s="3">
        <f>IFERROR(__xludf.DUMMYFUNCTION("""COMPUTED_VALUE"""),0.0)</f>
        <v>0</v>
      </c>
      <c r="BK128" s="3">
        <f>IFERROR(__xludf.DUMMYFUNCTION("""COMPUTED_VALUE"""),2.0)</f>
        <v>2</v>
      </c>
      <c r="BL128" s="3">
        <f>IFERROR(__xludf.DUMMYFUNCTION("""COMPUTED_VALUE"""),2.0)</f>
        <v>2</v>
      </c>
      <c r="BM128" s="3">
        <f>IFERROR(__xludf.DUMMYFUNCTION("""COMPUTED_VALUE"""),2.0)</f>
        <v>2</v>
      </c>
      <c r="BN128" s="3">
        <f>IFERROR(__xludf.DUMMYFUNCTION("""COMPUTED_VALUE"""),6.0)</f>
        <v>6</v>
      </c>
      <c r="BO128" s="3">
        <f>IFERROR(__xludf.DUMMYFUNCTION("""COMPUTED_VALUE"""),7.0)</f>
        <v>7</v>
      </c>
      <c r="BP128" s="3">
        <f>IFERROR(__xludf.DUMMYFUNCTION("""COMPUTED_VALUE"""),8.0)</f>
        <v>8</v>
      </c>
      <c r="BQ128" s="3">
        <f>IFERROR(__xludf.DUMMYFUNCTION("""COMPUTED_VALUE"""),8.0)</f>
        <v>8</v>
      </c>
      <c r="BR128" s="3">
        <f>IFERROR(__xludf.DUMMYFUNCTION("""COMPUTED_VALUE"""),8.0)</f>
        <v>8</v>
      </c>
      <c r="BS128" s="3">
        <f>IFERROR(__xludf.DUMMYFUNCTION("""COMPUTED_VALUE"""),8.0)</f>
        <v>8</v>
      </c>
      <c r="BT128" s="3">
        <f>IFERROR(__xludf.DUMMYFUNCTION("""COMPUTED_VALUE"""),15.0)</f>
        <v>15</v>
      </c>
      <c r="BU128" s="3">
        <f>IFERROR(__xludf.DUMMYFUNCTION("""COMPUTED_VALUE"""),15.0)</f>
        <v>15</v>
      </c>
      <c r="BV128" s="3">
        <f>IFERROR(__xludf.DUMMYFUNCTION("""COMPUTED_VALUE"""),15.0)</f>
        <v>15</v>
      </c>
      <c r="BW128" s="3">
        <f>IFERROR(__xludf.DUMMYFUNCTION("""COMPUTED_VALUE"""),16.0)</f>
        <v>16</v>
      </c>
      <c r="BX128" s="3">
        <f>IFERROR(__xludf.DUMMYFUNCTION("""COMPUTED_VALUE"""),16.0)</f>
        <v>16</v>
      </c>
      <c r="BY128" s="3">
        <f>IFERROR(__xludf.DUMMYFUNCTION("""COMPUTED_VALUE"""),18.0)</f>
        <v>18</v>
      </c>
      <c r="BZ128" s="3">
        <f>IFERROR(__xludf.DUMMYFUNCTION("""COMPUTED_VALUE"""),20.0)</f>
        <v>20</v>
      </c>
      <c r="CA128" s="3">
        <f>IFERROR(__xludf.DUMMYFUNCTION("""COMPUTED_VALUE"""),21.0)</f>
        <v>21</v>
      </c>
      <c r="CB128" s="3">
        <f>IFERROR(__xludf.DUMMYFUNCTION("""COMPUTED_VALUE"""),24.0)</f>
        <v>24</v>
      </c>
    </row>
    <row r="129">
      <c r="A129" s="3" t="str">
        <f>IFERROR(__xludf.DUMMYFUNCTION("""COMPUTED_VALUE"""),"")</f>
        <v/>
      </c>
      <c r="B129" s="3" t="str">
        <f>IFERROR(__xludf.DUMMYFUNCTION("""COMPUTED_VALUE"""),"Holy See")</f>
        <v>Holy See</v>
      </c>
      <c r="C129" s="3">
        <f>IFERROR(__xludf.DUMMYFUNCTION("""COMPUTED_VALUE"""),41.9029)</f>
        <v>41.9029</v>
      </c>
      <c r="D129" s="3">
        <f>IFERROR(__xludf.DUMMYFUNCTION("""COMPUTED_VALUE"""),12.4534)</f>
        <v>12.4534</v>
      </c>
      <c r="E129" s="3">
        <f>IFERROR(__xludf.DUMMYFUNCTION("""COMPUTED_VALUE"""),0.0)</f>
        <v>0</v>
      </c>
      <c r="F129" s="3">
        <f>IFERROR(__xludf.DUMMYFUNCTION("""COMPUTED_VALUE"""),0.0)</f>
        <v>0</v>
      </c>
      <c r="G129" s="3">
        <f>IFERROR(__xludf.DUMMYFUNCTION("""COMPUTED_VALUE"""),0.0)</f>
        <v>0</v>
      </c>
      <c r="H129" s="3">
        <f>IFERROR(__xludf.DUMMYFUNCTION("""COMPUTED_VALUE"""),0.0)</f>
        <v>0</v>
      </c>
      <c r="I129" s="3">
        <f>IFERROR(__xludf.DUMMYFUNCTION("""COMPUTED_VALUE"""),0.0)</f>
        <v>0</v>
      </c>
      <c r="J129" s="3">
        <f>IFERROR(__xludf.DUMMYFUNCTION("""COMPUTED_VALUE"""),0.0)</f>
        <v>0</v>
      </c>
      <c r="K129" s="3">
        <f>IFERROR(__xludf.DUMMYFUNCTION("""COMPUTED_VALUE"""),0.0)</f>
        <v>0</v>
      </c>
      <c r="L129" s="3">
        <f>IFERROR(__xludf.DUMMYFUNCTION("""COMPUTED_VALUE"""),0.0)</f>
        <v>0</v>
      </c>
      <c r="M129" s="3">
        <f>IFERROR(__xludf.DUMMYFUNCTION("""COMPUTED_VALUE"""),0.0)</f>
        <v>0</v>
      </c>
      <c r="N129" s="3">
        <f>IFERROR(__xludf.DUMMYFUNCTION("""COMPUTED_VALUE"""),0.0)</f>
        <v>0</v>
      </c>
      <c r="O129" s="3">
        <f>IFERROR(__xludf.DUMMYFUNCTION("""COMPUTED_VALUE"""),0.0)</f>
        <v>0</v>
      </c>
      <c r="P129" s="3">
        <f>IFERROR(__xludf.DUMMYFUNCTION("""COMPUTED_VALUE"""),0.0)</f>
        <v>0</v>
      </c>
      <c r="Q129" s="3">
        <f>IFERROR(__xludf.DUMMYFUNCTION("""COMPUTED_VALUE"""),0.0)</f>
        <v>0</v>
      </c>
      <c r="R129" s="3">
        <f>IFERROR(__xludf.DUMMYFUNCTION("""COMPUTED_VALUE"""),0.0)</f>
        <v>0</v>
      </c>
      <c r="S129" s="3">
        <f>IFERROR(__xludf.DUMMYFUNCTION("""COMPUTED_VALUE"""),0.0)</f>
        <v>0</v>
      </c>
      <c r="T129" s="3">
        <f>IFERROR(__xludf.DUMMYFUNCTION("""COMPUTED_VALUE"""),0.0)</f>
        <v>0</v>
      </c>
      <c r="U129" s="3">
        <f>IFERROR(__xludf.DUMMYFUNCTION("""COMPUTED_VALUE"""),0.0)</f>
        <v>0</v>
      </c>
      <c r="V129" s="3">
        <f>IFERROR(__xludf.DUMMYFUNCTION("""COMPUTED_VALUE"""),0.0)</f>
        <v>0</v>
      </c>
      <c r="W129" s="3">
        <f>IFERROR(__xludf.DUMMYFUNCTION("""COMPUTED_VALUE"""),0.0)</f>
        <v>0</v>
      </c>
      <c r="X129" s="3">
        <f>IFERROR(__xludf.DUMMYFUNCTION("""COMPUTED_VALUE"""),0.0)</f>
        <v>0</v>
      </c>
      <c r="Y129" s="3">
        <f>IFERROR(__xludf.DUMMYFUNCTION("""COMPUTED_VALUE"""),0.0)</f>
        <v>0</v>
      </c>
      <c r="Z129" s="3">
        <f>IFERROR(__xludf.DUMMYFUNCTION("""COMPUTED_VALUE"""),0.0)</f>
        <v>0</v>
      </c>
      <c r="AA129" s="3">
        <f>IFERROR(__xludf.DUMMYFUNCTION("""COMPUTED_VALUE"""),0.0)</f>
        <v>0</v>
      </c>
      <c r="AB129" s="3">
        <f>IFERROR(__xludf.DUMMYFUNCTION("""COMPUTED_VALUE"""),0.0)</f>
        <v>0</v>
      </c>
      <c r="AC129" s="3">
        <f>IFERROR(__xludf.DUMMYFUNCTION("""COMPUTED_VALUE"""),0.0)</f>
        <v>0</v>
      </c>
      <c r="AD129" s="3">
        <f>IFERROR(__xludf.DUMMYFUNCTION("""COMPUTED_VALUE"""),0.0)</f>
        <v>0</v>
      </c>
      <c r="AE129" s="3">
        <f>IFERROR(__xludf.DUMMYFUNCTION("""COMPUTED_VALUE"""),0.0)</f>
        <v>0</v>
      </c>
      <c r="AF129" s="3">
        <f>IFERROR(__xludf.DUMMYFUNCTION("""COMPUTED_VALUE"""),0.0)</f>
        <v>0</v>
      </c>
      <c r="AG129" s="3">
        <f>IFERROR(__xludf.DUMMYFUNCTION("""COMPUTED_VALUE"""),0.0)</f>
        <v>0</v>
      </c>
      <c r="AH129" s="3">
        <f>IFERROR(__xludf.DUMMYFUNCTION("""COMPUTED_VALUE"""),0.0)</f>
        <v>0</v>
      </c>
      <c r="AI129" s="3">
        <f>IFERROR(__xludf.DUMMYFUNCTION("""COMPUTED_VALUE"""),0.0)</f>
        <v>0</v>
      </c>
      <c r="AJ129" s="3">
        <f>IFERROR(__xludf.DUMMYFUNCTION("""COMPUTED_VALUE"""),0.0)</f>
        <v>0</v>
      </c>
      <c r="AK129" s="3">
        <f>IFERROR(__xludf.DUMMYFUNCTION("""COMPUTED_VALUE"""),0.0)</f>
        <v>0</v>
      </c>
      <c r="AL129" s="3">
        <f>IFERROR(__xludf.DUMMYFUNCTION("""COMPUTED_VALUE"""),0.0)</f>
        <v>0</v>
      </c>
      <c r="AM129" s="3">
        <f>IFERROR(__xludf.DUMMYFUNCTION("""COMPUTED_VALUE"""),0.0)</f>
        <v>0</v>
      </c>
      <c r="AN129" s="3">
        <f>IFERROR(__xludf.DUMMYFUNCTION("""COMPUTED_VALUE"""),0.0)</f>
        <v>0</v>
      </c>
      <c r="AO129" s="3">
        <f>IFERROR(__xludf.DUMMYFUNCTION("""COMPUTED_VALUE"""),0.0)</f>
        <v>0</v>
      </c>
      <c r="AP129" s="3">
        <f>IFERROR(__xludf.DUMMYFUNCTION("""COMPUTED_VALUE"""),0.0)</f>
        <v>0</v>
      </c>
      <c r="AQ129" s="3">
        <f>IFERROR(__xludf.DUMMYFUNCTION("""COMPUTED_VALUE"""),0.0)</f>
        <v>0</v>
      </c>
      <c r="AR129" s="3">
        <f>IFERROR(__xludf.DUMMYFUNCTION("""COMPUTED_VALUE"""),0.0)</f>
        <v>0</v>
      </c>
      <c r="AS129" s="3">
        <f>IFERROR(__xludf.DUMMYFUNCTION("""COMPUTED_VALUE"""),0.0)</f>
        <v>0</v>
      </c>
      <c r="AT129" s="3">
        <f>IFERROR(__xludf.DUMMYFUNCTION("""COMPUTED_VALUE"""),0.0)</f>
        <v>0</v>
      </c>
      <c r="AU129" s="3">
        <f>IFERROR(__xludf.DUMMYFUNCTION("""COMPUTED_VALUE"""),0.0)</f>
        <v>0</v>
      </c>
      <c r="AV129" s="3">
        <f>IFERROR(__xludf.DUMMYFUNCTION("""COMPUTED_VALUE"""),0.0)</f>
        <v>0</v>
      </c>
      <c r="AW129" s="3">
        <f>IFERROR(__xludf.DUMMYFUNCTION("""COMPUTED_VALUE"""),1.0)</f>
        <v>1</v>
      </c>
      <c r="AX129" s="3">
        <f>IFERROR(__xludf.DUMMYFUNCTION("""COMPUTED_VALUE"""),1.0)</f>
        <v>1</v>
      </c>
      <c r="AY129" s="3">
        <f>IFERROR(__xludf.DUMMYFUNCTION("""COMPUTED_VALUE"""),1.0)</f>
        <v>1</v>
      </c>
      <c r="AZ129" s="3">
        <f>IFERROR(__xludf.DUMMYFUNCTION("""COMPUTED_VALUE"""),1.0)</f>
        <v>1</v>
      </c>
      <c r="BA129" s="3">
        <f>IFERROR(__xludf.DUMMYFUNCTION("""COMPUTED_VALUE"""),1.0)</f>
        <v>1</v>
      </c>
      <c r="BB129" s="3">
        <f>IFERROR(__xludf.DUMMYFUNCTION("""COMPUTED_VALUE"""),1.0)</f>
        <v>1</v>
      </c>
      <c r="BC129" s="3">
        <f>IFERROR(__xludf.DUMMYFUNCTION("""COMPUTED_VALUE"""),1.0)</f>
        <v>1</v>
      </c>
      <c r="BD129" s="3">
        <f>IFERROR(__xludf.DUMMYFUNCTION("""COMPUTED_VALUE"""),1.0)</f>
        <v>1</v>
      </c>
      <c r="BE129" s="3">
        <f>IFERROR(__xludf.DUMMYFUNCTION("""COMPUTED_VALUE"""),1.0)</f>
        <v>1</v>
      </c>
      <c r="BF129" s="3">
        <f>IFERROR(__xludf.DUMMYFUNCTION("""COMPUTED_VALUE"""),1.0)</f>
        <v>1</v>
      </c>
      <c r="BG129" s="3">
        <f>IFERROR(__xludf.DUMMYFUNCTION("""COMPUTED_VALUE"""),1.0)</f>
        <v>1</v>
      </c>
      <c r="BH129" s="3">
        <f>IFERROR(__xludf.DUMMYFUNCTION("""COMPUTED_VALUE"""),1.0)</f>
        <v>1</v>
      </c>
      <c r="BI129" s="3">
        <f>IFERROR(__xludf.DUMMYFUNCTION("""COMPUTED_VALUE"""),1.0)</f>
        <v>1</v>
      </c>
      <c r="BJ129" s="3">
        <f>IFERROR(__xludf.DUMMYFUNCTION("""COMPUTED_VALUE"""),1.0)</f>
        <v>1</v>
      </c>
      <c r="BK129" s="3">
        <f>IFERROR(__xludf.DUMMYFUNCTION("""COMPUTED_VALUE"""),1.0)</f>
        <v>1</v>
      </c>
      <c r="BL129" s="3">
        <f>IFERROR(__xludf.DUMMYFUNCTION("""COMPUTED_VALUE"""),1.0)</f>
        <v>1</v>
      </c>
      <c r="BM129" s="3">
        <f>IFERROR(__xludf.DUMMYFUNCTION("""COMPUTED_VALUE"""),1.0)</f>
        <v>1</v>
      </c>
      <c r="BN129" s="3">
        <f>IFERROR(__xludf.DUMMYFUNCTION("""COMPUTED_VALUE"""),1.0)</f>
        <v>1</v>
      </c>
      <c r="BO129" s="3">
        <f>IFERROR(__xludf.DUMMYFUNCTION("""COMPUTED_VALUE"""),4.0)</f>
        <v>4</v>
      </c>
      <c r="BP129" s="3">
        <f>IFERROR(__xludf.DUMMYFUNCTION("""COMPUTED_VALUE"""),4.0)</f>
        <v>4</v>
      </c>
      <c r="BQ129" s="3">
        <f>IFERROR(__xludf.DUMMYFUNCTION("""COMPUTED_VALUE"""),4.0)</f>
        <v>4</v>
      </c>
      <c r="BR129" s="3">
        <f>IFERROR(__xludf.DUMMYFUNCTION("""COMPUTED_VALUE"""),4.0)</f>
        <v>4</v>
      </c>
      <c r="BS129" s="3">
        <f>IFERROR(__xludf.DUMMYFUNCTION("""COMPUTED_VALUE"""),6.0)</f>
        <v>6</v>
      </c>
      <c r="BT129" s="3">
        <f>IFERROR(__xludf.DUMMYFUNCTION("""COMPUTED_VALUE"""),6.0)</f>
        <v>6</v>
      </c>
      <c r="BU129" s="3">
        <f>IFERROR(__xludf.DUMMYFUNCTION("""COMPUTED_VALUE"""),6.0)</f>
        <v>6</v>
      </c>
      <c r="BV129" s="3">
        <f>IFERROR(__xludf.DUMMYFUNCTION("""COMPUTED_VALUE"""),6.0)</f>
        <v>6</v>
      </c>
      <c r="BW129" s="3">
        <f>IFERROR(__xludf.DUMMYFUNCTION("""COMPUTED_VALUE"""),6.0)</f>
        <v>6</v>
      </c>
      <c r="BX129" s="3">
        <f>IFERROR(__xludf.DUMMYFUNCTION("""COMPUTED_VALUE"""),7.0)</f>
        <v>7</v>
      </c>
      <c r="BY129" s="3">
        <f>IFERROR(__xludf.DUMMYFUNCTION("""COMPUTED_VALUE"""),7.0)</f>
        <v>7</v>
      </c>
      <c r="BZ129" s="3">
        <f>IFERROR(__xludf.DUMMYFUNCTION("""COMPUTED_VALUE"""),7.0)</f>
        <v>7</v>
      </c>
      <c r="CA129" s="3">
        <f>IFERROR(__xludf.DUMMYFUNCTION("""COMPUTED_VALUE"""),7.0)</f>
        <v>7</v>
      </c>
      <c r="CB129" s="3">
        <f>IFERROR(__xludf.DUMMYFUNCTION("""COMPUTED_VALUE"""),7.0)</f>
        <v>7</v>
      </c>
    </row>
    <row r="130">
      <c r="A130" s="3" t="str">
        <f>IFERROR(__xludf.DUMMYFUNCTION("""COMPUTED_VALUE"""),"")</f>
        <v/>
      </c>
      <c r="B130" s="3" t="str">
        <f>IFERROR(__xludf.DUMMYFUNCTION("""COMPUTED_VALUE"""),"Honduras")</f>
        <v>Honduras</v>
      </c>
      <c r="C130" s="3">
        <f>IFERROR(__xludf.DUMMYFUNCTION("""COMPUTED_VALUE"""),15.2)</f>
        <v>15.2</v>
      </c>
      <c r="D130" s="3">
        <f>IFERROR(__xludf.DUMMYFUNCTION("""COMPUTED_VALUE"""),-86.2419)</f>
        <v>-86.2419</v>
      </c>
      <c r="E130" s="3">
        <f>IFERROR(__xludf.DUMMYFUNCTION("""COMPUTED_VALUE"""),0.0)</f>
        <v>0</v>
      </c>
      <c r="F130" s="3">
        <f>IFERROR(__xludf.DUMMYFUNCTION("""COMPUTED_VALUE"""),0.0)</f>
        <v>0</v>
      </c>
      <c r="G130" s="3">
        <f>IFERROR(__xludf.DUMMYFUNCTION("""COMPUTED_VALUE"""),0.0)</f>
        <v>0</v>
      </c>
      <c r="H130" s="3">
        <f>IFERROR(__xludf.DUMMYFUNCTION("""COMPUTED_VALUE"""),0.0)</f>
        <v>0</v>
      </c>
      <c r="I130" s="3">
        <f>IFERROR(__xludf.DUMMYFUNCTION("""COMPUTED_VALUE"""),0.0)</f>
        <v>0</v>
      </c>
      <c r="J130" s="3">
        <f>IFERROR(__xludf.DUMMYFUNCTION("""COMPUTED_VALUE"""),0.0)</f>
        <v>0</v>
      </c>
      <c r="K130" s="3">
        <f>IFERROR(__xludf.DUMMYFUNCTION("""COMPUTED_VALUE"""),0.0)</f>
        <v>0</v>
      </c>
      <c r="L130" s="3">
        <f>IFERROR(__xludf.DUMMYFUNCTION("""COMPUTED_VALUE"""),0.0)</f>
        <v>0</v>
      </c>
      <c r="M130" s="3">
        <f>IFERROR(__xludf.DUMMYFUNCTION("""COMPUTED_VALUE"""),0.0)</f>
        <v>0</v>
      </c>
      <c r="N130" s="3">
        <f>IFERROR(__xludf.DUMMYFUNCTION("""COMPUTED_VALUE"""),0.0)</f>
        <v>0</v>
      </c>
      <c r="O130" s="3">
        <f>IFERROR(__xludf.DUMMYFUNCTION("""COMPUTED_VALUE"""),0.0)</f>
        <v>0</v>
      </c>
      <c r="P130" s="3">
        <f>IFERROR(__xludf.DUMMYFUNCTION("""COMPUTED_VALUE"""),0.0)</f>
        <v>0</v>
      </c>
      <c r="Q130" s="3">
        <f>IFERROR(__xludf.DUMMYFUNCTION("""COMPUTED_VALUE"""),0.0)</f>
        <v>0</v>
      </c>
      <c r="R130" s="3">
        <f>IFERROR(__xludf.DUMMYFUNCTION("""COMPUTED_VALUE"""),0.0)</f>
        <v>0</v>
      </c>
      <c r="S130" s="3">
        <f>IFERROR(__xludf.DUMMYFUNCTION("""COMPUTED_VALUE"""),0.0)</f>
        <v>0</v>
      </c>
      <c r="T130" s="3">
        <f>IFERROR(__xludf.DUMMYFUNCTION("""COMPUTED_VALUE"""),0.0)</f>
        <v>0</v>
      </c>
      <c r="U130" s="3">
        <f>IFERROR(__xludf.DUMMYFUNCTION("""COMPUTED_VALUE"""),0.0)</f>
        <v>0</v>
      </c>
      <c r="V130" s="3">
        <f>IFERROR(__xludf.DUMMYFUNCTION("""COMPUTED_VALUE"""),0.0)</f>
        <v>0</v>
      </c>
      <c r="W130" s="3">
        <f>IFERROR(__xludf.DUMMYFUNCTION("""COMPUTED_VALUE"""),0.0)</f>
        <v>0</v>
      </c>
      <c r="X130" s="3">
        <f>IFERROR(__xludf.DUMMYFUNCTION("""COMPUTED_VALUE"""),0.0)</f>
        <v>0</v>
      </c>
      <c r="Y130" s="3">
        <f>IFERROR(__xludf.DUMMYFUNCTION("""COMPUTED_VALUE"""),0.0)</f>
        <v>0</v>
      </c>
      <c r="Z130" s="3">
        <f>IFERROR(__xludf.DUMMYFUNCTION("""COMPUTED_VALUE"""),0.0)</f>
        <v>0</v>
      </c>
      <c r="AA130" s="3">
        <f>IFERROR(__xludf.DUMMYFUNCTION("""COMPUTED_VALUE"""),0.0)</f>
        <v>0</v>
      </c>
      <c r="AB130" s="3">
        <f>IFERROR(__xludf.DUMMYFUNCTION("""COMPUTED_VALUE"""),0.0)</f>
        <v>0</v>
      </c>
      <c r="AC130" s="3">
        <f>IFERROR(__xludf.DUMMYFUNCTION("""COMPUTED_VALUE"""),0.0)</f>
        <v>0</v>
      </c>
      <c r="AD130" s="3">
        <f>IFERROR(__xludf.DUMMYFUNCTION("""COMPUTED_VALUE"""),0.0)</f>
        <v>0</v>
      </c>
      <c r="AE130" s="3">
        <f>IFERROR(__xludf.DUMMYFUNCTION("""COMPUTED_VALUE"""),0.0)</f>
        <v>0</v>
      </c>
      <c r="AF130" s="3">
        <f>IFERROR(__xludf.DUMMYFUNCTION("""COMPUTED_VALUE"""),0.0)</f>
        <v>0</v>
      </c>
      <c r="AG130" s="3">
        <f>IFERROR(__xludf.DUMMYFUNCTION("""COMPUTED_VALUE"""),0.0)</f>
        <v>0</v>
      </c>
      <c r="AH130" s="3">
        <f>IFERROR(__xludf.DUMMYFUNCTION("""COMPUTED_VALUE"""),0.0)</f>
        <v>0</v>
      </c>
      <c r="AI130" s="3">
        <f>IFERROR(__xludf.DUMMYFUNCTION("""COMPUTED_VALUE"""),0.0)</f>
        <v>0</v>
      </c>
      <c r="AJ130" s="3">
        <f>IFERROR(__xludf.DUMMYFUNCTION("""COMPUTED_VALUE"""),0.0)</f>
        <v>0</v>
      </c>
      <c r="AK130" s="3">
        <f>IFERROR(__xludf.DUMMYFUNCTION("""COMPUTED_VALUE"""),0.0)</f>
        <v>0</v>
      </c>
      <c r="AL130" s="3">
        <f>IFERROR(__xludf.DUMMYFUNCTION("""COMPUTED_VALUE"""),0.0)</f>
        <v>0</v>
      </c>
      <c r="AM130" s="3">
        <f>IFERROR(__xludf.DUMMYFUNCTION("""COMPUTED_VALUE"""),0.0)</f>
        <v>0</v>
      </c>
      <c r="AN130" s="3">
        <f>IFERROR(__xludf.DUMMYFUNCTION("""COMPUTED_VALUE"""),0.0)</f>
        <v>0</v>
      </c>
      <c r="AO130" s="3">
        <f>IFERROR(__xludf.DUMMYFUNCTION("""COMPUTED_VALUE"""),0.0)</f>
        <v>0</v>
      </c>
      <c r="AP130" s="3">
        <f>IFERROR(__xludf.DUMMYFUNCTION("""COMPUTED_VALUE"""),0.0)</f>
        <v>0</v>
      </c>
      <c r="AQ130" s="3">
        <f>IFERROR(__xludf.DUMMYFUNCTION("""COMPUTED_VALUE"""),0.0)</f>
        <v>0</v>
      </c>
      <c r="AR130" s="3">
        <f>IFERROR(__xludf.DUMMYFUNCTION("""COMPUTED_VALUE"""),0.0)</f>
        <v>0</v>
      </c>
      <c r="AS130" s="3">
        <f>IFERROR(__xludf.DUMMYFUNCTION("""COMPUTED_VALUE"""),0.0)</f>
        <v>0</v>
      </c>
      <c r="AT130" s="3">
        <f>IFERROR(__xludf.DUMMYFUNCTION("""COMPUTED_VALUE"""),0.0)</f>
        <v>0</v>
      </c>
      <c r="AU130" s="3">
        <f>IFERROR(__xludf.DUMMYFUNCTION("""COMPUTED_VALUE"""),0.0)</f>
        <v>0</v>
      </c>
      <c r="AV130" s="3">
        <f>IFERROR(__xludf.DUMMYFUNCTION("""COMPUTED_VALUE"""),0.0)</f>
        <v>0</v>
      </c>
      <c r="AW130" s="3">
        <f>IFERROR(__xludf.DUMMYFUNCTION("""COMPUTED_VALUE"""),0.0)</f>
        <v>0</v>
      </c>
      <c r="AX130" s="3">
        <f>IFERROR(__xludf.DUMMYFUNCTION("""COMPUTED_VALUE"""),0.0)</f>
        <v>0</v>
      </c>
      <c r="AY130" s="3">
        <f>IFERROR(__xludf.DUMMYFUNCTION("""COMPUTED_VALUE"""),0.0)</f>
        <v>0</v>
      </c>
      <c r="AZ130" s="3">
        <f>IFERROR(__xludf.DUMMYFUNCTION("""COMPUTED_VALUE"""),0.0)</f>
        <v>0</v>
      </c>
      <c r="BA130" s="3">
        <f>IFERROR(__xludf.DUMMYFUNCTION("""COMPUTED_VALUE"""),0.0)</f>
        <v>0</v>
      </c>
      <c r="BB130" s="3">
        <f>IFERROR(__xludf.DUMMYFUNCTION("""COMPUTED_VALUE"""),2.0)</f>
        <v>2</v>
      </c>
      <c r="BC130" s="3">
        <f>IFERROR(__xludf.DUMMYFUNCTION("""COMPUTED_VALUE"""),2.0)</f>
        <v>2</v>
      </c>
      <c r="BD130" s="3">
        <f>IFERROR(__xludf.DUMMYFUNCTION("""COMPUTED_VALUE"""),2.0)</f>
        <v>2</v>
      </c>
      <c r="BE130" s="3">
        <f>IFERROR(__xludf.DUMMYFUNCTION("""COMPUTED_VALUE"""),2.0)</f>
        <v>2</v>
      </c>
      <c r="BF130" s="3">
        <f>IFERROR(__xludf.DUMMYFUNCTION("""COMPUTED_VALUE"""),3.0)</f>
        <v>3</v>
      </c>
      <c r="BG130" s="3">
        <f>IFERROR(__xludf.DUMMYFUNCTION("""COMPUTED_VALUE"""),6.0)</f>
        <v>6</v>
      </c>
      <c r="BH130" s="3">
        <f>IFERROR(__xludf.DUMMYFUNCTION("""COMPUTED_VALUE"""),8.0)</f>
        <v>8</v>
      </c>
      <c r="BI130" s="3">
        <f>IFERROR(__xludf.DUMMYFUNCTION("""COMPUTED_VALUE"""),9.0)</f>
        <v>9</v>
      </c>
      <c r="BJ130" s="3">
        <f>IFERROR(__xludf.DUMMYFUNCTION("""COMPUTED_VALUE"""),12.0)</f>
        <v>12</v>
      </c>
      <c r="BK130" s="3">
        <f>IFERROR(__xludf.DUMMYFUNCTION("""COMPUTED_VALUE"""),24.0)</f>
        <v>24</v>
      </c>
      <c r="BL130" s="3">
        <f>IFERROR(__xludf.DUMMYFUNCTION("""COMPUTED_VALUE"""),24.0)</f>
        <v>24</v>
      </c>
      <c r="BM130" s="3">
        <f>IFERROR(__xludf.DUMMYFUNCTION("""COMPUTED_VALUE"""),26.0)</f>
        <v>26</v>
      </c>
      <c r="BN130" s="3">
        <f>IFERROR(__xludf.DUMMYFUNCTION("""COMPUTED_VALUE"""),30.0)</f>
        <v>30</v>
      </c>
      <c r="BO130" s="3">
        <f>IFERROR(__xludf.DUMMYFUNCTION("""COMPUTED_VALUE"""),30.0)</f>
        <v>30</v>
      </c>
      <c r="BP130" s="3">
        <f>IFERROR(__xludf.DUMMYFUNCTION("""COMPUTED_VALUE"""),36.0)</f>
        <v>36</v>
      </c>
      <c r="BQ130" s="3">
        <f>IFERROR(__xludf.DUMMYFUNCTION("""COMPUTED_VALUE"""),52.0)</f>
        <v>52</v>
      </c>
      <c r="BR130" s="3">
        <f>IFERROR(__xludf.DUMMYFUNCTION("""COMPUTED_VALUE"""),68.0)</f>
        <v>68</v>
      </c>
      <c r="BS130" s="3">
        <f>IFERROR(__xludf.DUMMYFUNCTION("""COMPUTED_VALUE"""),95.0)</f>
        <v>95</v>
      </c>
      <c r="BT130" s="3">
        <f>IFERROR(__xludf.DUMMYFUNCTION("""COMPUTED_VALUE"""),110.0)</f>
        <v>110</v>
      </c>
      <c r="BU130" s="3">
        <f>IFERROR(__xludf.DUMMYFUNCTION("""COMPUTED_VALUE"""),139.0)</f>
        <v>139</v>
      </c>
      <c r="BV130" s="3">
        <f>IFERROR(__xludf.DUMMYFUNCTION("""COMPUTED_VALUE"""),141.0)</f>
        <v>141</v>
      </c>
      <c r="BW130" s="3">
        <f>IFERROR(__xludf.DUMMYFUNCTION("""COMPUTED_VALUE"""),172.0)</f>
        <v>172</v>
      </c>
      <c r="BX130" s="3">
        <f>IFERROR(__xludf.DUMMYFUNCTION("""COMPUTED_VALUE"""),219.0)</f>
        <v>219</v>
      </c>
      <c r="BY130" s="3">
        <f>IFERROR(__xludf.DUMMYFUNCTION("""COMPUTED_VALUE"""),222.0)</f>
        <v>222</v>
      </c>
      <c r="BZ130" s="3">
        <f>IFERROR(__xludf.DUMMYFUNCTION("""COMPUTED_VALUE"""),264.0)</f>
        <v>264</v>
      </c>
      <c r="CA130" s="3">
        <f>IFERROR(__xludf.DUMMYFUNCTION("""COMPUTED_VALUE"""),268.0)</f>
        <v>268</v>
      </c>
      <c r="CB130" s="3">
        <f>IFERROR(__xludf.DUMMYFUNCTION("""COMPUTED_VALUE"""),298.0)</f>
        <v>298</v>
      </c>
    </row>
    <row r="131">
      <c r="A131" s="3" t="str">
        <f>IFERROR(__xludf.DUMMYFUNCTION("""COMPUTED_VALUE"""),"")</f>
        <v/>
      </c>
      <c r="B131" s="3" t="str">
        <f>IFERROR(__xludf.DUMMYFUNCTION("""COMPUTED_VALUE"""),"Hungary")</f>
        <v>Hungary</v>
      </c>
      <c r="C131" s="3">
        <f>IFERROR(__xludf.DUMMYFUNCTION("""COMPUTED_VALUE"""),47.1625)</f>
        <v>47.1625</v>
      </c>
      <c r="D131" s="3">
        <f>IFERROR(__xludf.DUMMYFUNCTION("""COMPUTED_VALUE"""),19.5033)</f>
        <v>19.5033</v>
      </c>
      <c r="E131" s="3">
        <f>IFERROR(__xludf.DUMMYFUNCTION("""COMPUTED_VALUE"""),0.0)</f>
        <v>0</v>
      </c>
      <c r="F131" s="3">
        <f>IFERROR(__xludf.DUMMYFUNCTION("""COMPUTED_VALUE"""),0.0)</f>
        <v>0</v>
      </c>
      <c r="G131" s="3">
        <f>IFERROR(__xludf.DUMMYFUNCTION("""COMPUTED_VALUE"""),0.0)</f>
        <v>0</v>
      </c>
      <c r="H131" s="3">
        <f>IFERROR(__xludf.DUMMYFUNCTION("""COMPUTED_VALUE"""),0.0)</f>
        <v>0</v>
      </c>
      <c r="I131" s="3">
        <f>IFERROR(__xludf.DUMMYFUNCTION("""COMPUTED_VALUE"""),0.0)</f>
        <v>0</v>
      </c>
      <c r="J131" s="3">
        <f>IFERROR(__xludf.DUMMYFUNCTION("""COMPUTED_VALUE"""),0.0)</f>
        <v>0</v>
      </c>
      <c r="K131" s="3">
        <f>IFERROR(__xludf.DUMMYFUNCTION("""COMPUTED_VALUE"""),0.0)</f>
        <v>0</v>
      </c>
      <c r="L131" s="3">
        <f>IFERROR(__xludf.DUMMYFUNCTION("""COMPUTED_VALUE"""),0.0)</f>
        <v>0</v>
      </c>
      <c r="M131" s="3">
        <f>IFERROR(__xludf.DUMMYFUNCTION("""COMPUTED_VALUE"""),0.0)</f>
        <v>0</v>
      </c>
      <c r="N131" s="3">
        <f>IFERROR(__xludf.DUMMYFUNCTION("""COMPUTED_VALUE"""),0.0)</f>
        <v>0</v>
      </c>
      <c r="O131" s="3">
        <f>IFERROR(__xludf.DUMMYFUNCTION("""COMPUTED_VALUE"""),0.0)</f>
        <v>0</v>
      </c>
      <c r="P131" s="3">
        <f>IFERROR(__xludf.DUMMYFUNCTION("""COMPUTED_VALUE"""),0.0)</f>
        <v>0</v>
      </c>
      <c r="Q131" s="3">
        <f>IFERROR(__xludf.DUMMYFUNCTION("""COMPUTED_VALUE"""),0.0)</f>
        <v>0</v>
      </c>
      <c r="R131" s="3">
        <f>IFERROR(__xludf.DUMMYFUNCTION("""COMPUTED_VALUE"""),0.0)</f>
        <v>0</v>
      </c>
      <c r="S131" s="3">
        <f>IFERROR(__xludf.DUMMYFUNCTION("""COMPUTED_VALUE"""),0.0)</f>
        <v>0</v>
      </c>
      <c r="T131" s="3">
        <f>IFERROR(__xludf.DUMMYFUNCTION("""COMPUTED_VALUE"""),0.0)</f>
        <v>0</v>
      </c>
      <c r="U131" s="3">
        <f>IFERROR(__xludf.DUMMYFUNCTION("""COMPUTED_VALUE"""),0.0)</f>
        <v>0</v>
      </c>
      <c r="V131" s="3">
        <f>IFERROR(__xludf.DUMMYFUNCTION("""COMPUTED_VALUE"""),0.0)</f>
        <v>0</v>
      </c>
      <c r="W131" s="3">
        <f>IFERROR(__xludf.DUMMYFUNCTION("""COMPUTED_VALUE"""),0.0)</f>
        <v>0</v>
      </c>
      <c r="X131" s="3">
        <f>IFERROR(__xludf.DUMMYFUNCTION("""COMPUTED_VALUE"""),0.0)</f>
        <v>0</v>
      </c>
      <c r="Y131" s="3">
        <f>IFERROR(__xludf.DUMMYFUNCTION("""COMPUTED_VALUE"""),0.0)</f>
        <v>0</v>
      </c>
      <c r="Z131" s="3">
        <f>IFERROR(__xludf.DUMMYFUNCTION("""COMPUTED_VALUE"""),0.0)</f>
        <v>0</v>
      </c>
      <c r="AA131" s="3">
        <f>IFERROR(__xludf.DUMMYFUNCTION("""COMPUTED_VALUE"""),0.0)</f>
        <v>0</v>
      </c>
      <c r="AB131" s="3">
        <f>IFERROR(__xludf.DUMMYFUNCTION("""COMPUTED_VALUE"""),0.0)</f>
        <v>0</v>
      </c>
      <c r="AC131" s="3">
        <f>IFERROR(__xludf.DUMMYFUNCTION("""COMPUTED_VALUE"""),0.0)</f>
        <v>0</v>
      </c>
      <c r="AD131" s="3">
        <f>IFERROR(__xludf.DUMMYFUNCTION("""COMPUTED_VALUE"""),0.0)</f>
        <v>0</v>
      </c>
      <c r="AE131" s="3">
        <f>IFERROR(__xludf.DUMMYFUNCTION("""COMPUTED_VALUE"""),0.0)</f>
        <v>0</v>
      </c>
      <c r="AF131" s="3">
        <f>IFERROR(__xludf.DUMMYFUNCTION("""COMPUTED_VALUE"""),0.0)</f>
        <v>0</v>
      </c>
      <c r="AG131" s="3">
        <f>IFERROR(__xludf.DUMMYFUNCTION("""COMPUTED_VALUE"""),0.0)</f>
        <v>0</v>
      </c>
      <c r="AH131" s="3">
        <f>IFERROR(__xludf.DUMMYFUNCTION("""COMPUTED_VALUE"""),0.0)</f>
        <v>0</v>
      </c>
      <c r="AI131" s="3">
        <f>IFERROR(__xludf.DUMMYFUNCTION("""COMPUTED_VALUE"""),0.0)</f>
        <v>0</v>
      </c>
      <c r="AJ131" s="3">
        <f>IFERROR(__xludf.DUMMYFUNCTION("""COMPUTED_VALUE"""),0.0)</f>
        <v>0</v>
      </c>
      <c r="AK131" s="3">
        <f>IFERROR(__xludf.DUMMYFUNCTION("""COMPUTED_VALUE"""),0.0)</f>
        <v>0</v>
      </c>
      <c r="AL131" s="3">
        <f>IFERROR(__xludf.DUMMYFUNCTION("""COMPUTED_VALUE"""),0.0)</f>
        <v>0</v>
      </c>
      <c r="AM131" s="3">
        <f>IFERROR(__xludf.DUMMYFUNCTION("""COMPUTED_VALUE"""),0.0)</f>
        <v>0</v>
      </c>
      <c r="AN131" s="3">
        <f>IFERROR(__xludf.DUMMYFUNCTION("""COMPUTED_VALUE"""),0.0)</f>
        <v>0</v>
      </c>
      <c r="AO131" s="3">
        <f>IFERROR(__xludf.DUMMYFUNCTION("""COMPUTED_VALUE"""),0.0)</f>
        <v>0</v>
      </c>
      <c r="AP131" s="3">
        <f>IFERROR(__xludf.DUMMYFUNCTION("""COMPUTED_VALUE"""),0.0)</f>
        <v>0</v>
      </c>
      <c r="AQ131" s="3">
        <f>IFERROR(__xludf.DUMMYFUNCTION("""COMPUTED_VALUE"""),0.0)</f>
        <v>0</v>
      </c>
      <c r="AR131" s="3">
        <f>IFERROR(__xludf.DUMMYFUNCTION("""COMPUTED_VALUE"""),0.0)</f>
        <v>0</v>
      </c>
      <c r="AS131" s="3">
        <f>IFERROR(__xludf.DUMMYFUNCTION("""COMPUTED_VALUE"""),0.0)</f>
        <v>0</v>
      </c>
      <c r="AT131" s="3">
        <f>IFERROR(__xludf.DUMMYFUNCTION("""COMPUTED_VALUE"""),0.0)</f>
        <v>0</v>
      </c>
      <c r="AU131" s="3">
        <f>IFERROR(__xludf.DUMMYFUNCTION("""COMPUTED_VALUE"""),2.0)</f>
        <v>2</v>
      </c>
      <c r="AV131" s="3">
        <f>IFERROR(__xludf.DUMMYFUNCTION("""COMPUTED_VALUE"""),2.0)</f>
        <v>2</v>
      </c>
      <c r="AW131" s="3">
        <f>IFERROR(__xludf.DUMMYFUNCTION("""COMPUTED_VALUE"""),2.0)</f>
        <v>2</v>
      </c>
      <c r="AX131" s="3">
        <f>IFERROR(__xludf.DUMMYFUNCTION("""COMPUTED_VALUE"""),4.0)</f>
        <v>4</v>
      </c>
      <c r="AY131" s="3">
        <f>IFERROR(__xludf.DUMMYFUNCTION("""COMPUTED_VALUE"""),7.0)</f>
        <v>7</v>
      </c>
      <c r="AZ131" s="3">
        <f>IFERROR(__xludf.DUMMYFUNCTION("""COMPUTED_VALUE"""),9.0)</f>
        <v>9</v>
      </c>
      <c r="BA131" s="3">
        <f>IFERROR(__xludf.DUMMYFUNCTION("""COMPUTED_VALUE"""),9.0)</f>
        <v>9</v>
      </c>
      <c r="BB131" s="3">
        <f>IFERROR(__xludf.DUMMYFUNCTION("""COMPUTED_VALUE"""),13.0)</f>
        <v>13</v>
      </c>
      <c r="BC131" s="3">
        <f>IFERROR(__xludf.DUMMYFUNCTION("""COMPUTED_VALUE"""),13.0)</f>
        <v>13</v>
      </c>
      <c r="BD131" s="3">
        <f>IFERROR(__xludf.DUMMYFUNCTION("""COMPUTED_VALUE"""),19.0)</f>
        <v>19</v>
      </c>
      <c r="BE131" s="3">
        <f>IFERROR(__xludf.DUMMYFUNCTION("""COMPUTED_VALUE"""),30.0)</f>
        <v>30</v>
      </c>
      <c r="BF131" s="3">
        <f>IFERROR(__xludf.DUMMYFUNCTION("""COMPUTED_VALUE"""),32.0)</f>
        <v>32</v>
      </c>
      <c r="BG131" s="3">
        <f>IFERROR(__xludf.DUMMYFUNCTION("""COMPUTED_VALUE"""),39.0)</f>
        <v>39</v>
      </c>
      <c r="BH131" s="3">
        <f>IFERROR(__xludf.DUMMYFUNCTION("""COMPUTED_VALUE"""),50.0)</f>
        <v>50</v>
      </c>
      <c r="BI131" s="3">
        <f>IFERROR(__xludf.DUMMYFUNCTION("""COMPUTED_VALUE"""),58.0)</f>
        <v>58</v>
      </c>
      <c r="BJ131" s="3">
        <f>IFERROR(__xludf.DUMMYFUNCTION("""COMPUTED_VALUE"""),73.0)</f>
        <v>73</v>
      </c>
      <c r="BK131" s="3">
        <f>IFERROR(__xludf.DUMMYFUNCTION("""COMPUTED_VALUE"""),85.0)</f>
        <v>85</v>
      </c>
      <c r="BL131" s="3">
        <f>IFERROR(__xludf.DUMMYFUNCTION("""COMPUTED_VALUE"""),103.0)</f>
        <v>103</v>
      </c>
      <c r="BM131" s="3">
        <f>IFERROR(__xludf.DUMMYFUNCTION("""COMPUTED_VALUE"""),131.0)</f>
        <v>131</v>
      </c>
      <c r="BN131" s="3">
        <f>IFERROR(__xludf.DUMMYFUNCTION("""COMPUTED_VALUE"""),167.0)</f>
        <v>167</v>
      </c>
      <c r="BO131" s="3">
        <f>IFERROR(__xludf.DUMMYFUNCTION("""COMPUTED_VALUE"""),187.0)</f>
        <v>187</v>
      </c>
      <c r="BP131" s="3">
        <f>IFERROR(__xludf.DUMMYFUNCTION("""COMPUTED_VALUE"""),226.0)</f>
        <v>226</v>
      </c>
      <c r="BQ131" s="3">
        <f>IFERROR(__xludf.DUMMYFUNCTION("""COMPUTED_VALUE"""),261.0)</f>
        <v>261</v>
      </c>
      <c r="BR131" s="3">
        <f>IFERROR(__xludf.DUMMYFUNCTION("""COMPUTED_VALUE"""),300.0)</f>
        <v>300</v>
      </c>
      <c r="BS131" s="3">
        <f>IFERROR(__xludf.DUMMYFUNCTION("""COMPUTED_VALUE"""),343.0)</f>
        <v>343</v>
      </c>
      <c r="BT131" s="3">
        <f>IFERROR(__xludf.DUMMYFUNCTION("""COMPUTED_VALUE"""),408.0)</f>
        <v>408</v>
      </c>
      <c r="BU131" s="3">
        <f>IFERROR(__xludf.DUMMYFUNCTION("""COMPUTED_VALUE"""),447.0)</f>
        <v>447</v>
      </c>
      <c r="BV131" s="3">
        <f>IFERROR(__xludf.DUMMYFUNCTION("""COMPUTED_VALUE"""),492.0)</f>
        <v>492</v>
      </c>
      <c r="BW131" s="3">
        <f>IFERROR(__xludf.DUMMYFUNCTION("""COMPUTED_VALUE"""),525.0)</f>
        <v>525</v>
      </c>
      <c r="BX131" s="3">
        <f>IFERROR(__xludf.DUMMYFUNCTION("""COMPUTED_VALUE"""),585.0)</f>
        <v>585</v>
      </c>
      <c r="BY131" s="3">
        <f>IFERROR(__xludf.DUMMYFUNCTION("""COMPUTED_VALUE"""),623.0)</f>
        <v>623</v>
      </c>
      <c r="BZ131" s="3">
        <f>IFERROR(__xludf.DUMMYFUNCTION("""COMPUTED_VALUE"""),678.0)</f>
        <v>678</v>
      </c>
      <c r="CA131" s="3">
        <f>IFERROR(__xludf.DUMMYFUNCTION("""COMPUTED_VALUE"""),733.0)</f>
        <v>733</v>
      </c>
      <c r="CB131" s="3">
        <f>IFERROR(__xludf.DUMMYFUNCTION("""COMPUTED_VALUE"""),744.0)</f>
        <v>744</v>
      </c>
    </row>
    <row r="132">
      <c r="A132" s="3" t="str">
        <f>IFERROR(__xludf.DUMMYFUNCTION("""COMPUTED_VALUE"""),"")</f>
        <v/>
      </c>
      <c r="B132" s="3" t="str">
        <f>IFERROR(__xludf.DUMMYFUNCTION("""COMPUTED_VALUE"""),"Iceland")</f>
        <v>Iceland</v>
      </c>
      <c r="C132" s="3">
        <f>IFERROR(__xludf.DUMMYFUNCTION("""COMPUTED_VALUE"""),64.9631)</f>
        <v>64.9631</v>
      </c>
      <c r="D132" s="3">
        <f>IFERROR(__xludf.DUMMYFUNCTION("""COMPUTED_VALUE"""),-19.0208)</f>
        <v>-19.0208</v>
      </c>
      <c r="E132" s="3">
        <f>IFERROR(__xludf.DUMMYFUNCTION("""COMPUTED_VALUE"""),0.0)</f>
        <v>0</v>
      </c>
      <c r="F132" s="3">
        <f>IFERROR(__xludf.DUMMYFUNCTION("""COMPUTED_VALUE"""),0.0)</f>
        <v>0</v>
      </c>
      <c r="G132" s="3">
        <f>IFERROR(__xludf.DUMMYFUNCTION("""COMPUTED_VALUE"""),0.0)</f>
        <v>0</v>
      </c>
      <c r="H132" s="3">
        <f>IFERROR(__xludf.DUMMYFUNCTION("""COMPUTED_VALUE"""),0.0)</f>
        <v>0</v>
      </c>
      <c r="I132" s="3">
        <f>IFERROR(__xludf.DUMMYFUNCTION("""COMPUTED_VALUE"""),0.0)</f>
        <v>0</v>
      </c>
      <c r="J132" s="3">
        <f>IFERROR(__xludf.DUMMYFUNCTION("""COMPUTED_VALUE"""),0.0)</f>
        <v>0</v>
      </c>
      <c r="K132" s="3">
        <f>IFERROR(__xludf.DUMMYFUNCTION("""COMPUTED_VALUE"""),0.0)</f>
        <v>0</v>
      </c>
      <c r="L132" s="3">
        <f>IFERROR(__xludf.DUMMYFUNCTION("""COMPUTED_VALUE"""),0.0)</f>
        <v>0</v>
      </c>
      <c r="M132" s="3">
        <f>IFERROR(__xludf.DUMMYFUNCTION("""COMPUTED_VALUE"""),0.0)</f>
        <v>0</v>
      </c>
      <c r="N132" s="3">
        <f>IFERROR(__xludf.DUMMYFUNCTION("""COMPUTED_VALUE"""),0.0)</f>
        <v>0</v>
      </c>
      <c r="O132" s="3">
        <f>IFERROR(__xludf.DUMMYFUNCTION("""COMPUTED_VALUE"""),0.0)</f>
        <v>0</v>
      </c>
      <c r="P132" s="3">
        <f>IFERROR(__xludf.DUMMYFUNCTION("""COMPUTED_VALUE"""),0.0)</f>
        <v>0</v>
      </c>
      <c r="Q132" s="3">
        <f>IFERROR(__xludf.DUMMYFUNCTION("""COMPUTED_VALUE"""),0.0)</f>
        <v>0</v>
      </c>
      <c r="R132" s="3">
        <f>IFERROR(__xludf.DUMMYFUNCTION("""COMPUTED_VALUE"""),0.0)</f>
        <v>0</v>
      </c>
      <c r="S132" s="3">
        <f>IFERROR(__xludf.DUMMYFUNCTION("""COMPUTED_VALUE"""),0.0)</f>
        <v>0</v>
      </c>
      <c r="T132" s="3">
        <f>IFERROR(__xludf.DUMMYFUNCTION("""COMPUTED_VALUE"""),0.0)</f>
        <v>0</v>
      </c>
      <c r="U132" s="3">
        <f>IFERROR(__xludf.DUMMYFUNCTION("""COMPUTED_VALUE"""),0.0)</f>
        <v>0</v>
      </c>
      <c r="V132" s="3">
        <f>IFERROR(__xludf.DUMMYFUNCTION("""COMPUTED_VALUE"""),0.0)</f>
        <v>0</v>
      </c>
      <c r="W132" s="3">
        <f>IFERROR(__xludf.DUMMYFUNCTION("""COMPUTED_VALUE"""),0.0)</f>
        <v>0</v>
      </c>
      <c r="X132" s="3">
        <f>IFERROR(__xludf.DUMMYFUNCTION("""COMPUTED_VALUE"""),0.0)</f>
        <v>0</v>
      </c>
      <c r="Y132" s="3">
        <f>IFERROR(__xludf.DUMMYFUNCTION("""COMPUTED_VALUE"""),0.0)</f>
        <v>0</v>
      </c>
      <c r="Z132" s="3">
        <f>IFERROR(__xludf.DUMMYFUNCTION("""COMPUTED_VALUE"""),0.0)</f>
        <v>0</v>
      </c>
      <c r="AA132" s="3">
        <f>IFERROR(__xludf.DUMMYFUNCTION("""COMPUTED_VALUE"""),0.0)</f>
        <v>0</v>
      </c>
      <c r="AB132" s="3">
        <f>IFERROR(__xludf.DUMMYFUNCTION("""COMPUTED_VALUE"""),0.0)</f>
        <v>0</v>
      </c>
      <c r="AC132" s="3">
        <f>IFERROR(__xludf.DUMMYFUNCTION("""COMPUTED_VALUE"""),0.0)</f>
        <v>0</v>
      </c>
      <c r="AD132" s="3">
        <f>IFERROR(__xludf.DUMMYFUNCTION("""COMPUTED_VALUE"""),0.0)</f>
        <v>0</v>
      </c>
      <c r="AE132" s="3">
        <f>IFERROR(__xludf.DUMMYFUNCTION("""COMPUTED_VALUE"""),0.0)</f>
        <v>0</v>
      </c>
      <c r="AF132" s="3">
        <f>IFERROR(__xludf.DUMMYFUNCTION("""COMPUTED_VALUE"""),0.0)</f>
        <v>0</v>
      </c>
      <c r="AG132" s="3">
        <f>IFERROR(__xludf.DUMMYFUNCTION("""COMPUTED_VALUE"""),0.0)</f>
        <v>0</v>
      </c>
      <c r="AH132" s="3">
        <f>IFERROR(__xludf.DUMMYFUNCTION("""COMPUTED_VALUE"""),0.0)</f>
        <v>0</v>
      </c>
      <c r="AI132" s="3">
        <f>IFERROR(__xludf.DUMMYFUNCTION("""COMPUTED_VALUE"""),0.0)</f>
        <v>0</v>
      </c>
      <c r="AJ132" s="3">
        <f>IFERROR(__xludf.DUMMYFUNCTION("""COMPUTED_VALUE"""),0.0)</f>
        <v>0</v>
      </c>
      <c r="AK132" s="3">
        <f>IFERROR(__xludf.DUMMYFUNCTION("""COMPUTED_VALUE"""),0.0)</f>
        <v>0</v>
      </c>
      <c r="AL132" s="3">
        <f>IFERROR(__xludf.DUMMYFUNCTION("""COMPUTED_VALUE"""),0.0)</f>
        <v>0</v>
      </c>
      <c r="AM132" s="3">
        <f>IFERROR(__xludf.DUMMYFUNCTION("""COMPUTED_VALUE"""),0.0)</f>
        <v>0</v>
      </c>
      <c r="AN132" s="3">
        <f>IFERROR(__xludf.DUMMYFUNCTION("""COMPUTED_VALUE"""),0.0)</f>
        <v>0</v>
      </c>
      <c r="AO132" s="3">
        <f>IFERROR(__xludf.DUMMYFUNCTION("""COMPUTED_VALUE"""),0.0)</f>
        <v>0</v>
      </c>
      <c r="AP132" s="3">
        <f>IFERROR(__xludf.DUMMYFUNCTION("""COMPUTED_VALUE"""),1.0)</f>
        <v>1</v>
      </c>
      <c r="AQ132" s="3">
        <f>IFERROR(__xludf.DUMMYFUNCTION("""COMPUTED_VALUE"""),1.0)</f>
        <v>1</v>
      </c>
      <c r="AR132" s="3">
        <f>IFERROR(__xludf.DUMMYFUNCTION("""COMPUTED_VALUE"""),3.0)</f>
        <v>3</v>
      </c>
      <c r="AS132" s="3">
        <f>IFERROR(__xludf.DUMMYFUNCTION("""COMPUTED_VALUE"""),6.0)</f>
        <v>6</v>
      </c>
      <c r="AT132" s="3">
        <f>IFERROR(__xludf.DUMMYFUNCTION("""COMPUTED_VALUE"""),11.0)</f>
        <v>11</v>
      </c>
      <c r="AU132" s="3">
        <f>IFERROR(__xludf.DUMMYFUNCTION("""COMPUTED_VALUE"""),26.0)</f>
        <v>26</v>
      </c>
      <c r="AV132" s="3">
        <f>IFERROR(__xludf.DUMMYFUNCTION("""COMPUTED_VALUE"""),34.0)</f>
        <v>34</v>
      </c>
      <c r="AW132" s="3">
        <f>IFERROR(__xludf.DUMMYFUNCTION("""COMPUTED_VALUE"""),43.0)</f>
        <v>43</v>
      </c>
      <c r="AX132" s="3">
        <f>IFERROR(__xludf.DUMMYFUNCTION("""COMPUTED_VALUE"""),50.0)</f>
        <v>50</v>
      </c>
      <c r="AY132" s="3">
        <f>IFERROR(__xludf.DUMMYFUNCTION("""COMPUTED_VALUE"""),50.0)</f>
        <v>50</v>
      </c>
      <c r="AZ132" s="3">
        <f>IFERROR(__xludf.DUMMYFUNCTION("""COMPUTED_VALUE"""),58.0)</f>
        <v>58</v>
      </c>
      <c r="BA132" s="3">
        <f>IFERROR(__xludf.DUMMYFUNCTION("""COMPUTED_VALUE"""),69.0)</f>
        <v>69</v>
      </c>
      <c r="BB132" s="3">
        <f>IFERROR(__xludf.DUMMYFUNCTION("""COMPUTED_VALUE"""),85.0)</f>
        <v>85</v>
      </c>
      <c r="BC132" s="3">
        <f>IFERROR(__xludf.DUMMYFUNCTION("""COMPUTED_VALUE"""),103.0)</f>
        <v>103</v>
      </c>
      <c r="BD132" s="3">
        <f>IFERROR(__xludf.DUMMYFUNCTION("""COMPUTED_VALUE"""),134.0)</f>
        <v>134</v>
      </c>
      <c r="BE132" s="3">
        <f>IFERROR(__xludf.DUMMYFUNCTION("""COMPUTED_VALUE"""),156.0)</f>
        <v>156</v>
      </c>
      <c r="BF132" s="3">
        <f>IFERROR(__xludf.DUMMYFUNCTION("""COMPUTED_VALUE"""),171.0)</f>
        <v>171</v>
      </c>
      <c r="BG132" s="3">
        <f>IFERROR(__xludf.DUMMYFUNCTION("""COMPUTED_VALUE"""),180.0)</f>
        <v>180</v>
      </c>
      <c r="BH132" s="3">
        <f>IFERROR(__xludf.DUMMYFUNCTION("""COMPUTED_VALUE"""),220.0)</f>
        <v>220</v>
      </c>
      <c r="BI132" s="3">
        <f>IFERROR(__xludf.DUMMYFUNCTION("""COMPUTED_VALUE"""),250.0)</f>
        <v>250</v>
      </c>
      <c r="BJ132" s="3">
        <f>IFERROR(__xludf.DUMMYFUNCTION("""COMPUTED_VALUE"""),330.0)</f>
        <v>330</v>
      </c>
      <c r="BK132" s="3">
        <f>IFERROR(__xludf.DUMMYFUNCTION("""COMPUTED_VALUE"""),409.0)</f>
        <v>409</v>
      </c>
      <c r="BL132" s="3">
        <f>IFERROR(__xludf.DUMMYFUNCTION("""COMPUTED_VALUE"""),473.0)</f>
        <v>473</v>
      </c>
      <c r="BM132" s="3">
        <f>IFERROR(__xludf.DUMMYFUNCTION("""COMPUTED_VALUE"""),568.0)</f>
        <v>568</v>
      </c>
      <c r="BN132" s="3">
        <f>IFERROR(__xludf.DUMMYFUNCTION("""COMPUTED_VALUE"""),588.0)</f>
        <v>588</v>
      </c>
      <c r="BO132" s="3">
        <f>IFERROR(__xludf.DUMMYFUNCTION("""COMPUTED_VALUE"""),648.0)</f>
        <v>648</v>
      </c>
      <c r="BP132" s="3">
        <f>IFERROR(__xludf.DUMMYFUNCTION("""COMPUTED_VALUE"""),737.0)</f>
        <v>737</v>
      </c>
      <c r="BQ132" s="3">
        <f>IFERROR(__xludf.DUMMYFUNCTION("""COMPUTED_VALUE"""),802.0)</f>
        <v>802</v>
      </c>
      <c r="BR132" s="3">
        <f>IFERROR(__xludf.DUMMYFUNCTION("""COMPUTED_VALUE"""),890.0)</f>
        <v>890</v>
      </c>
      <c r="BS132" s="3">
        <f>IFERROR(__xludf.DUMMYFUNCTION("""COMPUTED_VALUE"""),963.0)</f>
        <v>963</v>
      </c>
      <c r="BT132" s="3">
        <f>IFERROR(__xludf.DUMMYFUNCTION("""COMPUTED_VALUE"""),1020.0)</f>
        <v>1020</v>
      </c>
      <c r="BU132" s="3">
        <f>IFERROR(__xludf.DUMMYFUNCTION("""COMPUTED_VALUE"""),1086.0)</f>
        <v>1086</v>
      </c>
      <c r="BV132" s="3">
        <f>IFERROR(__xludf.DUMMYFUNCTION("""COMPUTED_VALUE"""),1135.0)</f>
        <v>1135</v>
      </c>
      <c r="BW132" s="3">
        <f>IFERROR(__xludf.DUMMYFUNCTION("""COMPUTED_VALUE"""),1220.0)</f>
        <v>1220</v>
      </c>
      <c r="BX132" s="3">
        <f>IFERROR(__xludf.DUMMYFUNCTION("""COMPUTED_VALUE"""),1319.0)</f>
        <v>1319</v>
      </c>
      <c r="BY132" s="3">
        <f>IFERROR(__xludf.DUMMYFUNCTION("""COMPUTED_VALUE"""),1364.0)</f>
        <v>1364</v>
      </c>
      <c r="BZ132" s="3">
        <f>IFERROR(__xludf.DUMMYFUNCTION("""COMPUTED_VALUE"""),1417.0)</f>
        <v>1417</v>
      </c>
      <c r="CA132" s="3">
        <f>IFERROR(__xludf.DUMMYFUNCTION("""COMPUTED_VALUE"""),1486.0)</f>
        <v>1486</v>
      </c>
      <c r="CB132" s="3">
        <f>IFERROR(__xludf.DUMMYFUNCTION("""COMPUTED_VALUE"""),1562.0)</f>
        <v>1562</v>
      </c>
    </row>
    <row r="133">
      <c r="A133" s="3" t="str">
        <f>IFERROR(__xludf.DUMMYFUNCTION("""COMPUTED_VALUE"""),"")</f>
        <v/>
      </c>
      <c r="B133" s="3" t="str">
        <f>IFERROR(__xludf.DUMMYFUNCTION("""COMPUTED_VALUE"""),"India")</f>
        <v>India</v>
      </c>
      <c r="C133" s="3">
        <f>IFERROR(__xludf.DUMMYFUNCTION("""COMPUTED_VALUE"""),21.0)</f>
        <v>21</v>
      </c>
      <c r="D133" s="3">
        <f>IFERROR(__xludf.DUMMYFUNCTION("""COMPUTED_VALUE"""),78.0)</f>
        <v>78</v>
      </c>
      <c r="E133" s="3">
        <f>IFERROR(__xludf.DUMMYFUNCTION("""COMPUTED_VALUE"""),0.0)</f>
        <v>0</v>
      </c>
      <c r="F133" s="3">
        <f>IFERROR(__xludf.DUMMYFUNCTION("""COMPUTED_VALUE"""),0.0)</f>
        <v>0</v>
      </c>
      <c r="G133" s="3">
        <f>IFERROR(__xludf.DUMMYFUNCTION("""COMPUTED_VALUE"""),0.0)</f>
        <v>0</v>
      </c>
      <c r="H133" s="3">
        <f>IFERROR(__xludf.DUMMYFUNCTION("""COMPUTED_VALUE"""),0.0)</f>
        <v>0</v>
      </c>
      <c r="I133" s="3">
        <f>IFERROR(__xludf.DUMMYFUNCTION("""COMPUTED_VALUE"""),0.0)</f>
        <v>0</v>
      </c>
      <c r="J133" s="3">
        <f>IFERROR(__xludf.DUMMYFUNCTION("""COMPUTED_VALUE"""),0.0)</f>
        <v>0</v>
      </c>
      <c r="K133" s="3">
        <f>IFERROR(__xludf.DUMMYFUNCTION("""COMPUTED_VALUE"""),0.0)</f>
        <v>0</v>
      </c>
      <c r="L133" s="3">
        <f>IFERROR(__xludf.DUMMYFUNCTION("""COMPUTED_VALUE"""),0.0)</f>
        <v>0</v>
      </c>
      <c r="M133" s="3">
        <f>IFERROR(__xludf.DUMMYFUNCTION("""COMPUTED_VALUE"""),1.0)</f>
        <v>1</v>
      </c>
      <c r="N133" s="3">
        <f>IFERROR(__xludf.DUMMYFUNCTION("""COMPUTED_VALUE"""),1.0)</f>
        <v>1</v>
      </c>
      <c r="O133" s="3">
        <f>IFERROR(__xludf.DUMMYFUNCTION("""COMPUTED_VALUE"""),1.0)</f>
        <v>1</v>
      </c>
      <c r="P133" s="3">
        <f>IFERROR(__xludf.DUMMYFUNCTION("""COMPUTED_VALUE"""),2.0)</f>
        <v>2</v>
      </c>
      <c r="Q133" s="3">
        <f>IFERROR(__xludf.DUMMYFUNCTION("""COMPUTED_VALUE"""),3.0)</f>
        <v>3</v>
      </c>
      <c r="R133" s="3">
        <f>IFERROR(__xludf.DUMMYFUNCTION("""COMPUTED_VALUE"""),3.0)</f>
        <v>3</v>
      </c>
      <c r="S133" s="3">
        <f>IFERROR(__xludf.DUMMYFUNCTION("""COMPUTED_VALUE"""),3.0)</f>
        <v>3</v>
      </c>
      <c r="T133" s="3">
        <f>IFERROR(__xludf.DUMMYFUNCTION("""COMPUTED_VALUE"""),3.0)</f>
        <v>3</v>
      </c>
      <c r="U133" s="3">
        <f>IFERROR(__xludf.DUMMYFUNCTION("""COMPUTED_VALUE"""),3.0)</f>
        <v>3</v>
      </c>
      <c r="V133" s="3">
        <f>IFERROR(__xludf.DUMMYFUNCTION("""COMPUTED_VALUE"""),3.0)</f>
        <v>3</v>
      </c>
      <c r="W133" s="3">
        <f>IFERROR(__xludf.DUMMYFUNCTION("""COMPUTED_VALUE"""),3.0)</f>
        <v>3</v>
      </c>
      <c r="X133" s="3">
        <f>IFERROR(__xludf.DUMMYFUNCTION("""COMPUTED_VALUE"""),3.0)</f>
        <v>3</v>
      </c>
      <c r="Y133" s="3">
        <f>IFERROR(__xludf.DUMMYFUNCTION("""COMPUTED_VALUE"""),3.0)</f>
        <v>3</v>
      </c>
      <c r="Z133" s="3">
        <f>IFERROR(__xludf.DUMMYFUNCTION("""COMPUTED_VALUE"""),3.0)</f>
        <v>3</v>
      </c>
      <c r="AA133" s="3">
        <f>IFERROR(__xludf.DUMMYFUNCTION("""COMPUTED_VALUE"""),3.0)</f>
        <v>3</v>
      </c>
      <c r="AB133" s="3">
        <f>IFERROR(__xludf.DUMMYFUNCTION("""COMPUTED_VALUE"""),3.0)</f>
        <v>3</v>
      </c>
      <c r="AC133" s="3">
        <f>IFERROR(__xludf.DUMMYFUNCTION("""COMPUTED_VALUE"""),3.0)</f>
        <v>3</v>
      </c>
      <c r="AD133" s="3">
        <f>IFERROR(__xludf.DUMMYFUNCTION("""COMPUTED_VALUE"""),3.0)</f>
        <v>3</v>
      </c>
      <c r="AE133" s="3">
        <f>IFERROR(__xludf.DUMMYFUNCTION("""COMPUTED_VALUE"""),3.0)</f>
        <v>3</v>
      </c>
      <c r="AF133" s="3">
        <f>IFERROR(__xludf.DUMMYFUNCTION("""COMPUTED_VALUE"""),3.0)</f>
        <v>3</v>
      </c>
      <c r="AG133" s="3">
        <f>IFERROR(__xludf.DUMMYFUNCTION("""COMPUTED_VALUE"""),3.0)</f>
        <v>3</v>
      </c>
      <c r="AH133" s="3">
        <f>IFERROR(__xludf.DUMMYFUNCTION("""COMPUTED_VALUE"""),3.0)</f>
        <v>3</v>
      </c>
      <c r="AI133" s="3">
        <f>IFERROR(__xludf.DUMMYFUNCTION("""COMPUTED_VALUE"""),3.0)</f>
        <v>3</v>
      </c>
      <c r="AJ133" s="3">
        <f>IFERROR(__xludf.DUMMYFUNCTION("""COMPUTED_VALUE"""),3.0)</f>
        <v>3</v>
      </c>
      <c r="AK133" s="3">
        <f>IFERROR(__xludf.DUMMYFUNCTION("""COMPUTED_VALUE"""),3.0)</f>
        <v>3</v>
      </c>
      <c r="AL133" s="3">
        <f>IFERROR(__xludf.DUMMYFUNCTION("""COMPUTED_VALUE"""),3.0)</f>
        <v>3</v>
      </c>
      <c r="AM133" s="3">
        <f>IFERROR(__xludf.DUMMYFUNCTION("""COMPUTED_VALUE"""),3.0)</f>
        <v>3</v>
      </c>
      <c r="AN133" s="3">
        <f>IFERROR(__xludf.DUMMYFUNCTION("""COMPUTED_VALUE"""),3.0)</f>
        <v>3</v>
      </c>
      <c r="AO133" s="3">
        <f>IFERROR(__xludf.DUMMYFUNCTION("""COMPUTED_VALUE"""),3.0)</f>
        <v>3</v>
      </c>
      <c r="AP133" s="3">
        <f>IFERROR(__xludf.DUMMYFUNCTION("""COMPUTED_VALUE"""),3.0)</f>
        <v>3</v>
      </c>
      <c r="AQ133" s="3">
        <f>IFERROR(__xludf.DUMMYFUNCTION("""COMPUTED_VALUE"""),3.0)</f>
        <v>3</v>
      </c>
      <c r="AR133" s="3">
        <f>IFERROR(__xludf.DUMMYFUNCTION("""COMPUTED_VALUE"""),3.0)</f>
        <v>3</v>
      </c>
      <c r="AS133" s="3">
        <f>IFERROR(__xludf.DUMMYFUNCTION("""COMPUTED_VALUE"""),5.0)</f>
        <v>5</v>
      </c>
      <c r="AT133" s="3">
        <f>IFERROR(__xludf.DUMMYFUNCTION("""COMPUTED_VALUE"""),5.0)</f>
        <v>5</v>
      </c>
      <c r="AU133" s="3">
        <f>IFERROR(__xludf.DUMMYFUNCTION("""COMPUTED_VALUE"""),28.0)</f>
        <v>28</v>
      </c>
      <c r="AV133" s="3">
        <f>IFERROR(__xludf.DUMMYFUNCTION("""COMPUTED_VALUE"""),30.0)</f>
        <v>30</v>
      </c>
      <c r="AW133" s="3">
        <f>IFERROR(__xludf.DUMMYFUNCTION("""COMPUTED_VALUE"""),31.0)</f>
        <v>31</v>
      </c>
      <c r="AX133" s="3">
        <f>IFERROR(__xludf.DUMMYFUNCTION("""COMPUTED_VALUE"""),34.0)</f>
        <v>34</v>
      </c>
      <c r="AY133" s="3">
        <f>IFERROR(__xludf.DUMMYFUNCTION("""COMPUTED_VALUE"""),39.0)</f>
        <v>39</v>
      </c>
      <c r="AZ133" s="3">
        <f>IFERROR(__xludf.DUMMYFUNCTION("""COMPUTED_VALUE"""),43.0)</f>
        <v>43</v>
      </c>
      <c r="BA133" s="3">
        <f>IFERROR(__xludf.DUMMYFUNCTION("""COMPUTED_VALUE"""),56.0)</f>
        <v>56</v>
      </c>
      <c r="BB133" s="3">
        <f>IFERROR(__xludf.DUMMYFUNCTION("""COMPUTED_VALUE"""),62.0)</f>
        <v>62</v>
      </c>
      <c r="BC133" s="3">
        <f>IFERROR(__xludf.DUMMYFUNCTION("""COMPUTED_VALUE"""),73.0)</f>
        <v>73</v>
      </c>
      <c r="BD133" s="3">
        <f>IFERROR(__xludf.DUMMYFUNCTION("""COMPUTED_VALUE"""),82.0)</f>
        <v>82</v>
      </c>
      <c r="BE133" s="3">
        <f>IFERROR(__xludf.DUMMYFUNCTION("""COMPUTED_VALUE"""),102.0)</f>
        <v>102</v>
      </c>
      <c r="BF133" s="3">
        <f>IFERROR(__xludf.DUMMYFUNCTION("""COMPUTED_VALUE"""),113.0)</f>
        <v>113</v>
      </c>
      <c r="BG133" s="3">
        <f>IFERROR(__xludf.DUMMYFUNCTION("""COMPUTED_VALUE"""),119.0)</f>
        <v>119</v>
      </c>
      <c r="BH133" s="3">
        <f>IFERROR(__xludf.DUMMYFUNCTION("""COMPUTED_VALUE"""),142.0)</f>
        <v>142</v>
      </c>
      <c r="BI133" s="3">
        <f>IFERROR(__xludf.DUMMYFUNCTION("""COMPUTED_VALUE"""),156.0)</f>
        <v>156</v>
      </c>
      <c r="BJ133" s="3">
        <f>IFERROR(__xludf.DUMMYFUNCTION("""COMPUTED_VALUE"""),194.0)</f>
        <v>194</v>
      </c>
      <c r="BK133" s="3">
        <f>IFERROR(__xludf.DUMMYFUNCTION("""COMPUTED_VALUE"""),244.0)</f>
        <v>244</v>
      </c>
      <c r="BL133" s="3">
        <f>IFERROR(__xludf.DUMMYFUNCTION("""COMPUTED_VALUE"""),330.0)</f>
        <v>330</v>
      </c>
      <c r="BM133" s="3">
        <f>IFERROR(__xludf.DUMMYFUNCTION("""COMPUTED_VALUE"""),396.0)</f>
        <v>396</v>
      </c>
      <c r="BN133" s="3">
        <f>IFERROR(__xludf.DUMMYFUNCTION("""COMPUTED_VALUE"""),499.0)</f>
        <v>499</v>
      </c>
      <c r="BO133" s="3">
        <f>IFERROR(__xludf.DUMMYFUNCTION("""COMPUTED_VALUE"""),536.0)</f>
        <v>536</v>
      </c>
      <c r="BP133" s="3">
        <f>IFERROR(__xludf.DUMMYFUNCTION("""COMPUTED_VALUE"""),657.0)</f>
        <v>657</v>
      </c>
      <c r="BQ133" s="3">
        <f>IFERROR(__xludf.DUMMYFUNCTION("""COMPUTED_VALUE"""),727.0)</f>
        <v>727</v>
      </c>
      <c r="BR133" s="3">
        <f>IFERROR(__xludf.DUMMYFUNCTION("""COMPUTED_VALUE"""),887.0)</f>
        <v>887</v>
      </c>
      <c r="BS133" s="3">
        <f>IFERROR(__xludf.DUMMYFUNCTION("""COMPUTED_VALUE"""),987.0)</f>
        <v>987</v>
      </c>
      <c r="BT133" s="3">
        <f>IFERROR(__xludf.DUMMYFUNCTION("""COMPUTED_VALUE"""),1024.0)</f>
        <v>1024</v>
      </c>
      <c r="BU133" s="3">
        <f>IFERROR(__xludf.DUMMYFUNCTION("""COMPUTED_VALUE"""),1251.0)</f>
        <v>1251</v>
      </c>
      <c r="BV133" s="3">
        <f>IFERROR(__xludf.DUMMYFUNCTION("""COMPUTED_VALUE"""),1397.0)</f>
        <v>1397</v>
      </c>
      <c r="BW133" s="3">
        <f>IFERROR(__xludf.DUMMYFUNCTION("""COMPUTED_VALUE"""),1998.0)</f>
        <v>1998</v>
      </c>
      <c r="BX133" s="3">
        <f>IFERROR(__xludf.DUMMYFUNCTION("""COMPUTED_VALUE"""),2543.0)</f>
        <v>2543</v>
      </c>
      <c r="BY133" s="3">
        <f>IFERROR(__xludf.DUMMYFUNCTION("""COMPUTED_VALUE"""),2567.0)</f>
        <v>2567</v>
      </c>
      <c r="BZ133" s="3">
        <f>IFERROR(__xludf.DUMMYFUNCTION("""COMPUTED_VALUE"""),3082.0)</f>
        <v>3082</v>
      </c>
      <c r="CA133" s="3">
        <f>IFERROR(__xludf.DUMMYFUNCTION("""COMPUTED_VALUE"""),3588.0)</f>
        <v>3588</v>
      </c>
      <c r="CB133" s="3">
        <f>IFERROR(__xludf.DUMMYFUNCTION("""COMPUTED_VALUE"""),4778.0)</f>
        <v>4778</v>
      </c>
    </row>
    <row r="134">
      <c r="A134" s="3" t="str">
        <f>IFERROR(__xludf.DUMMYFUNCTION("""COMPUTED_VALUE"""),"")</f>
        <v/>
      </c>
      <c r="B134" s="3" t="str">
        <f>IFERROR(__xludf.DUMMYFUNCTION("""COMPUTED_VALUE"""),"Indonesia")</f>
        <v>Indonesia</v>
      </c>
      <c r="C134" s="3">
        <f>IFERROR(__xludf.DUMMYFUNCTION("""COMPUTED_VALUE"""),-0.7893)</f>
        <v>-0.7893</v>
      </c>
      <c r="D134" s="3">
        <f>IFERROR(__xludf.DUMMYFUNCTION("""COMPUTED_VALUE"""),113.9213)</f>
        <v>113.9213</v>
      </c>
      <c r="E134" s="3">
        <f>IFERROR(__xludf.DUMMYFUNCTION("""COMPUTED_VALUE"""),0.0)</f>
        <v>0</v>
      </c>
      <c r="F134" s="3">
        <f>IFERROR(__xludf.DUMMYFUNCTION("""COMPUTED_VALUE"""),0.0)</f>
        <v>0</v>
      </c>
      <c r="G134" s="3">
        <f>IFERROR(__xludf.DUMMYFUNCTION("""COMPUTED_VALUE"""),0.0)</f>
        <v>0</v>
      </c>
      <c r="H134" s="3">
        <f>IFERROR(__xludf.DUMMYFUNCTION("""COMPUTED_VALUE"""),0.0)</f>
        <v>0</v>
      </c>
      <c r="I134" s="3">
        <f>IFERROR(__xludf.DUMMYFUNCTION("""COMPUTED_VALUE"""),0.0)</f>
        <v>0</v>
      </c>
      <c r="J134" s="3">
        <f>IFERROR(__xludf.DUMMYFUNCTION("""COMPUTED_VALUE"""),0.0)</f>
        <v>0</v>
      </c>
      <c r="K134" s="3">
        <f>IFERROR(__xludf.DUMMYFUNCTION("""COMPUTED_VALUE"""),0.0)</f>
        <v>0</v>
      </c>
      <c r="L134" s="3">
        <f>IFERROR(__xludf.DUMMYFUNCTION("""COMPUTED_VALUE"""),0.0)</f>
        <v>0</v>
      </c>
      <c r="M134" s="3">
        <f>IFERROR(__xludf.DUMMYFUNCTION("""COMPUTED_VALUE"""),0.0)</f>
        <v>0</v>
      </c>
      <c r="N134" s="3">
        <f>IFERROR(__xludf.DUMMYFUNCTION("""COMPUTED_VALUE"""),0.0)</f>
        <v>0</v>
      </c>
      <c r="O134" s="3">
        <f>IFERROR(__xludf.DUMMYFUNCTION("""COMPUTED_VALUE"""),0.0)</f>
        <v>0</v>
      </c>
      <c r="P134" s="3">
        <f>IFERROR(__xludf.DUMMYFUNCTION("""COMPUTED_VALUE"""),0.0)</f>
        <v>0</v>
      </c>
      <c r="Q134" s="3">
        <f>IFERROR(__xludf.DUMMYFUNCTION("""COMPUTED_VALUE"""),0.0)</f>
        <v>0</v>
      </c>
      <c r="R134" s="3">
        <f>IFERROR(__xludf.DUMMYFUNCTION("""COMPUTED_VALUE"""),0.0)</f>
        <v>0</v>
      </c>
      <c r="S134" s="3">
        <f>IFERROR(__xludf.DUMMYFUNCTION("""COMPUTED_VALUE"""),0.0)</f>
        <v>0</v>
      </c>
      <c r="T134" s="3">
        <f>IFERROR(__xludf.DUMMYFUNCTION("""COMPUTED_VALUE"""),0.0)</f>
        <v>0</v>
      </c>
      <c r="U134" s="3">
        <f>IFERROR(__xludf.DUMMYFUNCTION("""COMPUTED_VALUE"""),0.0)</f>
        <v>0</v>
      </c>
      <c r="V134" s="3">
        <f>IFERROR(__xludf.DUMMYFUNCTION("""COMPUTED_VALUE"""),0.0)</f>
        <v>0</v>
      </c>
      <c r="W134" s="3">
        <f>IFERROR(__xludf.DUMMYFUNCTION("""COMPUTED_VALUE"""),0.0)</f>
        <v>0</v>
      </c>
      <c r="X134" s="3">
        <f>IFERROR(__xludf.DUMMYFUNCTION("""COMPUTED_VALUE"""),0.0)</f>
        <v>0</v>
      </c>
      <c r="Y134" s="3">
        <f>IFERROR(__xludf.DUMMYFUNCTION("""COMPUTED_VALUE"""),0.0)</f>
        <v>0</v>
      </c>
      <c r="Z134" s="3">
        <f>IFERROR(__xludf.DUMMYFUNCTION("""COMPUTED_VALUE"""),0.0)</f>
        <v>0</v>
      </c>
      <c r="AA134" s="3">
        <f>IFERROR(__xludf.DUMMYFUNCTION("""COMPUTED_VALUE"""),0.0)</f>
        <v>0</v>
      </c>
      <c r="AB134" s="3">
        <f>IFERROR(__xludf.DUMMYFUNCTION("""COMPUTED_VALUE"""),0.0)</f>
        <v>0</v>
      </c>
      <c r="AC134" s="3">
        <f>IFERROR(__xludf.DUMMYFUNCTION("""COMPUTED_VALUE"""),0.0)</f>
        <v>0</v>
      </c>
      <c r="AD134" s="3">
        <f>IFERROR(__xludf.DUMMYFUNCTION("""COMPUTED_VALUE"""),0.0)</f>
        <v>0</v>
      </c>
      <c r="AE134" s="3">
        <f>IFERROR(__xludf.DUMMYFUNCTION("""COMPUTED_VALUE"""),0.0)</f>
        <v>0</v>
      </c>
      <c r="AF134" s="3">
        <f>IFERROR(__xludf.DUMMYFUNCTION("""COMPUTED_VALUE"""),0.0)</f>
        <v>0</v>
      </c>
      <c r="AG134" s="3">
        <f>IFERROR(__xludf.DUMMYFUNCTION("""COMPUTED_VALUE"""),0.0)</f>
        <v>0</v>
      </c>
      <c r="AH134" s="3">
        <f>IFERROR(__xludf.DUMMYFUNCTION("""COMPUTED_VALUE"""),0.0)</f>
        <v>0</v>
      </c>
      <c r="AI134" s="3">
        <f>IFERROR(__xludf.DUMMYFUNCTION("""COMPUTED_VALUE"""),0.0)</f>
        <v>0</v>
      </c>
      <c r="AJ134" s="3">
        <f>IFERROR(__xludf.DUMMYFUNCTION("""COMPUTED_VALUE"""),0.0)</f>
        <v>0</v>
      </c>
      <c r="AK134" s="3">
        <f>IFERROR(__xludf.DUMMYFUNCTION("""COMPUTED_VALUE"""),0.0)</f>
        <v>0</v>
      </c>
      <c r="AL134" s="3">
        <f>IFERROR(__xludf.DUMMYFUNCTION("""COMPUTED_VALUE"""),0.0)</f>
        <v>0</v>
      </c>
      <c r="AM134" s="3">
        <f>IFERROR(__xludf.DUMMYFUNCTION("""COMPUTED_VALUE"""),0.0)</f>
        <v>0</v>
      </c>
      <c r="AN134" s="3">
        <f>IFERROR(__xludf.DUMMYFUNCTION("""COMPUTED_VALUE"""),0.0)</f>
        <v>0</v>
      </c>
      <c r="AO134" s="3">
        <f>IFERROR(__xludf.DUMMYFUNCTION("""COMPUTED_VALUE"""),0.0)</f>
        <v>0</v>
      </c>
      <c r="AP134" s="3">
        <f>IFERROR(__xludf.DUMMYFUNCTION("""COMPUTED_VALUE"""),0.0)</f>
        <v>0</v>
      </c>
      <c r="AQ134" s="3">
        <f>IFERROR(__xludf.DUMMYFUNCTION("""COMPUTED_VALUE"""),0.0)</f>
        <v>0</v>
      </c>
      <c r="AR134" s="3">
        <f>IFERROR(__xludf.DUMMYFUNCTION("""COMPUTED_VALUE"""),0.0)</f>
        <v>0</v>
      </c>
      <c r="AS134" s="3">
        <f>IFERROR(__xludf.DUMMYFUNCTION("""COMPUTED_VALUE"""),2.0)</f>
        <v>2</v>
      </c>
      <c r="AT134" s="3">
        <f>IFERROR(__xludf.DUMMYFUNCTION("""COMPUTED_VALUE"""),2.0)</f>
        <v>2</v>
      </c>
      <c r="AU134" s="3">
        <f>IFERROR(__xludf.DUMMYFUNCTION("""COMPUTED_VALUE"""),2.0)</f>
        <v>2</v>
      </c>
      <c r="AV134" s="3">
        <f>IFERROR(__xludf.DUMMYFUNCTION("""COMPUTED_VALUE"""),2.0)</f>
        <v>2</v>
      </c>
      <c r="AW134" s="3">
        <f>IFERROR(__xludf.DUMMYFUNCTION("""COMPUTED_VALUE"""),4.0)</f>
        <v>4</v>
      </c>
      <c r="AX134" s="3">
        <f>IFERROR(__xludf.DUMMYFUNCTION("""COMPUTED_VALUE"""),4.0)</f>
        <v>4</v>
      </c>
      <c r="AY134" s="3">
        <f>IFERROR(__xludf.DUMMYFUNCTION("""COMPUTED_VALUE"""),6.0)</f>
        <v>6</v>
      </c>
      <c r="AZ134" s="3">
        <f>IFERROR(__xludf.DUMMYFUNCTION("""COMPUTED_VALUE"""),19.0)</f>
        <v>19</v>
      </c>
      <c r="BA134" s="3">
        <f>IFERROR(__xludf.DUMMYFUNCTION("""COMPUTED_VALUE"""),27.0)</f>
        <v>27</v>
      </c>
      <c r="BB134" s="3">
        <f>IFERROR(__xludf.DUMMYFUNCTION("""COMPUTED_VALUE"""),34.0)</f>
        <v>34</v>
      </c>
      <c r="BC134" s="3">
        <f>IFERROR(__xludf.DUMMYFUNCTION("""COMPUTED_VALUE"""),34.0)</f>
        <v>34</v>
      </c>
      <c r="BD134" s="3">
        <f>IFERROR(__xludf.DUMMYFUNCTION("""COMPUTED_VALUE"""),69.0)</f>
        <v>69</v>
      </c>
      <c r="BE134" s="3">
        <f>IFERROR(__xludf.DUMMYFUNCTION("""COMPUTED_VALUE"""),96.0)</f>
        <v>96</v>
      </c>
      <c r="BF134" s="3">
        <f>IFERROR(__xludf.DUMMYFUNCTION("""COMPUTED_VALUE"""),117.0)</f>
        <v>117</v>
      </c>
      <c r="BG134" s="3">
        <f>IFERROR(__xludf.DUMMYFUNCTION("""COMPUTED_VALUE"""),134.0)</f>
        <v>134</v>
      </c>
      <c r="BH134" s="3">
        <f>IFERROR(__xludf.DUMMYFUNCTION("""COMPUTED_VALUE"""),172.0)</f>
        <v>172</v>
      </c>
      <c r="BI134" s="3">
        <f>IFERROR(__xludf.DUMMYFUNCTION("""COMPUTED_VALUE"""),227.0)</f>
        <v>227</v>
      </c>
      <c r="BJ134" s="3">
        <f>IFERROR(__xludf.DUMMYFUNCTION("""COMPUTED_VALUE"""),311.0)</f>
        <v>311</v>
      </c>
      <c r="BK134" s="3">
        <f>IFERROR(__xludf.DUMMYFUNCTION("""COMPUTED_VALUE"""),369.0)</f>
        <v>369</v>
      </c>
      <c r="BL134" s="3">
        <f>IFERROR(__xludf.DUMMYFUNCTION("""COMPUTED_VALUE"""),450.0)</f>
        <v>450</v>
      </c>
      <c r="BM134" s="3">
        <f>IFERROR(__xludf.DUMMYFUNCTION("""COMPUTED_VALUE"""),514.0)</f>
        <v>514</v>
      </c>
      <c r="BN134" s="3">
        <f>IFERROR(__xludf.DUMMYFUNCTION("""COMPUTED_VALUE"""),579.0)</f>
        <v>579</v>
      </c>
      <c r="BO134" s="3">
        <f>IFERROR(__xludf.DUMMYFUNCTION("""COMPUTED_VALUE"""),686.0)</f>
        <v>686</v>
      </c>
      <c r="BP134" s="3">
        <f>IFERROR(__xludf.DUMMYFUNCTION("""COMPUTED_VALUE"""),790.0)</f>
        <v>790</v>
      </c>
      <c r="BQ134" s="3">
        <f>IFERROR(__xludf.DUMMYFUNCTION("""COMPUTED_VALUE"""),893.0)</f>
        <v>893</v>
      </c>
      <c r="BR134" s="3">
        <f>IFERROR(__xludf.DUMMYFUNCTION("""COMPUTED_VALUE"""),1046.0)</f>
        <v>1046</v>
      </c>
      <c r="BS134" s="3">
        <f>IFERROR(__xludf.DUMMYFUNCTION("""COMPUTED_VALUE"""),1155.0)</f>
        <v>1155</v>
      </c>
      <c r="BT134" s="3">
        <f>IFERROR(__xludf.DUMMYFUNCTION("""COMPUTED_VALUE"""),1285.0)</f>
        <v>1285</v>
      </c>
      <c r="BU134" s="3">
        <f>IFERROR(__xludf.DUMMYFUNCTION("""COMPUTED_VALUE"""),1414.0)</f>
        <v>1414</v>
      </c>
      <c r="BV134" s="3">
        <f>IFERROR(__xludf.DUMMYFUNCTION("""COMPUTED_VALUE"""),1528.0)</f>
        <v>1528</v>
      </c>
      <c r="BW134" s="3">
        <f>IFERROR(__xludf.DUMMYFUNCTION("""COMPUTED_VALUE"""),1677.0)</f>
        <v>1677</v>
      </c>
      <c r="BX134" s="3">
        <f>IFERROR(__xludf.DUMMYFUNCTION("""COMPUTED_VALUE"""),1790.0)</f>
        <v>1790</v>
      </c>
      <c r="BY134" s="3">
        <f>IFERROR(__xludf.DUMMYFUNCTION("""COMPUTED_VALUE"""),1986.0)</f>
        <v>1986</v>
      </c>
      <c r="BZ134" s="3">
        <f>IFERROR(__xludf.DUMMYFUNCTION("""COMPUTED_VALUE"""),2092.0)</f>
        <v>2092</v>
      </c>
      <c r="CA134" s="3">
        <f>IFERROR(__xludf.DUMMYFUNCTION("""COMPUTED_VALUE"""),2273.0)</f>
        <v>2273</v>
      </c>
      <c r="CB134" s="3">
        <f>IFERROR(__xludf.DUMMYFUNCTION("""COMPUTED_VALUE"""),2491.0)</f>
        <v>2491</v>
      </c>
    </row>
    <row r="135">
      <c r="A135" s="3" t="str">
        <f>IFERROR(__xludf.DUMMYFUNCTION("""COMPUTED_VALUE"""),"")</f>
        <v/>
      </c>
      <c r="B135" s="3" t="str">
        <f>IFERROR(__xludf.DUMMYFUNCTION("""COMPUTED_VALUE"""),"Iran")</f>
        <v>Iran</v>
      </c>
      <c r="C135" s="3">
        <f>IFERROR(__xludf.DUMMYFUNCTION("""COMPUTED_VALUE"""),32.0)</f>
        <v>32</v>
      </c>
      <c r="D135" s="3">
        <f>IFERROR(__xludf.DUMMYFUNCTION("""COMPUTED_VALUE"""),53.0)</f>
        <v>53</v>
      </c>
      <c r="E135" s="3">
        <f>IFERROR(__xludf.DUMMYFUNCTION("""COMPUTED_VALUE"""),0.0)</f>
        <v>0</v>
      </c>
      <c r="F135" s="3">
        <f>IFERROR(__xludf.DUMMYFUNCTION("""COMPUTED_VALUE"""),0.0)</f>
        <v>0</v>
      </c>
      <c r="G135" s="3">
        <f>IFERROR(__xludf.DUMMYFUNCTION("""COMPUTED_VALUE"""),0.0)</f>
        <v>0</v>
      </c>
      <c r="H135" s="3">
        <f>IFERROR(__xludf.DUMMYFUNCTION("""COMPUTED_VALUE"""),0.0)</f>
        <v>0</v>
      </c>
      <c r="I135" s="3">
        <f>IFERROR(__xludf.DUMMYFUNCTION("""COMPUTED_VALUE"""),0.0)</f>
        <v>0</v>
      </c>
      <c r="J135" s="3">
        <f>IFERROR(__xludf.DUMMYFUNCTION("""COMPUTED_VALUE"""),0.0)</f>
        <v>0</v>
      </c>
      <c r="K135" s="3">
        <f>IFERROR(__xludf.DUMMYFUNCTION("""COMPUTED_VALUE"""),0.0)</f>
        <v>0</v>
      </c>
      <c r="L135" s="3">
        <f>IFERROR(__xludf.DUMMYFUNCTION("""COMPUTED_VALUE"""),0.0)</f>
        <v>0</v>
      </c>
      <c r="M135" s="3">
        <f>IFERROR(__xludf.DUMMYFUNCTION("""COMPUTED_VALUE"""),0.0)</f>
        <v>0</v>
      </c>
      <c r="N135" s="3">
        <f>IFERROR(__xludf.DUMMYFUNCTION("""COMPUTED_VALUE"""),0.0)</f>
        <v>0</v>
      </c>
      <c r="O135" s="3">
        <f>IFERROR(__xludf.DUMMYFUNCTION("""COMPUTED_VALUE"""),0.0)</f>
        <v>0</v>
      </c>
      <c r="P135" s="3">
        <f>IFERROR(__xludf.DUMMYFUNCTION("""COMPUTED_VALUE"""),0.0)</f>
        <v>0</v>
      </c>
      <c r="Q135" s="3">
        <f>IFERROR(__xludf.DUMMYFUNCTION("""COMPUTED_VALUE"""),0.0)</f>
        <v>0</v>
      </c>
      <c r="R135" s="3">
        <f>IFERROR(__xludf.DUMMYFUNCTION("""COMPUTED_VALUE"""),0.0)</f>
        <v>0</v>
      </c>
      <c r="S135" s="3">
        <f>IFERROR(__xludf.DUMMYFUNCTION("""COMPUTED_VALUE"""),0.0)</f>
        <v>0</v>
      </c>
      <c r="T135" s="3">
        <f>IFERROR(__xludf.DUMMYFUNCTION("""COMPUTED_VALUE"""),0.0)</f>
        <v>0</v>
      </c>
      <c r="U135" s="3">
        <f>IFERROR(__xludf.DUMMYFUNCTION("""COMPUTED_VALUE"""),0.0)</f>
        <v>0</v>
      </c>
      <c r="V135" s="3">
        <f>IFERROR(__xludf.DUMMYFUNCTION("""COMPUTED_VALUE"""),0.0)</f>
        <v>0</v>
      </c>
      <c r="W135" s="3">
        <f>IFERROR(__xludf.DUMMYFUNCTION("""COMPUTED_VALUE"""),0.0)</f>
        <v>0</v>
      </c>
      <c r="X135" s="3">
        <f>IFERROR(__xludf.DUMMYFUNCTION("""COMPUTED_VALUE"""),0.0)</f>
        <v>0</v>
      </c>
      <c r="Y135" s="3">
        <f>IFERROR(__xludf.DUMMYFUNCTION("""COMPUTED_VALUE"""),0.0)</f>
        <v>0</v>
      </c>
      <c r="Z135" s="3">
        <f>IFERROR(__xludf.DUMMYFUNCTION("""COMPUTED_VALUE"""),0.0)</f>
        <v>0</v>
      </c>
      <c r="AA135" s="3">
        <f>IFERROR(__xludf.DUMMYFUNCTION("""COMPUTED_VALUE"""),0.0)</f>
        <v>0</v>
      </c>
      <c r="AB135" s="3">
        <f>IFERROR(__xludf.DUMMYFUNCTION("""COMPUTED_VALUE"""),0.0)</f>
        <v>0</v>
      </c>
      <c r="AC135" s="3">
        <f>IFERROR(__xludf.DUMMYFUNCTION("""COMPUTED_VALUE"""),0.0)</f>
        <v>0</v>
      </c>
      <c r="AD135" s="3">
        <f>IFERROR(__xludf.DUMMYFUNCTION("""COMPUTED_VALUE"""),0.0)</f>
        <v>0</v>
      </c>
      <c r="AE135" s="3">
        <f>IFERROR(__xludf.DUMMYFUNCTION("""COMPUTED_VALUE"""),0.0)</f>
        <v>0</v>
      </c>
      <c r="AF135" s="3">
        <f>IFERROR(__xludf.DUMMYFUNCTION("""COMPUTED_VALUE"""),0.0)</f>
        <v>0</v>
      </c>
      <c r="AG135" s="3">
        <f>IFERROR(__xludf.DUMMYFUNCTION("""COMPUTED_VALUE"""),2.0)</f>
        <v>2</v>
      </c>
      <c r="AH135" s="3">
        <f>IFERROR(__xludf.DUMMYFUNCTION("""COMPUTED_VALUE"""),5.0)</f>
        <v>5</v>
      </c>
      <c r="AI135" s="3">
        <f>IFERROR(__xludf.DUMMYFUNCTION("""COMPUTED_VALUE"""),18.0)</f>
        <v>18</v>
      </c>
      <c r="AJ135" s="3">
        <f>IFERROR(__xludf.DUMMYFUNCTION("""COMPUTED_VALUE"""),28.0)</f>
        <v>28</v>
      </c>
      <c r="AK135" s="3">
        <f>IFERROR(__xludf.DUMMYFUNCTION("""COMPUTED_VALUE"""),43.0)</f>
        <v>43</v>
      </c>
      <c r="AL135" s="3">
        <f>IFERROR(__xludf.DUMMYFUNCTION("""COMPUTED_VALUE"""),61.0)</f>
        <v>61</v>
      </c>
      <c r="AM135" s="3">
        <f>IFERROR(__xludf.DUMMYFUNCTION("""COMPUTED_VALUE"""),95.0)</f>
        <v>95</v>
      </c>
      <c r="AN135" s="3">
        <f>IFERROR(__xludf.DUMMYFUNCTION("""COMPUTED_VALUE"""),139.0)</f>
        <v>139</v>
      </c>
      <c r="AO135" s="3">
        <f>IFERROR(__xludf.DUMMYFUNCTION("""COMPUTED_VALUE"""),245.0)</f>
        <v>245</v>
      </c>
      <c r="AP135" s="3">
        <f>IFERROR(__xludf.DUMMYFUNCTION("""COMPUTED_VALUE"""),388.0)</f>
        <v>388</v>
      </c>
      <c r="AQ135" s="3">
        <f>IFERROR(__xludf.DUMMYFUNCTION("""COMPUTED_VALUE"""),593.0)</f>
        <v>593</v>
      </c>
      <c r="AR135" s="3">
        <f>IFERROR(__xludf.DUMMYFUNCTION("""COMPUTED_VALUE"""),978.0)</f>
        <v>978</v>
      </c>
      <c r="AS135" s="3">
        <f>IFERROR(__xludf.DUMMYFUNCTION("""COMPUTED_VALUE"""),1501.0)</f>
        <v>1501</v>
      </c>
      <c r="AT135" s="3">
        <f>IFERROR(__xludf.DUMMYFUNCTION("""COMPUTED_VALUE"""),2336.0)</f>
        <v>2336</v>
      </c>
      <c r="AU135" s="3">
        <f>IFERROR(__xludf.DUMMYFUNCTION("""COMPUTED_VALUE"""),2922.0)</f>
        <v>2922</v>
      </c>
      <c r="AV135" s="3">
        <f>IFERROR(__xludf.DUMMYFUNCTION("""COMPUTED_VALUE"""),3513.0)</f>
        <v>3513</v>
      </c>
      <c r="AW135" s="3">
        <f>IFERROR(__xludf.DUMMYFUNCTION("""COMPUTED_VALUE"""),4747.0)</f>
        <v>4747</v>
      </c>
      <c r="AX135" s="3">
        <f>IFERROR(__xludf.DUMMYFUNCTION("""COMPUTED_VALUE"""),5823.0)</f>
        <v>5823</v>
      </c>
      <c r="AY135" s="3">
        <f>IFERROR(__xludf.DUMMYFUNCTION("""COMPUTED_VALUE"""),6566.0)</f>
        <v>6566</v>
      </c>
      <c r="AZ135" s="3">
        <f>IFERROR(__xludf.DUMMYFUNCTION("""COMPUTED_VALUE"""),7161.0)</f>
        <v>7161</v>
      </c>
      <c r="BA135" s="3">
        <f>IFERROR(__xludf.DUMMYFUNCTION("""COMPUTED_VALUE"""),8042.0)</f>
        <v>8042</v>
      </c>
      <c r="BB135" s="3">
        <f>IFERROR(__xludf.DUMMYFUNCTION("""COMPUTED_VALUE"""),9000.0)</f>
        <v>9000</v>
      </c>
      <c r="BC135" s="3">
        <f>IFERROR(__xludf.DUMMYFUNCTION("""COMPUTED_VALUE"""),10075.0)</f>
        <v>10075</v>
      </c>
      <c r="BD135" s="3">
        <f>IFERROR(__xludf.DUMMYFUNCTION("""COMPUTED_VALUE"""),11364.0)</f>
        <v>11364</v>
      </c>
      <c r="BE135" s="3">
        <f>IFERROR(__xludf.DUMMYFUNCTION("""COMPUTED_VALUE"""),12729.0)</f>
        <v>12729</v>
      </c>
      <c r="BF135" s="3">
        <f>IFERROR(__xludf.DUMMYFUNCTION("""COMPUTED_VALUE"""),13938.0)</f>
        <v>13938</v>
      </c>
      <c r="BG135" s="3">
        <f>IFERROR(__xludf.DUMMYFUNCTION("""COMPUTED_VALUE"""),14991.0)</f>
        <v>14991</v>
      </c>
      <c r="BH135" s="3">
        <f>IFERROR(__xludf.DUMMYFUNCTION("""COMPUTED_VALUE"""),16169.0)</f>
        <v>16169</v>
      </c>
      <c r="BI135" s="3">
        <f>IFERROR(__xludf.DUMMYFUNCTION("""COMPUTED_VALUE"""),17361.0)</f>
        <v>17361</v>
      </c>
      <c r="BJ135" s="3">
        <f>IFERROR(__xludf.DUMMYFUNCTION("""COMPUTED_VALUE"""),18407.0)</f>
        <v>18407</v>
      </c>
      <c r="BK135" s="3">
        <f>IFERROR(__xludf.DUMMYFUNCTION("""COMPUTED_VALUE"""),19644.0)</f>
        <v>19644</v>
      </c>
      <c r="BL135" s="3">
        <f>IFERROR(__xludf.DUMMYFUNCTION("""COMPUTED_VALUE"""),20610.0)</f>
        <v>20610</v>
      </c>
      <c r="BM135" s="3">
        <f>IFERROR(__xludf.DUMMYFUNCTION("""COMPUTED_VALUE"""),21638.0)</f>
        <v>21638</v>
      </c>
      <c r="BN135" s="3">
        <f>IFERROR(__xludf.DUMMYFUNCTION("""COMPUTED_VALUE"""),23049.0)</f>
        <v>23049</v>
      </c>
      <c r="BO135" s="3">
        <f>IFERROR(__xludf.DUMMYFUNCTION("""COMPUTED_VALUE"""),24811.0)</f>
        <v>24811</v>
      </c>
      <c r="BP135" s="3">
        <f>IFERROR(__xludf.DUMMYFUNCTION("""COMPUTED_VALUE"""),27017.0)</f>
        <v>27017</v>
      </c>
      <c r="BQ135" s="3">
        <f>IFERROR(__xludf.DUMMYFUNCTION("""COMPUTED_VALUE"""),29406.0)</f>
        <v>29406</v>
      </c>
      <c r="BR135" s="3">
        <f>IFERROR(__xludf.DUMMYFUNCTION("""COMPUTED_VALUE"""),32332.0)</f>
        <v>32332</v>
      </c>
      <c r="BS135" s="3">
        <f>IFERROR(__xludf.DUMMYFUNCTION("""COMPUTED_VALUE"""),35408.0)</f>
        <v>35408</v>
      </c>
      <c r="BT135" s="3">
        <f>IFERROR(__xludf.DUMMYFUNCTION("""COMPUTED_VALUE"""),38309.0)</f>
        <v>38309</v>
      </c>
      <c r="BU135" s="3">
        <f>IFERROR(__xludf.DUMMYFUNCTION("""COMPUTED_VALUE"""),41495.0)</f>
        <v>41495</v>
      </c>
      <c r="BV135" s="3">
        <f>IFERROR(__xludf.DUMMYFUNCTION("""COMPUTED_VALUE"""),44605.0)</f>
        <v>44605</v>
      </c>
      <c r="BW135" s="3">
        <f>IFERROR(__xludf.DUMMYFUNCTION("""COMPUTED_VALUE"""),47593.0)</f>
        <v>47593</v>
      </c>
      <c r="BX135" s="3">
        <f>IFERROR(__xludf.DUMMYFUNCTION("""COMPUTED_VALUE"""),50468.0)</f>
        <v>50468</v>
      </c>
      <c r="BY135" s="3">
        <f>IFERROR(__xludf.DUMMYFUNCTION("""COMPUTED_VALUE"""),53183.0)</f>
        <v>53183</v>
      </c>
      <c r="BZ135" s="3">
        <f>IFERROR(__xludf.DUMMYFUNCTION("""COMPUTED_VALUE"""),55743.0)</f>
        <v>55743</v>
      </c>
      <c r="CA135" s="3">
        <f>IFERROR(__xludf.DUMMYFUNCTION("""COMPUTED_VALUE"""),58226.0)</f>
        <v>58226</v>
      </c>
      <c r="CB135" s="3">
        <f>IFERROR(__xludf.DUMMYFUNCTION("""COMPUTED_VALUE"""),60500.0)</f>
        <v>60500</v>
      </c>
    </row>
    <row r="136">
      <c r="A136" s="3" t="str">
        <f>IFERROR(__xludf.DUMMYFUNCTION("""COMPUTED_VALUE"""),"")</f>
        <v/>
      </c>
      <c r="B136" s="3" t="str">
        <f>IFERROR(__xludf.DUMMYFUNCTION("""COMPUTED_VALUE"""),"Iraq")</f>
        <v>Iraq</v>
      </c>
      <c r="C136" s="3">
        <f>IFERROR(__xludf.DUMMYFUNCTION("""COMPUTED_VALUE"""),33.0)</f>
        <v>33</v>
      </c>
      <c r="D136" s="3">
        <f>IFERROR(__xludf.DUMMYFUNCTION("""COMPUTED_VALUE"""),44.0)</f>
        <v>44</v>
      </c>
      <c r="E136" s="3">
        <f>IFERROR(__xludf.DUMMYFUNCTION("""COMPUTED_VALUE"""),0.0)</f>
        <v>0</v>
      </c>
      <c r="F136" s="3">
        <f>IFERROR(__xludf.DUMMYFUNCTION("""COMPUTED_VALUE"""),0.0)</f>
        <v>0</v>
      </c>
      <c r="G136" s="3">
        <f>IFERROR(__xludf.DUMMYFUNCTION("""COMPUTED_VALUE"""),0.0)</f>
        <v>0</v>
      </c>
      <c r="H136" s="3">
        <f>IFERROR(__xludf.DUMMYFUNCTION("""COMPUTED_VALUE"""),0.0)</f>
        <v>0</v>
      </c>
      <c r="I136" s="3">
        <f>IFERROR(__xludf.DUMMYFUNCTION("""COMPUTED_VALUE"""),0.0)</f>
        <v>0</v>
      </c>
      <c r="J136" s="3">
        <f>IFERROR(__xludf.DUMMYFUNCTION("""COMPUTED_VALUE"""),0.0)</f>
        <v>0</v>
      </c>
      <c r="K136" s="3">
        <f>IFERROR(__xludf.DUMMYFUNCTION("""COMPUTED_VALUE"""),0.0)</f>
        <v>0</v>
      </c>
      <c r="L136" s="3">
        <f>IFERROR(__xludf.DUMMYFUNCTION("""COMPUTED_VALUE"""),0.0)</f>
        <v>0</v>
      </c>
      <c r="M136" s="3">
        <f>IFERROR(__xludf.DUMMYFUNCTION("""COMPUTED_VALUE"""),0.0)</f>
        <v>0</v>
      </c>
      <c r="N136" s="3">
        <f>IFERROR(__xludf.DUMMYFUNCTION("""COMPUTED_VALUE"""),0.0)</f>
        <v>0</v>
      </c>
      <c r="O136" s="3">
        <f>IFERROR(__xludf.DUMMYFUNCTION("""COMPUTED_VALUE"""),0.0)</f>
        <v>0</v>
      </c>
      <c r="P136" s="3">
        <f>IFERROR(__xludf.DUMMYFUNCTION("""COMPUTED_VALUE"""),0.0)</f>
        <v>0</v>
      </c>
      <c r="Q136" s="3">
        <f>IFERROR(__xludf.DUMMYFUNCTION("""COMPUTED_VALUE"""),0.0)</f>
        <v>0</v>
      </c>
      <c r="R136" s="3">
        <f>IFERROR(__xludf.DUMMYFUNCTION("""COMPUTED_VALUE"""),0.0)</f>
        <v>0</v>
      </c>
      <c r="S136" s="3">
        <f>IFERROR(__xludf.DUMMYFUNCTION("""COMPUTED_VALUE"""),0.0)</f>
        <v>0</v>
      </c>
      <c r="T136" s="3">
        <f>IFERROR(__xludf.DUMMYFUNCTION("""COMPUTED_VALUE"""),0.0)</f>
        <v>0</v>
      </c>
      <c r="U136" s="3">
        <f>IFERROR(__xludf.DUMMYFUNCTION("""COMPUTED_VALUE"""),0.0)</f>
        <v>0</v>
      </c>
      <c r="V136" s="3">
        <f>IFERROR(__xludf.DUMMYFUNCTION("""COMPUTED_VALUE"""),0.0)</f>
        <v>0</v>
      </c>
      <c r="W136" s="3">
        <f>IFERROR(__xludf.DUMMYFUNCTION("""COMPUTED_VALUE"""),0.0)</f>
        <v>0</v>
      </c>
      <c r="X136" s="3">
        <f>IFERROR(__xludf.DUMMYFUNCTION("""COMPUTED_VALUE"""),0.0)</f>
        <v>0</v>
      </c>
      <c r="Y136" s="3">
        <f>IFERROR(__xludf.DUMMYFUNCTION("""COMPUTED_VALUE"""),0.0)</f>
        <v>0</v>
      </c>
      <c r="Z136" s="3">
        <f>IFERROR(__xludf.DUMMYFUNCTION("""COMPUTED_VALUE"""),0.0)</f>
        <v>0</v>
      </c>
      <c r="AA136" s="3">
        <f>IFERROR(__xludf.DUMMYFUNCTION("""COMPUTED_VALUE"""),0.0)</f>
        <v>0</v>
      </c>
      <c r="AB136" s="3">
        <f>IFERROR(__xludf.DUMMYFUNCTION("""COMPUTED_VALUE"""),0.0)</f>
        <v>0</v>
      </c>
      <c r="AC136" s="3">
        <f>IFERROR(__xludf.DUMMYFUNCTION("""COMPUTED_VALUE"""),0.0)</f>
        <v>0</v>
      </c>
      <c r="AD136" s="3">
        <f>IFERROR(__xludf.DUMMYFUNCTION("""COMPUTED_VALUE"""),0.0)</f>
        <v>0</v>
      </c>
      <c r="AE136" s="3">
        <f>IFERROR(__xludf.DUMMYFUNCTION("""COMPUTED_VALUE"""),0.0)</f>
        <v>0</v>
      </c>
      <c r="AF136" s="3">
        <f>IFERROR(__xludf.DUMMYFUNCTION("""COMPUTED_VALUE"""),0.0)</f>
        <v>0</v>
      </c>
      <c r="AG136" s="3">
        <f>IFERROR(__xludf.DUMMYFUNCTION("""COMPUTED_VALUE"""),0.0)</f>
        <v>0</v>
      </c>
      <c r="AH136" s="3">
        <f>IFERROR(__xludf.DUMMYFUNCTION("""COMPUTED_VALUE"""),0.0)</f>
        <v>0</v>
      </c>
      <c r="AI136" s="3">
        <f>IFERROR(__xludf.DUMMYFUNCTION("""COMPUTED_VALUE"""),0.0)</f>
        <v>0</v>
      </c>
      <c r="AJ136" s="3">
        <f>IFERROR(__xludf.DUMMYFUNCTION("""COMPUTED_VALUE"""),0.0)</f>
        <v>0</v>
      </c>
      <c r="AK136" s="3">
        <f>IFERROR(__xludf.DUMMYFUNCTION("""COMPUTED_VALUE"""),0.0)</f>
        <v>0</v>
      </c>
      <c r="AL136" s="3">
        <f>IFERROR(__xludf.DUMMYFUNCTION("""COMPUTED_VALUE"""),1.0)</f>
        <v>1</v>
      </c>
      <c r="AM136" s="3">
        <f>IFERROR(__xludf.DUMMYFUNCTION("""COMPUTED_VALUE"""),1.0)</f>
        <v>1</v>
      </c>
      <c r="AN136" s="3">
        <f>IFERROR(__xludf.DUMMYFUNCTION("""COMPUTED_VALUE"""),5.0)</f>
        <v>5</v>
      </c>
      <c r="AO136" s="3">
        <f>IFERROR(__xludf.DUMMYFUNCTION("""COMPUTED_VALUE"""),7.0)</f>
        <v>7</v>
      </c>
      <c r="AP136" s="3">
        <f>IFERROR(__xludf.DUMMYFUNCTION("""COMPUTED_VALUE"""),7.0)</f>
        <v>7</v>
      </c>
      <c r="AQ136" s="3">
        <f>IFERROR(__xludf.DUMMYFUNCTION("""COMPUTED_VALUE"""),13.0)</f>
        <v>13</v>
      </c>
      <c r="AR136" s="3">
        <f>IFERROR(__xludf.DUMMYFUNCTION("""COMPUTED_VALUE"""),19.0)</f>
        <v>19</v>
      </c>
      <c r="AS136" s="3">
        <f>IFERROR(__xludf.DUMMYFUNCTION("""COMPUTED_VALUE"""),26.0)</f>
        <v>26</v>
      </c>
      <c r="AT136" s="3">
        <f>IFERROR(__xludf.DUMMYFUNCTION("""COMPUTED_VALUE"""),32.0)</f>
        <v>32</v>
      </c>
      <c r="AU136" s="3">
        <f>IFERROR(__xludf.DUMMYFUNCTION("""COMPUTED_VALUE"""),35.0)</f>
        <v>35</v>
      </c>
      <c r="AV136" s="3">
        <f>IFERROR(__xludf.DUMMYFUNCTION("""COMPUTED_VALUE"""),35.0)</f>
        <v>35</v>
      </c>
      <c r="AW136" s="3">
        <f>IFERROR(__xludf.DUMMYFUNCTION("""COMPUTED_VALUE"""),40.0)</f>
        <v>40</v>
      </c>
      <c r="AX136" s="3">
        <f>IFERROR(__xludf.DUMMYFUNCTION("""COMPUTED_VALUE"""),54.0)</f>
        <v>54</v>
      </c>
      <c r="AY136" s="3">
        <f>IFERROR(__xludf.DUMMYFUNCTION("""COMPUTED_VALUE"""),60.0)</f>
        <v>60</v>
      </c>
      <c r="AZ136" s="3">
        <f>IFERROR(__xludf.DUMMYFUNCTION("""COMPUTED_VALUE"""),60.0)</f>
        <v>60</v>
      </c>
      <c r="BA136" s="3">
        <f>IFERROR(__xludf.DUMMYFUNCTION("""COMPUTED_VALUE"""),71.0)</f>
        <v>71</v>
      </c>
      <c r="BB136" s="3">
        <f>IFERROR(__xludf.DUMMYFUNCTION("""COMPUTED_VALUE"""),71.0)</f>
        <v>71</v>
      </c>
      <c r="BC136" s="3">
        <f>IFERROR(__xludf.DUMMYFUNCTION("""COMPUTED_VALUE"""),71.0)</f>
        <v>71</v>
      </c>
      <c r="BD136" s="3">
        <f>IFERROR(__xludf.DUMMYFUNCTION("""COMPUTED_VALUE"""),101.0)</f>
        <v>101</v>
      </c>
      <c r="BE136" s="3">
        <f>IFERROR(__xludf.DUMMYFUNCTION("""COMPUTED_VALUE"""),110.0)</f>
        <v>110</v>
      </c>
      <c r="BF136" s="3">
        <f>IFERROR(__xludf.DUMMYFUNCTION("""COMPUTED_VALUE"""),116.0)</f>
        <v>116</v>
      </c>
      <c r="BG136" s="3">
        <f>IFERROR(__xludf.DUMMYFUNCTION("""COMPUTED_VALUE"""),124.0)</f>
        <v>124</v>
      </c>
      <c r="BH136" s="3">
        <f>IFERROR(__xludf.DUMMYFUNCTION("""COMPUTED_VALUE"""),154.0)</f>
        <v>154</v>
      </c>
      <c r="BI136" s="3">
        <f>IFERROR(__xludf.DUMMYFUNCTION("""COMPUTED_VALUE"""),164.0)</f>
        <v>164</v>
      </c>
      <c r="BJ136" s="3">
        <f>IFERROR(__xludf.DUMMYFUNCTION("""COMPUTED_VALUE"""),192.0)</f>
        <v>192</v>
      </c>
      <c r="BK136" s="3">
        <f>IFERROR(__xludf.DUMMYFUNCTION("""COMPUTED_VALUE"""),208.0)</f>
        <v>208</v>
      </c>
      <c r="BL136" s="3">
        <f>IFERROR(__xludf.DUMMYFUNCTION("""COMPUTED_VALUE"""),214.0)</f>
        <v>214</v>
      </c>
      <c r="BM136" s="3">
        <f>IFERROR(__xludf.DUMMYFUNCTION("""COMPUTED_VALUE"""),233.0)</f>
        <v>233</v>
      </c>
      <c r="BN136" s="3">
        <f>IFERROR(__xludf.DUMMYFUNCTION("""COMPUTED_VALUE"""),266.0)</f>
        <v>266</v>
      </c>
      <c r="BO136" s="3">
        <f>IFERROR(__xludf.DUMMYFUNCTION("""COMPUTED_VALUE"""),316.0)</f>
        <v>316</v>
      </c>
      <c r="BP136" s="3">
        <f>IFERROR(__xludf.DUMMYFUNCTION("""COMPUTED_VALUE"""),346.0)</f>
        <v>346</v>
      </c>
      <c r="BQ136" s="3">
        <f>IFERROR(__xludf.DUMMYFUNCTION("""COMPUTED_VALUE"""),382.0)</f>
        <v>382</v>
      </c>
      <c r="BR136" s="3">
        <f>IFERROR(__xludf.DUMMYFUNCTION("""COMPUTED_VALUE"""),458.0)</f>
        <v>458</v>
      </c>
      <c r="BS136" s="3">
        <f>IFERROR(__xludf.DUMMYFUNCTION("""COMPUTED_VALUE"""),506.0)</f>
        <v>506</v>
      </c>
      <c r="BT136" s="3">
        <f>IFERROR(__xludf.DUMMYFUNCTION("""COMPUTED_VALUE"""),547.0)</f>
        <v>547</v>
      </c>
      <c r="BU136" s="3">
        <f>IFERROR(__xludf.DUMMYFUNCTION("""COMPUTED_VALUE"""),630.0)</f>
        <v>630</v>
      </c>
      <c r="BV136" s="3">
        <f>IFERROR(__xludf.DUMMYFUNCTION("""COMPUTED_VALUE"""),694.0)</f>
        <v>694</v>
      </c>
      <c r="BW136" s="3">
        <f>IFERROR(__xludf.DUMMYFUNCTION("""COMPUTED_VALUE"""),728.0)</f>
        <v>728</v>
      </c>
      <c r="BX136" s="3">
        <f>IFERROR(__xludf.DUMMYFUNCTION("""COMPUTED_VALUE"""),772.0)</f>
        <v>772</v>
      </c>
      <c r="BY136" s="3">
        <f>IFERROR(__xludf.DUMMYFUNCTION("""COMPUTED_VALUE"""),820.0)</f>
        <v>820</v>
      </c>
      <c r="BZ136" s="3">
        <f>IFERROR(__xludf.DUMMYFUNCTION("""COMPUTED_VALUE"""),878.0)</f>
        <v>878</v>
      </c>
      <c r="CA136" s="3">
        <f>IFERROR(__xludf.DUMMYFUNCTION("""COMPUTED_VALUE"""),961.0)</f>
        <v>961</v>
      </c>
      <c r="CB136" s="3">
        <f>IFERROR(__xludf.DUMMYFUNCTION("""COMPUTED_VALUE"""),1031.0)</f>
        <v>1031</v>
      </c>
    </row>
    <row r="137">
      <c r="A137" s="3" t="str">
        <f>IFERROR(__xludf.DUMMYFUNCTION("""COMPUTED_VALUE"""),"")</f>
        <v/>
      </c>
      <c r="B137" s="3" t="str">
        <f>IFERROR(__xludf.DUMMYFUNCTION("""COMPUTED_VALUE"""),"Ireland")</f>
        <v>Ireland</v>
      </c>
      <c r="C137" s="3">
        <f>IFERROR(__xludf.DUMMYFUNCTION("""COMPUTED_VALUE"""),53.1424)</f>
        <v>53.1424</v>
      </c>
      <c r="D137" s="3">
        <f>IFERROR(__xludf.DUMMYFUNCTION("""COMPUTED_VALUE"""),-7.6921)</f>
        <v>-7.6921</v>
      </c>
      <c r="E137" s="3">
        <f>IFERROR(__xludf.DUMMYFUNCTION("""COMPUTED_VALUE"""),0.0)</f>
        <v>0</v>
      </c>
      <c r="F137" s="3">
        <f>IFERROR(__xludf.DUMMYFUNCTION("""COMPUTED_VALUE"""),0.0)</f>
        <v>0</v>
      </c>
      <c r="G137" s="3">
        <f>IFERROR(__xludf.DUMMYFUNCTION("""COMPUTED_VALUE"""),0.0)</f>
        <v>0</v>
      </c>
      <c r="H137" s="3">
        <f>IFERROR(__xludf.DUMMYFUNCTION("""COMPUTED_VALUE"""),0.0)</f>
        <v>0</v>
      </c>
      <c r="I137" s="3">
        <f>IFERROR(__xludf.DUMMYFUNCTION("""COMPUTED_VALUE"""),0.0)</f>
        <v>0</v>
      </c>
      <c r="J137" s="3">
        <f>IFERROR(__xludf.DUMMYFUNCTION("""COMPUTED_VALUE"""),0.0)</f>
        <v>0</v>
      </c>
      <c r="K137" s="3">
        <f>IFERROR(__xludf.DUMMYFUNCTION("""COMPUTED_VALUE"""),0.0)</f>
        <v>0</v>
      </c>
      <c r="L137" s="3">
        <f>IFERROR(__xludf.DUMMYFUNCTION("""COMPUTED_VALUE"""),0.0)</f>
        <v>0</v>
      </c>
      <c r="M137" s="3">
        <f>IFERROR(__xludf.DUMMYFUNCTION("""COMPUTED_VALUE"""),0.0)</f>
        <v>0</v>
      </c>
      <c r="N137" s="3">
        <f>IFERROR(__xludf.DUMMYFUNCTION("""COMPUTED_VALUE"""),0.0)</f>
        <v>0</v>
      </c>
      <c r="O137" s="3">
        <f>IFERROR(__xludf.DUMMYFUNCTION("""COMPUTED_VALUE"""),0.0)</f>
        <v>0</v>
      </c>
      <c r="P137" s="3">
        <f>IFERROR(__xludf.DUMMYFUNCTION("""COMPUTED_VALUE"""),0.0)</f>
        <v>0</v>
      </c>
      <c r="Q137" s="3">
        <f>IFERROR(__xludf.DUMMYFUNCTION("""COMPUTED_VALUE"""),0.0)</f>
        <v>0</v>
      </c>
      <c r="R137" s="3">
        <f>IFERROR(__xludf.DUMMYFUNCTION("""COMPUTED_VALUE"""),0.0)</f>
        <v>0</v>
      </c>
      <c r="S137" s="3">
        <f>IFERROR(__xludf.DUMMYFUNCTION("""COMPUTED_VALUE"""),0.0)</f>
        <v>0</v>
      </c>
      <c r="T137" s="3">
        <f>IFERROR(__xludf.DUMMYFUNCTION("""COMPUTED_VALUE"""),0.0)</f>
        <v>0</v>
      </c>
      <c r="U137" s="3">
        <f>IFERROR(__xludf.DUMMYFUNCTION("""COMPUTED_VALUE"""),0.0)</f>
        <v>0</v>
      </c>
      <c r="V137" s="3">
        <f>IFERROR(__xludf.DUMMYFUNCTION("""COMPUTED_VALUE"""),0.0)</f>
        <v>0</v>
      </c>
      <c r="W137" s="3">
        <f>IFERROR(__xludf.DUMMYFUNCTION("""COMPUTED_VALUE"""),0.0)</f>
        <v>0</v>
      </c>
      <c r="X137" s="3">
        <f>IFERROR(__xludf.DUMMYFUNCTION("""COMPUTED_VALUE"""),0.0)</f>
        <v>0</v>
      </c>
      <c r="Y137" s="3">
        <f>IFERROR(__xludf.DUMMYFUNCTION("""COMPUTED_VALUE"""),0.0)</f>
        <v>0</v>
      </c>
      <c r="Z137" s="3">
        <f>IFERROR(__xludf.DUMMYFUNCTION("""COMPUTED_VALUE"""),0.0)</f>
        <v>0</v>
      </c>
      <c r="AA137" s="3">
        <f>IFERROR(__xludf.DUMMYFUNCTION("""COMPUTED_VALUE"""),0.0)</f>
        <v>0</v>
      </c>
      <c r="AB137" s="3">
        <f>IFERROR(__xludf.DUMMYFUNCTION("""COMPUTED_VALUE"""),0.0)</f>
        <v>0</v>
      </c>
      <c r="AC137" s="3">
        <f>IFERROR(__xludf.DUMMYFUNCTION("""COMPUTED_VALUE"""),0.0)</f>
        <v>0</v>
      </c>
      <c r="AD137" s="3">
        <f>IFERROR(__xludf.DUMMYFUNCTION("""COMPUTED_VALUE"""),0.0)</f>
        <v>0</v>
      </c>
      <c r="AE137" s="3">
        <f>IFERROR(__xludf.DUMMYFUNCTION("""COMPUTED_VALUE"""),0.0)</f>
        <v>0</v>
      </c>
      <c r="AF137" s="3">
        <f>IFERROR(__xludf.DUMMYFUNCTION("""COMPUTED_VALUE"""),0.0)</f>
        <v>0</v>
      </c>
      <c r="AG137" s="3">
        <f>IFERROR(__xludf.DUMMYFUNCTION("""COMPUTED_VALUE"""),0.0)</f>
        <v>0</v>
      </c>
      <c r="AH137" s="3">
        <f>IFERROR(__xludf.DUMMYFUNCTION("""COMPUTED_VALUE"""),0.0)</f>
        <v>0</v>
      </c>
      <c r="AI137" s="3">
        <f>IFERROR(__xludf.DUMMYFUNCTION("""COMPUTED_VALUE"""),0.0)</f>
        <v>0</v>
      </c>
      <c r="AJ137" s="3">
        <f>IFERROR(__xludf.DUMMYFUNCTION("""COMPUTED_VALUE"""),0.0)</f>
        <v>0</v>
      </c>
      <c r="AK137" s="3">
        <f>IFERROR(__xludf.DUMMYFUNCTION("""COMPUTED_VALUE"""),0.0)</f>
        <v>0</v>
      </c>
      <c r="AL137" s="3">
        <f>IFERROR(__xludf.DUMMYFUNCTION("""COMPUTED_VALUE"""),0.0)</f>
        <v>0</v>
      </c>
      <c r="AM137" s="3">
        <f>IFERROR(__xludf.DUMMYFUNCTION("""COMPUTED_VALUE"""),0.0)</f>
        <v>0</v>
      </c>
      <c r="AN137" s="3">
        <f>IFERROR(__xludf.DUMMYFUNCTION("""COMPUTED_VALUE"""),0.0)</f>
        <v>0</v>
      </c>
      <c r="AO137" s="3">
        <f>IFERROR(__xludf.DUMMYFUNCTION("""COMPUTED_VALUE"""),0.0)</f>
        <v>0</v>
      </c>
      <c r="AP137" s="3">
        <f>IFERROR(__xludf.DUMMYFUNCTION("""COMPUTED_VALUE"""),0.0)</f>
        <v>0</v>
      </c>
      <c r="AQ137" s="3">
        <f>IFERROR(__xludf.DUMMYFUNCTION("""COMPUTED_VALUE"""),1.0)</f>
        <v>1</v>
      </c>
      <c r="AR137" s="3">
        <f>IFERROR(__xludf.DUMMYFUNCTION("""COMPUTED_VALUE"""),1.0)</f>
        <v>1</v>
      </c>
      <c r="AS137" s="3">
        <f>IFERROR(__xludf.DUMMYFUNCTION("""COMPUTED_VALUE"""),1.0)</f>
        <v>1</v>
      </c>
      <c r="AT137" s="3">
        <f>IFERROR(__xludf.DUMMYFUNCTION("""COMPUTED_VALUE"""),2.0)</f>
        <v>2</v>
      </c>
      <c r="AU137" s="3">
        <f>IFERROR(__xludf.DUMMYFUNCTION("""COMPUTED_VALUE"""),6.0)</f>
        <v>6</v>
      </c>
      <c r="AV137" s="3">
        <f>IFERROR(__xludf.DUMMYFUNCTION("""COMPUTED_VALUE"""),6.0)</f>
        <v>6</v>
      </c>
      <c r="AW137" s="3">
        <f>IFERROR(__xludf.DUMMYFUNCTION("""COMPUTED_VALUE"""),18.0)</f>
        <v>18</v>
      </c>
      <c r="AX137" s="3">
        <f>IFERROR(__xludf.DUMMYFUNCTION("""COMPUTED_VALUE"""),18.0)</f>
        <v>18</v>
      </c>
      <c r="AY137" s="3">
        <f>IFERROR(__xludf.DUMMYFUNCTION("""COMPUTED_VALUE"""),19.0)</f>
        <v>19</v>
      </c>
      <c r="AZ137" s="3">
        <f>IFERROR(__xludf.DUMMYFUNCTION("""COMPUTED_VALUE"""),21.0)</f>
        <v>21</v>
      </c>
      <c r="BA137" s="3">
        <f>IFERROR(__xludf.DUMMYFUNCTION("""COMPUTED_VALUE"""),34.0)</f>
        <v>34</v>
      </c>
      <c r="BB137" s="3">
        <f>IFERROR(__xludf.DUMMYFUNCTION("""COMPUTED_VALUE"""),43.0)</f>
        <v>43</v>
      </c>
      <c r="BC137" s="3">
        <f>IFERROR(__xludf.DUMMYFUNCTION("""COMPUTED_VALUE"""),43.0)</f>
        <v>43</v>
      </c>
      <c r="BD137" s="3">
        <f>IFERROR(__xludf.DUMMYFUNCTION("""COMPUTED_VALUE"""),90.0)</f>
        <v>90</v>
      </c>
      <c r="BE137" s="3">
        <f>IFERROR(__xludf.DUMMYFUNCTION("""COMPUTED_VALUE"""),129.0)</f>
        <v>129</v>
      </c>
      <c r="BF137" s="3">
        <f>IFERROR(__xludf.DUMMYFUNCTION("""COMPUTED_VALUE"""),129.0)</f>
        <v>129</v>
      </c>
      <c r="BG137" s="3">
        <f>IFERROR(__xludf.DUMMYFUNCTION("""COMPUTED_VALUE"""),169.0)</f>
        <v>169</v>
      </c>
      <c r="BH137" s="3">
        <f>IFERROR(__xludf.DUMMYFUNCTION("""COMPUTED_VALUE"""),223.0)</f>
        <v>223</v>
      </c>
      <c r="BI137" s="3">
        <f>IFERROR(__xludf.DUMMYFUNCTION("""COMPUTED_VALUE"""),292.0)</f>
        <v>292</v>
      </c>
      <c r="BJ137" s="3">
        <f>IFERROR(__xludf.DUMMYFUNCTION("""COMPUTED_VALUE"""),557.0)</f>
        <v>557</v>
      </c>
      <c r="BK137" s="3">
        <f>IFERROR(__xludf.DUMMYFUNCTION("""COMPUTED_VALUE"""),683.0)</f>
        <v>683</v>
      </c>
      <c r="BL137" s="3">
        <f>IFERROR(__xludf.DUMMYFUNCTION("""COMPUTED_VALUE"""),785.0)</f>
        <v>785</v>
      </c>
      <c r="BM137" s="3">
        <f>IFERROR(__xludf.DUMMYFUNCTION("""COMPUTED_VALUE"""),906.0)</f>
        <v>906</v>
      </c>
      <c r="BN137" s="3">
        <f>IFERROR(__xludf.DUMMYFUNCTION("""COMPUTED_VALUE"""),1125.0)</f>
        <v>1125</v>
      </c>
      <c r="BO137" s="3">
        <f>IFERROR(__xludf.DUMMYFUNCTION("""COMPUTED_VALUE"""),1329.0)</f>
        <v>1329</v>
      </c>
      <c r="BP137" s="3">
        <f>IFERROR(__xludf.DUMMYFUNCTION("""COMPUTED_VALUE"""),1564.0)</f>
        <v>1564</v>
      </c>
      <c r="BQ137" s="3">
        <f>IFERROR(__xludf.DUMMYFUNCTION("""COMPUTED_VALUE"""),1819.0)</f>
        <v>1819</v>
      </c>
      <c r="BR137" s="3">
        <f>IFERROR(__xludf.DUMMYFUNCTION("""COMPUTED_VALUE"""),2121.0)</f>
        <v>2121</v>
      </c>
      <c r="BS137" s="3">
        <f>IFERROR(__xludf.DUMMYFUNCTION("""COMPUTED_VALUE"""),2415.0)</f>
        <v>2415</v>
      </c>
      <c r="BT137" s="3">
        <f>IFERROR(__xludf.DUMMYFUNCTION("""COMPUTED_VALUE"""),2615.0)</f>
        <v>2615</v>
      </c>
      <c r="BU137" s="3">
        <f>IFERROR(__xludf.DUMMYFUNCTION("""COMPUTED_VALUE"""),2910.0)</f>
        <v>2910</v>
      </c>
      <c r="BV137" s="3">
        <f>IFERROR(__xludf.DUMMYFUNCTION("""COMPUTED_VALUE"""),3235.0)</f>
        <v>3235</v>
      </c>
      <c r="BW137" s="3">
        <f>IFERROR(__xludf.DUMMYFUNCTION("""COMPUTED_VALUE"""),3447.0)</f>
        <v>3447</v>
      </c>
      <c r="BX137" s="3">
        <f>IFERROR(__xludf.DUMMYFUNCTION("""COMPUTED_VALUE"""),3849.0)</f>
        <v>3849</v>
      </c>
      <c r="BY137" s="3">
        <f>IFERROR(__xludf.DUMMYFUNCTION("""COMPUTED_VALUE"""),4273.0)</f>
        <v>4273</v>
      </c>
      <c r="BZ137" s="3">
        <f>IFERROR(__xludf.DUMMYFUNCTION("""COMPUTED_VALUE"""),4604.0)</f>
        <v>4604</v>
      </c>
      <c r="CA137" s="3">
        <f>IFERROR(__xludf.DUMMYFUNCTION("""COMPUTED_VALUE"""),4994.0)</f>
        <v>4994</v>
      </c>
      <c r="CB137" s="3">
        <f>IFERROR(__xludf.DUMMYFUNCTION("""COMPUTED_VALUE"""),5364.0)</f>
        <v>5364</v>
      </c>
    </row>
    <row r="138">
      <c r="A138" s="3" t="str">
        <f>IFERROR(__xludf.DUMMYFUNCTION("""COMPUTED_VALUE"""),"")</f>
        <v/>
      </c>
      <c r="B138" s="3" t="str">
        <f>IFERROR(__xludf.DUMMYFUNCTION("""COMPUTED_VALUE"""),"Israel")</f>
        <v>Israel</v>
      </c>
      <c r="C138" s="3">
        <f>IFERROR(__xludf.DUMMYFUNCTION("""COMPUTED_VALUE"""),31.0)</f>
        <v>31</v>
      </c>
      <c r="D138" s="3">
        <f>IFERROR(__xludf.DUMMYFUNCTION("""COMPUTED_VALUE"""),35.0)</f>
        <v>35</v>
      </c>
      <c r="E138" s="3">
        <f>IFERROR(__xludf.DUMMYFUNCTION("""COMPUTED_VALUE"""),0.0)</f>
        <v>0</v>
      </c>
      <c r="F138" s="3">
        <f>IFERROR(__xludf.DUMMYFUNCTION("""COMPUTED_VALUE"""),0.0)</f>
        <v>0</v>
      </c>
      <c r="G138" s="3">
        <f>IFERROR(__xludf.DUMMYFUNCTION("""COMPUTED_VALUE"""),0.0)</f>
        <v>0</v>
      </c>
      <c r="H138" s="3">
        <f>IFERROR(__xludf.DUMMYFUNCTION("""COMPUTED_VALUE"""),0.0)</f>
        <v>0</v>
      </c>
      <c r="I138" s="3">
        <f>IFERROR(__xludf.DUMMYFUNCTION("""COMPUTED_VALUE"""),0.0)</f>
        <v>0</v>
      </c>
      <c r="J138" s="3">
        <f>IFERROR(__xludf.DUMMYFUNCTION("""COMPUTED_VALUE"""),0.0)</f>
        <v>0</v>
      </c>
      <c r="K138" s="3">
        <f>IFERROR(__xludf.DUMMYFUNCTION("""COMPUTED_VALUE"""),0.0)</f>
        <v>0</v>
      </c>
      <c r="L138" s="3">
        <f>IFERROR(__xludf.DUMMYFUNCTION("""COMPUTED_VALUE"""),0.0)</f>
        <v>0</v>
      </c>
      <c r="M138" s="3">
        <f>IFERROR(__xludf.DUMMYFUNCTION("""COMPUTED_VALUE"""),0.0)</f>
        <v>0</v>
      </c>
      <c r="N138" s="3">
        <f>IFERROR(__xludf.DUMMYFUNCTION("""COMPUTED_VALUE"""),0.0)</f>
        <v>0</v>
      </c>
      <c r="O138" s="3">
        <f>IFERROR(__xludf.DUMMYFUNCTION("""COMPUTED_VALUE"""),0.0)</f>
        <v>0</v>
      </c>
      <c r="P138" s="3">
        <f>IFERROR(__xludf.DUMMYFUNCTION("""COMPUTED_VALUE"""),0.0)</f>
        <v>0</v>
      </c>
      <c r="Q138" s="3">
        <f>IFERROR(__xludf.DUMMYFUNCTION("""COMPUTED_VALUE"""),0.0)</f>
        <v>0</v>
      </c>
      <c r="R138" s="3">
        <f>IFERROR(__xludf.DUMMYFUNCTION("""COMPUTED_VALUE"""),0.0)</f>
        <v>0</v>
      </c>
      <c r="S138" s="3">
        <f>IFERROR(__xludf.DUMMYFUNCTION("""COMPUTED_VALUE"""),0.0)</f>
        <v>0</v>
      </c>
      <c r="T138" s="3">
        <f>IFERROR(__xludf.DUMMYFUNCTION("""COMPUTED_VALUE"""),0.0)</f>
        <v>0</v>
      </c>
      <c r="U138" s="3">
        <f>IFERROR(__xludf.DUMMYFUNCTION("""COMPUTED_VALUE"""),0.0)</f>
        <v>0</v>
      </c>
      <c r="V138" s="3">
        <f>IFERROR(__xludf.DUMMYFUNCTION("""COMPUTED_VALUE"""),0.0)</f>
        <v>0</v>
      </c>
      <c r="W138" s="3">
        <f>IFERROR(__xludf.DUMMYFUNCTION("""COMPUTED_VALUE"""),0.0)</f>
        <v>0</v>
      </c>
      <c r="X138" s="3">
        <f>IFERROR(__xludf.DUMMYFUNCTION("""COMPUTED_VALUE"""),0.0)</f>
        <v>0</v>
      </c>
      <c r="Y138" s="3">
        <f>IFERROR(__xludf.DUMMYFUNCTION("""COMPUTED_VALUE"""),0.0)</f>
        <v>0</v>
      </c>
      <c r="Z138" s="3">
        <f>IFERROR(__xludf.DUMMYFUNCTION("""COMPUTED_VALUE"""),0.0)</f>
        <v>0</v>
      </c>
      <c r="AA138" s="3">
        <f>IFERROR(__xludf.DUMMYFUNCTION("""COMPUTED_VALUE"""),0.0)</f>
        <v>0</v>
      </c>
      <c r="AB138" s="3">
        <f>IFERROR(__xludf.DUMMYFUNCTION("""COMPUTED_VALUE"""),0.0)</f>
        <v>0</v>
      </c>
      <c r="AC138" s="3">
        <f>IFERROR(__xludf.DUMMYFUNCTION("""COMPUTED_VALUE"""),0.0)</f>
        <v>0</v>
      </c>
      <c r="AD138" s="3">
        <f>IFERROR(__xludf.DUMMYFUNCTION("""COMPUTED_VALUE"""),0.0)</f>
        <v>0</v>
      </c>
      <c r="AE138" s="3">
        <f>IFERROR(__xludf.DUMMYFUNCTION("""COMPUTED_VALUE"""),0.0)</f>
        <v>0</v>
      </c>
      <c r="AF138" s="3">
        <f>IFERROR(__xludf.DUMMYFUNCTION("""COMPUTED_VALUE"""),0.0)</f>
        <v>0</v>
      </c>
      <c r="AG138" s="3">
        <f>IFERROR(__xludf.DUMMYFUNCTION("""COMPUTED_VALUE"""),0.0)</f>
        <v>0</v>
      </c>
      <c r="AH138" s="3">
        <f>IFERROR(__xludf.DUMMYFUNCTION("""COMPUTED_VALUE"""),0.0)</f>
        <v>0</v>
      </c>
      <c r="AI138" s="3">
        <f>IFERROR(__xludf.DUMMYFUNCTION("""COMPUTED_VALUE"""),1.0)</f>
        <v>1</v>
      </c>
      <c r="AJ138" s="3">
        <f>IFERROR(__xludf.DUMMYFUNCTION("""COMPUTED_VALUE"""),1.0)</f>
        <v>1</v>
      </c>
      <c r="AK138" s="3">
        <f>IFERROR(__xludf.DUMMYFUNCTION("""COMPUTED_VALUE"""),1.0)</f>
        <v>1</v>
      </c>
      <c r="AL138" s="3">
        <f>IFERROR(__xludf.DUMMYFUNCTION("""COMPUTED_VALUE"""),1.0)</f>
        <v>1</v>
      </c>
      <c r="AM138" s="3">
        <f>IFERROR(__xludf.DUMMYFUNCTION("""COMPUTED_VALUE"""),1.0)</f>
        <v>1</v>
      </c>
      <c r="AN138" s="3">
        <f>IFERROR(__xludf.DUMMYFUNCTION("""COMPUTED_VALUE"""),2.0)</f>
        <v>2</v>
      </c>
      <c r="AO138" s="3">
        <f>IFERROR(__xludf.DUMMYFUNCTION("""COMPUTED_VALUE"""),3.0)</f>
        <v>3</v>
      </c>
      <c r="AP138" s="3">
        <f>IFERROR(__xludf.DUMMYFUNCTION("""COMPUTED_VALUE"""),4.0)</f>
        <v>4</v>
      </c>
      <c r="AQ138" s="3">
        <f>IFERROR(__xludf.DUMMYFUNCTION("""COMPUTED_VALUE"""),7.0)</f>
        <v>7</v>
      </c>
      <c r="AR138" s="3">
        <f>IFERROR(__xludf.DUMMYFUNCTION("""COMPUTED_VALUE"""),10.0)</f>
        <v>10</v>
      </c>
      <c r="AS138" s="3">
        <f>IFERROR(__xludf.DUMMYFUNCTION("""COMPUTED_VALUE"""),10.0)</f>
        <v>10</v>
      </c>
      <c r="AT138" s="3">
        <f>IFERROR(__xludf.DUMMYFUNCTION("""COMPUTED_VALUE"""),12.0)</f>
        <v>12</v>
      </c>
      <c r="AU138" s="3">
        <f>IFERROR(__xludf.DUMMYFUNCTION("""COMPUTED_VALUE"""),15.0)</f>
        <v>15</v>
      </c>
      <c r="AV138" s="3">
        <f>IFERROR(__xludf.DUMMYFUNCTION("""COMPUTED_VALUE"""),20.0)</f>
        <v>20</v>
      </c>
      <c r="AW138" s="3">
        <f>IFERROR(__xludf.DUMMYFUNCTION("""COMPUTED_VALUE"""),37.0)</f>
        <v>37</v>
      </c>
      <c r="AX138" s="3">
        <f>IFERROR(__xludf.DUMMYFUNCTION("""COMPUTED_VALUE"""),43.0)</f>
        <v>43</v>
      </c>
      <c r="AY138" s="3">
        <f>IFERROR(__xludf.DUMMYFUNCTION("""COMPUTED_VALUE"""),61.0)</f>
        <v>61</v>
      </c>
      <c r="AZ138" s="3">
        <f>IFERROR(__xludf.DUMMYFUNCTION("""COMPUTED_VALUE"""),61.0)</f>
        <v>61</v>
      </c>
      <c r="BA138" s="3">
        <f>IFERROR(__xludf.DUMMYFUNCTION("""COMPUTED_VALUE"""),75.0)</f>
        <v>75</v>
      </c>
      <c r="BB138" s="3">
        <f>IFERROR(__xludf.DUMMYFUNCTION("""COMPUTED_VALUE"""),79.0)</f>
        <v>79</v>
      </c>
      <c r="BC138" s="3">
        <f>IFERROR(__xludf.DUMMYFUNCTION("""COMPUTED_VALUE"""),100.0)</f>
        <v>100</v>
      </c>
      <c r="BD138" s="3">
        <f>IFERROR(__xludf.DUMMYFUNCTION("""COMPUTED_VALUE"""),126.0)</f>
        <v>126</v>
      </c>
      <c r="BE138" s="3">
        <f>IFERROR(__xludf.DUMMYFUNCTION("""COMPUTED_VALUE"""),155.0)</f>
        <v>155</v>
      </c>
      <c r="BF138" s="3">
        <f>IFERROR(__xludf.DUMMYFUNCTION("""COMPUTED_VALUE"""),213.0)</f>
        <v>213</v>
      </c>
      <c r="BG138" s="3">
        <f>IFERROR(__xludf.DUMMYFUNCTION("""COMPUTED_VALUE"""),218.0)</f>
        <v>218</v>
      </c>
      <c r="BH138" s="3">
        <f>IFERROR(__xludf.DUMMYFUNCTION("""COMPUTED_VALUE"""),250.0)</f>
        <v>250</v>
      </c>
      <c r="BI138" s="3">
        <f>IFERROR(__xludf.DUMMYFUNCTION("""COMPUTED_VALUE"""),304.0)</f>
        <v>304</v>
      </c>
      <c r="BJ138" s="3">
        <f>IFERROR(__xludf.DUMMYFUNCTION("""COMPUTED_VALUE"""),427.0)</f>
        <v>427</v>
      </c>
      <c r="BK138" s="3">
        <f>IFERROR(__xludf.DUMMYFUNCTION("""COMPUTED_VALUE"""),529.0)</f>
        <v>529</v>
      </c>
      <c r="BL138" s="3">
        <f>IFERROR(__xludf.DUMMYFUNCTION("""COMPUTED_VALUE"""),712.0)</f>
        <v>712</v>
      </c>
      <c r="BM138" s="3">
        <f>IFERROR(__xludf.DUMMYFUNCTION("""COMPUTED_VALUE"""),883.0)</f>
        <v>883</v>
      </c>
      <c r="BN138" s="3">
        <f>IFERROR(__xludf.DUMMYFUNCTION("""COMPUTED_VALUE"""),1071.0)</f>
        <v>1071</v>
      </c>
      <c r="BO138" s="3">
        <f>IFERROR(__xludf.DUMMYFUNCTION("""COMPUTED_VALUE"""),1238.0)</f>
        <v>1238</v>
      </c>
      <c r="BP138" s="3">
        <f>IFERROR(__xludf.DUMMYFUNCTION("""COMPUTED_VALUE"""),2369.0)</f>
        <v>2369</v>
      </c>
      <c r="BQ138" s="3">
        <f>IFERROR(__xludf.DUMMYFUNCTION("""COMPUTED_VALUE"""),2693.0)</f>
        <v>2693</v>
      </c>
      <c r="BR138" s="3">
        <f>IFERROR(__xludf.DUMMYFUNCTION("""COMPUTED_VALUE"""),3035.0)</f>
        <v>3035</v>
      </c>
      <c r="BS138" s="3">
        <f>IFERROR(__xludf.DUMMYFUNCTION("""COMPUTED_VALUE"""),3619.0)</f>
        <v>3619</v>
      </c>
      <c r="BT138" s="3">
        <f>IFERROR(__xludf.DUMMYFUNCTION("""COMPUTED_VALUE"""),4247.0)</f>
        <v>4247</v>
      </c>
      <c r="BU138" s="3">
        <f>IFERROR(__xludf.DUMMYFUNCTION("""COMPUTED_VALUE"""),4695.0)</f>
        <v>4695</v>
      </c>
      <c r="BV138" s="3">
        <f>IFERROR(__xludf.DUMMYFUNCTION("""COMPUTED_VALUE"""),5358.0)</f>
        <v>5358</v>
      </c>
      <c r="BW138" s="3">
        <f>IFERROR(__xludf.DUMMYFUNCTION("""COMPUTED_VALUE"""),6092.0)</f>
        <v>6092</v>
      </c>
      <c r="BX138" s="3">
        <f>IFERROR(__xludf.DUMMYFUNCTION("""COMPUTED_VALUE"""),6857.0)</f>
        <v>6857</v>
      </c>
      <c r="BY138" s="3">
        <f>IFERROR(__xludf.DUMMYFUNCTION("""COMPUTED_VALUE"""),7428.0)</f>
        <v>7428</v>
      </c>
      <c r="BZ138" s="3">
        <f>IFERROR(__xludf.DUMMYFUNCTION("""COMPUTED_VALUE"""),7851.0)</f>
        <v>7851</v>
      </c>
      <c r="CA138" s="3">
        <f>IFERROR(__xludf.DUMMYFUNCTION("""COMPUTED_VALUE"""),8430.0)</f>
        <v>8430</v>
      </c>
      <c r="CB138" s="3">
        <f>IFERROR(__xludf.DUMMYFUNCTION("""COMPUTED_VALUE"""),8904.0)</f>
        <v>8904</v>
      </c>
    </row>
    <row r="139">
      <c r="A139" s="3" t="str">
        <f>IFERROR(__xludf.DUMMYFUNCTION("""COMPUTED_VALUE"""),"")</f>
        <v/>
      </c>
      <c r="B139" s="3" t="str">
        <f>IFERROR(__xludf.DUMMYFUNCTION("""COMPUTED_VALUE"""),"Italy")</f>
        <v>Italy</v>
      </c>
      <c r="C139" s="3">
        <f>IFERROR(__xludf.DUMMYFUNCTION("""COMPUTED_VALUE"""),43.0)</f>
        <v>43</v>
      </c>
      <c r="D139" s="3">
        <f>IFERROR(__xludf.DUMMYFUNCTION("""COMPUTED_VALUE"""),12.0)</f>
        <v>12</v>
      </c>
      <c r="E139" s="3">
        <f>IFERROR(__xludf.DUMMYFUNCTION("""COMPUTED_VALUE"""),0.0)</f>
        <v>0</v>
      </c>
      <c r="F139" s="3">
        <f>IFERROR(__xludf.DUMMYFUNCTION("""COMPUTED_VALUE"""),0.0)</f>
        <v>0</v>
      </c>
      <c r="G139" s="3">
        <f>IFERROR(__xludf.DUMMYFUNCTION("""COMPUTED_VALUE"""),0.0)</f>
        <v>0</v>
      </c>
      <c r="H139" s="3">
        <f>IFERROR(__xludf.DUMMYFUNCTION("""COMPUTED_VALUE"""),0.0)</f>
        <v>0</v>
      </c>
      <c r="I139" s="3">
        <f>IFERROR(__xludf.DUMMYFUNCTION("""COMPUTED_VALUE"""),0.0)</f>
        <v>0</v>
      </c>
      <c r="J139" s="3">
        <f>IFERROR(__xludf.DUMMYFUNCTION("""COMPUTED_VALUE"""),0.0)</f>
        <v>0</v>
      </c>
      <c r="K139" s="3">
        <f>IFERROR(__xludf.DUMMYFUNCTION("""COMPUTED_VALUE"""),0.0)</f>
        <v>0</v>
      </c>
      <c r="L139" s="3">
        <f>IFERROR(__xludf.DUMMYFUNCTION("""COMPUTED_VALUE"""),0.0)</f>
        <v>0</v>
      </c>
      <c r="M139" s="3">
        <f>IFERROR(__xludf.DUMMYFUNCTION("""COMPUTED_VALUE"""),0.0)</f>
        <v>0</v>
      </c>
      <c r="N139" s="3">
        <f>IFERROR(__xludf.DUMMYFUNCTION("""COMPUTED_VALUE"""),2.0)</f>
        <v>2</v>
      </c>
      <c r="O139" s="3">
        <f>IFERROR(__xludf.DUMMYFUNCTION("""COMPUTED_VALUE"""),2.0)</f>
        <v>2</v>
      </c>
      <c r="P139" s="3">
        <f>IFERROR(__xludf.DUMMYFUNCTION("""COMPUTED_VALUE"""),2.0)</f>
        <v>2</v>
      </c>
      <c r="Q139" s="3">
        <f>IFERROR(__xludf.DUMMYFUNCTION("""COMPUTED_VALUE"""),2.0)</f>
        <v>2</v>
      </c>
      <c r="R139" s="3">
        <f>IFERROR(__xludf.DUMMYFUNCTION("""COMPUTED_VALUE"""),2.0)</f>
        <v>2</v>
      </c>
      <c r="S139" s="3">
        <f>IFERROR(__xludf.DUMMYFUNCTION("""COMPUTED_VALUE"""),2.0)</f>
        <v>2</v>
      </c>
      <c r="T139" s="3">
        <f>IFERROR(__xludf.DUMMYFUNCTION("""COMPUTED_VALUE"""),2.0)</f>
        <v>2</v>
      </c>
      <c r="U139" s="3">
        <f>IFERROR(__xludf.DUMMYFUNCTION("""COMPUTED_VALUE"""),3.0)</f>
        <v>3</v>
      </c>
      <c r="V139" s="3">
        <f>IFERROR(__xludf.DUMMYFUNCTION("""COMPUTED_VALUE"""),3.0)</f>
        <v>3</v>
      </c>
      <c r="W139" s="3">
        <f>IFERROR(__xludf.DUMMYFUNCTION("""COMPUTED_VALUE"""),3.0)</f>
        <v>3</v>
      </c>
      <c r="X139" s="3">
        <f>IFERROR(__xludf.DUMMYFUNCTION("""COMPUTED_VALUE"""),3.0)</f>
        <v>3</v>
      </c>
      <c r="Y139" s="3">
        <f>IFERROR(__xludf.DUMMYFUNCTION("""COMPUTED_VALUE"""),3.0)</f>
        <v>3</v>
      </c>
      <c r="Z139" s="3">
        <f>IFERROR(__xludf.DUMMYFUNCTION("""COMPUTED_VALUE"""),3.0)</f>
        <v>3</v>
      </c>
      <c r="AA139" s="3">
        <f>IFERROR(__xludf.DUMMYFUNCTION("""COMPUTED_VALUE"""),3.0)</f>
        <v>3</v>
      </c>
      <c r="AB139" s="3">
        <f>IFERROR(__xludf.DUMMYFUNCTION("""COMPUTED_VALUE"""),3.0)</f>
        <v>3</v>
      </c>
      <c r="AC139" s="3">
        <f>IFERROR(__xludf.DUMMYFUNCTION("""COMPUTED_VALUE"""),3.0)</f>
        <v>3</v>
      </c>
      <c r="AD139" s="3">
        <f>IFERROR(__xludf.DUMMYFUNCTION("""COMPUTED_VALUE"""),3.0)</f>
        <v>3</v>
      </c>
      <c r="AE139" s="3">
        <f>IFERROR(__xludf.DUMMYFUNCTION("""COMPUTED_VALUE"""),3.0)</f>
        <v>3</v>
      </c>
      <c r="AF139" s="3">
        <f>IFERROR(__xludf.DUMMYFUNCTION("""COMPUTED_VALUE"""),3.0)</f>
        <v>3</v>
      </c>
      <c r="AG139" s="3">
        <f>IFERROR(__xludf.DUMMYFUNCTION("""COMPUTED_VALUE"""),3.0)</f>
        <v>3</v>
      </c>
      <c r="AH139" s="3">
        <f>IFERROR(__xludf.DUMMYFUNCTION("""COMPUTED_VALUE"""),3.0)</f>
        <v>3</v>
      </c>
      <c r="AI139" s="3">
        <f>IFERROR(__xludf.DUMMYFUNCTION("""COMPUTED_VALUE"""),20.0)</f>
        <v>20</v>
      </c>
      <c r="AJ139" s="3">
        <f>IFERROR(__xludf.DUMMYFUNCTION("""COMPUTED_VALUE"""),62.0)</f>
        <v>62</v>
      </c>
      <c r="AK139" s="3">
        <f>IFERROR(__xludf.DUMMYFUNCTION("""COMPUTED_VALUE"""),155.0)</f>
        <v>155</v>
      </c>
      <c r="AL139" s="3">
        <f>IFERROR(__xludf.DUMMYFUNCTION("""COMPUTED_VALUE"""),229.0)</f>
        <v>229</v>
      </c>
      <c r="AM139" s="3">
        <f>IFERROR(__xludf.DUMMYFUNCTION("""COMPUTED_VALUE"""),322.0)</f>
        <v>322</v>
      </c>
      <c r="AN139" s="3">
        <f>IFERROR(__xludf.DUMMYFUNCTION("""COMPUTED_VALUE"""),453.0)</f>
        <v>453</v>
      </c>
      <c r="AO139" s="3">
        <f>IFERROR(__xludf.DUMMYFUNCTION("""COMPUTED_VALUE"""),655.0)</f>
        <v>655</v>
      </c>
      <c r="AP139" s="3">
        <f>IFERROR(__xludf.DUMMYFUNCTION("""COMPUTED_VALUE"""),888.0)</f>
        <v>888</v>
      </c>
      <c r="AQ139" s="3">
        <f>IFERROR(__xludf.DUMMYFUNCTION("""COMPUTED_VALUE"""),1128.0)</f>
        <v>1128</v>
      </c>
      <c r="AR139" s="3">
        <f>IFERROR(__xludf.DUMMYFUNCTION("""COMPUTED_VALUE"""),1694.0)</f>
        <v>1694</v>
      </c>
      <c r="AS139" s="3">
        <f>IFERROR(__xludf.DUMMYFUNCTION("""COMPUTED_VALUE"""),2036.0)</f>
        <v>2036</v>
      </c>
      <c r="AT139" s="3">
        <f>IFERROR(__xludf.DUMMYFUNCTION("""COMPUTED_VALUE"""),2502.0)</f>
        <v>2502</v>
      </c>
      <c r="AU139" s="3">
        <f>IFERROR(__xludf.DUMMYFUNCTION("""COMPUTED_VALUE"""),3089.0)</f>
        <v>3089</v>
      </c>
      <c r="AV139" s="3">
        <f>IFERROR(__xludf.DUMMYFUNCTION("""COMPUTED_VALUE"""),3858.0)</f>
        <v>3858</v>
      </c>
      <c r="AW139" s="3">
        <f>IFERROR(__xludf.DUMMYFUNCTION("""COMPUTED_VALUE"""),4636.0)</f>
        <v>4636</v>
      </c>
      <c r="AX139" s="3">
        <f>IFERROR(__xludf.DUMMYFUNCTION("""COMPUTED_VALUE"""),5883.0)</f>
        <v>5883</v>
      </c>
      <c r="AY139" s="3">
        <f>IFERROR(__xludf.DUMMYFUNCTION("""COMPUTED_VALUE"""),7375.0)</f>
        <v>7375</v>
      </c>
      <c r="AZ139" s="3">
        <f>IFERROR(__xludf.DUMMYFUNCTION("""COMPUTED_VALUE"""),9172.0)</f>
        <v>9172</v>
      </c>
      <c r="BA139" s="3">
        <f>IFERROR(__xludf.DUMMYFUNCTION("""COMPUTED_VALUE"""),10149.0)</f>
        <v>10149</v>
      </c>
      <c r="BB139" s="3">
        <f>IFERROR(__xludf.DUMMYFUNCTION("""COMPUTED_VALUE"""),12462.0)</f>
        <v>12462</v>
      </c>
      <c r="BC139" s="3">
        <f>IFERROR(__xludf.DUMMYFUNCTION("""COMPUTED_VALUE"""),12462.0)</f>
        <v>12462</v>
      </c>
      <c r="BD139" s="3">
        <f>IFERROR(__xludf.DUMMYFUNCTION("""COMPUTED_VALUE"""),17660.0)</f>
        <v>17660</v>
      </c>
      <c r="BE139" s="3">
        <f>IFERROR(__xludf.DUMMYFUNCTION("""COMPUTED_VALUE"""),21157.0)</f>
        <v>21157</v>
      </c>
      <c r="BF139" s="3">
        <f>IFERROR(__xludf.DUMMYFUNCTION("""COMPUTED_VALUE"""),24747.0)</f>
        <v>24747</v>
      </c>
      <c r="BG139" s="3">
        <f>IFERROR(__xludf.DUMMYFUNCTION("""COMPUTED_VALUE"""),27980.0)</f>
        <v>27980</v>
      </c>
      <c r="BH139" s="3">
        <f>IFERROR(__xludf.DUMMYFUNCTION("""COMPUTED_VALUE"""),31506.0)</f>
        <v>31506</v>
      </c>
      <c r="BI139" s="3">
        <f>IFERROR(__xludf.DUMMYFUNCTION("""COMPUTED_VALUE"""),35713.0)</f>
        <v>35713</v>
      </c>
      <c r="BJ139" s="3">
        <f>IFERROR(__xludf.DUMMYFUNCTION("""COMPUTED_VALUE"""),41035.0)</f>
        <v>41035</v>
      </c>
      <c r="BK139" s="3">
        <f>IFERROR(__xludf.DUMMYFUNCTION("""COMPUTED_VALUE"""),47021.0)</f>
        <v>47021</v>
      </c>
      <c r="BL139" s="3">
        <f>IFERROR(__xludf.DUMMYFUNCTION("""COMPUTED_VALUE"""),53578.0)</f>
        <v>53578</v>
      </c>
      <c r="BM139" s="3">
        <f>IFERROR(__xludf.DUMMYFUNCTION("""COMPUTED_VALUE"""),59138.0)</f>
        <v>59138</v>
      </c>
      <c r="BN139" s="3">
        <f>IFERROR(__xludf.DUMMYFUNCTION("""COMPUTED_VALUE"""),63927.0)</f>
        <v>63927</v>
      </c>
      <c r="BO139" s="3">
        <f>IFERROR(__xludf.DUMMYFUNCTION("""COMPUTED_VALUE"""),69176.0)</f>
        <v>69176</v>
      </c>
      <c r="BP139" s="3">
        <f>IFERROR(__xludf.DUMMYFUNCTION("""COMPUTED_VALUE"""),74386.0)</f>
        <v>74386</v>
      </c>
      <c r="BQ139" s="3">
        <f>IFERROR(__xludf.DUMMYFUNCTION("""COMPUTED_VALUE"""),80589.0)</f>
        <v>80589</v>
      </c>
      <c r="BR139" s="3">
        <f>IFERROR(__xludf.DUMMYFUNCTION("""COMPUTED_VALUE"""),86498.0)</f>
        <v>86498</v>
      </c>
      <c r="BS139" s="3">
        <f>IFERROR(__xludf.DUMMYFUNCTION("""COMPUTED_VALUE"""),92472.0)</f>
        <v>92472</v>
      </c>
      <c r="BT139" s="3">
        <f>IFERROR(__xludf.DUMMYFUNCTION("""COMPUTED_VALUE"""),97689.0)</f>
        <v>97689</v>
      </c>
      <c r="BU139" s="3">
        <f>IFERROR(__xludf.DUMMYFUNCTION("""COMPUTED_VALUE"""),101739.0)</f>
        <v>101739</v>
      </c>
      <c r="BV139" s="3">
        <f>IFERROR(__xludf.DUMMYFUNCTION("""COMPUTED_VALUE"""),105792.0)</f>
        <v>105792</v>
      </c>
      <c r="BW139" s="3">
        <f>IFERROR(__xludf.DUMMYFUNCTION("""COMPUTED_VALUE"""),110574.0)</f>
        <v>110574</v>
      </c>
      <c r="BX139" s="3">
        <f>IFERROR(__xludf.DUMMYFUNCTION("""COMPUTED_VALUE"""),115242.0)</f>
        <v>115242</v>
      </c>
      <c r="BY139" s="3">
        <f>IFERROR(__xludf.DUMMYFUNCTION("""COMPUTED_VALUE"""),119827.0)</f>
        <v>119827</v>
      </c>
      <c r="BZ139" s="3">
        <f>IFERROR(__xludf.DUMMYFUNCTION("""COMPUTED_VALUE"""),124632.0)</f>
        <v>124632</v>
      </c>
      <c r="CA139" s="3">
        <f>IFERROR(__xludf.DUMMYFUNCTION("""COMPUTED_VALUE"""),128948.0)</f>
        <v>128948</v>
      </c>
      <c r="CB139" s="3">
        <f>IFERROR(__xludf.DUMMYFUNCTION("""COMPUTED_VALUE"""),132547.0)</f>
        <v>132547</v>
      </c>
    </row>
    <row r="140">
      <c r="A140" s="3" t="str">
        <f>IFERROR(__xludf.DUMMYFUNCTION("""COMPUTED_VALUE"""),"")</f>
        <v/>
      </c>
      <c r="B140" s="3" t="str">
        <f>IFERROR(__xludf.DUMMYFUNCTION("""COMPUTED_VALUE"""),"Jamaica")</f>
        <v>Jamaica</v>
      </c>
      <c r="C140" s="3">
        <f>IFERROR(__xludf.DUMMYFUNCTION("""COMPUTED_VALUE"""),18.1096)</f>
        <v>18.1096</v>
      </c>
      <c r="D140" s="3">
        <f>IFERROR(__xludf.DUMMYFUNCTION("""COMPUTED_VALUE"""),-77.2975)</f>
        <v>-77.2975</v>
      </c>
      <c r="E140" s="3">
        <f>IFERROR(__xludf.DUMMYFUNCTION("""COMPUTED_VALUE"""),0.0)</f>
        <v>0</v>
      </c>
      <c r="F140" s="3">
        <f>IFERROR(__xludf.DUMMYFUNCTION("""COMPUTED_VALUE"""),0.0)</f>
        <v>0</v>
      </c>
      <c r="G140" s="3">
        <f>IFERROR(__xludf.DUMMYFUNCTION("""COMPUTED_VALUE"""),0.0)</f>
        <v>0</v>
      </c>
      <c r="H140" s="3">
        <f>IFERROR(__xludf.DUMMYFUNCTION("""COMPUTED_VALUE"""),0.0)</f>
        <v>0</v>
      </c>
      <c r="I140" s="3">
        <f>IFERROR(__xludf.DUMMYFUNCTION("""COMPUTED_VALUE"""),0.0)</f>
        <v>0</v>
      </c>
      <c r="J140" s="3">
        <f>IFERROR(__xludf.DUMMYFUNCTION("""COMPUTED_VALUE"""),0.0)</f>
        <v>0</v>
      </c>
      <c r="K140" s="3">
        <f>IFERROR(__xludf.DUMMYFUNCTION("""COMPUTED_VALUE"""),0.0)</f>
        <v>0</v>
      </c>
      <c r="L140" s="3">
        <f>IFERROR(__xludf.DUMMYFUNCTION("""COMPUTED_VALUE"""),0.0)</f>
        <v>0</v>
      </c>
      <c r="M140" s="3">
        <f>IFERROR(__xludf.DUMMYFUNCTION("""COMPUTED_VALUE"""),0.0)</f>
        <v>0</v>
      </c>
      <c r="N140" s="3">
        <f>IFERROR(__xludf.DUMMYFUNCTION("""COMPUTED_VALUE"""),0.0)</f>
        <v>0</v>
      </c>
      <c r="O140" s="3">
        <f>IFERROR(__xludf.DUMMYFUNCTION("""COMPUTED_VALUE"""),0.0)</f>
        <v>0</v>
      </c>
      <c r="P140" s="3">
        <f>IFERROR(__xludf.DUMMYFUNCTION("""COMPUTED_VALUE"""),0.0)</f>
        <v>0</v>
      </c>
      <c r="Q140" s="3">
        <f>IFERROR(__xludf.DUMMYFUNCTION("""COMPUTED_VALUE"""),0.0)</f>
        <v>0</v>
      </c>
      <c r="R140" s="3">
        <f>IFERROR(__xludf.DUMMYFUNCTION("""COMPUTED_VALUE"""),0.0)</f>
        <v>0</v>
      </c>
      <c r="S140" s="3">
        <f>IFERROR(__xludf.DUMMYFUNCTION("""COMPUTED_VALUE"""),0.0)</f>
        <v>0</v>
      </c>
      <c r="T140" s="3">
        <f>IFERROR(__xludf.DUMMYFUNCTION("""COMPUTED_VALUE"""),0.0)</f>
        <v>0</v>
      </c>
      <c r="U140" s="3">
        <f>IFERROR(__xludf.DUMMYFUNCTION("""COMPUTED_VALUE"""),0.0)</f>
        <v>0</v>
      </c>
      <c r="V140" s="3">
        <f>IFERROR(__xludf.DUMMYFUNCTION("""COMPUTED_VALUE"""),0.0)</f>
        <v>0</v>
      </c>
      <c r="W140" s="3">
        <f>IFERROR(__xludf.DUMMYFUNCTION("""COMPUTED_VALUE"""),0.0)</f>
        <v>0</v>
      </c>
      <c r="X140" s="3">
        <f>IFERROR(__xludf.DUMMYFUNCTION("""COMPUTED_VALUE"""),0.0)</f>
        <v>0</v>
      </c>
      <c r="Y140" s="3">
        <f>IFERROR(__xludf.DUMMYFUNCTION("""COMPUTED_VALUE"""),0.0)</f>
        <v>0</v>
      </c>
      <c r="Z140" s="3">
        <f>IFERROR(__xludf.DUMMYFUNCTION("""COMPUTED_VALUE"""),0.0)</f>
        <v>0</v>
      </c>
      <c r="AA140" s="3">
        <f>IFERROR(__xludf.DUMMYFUNCTION("""COMPUTED_VALUE"""),0.0)</f>
        <v>0</v>
      </c>
      <c r="AB140" s="3">
        <f>IFERROR(__xludf.DUMMYFUNCTION("""COMPUTED_VALUE"""),0.0)</f>
        <v>0</v>
      </c>
      <c r="AC140" s="3">
        <f>IFERROR(__xludf.DUMMYFUNCTION("""COMPUTED_VALUE"""),0.0)</f>
        <v>0</v>
      </c>
      <c r="AD140" s="3">
        <f>IFERROR(__xludf.DUMMYFUNCTION("""COMPUTED_VALUE"""),0.0)</f>
        <v>0</v>
      </c>
      <c r="AE140" s="3">
        <f>IFERROR(__xludf.DUMMYFUNCTION("""COMPUTED_VALUE"""),0.0)</f>
        <v>0</v>
      </c>
      <c r="AF140" s="3">
        <f>IFERROR(__xludf.DUMMYFUNCTION("""COMPUTED_VALUE"""),0.0)</f>
        <v>0</v>
      </c>
      <c r="AG140" s="3">
        <f>IFERROR(__xludf.DUMMYFUNCTION("""COMPUTED_VALUE"""),0.0)</f>
        <v>0</v>
      </c>
      <c r="AH140" s="3">
        <f>IFERROR(__xludf.DUMMYFUNCTION("""COMPUTED_VALUE"""),0.0)</f>
        <v>0</v>
      </c>
      <c r="AI140" s="3">
        <f>IFERROR(__xludf.DUMMYFUNCTION("""COMPUTED_VALUE"""),0.0)</f>
        <v>0</v>
      </c>
      <c r="AJ140" s="3">
        <f>IFERROR(__xludf.DUMMYFUNCTION("""COMPUTED_VALUE"""),0.0)</f>
        <v>0</v>
      </c>
      <c r="AK140" s="3">
        <f>IFERROR(__xludf.DUMMYFUNCTION("""COMPUTED_VALUE"""),0.0)</f>
        <v>0</v>
      </c>
      <c r="AL140" s="3">
        <f>IFERROR(__xludf.DUMMYFUNCTION("""COMPUTED_VALUE"""),0.0)</f>
        <v>0</v>
      </c>
      <c r="AM140" s="3">
        <f>IFERROR(__xludf.DUMMYFUNCTION("""COMPUTED_VALUE"""),0.0)</f>
        <v>0</v>
      </c>
      <c r="AN140" s="3">
        <f>IFERROR(__xludf.DUMMYFUNCTION("""COMPUTED_VALUE"""),0.0)</f>
        <v>0</v>
      </c>
      <c r="AO140" s="3">
        <f>IFERROR(__xludf.DUMMYFUNCTION("""COMPUTED_VALUE"""),0.0)</f>
        <v>0</v>
      </c>
      <c r="AP140" s="3">
        <f>IFERROR(__xludf.DUMMYFUNCTION("""COMPUTED_VALUE"""),0.0)</f>
        <v>0</v>
      </c>
      <c r="AQ140" s="3">
        <f>IFERROR(__xludf.DUMMYFUNCTION("""COMPUTED_VALUE"""),0.0)</f>
        <v>0</v>
      </c>
      <c r="AR140" s="3">
        <f>IFERROR(__xludf.DUMMYFUNCTION("""COMPUTED_VALUE"""),0.0)</f>
        <v>0</v>
      </c>
      <c r="AS140" s="3">
        <f>IFERROR(__xludf.DUMMYFUNCTION("""COMPUTED_VALUE"""),0.0)</f>
        <v>0</v>
      </c>
      <c r="AT140" s="3">
        <f>IFERROR(__xludf.DUMMYFUNCTION("""COMPUTED_VALUE"""),0.0)</f>
        <v>0</v>
      </c>
      <c r="AU140" s="3">
        <f>IFERROR(__xludf.DUMMYFUNCTION("""COMPUTED_VALUE"""),0.0)</f>
        <v>0</v>
      </c>
      <c r="AV140" s="3">
        <f>IFERROR(__xludf.DUMMYFUNCTION("""COMPUTED_VALUE"""),0.0)</f>
        <v>0</v>
      </c>
      <c r="AW140" s="3">
        <f>IFERROR(__xludf.DUMMYFUNCTION("""COMPUTED_VALUE"""),0.0)</f>
        <v>0</v>
      </c>
      <c r="AX140" s="3">
        <f>IFERROR(__xludf.DUMMYFUNCTION("""COMPUTED_VALUE"""),0.0)</f>
        <v>0</v>
      </c>
      <c r="AY140" s="3">
        <f>IFERROR(__xludf.DUMMYFUNCTION("""COMPUTED_VALUE"""),0.0)</f>
        <v>0</v>
      </c>
      <c r="AZ140" s="3">
        <f>IFERROR(__xludf.DUMMYFUNCTION("""COMPUTED_VALUE"""),0.0)</f>
        <v>0</v>
      </c>
      <c r="BA140" s="3">
        <f>IFERROR(__xludf.DUMMYFUNCTION("""COMPUTED_VALUE"""),0.0)</f>
        <v>0</v>
      </c>
      <c r="BB140" s="3">
        <f>IFERROR(__xludf.DUMMYFUNCTION("""COMPUTED_VALUE"""),1.0)</f>
        <v>1</v>
      </c>
      <c r="BC140" s="3">
        <f>IFERROR(__xludf.DUMMYFUNCTION("""COMPUTED_VALUE"""),2.0)</f>
        <v>2</v>
      </c>
      <c r="BD140" s="3">
        <f>IFERROR(__xludf.DUMMYFUNCTION("""COMPUTED_VALUE"""),8.0)</f>
        <v>8</v>
      </c>
      <c r="BE140" s="3">
        <f>IFERROR(__xludf.DUMMYFUNCTION("""COMPUTED_VALUE"""),8.0)</f>
        <v>8</v>
      </c>
      <c r="BF140" s="3">
        <f>IFERROR(__xludf.DUMMYFUNCTION("""COMPUTED_VALUE"""),10.0)</f>
        <v>10</v>
      </c>
      <c r="BG140" s="3">
        <f>IFERROR(__xludf.DUMMYFUNCTION("""COMPUTED_VALUE"""),10.0)</f>
        <v>10</v>
      </c>
      <c r="BH140" s="3">
        <f>IFERROR(__xludf.DUMMYFUNCTION("""COMPUTED_VALUE"""),12.0)</f>
        <v>12</v>
      </c>
      <c r="BI140" s="3">
        <f>IFERROR(__xludf.DUMMYFUNCTION("""COMPUTED_VALUE"""),13.0)</f>
        <v>13</v>
      </c>
      <c r="BJ140" s="3">
        <f>IFERROR(__xludf.DUMMYFUNCTION("""COMPUTED_VALUE"""),15.0)</f>
        <v>15</v>
      </c>
      <c r="BK140" s="3">
        <f>IFERROR(__xludf.DUMMYFUNCTION("""COMPUTED_VALUE"""),16.0)</f>
        <v>16</v>
      </c>
      <c r="BL140" s="3">
        <f>IFERROR(__xludf.DUMMYFUNCTION("""COMPUTED_VALUE"""),16.0)</f>
        <v>16</v>
      </c>
      <c r="BM140" s="3">
        <f>IFERROR(__xludf.DUMMYFUNCTION("""COMPUTED_VALUE"""),19.0)</f>
        <v>19</v>
      </c>
      <c r="BN140" s="3">
        <f>IFERROR(__xludf.DUMMYFUNCTION("""COMPUTED_VALUE"""),19.0)</f>
        <v>19</v>
      </c>
      <c r="BO140" s="3">
        <f>IFERROR(__xludf.DUMMYFUNCTION("""COMPUTED_VALUE"""),21.0)</f>
        <v>21</v>
      </c>
      <c r="BP140" s="3">
        <f>IFERROR(__xludf.DUMMYFUNCTION("""COMPUTED_VALUE"""),26.0)</f>
        <v>26</v>
      </c>
      <c r="BQ140" s="3">
        <f>IFERROR(__xludf.DUMMYFUNCTION("""COMPUTED_VALUE"""),26.0)</f>
        <v>26</v>
      </c>
      <c r="BR140" s="3">
        <f>IFERROR(__xludf.DUMMYFUNCTION("""COMPUTED_VALUE"""),26.0)</f>
        <v>26</v>
      </c>
      <c r="BS140" s="3">
        <f>IFERROR(__xludf.DUMMYFUNCTION("""COMPUTED_VALUE"""),30.0)</f>
        <v>30</v>
      </c>
      <c r="BT140" s="3">
        <f>IFERROR(__xludf.DUMMYFUNCTION("""COMPUTED_VALUE"""),32.0)</f>
        <v>32</v>
      </c>
      <c r="BU140" s="3">
        <f>IFERROR(__xludf.DUMMYFUNCTION("""COMPUTED_VALUE"""),36.0)</f>
        <v>36</v>
      </c>
      <c r="BV140" s="3">
        <f>IFERROR(__xludf.DUMMYFUNCTION("""COMPUTED_VALUE"""),36.0)</f>
        <v>36</v>
      </c>
      <c r="BW140" s="3">
        <f>IFERROR(__xludf.DUMMYFUNCTION("""COMPUTED_VALUE"""),44.0)</f>
        <v>44</v>
      </c>
      <c r="BX140" s="3">
        <f>IFERROR(__xludf.DUMMYFUNCTION("""COMPUTED_VALUE"""),47.0)</f>
        <v>47</v>
      </c>
      <c r="BY140" s="3">
        <f>IFERROR(__xludf.DUMMYFUNCTION("""COMPUTED_VALUE"""),47.0)</f>
        <v>47</v>
      </c>
      <c r="BZ140" s="3">
        <f>IFERROR(__xludf.DUMMYFUNCTION("""COMPUTED_VALUE"""),53.0)</f>
        <v>53</v>
      </c>
      <c r="CA140" s="3">
        <f>IFERROR(__xludf.DUMMYFUNCTION("""COMPUTED_VALUE"""),58.0)</f>
        <v>58</v>
      </c>
      <c r="CB140" s="3">
        <f>IFERROR(__xludf.DUMMYFUNCTION("""COMPUTED_VALUE"""),58.0)</f>
        <v>58</v>
      </c>
    </row>
    <row r="141">
      <c r="A141" s="3" t="str">
        <f>IFERROR(__xludf.DUMMYFUNCTION("""COMPUTED_VALUE"""),"")</f>
        <v/>
      </c>
      <c r="B141" s="3" t="str">
        <f>IFERROR(__xludf.DUMMYFUNCTION("""COMPUTED_VALUE"""),"Japan")</f>
        <v>Japan</v>
      </c>
      <c r="C141" s="3">
        <f>IFERROR(__xludf.DUMMYFUNCTION("""COMPUTED_VALUE"""),36.0)</f>
        <v>36</v>
      </c>
      <c r="D141" s="3">
        <f>IFERROR(__xludf.DUMMYFUNCTION("""COMPUTED_VALUE"""),138.0)</f>
        <v>138</v>
      </c>
      <c r="E141" s="3">
        <f>IFERROR(__xludf.DUMMYFUNCTION("""COMPUTED_VALUE"""),2.0)</f>
        <v>2</v>
      </c>
      <c r="F141" s="3">
        <f>IFERROR(__xludf.DUMMYFUNCTION("""COMPUTED_VALUE"""),2.0)</f>
        <v>2</v>
      </c>
      <c r="G141" s="3">
        <f>IFERROR(__xludf.DUMMYFUNCTION("""COMPUTED_VALUE"""),2.0)</f>
        <v>2</v>
      </c>
      <c r="H141" s="3">
        <f>IFERROR(__xludf.DUMMYFUNCTION("""COMPUTED_VALUE"""),2.0)</f>
        <v>2</v>
      </c>
      <c r="I141" s="3">
        <f>IFERROR(__xludf.DUMMYFUNCTION("""COMPUTED_VALUE"""),4.0)</f>
        <v>4</v>
      </c>
      <c r="J141" s="3">
        <f>IFERROR(__xludf.DUMMYFUNCTION("""COMPUTED_VALUE"""),4.0)</f>
        <v>4</v>
      </c>
      <c r="K141" s="3">
        <f>IFERROR(__xludf.DUMMYFUNCTION("""COMPUTED_VALUE"""),7.0)</f>
        <v>7</v>
      </c>
      <c r="L141" s="3">
        <f>IFERROR(__xludf.DUMMYFUNCTION("""COMPUTED_VALUE"""),7.0)</f>
        <v>7</v>
      </c>
      <c r="M141" s="3">
        <f>IFERROR(__xludf.DUMMYFUNCTION("""COMPUTED_VALUE"""),11.0)</f>
        <v>11</v>
      </c>
      <c r="N141" s="3">
        <f>IFERROR(__xludf.DUMMYFUNCTION("""COMPUTED_VALUE"""),15.0)</f>
        <v>15</v>
      </c>
      <c r="O141" s="3">
        <f>IFERROR(__xludf.DUMMYFUNCTION("""COMPUTED_VALUE"""),20.0)</f>
        <v>20</v>
      </c>
      <c r="P141" s="3">
        <f>IFERROR(__xludf.DUMMYFUNCTION("""COMPUTED_VALUE"""),20.0)</f>
        <v>20</v>
      </c>
      <c r="Q141" s="3">
        <f>IFERROR(__xludf.DUMMYFUNCTION("""COMPUTED_VALUE"""),20.0)</f>
        <v>20</v>
      </c>
      <c r="R141" s="3">
        <f>IFERROR(__xludf.DUMMYFUNCTION("""COMPUTED_VALUE"""),22.0)</f>
        <v>22</v>
      </c>
      <c r="S141" s="3">
        <f>IFERROR(__xludf.DUMMYFUNCTION("""COMPUTED_VALUE"""),22.0)</f>
        <v>22</v>
      </c>
      <c r="T141" s="3">
        <f>IFERROR(__xludf.DUMMYFUNCTION("""COMPUTED_VALUE"""),22.0)</f>
        <v>22</v>
      </c>
      <c r="U141" s="3">
        <f>IFERROR(__xludf.DUMMYFUNCTION("""COMPUTED_VALUE"""),25.0)</f>
        <v>25</v>
      </c>
      <c r="V141" s="3">
        <f>IFERROR(__xludf.DUMMYFUNCTION("""COMPUTED_VALUE"""),25.0)</f>
        <v>25</v>
      </c>
      <c r="W141" s="3">
        <f>IFERROR(__xludf.DUMMYFUNCTION("""COMPUTED_VALUE"""),26.0)</f>
        <v>26</v>
      </c>
      <c r="X141" s="3">
        <f>IFERROR(__xludf.DUMMYFUNCTION("""COMPUTED_VALUE"""),26.0)</f>
        <v>26</v>
      </c>
      <c r="Y141" s="3">
        <f>IFERROR(__xludf.DUMMYFUNCTION("""COMPUTED_VALUE"""),26.0)</f>
        <v>26</v>
      </c>
      <c r="Z141" s="3">
        <f>IFERROR(__xludf.DUMMYFUNCTION("""COMPUTED_VALUE"""),28.0)</f>
        <v>28</v>
      </c>
      <c r="AA141" s="3">
        <f>IFERROR(__xludf.DUMMYFUNCTION("""COMPUTED_VALUE"""),28.0)</f>
        <v>28</v>
      </c>
      <c r="AB141" s="3">
        <f>IFERROR(__xludf.DUMMYFUNCTION("""COMPUTED_VALUE"""),29.0)</f>
        <v>29</v>
      </c>
      <c r="AC141" s="3">
        <f>IFERROR(__xludf.DUMMYFUNCTION("""COMPUTED_VALUE"""),43.0)</f>
        <v>43</v>
      </c>
      <c r="AD141" s="3">
        <f>IFERROR(__xludf.DUMMYFUNCTION("""COMPUTED_VALUE"""),59.0)</f>
        <v>59</v>
      </c>
      <c r="AE141" s="3">
        <f>IFERROR(__xludf.DUMMYFUNCTION("""COMPUTED_VALUE"""),66.0)</f>
        <v>66</v>
      </c>
      <c r="AF141" s="3">
        <f>IFERROR(__xludf.DUMMYFUNCTION("""COMPUTED_VALUE"""),74.0)</f>
        <v>74</v>
      </c>
      <c r="AG141" s="3">
        <f>IFERROR(__xludf.DUMMYFUNCTION("""COMPUTED_VALUE"""),84.0)</f>
        <v>84</v>
      </c>
      <c r="AH141" s="3">
        <f>IFERROR(__xludf.DUMMYFUNCTION("""COMPUTED_VALUE"""),94.0)</f>
        <v>94</v>
      </c>
      <c r="AI141" s="3">
        <f>IFERROR(__xludf.DUMMYFUNCTION("""COMPUTED_VALUE"""),105.0)</f>
        <v>105</v>
      </c>
      <c r="AJ141" s="3">
        <f>IFERROR(__xludf.DUMMYFUNCTION("""COMPUTED_VALUE"""),122.0)</f>
        <v>122</v>
      </c>
      <c r="AK141" s="3">
        <f>IFERROR(__xludf.DUMMYFUNCTION("""COMPUTED_VALUE"""),147.0)</f>
        <v>147</v>
      </c>
      <c r="AL141" s="3">
        <f>IFERROR(__xludf.DUMMYFUNCTION("""COMPUTED_VALUE"""),159.0)</f>
        <v>159</v>
      </c>
      <c r="AM141" s="3">
        <f>IFERROR(__xludf.DUMMYFUNCTION("""COMPUTED_VALUE"""),170.0)</f>
        <v>170</v>
      </c>
      <c r="AN141" s="3">
        <f>IFERROR(__xludf.DUMMYFUNCTION("""COMPUTED_VALUE"""),189.0)</f>
        <v>189</v>
      </c>
      <c r="AO141" s="3">
        <f>IFERROR(__xludf.DUMMYFUNCTION("""COMPUTED_VALUE"""),214.0)</f>
        <v>214</v>
      </c>
      <c r="AP141" s="3">
        <f>IFERROR(__xludf.DUMMYFUNCTION("""COMPUTED_VALUE"""),228.0)</f>
        <v>228</v>
      </c>
      <c r="AQ141" s="3">
        <f>IFERROR(__xludf.DUMMYFUNCTION("""COMPUTED_VALUE"""),241.0)</f>
        <v>241</v>
      </c>
      <c r="AR141" s="3">
        <f>IFERROR(__xludf.DUMMYFUNCTION("""COMPUTED_VALUE"""),256.0)</f>
        <v>256</v>
      </c>
      <c r="AS141" s="3">
        <f>IFERROR(__xludf.DUMMYFUNCTION("""COMPUTED_VALUE"""),274.0)</f>
        <v>274</v>
      </c>
      <c r="AT141" s="3">
        <f>IFERROR(__xludf.DUMMYFUNCTION("""COMPUTED_VALUE"""),293.0)</f>
        <v>293</v>
      </c>
      <c r="AU141" s="3">
        <f>IFERROR(__xludf.DUMMYFUNCTION("""COMPUTED_VALUE"""),331.0)</f>
        <v>331</v>
      </c>
      <c r="AV141" s="3">
        <f>IFERROR(__xludf.DUMMYFUNCTION("""COMPUTED_VALUE"""),360.0)</f>
        <v>360</v>
      </c>
      <c r="AW141" s="3">
        <f>IFERROR(__xludf.DUMMYFUNCTION("""COMPUTED_VALUE"""),420.0)</f>
        <v>420</v>
      </c>
      <c r="AX141" s="3">
        <f>IFERROR(__xludf.DUMMYFUNCTION("""COMPUTED_VALUE"""),461.0)</f>
        <v>461</v>
      </c>
      <c r="AY141" s="3">
        <f>IFERROR(__xludf.DUMMYFUNCTION("""COMPUTED_VALUE"""),502.0)</f>
        <v>502</v>
      </c>
      <c r="AZ141" s="3">
        <f>IFERROR(__xludf.DUMMYFUNCTION("""COMPUTED_VALUE"""),511.0)</f>
        <v>511</v>
      </c>
      <c r="BA141" s="3">
        <f>IFERROR(__xludf.DUMMYFUNCTION("""COMPUTED_VALUE"""),581.0)</f>
        <v>581</v>
      </c>
      <c r="BB141" s="3">
        <f>IFERROR(__xludf.DUMMYFUNCTION("""COMPUTED_VALUE"""),639.0)</f>
        <v>639</v>
      </c>
      <c r="BC141" s="3">
        <f>IFERROR(__xludf.DUMMYFUNCTION("""COMPUTED_VALUE"""),639.0)</f>
        <v>639</v>
      </c>
      <c r="BD141" s="3">
        <f>IFERROR(__xludf.DUMMYFUNCTION("""COMPUTED_VALUE"""),701.0)</f>
        <v>701</v>
      </c>
      <c r="BE141" s="3">
        <f>IFERROR(__xludf.DUMMYFUNCTION("""COMPUTED_VALUE"""),773.0)</f>
        <v>773</v>
      </c>
      <c r="BF141" s="3">
        <f>IFERROR(__xludf.DUMMYFUNCTION("""COMPUTED_VALUE"""),839.0)</f>
        <v>839</v>
      </c>
      <c r="BG141" s="3">
        <f>IFERROR(__xludf.DUMMYFUNCTION("""COMPUTED_VALUE"""),839.0)</f>
        <v>839</v>
      </c>
      <c r="BH141" s="3">
        <f>IFERROR(__xludf.DUMMYFUNCTION("""COMPUTED_VALUE"""),878.0)</f>
        <v>878</v>
      </c>
      <c r="BI141" s="3">
        <f>IFERROR(__xludf.DUMMYFUNCTION("""COMPUTED_VALUE"""),889.0)</f>
        <v>889</v>
      </c>
      <c r="BJ141" s="3">
        <f>IFERROR(__xludf.DUMMYFUNCTION("""COMPUTED_VALUE"""),924.0)</f>
        <v>924</v>
      </c>
      <c r="BK141" s="3">
        <f>IFERROR(__xludf.DUMMYFUNCTION("""COMPUTED_VALUE"""),963.0)</f>
        <v>963</v>
      </c>
      <c r="BL141" s="3">
        <f>IFERROR(__xludf.DUMMYFUNCTION("""COMPUTED_VALUE"""),1007.0)</f>
        <v>1007</v>
      </c>
      <c r="BM141" s="3">
        <f>IFERROR(__xludf.DUMMYFUNCTION("""COMPUTED_VALUE"""),1101.0)</f>
        <v>1101</v>
      </c>
      <c r="BN141" s="3">
        <f>IFERROR(__xludf.DUMMYFUNCTION("""COMPUTED_VALUE"""),1128.0)</f>
        <v>1128</v>
      </c>
      <c r="BO141" s="3">
        <f>IFERROR(__xludf.DUMMYFUNCTION("""COMPUTED_VALUE"""),1193.0)</f>
        <v>1193</v>
      </c>
      <c r="BP141" s="3">
        <f>IFERROR(__xludf.DUMMYFUNCTION("""COMPUTED_VALUE"""),1307.0)</f>
        <v>1307</v>
      </c>
      <c r="BQ141" s="3">
        <f>IFERROR(__xludf.DUMMYFUNCTION("""COMPUTED_VALUE"""),1387.0)</f>
        <v>1387</v>
      </c>
      <c r="BR141" s="3">
        <f>IFERROR(__xludf.DUMMYFUNCTION("""COMPUTED_VALUE"""),1468.0)</f>
        <v>1468</v>
      </c>
      <c r="BS141" s="3">
        <f>IFERROR(__xludf.DUMMYFUNCTION("""COMPUTED_VALUE"""),1693.0)</f>
        <v>1693</v>
      </c>
      <c r="BT141" s="3">
        <f>IFERROR(__xludf.DUMMYFUNCTION("""COMPUTED_VALUE"""),1866.0)</f>
        <v>1866</v>
      </c>
      <c r="BU141" s="3">
        <f>IFERROR(__xludf.DUMMYFUNCTION("""COMPUTED_VALUE"""),1866.0)</f>
        <v>1866</v>
      </c>
      <c r="BV141" s="3">
        <f>IFERROR(__xludf.DUMMYFUNCTION("""COMPUTED_VALUE"""),1953.0)</f>
        <v>1953</v>
      </c>
      <c r="BW141" s="3">
        <f>IFERROR(__xludf.DUMMYFUNCTION("""COMPUTED_VALUE"""),2178.0)</f>
        <v>2178</v>
      </c>
      <c r="BX141" s="3">
        <f>IFERROR(__xludf.DUMMYFUNCTION("""COMPUTED_VALUE"""),2495.0)</f>
        <v>2495</v>
      </c>
      <c r="BY141" s="3">
        <f>IFERROR(__xludf.DUMMYFUNCTION("""COMPUTED_VALUE"""),2617.0)</f>
        <v>2617</v>
      </c>
      <c r="BZ141" s="3">
        <f>IFERROR(__xludf.DUMMYFUNCTION("""COMPUTED_VALUE"""),3139.0)</f>
        <v>3139</v>
      </c>
      <c r="CA141" s="3">
        <f>IFERROR(__xludf.DUMMYFUNCTION("""COMPUTED_VALUE"""),3139.0)</f>
        <v>3139</v>
      </c>
      <c r="CB141" s="3">
        <f>IFERROR(__xludf.DUMMYFUNCTION("""COMPUTED_VALUE"""),3654.0)</f>
        <v>3654</v>
      </c>
    </row>
    <row r="142">
      <c r="A142" s="3" t="str">
        <f>IFERROR(__xludf.DUMMYFUNCTION("""COMPUTED_VALUE"""),"")</f>
        <v/>
      </c>
      <c r="B142" s="3" t="str">
        <f>IFERROR(__xludf.DUMMYFUNCTION("""COMPUTED_VALUE"""),"Jordan")</f>
        <v>Jordan</v>
      </c>
      <c r="C142" s="3">
        <f>IFERROR(__xludf.DUMMYFUNCTION("""COMPUTED_VALUE"""),31.24)</f>
        <v>31.24</v>
      </c>
      <c r="D142" s="3">
        <f>IFERROR(__xludf.DUMMYFUNCTION("""COMPUTED_VALUE"""),36.51)</f>
        <v>36.51</v>
      </c>
      <c r="E142" s="3">
        <f>IFERROR(__xludf.DUMMYFUNCTION("""COMPUTED_VALUE"""),0.0)</f>
        <v>0</v>
      </c>
      <c r="F142" s="3">
        <f>IFERROR(__xludf.DUMMYFUNCTION("""COMPUTED_VALUE"""),0.0)</f>
        <v>0</v>
      </c>
      <c r="G142" s="3">
        <f>IFERROR(__xludf.DUMMYFUNCTION("""COMPUTED_VALUE"""),0.0)</f>
        <v>0</v>
      </c>
      <c r="H142" s="3">
        <f>IFERROR(__xludf.DUMMYFUNCTION("""COMPUTED_VALUE"""),0.0)</f>
        <v>0</v>
      </c>
      <c r="I142" s="3">
        <f>IFERROR(__xludf.DUMMYFUNCTION("""COMPUTED_VALUE"""),0.0)</f>
        <v>0</v>
      </c>
      <c r="J142" s="3">
        <f>IFERROR(__xludf.DUMMYFUNCTION("""COMPUTED_VALUE"""),0.0)</f>
        <v>0</v>
      </c>
      <c r="K142" s="3">
        <f>IFERROR(__xludf.DUMMYFUNCTION("""COMPUTED_VALUE"""),0.0)</f>
        <v>0</v>
      </c>
      <c r="L142" s="3">
        <f>IFERROR(__xludf.DUMMYFUNCTION("""COMPUTED_VALUE"""),0.0)</f>
        <v>0</v>
      </c>
      <c r="M142" s="3">
        <f>IFERROR(__xludf.DUMMYFUNCTION("""COMPUTED_VALUE"""),0.0)</f>
        <v>0</v>
      </c>
      <c r="N142" s="3">
        <f>IFERROR(__xludf.DUMMYFUNCTION("""COMPUTED_VALUE"""),0.0)</f>
        <v>0</v>
      </c>
      <c r="O142" s="3">
        <f>IFERROR(__xludf.DUMMYFUNCTION("""COMPUTED_VALUE"""),0.0)</f>
        <v>0</v>
      </c>
      <c r="P142" s="3">
        <f>IFERROR(__xludf.DUMMYFUNCTION("""COMPUTED_VALUE"""),0.0)</f>
        <v>0</v>
      </c>
      <c r="Q142" s="3">
        <f>IFERROR(__xludf.DUMMYFUNCTION("""COMPUTED_VALUE"""),0.0)</f>
        <v>0</v>
      </c>
      <c r="R142" s="3">
        <f>IFERROR(__xludf.DUMMYFUNCTION("""COMPUTED_VALUE"""),0.0)</f>
        <v>0</v>
      </c>
      <c r="S142" s="3">
        <f>IFERROR(__xludf.DUMMYFUNCTION("""COMPUTED_VALUE"""),0.0)</f>
        <v>0</v>
      </c>
      <c r="T142" s="3">
        <f>IFERROR(__xludf.DUMMYFUNCTION("""COMPUTED_VALUE"""),0.0)</f>
        <v>0</v>
      </c>
      <c r="U142" s="3">
        <f>IFERROR(__xludf.DUMMYFUNCTION("""COMPUTED_VALUE"""),0.0)</f>
        <v>0</v>
      </c>
      <c r="V142" s="3">
        <f>IFERROR(__xludf.DUMMYFUNCTION("""COMPUTED_VALUE"""),0.0)</f>
        <v>0</v>
      </c>
      <c r="W142" s="3">
        <f>IFERROR(__xludf.DUMMYFUNCTION("""COMPUTED_VALUE"""),0.0)</f>
        <v>0</v>
      </c>
      <c r="X142" s="3">
        <f>IFERROR(__xludf.DUMMYFUNCTION("""COMPUTED_VALUE"""),0.0)</f>
        <v>0</v>
      </c>
      <c r="Y142" s="3">
        <f>IFERROR(__xludf.DUMMYFUNCTION("""COMPUTED_VALUE"""),0.0)</f>
        <v>0</v>
      </c>
      <c r="Z142" s="3">
        <f>IFERROR(__xludf.DUMMYFUNCTION("""COMPUTED_VALUE"""),0.0)</f>
        <v>0</v>
      </c>
      <c r="AA142" s="3">
        <f>IFERROR(__xludf.DUMMYFUNCTION("""COMPUTED_VALUE"""),0.0)</f>
        <v>0</v>
      </c>
      <c r="AB142" s="3">
        <f>IFERROR(__xludf.DUMMYFUNCTION("""COMPUTED_VALUE"""),0.0)</f>
        <v>0</v>
      </c>
      <c r="AC142" s="3">
        <f>IFERROR(__xludf.DUMMYFUNCTION("""COMPUTED_VALUE"""),0.0)</f>
        <v>0</v>
      </c>
      <c r="AD142" s="3">
        <f>IFERROR(__xludf.DUMMYFUNCTION("""COMPUTED_VALUE"""),0.0)</f>
        <v>0</v>
      </c>
      <c r="AE142" s="3">
        <f>IFERROR(__xludf.DUMMYFUNCTION("""COMPUTED_VALUE"""),0.0)</f>
        <v>0</v>
      </c>
      <c r="AF142" s="3">
        <f>IFERROR(__xludf.DUMMYFUNCTION("""COMPUTED_VALUE"""),0.0)</f>
        <v>0</v>
      </c>
      <c r="AG142" s="3">
        <f>IFERROR(__xludf.DUMMYFUNCTION("""COMPUTED_VALUE"""),0.0)</f>
        <v>0</v>
      </c>
      <c r="AH142" s="3">
        <f>IFERROR(__xludf.DUMMYFUNCTION("""COMPUTED_VALUE"""),0.0)</f>
        <v>0</v>
      </c>
      <c r="AI142" s="3">
        <f>IFERROR(__xludf.DUMMYFUNCTION("""COMPUTED_VALUE"""),0.0)</f>
        <v>0</v>
      </c>
      <c r="AJ142" s="3">
        <f>IFERROR(__xludf.DUMMYFUNCTION("""COMPUTED_VALUE"""),0.0)</f>
        <v>0</v>
      </c>
      <c r="AK142" s="3">
        <f>IFERROR(__xludf.DUMMYFUNCTION("""COMPUTED_VALUE"""),0.0)</f>
        <v>0</v>
      </c>
      <c r="AL142" s="3">
        <f>IFERROR(__xludf.DUMMYFUNCTION("""COMPUTED_VALUE"""),0.0)</f>
        <v>0</v>
      </c>
      <c r="AM142" s="3">
        <f>IFERROR(__xludf.DUMMYFUNCTION("""COMPUTED_VALUE"""),0.0)</f>
        <v>0</v>
      </c>
      <c r="AN142" s="3">
        <f>IFERROR(__xludf.DUMMYFUNCTION("""COMPUTED_VALUE"""),0.0)</f>
        <v>0</v>
      </c>
      <c r="AO142" s="3">
        <f>IFERROR(__xludf.DUMMYFUNCTION("""COMPUTED_VALUE"""),0.0)</f>
        <v>0</v>
      </c>
      <c r="AP142" s="3">
        <f>IFERROR(__xludf.DUMMYFUNCTION("""COMPUTED_VALUE"""),0.0)</f>
        <v>0</v>
      </c>
      <c r="AQ142" s="3">
        <f>IFERROR(__xludf.DUMMYFUNCTION("""COMPUTED_VALUE"""),0.0)</f>
        <v>0</v>
      </c>
      <c r="AR142" s="3">
        <f>IFERROR(__xludf.DUMMYFUNCTION("""COMPUTED_VALUE"""),0.0)</f>
        <v>0</v>
      </c>
      <c r="AS142" s="3">
        <f>IFERROR(__xludf.DUMMYFUNCTION("""COMPUTED_VALUE"""),0.0)</f>
        <v>0</v>
      </c>
      <c r="AT142" s="3">
        <f>IFERROR(__xludf.DUMMYFUNCTION("""COMPUTED_VALUE"""),1.0)</f>
        <v>1</v>
      </c>
      <c r="AU142" s="3">
        <f>IFERROR(__xludf.DUMMYFUNCTION("""COMPUTED_VALUE"""),1.0)</f>
        <v>1</v>
      </c>
      <c r="AV142" s="3">
        <f>IFERROR(__xludf.DUMMYFUNCTION("""COMPUTED_VALUE"""),1.0)</f>
        <v>1</v>
      </c>
      <c r="AW142" s="3">
        <f>IFERROR(__xludf.DUMMYFUNCTION("""COMPUTED_VALUE"""),1.0)</f>
        <v>1</v>
      </c>
      <c r="AX142" s="3">
        <f>IFERROR(__xludf.DUMMYFUNCTION("""COMPUTED_VALUE"""),1.0)</f>
        <v>1</v>
      </c>
      <c r="AY142" s="3">
        <f>IFERROR(__xludf.DUMMYFUNCTION("""COMPUTED_VALUE"""),1.0)</f>
        <v>1</v>
      </c>
      <c r="AZ142" s="3">
        <f>IFERROR(__xludf.DUMMYFUNCTION("""COMPUTED_VALUE"""),1.0)</f>
        <v>1</v>
      </c>
      <c r="BA142" s="3">
        <f>IFERROR(__xludf.DUMMYFUNCTION("""COMPUTED_VALUE"""),1.0)</f>
        <v>1</v>
      </c>
      <c r="BB142" s="3">
        <f>IFERROR(__xludf.DUMMYFUNCTION("""COMPUTED_VALUE"""),1.0)</f>
        <v>1</v>
      </c>
      <c r="BC142" s="3">
        <f>IFERROR(__xludf.DUMMYFUNCTION("""COMPUTED_VALUE"""),1.0)</f>
        <v>1</v>
      </c>
      <c r="BD142" s="3">
        <f>IFERROR(__xludf.DUMMYFUNCTION("""COMPUTED_VALUE"""),1.0)</f>
        <v>1</v>
      </c>
      <c r="BE142" s="3">
        <f>IFERROR(__xludf.DUMMYFUNCTION("""COMPUTED_VALUE"""),1.0)</f>
        <v>1</v>
      </c>
      <c r="BF142" s="3">
        <f>IFERROR(__xludf.DUMMYFUNCTION("""COMPUTED_VALUE"""),8.0)</f>
        <v>8</v>
      </c>
      <c r="BG142" s="3">
        <f>IFERROR(__xludf.DUMMYFUNCTION("""COMPUTED_VALUE"""),17.0)</f>
        <v>17</v>
      </c>
      <c r="BH142" s="3">
        <f>IFERROR(__xludf.DUMMYFUNCTION("""COMPUTED_VALUE"""),34.0)</f>
        <v>34</v>
      </c>
      <c r="BI142" s="3">
        <f>IFERROR(__xludf.DUMMYFUNCTION("""COMPUTED_VALUE"""),52.0)</f>
        <v>52</v>
      </c>
      <c r="BJ142" s="3">
        <f>IFERROR(__xludf.DUMMYFUNCTION("""COMPUTED_VALUE"""),69.0)</f>
        <v>69</v>
      </c>
      <c r="BK142" s="3">
        <f>IFERROR(__xludf.DUMMYFUNCTION("""COMPUTED_VALUE"""),85.0)</f>
        <v>85</v>
      </c>
      <c r="BL142" s="3">
        <f>IFERROR(__xludf.DUMMYFUNCTION("""COMPUTED_VALUE"""),85.0)</f>
        <v>85</v>
      </c>
      <c r="BM142" s="3">
        <f>IFERROR(__xludf.DUMMYFUNCTION("""COMPUTED_VALUE"""),112.0)</f>
        <v>112</v>
      </c>
      <c r="BN142" s="3">
        <f>IFERROR(__xludf.DUMMYFUNCTION("""COMPUTED_VALUE"""),127.0)</f>
        <v>127</v>
      </c>
      <c r="BO142" s="3">
        <f>IFERROR(__xludf.DUMMYFUNCTION("""COMPUTED_VALUE"""),154.0)</f>
        <v>154</v>
      </c>
      <c r="BP142" s="3">
        <f>IFERROR(__xludf.DUMMYFUNCTION("""COMPUTED_VALUE"""),172.0)</f>
        <v>172</v>
      </c>
      <c r="BQ142" s="3">
        <f>IFERROR(__xludf.DUMMYFUNCTION("""COMPUTED_VALUE"""),212.0)</f>
        <v>212</v>
      </c>
      <c r="BR142" s="3">
        <f>IFERROR(__xludf.DUMMYFUNCTION("""COMPUTED_VALUE"""),235.0)</f>
        <v>235</v>
      </c>
      <c r="BS142" s="3">
        <f>IFERROR(__xludf.DUMMYFUNCTION("""COMPUTED_VALUE"""),246.0)</f>
        <v>246</v>
      </c>
      <c r="BT142" s="3">
        <f>IFERROR(__xludf.DUMMYFUNCTION("""COMPUTED_VALUE"""),259.0)</f>
        <v>259</v>
      </c>
      <c r="BU142" s="3">
        <f>IFERROR(__xludf.DUMMYFUNCTION("""COMPUTED_VALUE"""),268.0)</f>
        <v>268</v>
      </c>
      <c r="BV142" s="3">
        <f>IFERROR(__xludf.DUMMYFUNCTION("""COMPUTED_VALUE"""),274.0)</f>
        <v>274</v>
      </c>
      <c r="BW142" s="3">
        <f>IFERROR(__xludf.DUMMYFUNCTION("""COMPUTED_VALUE"""),278.0)</f>
        <v>278</v>
      </c>
      <c r="BX142" s="3">
        <f>IFERROR(__xludf.DUMMYFUNCTION("""COMPUTED_VALUE"""),299.0)</f>
        <v>299</v>
      </c>
      <c r="BY142" s="3">
        <f>IFERROR(__xludf.DUMMYFUNCTION("""COMPUTED_VALUE"""),310.0)</f>
        <v>310</v>
      </c>
      <c r="BZ142" s="3">
        <f>IFERROR(__xludf.DUMMYFUNCTION("""COMPUTED_VALUE"""),323.0)</f>
        <v>323</v>
      </c>
      <c r="CA142" s="3">
        <f>IFERROR(__xludf.DUMMYFUNCTION("""COMPUTED_VALUE"""),345.0)</f>
        <v>345</v>
      </c>
      <c r="CB142" s="3">
        <f>IFERROR(__xludf.DUMMYFUNCTION("""COMPUTED_VALUE"""),349.0)</f>
        <v>349</v>
      </c>
    </row>
    <row r="143">
      <c r="A143" s="3" t="str">
        <f>IFERROR(__xludf.DUMMYFUNCTION("""COMPUTED_VALUE"""),"")</f>
        <v/>
      </c>
      <c r="B143" s="3" t="str">
        <f>IFERROR(__xludf.DUMMYFUNCTION("""COMPUTED_VALUE"""),"Kazakhstan")</f>
        <v>Kazakhstan</v>
      </c>
      <c r="C143" s="3">
        <f>IFERROR(__xludf.DUMMYFUNCTION("""COMPUTED_VALUE"""),48.0196)</f>
        <v>48.0196</v>
      </c>
      <c r="D143" s="3">
        <f>IFERROR(__xludf.DUMMYFUNCTION("""COMPUTED_VALUE"""),66.9237)</f>
        <v>66.9237</v>
      </c>
      <c r="E143" s="3">
        <f>IFERROR(__xludf.DUMMYFUNCTION("""COMPUTED_VALUE"""),0.0)</f>
        <v>0</v>
      </c>
      <c r="F143" s="3">
        <f>IFERROR(__xludf.DUMMYFUNCTION("""COMPUTED_VALUE"""),0.0)</f>
        <v>0</v>
      </c>
      <c r="G143" s="3">
        <f>IFERROR(__xludf.DUMMYFUNCTION("""COMPUTED_VALUE"""),0.0)</f>
        <v>0</v>
      </c>
      <c r="H143" s="3">
        <f>IFERROR(__xludf.DUMMYFUNCTION("""COMPUTED_VALUE"""),0.0)</f>
        <v>0</v>
      </c>
      <c r="I143" s="3">
        <f>IFERROR(__xludf.DUMMYFUNCTION("""COMPUTED_VALUE"""),0.0)</f>
        <v>0</v>
      </c>
      <c r="J143" s="3">
        <f>IFERROR(__xludf.DUMMYFUNCTION("""COMPUTED_VALUE"""),0.0)</f>
        <v>0</v>
      </c>
      <c r="K143" s="3">
        <f>IFERROR(__xludf.DUMMYFUNCTION("""COMPUTED_VALUE"""),0.0)</f>
        <v>0</v>
      </c>
      <c r="L143" s="3">
        <f>IFERROR(__xludf.DUMMYFUNCTION("""COMPUTED_VALUE"""),0.0)</f>
        <v>0</v>
      </c>
      <c r="M143" s="3">
        <f>IFERROR(__xludf.DUMMYFUNCTION("""COMPUTED_VALUE"""),0.0)</f>
        <v>0</v>
      </c>
      <c r="N143" s="3">
        <f>IFERROR(__xludf.DUMMYFUNCTION("""COMPUTED_VALUE"""),0.0)</f>
        <v>0</v>
      </c>
      <c r="O143" s="3">
        <f>IFERROR(__xludf.DUMMYFUNCTION("""COMPUTED_VALUE"""),0.0)</f>
        <v>0</v>
      </c>
      <c r="P143" s="3">
        <f>IFERROR(__xludf.DUMMYFUNCTION("""COMPUTED_VALUE"""),0.0)</f>
        <v>0</v>
      </c>
      <c r="Q143" s="3">
        <f>IFERROR(__xludf.DUMMYFUNCTION("""COMPUTED_VALUE"""),0.0)</f>
        <v>0</v>
      </c>
      <c r="R143" s="3">
        <f>IFERROR(__xludf.DUMMYFUNCTION("""COMPUTED_VALUE"""),0.0)</f>
        <v>0</v>
      </c>
      <c r="S143" s="3">
        <f>IFERROR(__xludf.DUMMYFUNCTION("""COMPUTED_VALUE"""),0.0)</f>
        <v>0</v>
      </c>
      <c r="T143" s="3">
        <f>IFERROR(__xludf.DUMMYFUNCTION("""COMPUTED_VALUE"""),0.0)</f>
        <v>0</v>
      </c>
      <c r="U143" s="3">
        <f>IFERROR(__xludf.DUMMYFUNCTION("""COMPUTED_VALUE"""),0.0)</f>
        <v>0</v>
      </c>
      <c r="V143" s="3">
        <f>IFERROR(__xludf.DUMMYFUNCTION("""COMPUTED_VALUE"""),0.0)</f>
        <v>0</v>
      </c>
      <c r="W143" s="3">
        <f>IFERROR(__xludf.DUMMYFUNCTION("""COMPUTED_VALUE"""),0.0)</f>
        <v>0</v>
      </c>
      <c r="X143" s="3">
        <f>IFERROR(__xludf.DUMMYFUNCTION("""COMPUTED_VALUE"""),0.0)</f>
        <v>0</v>
      </c>
      <c r="Y143" s="3">
        <f>IFERROR(__xludf.DUMMYFUNCTION("""COMPUTED_VALUE"""),0.0)</f>
        <v>0</v>
      </c>
      <c r="Z143" s="3">
        <f>IFERROR(__xludf.DUMMYFUNCTION("""COMPUTED_VALUE"""),0.0)</f>
        <v>0</v>
      </c>
      <c r="AA143" s="3">
        <f>IFERROR(__xludf.DUMMYFUNCTION("""COMPUTED_VALUE"""),0.0)</f>
        <v>0</v>
      </c>
      <c r="AB143" s="3">
        <f>IFERROR(__xludf.DUMMYFUNCTION("""COMPUTED_VALUE"""),0.0)</f>
        <v>0</v>
      </c>
      <c r="AC143" s="3">
        <f>IFERROR(__xludf.DUMMYFUNCTION("""COMPUTED_VALUE"""),0.0)</f>
        <v>0</v>
      </c>
      <c r="AD143" s="3">
        <f>IFERROR(__xludf.DUMMYFUNCTION("""COMPUTED_VALUE"""),0.0)</f>
        <v>0</v>
      </c>
      <c r="AE143" s="3">
        <f>IFERROR(__xludf.DUMMYFUNCTION("""COMPUTED_VALUE"""),0.0)</f>
        <v>0</v>
      </c>
      <c r="AF143" s="3">
        <f>IFERROR(__xludf.DUMMYFUNCTION("""COMPUTED_VALUE"""),0.0)</f>
        <v>0</v>
      </c>
      <c r="AG143" s="3">
        <f>IFERROR(__xludf.DUMMYFUNCTION("""COMPUTED_VALUE"""),0.0)</f>
        <v>0</v>
      </c>
      <c r="AH143" s="3">
        <f>IFERROR(__xludf.DUMMYFUNCTION("""COMPUTED_VALUE"""),0.0)</f>
        <v>0</v>
      </c>
      <c r="AI143" s="3">
        <f>IFERROR(__xludf.DUMMYFUNCTION("""COMPUTED_VALUE"""),0.0)</f>
        <v>0</v>
      </c>
      <c r="AJ143" s="3">
        <f>IFERROR(__xludf.DUMMYFUNCTION("""COMPUTED_VALUE"""),0.0)</f>
        <v>0</v>
      </c>
      <c r="AK143" s="3">
        <f>IFERROR(__xludf.DUMMYFUNCTION("""COMPUTED_VALUE"""),0.0)</f>
        <v>0</v>
      </c>
      <c r="AL143" s="3">
        <f>IFERROR(__xludf.DUMMYFUNCTION("""COMPUTED_VALUE"""),0.0)</f>
        <v>0</v>
      </c>
      <c r="AM143" s="3">
        <f>IFERROR(__xludf.DUMMYFUNCTION("""COMPUTED_VALUE"""),0.0)</f>
        <v>0</v>
      </c>
      <c r="AN143" s="3">
        <f>IFERROR(__xludf.DUMMYFUNCTION("""COMPUTED_VALUE"""),0.0)</f>
        <v>0</v>
      </c>
      <c r="AO143" s="3">
        <f>IFERROR(__xludf.DUMMYFUNCTION("""COMPUTED_VALUE"""),0.0)</f>
        <v>0</v>
      </c>
      <c r="AP143" s="3">
        <f>IFERROR(__xludf.DUMMYFUNCTION("""COMPUTED_VALUE"""),0.0)</f>
        <v>0</v>
      </c>
      <c r="AQ143" s="3">
        <f>IFERROR(__xludf.DUMMYFUNCTION("""COMPUTED_VALUE"""),0.0)</f>
        <v>0</v>
      </c>
      <c r="AR143" s="3">
        <f>IFERROR(__xludf.DUMMYFUNCTION("""COMPUTED_VALUE"""),0.0)</f>
        <v>0</v>
      </c>
      <c r="AS143" s="3">
        <f>IFERROR(__xludf.DUMMYFUNCTION("""COMPUTED_VALUE"""),0.0)</f>
        <v>0</v>
      </c>
      <c r="AT143" s="3">
        <f>IFERROR(__xludf.DUMMYFUNCTION("""COMPUTED_VALUE"""),0.0)</f>
        <v>0</v>
      </c>
      <c r="AU143" s="3">
        <f>IFERROR(__xludf.DUMMYFUNCTION("""COMPUTED_VALUE"""),0.0)</f>
        <v>0</v>
      </c>
      <c r="AV143" s="3">
        <f>IFERROR(__xludf.DUMMYFUNCTION("""COMPUTED_VALUE"""),0.0)</f>
        <v>0</v>
      </c>
      <c r="AW143" s="3">
        <f>IFERROR(__xludf.DUMMYFUNCTION("""COMPUTED_VALUE"""),0.0)</f>
        <v>0</v>
      </c>
      <c r="AX143" s="3">
        <f>IFERROR(__xludf.DUMMYFUNCTION("""COMPUTED_VALUE"""),0.0)</f>
        <v>0</v>
      </c>
      <c r="AY143" s="3">
        <f>IFERROR(__xludf.DUMMYFUNCTION("""COMPUTED_VALUE"""),0.0)</f>
        <v>0</v>
      </c>
      <c r="AZ143" s="3">
        <f>IFERROR(__xludf.DUMMYFUNCTION("""COMPUTED_VALUE"""),0.0)</f>
        <v>0</v>
      </c>
      <c r="BA143" s="3">
        <f>IFERROR(__xludf.DUMMYFUNCTION("""COMPUTED_VALUE"""),0.0)</f>
        <v>0</v>
      </c>
      <c r="BB143" s="3">
        <f>IFERROR(__xludf.DUMMYFUNCTION("""COMPUTED_VALUE"""),0.0)</f>
        <v>0</v>
      </c>
      <c r="BC143" s="3">
        <f>IFERROR(__xludf.DUMMYFUNCTION("""COMPUTED_VALUE"""),0.0)</f>
        <v>0</v>
      </c>
      <c r="BD143" s="3">
        <f>IFERROR(__xludf.DUMMYFUNCTION("""COMPUTED_VALUE"""),4.0)</f>
        <v>4</v>
      </c>
      <c r="BE143" s="3">
        <f>IFERROR(__xludf.DUMMYFUNCTION("""COMPUTED_VALUE"""),6.0)</f>
        <v>6</v>
      </c>
      <c r="BF143" s="3">
        <f>IFERROR(__xludf.DUMMYFUNCTION("""COMPUTED_VALUE"""),9.0)</f>
        <v>9</v>
      </c>
      <c r="BG143" s="3">
        <f>IFERROR(__xludf.DUMMYFUNCTION("""COMPUTED_VALUE"""),10.0)</f>
        <v>10</v>
      </c>
      <c r="BH143" s="3">
        <f>IFERROR(__xludf.DUMMYFUNCTION("""COMPUTED_VALUE"""),33.0)</f>
        <v>33</v>
      </c>
      <c r="BI143" s="3">
        <f>IFERROR(__xludf.DUMMYFUNCTION("""COMPUTED_VALUE"""),35.0)</f>
        <v>35</v>
      </c>
      <c r="BJ143" s="3">
        <f>IFERROR(__xludf.DUMMYFUNCTION("""COMPUTED_VALUE"""),44.0)</f>
        <v>44</v>
      </c>
      <c r="BK143" s="3">
        <f>IFERROR(__xludf.DUMMYFUNCTION("""COMPUTED_VALUE"""),49.0)</f>
        <v>49</v>
      </c>
      <c r="BL143" s="3">
        <f>IFERROR(__xludf.DUMMYFUNCTION("""COMPUTED_VALUE"""),53.0)</f>
        <v>53</v>
      </c>
      <c r="BM143" s="3">
        <f>IFERROR(__xludf.DUMMYFUNCTION("""COMPUTED_VALUE"""),60.0)</f>
        <v>60</v>
      </c>
      <c r="BN143" s="3">
        <f>IFERROR(__xludf.DUMMYFUNCTION("""COMPUTED_VALUE"""),62.0)</f>
        <v>62</v>
      </c>
      <c r="BO143" s="3">
        <f>IFERROR(__xludf.DUMMYFUNCTION("""COMPUTED_VALUE"""),72.0)</f>
        <v>72</v>
      </c>
      <c r="BP143" s="3">
        <f>IFERROR(__xludf.DUMMYFUNCTION("""COMPUTED_VALUE"""),81.0)</f>
        <v>81</v>
      </c>
      <c r="BQ143" s="3">
        <f>IFERROR(__xludf.DUMMYFUNCTION("""COMPUTED_VALUE"""),111.0)</f>
        <v>111</v>
      </c>
      <c r="BR143" s="3">
        <f>IFERROR(__xludf.DUMMYFUNCTION("""COMPUTED_VALUE"""),150.0)</f>
        <v>150</v>
      </c>
      <c r="BS143" s="3">
        <f>IFERROR(__xludf.DUMMYFUNCTION("""COMPUTED_VALUE"""),228.0)</f>
        <v>228</v>
      </c>
      <c r="BT143" s="3">
        <f>IFERROR(__xludf.DUMMYFUNCTION("""COMPUTED_VALUE"""),284.0)</f>
        <v>284</v>
      </c>
      <c r="BU143" s="3">
        <f>IFERROR(__xludf.DUMMYFUNCTION("""COMPUTED_VALUE"""),302.0)</f>
        <v>302</v>
      </c>
      <c r="BV143" s="3">
        <f>IFERROR(__xludf.DUMMYFUNCTION("""COMPUTED_VALUE"""),343.0)</f>
        <v>343</v>
      </c>
      <c r="BW143" s="3">
        <f>IFERROR(__xludf.DUMMYFUNCTION("""COMPUTED_VALUE"""),380.0)</f>
        <v>380</v>
      </c>
      <c r="BX143" s="3">
        <f>IFERROR(__xludf.DUMMYFUNCTION("""COMPUTED_VALUE"""),435.0)</f>
        <v>435</v>
      </c>
      <c r="BY143" s="3">
        <f>IFERROR(__xludf.DUMMYFUNCTION("""COMPUTED_VALUE"""),464.0)</f>
        <v>464</v>
      </c>
      <c r="BZ143" s="3">
        <f>IFERROR(__xludf.DUMMYFUNCTION("""COMPUTED_VALUE"""),531.0)</f>
        <v>531</v>
      </c>
      <c r="CA143" s="3">
        <f>IFERROR(__xludf.DUMMYFUNCTION("""COMPUTED_VALUE"""),584.0)</f>
        <v>584</v>
      </c>
      <c r="CB143" s="3">
        <f>IFERROR(__xludf.DUMMYFUNCTION("""COMPUTED_VALUE"""),662.0)</f>
        <v>662</v>
      </c>
    </row>
    <row r="144">
      <c r="A144" s="3" t="str">
        <f>IFERROR(__xludf.DUMMYFUNCTION("""COMPUTED_VALUE"""),"")</f>
        <v/>
      </c>
      <c r="B144" s="3" t="str">
        <f>IFERROR(__xludf.DUMMYFUNCTION("""COMPUTED_VALUE"""),"Kenya")</f>
        <v>Kenya</v>
      </c>
      <c r="C144" s="3">
        <f>IFERROR(__xludf.DUMMYFUNCTION("""COMPUTED_VALUE"""),-0.0236)</f>
        <v>-0.0236</v>
      </c>
      <c r="D144" s="3">
        <f>IFERROR(__xludf.DUMMYFUNCTION("""COMPUTED_VALUE"""),37.9062)</f>
        <v>37.9062</v>
      </c>
      <c r="E144" s="3">
        <f>IFERROR(__xludf.DUMMYFUNCTION("""COMPUTED_VALUE"""),0.0)</f>
        <v>0</v>
      </c>
      <c r="F144" s="3">
        <f>IFERROR(__xludf.DUMMYFUNCTION("""COMPUTED_VALUE"""),0.0)</f>
        <v>0</v>
      </c>
      <c r="G144" s="3">
        <f>IFERROR(__xludf.DUMMYFUNCTION("""COMPUTED_VALUE"""),0.0)</f>
        <v>0</v>
      </c>
      <c r="H144" s="3">
        <f>IFERROR(__xludf.DUMMYFUNCTION("""COMPUTED_VALUE"""),0.0)</f>
        <v>0</v>
      </c>
      <c r="I144" s="3">
        <f>IFERROR(__xludf.DUMMYFUNCTION("""COMPUTED_VALUE"""),0.0)</f>
        <v>0</v>
      </c>
      <c r="J144" s="3">
        <f>IFERROR(__xludf.DUMMYFUNCTION("""COMPUTED_VALUE"""),0.0)</f>
        <v>0</v>
      </c>
      <c r="K144" s="3">
        <f>IFERROR(__xludf.DUMMYFUNCTION("""COMPUTED_VALUE"""),0.0)</f>
        <v>0</v>
      </c>
      <c r="L144" s="3">
        <f>IFERROR(__xludf.DUMMYFUNCTION("""COMPUTED_VALUE"""),0.0)</f>
        <v>0</v>
      </c>
      <c r="M144" s="3">
        <f>IFERROR(__xludf.DUMMYFUNCTION("""COMPUTED_VALUE"""),0.0)</f>
        <v>0</v>
      </c>
      <c r="N144" s="3">
        <f>IFERROR(__xludf.DUMMYFUNCTION("""COMPUTED_VALUE"""),0.0)</f>
        <v>0</v>
      </c>
      <c r="O144" s="3">
        <f>IFERROR(__xludf.DUMMYFUNCTION("""COMPUTED_VALUE"""),0.0)</f>
        <v>0</v>
      </c>
      <c r="P144" s="3">
        <f>IFERROR(__xludf.DUMMYFUNCTION("""COMPUTED_VALUE"""),0.0)</f>
        <v>0</v>
      </c>
      <c r="Q144" s="3">
        <f>IFERROR(__xludf.DUMMYFUNCTION("""COMPUTED_VALUE"""),0.0)</f>
        <v>0</v>
      </c>
      <c r="R144" s="3">
        <f>IFERROR(__xludf.DUMMYFUNCTION("""COMPUTED_VALUE"""),0.0)</f>
        <v>0</v>
      </c>
      <c r="S144" s="3">
        <f>IFERROR(__xludf.DUMMYFUNCTION("""COMPUTED_VALUE"""),0.0)</f>
        <v>0</v>
      </c>
      <c r="T144" s="3">
        <f>IFERROR(__xludf.DUMMYFUNCTION("""COMPUTED_VALUE"""),0.0)</f>
        <v>0</v>
      </c>
      <c r="U144" s="3">
        <f>IFERROR(__xludf.DUMMYFUNCTION("""COMPUTED_VALUE"""),0.0)</f>
        <v>0</v>
      </c>
      <c r="V144" s="3">
        <f>IFERROR(__xludf.DUMMYFUNCTION("""COMPUTED_VALUE"""),0.0)</f>
        <v>0</v>
      </c>
      <c r="W144" s="3">
        <f>IFERROR(__xludf.DUMMYFUNCTION("""COMPUTED_VALUE"""),0.0)</f>
        <v>0</v>
      </c>
      <c r="X144" s="3">
        <f>IFERROR(__xludf.DUMMYFUNCTION("""COMPUTED_VALUE"""),0.0)</f>
        <v>0</v>
      </c>
      <c r="Y144" s="3">
        <f>IFERROR(__xludf.DUMMYFUNCTION("""COMPUTED_VALUE"""),0.0)</f>
        <v>0</v>
      </c>
      <c r="Z144" s="3">
        <f>IFERROR(__xludf.DUMMYFUNCTION("""COMPUTED_VALUE"""),0.0)</f>
        <v>0</v>
      </c>
      <c r="AA144" s="3">
        <f>IFERROR(__xludf.DUMMYFUNCTION("""COMPUTED_VALUE"""),0.0)</f>
        <v>0</v>
      </c>
      <c r="AB144" s="3">
        <f>IFERROR(__xludf.DUMMYFUNCTION("""COMPUTED_VALUE"""),0.0)</f>
        <v>0</v>
      </c>
      <c r="AC144" s="3">
        <f>IFERROR(__xludf.DUMMYFUNCTION("""COMPUTED_VALUE"""),0.0)</f>
        <v>0</v>
      </c>
      <c r="AD144" s="3">
        <f>IFERROR(__xludf.DUMMYFUNCTION("""COMPUTED_VALUE"""),0.0)</f>
        <v>0</v>
      </c>
      <c r="AE144" s="3">
        <f>IFERROR(__xludf.DUMMYFUNCTION("""COMPUTED_VALUE"""),0.0)</f>
        <v>0</v>
      </c>
      <c r="AF144" s="3">
        <f>IFERROR(__xludf.DUMMYFUNCTION("""COMPUTED_VALUE"""),0.0)</f>
        <v>0</v>
      </c>
      <c r="AG144" s="3">
        <f>IFERROR(__xludf.DUMMYFUNCTION("""COMPUTED_VALUE"""),0.0)</f>
        <v>0</v>
      </c>
      <c r="AH144" s="3">
        <f>IFERROR(__xludf.DUMMYFUNCTION("""COMPUTED_VALUE"""),0.0)</f>
        <v>0</v>
      </c>
      <c r="AI144" s="3">
        <f>IFERROR(__xludf.DUMMYFUNCTION("""COMPUTED_VALUE"""),0.0)</f>
        <v>0</v>
      </c>
      <c r="AJ144" s="3">
        <f>IFERROR(__xludf.DUMMYFUNCTION("""COMPUTED_VALUE"""),0.0)</f>
        <v>0</v>
      </c>
      <c r="AK144" s="3">
        <f>IFERROR(__xludf.DUMMYFUNCTION("""COMPUTED_VALUE"""),0.0)</f>
        <v>0</v>
      </c>
      <c r="AL144" s="3">
        <f>IFERROR(__xludf.DUMMYFUNCTION("""COMPUTED_VALUE"""),0.0)</f>
        <v>0</v>
      </c>
      <c r="AM144" s="3">
        <f>IFERROR(__xludf.DUMMYFUNCTION("""COMPUTED_VALUE"""),0.0)</f>
        <v>0</v>
      </c>
      <c r="AN144" s="3">
        <f>IFERROR(__xludf.DUMMYFUNCTION("""COMPUTED_VALUE"""),0.0)</f>
        <v>0</v>
      </c>
      <c r="AO144" s="3">
        <f>IFERROR(__xludf.DUMMYFUNCTION("""COMPUTED_VALUE"""),0.0)</f>
        <v>0</v>
      </c>
      <c r="AP144" s="3">
        <f>IFERROR(__xludf.DUMMYFUNCTION("""COMPUTED_VALUE"""),0.0)</f>
        <v>0</v>
      </c>
      <c r="AQ144" s="3">
        <f>IFERROR(__xludf.DUMMYFUNCTION("""COMPUTED_VALUE"""),0.0)</f>
        <v>0</v>
      </c>
      <c r="AR144" s="3">
        <f>IFERROR(__xludf.DUMMYFUNCTION("""COMPUTED_VALUE"""),0.0)</f>
        <v>0</v>
      </c>
      <c r="AS144" s="3">
        <f>IFERROR(__xludf.DUMMYFUNCTION("""COMPUTED_VALUE"""),0.0)</f>
        <v>0</v>
      </c>
      <c r="AT144" s="3">
        <f>IFERROR(__xludf.DUMMYFUNCTION("""COMPUTED_VALUE"""),0.0)</f>
        <v>0</v>
      </c>
      <c r="AU144" s="3">
        <f>IFERROR(__xludf.DUMMYFUNCTION("""COMPUTED_VALUE"""),0.0)</f>
        <v>0</v>
      </c>
      <c r="AV144" s="3">
        <f>IFERROR(__xludf.DUMMYFUNCTION("""COMPUTED_VALUE"""),0.0)</f>
        <v>0</v>
      </c>
      <c r="AW144" s="3">
        <f>IFERROR(__xludf.DUMMYFUNCTION("""COMPUTED_VALUE"""),0.0)</f>
        <v>0</v>
      </c>
      <c r="AX144" s="3">
        <f>IFERROR(__xludf.DUMMYFUNCTION("""COMPUTED_VALUE"""),0.0)</f>
        <v>0</v>
      </c>
      <c r="AY144" s="3">
        <f>IFERROR(__xludf.DUMMYFUNCTION("""COMPUTED_VALUE"""),0.0)</f>
        <v>0</v>
      </c>
      <c r="AZ144" s="3">
        <f>IFERROR(__xludf.DUMMYFUNCTION("""COMPUTED_VALUE"""),0.0)</f>
        <v>0</v>
      </c>
      <c r="BA144" s="3">
        <f>IFERROR(__xludf.DUMMYFUNCTION("""COMPUTED_VALUE"""),0.0)</f>
        <v>0</v>
      </c>
      <c r="BB144" s="3">
        <f>IFERROR(__xludf.DUMMYFUNCTION("""COMPUTED_VALUE"""),0.0)</f>
        <v>0</v>
      </c>
      <c r="BC144" s="3">
        <f>IFERROR(__xludf.DUMMYFUNCTION("""COMPUTED_VALUE"""),0.0)</f>
        <v>0</v>
      </c>
      <c r="BD144" s="3">
        <f>IFERROR(__xludf.DUMMYFUNCTION("""COMPUTED_VALUE"""),1.0)</f>
        <v>1</v>
      </c>
      <c r="BE144" s="3">
        <f>IFERROR(__xludf.DUMMYFUNCTION("""COMPUTED_VALUE"""),1.0)</f>
        <v>1</v>
      </c>
      <c r="BF144" s="3">
        <f>IFERROR(__xludf.DUMMYFUNCTION("""COMPUTED_VALUE"""),3.0)</f>
        <v>3</v>
      </c>
      <c r="BG144" s="3">
        <f>IFERROR(__xludf.DUMMYFUNCTION("""COMPUTED_VALUE"""),3.0)</f>
        <v>3</v>
      </c>
      <c r="BH144" s="3">
        <f>IFERROR(__xludf.DUMMYFUNCTION("""COMPUTED_VALUE"""),3.0)</f>
        <v>3</v>
      </c>
      <c r="BI144" s="3">
        <f>IFERROR(__xludf.DUMMYFUNCTION("""COMPUTED_VALUE"""),3.0)</f>
        <v>3</v>
      </c>
      <c r="BJ144" s="3">
        <f>IFERROR(__xludf.DUMMYFUNCTION("""COMPUTED_VALUE"""),7.0)</f>
        <v>7</v>
      </c>
      <c r="BK144" s="3">
        <f>IFERROR(__xludf.DUMMYFUNCTION("""COMPUTED_VALUE"""),7.0)</f>
        <v>7</v>
      </c>
      <c r="BL144" s="3">
        <f>IFERROR(__xludf.DUMMYFUNCTION("""COMPUTED_VALUE"""),7.0)</f>
        <v>7</v>
      </c>
      <c r="BM144" s="3">
        <f>IFERROR(__xludf.DUMMYFUNCTION("""COMPUTED_VALUE"""),15.0)</f>
        <v>15</v>
      </c>
      <c r="BN144" s="3">
        <f>IFERROR(__xludf.DUMMYFUNCTION("""COMPUTED_VALUE"""),16.0)</f>
        <v>16</v>
      </c>
      <c r="BO144" s="3">
        <f>IFERROR(__xludf.DUMMYFUNCTION("""COMPUTED_VALUE"""),25.0)</f>
        <v>25</v>
      </c>
      <c r="BP144" s="3">
        <f>IFERROR(__xludf.DUMMYFUNCTION("""COMPUTED_VALUE"""),28.0)</f>
        <v>28</v>
      </c>
      <c r="BQ144" s="3">
        <f>IFERROR(__xludf.DUMMYFUNCTION("""COMPUTED_VALUE"""),31.0)</f>
        <v>31</v>
      </c>
      <c r="BR144" s="3">
        <f>IFERROR(__xludf.DUMMYFUNCTION("""COMPUTED_VALUE"""),31.0)</f>
        <v>31</v>
      </c>
      <c r="BS144" s="3">
        <f>IFERROR(__xludf.DUMMYFUNCTION("""COMPUTED_VALUE"""),38.0)</f>
        <v>38</v>
      </c>
      <c r="BT144" s="3">
        <f>IFERROR(__xludf.DUMMYFUNCTION("""COMPUTED_VALUE"""),42.0)</f>
        <v>42</v>
      </c>
      <c r="BU144" s="3">
        <f>IFERROR(__xludf.DUMMYFUNCTION("""COMPUTED_VALUE"""),50.0)</f>
        <v>50</v>
      </c>
      <c r="BV144" s="3">
        <f>IFERROR(__xludf.DUMMYFUNCTION("""COMPUTED_VALUE"""),59.0)</f>
        <v>59</v>
      </c>
      <c r="BW144" s="3">
        <f>IFERROR(__xludf.DUMMYFUNCTION("""COMPUTED_VALUE"""),81.0)</f>
        <v>81</v>
      </c>
      <c r="BX144" s="3">
        <f>IFERROR(__xludf.DUMMYFUNCTION("""COMPUTED_VALUE"""),110.0)</f>
        <v>110</v>
      </c>
      <c r="BY144" s="3">
        <f>IFERROR(__xludf.DUMMYFUNCTION("""COMPUTED_VALUE"""),122.0)</f>
        <v>122</v>
      </c>
      <c r="BZ144" s="3">
        <f>IFERROR(__xludf.DUMMYFUNCTION("""COMPUTED_VALUE"""),126.0)</f>
        <v>126</v>
      </c>
      <c r="CA144" s="3">
        <f>IFERROR(__xludf.DUMMYFUNCTION("""COMPUTED_VALUE"""),142.0)</f>
        <v>142</v>
      </c>
      <c r="CB144" s="3">
        <f>IFERROR(__xludf.DUMMYFUNCTION("""COMPUTED_VALUE"""),158.0)</f>
        <v>158</v>
      </c>
    </row>
    <row r="145">
      <c r="A145" s="3" t="str">
        <f>IFERROR(__xludf.DUMMYFUNCTION("""COMPUTED_VALUE"""),"")</f>
        <v/>
      </c>
      <c r="B145" s="3" t="str">
        <f>IFERROR(__xludf.DUMMYFUNCTION("""COMPUTED_VALUE"""),"Korea, South")</f>
        <v>Korea, South</v>
      </c>
      <c r="C145" s="3">
        <f>IFERROR(__xludf.DUMMYFUNCTION("""COMPUTED_VALUE"""),36.0)</f>
        <v>36</v>
      </c>
      <c r="D145" s="3">
        <f>IFERROR(__xludf.DUMMYFUNCTION("""COMPUTED_VALUE"""),128.0)</f>
        <v>128</v>
      </c>
      <c r="E145" s="3">
        <f>IFERROR(__xludf.DUMMYFUNCTION("""COMPUTED_VALUE"""),1.0)</f>
        <v>1</v>
      </c>
      <c r="F145" s="3">
        <f>IFERROR(__xludf.DUMMYFUNCTION("""COMPUTED_VALUE"""),1.0)</f>
        <v>1</v>
      </c>
      <c r="G145" s="3">
        <f>IFERROR(__xludf.DUMMYFUNCTION("""COMPUTED_VALUE"""),2.0)</f>
        <v>2</v>
      </c>
      <c r="H145" s="3">
        <f>IFERROR(__xludf.DUMMYFUNCTION("""COMPUTED_VALUE"""),2.0)</f>
        <v>2</v>
      </c>
      <c r="I145" s="3">
        <f>IFERROR(__xludf.DUMMYFUNCTION("""COMPUTED_VALUE"""),3.0)</f>
        <v>3</v>
      </c>
      <c r="J145" s="3">
        <f>IFERROR(__xludf.DUMMYFUNCTION("""COMPUTED_VALUE"""),4.0)</f>
        <v>4</v>
      </c>
      <c r="K145" s="3">
        <f>IFERROR(__xludf.DUMMYFUNCTION("""COMPUTED_VALUE"""),4.0)</f>
        <v>4</v>
      </c>
      <c r="L145" s="3">
        <f>IFERROR(__xludf.DUMMYFUNCTION("""COMPUTED_VALUE"""),4.0)</f>
        <v>4</v>
      </c>
      <c r="M145" s="3">
        <f>IFERROR(__xludf.DUMMYFUNCTION("""COMPUTED_VALUE"""),4.0)</f>
        <v>4</v>
      </c>
      <c r="N145" s="3">
        <f>IFERROR(__xludf.DUMMYFUNCTION("""COMPUTED_VALUE"""),11.0)</f>
        <v>11</v>
      </c>
      <c r="O145" s="3">
        <f>IFERROR(__xludf.DUMMYFUNCTION("""COMPUTED_VALUE"""),12.0)</f>
        <v>12</v>
      </c>
      <c r="P145" s="3">
        <f>IFERROR(__xludf.DUMMYFUNCTION("""COMPUTED_VALUE"""),15.0)</f>
        <v>15</v>
      </c>
      <c r="Q145" s="3">
        <f>IFERROR(__xludf.DUMMYFUNCTION("""COMPUTED_VALUE"""),15.0)</f>
        <v>15</v>
      </c>
      <c r="R145" s="3">
        <f>IFERROR(__xludf.DUMMYFUNCTION("""COMPUTED_VALUE"""),16.0)</f>
        <v>16</v>
      </c>
      <c r="S145" s="3">
        <f>IFERROR(__xludf.DUMMYFUNCTION("""COMPUTED_VALUE"""),19.0)</f>
        <v>19</v>
      </c>
      <c r="T145" s="3">
        <f>IFERROR(__xludf.DUMMYFUNCTION("""COMPUTED_VALUE"""),23.0)</f>
        <v>23</v>
      </c>
      <c r="U145" s="3">
        <f>IFERROR(__xludf.DUMMYFUNCTION("""COMPUTED_VALUE"""),24.0)</f>
        <v>24</v>
      </c>
      <c r="V145" s="3">
        <f>IFERROR(__xludf.DUMMYFUNCTION("""COMPUTED_VALUE"""),24.0)</f>
        <v>24</v>
      </c>
      <c r="W145" s="3">
        <f>IFERROR(__xludf.DUMMYFUNCTION("""COMPUTED_VALUE"""),25.0)</f>
        <v>25</v>
      </c>
      <c r="X145" s="3">
        <f>IFERROR(__xludf.DUMMYFUNCTION("""COMPUTED_VALUE"""),27.0)</f>
        <v>27</v>
      </c>
      <c r="Y145" s="3">
        <f>IFERROR(__xludf.DUMMYFUNCTION("""COMPUTED_VALUE"""),28.0)</f>
        <v>28</v>
      </c>
      <c r="Z145" s="3">
        <f>IFERROR(__xludf.DUMMYFUNCTION("""COMPUTED_VALUE"""),28.0)</f>
        <v>28</v>
      </c>
      <c r="AA145" s="3">
        <f>IFERROR(__xludf.DUMMYFUNCTION("""COMPUTED_VALUE"""),28.0)</f>
        <v>28</v>
      </c>
      <c r="AB145" s="3">
        <f>IFERROR(__xludf.DUMMYFUNCTION("""COMPUTED_VALUE"""),28.0)</f>
        <v>28</v>
      </c>
      <c r="AC145" s="3">
        <f>IFERROR(__xludf.DUMMYFUNCTION("""COMPUTED_VALUE"""),28.0)</f>
        <v>28</v>
      </c>
      <c r="AD145" s="3">
        <f>IFERROR(__xludf.DUMMYFUNCTION("""COMPUTED_VALUE"""),29.0)</f>
        <v>29</v>
      </c>
      <c r="AE145" s="3">
        <f>IFERROR(__xludf.DUMMYFUNCTION("""COMPUTED_VALUE"""),30.0)</f>
        <v>30</v>
      </c>
      <c r="AF145" s="3">
        <f>IFERROR(__xludf.DUMMYFUNCTION("""COMPUTED_VALUE"""),31.0)</f>
        <v>31</v>
      </c>
      <c r="AG145" s="3">
        <f>IFERROR(__xludf.DUMMYFUNCTION("""COMPUTED_VALUE"""),31.0)</f>
        <v>31</v>
      </c>
      <c r="AH145" s="3">
        <f>IFERROR(__xludf.DUMMYFUNCTION("""COMPUTED_VALUE"""),104.0)</f>
        <v>104</v>
      </c>
      <c r="AI145" s="3">
        <f>IFERROR(__xludf.DUMMYFUNCTION("""COMPUTED_VALUE"""),204.0)</f>
        <v>204</v>
      </c>
      <c r="AJ145" s="3">
        <f>IFERROR(__xludf.DUMMYFUNCTION("""COMPUTED_VALUE"""),433.0)</f>
        <v>433</v>
      </c>
      <c r="AK145" s="3">
        <f>IFERROR(__xludf.DUMMYFUNCTION("""COMPUTED_VALUE"""),602.0)</f>
        <v>602</v>
      </c>
      <c r="AL145" s="3">
        <f>IFERROR(__xludf.DUMMYFUNCTION("""COMPUTED_VALUE"""),833.0)</f>
        <v>833</v>
      </c>
      <c r="AM145" s="3">
        <f>IFERROR(__xludf.DUMMYFUNCTION("""COMPUTED_VALUE"""),977.0)</f>
        <v>977</v>
      </c>
      <c r="AN145" s="3">
        <f>IFERROR(__xludf.DUMMYFUNCTION("""COMPUTED_VALUE"""),1261.0)</f>
        <v>1261</v>
      </c>
      <c r="AO145" s="3">
        <f>IFERROR(__xludf.DUMMYFUNCTION("""COMPUTED_VALUE"""),1766.0)</f>
        <v>1766</v>
      </c>
      <c r="AP145" s="3">
        <f>IFERROR(__xludf.DUMMYFUNCTION("""COMPUTED_VALUE"""),2337.0)</f>
        <v>2337</v>
      </c>
      <c r="AQ145" s="3">
        <f>IFERROR(__xludf.DUMMYFUNCTION("""COMPUTED_VALUE"""),3150.0)</f>
        <v>3150</v>
      </c>
      <c r="AR145" s="3">
        <f>IFERROR(__xludf.DUMMYFUNCTION("""COMPUTED_VALUE"""),3736.0)</f>
        <v>3736</v>
      </c>
      <c r="AS145" s="3">
        <f>IFERROR(__xludf.DUMMYFUNCTION("""COMPUTED_VALUE"""),4335.0)</f>
        <v>4335</v>
      </c>
      <c r="AT145" s="3">
        <f>IFERROR(__xludf.DUMMYFUNCTION("""COMPUTED_VALUE"""),5186.0)</f>
        <v>5186</v>
      </c>
      <c r="AU145" s="3">
        <f>IFERROR(__xludf.DUMMYFUNCTION("""COMPUTED_VALUE"""),5621.0)</f>
        <v>5621</v>
      </c>
      <c r="AV145" s="3">
        <f>IFERROR(__xludf.DUMMYFUNCTION("""COMPUTED_VALUE"""),6088.0)</f>
        <v>6088</v>
      </c>
      <c r="AW145" s="3">
        <f>IFERROR(__xludf.DUMMYFUNCTION("""COMPUTED_VALUE"""),6593.0)</f>
        <v>6593</v>
      </c>
      <c r="AX145" s="3">
        <f>IFERROR(__xludf.DUMMYFUNCTION("""COMPUTED_VALUE"""),7041.0)</f>
        <v>7041</v>
      </c>
      <c r="AY145" s="3">
        <f>IFERROR(__xludf.DUMMYFUNCTION("""COMPUTED_VALUE"""),7314.0)</f>
        <v>7314</v>
      </c>
      <c r="AZ145" s="3">
        <f>IFERROR(__xludf.DUMMYFUNCTION("""COMPUTED_VALUE"""),7478.0)</f>
        <v>7478</v>
      </c>
      <c r="BA145" s="3">
        <f>IFERROR(__xludf.DUMMYFUNCTION("""COMPUTED_VALUE"""),7513.0)</f>
        <v>7513</v>
      </c>
      <c r="BB145" s="3">
        <f>IFERROR(__xludf.DUMMYFUNCTION("""COMPUTED_VALUE"""),7755.0)</f>
        <v>7755</v>
      </c>
      <c r="BC145" s="3">
        <f>IFERROR(__xludf.DUMMYFUNCTION("""COMPUTED_VALUE"""),7869.0)</f>
        <v>7869</v>
      </c>
      <c r="BD145" s="3">
        <f>IFERROR(__xludf.DUMMYFUNCTION("""COMPUTED_VALUE"""),7979.0)</f>
        <v>7979</v>
      </c>
      <c r="BE145" s="3">
        <f>IFERROR(__xludf.DUMMYFUNCTION("""COMPUTED_VALUE"""),8086.0)</f>
        <v>8086</v>
      </c>
      <c r="BF145" s="3">
        <f>IFERROR(__xludf.DUMMYFUNCTION("""COMPUTED_VALUE"""),8162.0)</f>
        <v>8162</v>
      </c>
      <c r="BG145" s="3">
        <f>IFERROR(__xludf.DUMMYFUNCTION("""COMPUTED_VALUE"""),8236.0)</f>
        <v>8236</v>
      </c>
      <c r="BH145" s="3">
        <f>IFERROR(__xludf.DUMMYFUNCTION("""COMPUTED_VALUE"""),8320.0)</f>
        <v>8320</v>
      </c>
      <c r="BI145" s="3">
        <f>IFERROR(__xludf.DUMMYFUNCTION("""COMPUTED_VALUE"""),8413.0)</f>
        <v>8413</v>
      </c>
      <c r="BJ145" s="3">
        <f>IFERROR(__xludf.DUMMYFUNCTION("""COMPUTED_VALUE"""),8565.0)</f>
        <v>8565</v>
      </c>
      <c r="BK145" s="3">
        <f>IFERROR(__xludf.DUMMYFUNCTION("""COMPUTED_VALUE"""),8652.0)</f>
        <v>8652</v>
      </c>
      <c r="BL145" s="3">
        <f>IFERROR(__xludf.DUMMYFUNCTION("""COMPUTED_VALUE"""),8799.0)</f>
        <v>8799</v>
      </c>
      <c r="BM145" s="3">
        <f>IFERROR(__xludf.DUMMYFUNCTION("""COMPUTED_VALUE"""),8961.0)</f>
        <v>8961</v>
      </c>
      <c r="BN145" s="3">
        <f>IFERROR(__xludf.DUMMYFUNCTION("""COMPUTED_VALUE"""),8961.0)</f>
        <v>8961</v>
      </c>
      <c r="BO145" s="3">
        <f>IFERROR(__xludf.DUMMYFUNCTION("""COMPUTED_VALUE"""),9037.0)</f>
        <v>9037</v>
      </c>
      <c r="BP145" s="3">
        <f>IFERROR(__xludf.DUMMYFUNCTION("""COMPUTED_VALUE"""),9137.0)</f>
        <v>9137</v>
      </c>
      <c r="BQ145" s="3">
        <f>IFERROR(__xludf.DUMMYFUNCTION("""COMPUTED_VALUE"""),9241.0)</f>
        <v>9241</v>
      </c>
      <c r="BR145" s="3">
        <f>IFERROR(__xludf.DUMMYFUNCTION("""COMPUTED_VALUE"""),9332.0)</f>
        <v>9332</v>
      </c>
      <c r="BS145" s="3">
        <f>IFERROR(__xludf.DUMMYFUNCTION("""COMPUTED_VALUE"""),9478.0)</f>
        <v>9478</v>
      </c>
      <c r="BT145" s="3">
        <f>IFERROR(__xludf.DUMMYFUNCTION("""COMPUTED_VALUE"""),9583.0)</f>
        <v>9583</v>
      </c>
      <c r="BU145" s="3">
        <f>IFERROR(__xludf.DUMMYFUNCTION("""COMPUTED_VALUE"""),9661.0)</f>
        <v>9661</v>
      </c>
      <c r="BV145" s="3">
        <f>IFERROR(__xludf.DUMMYFUNCTION("""COMPUTED_VALUE"""),9786.0)</f>
        <v>9786</v>
      </c>
      <c r="BW145" s="3">
        <f>IFERROR(__xludf.DUMMYFUNCTION("""COMPUTED_VALUE"""),9887.0)</f>
        <v>9887</v>
      </c>
      <c r="BX145" s="3">
        <f>IFERROR(__xludf.DUMMYFUNCTION("""COMPUTED_VALUE"""),9976.0)</f>
        <v>9976</v>
      </c>
      <c r="BY145" s="3">
        <f>IFERROR(__xludf.DUMMYFUNCTION("""COMPUTED_VALUE"""),10062.0)</f>
        <v>10062</v>
      </c>
      <c r="BZ145" s="3">
        <f>IFERROR(__xludf.DUMMYFUNCTION("""COMPUTED_VALUE"""),10156.0)</f>
        <v>10156</v>
      </c>
      <c r="CA145" s="3">
        <f>IFERROR(__xludf.DUMMYFUNCTION("""COMPUTED_VALUE"""),10237.0)</f>
        <v>10237</v>
      </c>
      <c r="CB145" s="3">
        <f>IFERROR(__xludf.DUMMYFUNCTION("""COMPUTED_VALUE"""),10284.0)</f>
        <v>10284</v>
      </c>
    </row>
    <row r="146">
      <c r="A146" s="3" t="str">
        <f>IFERROR(__xludf.DUMMYFUNCTION("""COMPUTED_VALUE"""),"")</f>
        <v/>
      </c>
      <c r="B146" s="3" t="str">
        <f>IFERROR(__xludf.DUMMYFUNCTION("""COMPUTED_VALUE"""),"Kuwait")</f>
        <v>Kuwait</v>
      </c>
      <c r="C146" s="3">
        <f>IFERROR(__xludf.DUMMYFUNCTION("""COMPUTED_VALUE"""),29.5)</f>
        <v>29.5</v>
      </c>
      <c r="D146" s="3">
        <f>IFERROR(__xludf.DUMMYFUNCTION("""COMPUTED_VALUE"""),47.75)</f>
        <v>47.75</v>
      </c>
      <c r="E146" s="3">
        <f>IFERROR(__xludf.DUMMYFUNCTION("""COMPUTED_VALUE"""),0.0)</f>
        <v>0</v>
      </c>
      <c r="F146" s="3">
        <f>IFERROR(__xludf.DUMMYFUNCTION("""COMPUTED_VALUE"""),0.0)</f>
        <v>0</v>
      </c>
      <c r="G146" s="3">
        <f>IFERROR(__xludf.DUMMYFUNCTION("""COMPUTED_VALUE"""),0.0)</f>
        <v>0</v>
      </c>
      <c r="H146" s="3">
        <f>IFERROR(__xludf.DUMMYFUNCTION("""COMPUTED_VALUE"""),0.0)</f>
        <v>0</v>
      </c>
      <c r="I146" s="3">
        <f>IFERROR(__xludf.DUMMYFUNCTION("""COMPUTED_VALUE"""),0.0)</f>
        <v>0</v>
      </c>
      <c r="J146" s="3">
        <f>IFERROR(__xludf.DUMMYFUNCTION("""COMPUTED_VALUE"""),0.0)</f>
        <v>0</v>
      </c>
      <c r="K146" s="3">
        <f>IFERROR(__xludf.DUMMYFUNCTION("""COMPUTED_VALUE"""),0.0)</f>
        <v>0</v>
      </c>
      <c r="L146" s="3">
        <f>IFERROR(__xludf.DUMMYFUNCTION("""COMPUTED_VALUE"""),0.0)</f>
        <v>0</v>
      </c>
      <c r="M146" s="3">
        <f>IFERROR(__xludf.DUMMYFUNCTION("""COMPUTED_VALUE"""),0.0)</f>
        <v>0</v>
      </c>
      <c r="N146" s="3">
        <f>IFERROR(__xludf.DUMMYFUNCTION("""COMPUTED_VALUE"""),0.0)</f>
        <v>0</v>
      </c>
      <c r="O146" s="3">
        <f>IFERROR(__xludf.DUMMYFUNCTION("""COMPUTED_VALUE"""),0.0)</f>
        <v>0</v>
      </c>
      <c r="P146" s="3">
        <f>IFERROR(__xludf.DUMMYFUNCTION("""COMPUTED_VALUE"""),0.0)</f>
        <v>0</v>
      </c>
      <c r="Q146" s="3">
        <f>IFERROR(__xludf.DUMMYFUNCTION("""COMPUTED_VALUE"""),0.0)</f>
        <v>0</v>
      </c>
      <c r="R146" s="3">
        <f>IFERROR(__xludf.DUMMYFUNCTION("""COMPUTED_VALUE"""),0.0)</f>
        <v>0</v>
      </c>
      <c r="S146" s="3">
        <f>IFERROR(__xludf.DUMMYFUNCTION("""COMPUTED_VALUE"""),0.0)</f>
        <v>0</v>
      </c>
      <c r="T146" s="3">
        <f>IFERROR(__xludf.DUMMYFUNCTION("""COMPUTED_VALUE"""),0.0)</f>
        <v>0</v>
      </c>
      <c r="U146" s="3">
        <f>IFERROR(__xludf.DUMMYFUNCTION("""COMPUTED_VALUE"""),0.0)</f>
        <v>0</v>
      </c>
      <c r="V146" s="3">
        <f>IFERROR(__xludf.DUMMYFUNCTION("""COMPUTED_VALUE"""),0.0)</f>
        <v>0</v>
      </c>
      <c r="W146" s="3">
        <f>IFERROR(__xludf.DUMMYFUNCTION("""COMPUTED_VALUE"""),0.0)</f>
        <v>0</v>
      </c>
      <c r="X146" s="3">
        <f>IFERROR(__xludf.DUMMYFUNCTION("""COMPUTED_VALUE"""),0.0)</f>
        <v>0</v>
      </c>
      <c r="Y146" s="3">
        <f>IFERROR(__xludf.DUMMYFUNCTION("""COMPUTED_VALUE"""),0.0)</f>
        <v>0</v>
      </c>
      <c r="Z146" s="3">
        <f>IFERROR(__xludf.DUMMYFUNCTION("""COMPUTED_VALUE"""),0.0)</f>
        <v>0</v>
      </c>
      <c r="AA146" s="3">
        <f>IFERROR(__xludf.DUMMYFUNCTION("""COMPUTED_VALUE"""),0.0)</f>
        <v>0</v>
      </c>
      <c r="AB146" s="3">
        <f>IFERROR(__xludf.DUMMYFUNCTION("""COMPUTED_VALUE"""),0.0)</f>
        <v>0</v>
      </c>
      <c r="AC146" s="3">
        <f>IFERROR(__xludf.DUMMYFUNCTION("""COMPUTED_VALUE"""),0.0)</f>
        <v>0</v>
      </c>
      <c r="AD146" s="3">
        <f>IFERROR(__xludf.DUMMYFUNCTION("""COMPUTED_VALUE"""),0.0)</f>
        <v>0</v>
      </c>
      <c r="AE146" s="3">
        <f>IFERROR(__xludf.DUMMYFUNCTION("""COMPUTED_VALUE"""),0.0)</f>
        <v>0</v>
      </c>
      <c r="AF146" s="3">
        <f>IFERROR(__xludf.DUMMYFUNCTION("""COMPUTED_VALUE"""),0.0)</f>
        <v>0</v>
      </c>
      <c r="AG146" s="3">
        <f>IFERROR(__xludf.DUMMYFUNCTION("""COMPUTED_VALUE"""),0.0)</f>
        <v>0</v>
      </c>
      <c r="AH146" s="3">
        <f>IFERROR(__xludf.DUMMYFUNCTION("""COMPUTED_VALUE"""),0.0)</f>
        <v>0</v>
      </c>
      <c r="AI146" s="3">
        <f>IFERROR(__xludf.DUMMYFUNCTION("""COMPUTED_VALUE"""),0.0)</f>
        <v>0</v>
      </c>
      <c r="AJ146" s="3">
        <f>IFERROR(__xludf.DUMMYFUNCTION("""COMPUTED_VALUE"""),0.0)</f>
        <v>0</v>
      </c>
      <c r="AK146" s="3">
        <f>IFERROR(__xludf.DUMMYFUNCTION("""COMPUTED_VALUE"""),0.0)</f>
        <v>0</v>
      </c>
      <c r="AL146" s="3">
        <f>IFERROR(__xludf.DUMMYFUNCTION("""COMPUTED_VALUE"""),1.0)</f>
        <v>1</v>
      </c>
      <c r="AM146" s="3">
        <f>IFERROR(__xludf.DUMMYFUNCTION("""COMPUTED_VALUE"""),11.0)</f>
        <v>11</v>
      </c>
      <c r="AN146" s="3">
        <f>IFERROR(__xludf.DUMMYFUNCTION("""COMPUTED_VALUE"""),26.0)</f>
        <v>26</v>
      </c>
      <c r="AO146" s="3">
        <f>IFERROR(__xludf.DUMMYFUNCTION("""COMPUTED_VALUE"""),43.0)</f>
        <v>43</v>
      </c>
      <c r="AP146" s="3">
        <f>IFERROR(__xludf.DUMMYFUNCTION("""COMPUTED_VALUE"""),45.0)</f>
        <v>45</v>
      </c>
      <c r="AQ146" s="3">
        <f>IFERROR(__xludf.DUMMYFUNCTION("""COMPUTED_VALUE"""),45.0)</f>
        <v>45</v>
      </c>
      <c r="AR146" s="3">
        <f>IFERROR(__xludf.DUMMYFUNCTION("""COMPUTED_VALUE"""),45.0)</f>
        <v>45</v>
      </c>
      <c r="AS146" s="3">
        <f>IFERROR(__xludf.DUMMYFUNCTION("""COMPUTED_VALUE"""),56.0)</f>
        <v>56</v>
      </c>
      <c r="AT146" s="3">
        <f>IFERROR(__xludf.DUMMYFUNCTION("""COMPUTED_VALUE"""),56.0)</f>
        <v>56</v>
      </c>
      <c r="AU146" s="3">
        <f>IFERROR(__xludf.DUMMYFUNCTION("""COMPUTED_VALUE"""),56.0)</f>
        <v>56</v>
      </c>
      <c r="AV146" s="3">
        <f>IFERROR(__xludf.DUMMYFUNCTION("""COMPUTED_VALUE"""),58.0)</f>
        <v>58</v>
      </c>
      <c r="AW146" s="3">
        <f>IFERROR(__xludf.DUMMYFUNCTION("""COMPUTED_VALUE"""),58.0)</f>
        <v>58</v>
      </c>
      <c r="AX146" s="3">
        <f>IFERROR(__xludf.DUMMYFUNCTION("""COMPUTED_VALUE"""),61.0)</f>
        <v>61</v>
      </c>
      <c r="AY146" s="3">
        <f>IFERROR(__xludf.DUMMYFUNCTION("""COMPUTED_VALUE"""),64.0)</f>
        <v>64</v>
      </c>
      <c r="AZ146" s="3">
        <f>IFERROR(__xludf.DUMMYFUNCTION("""COMPUTED_VALUE"""),64.0)</f>
        <v>64</v>
      </c>
      <c r="BA146" s="3">
        <f>IFERROR(__xludf.DUMMYFUNCTION("""COMPUTED_VALUE"""),69.0)</f>
        <v>69</v>
      </c>
      <c r="BB146" s="3">
        <f>IFERROR(__xludf.DUMMYFUNCTION("""COMPUTED_VALUE"""),72.0)</f>
        <v>72</v>
      </c>
      <c r="BC146" s="3">
        <f>IFERROR(__xludf.DUMMYFUNCTION("""COMPUTED_VALUE"""),80.0)</f>
        <v>80</v>
      </c>
      <c r="BD146" s="3">
        <f>IFERROR(__xludf.DUMMYFUNCTION("""COMPUTED_VALUE"""),80.0)</f>
        <v>80</v>
      </c>
      <c r="BE146" s="3">
        <f>IFERROR(__xludf.DUMMYFUNCTION("""COMPUTED_VALUE"""),104.0)</f>
        <v>104</v>
      </c>
      <c r="BF146" s="3">
        <f>IFERROR(__xludf.DUMMYFUNCTION("""COMPUTED_VALUE"""),112.0)</f>
        <v>112</v>
      </c>
      <c r="BG146" s="3">
        <f>IFERROR(__xludf.DUMMYFUNCTION("""COMPUTED_VALUE"""),123.0)</f>
        <v>123</v>
      </c>
      <c r="BH146" s="3">
        <f>IFERROR(__xludf.DUMMYFUNCTION("""COMPUTED_VALUE"""),130.0)</f>
        <v>130</v>
      </c>
      <c r="BI146" s="3">
        <f>IFERROR(__xludf.DUMMYFUNCTION("""COMPUTED_VALUE"""),142.0)</f>
        <v>142</v>
      </c>
      <c r="BJ146" s="3">
        <f>IFERROR(__xludf.DUMMYFUNCTION("""COMPUTED_VALUE"""),148.0)</f>
        <v>148</v>
      </c>
      <c r="BK146" s="3">
        <f>IFERROR(__xludf.DUMMYFUNCTION("""COMPUTED_VALUE"""),159.0)</f>
        <v>159</v>
      </c>
      <c r="BL146" s="3">
        <f>IFERROR(__xludf.DUMMYFUNCTION("""COMPUTED_VALUE"""),176.0)</f>
        <v>176</v>
      </c>
      <c r="BM146" s="3">
        <f>IFERROR(__xludf.DUMMYFUNCTION("""COMPUTED_VALUE"""),188.0)</f>
        <v>188</v>
      </c>
      <c r="BN146" s="3">
        <f>IFERROR(__xludf.DUMMYFUNCTION("""COMPUTED_VALUE"""),189.0)</f>
        <v>189</v>
      </c>
      <c r="BO146" s="3">
        <f>IFERROR(__xludf.DUMMYFUNCTION("""COMPUTED_VALUE"""),191.0)</f>
        <v>191</v>
      </c>
      <c r="BP146" s="3">
        <f>IFERROR(__xludf.DUMMYFUNCTION("""COMPUTED_VALUE"""),195.0)</f>
        <v>195</v>
      </c>
      <c r="BQ146" s="3">
        <f>IFERROR(__xludf.DUMMYFUNCTION("""COMPUTED_VALUE"""),208.0)</f>
        <v>208</v>
      </c>
      <c r="BR146" s="3">
        <f>IFERROR(__xludf.DUMMYFUNCTION("""COMPUTED_VALUE"""),225.0)</f>
        <v>225</v>
      </c>
      <c r="BS146" s="3">
        <f>IFERROR(__xludf.DUMMYFUNCTION("""COMPUTED_VALUE"""),235.0)</f>
        <v>235</v>
      </c>
      <c r="BT146" s="3">
        <f>IFERROR(__xludf.DUMMYFUNCTION("""COMPUTED_VALUE"""),255.0)</f>
        <v>255</v>
      </c>
      <c r="BU146" s="3">
        <f>IFERROR(__xludf.DUMMYFUNCTION("""COMPUTED_VALUE"""),266.0)</f>
        <v>266</v>
      </c>
      <c r="BV146" s="3">
        <f>IFERROR(__xludf.DUMMYFUNCTION("""COMPUTED_VALUE"""),289.0)</f>
        <v>289</v>
      </c>
      <c r="BW146" s="3">
        <f>IFERROR(__xludf.DUMMYFUNCTION("""COMPUTED_VALUE"""),317.0)</f>
        <v>317</v>
      </c>
      <c r="BX146" s="3">
        <f>IFERROR(__xludf.DUMMYFUNCTION("""COMPUTED_VALUE"""),342.0)</f>
        <v>342</v>
      </c>
      <c r="BY146" s="3">
        <f>IFERROR(__xludf.DUMMYFUNCTION("""COMPUTED_VALUE"""),417.0)</f>
        <v>417</v>
      </c>
      <c r="BZ146" s="3">
        <f>IFERROR(__xludf.DUMMYFUNCTION("""COMPUTED_VALUE"""),479.0)</f>
        <v>479</v>
      </c>
      <c r="CA146" s="3">
        <f>IFERROR(__xludf.DUMMYFUNCTION("""COMPUTED_VALUE"""),556.0)</f>
        <v>556</v>
      </c>
      <c r="CB146" s="3">
        <f>IFERROR(__xludf.DUMMYFUNCTION("""COMPUTED_VALUE"""),665.0)</f>
        <v>665</v>
      </c>
    </row>
    <row r="147">
      <c r="A147" s="3" t="str">
        <f>IFERROR(__xludf.DUMMYFUNCTION("""COMPUTED_VALUE"""),"")</f>
        <v/>
      </c>
      <c r="B147" s="3" t="str">
        <f>IFERROR(__xludf.DUMMYFUNCTION("""COMPUTED_VALUE"""),"Kyrgyzstan")</f>
        <v>Kyrgyzstan</v>
      </c>
      <c r="C147" s="3">
        <f>IFERROR(__xludf.DUMMYFUNCTION("""COMPUTED_VALUE"""),41.2044)</f>
        <v>41.2044</v>
      </c>
      <c r="D147" s="3">
        <f>IFERROR(__xludf.DUMMYFUNCTION("""COMPUTED_VALUE"""),74.7661)</f>
        <v>74.7661</v>
      </c>
      <c r="E147" s="3">
        <f>IFERROR(__xludf.DUMMYFUNCTION("""COMPUTED_VALUE"""),0.0)</f>
        <v>0</v>
      </c>
      <c r="F147" s="3">
        <f>IFERROR(__xludf.DUMMYFUNCTION("""COMPUTED_VALUE"""),0.0)</f>
        <v>0</v>
      </c>
      <c r="G147" s="3">
        <f>IFERROR(__xludf.DUMMYFUNCTION("""COMPUTED_VALUE"""),0.0)</f>
        <v>0</v>
      </c>
      <c r="H147" s="3">
        <f>IFERROR(__xludf.DUMMYFUNCTION("""COMPUTED_VALUE"""),0.0)</f>
        <v>0</v>
      </c>
      <c r="I147" s="3">
        <f>IFERROR(__xludf.DUMMYFUNCTION("""COMPUTED_VALUE"""),0.0)</f>
        <v>0</v>
      </c>
      <c r="J147" s="3">
        <f>IFERROR(__xludf.DUMMYFUNCTION("""COMPUTED_VALUE"""),0.0)</f>
        <v>0</v>
      </c>
      <c r="K147" s="3">
        <f>IFERROR(__xludf.DUMMYFUNCTION("""COMPUTED_VALUE"""),0.0)</f>
        <v>0</v>
      </c>
      <c r="L147" s="3">
        <f>IFERROR(__xludf.DUMMYFUNCTION("""COMPUTED_VALUE"""),0.0)</f>
        <v>0</v>
      </c>
      <c r="M147" s="3">
        <f>IFERROR(__xludf.DUMMYFUNCTION("""COMPUTED_VALUE"""),0.0)</f>
        <v>0</v>
      </c>
      <c r="N147" s="3">
        <f>IFERROR(__xludf.DUMMYFUNCTION("""COMPUTED_VALUE"""),0.0)</f>
        <v>0</v>
      </c>
      <c r="O147" s="3">
        <f>IFERROR(__xludf.DUMMYFUNCTION("""COMPUTED_VALUE"""),0.0)</f>
        <v>0</v>
      </c>
      <c r="P147" s="3">
        <f>IFERROR(__xludf.DUMMYFUNCTION("""COMPUTED_VALUE"""),0.0)</f>
        <v>0</v>
      </c>
      <c r="Q147" s="3">
        <f>IFERROR(__xludf.DUMMYFUNCTION("""COMPUTED_VALUE"""),0.0)</f>
        <v>0</v>
      </c>
      <c r="R147" s="3">
        <f>IFERROR(__xludf.DUMMYFUNCTION("""COMPUTED_VALUE"""),0.0)</f>
        <v>0</v>
      </c>
      <c r="S147" s="3">
        <f>IFERROR(__xludf.DUMMYFUNCTION("""COMPUTED_VALUE"""),0.0)</f>
        <v>0</v>
      </c>
      <c r="T147" s="3">
        <f>IFERROR(__xludf.DUMMYFUNCTION("""COMPUTED_VALUE"""),0.0)</f>
        <v>0</v>
      </c>
      <c r="U147" s="3">
        <f>IFERROR(__xludf.DUMMYFUNCTION("""COMPUTED_VALUE"""),0.0)</f>
        <v>0</v>
      </c>
      <c r="V147" s="3">
        <f>IFERROR(__xludf.DUMMYFUNCTION("""COMPUTED_VALUE"""),0.0)</f>
        <v>0</v>
      </c>
      <c r="W147" s="3">
        <f>IFERROR(__xludf.DUMMYFUNCTION("""COMPUTED_VALUE"""),0.0)</f>
        <v>0</v>
      </c>
      <c r="X147" s="3">
        <f>IFERROR(__xludf.DUMMYFUNCTION("""COMPUTED_VALUE"""),0.0)</f>
        <v>0</v>
      </c>
      <c r="Y147" s="3">
        <f>IFERROR(__xludf.DUMMYFUNCTION("""COMPUTED_VALUE"""),0.0)</f>
        <v>0</v>
      </c>
      <c r="Z147" s="3">
        <f>IFERROR(__xludf.DUMMYFUNCTION("""COMPUTED_VALUE"""),0.0)</f>
        <v>0</v>
      </c>
      <c r="AA147" s="3">
        <f>IFERROR(__xludf.DUMMYFUNCTION("""COMPUTED_VALUE"""),0.0)</f>
        <v>0</v>
      </c>
      <c r="AB147" s="3">
        <f>IFERROR(__xludf.DUMMYFUNCTION("""COMPUTED_VALUE"""),0.0)</f>
        <v>0</v>
      </c>
      <c r="AC147" s="3">
        <f>IFERROR(__xludf.DUMMYFUNCTION("""COMPUTED_VALUE"""),0.0)</f>
        <v>0</v>
      </c>
      <c r="AD147" s="3">
        <f>IFERROR(__xludf.DUMMYFUNCTION("""COMPUTED_VALUE"""),0.0)</f>
        <v>0</v>
      </c>
      <c r="AE147" s="3">
        <f>IFERROR(__xludf.DUMMYFUNCTION("""COMPUTED_VALUE"""),0.0)</f>
        <v>0</v>
      </c>
      <c r="AF147" s="3">
        <f>IFERROR(__xludf.DUMMYFUNCTION("""COMPUTED_VALUE"""),0.0)</f>
        <v>0</v>
      </c>
      <c r="AG147" s="3">
        <f>IFERROR(__xludf.DUMMYFUNCTION("""COMPUTED_VALUE"""),0.0)</f>
        <v>0</v>
      </c>
      <c r="AH147" s="3">
        <f>IFERROR(__xludf.DUMMYFUNCTION("""COMPUTED_VALUE"""),0.0)</f>
        <v>0</v>
      </c>
      <c r="AI147" s="3">
        <f>IFERROR(__xludf.DUMMYFUNCTION("""COMPUTED_VALUE"""),0.0)</f>
        <v>0</v>
      </c>
      <c r="AJ147" s="3">
        <f>IFERROR(__xludf.DUMMYFUNCTION("""COMPUTED_VALUE"""),0.0)</f>
        <v>0</v>
      </c>
      <c r="AK147" s="3">
        <f>IFERROR(__xludf.DUMMYFUNCTION("""COMPUTED_VALUE"""),0.0)</f>
        <v>0</v>
      </c>
      <c r="AL147" s="3">
        <f>IFERROR(__xludf.DUMMYFUNCTION("""COMPUTED_VALUE"""),0.0)</f>
        <v>0</v>
      </c>
      <c r="AM147" s="3">
        <f>IFERROR(__xludf.DUMMYFUNCTION("""COMPUTED_VALUE"""),0.0)</f>
        <v>0</v>
      </c>
      <c r="AN147" s="3">
        <f>IFERROR(__xludf.DUMMYFUNCTION("""COMPUTED_VALUE"""),0.0)</f>
        <v>0</v>
      </c>
      <c r="AO147" s="3">
        <f>IFERROR(__xludf.DUMMYFUNCTION("""COMPUTED_VALUE"""),0.0)</f>
        <v>0</v>
      </c>
      <c r="AP147" s="3">
        <f>IFERROR(__xludf.DUMMYFUNCTION("""COMPUTED_VALUE"""),0.0)</f>
        <v>0</v>
      </c>
      <c r="AQ147" s="3">
        <f>IFERROR(__xludf.DUMMYFUNCTION("""COMPUTED_VALUE"""),0.0)</f>
        <v>0</v>
      </c>
      <c r="AR147" s="3">
        <f>IFERROR(__xludf.DUMMYFUNCTION("""COMPUTED_VALUE"""),0.0)</f>
        <v>0</v>
      </c>
      <c r="AS147" s="3">
        <f>IFERROR(__xludf.DUMMYFUNCTION("""COMPUTED_VALUE"""),0.0)</f>
        <v>0</v>
      </c>
      <c r="AT147" s="3">
        <f>IFERROR(__xludf.DUMMYFUNCTION("""COMPUTED_VALUE"""),0.0)</f>
        <v>0</v>
      </c>
      <c r="AU147" s="3">
        <f>IFERROR(__xludf.DUMMYFUNCTION("""COMPUTED_VALUE"""),0.0)</f>
        <v>0</v>
      </c>
      <c r="AV147" s="3">
        <f>IFERROR(__xludf.DUMMYFUNCTION("""COMPUTED_VALUE"""),0.0)</f>
        <v>0</v>
      </c>
      <c r="AW147" s="3">
        <f>IFERROR(__xludf.DUMMYFUNCTION("""COMPUTED_VALUE"""),0.0)</f>
        <v>0</v>
      </c>
      <c r="AX147" s="3">
        <f>IFERROR(__xludf.DUMMYFUNCTION("""COMPUTED_VALUE"""),0.0)</f>
        <v>0</v>
      </c>
      <c r="AY147" s="3">
        <f>IFERROR(__xludf.DUMMYFUNCTION("""COMPUTED_VALUE"""),0.0)</f>
        <v>0</v>
      </c>
      <c r="AZ147" s="3">
        <f>IFERROR(__xludf.DUMMYFUNCTION("""COMPUTED_VALUE"""),0.0)</f>
        <v>0</v>
      </c>
      <c r="BA147" s="3">
        <f>IFERROR(__xludf.DUMMYFUNCTION("""COMPUTED_VALUE"""),0.0)</f>
        <v>0</v>
      </c>
      <c r="BB147" s="3">
        <f>IFERROR(__xludf.DUMMYFUNCTION("""COMPUTED_VALUE"""),0.0)</f>
        <v>0</v>
      </c>
      <c r="BC147" s="3">
        <f>IFERROR(__xludf.DUMMYFUNCTION("""COMPUTED_VALUE"""),0.0)</f>
        <v>0</v>
      </c>
      <c r="BD147" s="3">
        <f>IFERROR(__xludf.DUMMYFUNCTION("""COMPUTED_VALUE"""),0.0)</f>
        <v>0</v>
      </c>
      <c r="BE147" s="3">
        <f>IFERROR(__xludf.DUMMYFUNCTION("""COMPUTED_VALUE"""),0.0)</f>
        <v>0</v>
      </c>
      <c r="BF147" s="3">
        <f>IFERROR(__xludf.DUMMYFUNCTION("""COMPUTED_VALUE"""),0.0)</f>
        <v>0</v>
      </c>
      <c r="BG147" s="3">
        <f>IFERROR(__xludf.DUMMYFUNCTION("""COMPUTED_VALUE"""),0.0)</f>
        <v>0</v>
      </c>
      <c r="BH147" s="3">
        <f>IFERROR(__xludf.DUMMYFUNCTION("""COMPUTED_VALUE"""),0.0)</f>
        <v>0</v>
      </c>
      <c r="BI147" s="3">
        <f>IFERROR(__xludf.DUMMYFUNCTION("""COMPUTED_VALUE"""),3.0)</f>
        <v>3</v>
      </c>
      <c r="BJ147" s="3">
        <f>IFERROR(__xludf.DUMMYFUNCTION("""COMPUTED_VALUE"""),3.0)</f>
        <v>3</v>
      </c>
      <c r="BK147" s="3">
        <f>IFERROR(__xludf.DUMMYFUNCTION("""COMPUTED_VALUE"""),6.0)</f>
        <v>6</v>
      </c>
      <c r="BL147" s="3">
        <f>IFERROR(__xludf.DUMMYFUNCTION("""COMPUTED_VALUE"""),14.0)</f>
        <v>14</v>
      </c>
      <c r="BM147" s="3">
        <f>IFERROR(__xludf.DUMMYFUNCTION("""COMPUTED_VALUE"""),14.0)</f>
        <v>14</v>
      </c>
      <c r="BN147" s="3">
        <f>IFERROR(__xludf.DUMMYFUNCTION("""COMPUTED_VALUE"""),16.0)</f>
        <v>16</v>
      </c>
      <c r="BO147" s="3">
        <f>IFERROR(__xludf.DUMMYFUNCTION("""COMPUTED_VALUE"""),42.0)</f>
        <v>42</v>
      </c>
      <c r="BP147" s="3">
        <f>IFERROR(__xludf.DUMMYFUNCTION("""COMPUTED_VALUE"""),44.0)</f>
        <v>44</v>
      </c>
      <c r="BQ147" s="3">
        <f>IFERROR(__xludf.DUMMYFUNCTION("""COMPUTED_VALUE"""),44.0)</f>
        <v>44</v>
      </c>
      <c r="BR147" s="3">
        <f>IFERROR(__xludf.DUMMYFUNCTION("""COMPUTED_VALUE"""),58.0)</f>
        <v>58</v>
      </c>
      <c r="BS147" s="3">
        <f>IFERROR(__xludf.DUMMYFUNCTION("""COMPUTED_VALUE"""),58.0)</f>
        <v>58</v>
      </c>
      <c r="BT147" s="3">
        <f>IFERROR(__xludf.DUMMYFUNCTION("""COMPUTED_VALUE"""),84.0)</f>
        <v>84</v>
      </c>
      <c r="BU147" s="3">
        <f>IFERROR(__xludf.DUMMYFUNCTION("""COMPUTED_VALUE"""),94.0)</f>
        <v>94</v>
      </c>
      <c r="BV147" s="3">
        <f>IFERROR(__xludf.DUMMYFUNCTION("""COMPUTED_VALUE"""),107.0)</f>
        <v>107</v>
      </c>
      <c r="BW147" s="3">
        <f>IFERROR(__xludf.DUMMYFUNCTION("""COMPUTED_VALUE"""),111.0)</f>
        <v>111</v>
      </c>
      <c r="BX147" s="3">
        <f>IFERROR(__xludf.DUMMYFUNCTION("""COMPUTED_VALUE"""),116.0)</f>
        <v>116</v>
      </c>
      <c r="BY147" s="3">
        <f>IFERROR(__xludf.DUMMYFUNCTION("""COMPUTED_VALUE"""),130.0)</f>
        <v>130</v>
      </c>
      <c r="BZ147" s="3">
        <f>IFERROR(__xludf.DUMMYFUNCTION("""COMPUTED_VALUE"""),144.0)</f>
        <v>144</v>
      </c>
      <c r="CA147" s="3">
        <f>IFERROR(__xludf.DUMMYFUNCTION("""COMPUTED_VALUE"""),147.0)</f>
        <v>147</v>
      </c>
      <c r="CB147" s="3">
        <f>IFERROR(__xludf.DUMMYFUNCTION("""COMPUTED_VALUE"""),216.0)</f>
        <v>216</v>
      </c>
    </row>
    <row r="148">
      <c r="A148" s="3" t="str">
        <f>IFERROR(__xludf.DUMMYFUNCTION("""COMPUTED_VALUE"""),"")</f>
        <v/>
      </c>
      <c r="B148" s="3" t="str">
        <f>IFERROR(__xludf.DUMMYFUNCTION("""COMPUTED_VALUE"""),"Latvia")</f>
        <v>Latvia</v>
      </c>
      <c r="C148" s="3">
        <f>IFERROR(__xludf.DUMMYFUNCTION("""COMPUTED_VALUE"""),56.8796)</f>
        <v>56.8796</v>
      </c>
      <c r="D148" s="3">
        <f>IFERROR(__xludf.DUMMYFUNCTION("""COMPUTED_VALUE"""),24.6032)</f>
        <v>24.6032</v>
      </c>
      <c r="E148" s="3">
        <f>IFERROR(__xludf.DUMMYFUNCTION("""COMPUTED_VALUE"""),0.0)</f>
        <v>0</v>
      </c>
      <c r="F148" s="3">
        <f>IFERROR(__xludf.DUMMYFUNCTION("""COMPUTED_VALUE"""),0.0)</f>
        <v>0</v>
      </c>
      <c r="G148" s="3">
        <f>IFERROR(__xludf.DUMMYFUNCTION("""COMPUTED_VALUE"""),0.0)</f>
        <v>0</v>
      </c>
      <c r="H148" s="3">
        <f>IFERROR(__xludf.DUMMYFUNCTION("""COMPUTED_VALUE"""),0.0)</f>
        <v>0</v>
      </c>
      <c r="I148" s="3">
        <f>IFERROR(__xludf.DUMMYFUNCTION("""COMPUTED_VALUE"""),0.0)</f>
        <v>0</v>
      </c>
      <c r="J148" s="3">
        <f>IFERROR(__xludf.DUMMYFUNCTION("""COMPUTED_VALUE"""),0.0)</f>
        <v>0</v>
      </c>
      <c r="K148" s="3">
        <f>IFERROR(__xludf.DUMMYFUNCTION("""COMPUTED_VALUE"""),0.0)</f>
        <v>0</v>
      </c>
      <c r="L148" s="3">
        <f>IFERROR(__xludf.DUMMYFUNCTION("""COMPUTED_VALUE"""),0.0)</f>
        <v>0</v>
      </c>
      <c r="M148" s="3">
        <f>IFERROR(__xludf.DUMMYFUNCTION("""COMPUTED_VALUE"""),0.0)</f>
        <v>0</v>
      </c>
      <c r="N148" s="3">
        <f>IFERROR(__xludf.DUMMYFUNCTION("""COMPUTED_VALUE"""),0.0)</f>
        <v>0</v>
      </c>
      <c r="O148" s="3">
        <f>IFERROR(__xludf.DUMMYFUNCTION("""COMPUTED_VALUE"""),0.0)</f>
        <v>0</v>
      </c>
      <c r="P148" s="3">
        <f>IFERROR(__xludf.DUMMYFUNCTION("""COMPUTED_VALUE"""),0.0)</f>
        <v>0</v>
      </c>
      <c r="Q148" s="3">
        <f>IFERROR(__xludf.DUMMYFUNCTION("""COMPUTED_VALUE"""),0.0)</f>
        <v>0</v>
      </c>
      <c r="R148" s="3">
        <f>IFERROR(__xludf.DUMMYFUNCTION("""COMPUTED_VALUE"""),0.0)</f>
        <v>0</v>
      </c>
      <c r="S148" s="3">
        <f>IFERROR(__xludf.DUMMYFUNCTION("""COMPUTED_VALUE"""),0.0)</f>
        <v>0</v>
      </c>
      <c r="T148" s="3">
        <f>IFERROR(__xludf.DUMMYFUNCTION("""COMPUTED_VALUE"""),0.0)</f>
        <v>0</v>
      </c>
      <c r="U148" s="3">
        <f>IFERROR(__xludf.DUMMYFUNCTION("""COMPUTED_VALUE"""),0.0)</f>
        <v>0</v>
      </c>
      <c r="V148" s="3">
        <f>IFERROR(__xludf.DUMMYFUNCTION("""COMPUTED_VALUE"""),0.0)</f>
        <v>0</v>
      </c>
      <c r="W148" s="3">
        <f>IFERROR(__xludf.DUMMYFUNCTION("""COMPUTED_VALUE"""),0.0)</f>
        <v>0</v>
      </c>
      <c r="X148" s="3">
        <f>IFERROR(__xludf.DUMMYFUNCTION("""COMPUTED_VALUE"""),0.0)</f>
        <v>0</v>
      </c>
      <c r="Y148" s="3">
        <f>IFERROR(__xludf.DUMMYFUNCTION("""COMPUTED_VALUE"""),0.0)</f>
        <v>0</v>
      </c>
      <c r="Z148" s="3">
        <f>IFERROR(__xludf.DUMMYFUNCTION("""COMPUTED_VALUE"""),0.0)</f>
        <v>0</v>
      </c>
      <c r="AA148" s="3">
        <f>IFERROR(__xludf.DUMMYFUNCTION("""COMPUTED_VALUE"""),0.0)</f>
        <v>0</v>
      </c>
      <c r="AB148" s="3">
        <f>IFERROR(__xludf.DUMMYFUNCTION("""COMPUTED_VALUE"""),0.0)</f>
        <v>0</v>
      </c>
      <c r="AC148" s="3">
        <f>IFERROR(__xludf.DUMMYFUNCTION("""COMPUTED_VALUE"""),0.0)</f>
        <v>0</v>
      </c>
      <c r="AD148" s="3">
        <f>IFERROR(__xludf.DUMMYFUNCTION("""COMPUTED_VALUE"""),0.0)</f>
        <v>0</v>
      </c>
      <c r="AE148" s="3">
        <f>IFERROR(__xludf.DUMMYFUNCTION("""COMPUTED_VALUE"""),0.0)</f>
        <v>0</v>
      </c>
      <c r="AF148" s="3">
        <f>IFERROR(__xludf.DUMMYFUNCTION("""COMPUTED_VALUE"""),0.0)</f>
        <v>0</v>
      </c>
      <c r="AG148" s="3">
        <f>IFERROR(__xludf.DUMMYFUNCTION("""COMPUTED_VALUE"""),0.0)</f>
        <v>0</v>
      </c>
      <c r="AH148" s="3">
        <f>IFERROR(__xludf.DUMMYFUNCTION("""COMPUTED_VALUE"""),0.0)</f>
        <v>0</v>
      </c>
      <c r="AI148" s="3">
        <f>IFERROR(__xludf.DUMMYFUNCTION("""COMPUTED_VALUE"""),0.0)</f>
        <v>0</v>
      </c>
      <c r="AJ148" s="3">
        <f>IFERROR(__xludf.DUMMYFUNCTION("""COMPUTED_VALUE"""),0.0)</f>
        <v>0</v>
      </c>
      <c r="AK148" s="3">
        <f>IFERROR(__xludf.DUMMYFUNCTION("""COMPUTED_VALUE"""),0.0)</f>
        <v>0</v>
      </c>
      <c r="AL148" s="3">
        <f>IFERROR(__xludf.DUMMYFUNCTION("""COMPUTED_VALUE"""),0.0)</f>
        <v>0</v>
      </c>
      <c r="AM148" s="3">
        <f>IFERROR(__xludf.DUMMYFUNCTION("""COMPUTED_VALUE"""),0.0)</f>
        <v>0</v>
      </c>
      <c r="AN148" s="3">
        <f>IFERROR(__xludf.DUMMYFUNCTION("""COMPUTED_VALUE"""),0.0)</f>
        <v>0</v>
      </c>
      <c r="AO148" s="3">
        <f>IFERROR(__xludf.DUMMYFUNCTION("""COMPUTED_VALUE"""),0.0)</f>
        <v>0</v>
      </c>
      <c r="AP148" s="3">
        <f>IFERROR(__xludf.DUMMYFUNCTION("""COMPUTED_VALUE"""),0.0)</f>
        <v>0</v>
      </c>
      <c r="AQ148" s="3">
        <f>IFERROR(__xludf.DUMMYFUNCTION("""COMPUTED_VALUE"""),0.0)</f>
        <v>0</v>
      </c>
      <c r="AR148" s="3">
        <f>IFERROR(__xludf.DUMMYFUNCTION("""COMPUTED_VALUE"""),0.0)</f>
        <v>0</v>
      </c>
      <c r="AS148" s="3">
        <f>IFERROR(__xludf.DUMMYFUNCTION("""COMPUTED_VALUE"""),1.0)</f>
        <v>1</v>
      </c>
      <c r="AT148" s="3">
        <f>IFERROR(__xludf.DUMMYFUNCTION("""COMPUTED_VALUE"""),1.0)</f>
        <v>1</v>
      </c>
      <c r="AU148" s="3">
        <f>IFERROR(__xludf.DUMMYFUNCTION("""COMPUTED_VALUE"""),1.0)</f>
        <v>1</v>
      </c>
      <c r="AV148" s="3">
        <f>IFERROR(__xludf.DUMMYFUNCTION("""COMPUTED_VALUE"""),1.0)</f>
        <v>1</v>
      </c>
      <c r="AW148" s="3">
        <f>IFERROR(__xludf.DUMMYFUNCTION("""COMPUTED_VALUE"""),1.0)</f>
        <v>1</v>
      </c>
      <c r="AX148" s="3">
        <f>IFERROR(__xludf.DUMMYFUNCTION("""COMPUTED_VALUE"""),1.0)</f>
        <v>1</v>
      </c>
      <c r="AY148" s="3">
        <f>IFERROR(__xludf.DUMMYFUNCTION("""COMPUTED_VALUE"""),2.0)</f>
        <v>2</v>
      </c>
      <c r="AZ148" s="3">
        <f>IFERROR(__xludf.DUMMYFUNCTION("""COMPUTED_VALUE"""),6.0)</f>
        <v>6</v>
      </c>
      <c r="BA148" s="3">
        <f>IFERROR(__xludf.DUMMYFUNCTION("""COMPUTED_VALUE"""),8.0)</f>
        <v>8</v>
      </c>
      <c r="BB148" s="3">
        <f>IFERROR(__xludf.DUMMYFUNCTION("""COMPUTED_VALUE"""),10.0)</f>
        <v>10</v>
      </c>
      <c r="BC148" s="3">
        <f>IFERROR(__xludf.DUMMYFUNCTION("""COMPUTED_VALUE"""),10.0)</f>
        <v>10</v>
      </c>
      <c r="BD148" s="3">
        <f>IFERROR(__xludf.DUMMYFUNCTION("""COMPUTED_VALUE"""),17.0)</f>
        <v>17</v>
      </c>
      <c r="BE148" s="3">
        <f>IFERROR(__xludf.DUMMYFUNCTION("""COMPUTED_VALUE"""),26.0)</f>
        <v>26</v>
      </c>
      <c r="BF148" s="3">
        <f>IFERROR(__xludf.DUMMYFUNCTION("""COMPUTED_VALUE"""),30.0)</f>
        <v>30</v>
      </c>
      <c r="BG148" s="3">
        <f>IFERROR(__xludf.DUMMYFUNCTION("""COMPUTED_VALUE"""),34.0)</f>
        <v>34</v>
      </c>
      <c r="BH148" s="3">
        <f>IFERROR(__xludf.DUMMYFUNCTION("""COMPUTED_VALUE"""),49.0)</f>
        <v>49</v>
      </c>
      <c r="BI148" s="3">
        <f>IFERROR(__xludf.DUMMYFUNCTION("""COMPUTED_VALUE"""),71.0)</f>
        <v>71</v>
      </c>
      <c r="BJ148" s="3">
        <f>IFERROR(__xludf.DUMMYFUNCTION("""COMPUTED_VALUE"""),86.0)</f>
        <v>86</v>
      </c>
      <c r="BK148" s="3">
        <f>IFERROR(__xludf.DUMMYFUNCTION("""COMPUTED_VALUE"""),111.0)</f>
        <v>111</v>
      </c>
      <c r="BL148" s="3">
        <f>IFERROR(__xludf.DUMMYFUNCTION("""COMPUTED_VALUE"""),124.0)</f>
        <v>124</v>
      </c>
      <c r="BM148" s="3">
        <f>IFERROR(__xludf.DUMMYFUNCTION("""COMPUTED_VALUE"""),139.0)</f>
        <v>139</v>
      </c>
      <c r="BN148" s="3">
        <f>IFERROR(__xludf.DUMMYFUNCTION("""COMPUTED_VALUE"""),180.0)</f>
        <v>180</v>
      </c>
      <c r="BO148" s="3">
        <f>IFERROR(__xludf.DUMMYFUNCTION("""COMPUTED_VALUE"""),197.0)</f>
        <v>197</v>
      </c>
      <c r="BP148" s="3">
        <f>IFERROR(__xludf.DUMMYFUNCTION("""COMPUTED_VALUE"""),221.0)</f>
        <v>221</v>
      </c>
      <c r="BQ148" s="3">
        <f>IFERROR(__xludf.DUMMYFUNCTION("""COMPUTED_VALUE"""),244.0)</f>
        <v>244</v>
      </c>
      <c r="BR148" s="3">
        <f>IFERROR(__xludf.DUMMYFUNCTION("""COMPUTED_VALUE"""),280.0)</f>
        <v>280</v>
      </c>
      <c r="BS148" s="3">
        <f>IFERROR(__xludf.DUMMYFUNCTION("""COMPUTED_VALUE"""),305.0)</f>
        <v>305</v>
      </c>
      <c r="BT148" s="3">
        <f>IFERROR(__xludf.DUMMYFUNCTION("""COMPUTED_VALUE"""),347.0)</f>
        <v>347</v>
      </c>
      <c r="BU148" s="3">
        <f>IFERROR(__xludf.DUMMYFUNCTION("""COMPUTED_VALUE"""),376.0)</f>
        <v>376</v>
      </c>
      <c r="BV148" s="3">
        <f>IFERROR(__xludf.DUMMYFUNCTION("""COMPUTED_VALUE"""),398.0)</f>
        <v>398</v>
      </c>
      <c r="BW148" s="3">
        <f>IFERROR(__xludf.DUMMYFUNCTION("""COMPUTED_VALUE"""),446.0)</f>
        <v>446</v>
      </c>
      <c r="BX148" s="3">
        <f>IFERROR(__xludf.DUMMYFUNCTION("""COMPUTED_VALUE"""),458.0)</f>
        <v>458</v>
      </c>
      <c r="BY148" s="3">
        <f>IFERROR(__xludf.DUMMYFUNCTION("""COMPUTED_VALUE"""),493.0)</f>
        <v>493</v>
      </c>
      <c r="BZ148" s="3">
        <f>IFERROR(__xludf.DUMMYFUNCTION("""COMPUTED_VALUE"""),509.0)</f>
        <v>509</v>
      </c>
      <c r="CA148" s="3">
        <f>IFERROR(__xludf.DUMMYFUNCTION("""COMPUTED_VALUE"""),533.0)</f>
        <v>533</v>
      </c>
      <c r="CB148" s="3">
        <f>IFERROR(__xludf.DUMMYFUNCTION("""COMPUTED_VALUE"""),542.0)</f>
        <v>542</v>
      </c>
    </row>
    <row r="149">
      <c r="A149" s="3" t="str">
        <f>IFERROR(__xludf.DUMMYFUNCTION("""COMPUTED_VALUE"""),"")</f>
        <v/>
      </c>
      <c r="B149" s="3" t="str">
        <f>IFERROR(__xludf.DUMMYFUNCTION("""COMPUTED_VALUE"""),"Lebanon")</f>
        <v>Lebanon</v>
      </c>
      <c r="C149" s="3">
        <f>IFERROR(__xludf.DUMMYFUNCTION("""COMPUTED_VALUE"""),33.8547)</f>
        <v>33.8547</v>
      </c>
      <c r="D149" s="3">
        <f>IFERROR(__xludf.DUMMYFUNCTION("""COMPUTED_VALUE"""),35.8623)</f>
        <v>35.8623</v>
      </c>
      <c r="E149" s="3">
        <f>IFERROR(__xludf.DUMMYFUNCTION("""COMPUTED_VALUE"""),0.0)</f>
        <v>0</v>
      </c>
      <c r="F149" s="3">
        <f>IFERROR(__xludf.DUMMYFUNCTION("""COMPUTED_VALUE"""),0.0)</f>
        <v>0</v>
      </c>
      <c r="G149" s="3">
        <f>IFERROR(__xludf.DUMMYFUNCTION("""COMPUTED_VALUE"""),0.0)</f>
        <v>0</v>
      </c>
      <c r="H149" s="3">
        <f>IFERROR(__xludf.DUMMYFUNCTION("""COMPUTED_VALUE"""),0.0)</f>
        <v>0</v>
      </c>
      <c r="I149" s="3">
        <f>IFERROR(__xludf.DUMMYFUNCTION("""COMPUTED_VALUE"""),0.0)</f>
        <v>0</v>
      </c>
      <c r="J149" s="3">
        <f>IFERROR(__xludf.DUMMYFUNCTION("""COMPUTED_VALUE"""),0.0)</f>
        <v>0</v>
      </c>
      <c r="K149" s="3">
        <f>IFERROR(__xludf.DUMMYFUNCTION("""COMPUTED_VALUE"""),0.0)</f>
        <v>0</v>
      </c>
      <c r="L149" s="3">
        <f>IFERROR(__xludf.DUMMYFUNCTION("""COMPUTED_VALUE"""),0.0)</f>
        <v>0</v>
      </c>
      <c r="M149" s="3">
        <f>IFERROR(__xludf.DUMMYFUNCTION("""COMPUTED_VALUE"""),0.0)</f>
        <v>0</v>
      </c>
      <c r="N149" s="3">
        <f>IFERROR(__xludf.DUMMYFUNCTION("""COMPUTED_VALUE"""),0.0)</f>
        <v>0</v>
      </c>
      <c r="O149" s="3">
        <f>IFERROR(__xludf.DUMMYFUNCTION("""COMPUTED_VALUE"""),0.0)</f>
        <v>0</v>
      </c>
      <c r="P149" s="3">
        <f>IFERROR(__xludf.DUMMYFUNCTION("""COMPUTED_VALUE"""),0.0)</f>
        <v>0</v>
      </c>
      <c r="Q149" s="3">
        <f>IFERROR(__xludf.DUMMYFUNCTION("""COMPUTED_VALUE"""),0.0)</f>
        <v>0</v>
      </c>
      <c r="R149" s="3">
        <f>IFERROR(__xludf.DUMMYFUNCTION("""COMPUTED_VALUE"""),0.0)</f>
        <v>0</v>
      </c>
      <c r="S149" s="3">
        <f>IFERROR(__xludf.DUMMYFUNCTION("""COMPUTED_VALUE"""),0.0)</f>
        <v>0</v>
      </c>
      <c r="T149" s="3">
        <f>IFERROR(__xludf.DUMMYFUNCTION("""COMPUTED_VALUE"""),0.0)</f>
        <v>0</v>
      </c>
      <c r="U149" s="3">
        <f>IFERROR(__xludf.DUMMYFUNCTION("""COMPUTED_VALUE"""),0.0)</f>
        <v>0</v>
      </c>
      <c r="V149" s="3">
        <f>IFERROR(__xludf.DUMMYFUNCTION("""COMPUTED_VALUE"""),0.0)</f>
        <v>0</v>
      </c>
      <c r="W149" s="3">
        <f>IFERROR(__xludf.DUMMYFUNCTION("""COMPUTED_VALUE"""),0.0)</f>
        <v>0</v>
      </c>
      <c r="X149" s="3">
        <f>IFERROR(__xludf.DUMMYFUNCTION("""COMPUTED_VALUE"""),0.0)</f>
        <v>0</v>
      </c>
      <c r="Y149" s="3">
        <f>IFERROR(__xludf.DUMMYFUNCTION("""COMPUTED_VALUE"""),0.0)</f>
        <v>0</v>
      </c>
      <c r="Z149" s="3">
        <f>IFERROR(__xludf.DUMMYFUNCTION("""COMPUTED_VALUE"""),0.0)</f>
        <v>0</v>
      </c>
      <c r="AA149" s="3">
        <f>IFERROR(__xludf.DUMMYFUNCTION("""COMPUTED_VALUE"""),0.0)</f>
        <v>0</v>
      </c>
      <c r="AB149" s="3">
        <f>IFERROR(__xludf.DUMMYFUNCTION("""COMPUTED_VALUE"""),0.0)</f>
        <v>0</v>
      </c>
      <c r="AC149" s="3">
        <f>IFERROR(__xludf.DUMMYFUNCTION("""COMPUTED_VALUE"""),0.0)</f>
        <v>0</v>
      </c>
      <c r="AD149" s="3">
        <f>IFERROR(__xludf.DUMMYFUNCTION("""COMPUTED_VALUE"""),0.0)</f>
        <v>0</v>
      </c>
      <c r="AE149" s="3">
        <f>IFERROR(__xludf.DUMMYFUNCTION("""COMPUTED_VALUE"""),0.0)</f>
        <v>0</v>
      </c>
      <c r="AF149" s="3">
        <f>IFERROR(__xludf.DUMMYFUNCTION("""COMPUTED_VALUE"""),0.0)</f>
        <v>0</v>
      </c>
      <c r="AG149" s="3">
        <f>IFERROR(__xludf.DUMMYFUNCTION("""COMPUTED_VALUE"""),0.0)</f>
        <v>0</v>
      </c>
      <c r="AH149" s="3">
        <f>IFERROR(__xludf.DUMMYFUNCTION("""COMPUTED_VALUE"""),0.0)</f>
        <v>0</v>
      </c>
      <c r="AI149" s="3">
        <f>IFERROR(__xludf.DUMMYFUNCTION("""COMPUTED_VALUE"""),1.0)</f>
        <v>1</v>
      </c>
      <c r="AJ149" s="3">
        <f>IFERROR(__xludf.DUMMYFUNCTION("""COMPUTED_VALUE"""),1.0)</f>
        <v>1</v>
      </c>
      <c r="AK149" s="3">
        <f>IFERROR(__xludf.DUMMYFUNCTION("""COMPUTED_VALUE"""),1.0)</f>
        <v>1</v>
      </c>
      <c r="AL149" s="3">
        <f>IFERROR(__xludf.DUMMYFUNCTION("""COMPUTED_VALUE"""),1.0)</f>
        <v>1</v>
      </c>
      <c r="AM149" s="3">
        <f>IFERROR(__xludf.DUMMYFUNCTION("""COMPUTED_VALUE"""),1.0)</f>
        <v>1</v>
      </c>
      <c r="AN149" s="3">
        <f>IFERROR(__xludf.DUMMYFUNCTION("""COMPUTED_VALUE"""),2.0)</f>
        <v>2</v>
      </c>
      <c r="AO149" s="3">
        <f>IFERROR(__xludf.DUMMYFUNCTION("""COMPUTED_VALUE"""),2.0)</f>
        <v>2</v>
      </c>
      <c r="AP149" s="3">
        <f>IFERROR(__xludf.DUMMYFUNCTION("""COMPUTED_VALUE"""),2.0)</f>
        <v>2</v>
      </c>
      <c r="AQ149" s="3">
        <f>IFERROR(__xludf.DUMMYFUNCTION("""COMPUTED_VALUE"""),4.0)</f>
        <v>4</v>
      </c>
      <c r="AR149" s="3">
        <f>IFERROR(__xludf.DUMMYFUNCTION("""COMPUTED_VALUE"""),10.0)</f>
        <v>10</v>
      </c>
      <c r="AS149" s="3">
        <f>IFERROR(__xludf.DUMMYFUNCTION("""COMPUTED_VALUE"""),13.0)</f>
        <v>13</v>
      </c>
      <c r="AT149" s="3">
        <f>IFERROR(__xludf.DUMMYFUNCTION("""COMPUTED_VALUE"""),13.0)</f>
        <v>13</v>
      </c>
      <c r="AU149" s="3">
        <f>IFERROR(__xludf.DUMMYFUNCTION("""COMPUTED_VALUE"""),13.0)</f>
        <v>13</v>
      </c>
      <c r="AV149" s="3">
        <f>IFERROR(__xludf.DUMMYFUNCTION("""COMPUTED_VALUE"""),16.0)</f>
        <v>16</v>
      </c>
      <c r="AW149" s="3">
        <f>IFERROR(__xludf.DUMMYFUNCTION("""COMPUTED_VALUE"""),22.0)</f>
        <v>22</v>
      </c>
      <c r="AX149" s="3">
        <f>IFERROR(__xludf.DUMMYFUNCTION("""COMPUTED_VALUE"""),22.0)</f>
        <v>22</v>
      </c>
      <c r="AY149" s="3">
        <f>IFERROR(__xludf.DUMMYFUNCTION("""COMPUTED_VALUE"""),32.0)</f>
        <v>32</v>
      </c>
      <c r="AZ149" s="3">
        <f>IFERROR(__xludf.DUMMYFUNCTION("""COMPUTED_VALUE"""),32.0)</f>
        <v>32</v>
      </c>
      <c r="BA149" s="3">
        <f>IFERROR(__xludf.DUMMYFUNCTION("""COMPUTED_VALUE"""),41.0)</f>
        <v>41</v>
      </c>
      <c r="BB149" s="3">
        <f>IFERROR(__xludf.DUMMYFUNCTION("""COMPUTED_VALUE"""),61.0)</f>
        <v>61</v>
      </c>
      <c r="BC149" s="3">
        <f>IFERROR(__xludf.DUMMYFUNCTION("""COMPUTED_VALUE"""),61.0)</f>
        <v>61</v>
      </c>
      <c r="BD149" s="3">
        <f>IFERROR(__xludf.DUMMYFUNCTION("""COMPUTED_VALUE"""),77.0)</f>
        <v>77</v>
      </c>
      <c r="BE149" s="3">
        <f>IFERROR(__xludf.DUMMYFUNCTION("""COMPUTED_VALUE"""),93.0)</f>
        <v>93</v>
      </c>
      <c r="BF149" s="3">
        <f>IFERROR(__xludf.DUMMYFUNCTION("""COMPUTED_VALUE"""),110.0)</f>
        <v>110</v>
      </c>
      <c r="BG149" s="3">
        <f>IFERROR(__xludf.DUMMYFUNCTION("""COMPUTED_VALUE"""),110.0)</f>
        <v>110</v>
      </c>
      <c r="BH149" s="3">
        <f>IFERROR(__xludf.DUMMYFUNCTION("""COMPUTED_VALUE"""),120.0)</f>
        <v>120</v>
      </c>
      <c r="BI149" s="3">
        <f>IFERROR(__xludf.DUMMYFUNCTION("""COMPUTED_VALUE"""),133.0)</f>
        <v>133</v>
      </c>
      <c r="BJ149" s="3">
        <f>IFERROR(__xludf.DUMMYFUNCTION("""COMPUTED_VALUE"""),157.0)</f>
        <v>157</v>
      </c>
      <c r="BK149" s="3">
        <f>IFERROR(__xludf.DUMMYFUNCTION("""COMPUTED_VALUE"""),163.0)</f>
        <v>163</v>
      </c>
      <c r="BL149" s="3">
        <f>IFERROR(__xludf.DUMMYFUNCTION("""COMPUTED_VALUE"""),187.0)</f>
        <v>187</v>
      </c>
      <c r="BM149" s="3">
        <f>IFERROR(__xludf.DUMMYFUNCTION("""COMPUTED_VALUE"""),248.0)</f>
        <v>248</v>
      </c>
      <c r="BN149" s="3">
        <f>IFERROR(__xludf.DUMMYFUNCTION("""COMPUTED_VALUE"""),267.0)</f>
        <v>267</v>
      </c>
      <c r="BO149" s="3">
        <f>IFERROR(__xludf.DUMMYFUNCTION("""COMPUTED_VALUE"""),318.0)</f>
        <v>318</v>
      </c>
      <c r="BP149" s="3">
        <f>IFERROR(__xludf.DUMMYFUNCTION("""COMPUTED_VALUE"""),333.0)</f>
        <v>333</v>
      </c>
      <c r="BQ149" s="3">
        <f>IFERROR(__xludf.DUMMYFUNCTION("""COMPUTED_VALUE"""),368.0)</f>
        <v>368</v>
      </c>
      <c r="BR149" s="3">
        <f>IFERROR(__xludf.DUMMYFUNCTION("""COMPUTED_VALUE"""),391.0)</f>
        <v>391</v>
      </c>
      <c r="BS149" s="3">
        <f>IFERROR(__xludf.DUMMYFUNCTION("""COMPUTED_VALUE"""),412.0)</f>
        <v>412</v>
      </c>
      <c r="BT149" s="3">
        <f>IFERROR(__xludf.DUMMYFUNCTION("""COMPUTED_VALUE"""),438.0)</f>
        <v>438</v>
      </c>
      <c r="BU149" s="3">
        <f>IFERROR(__xludf.DUMMYFUNCTION("""COMPUTED_VALUE"""),446.0)</f>
        <v>446</v>
      </c>
      <c r="BV149" s="3">
        <f>IFERROR(__xludf.DUMMYFUNCTION("""COMPUTED_VALUE"""),470.0)</f>
        <v>470</v>
      </c>
      <c r="BW149" s="3">
        <f>IFERROR(__xludf.DUMMYFUNCTION("""COMPUTED_VALUE"""),479.0)</f>
        <v>479</v>
      </c>
      <c r="BX149" s="3">
        <f>IFERROR(__xludf.DUMMYFUNCTION("""COMPUTED_VALUE"""),494.0)</f>
        <v>494</v>
      </c>
      <c r="BY149" s="3">
        <f>IFERROR(__xludf.DUMMYFUNCTION("""COMPUTED_VALUE"""),508.0)</f>
        <v>508</v>
      </c>
      <c r="BZ149" s="3">
        <f>IFERROR(__xludf.DUMMYFUNCTION("""COMPUTED_VALUE"""),520.0)</f>
        <v>520</v>
      </c>
      <c r="CA149" s="3">
        <f>IFERROR(__xludf.DUMMYFUNCTION("""COMPUTED_VALUE"""),527.0)</f>
        <v>527</v>
      </c>
      <c r="CB149" s="3">
        <f>IFERROR(__xludf.DUMMYFUNCTION("""COMPUTED_VALUE"""),541.0)</f>
        <v>541</v>
      </c>
    </row>
    <row r="150">
      <c r="A150" s="3" t="str">
        <f>IFERROR(__xludf.DUMMYFUNCTION("""COMPUTED_VALUE"""),"")</f>
        <v/>
      </c>
      <c r="B150" s="3" t="str">
        <f>IFERROR(__xludf.DUMMYFUNCTION("""COMPUTED_VALUE"""),"Liberia")</f>
        <v>Liberia</v>
      </c>
      <c r="C150" s="3">
        <f>IFERROR(__xludf.DUMMYFUNCTION("""COMPUTED_VALUE"""),6.4281)</f>
        <v>6.4281</v>
      </c>
      <c r="D150" s="3">
        <f>IFERROR(__xludf.DUMMYFUNCTION("""COMPUTED_VALUE"""),-9.4295)</f>
        <v>-9.4295</v>
      </c>
      <c r="E150" s="3">
        <f>IFERROR(__xludf.DUMMYFUNCTION("""COMPUTED_VALUE"""),0.0)</f>
        <v>0</v>
      </c>
      <c r="F150" s="3">
        <f>IFERROR(__xludf.DUMMYFUNCTION("""COMPUTED_VALUE"""),0.0)</f>
        <v>0</v>
      </c>
      <c r="G150" s="3">
        <f>IFERROR(__xludf.DUMMYFUNCTION("""COMPUTED_VALUE"""),0.0)</f>
        <v>0</v>
      </c>
      <c r="H150" s="3">
        <f>IFERROR(__xludf.DUMMYFUNCTION("""COMPUTED_VALUE"""),0.0)</f>
        <v>0</v>
      </c>
      <c r="I150" s="3">
        <f>IFERROR(__xludf.DUMMYFUNCTION("""COMPUTED_VALUE"""),0.0)</f>
        <v>0</v>
      </c>
      <c r="J150" s="3">
        <f>IFERROR(__xludf.DUMMYFUNCTION("""COMPUTED_VALUE"""),0.0)</f>
        <v>0</v>
      </c>
      <c r="K150" s="3">
        <f>IFERROR(__xludf.DUMMYFUNCTION("""COMPUTED_VALUE"""),0.0)</f>
        <v>0</v>
      </c>
      <c r="L150" s="3">
        <f>IFERROR(__xludf.DUMMYFUNCTION("""COMPUTED_VALUE"""),0.0)</f>
        <v>0</v>
      </c>
      <c r="M150" s="3">
        <f>IFERROR(__xludf.DUMMYFUNCTION("""COMPUTED_VALUE"""),0.0)</f>
        <v>0</v>
      </c>
      <c r="N150" s="3">
        <f>IFERROR(__xludf.DUMMYFUNCTION("""COMPUTED_VALUE"""),0.0)</f>
        <v>0</v>
      </c>
      <c r="O150" s="3">
        <f>IFERROR(__xludf.DUMMYFUNCTION("""COMPUTED_VALUE"""),0.0)</f>
        <v>0</v>
      </c>
      <c r="P150" s="3">
        <f>IFERROR(__xludf.DUMMYFUNCTION("""COMPUTED_VALUE"""),0.0)</f>
        <v>0</v>
      </c>
      <c r="Q150" s="3">
        <f>IFERROR(__xludf.DUMMYFUNCTION("""COMPUTED_VALUE"""),0.0)</f>
        <v>0</v>
      </c>
      <c r="R150" s="3">
        <f>IFERROR(__xludf.DUMMYFUNCTION("""COMPUTED_VALUE"""),0.0)</f>
        <v>0</v>
      </c>
      <c r="S150" s="3">
        <f>IFERROR(__xludf.DUMMYFUNCTION("""COMPUTED_VALUE"""),0.0)</f>
        <v>0</v>
      </c>
      <c r="T150" s="3">
        <f>IFERROR(__xludf.DUMMYFUNCTION("""COMPUTED_VALUE"""),0.0)</f>
        <v>0</v>
      </c>
      <c r="U150" s="3">
        <f>IFERROR(__xludf.DUMMYFUNCTION("""COMPUTED_VALUE"""),0.0)</f>
        <v>0</v>
      </c>
      <c r="V150" s="3">
        <f>IFERROR(__xludf.DUMMYFUNCTION("""COMPUTED_VALUE"""),0.0)</f>
        <v>0</v>
      </c>
      <c r="W150" s="3">
        <f>IFERROR(__xludf.DUMMYFUNCTION("""COMPUTED_VALUE"""),0.0)</f>
        <v>0</v>
      </c>
      <c r="X150" s="3">
        <f>IFERROR(__xludf.DUMMYFUNCTION("""COMPUTED_VALUE"""),0.0)</f>
        <v>0</v>
      </c>
      <c r="Y150" s="3">
        <f>IFERROR(__xludf.DUMMYFUNCTION("""COMPUTED_VALUE"""),0.0)</f>
        <v>0</v>
      </c>
      <c r="Z150" s="3">
        <f>IFERROR(__xludf.DUMMYFUNCTION("""COMPUTED_VALUE"""),0.0)</f>
        <v>0</v>
      </c>
      <c r="AA150" s="3">
        <f>IFERROR(__xludf.DUMMYFUNCTION("""COMPUTED_VALUE"""),0.0)</f>
        <v>0</v>
      </c>
      <c r="AB150" s="3">
        <f>IFERROR(__xludf.DUMMYFUNCTION("""COMPUTED_VALUE"""),0.0)</f>
        <v>0</v>
      </c>
      <c r="AC150" s="3">
        <f>IFERROR(__xludf.DUMMYFUNCTION("""COMPUTED_VALUE"""),0.0)</f>
        <v>0</v>
      </c>
      <c r="AD150" s="3">
        <f>IFERROR(__xludf.DUMMYFUNCTION("""COMPUTED_VALUE"""),0.0)</f>
        <v>0</v>
      </c>
      <c r="AE150" s="3">
        <f>IFERROR(__xludf.DUMMYFUNCTION("""COMPUTED_VALUE"""),0.0)</f>
        <v>0</v>
      </c>
      <c r="AF150" s="3">
        <f>IFERROR(__xludf.DUMMYFUNCTION("""COMPUTED_VALUE"""),0.0)</f>
        <v>0</v>
      </c>
      <c r="AG150" s="3">
        <f>IFERROR(__xludf.DUMMYFUNCTION("""COMPUTED_VALUE"""),0.0)</f>
        <v>0</v>
      </c>
      <c r="AH150" s="3">
        <f>IFERROR(__xludf.DUMMYFUNCTION("""COMPUTED_VALUE"""),0.0)</f>
        <v>0</v>
      </c>
      <c r="AI150" s="3">
        <f>IFERROR(__xludf.DUMMYFUNCTION("""COMPUTED_VALUE"""),0.0)</f>
        <v>0</v>
      </c>
      <c r="AJ150" s="3">
        <f>IFERROR(__xludf.DUMMYFUNCTION("""COMPUTED_VALUE"""),0.0)</f>
        <v>0</v>
      </c>
      <c r="AK150" s="3">
        <f>IFERROR(__xludf.DUMMYFUNCTION("""COMPUTED_VALUE"""),0.0)</f>
        <v>0</v>
      </c>
      <c r="AL150" s="3">
        <f>IFERROR(__xludf.DUMMYFUNCTION("""COMPUTED_VALUE"""),0.0)</f>
        <v>0</v>
      </c>
      <c r="AM150" s="3">
        <f>IFERROR(__xludf.DUMMYFUNCTION("""COMPUTED_VALUE"""),0.0)</f>
        <v>0</v>
      </c>
      <c r="AN150" s="3">
        <f>IFERROR(__xludf.DUMMYFUNCTION("""COMPUTED_VALUE"""),0.0)</f>
        <v>0</v>
      </c>
      <c r="AO150" s="3">
        <f>IFERROR(__xludf.DUMMYFUNCTION("""COMPUTED_VALUE"""),0.0)</f>
        <v>0</v>
      </c>
      <c r="AP150" s="3">
        <f>IFERROR(__xludf.DUMMYFUNCTION("""COMPUTED_VALUE"""),0.0)</f>
        <v>0</v>
      </c>
      <c r="AQ150" s="3">
        <f>IFERROR(__xludf.DUMMYFUNCTION("""COMPUTED_VALUE"""),0.0)</f>
        <v>0</v>
      </c>
      <c r="AR150" s="3">
        <f>IFERROR(__xludf.DUMMYFUNCTION("""COMPUTED_VALUE"""),0.0)</f>
        <v>0</v>
      </c>
      <c r="AS150" s="3">
        <f>IFERROR(__xludf.DUMMYFUNCTION("""COMPUTED_VALUE"""),0.0)</f>
        <v>0</v>
      </c>
      <c r="AT150" s="3">
        <f>IFERROR(__xludf.DUMMYFUNCTION("""COMPUTED_VALUE"""),0.0)</f>
        <v>0</v>
      </c>
      <c r="AU150" s="3">
        <f>IFERROR(__xludf.DUMMYFUNCTION("""COMPUTED_VALUE"""),0.0)</f>
        <v>0</v>
      </c>
      <c r="AV150" s="3">
        <f>IFERROR(__xludf.DUMMYFUNCTION("""COMPUTED_VALUE"""),0.0)</f>
        <v>0</v>
      </c>
      <c r="AW150" s="3">
        <f>IFERROR(__xludf.DUMMYFUNCTION("""COMPUTED_VALUE"""),0.0)</f>
        <v>0</v>
      </c>
      <c r="AX150" s="3">
        <f>IFERROR(__xludf.DUMMYFUNCTION("""COMPUTED_VALUE"""),0.0)</f>
        <v>0</v>
      </c>
      <c r="AY150" s="3">
        <f>IFERROR(__xludf.DUMMYFUNCTION("""COMPUTED_VALUE"""),0.0)</f>
        <v>0</v>
      </c>
      <c r="AZ150" s="3">
        <f>IFERROR(__xludf.DUMMYFUNCTION("""COMPUTED_VALUE"""),0.0)</f>
        <v>0</v>
      </c>
      <c r="BA150" s="3">
        <f>IFERROR(__xludf.DUMMYFUNCTION("""COMPUTED_VALUE"""),0.0)</f>
        <v>0</v>
      </c>
      <c r="BB150" s="3">
        <f>IFERROR(__xludf.DUMMYFUNCTION("""COMPUTED_VALUE"""),0.0)</f>
        <v>0</v>
      </c>
      <c r="BC150" s="3">
        <f>IFERROR(__xludf.DUMMYFUNCTION("""COMPUTED_VALUE"""),0.0)</f>
        <v>0</v>
      </c>
      <c r="BD150" s="3">
        <f>IFERROR(__xludf.DUMMYFUNCTION("""COMPUTED_VALUE"""),0.0)</f>
        <v>0</v>
      </c>
      <c r="BE150" s="3">
        <f>IFERROR(__xludf.DUMMYFUNCTION("""COMPUTED_VALUE"""),0.0)</f>
        <v>0</v>
      </c>
      <c r="BF150" s="3">
        <f>IFERROR(__xludf.DUMMYFUNCTION("""COMPUTED_VALUE"""),0.0)</f>
        <v>0</v>
      </c>
      <c r="BG150" s="3">
        <f>IFERROR(__xludf.DUMMYFUNCTION("""COMPUTED_VALUE"""),1.0)</f>
        <v>1</v>
      </c>
      <c r="BH150" s="3">
        <f>IFERROR(__xludf.DUMMYFUNCTION("""COMPUTED_VALUE"""),1.0)</f>
        <v>1</v>
      </c>
      <c r="BI150" s="3">
        <f>IFERROR(__xludf.DUMMYFUNCTION("""COMPUTED_VALUE"""),2.0)</f>
        <v>2</v>
      </c>
      <c r="BJ150" s="3">
        <f>IFERROR(__xludf.DUMMYFUNCTION("""COMPUTED_VALUE"""),2.0)</f>
        <v>2</v>
      </c>
      <c r="BK150" s="3">
        <f>IFERROR(__xludf.DUMMYFUNCTION("""COMPUTED_VALUE"""),2.0)</f>
        <v>2</v>
      </c>
      <c r="BL150" s="3">
        <f>IFERROR(__xludf.DUMMYFUNCTION("""COMPUTED_VALUE"""),3.0)</f>
        <v>3</v>
      </c>
      <c r="BM150" s="3">
        <f>IFERROR(__xludf.DUMMYFUNCTION("""COMPUTED_VALUE"""),3.0)</f>
        <v>3</v>
      </c>
      <c r="BN150" s="3">
        <f>IFERROR(__xludf.DUMMYFUNCTION("""COMPUTED_VALUE"""),3.0)</f>
        <v>3</v>
      </c>
      <c r="BO150" s="3">
        <f>IFERROR(__xludf.DUMMYFUNCTION("""COMPUTED_VALUE"""),3.0)</f>
        <v>3</v>
      </c>
      <c r="BP150" s="3">
        <f>IFERROR(__xludf.DUMMYFUNCTION("""COMPUTED_VALUE"""),3.0)</f>
        <v>3</v>
      </c>
      <c r="BQ150" s="3">
        <f>IFERROR(__xludf.DUMMYFUNCTION("""COMPUTED_VALUE"""),3.0)</f>
        <v>3</v>
      </c>
      <c r="BR150" s="3">
        <f>IFERROR(__xludf.DUMMYFUNCTION("""COMPUTED_VALUE"""),3.0)</f>
        <v>3</v>
      </c>
      <c r="BS150" s="3">
        <f>IFERROR(__xludf.DUMMYFUNCTION("""COMPUTED_VALUE"""),3.0)</f>
        <v>3</v>
      </c>
      <c r="BT150" s="3">
        <f>IFERROR(__xludf.DUMMYFUNCTION("""COMPUTED_VALUE"""),3.0)</f>
        <v>3</v>
      </c>
      <c r="BU150" s="3">
        <f>IFERROR(__xludf.DUMMYFUNCTION("""COMPUTED_VALUE"""),3.0)</f>
        <v>3</v>
      </c>
      <c r="BV150" s="3">
        <f>IFERROR(__xludf.DUMMYFUNCTION("""COMPUTED_VALUE"""),3.0)</f>
        <v>3</v>
      </c>
      <c r="BW150" s="3">
        <f>IFERROR(__xludf.DUMMYFUNCTION("""COMPUTED_VALUE"""),6.0)</f>
        <v>6</v>
      </c>
      <c r="BX150" s="3">
        <f>IFERROR(__xludf.DUMMYFUNCTION("""COMPUTED_VALUE"""),6.0)</f>
        <v>6</v>
      </c>
      <c r="BY150" s="3">
        <f>IFERROR(__xludf.DUMMYFUNCTION("""COMPUTED_VALUE"""),7.0)</f>
        <v>7</v>
      </c>
      <c r="BZ150" s="3">
        <f>IFERROR(__xludf.DUMMYFUNCTION("""COMPUTED_VALUE"""),10.0)</f>
        <v>10</v>
      </c>
      <c r="CA150" s="3">
        <f>IFERROR(__xludf.DUMMYFUNCTION("""COMPUTED_VALUE"""),13.0)</f>
        <v>13</v>
      </c>
      <c r="CB150" s="3">
        <f>IFERROR(__xludf.DUMMYFUNCTION("""COMPUTED_VALUE"""),14.0)</f>
        <v>14</v>
      </c>
    </row>
    <row r="151">
      <c r="A151" s="3" t="str">
        <f>IFERROR(__xludf.DUMMYFUNCTION("""COMPUTED_VALUE"""),"")</f>
        <v/>
      </c>
      <c r="B151" s="3" t="str">
        <f>IFERROR(__xludf.DUMMYFUNCTION("""COMPUTED_VALUE"""),"Liechtenstein")</f>
        <v>Liechtenstein</v>
      </c>
      <c r="C151" s="3">
        <f>IFERROR(__xludf.DUMMYFUNCTION("""COMPUTED_VALUE"""),47.14)</f>
        <v>47.14</v>
      </c>
      <c r="D151" s="3">
        <f>IFERROR(__xludf.DUMMYFUNCTION("""COMPUTED_VALUE"""),9.55)</f>
        <v>9.55</v>
      </c>
      <c r="E151" s="3">
        <f>IFERROR(__xludf.DUMMYFUNCTION("""COMPUTED_VALUE"""),0.0)</f>
        <v>0</v>
      </c>
      <c r="F151" s="3">
        <f>IFERROR(__xludf.DUMMYFUNCTION("""COMPUTED_VALUE"""),0.0)</f>
        <v>0</v>
      </c>
      <c r="G151" s="3">
        <f>IFERROR(__xludf.DUMMYFUNCTION("""COMPUTED_VALUE"""),0.0)</f>
        <v>0</v>
      </c>
      <c r="H151" s="3">
        <f>IFERROR(__xludf.DUMMYFUNCTION("""COMPUTED_VALUE"""),0.0)</f>
        <v>0</v>
      </c>
      <c r="I151" s="3">
        <f>IFERROR(__xludf.DUMMYFUNCTION("""COMPUTED_VALUE"""),0.0)</f>
        <v>0</v>
      </c>
      <c r="J151" s="3">
        <f>IFERROR(__xludf.DUMMYFUNCTION("""COMPUTED_VALUE"""),0.0)</f>
        <v>0</v>
      </c>
      <c r="K151" s="3">
        <f>IFERROR(__xludf.DUMMYFUNCTION("""COMPUTED_VALUE"""),0.0)</f>
        <v>0</v>
      </c>
      <c r="L151" s="3">
        <f>IFERROR(__xludf.DUMMYFUNCTION("""COMPUTED_VALUE"""),0.0)</f>
        <v>0</v>
      </c>
      <c r="M151" s="3">
        <f>IFERROR(__xludf.DUMMYFUNCTION("""COMPUTED_VALUE"""),0.0)</f>
        <v>0</v>
      </c>
      <c r="N151" s="3">
        <f>IFERROR(__xludf.DUMMYFUNCTION("""COMPUTED_VALUE"""),0.0)</f>
        <v>0</v>
      </c>
      <c r="O151" s="3">
        <f>IFERROR(__xludf.DUMMYFUNCTION("""COMPUTED_VALUE"""),0.0)</f>
        <v>0</v>
      </c>
      <c r="P151" s="3">
        <f>IFERROR(__xludf.DUMMYFUNCTION("""COMPUTED_VALUE"""),0.0)</f>
        <v>0</v>
      </c>
      <c r="Q151" s="3">
        <f>IFERROR(__xludf.DUMMYFUNCTION("""COMPUTED_VALUE"""),0.0)</f>
        <v>0</v>
      </c>
      <c r="R151" s="3">
        <f>IFERROR(__xludf.DUMMYFUNCTION("""COMPUTED_VALUE"""),0.0)</f>
        <v>0</v>
      </c>
      <c r="S151" s="3">
        <f>IFERROR(__xludf.DUMMYFUNCTION("""COMPUTED_VALUE"""),0.0)</f>
        <v>0</v>
      </c>
      <c r="T151" s="3">
        <f>IFERROR(__xludf.DUMMYFUNCTION("""COMPUTED_VALUE"""),0.0)</f>
        <v>0</v>
      </c>
      <c r="U151" s="3">
        <f>IFERROR(__xludf.DUMMYFUNCTION("""COMPUTED_VALUE"""),0.0)</f>
        <v>0</v>
      </c>
      <c r="V151" s="3">
        <f>IFERROR(__xludf.DUMMYFUNCTION("""COMPUTED_VALUE"""),0.0)</f>
        <v>0</v>
      </c>
      <c r="W151" s="3">
        <f>IFERROR(__xludf.DUMMYFUNCTION("""COMPUTED_VALUE"""),0.0)</f>
        <v>0</v>
      </c>
      <c r="X151" s="3">
        <f>IFERROR(__xludf.DUMMYFUNCTION("""COMPUTED_VALUE"""),0.0)</f>
        <v>0</v>
      </c>
      <c r="Y151" s="3">
        <f>IFERROR(__xludf.DUMMYFUNCTION("""COMPUTED_VALUE"""),0.0)</f>
        <v>0</v>
      </c>
      <c r="Z151" s="3">
        <f>IFERROR(__xludf.DUMMYFUNCTION("""COMPUTED_VALUE"""),0.0)</f>
        <v>0</v>
      </c>
      <c r="AA151" s="3">
        <f>IFERROR(__xludf.DUMMYFUNCTION("""COMPUTED_VALUE"""),0.0)</f>
        <v>0</v>
      </c>
      <c r="AB151" s="3">
        <f>IFERROR(__xludf.DUMMYFUNCTION("""COMPUTED_VALUE"""),0.0)</f>
        <v>0</v>
      </c>
      <c r="AC151" s="3">
        <f>IFERROR(__xludf.DUMMYFUNCTION("""COMPUTED_VALUE"""),0.0)</f>
        <v>0</v>
      </c>
      <c r="AD151" s="3">
        <f>IFERROR(__xludf.DUMMYFUNCTION("""COMPUTED_VALUE"""),0.0)</f>
        <v>0</v>
      </c>
      <c r="AE151" s="3">
        <f>IFERROR(__xludf.DUMMYFUNCTION("""COMPUTED_VALUE"""),0.0)</f>
        <v>0</v>
      </c>
      <c r="AF151" s="3">
        <f>IFERROR(__xludf.DUMMYFUNCTION("""COMPUTED_VALUE"""),0.0)</f>
        <v>0</v>
      </c>
      <c r="AG151" s="3">
        <f>IFERROR(__xludf.DUMMYFUNCTION("""COMPUTED_VALUE"""),0.0)</f>
        <v>0</v>
      </c>
      <c r="AH151" s="3">
        <f>IFERROR(__xludf.DUMMYFUNCTION("""COMPUTED_VALUE"""),0.0)</f>
        <v>0</v>
      </c>
      <c r="AI151" s="3">
        <f>IFERROR(__xludf.DUMMYFUNCTION("""COMPUTED_VALUE"""),0.0)</f>
        <v>0</v>
      </c>
      <c r="AJ151" s="3">
        <f>IFERROR(__xludf.DUMMYFUNCTION("""COMPUTED_VALUE"""),0.0)</f>
        <v>0</v>
      </c>
      <c r="AK151" s="3">
        <f>IFERROR(__xludf.DUMMYFUNCTION("""COMPUTED_VALUE"""),0.0)</f>
        <v>0</v>
      </c>
      <c r="AL151" s="3">
        <f>IFERROR(__xludf.DUMMYFUNCTION("""COMPUTED_VALUE"""),0.0)</f>
        <v>0</v>
      </c>
      <c r="AM151" s="3">
        <f>IFERROR(__xludf.DUMMYFUNCTION("""COMPUTED_VALUE"""),0.0)</f>
        <v>0</v>
      </c>
      <c r="AN151" s="3">
        <f>IFERROR(__xludf.DUMMYFUNCTION("""COMPUTED_VALUE"""),0.0)</f>
        <v>0</v>
      </c>
      <c r="AO151" s="3">
        <f>IFERROR(__xludf.DUMMYFUNCTION("""COMPUTED_VALUE"""),0.0)</f>
        <v>0</v>
      </c>
      <c r="AP151" s="3">
        <f>IFERROR(__xludf.DUMMYFUNCTION("""COMPUTED_VALUE"""),0.0)</f>
        <v>0</v>
      </c>
      <c r="AQ151" s="3">
        <f>IFERROR(__xludf.DUMMYFUNCTION("""COMPUTED_VALUE"""),0.0)</f>
        <v>0</v>
      </c>
      <c r="AR151" s="3">
        <f>IFERROR(__xludf.DUMMYFUNCTION("""COMPUTED_VALUE"""),0.0)</f>
        <v>0</v>
      </c>
      <c r="AS151" s="3">
        <f>IFERROR(__xludf.DUMMYFUNCTION("""COMPUTED_VALUE"""),0.0)</f>
        <v>0</v>
      </c>
      <c r="AT151" s="3">
        <f>IFERROR(__xludf.DUMMYFUNCTION("""COMPUTED_VALUE"""),0.0)</f>
        <v>0</v>
      </c>
      <c r="AU151" s="3">
        <f>IFERROR(__xludf.DUMMYFUNCTION("""COMPUTED_VALUE"""),1.0)</f>
        <v>1</v>
      </c>
      <c r="AV151" s="3">
        <f>IFERROR(__xludf.DUMMYFUNCTION("""COMPUTED_VALUE"""),1.0)</f>
        <v>1</v>
      </c>
      <c r="AW151" s="3">
        <f>IFERROR(__xludf.DUMMYFUNCTION("""COMPUTED_VALUE"""),1.0)</f>
        <v>1</v>
      </c>
      <c r="AX151" s="3">
        <f>IFERROR(__xludf.DUMMYFUNCTION("""COMPUTED_VALUE"""),1.0)</f>
        <v>1</v>
      </c>
      <c r="AY151" s="3">
        <f>IFERROR(__xludf.DUMMYFUNCTION("""COMPUTED_VALUE"""),1.0)</f>
        <v>1</v>
      </c>
      <c r="AZ151" s="3">
        <f>IFERROR(__xludf.DUMMYFUNCTION("""COMPUTED_VALUE"""),1.0)</f>
        <v>1</v>
      </c>
      <c r="BA151" s="3">
        <f>IFERROR(__xludf.DUMMYFUNCTION("""COMPUTED_VALUE"""),1.0)</f>
        <v>1</v>
      </c>
      <c r="BB151" s="3">
        <f>IFERROR(__xludf.DUMMYFUNCTION("""COMPUTED_VALUE"""),1.0)</f>
        <v>1</v>
      </c>
      <c r="BC151" s="3">
        <f>IFERROR(__xludf.DUMMYFUNCTION("""COMPUTED_VALUE"""),1.0)</f>
        <v>1</v>
      </c>
      <c r="BD151" s="3">
        <f>IFERROR(__xludf.DUMMYFUNCTION("""COMPUTED_VALUE"""),1.0)</f>
        <v>1</v>
      </c>
      <c r="BE151" s="3">
        <f>IFERROR(__xludf.DUMMYFUNCTION("""COMPUTED_VALUE"""),4.0)</f>
        <v>4</v>
      </c>
      <c r="BF151" s="3">
        <f>IFERROR(__xludf.DUMMYFUNCTION("""COMPUTED_VALUE"""),4.0)</f>
        <v>4</v>
      </c>
      <c r="BG151" s="3">
        <f>IFERROR(__xludf.DUMMYFUNCTION("""COMPUTED_VALUE"""),4.0)</f>
        <v>4</v>
      </c>
      <c r="BH151" s="3">
        <f>IFERROR(__xludf.DUMMYFUNCTION("""COMPUTED_VALUE"""),7.0)</f>
        <v>7</v>
      </c>
      <c r="BI151" s="3">
        <f>IFERROR(__xludf.DUMMYFUNCTION("""COMPUTED_VALUE"""),28.0)</f>
        <v>28</v>
      </c>
      <c r="BJ151" s="3">
        <f>IFERROR(__xludf.DUMMYFUNCTION("""COMPUTED_VALUE"""),28.0)</f>
        <v>28</v>
      </c>
      <c r="BK151" s="3">
        <f>IFERROR(__xludf.DUMMYFUNCTION("""COMPUTED_VALUE"""),28.0)</f>
        <v>28</v>
      </c>
      <c r="BL151" s="3">
        <f>IFERROR(__xludf.DUMMYFUNCTION("""COMPUTED_VALUE"""),37.0)</f>
        <v>37</v>
      </c>
      <c r="BM151" s="3">
        <f>IFERROR(__xludf.DUMMYFUNCTION("""COMPUTED_VALUE"""),37.0)</f>
        <v>37</v>
      </c>
      <c r="BN151" s="3">
        <f>IFERROR(__xludf.DUMMYFUNCTION("""COMPUTED_VALUE"""),51.0)</f>
        <v>51</v>
      </c>
      <c r="BO151" s="3">
        <f>IFERROR(__xludf.DUMMYFUNCTION("""COMPUTED_VALUE"""),51.0)</f>
        <v>51</v>
      </c>
      <c r="BP151" s="3">
        <f>IFERROR(__xludf.DUMMYFUNCTION("""COMPUTED_VALUE"""),51.0)</f>
        <v>51</v>
      </c>
      <c r="BQ151" s="3">
        <f>IFERROR(__xludf.DUMMYFUNCTION("""COMPUTED_VALUE"""),56.0)</f>
        <v>56</v>
      </c>
      <c r="BR151" s="3">
        <f>IFERROR(__xludf.DUMMYFUNCTION("""COMPUTED_VALUE"""),56.0)</f>
        <v>56</v>
      </c>
      <c r="BS151" s="3">
        <f>IFERROR(__xludf.DUMMYFUNCTION("""COMPUTED_VALUE"""),56.0)</f>
        <v>56</v>
      </c>
      <c r="BT151" s="3">
        <f>IFERROR(__xludf.DUMMYFUNCTION("""COMPUTED_VALUE"""),56.0)</f>
        <v>56</v>
      </c>
      <c r="BU151" s="3">
        <f>IFERROR(__xludf.DUMMYFUNCTION("""COMPUTED_VALUE"""),62.0)</f>
        <v>62</v>
      </c>
      <c r="BV151" s="3">
        <f>IFERROR(__xludf.DUMMYFUNCTION("""COMPUTED_VALUE"""),68.0)</f>
        <v>68</v>
      </c>
      <c r="BW151" s="3">
        <f>IFERROR(__xludf.DUMMYFUNCTION("""COMPUTED_VALUE"""),68.0)</f>
        <v>68</v>
      </c>
      <c r="BX151" s="3">
        <f>IFERROR(__xludf.DUMMYFUNCTION("""COMPUTED_VALUE"""),75.0)</f>
        <v>75</v>
      </c>
      <c r="BY151" s="3">
        <f>IFERROR(__xludf.DUMMYFUNCTION("""COMPUTED_VALUE"""),75.0)</f>
        <v>75</v>
      </c>
      <c r="BZ151" s="3">
        <f>IFERROR(__xludf.DUMMYFUNCTION("""COMPUTED_VALUE"""),77.0)</f>
        <v>77</v>
      </c>
      <c r="CA151" s="3">
        <f>IFERROR(__xludf.DUMMYFUNCTION("""COMPUTED_VALUE"""),77.0)</f>
        <v>77</v>
      </c>
      <c r="CB151" s="3">
        <f>IFERROR(__xludf.DUMMYFUNCTION("""COMPUTED_VALUE"""),77.0)</f>
        <v>77</v>
      </c>
    </row>
    <row r="152">
      <c r="A152" s="3" t="str">
        <f>IFERROR(__xludf.DUMMYFUNCTION("""COMPUTED_VALUE"""),"")</f>
        <v/>
      </c>
      <c r="B152" s="3" t="str">
        <f>IFERROR(__xludf.DUMMYFUNCTION("""COMPUTED_VALUE"""),"Lithuania")</f>
        <v>Lithuania</v>
      </c>
      <c r="C152" s="3">
        <f>IFERROR(__xludf.DUMMYFUNCTION("""COMPUTED_VALUE"""),55.1694)</f>
        <v>55.1694</v>
      </c>
      <c r="D152" s="3">
        <f>IFERROR(__xludf.DUMMYFUNCTION("""COMPUTED_VALUE"""),23.8813)</f>
        <v>23.8813</v>
      </c>
      <c r="E152" s="3">
        <f>IFERROR(__xludf.DUMMYFUNCTION("""COMPUTED_VALUE"""),0.0)</f>
        <v>0</v>
      </c>
      <c r="F152" s="3">
        <f>IFERROR(__xludf.DUMMYFUNCTION("""COMPUTED_VALUE"""),0.0)</f>
        <v>0</v>
      </c>
      <c r="G152" s="3">
        <f>IFERROR(__xludf.DUMMYFUNCTION("""COMPUTED_VALUE"""),0.0)</f>
        <v>0</v>
      </c>
      <c r="H152" s="3">
        <f>IFERROR(__xludf.DUMMYFUNCTION("""COMPUTED_VALUE"""),0.0)</f>
        <v>0</v>
      </c>
      <c r="I152" s="3">
        <f>IFERROR(__xludf.DUMMYFUNCTION("""COMPUTED_VALUE"""),0.0)</f>
        <v>0</v>
      </c>
      <c r="J152" s="3">
        <f>IFERROR(__xludf.DUMMYFUNCTION("""COMPUTED_VALUE"""),0.0)</f>
        <v>0</v>
      </c>
      <c r="K152" s="3">
        <f>IFERROR(__xludf.DUMMYFUNCTION("""COMPUTED_VALUE"""),0.0)</f>
        <v>0</v>
      </c>
      <c r="L152" s="3">
        <f>IFERROR(__xludf.DUMMYFUNCTION("""COMPUTED_VALUE"""),0.0)</f>
        <v>0</v>
      </c>
      <c r="M152" s="3">
        <f>IFERROR(__xludf.DUMMYFUNCTION("""COMPUTED_VALUE"""),0.0)</f>
        <v>0</v>
      </c>
      <c r="N152" s="3">
        <f>IFERROR(__xludf.DUMMYFUNCTION("""COMPUTED_VALUE"""),0.0)</f>
        <v>0</v>
      </c>
      <c r="O152" s="3">
        <f>IFERROR(__xludf.DUMMYFUNCTION("""COMPUTED_VALUE"""),0.0)</f>
        <v>0</v>
      </c>
      <c r="P152" s="3">
        <f>IFERROR(__xludf.DUMMYFUNCTION("""COMPUTED_VALUE"""),0.0)</f>
        <v>0</v>
      </c>
      <c r="Q152" s="3">
        <f>IFERROR(__xludf.DUMMYFUNCTION("""COMPUTED_VALUE"""),0.0)</f>
        <v>0</v>
      </c>
      <c r="R152" s="3">
        <f>IFERROR(__xludf.DUMMYFUNCTION("""COMPUTED_VALUE"""),0.0)</f>
        <v>0</v>
      </c>
      <c r="S152" s="3">
        <f>IFERROR(__xludf.DUMMYFUNCTION("""COMPUTED_VALUE"""),0.0)</f>
        <v>0</v>
      </c>
      <c r="T152" s="3">
        <f>IFERROR(__xludf.DUMMYFUNCTION("""COMPUTED_VALUE"""),0.0)</f>
        <v>0</v>
      </c>
      <c r="U152" s="3">
        <f>IFERROR(__xludf.DUMMYFUNCTION("""COMPUTED_VALUE"""),0.0)</f>
        <v>0</v>
      </c>
      <c r="V152" s="3">
        <f>IFERROR(__xludf.DUMMYFUNCTION("""COMPUTED_VALUE"""),0.0)</f>
        <v>0</v>
      </c>
      <c r="W152" s="3">
        <f>IFERROR(__xludf.DUMMYFUNCTION("""COMPUTED_VALUE"""),0.0)</f>
        <v>0</v>
      </c>
      <c r="X152" s="3">
        <f>IFERROR(__xludf.DUMMYFUNCTION("""COMPUTED_VALUE"""),0.0)</f>
        <v>0</v>
      </c>
      <c r="Y152" s="3">
        <f>IFERROR(__xludf.DUMMYFUNCTION("""COMPUTED_VALUE"""),0.0)</f>
        <v>0</v>
      </c>
      <c r="Z152" s="3">
        <f>IFERROR(__xludf.DUMMYFUNCTION("""COMPUTED_VALUE"""),0.0)</f>
        <v>0</v>
      </c>
      <c r="AA152" s="3">
        <f>IFERROR(__xludf.DUMMYFUNCTION("""COMPUTED_VALUE"""),0.0)</f>
        <v>0</v>
      </c>
      <c r="AB152" s="3">
        <f>IFERROR(__xludf.DUMMYFUNCTION("""COMPUTED_VALUE"""),0.0)</f>
        <v>0</v>
      </c>
      <c r="AC152" s="3">
        <f>IFERROR(__xludf.DUMMYFUNCTION("""COMPUTED_VALUE"""),0.0)</f>
        <v>0</v>
      </c>
      <c r="AD152" s="3">
        <f>IFERROR(__xludf.DUMMYFUNCTION("""COMPUTED_VALUE"""),0.0)</f>
        <v>0</v>
      </c>
      <c r="AE152" s="3">
        <f>IFERROR(__xludf.DUMMYFUNCTION("""COMPUTED_VALUE"""),0.0)</f>
        <v>0</v>
      </c>
      <c r="AF152" s="3">
        <f>IFERROR(__xludf.DUMMYFUNCTION("""COMPUTED_VALUE"""),0.0)</f>
        <v>0</v>
      </c>
      <c r="AG152" s="3">
        <f>IFERROR(__xludf.DUMMYFUNCTION("""COMPUTED_VALUE"""),0.0)</f>
        <v>0</v>
      </c>
      <c r="AH152" s="3">
        <f>IFERROR(__xludf.DUMMYFUNCTION("""COMPUTED_VALUE"""),0.0)</f>
        <v>0</v>
      </c>
      <c r="AI152" s="3">
        <f>IFERROR(__xludf.DUMMYFUNCTION("""COMPUTED_VALUE"""),0.0)</f>
        <v>0</v>
      </c>
      <c r="AJ152" s="3">
        <f>IFERROR(__xludf.DUMMYFUNCTION("""COMPUTED_VALUE"""),0.0)</f>
        <v>0</v>
      </c>
      <c r="AK152" s="3">
        <f>IFERROR(__xludf.DUMMYFUNCTION("""COMPUTED_VALUE"""),0.0)</f>
        <v>0</v>
      </c>
      <c r="AL152" s="3">
        <f>IFERROR(__xludf.DUMMYFUNCTION("""COMPUTED_VALUE"""),0.0)</f>
        <v>0</v>
      </c>
      <c r="AM152" s="3">
        <f>IFERROR(__xludf.DUMMYFUNCTION("""COMPUTED_VALUE"""),0.0)</f>
        <v>0</v>
      </c>
      <c r="AN152" s="3">
        <f>IFERROR(__xludf.DUMMYFUNCTION("""COMPUTED_VALUE"""),0.0)</f>
        <v>0</v>
      </c>
      <c r="AO152" s="3">
        <f>IFERROR(__xludf.DUMMYFUNCTION("""COMPUTED_VALUE"""),0.0)</f>
        <v>0</v>
      </c>
      <c r="AP152" s="3">
        <f>IFERROR(__xludf.DUMMYFUNCTION("""COMPUTED_VALUE"""),1.0)</f>
        <v>1</v>
      </c>
      <c r="AQ152" s="3">
        <f>IFERROR(__xludf.DUMMYFUNCTION("""COMPUTED_VALUE"""),1.0)</f>
        <v>1</v>
      </c>
      <c r="AR152" s="3">
        <f>IFERROR(__xludf.DUMMYFUNCTION("""COMPUTED_VALUE"""),1.0)</f>
        <v>1</v>
      </c>
      <c r="AS152" s="3">
        <f>IFERROR(__xludf.DUMMYFUNCTION("""COMPUTED_VALUE"""),1.0)</f>
        <v>1</v>
      </c>
      <c r="AT152" s="3">
        <f>IFERROR(__xludf.DUMMYFUNCTION("""COMPUTED_VALUE"""),1.0)</f>
        <v>1</v>
      </c>
      <c r="AU152" s="3">
        <f>IFERROR(__xludf.DUMMYFUNCTION("""COMPUTED_VALUE"""),1.0)</f>
        <v>1</v>
      </c>
      <c r="AV152" s="3">
        <f>IFERROR(__xludf.DUMMYFUNCTION("""COMPUTED_VALUE"""),1.0)</f>
        <v>1</v>
      </c>
      <c r="AW152" s="3">
        <f>IFERROR(__xludf.DUMMYFUNCTION("""COMPUTED_VALUE"""),1.0)</f>
        <v>1</v>
      </c>
      <c r="AX152" s="3">
        <f>IFERROR(__xludf.DUMMYFUNCTION("""COMPUTED_VALUE"""),1.0)</f>
        <v>1</v>
      </c>
      <c r="AY152" s="3">
        <f>IFERROR(__xludf.DUMMYFUNCTION("""COMPUTED_VALUE"""),1.0)</f>
        <v>1</v>
      </c>
      <c r="AZ152" s="3">
        <f>IFERROR(__xludf.DUMMYFUNCTION("""COMPUTED_VALUE"""),1.0)</f>
        <v>1</v>
      </c>
      <c r="BA152" s="3">
        <f>IFERROR(__xludf.DUMMYFUNCTION("""COMPUTED_VALUE"""),1.0)</f>
        <v>1</v>
      </c>
      <c r="BB152" s="3">
        <f>IFERROR(__xludf.DUMMYFUNCTION("""COMPUTED_VALUE"""),3.0)</f>
        <v>3</v>
      </c>
      <c r="BC152" s="3">
        <f>IFERROR(__xludf.DUMMYFUNCTION("""COMPUTED_VALUE"""),3.0)</f>
        <v>3</v>
      </c>
      <c r="BD152" s="3">
        <f>IFERROR(__xludf.DUMMYFUNCTION("""COMPUTED_VALUE"""),6.0)</f>
        <v>6</v>
      </c>
      <c r="BE152" s="3">
        <f>IFERROR(__xludf.DUMMYFUNCTION("""COMPUTED_VALUE"""),8.0)</f>
        <v>8</v>
      </c>
      <c r="BF152" s="3">
        <f>IFERROR(__xludf.DUMMYFUNCTION("""COMPUTED_VALUE"""),12.0)</f>
        <v>12</v>
      </c>
      <c r="BG152" s="3">
        <f>IFERROR(__xludf.DUMMYFUNCTION("""COMPUTED_VALUE"""),17.0)</f>
        <v>17</v>
      </c>
      <c r="BH152" s="3">
        <f>IFERROR(__xludf.DUMMYFUNCTION("""COMPUTED_VALUE"""),25.0)</f>
        <v>25</v>
      </c>
      <c r="BI152" s="3">
        <f>IFERROR(__xludf.DUMMYFUNCTION("""COMPUTED_VALUE"""),27.0)</f>
        <v>27</v>
      </c>
      <c r="BJ152" s="3">
        <f>IFERROR(__xludf.DUMMYFUNCTION("""COMPUTED_VALUE"""),36.0)</f>
        <v>36</v>
      </c>
      <c r="BK152" s="3">
        <f>IFERROR(__xludf.DUMMYFUNCTION("""COMPUTED_VALUE"""),49.0)</f>
        <v>49</v>
      </c>
      <c r="BL152" s="3">
        <f>IFERROR(__xludf.DUMMYFUNCTION("""COMPUTED_VALUE"""),83.0)</f>
        <v>83</v>
      </c>
      <c r="BM152" s="3">
        <f>IFERROR(__xludf.DUMMYFUNCTION("""COMPUTED_VALUE"""),143.0)</f>
        <v>143</v>
      </c>
      <c r="BN152" s="3">
        <f>IFERROR(__xludf.DUMMYFUNCTION("""COMPUTED_VALUE"""),179.0)</f>
        <v>179</v>
      </c>
      <c r="BO152" s="3">
        <f>IFERROR(__xludf.DUMMYFUNCTION("""COMPUTED_VALUE"""),209.0)</f>
        <v>209</v>
      </c>
      <c r="BP152" s="3">
        <f>IFERROR(__xludf.DUMMYFUNCTION("""COMPUTED_VALUE"""),274.0)</f>
        <v>274</v>
      </c>
      <c r="BQ152" s="3">
        <f>IFERROR(__xludf.DUMMYFUNCTION("""COMPUTED_VALUE"""),299.0)</f>
        <v>299</v>
      </c>
      <c r="BR152" s="3">
        <f>IFERROR(__xludf.DUMMYFUNCTION("""COMPUTED_VALUE"""),358.0)</f>
        <v>358</v>
      </c>
      <c r="BS152" s="3">
        <f>IFERROR(__xludf.DUMMYFUNCTION("""COMPUTED_VALUE"""),394.0)</f>
        <v>394</v>
      </c>
      <c r="BT152" s="3">
        <f>IFERROR(__xludf.DUMMYFUNCTION("""COMPUTED_VALUE"""),460.0)</f>
        <v>460</v>
      </c>
      <c r="BU152" s="3">
        <f>IFERROR(__xludf.DUMMYFUNCTION("""COMPUTED_VALUE"""),491.0)</f>
        <v>491</v>
      </c>
      <c r="BV152" s="3">
        <f>IFERROR(__xludf.DUMMYFUNCTION("""COMPUTED_VALUE"""),537.0)</f>
        <v>537</v>
      </c>
      <c r="BW152" s="3">
        <f>IFERROR(__xludf.DUMMYFUNCTION("""COMPUTED_VALUE"""),581.0)</f>
        <v>581</v>
      </c>
      <c r="BX152" s="3">
        <f>IFERROR(__xludf.DUMMYFUNCTION("""COMPUTED_VALUE"""),649.0)</f>
        <v>649</v>
      </c>
      <c r="BY152" s="3">
        <f>IFERROR(__xludf.DUMMYFUNCTION("""COMPUTED_VALUE"""),696.0)</f>
        <v>696</v>
      </c>
      <c r="BZ152" s="3">
        <f>IFERROR(__xludf.DUMMYFUNCTION("""COMPUTED_VALUE"""),771.0)</f>
        <v>771</v>
      </c>
      <c r="CA152" s="3">
        <f>IFERROR(__xludf.DUMMYFUNCTION("""COMPUTED_VALUE"""),811.0)</f>
        <v>811</v>
      </c>
      <c r="CB152" s="3">
        <f>IFERROR(__xludf.DUMMYFUNCTION("""COMPUTED_VALUE"""),843.0)</f>
        <v>843</v>
      </c>
    </row>
    <row r="153">
      <c r="A153" s="3" t="str">
        <f>IFERROR(__xludf.DUMMYFUNCTION("""COMPUTED_VALUE"""),"")</f>
        <v/>
      </c>
      <c r="B153" s="3" t="str">
        <f>IFERROR(__xludf.DUMMYFUNCTION("""COMPUTED_VALUE"""),"Luxembourg")</f>
        <v>Luxembourg</v>
      </c>
      <c r="C153" s="3">
        <f>IFERROR(__xludf.DUMMYFUNCTION("""COMPUTED_VALUE"""),49.8153)</f>
        <v>49.8153</v>
      </c>
      <c r="D153" s="3">
        <f>IFERROR(__xludf.DUMMYFUNCTION("""COMPUTED_VALUE"""),6.1296)</f>
        <v>6.1296</v>
      </c>
      <c r="E153" s="3">
        <f>IFERROR(__xludf.DUMMYFUNCTION("""COMPUTED_VALUE"""),0.0)</f>
        <v>0</v>
      </c>
      <c r="F153" s="3">
        <f>IFERROR(__xludf.DUMMYFUNCTION("""COMPUTED_VALUE"""),0.0)</f>
        <v>0</v>
      </c>
      <c r="G153" s="3">
        <f>IFERROR(__xludf.DUMMYFUNCTION("""COMPUTED_VALUE"""),0.0)</f>
        <v>0</v>
      </c>
      <c r="H153" s="3">
        <f>IFERROR(__xludf.DUMMYFUNCTION("""COMPUTED_VALUE"""),0.0)</f>
        <v>0</v>
      </c>
      <c r="I153" s="3">
        <f>IFERROR(__xludf.DUMMYFUNCTION("""COMPUTED_VALUE"""),0.0)</f>
        <v>0</v>
      </c>
      <c r="J153" s="3">
        <f>IFERROR(__xludf.DUMMYFUNCTION("""COMPUTED_VALUE"""),0.0)</f>
        <v>0</v>
      </c>
      <c r="K153" s="3">
        <f>IFERROR(__xludf.DUMMYFUNCTION("""COMPUTED_VALUE"""),0.0)</f>
        <v>0</v>
      </c>
      <c r="L153" s="3">
        <f>IFERROR(__xludf.DUMMYFUNCTION("""COMPUTED_VALUE"""),0.0)</f>
        <v>0</v>
      </c>
      <c r="M153" s="3">
        <f>IFERROR(__xludf.DUMMYFUNCTION("""COMPUTED_VALUE"""),0.0)</f>
        <v>0</v>
      </c>
      <c r="N153" s="3">
        <f>IFERROR(__xludf.DUMMYFUNCTION("""COMPUTED_VALUE"""),0.0)</f>
        <v>0</v>
      </c>
      <c r="O153" s="3">
        <f>IFERROR(__xludf.DUMMYFUNCTION("""COMPUTED_VALUE"""),0.0)</f>
        <v>0</v>
      </c>
      <c r="P153" s="3">
        <f>IFERROR(__xludf.DUMMYFUNCTION("""COMPUTED_VALUE"""),0.0)</f>
        <v>0</v>
      </c>
      <c r="Q153" s="3">
        <f>IFERROR(__xludf.DUMMYFUNCTION("""COMPUTED_VALUE"""),0.0)</f>
        <v>0</v>
      </c>
      <c r="R153" s="3">
        <f>IFERROR(__xludf.DUMMYFUNCTION("""COMPUTED_VALUE"""),0.0)</f>
        <v>0</v>
      </c>
      <c r="S153" s="3">
        <f>IFERROR(__xludf.DUMMYFUNCTION("""COMPUTED_VALUE"""),0.0)</f>
        <v>0</v>
      </c>
      <c r="T153" s="3">
        <f>IFERROR(__xludf.DUMMYFUNCTION("""COMPUTED_VALUE"""),0.0)</f>
        <v>0</v>
      </c>
      <c r="U153" s="3">
        <f>IFERROR(__xludf.DUMMYFUNCTION("""COMPUTED_VALUE"""),0.0)</f>
        <v>0</v>
      </c>
      <c r="V153" s="3">
        <f>IFERROR(__xludf.DUMMYFUNCTION("""COMPUTED_VALUE"""),0.0)</f>
        <v>0</v>
      </c>
      <c r="W153" s="3">
        <f>IFERROR(__xludf.DUMMYFUNCTION("""COMPUTED_VALUE"""),0.0)</f>
        <v>0</v>
      </c>
      <c r="X153" s="3">
        <f>IFERROR(__xludf.DUMMYFUNCTION("""COMPUTED_VALUE"""),0.0)</f>
        <v>0</v>
      </c>
      <c r="Y153" s="3">
        <f>IFERROR(__xludf.DUMMYFUNCTION("""COMPUTED_VALUE"""),0.0)</f>
        <v>0</v>
      </c>
      <c r="Z153" s="3">
        <f>IFERROR(__xludf.DUMMYFUNCTION("""COMPUTED_VALUE"""),0.0)</f>
        <v>0</v>
      </c>
      <c r="AA153" s="3">
        <f>IFERROR(__xludf.DUMMYFUNCTION("""COMPUTED_VALUE"""),0.0)</f>
        <v>0</v>
      </c>
      <c r="AB153" s="3">
        <f>IFERROR(__xludf.DUMMYFUNCTION("""COMPUTED_VALUE"""),0.0)</f>
        <v>0</v>
      </c>
      <c r="AC153" s="3">
        <f>IFERROR(__xludf.DUMMYFUNCTION("""COMPUTED_VALUE"""),0.0)</f>
        <v>0</v>
      </c>
      <c r="AD153" s="3">
        <f>IFERROR(__xludf.DUMMYFUNCTION("""COMPUTED_VALUE"""),0.0)</f>
        <v>0</v>
      </c>
      <c r="AE153" s="3">
        <f>IFERROR(__xludf.DUMMYFUNCTION("""COMPUTED_VALUE"""),0.0)</f>
        <v>0</v>
      </c>
      <c r="AF153" s="3">
        <f>IFERROR(__xludf.DUMMYFUNCTION("""COMPUTED_VALUE"""),0.0)</f>
        <v>0</v>
      </c>
      <c r="AG153" s="3">
        <f>IFERROR(__xludf.DUMMYFUNCTION("""COMPUTED_VALUE"""),0.0)</f>
        <v>0</v>
      </c>
      <c r="AH153" s="3">
        <f>IFERROR(__xludf.DUMMYFUNCTION("""COMPUTED_VALUE"""),0.0)</f>
        <v>0</v>
      </c>
      <c r="AI153" s="3">
        <f>IFERROR(__xludf.DUMMYFUNCTION("""COMPUTED_VALUE"""),0.0)</f>
        <v>0</v>
      </c>
      <c r="AJ153" s="3">
        <f>IFERROR(__xludf.DUMMYFUNCTION("""COMPUTED_VALUE"""),0.0)</f>
        <v>0</v>
      </c>
      <c r="AK153" s="3">
        <f>IFERROR(__xludf.DUMMYFUNCTION("""COMPUTED_VALUE"""),0.0)</f>
        <v>0</v>
      </c>
      <c r="AL153" s="3">
        <f>IFERROR(__xludf.DUMMYFUNCTION("""COMPUTED_VALUE"""),0.0)</f>
        <v>0</v>
      </c>
      <c r="AM153" s="3">
        <f>IFERROR(__xludf.DUMMYFUNCTION("""COMPUTED_VALUE"""),0.0)</f>
        <v>0</v>
      </c>
      <c r="AN153" s="3">
        <f>IFERROR(__xludf.DUMMYFUNCTION("""COMPUTED_VALUE"""),0.0)</f>
        <v>0</v>
      </c>
      <c r="AO153" s="3">
        <f>IFERROR(__xludf.DUMMYFUNCTION("""COMPUTED_VALUE"""),0.0)</f>
        <v>0</v>
      </c>
      <c r="AP153" s="3">
        <f>IFERROR(__xludf.DUMMYFUNCTION("""COMPUTED_VALUE"""),0.0)</f>
        <v>0</v>
      </c>
      <c r="AQ153" s="3">
        <f>IFERROR(__xludf.DUMMYFUNCTION("""COMPUTED_VALUE"""),1.0)</f>
        <v>1</v>
      </c>
      <c r="AR153" s="3">
        <f>IFERROR(__xludf.DUMMYFUNCTION("""COMPUTED_VALUE"""),1.0)</f>
        <v>1</v>
      </c>
      <c r="AS153" s="3">
        <f>IFERROR(__xludf.DUMMYFUNCTION("""COMPUTED_VALUE"""),1.0)</f>
        <v>1</v>
      </c>
      <c r="AT153" s="3">
        <f>IFERROR(__xludf.DUMMYFUNCTION("""COMPUTED_VALUE"""),1.0)</f>
        <v>1</v>
      </c>
      <c r="AU153" s="3">
        <f>IFERROR(__xludf.DUMMYFUNCTION("""COMPUTED_VALUE"""),1.0)</f>
        <v>1</v>
      </c>
      <c r="AV153" s="3">
        <f>IFERROR(__xludf.DUMMYFUNCTION("""COMPUTED_VALUE"""),1.0)</f>
        <v>1</v>
      </c>
      <c r="AW153" s="3">
        <f>IFERROR(__xludf.DUMMYFUNCTION("""COMPUTED_VALUE"""),2.0)</f>
        <v>2</v>
      </c>
      <c r="AX153" s="3">
        <f>IFERROR(__xludf.DUMMYFUNCTION("""COMPUTED_VALUE"""),2.0)</f>
        <v>2</v>
      </c>
      <c r="AY153" s="3">
        <f>IFERROR(__xludf.DUMMYFUNCTION("""COMPUTED_VALUE"""),3.0)</f>
        <v>3</v>
      </c>
      <c r="AZ153" s="3">
        <f>IFERROR(__xludf.DUMMYFUNCTION("""COMPUTED_VALUE"""),3.0)</f>
        <v>3</v>
      </c>
      <c r="BA153" s="3">
        <f>IFERROR(__xludf.DUMMYFUNCTION("""COMPUTED_VALUE"""),5.0)</f>
        <v>5</v>
      </c>
      <c r="BB153" s="3">
        <f>IFERROR(__xludf.DUMMYFUNCTION("""COMPUTED_VALUE"""),7.0)</f>
        <v>7</v>
      </c>
      <c r="BC153" s="3">
        <f>IFERROR(__xludf.DUMMYFUNCTION("""COMPUTED_VALUE"""),19.0)</f>
        <v>19</v>
      </c>
      <c r="BD153" s="3">
        <f>IFERROR(__xludf.DUMMYFUNCTION("""COMPUTED_VALUE"""),34.0)</f>
        <v>34</v>
      </c>
      <c r="BE153" s="3">
        <f>IFERROR(__xludf.DUMMYFUNCTION("""COMPUTED_VALUE"""),51.0)</f>
        <v>51</v>
      </c>
      <c r="BF153" s="3">
        <f>IFERROR(__xludf.DUMMYFUNCTION("""COMPUTED_VALUE"""),59.0)</f>
        <v>59</v>
      </c>
      <c r="BG153" s="3">
        <f>IFERROR(__xludf.DUMMYFUNCTION("""COMPUTED_VALUE"""),77.0)</f>
        <v>77</v>
      </c>
      <c r="BH153" s="3">
        <f>IFERROR(__xludf.DUMMYFUNCTION("""COMPUTED_VALUE"""),140.0)</f>
        <v>140</v>
      </c>
      <c r="BI153" s="3">
        <f>IFERROR(__xludf.DUMMYFUNCTION("""COMPUTED_VALUE"""),203.0)</f>
        <v>203</v>
      </c>
      <c r="BJ153" s="3">
        <f>IFERROR(__xludf.DUMMYFUNCTION("""COMPUTED_VALUE"""),335.0)</f>
        <v>335</v>
      </c>
      <c r="BK153" s="3">
        <f>IFERROR(__xludf.DUMMYFUNCTION("""COMPUTED_VALUE"""),484.0)</f>
        <v>484</v>
      </c>
      <c r="BL153" s="3">
        <f>IFERROR(__xludf.DUMMYFUNCTION("""COMPUTED_VALUE"""),670.0)</f>
        <v>670</v>
      </c>
      <c r="BM153" s="3">
        <f>IFERROR(__xludf.DUMMYFUNCTION("""COMPUTED_VALUE"""),798.0)</f>
        <v>798</v>
      </c>
      <c r="BN153" s="3">
        <f>IFERROR(__xludf.DUMMYFUNCTION("""COMPUTED_VALUE"""),875.0)</f>
        <v>875</v>
      </c>
      <c r="BO153" s="3">
        <f>IFERROR(__xludf.DUMMYFUNCTION("""COMPUTED_VALUE"""),1099.0)</f>
        <v>1099</v>
      </c>
      <c r="BP153" s="3">
        <f>IFERROR(__xludf.DUMMYFUNCTION("""COMPUTED_VALUE"""),1333.0)</f>
        <v>1333</v>
      </c>
      <c r="BQ153" s="3">
        <f>IFERROR(__xludf.DUMMYFUNCTION("""COMPUTED_VALUE"""),1453.0)</f>
        <v>1453</v>
      </c>
      <c r="BR153" s="3">
        <f>IFERROR(__xludf.DUMMYFUNCTION("""COMPUTED_VALUE"""),1605.0)</f>
        <v>1605</v>
      </c>
      <c r="BS153" s="3">
        <f>IFERROR(__xludf.DUMMYFUNCTION("""COMPUTED_VALUE"""),1831.0)</f>
        <v>1831</v>
      </c>
      <c r="BT153" s="3">
        <f>IFERROR(__xludf.DUMMYFUNCTION("""COMPUTED_VALUE"""),1950.0)</f>
        <v>1950</v>
      </c>
      <c r="BU153" s="3">
        <f>IFERROR(__xludf.DUMMYFUNCTION("""COMPUTED_VALUE"""),1988.0)</f>
        <v>1988</v>
      </c>
      <c r="BV153" s="3">
        <f>IFERROR(__xludf.DUMMYFUNCTION("""COMPUTED_VALUE"""),2178.0)</f>
        <v>2178</v>
      </c>
      <c r="BW153" s="3">
        <f>IFERROR(__xludf.DUMMYFUNCTION("""COMPUTED_VALUE"""),2319.0)</f>
        <v>2319</v>
      </c>
      <c r="BX153" s="3">
        <f>IFERROR(__xludf.DUMMYFUNCTION("""COMPUTED_VALUE"""),2487.0)</f>
        <v>2487</v>
      </c>
      <c r="BY153" s="3">
        <f>IFERROR(__xludf.DUMMYFUNCTION("""COMPUTED_VALUE"""),2612.0)</f>
        <v>2612</v>
      </c>
      <c r="BZ153" s="3">
        <f>IFERROR(__xludf.DUMMYFUNCTION("""COMPUTED_VALUE"""),2729.0)</f>
        <v>2729</v>
      </c>
      <c r="CA153" s="3">
        <f>IFERROR(__xludf.DUMMYFUNCTION("""COMPUTED_VALUE"""),2804.0)</f>
        <v>2804</v>
      </c>
      <c r="CB153" s="3">
        <f>IFERROR(__xludf.DUMMYFUNCTION("""COMPUTED_VALUE"""),2843.0)</f>
        <v>2843</v>
      </c>
    </row>
    <row r="154">
      <c r="A154" s="3" t="str">
        <f>IFERROR(__xludf.DUMMYFUNCTION("""COMPUTED_VALUE"""),"")</f>
        <v/>
      </c>
      <c r="B154" s="3" t="str">
        <f>IFERROR(__xludf.DUMMYFUNCTION("""COMPUTED_VALUE"""),"Madagascar")</f>
        <v>Madagascar</v>
      </c>
      <c r="C154" s="3">
        <f>IFERROR(__xludf.DUMMYFUNCTION("""COMPUTED_VALUE"""),-18.7669)</f>
        <v>-18.7669</v>
      </c>
      <c r="D154" s="3">
        <f>IFERROR(__xludf.DUMMYFUNCTION("""COMPUTED_VALUE"""),46.8691)</f>
        <v>46.8691</v>
      </c>
      <c r="E154" s="3">
        <f>IFERROR(__xludf.DUMMYFUNCTION("""COMPUTED_VALUE"""),0.0)</f>
        <v>0</v>
      </c>
      <c r="F154" s="3">
        <f>IFERROR(__xludf.DUMMYFUNCTION("""COMPUTED_VALUE"""),0.0)</f>
        <v>0</v>
      </c>
      <c r="G154" s="3">
        <f>IFERROR(__xludf.DUMMYFUNCTION("""COMPUTED_VALUE"""),0.0)</f>
        <v>0</v>
      </c>
      <c r="H154" s="3">
        <f>IFERROR(__xludf.DUMMYFUNCTION("""COMPUTED_VALUE"""),0.0)</f>
        <v>0</v>
      </c>
      <c r="I154" s="3">
        <f>IFERROR(__xludf.DUMMYFUNCTION("""COMPUTED_VALUE"""),0.0)</f>
        <v>0</v>
      </c>
      <c r="J154" s="3">
        <f>IFERROR(__xludf.DUMMYFUNCTION("""COMPUTED_VALUE"""),0.0)</f>
        <v>0</v>
      </c>
      <c r="K154" s="3">
        <f>IFERROR(__xludf.DUMMYFUNCTION("""COMPUTED_VALUE"""),0.0)</f>
        <v>0</v>
      </c>
      <c r="L154" s="3">
        <f>IFERROR(__xludf.DUMMYFUNCTION("""COMPUTED_VALUE"""),0.0)</f>
        <v>0</v>
      </c>
      <c r="M154" s="3">
        <f>IFERROR(__xludf.DUMMYFUNCTION("""COMPUTED_VALUE"""),0.0)</f>
        <v>0</v>
      </c>
      <c r="N154" s="3">
        <f>IFERROR(__xludf.DUMMYFUNCTION("""COMPUTED_VALUE"""),0.0)</f>
        <v>0</v>
      </c>
      <c r="O154" s="3">
        <f>IFERROR(__xludf.DUMMYFUNCTION("""COMPUTED_VALUE"""),0.0)</f>
        <v>0</v>
      </c>
      <c r="P154" s="3">
        <f>IFERROR(__xludf.DUMMYFUNCTION("""COMPUTED_VALUE"""),0.0)</f>
        <v>0</v>
      </c>
      <c r="Q154" s="3">
        <f>IFERROR(__xludf.DUMMYFUNCTION("""COMPUTED_VALUE"""),0.0)</f>
        <v>0</v>
      </c>
      <c r="R154" s="3">
        <f>IFERROR(__xludf.DUMMYFUNCTION("""COMPUTED_VALUE"""),0.0)</f>
        <v>0</v>
      </c>
      <c r="S154" s="3">
        <f>IFERROR(__xludf.DUMMYFUNCTION("""COMPUTED_VALUE"""),0.0)</f>
        <v>0</v>
      </c>
      <c r="T154" s="3">
        <f>IFERROR(__xludf.DUMMYFUNCTION("""COMPUTED_VALUE"""),0.0)</f>
        <v>0</v>
      </c>
      <c r="U154" s="3">
        <f>IFERROR(__xludf.DUMMYFUNCTION("""COMPUTED_VALUE"""),0.0)</f>
        <v>0</v>
      </c>
      <c r="V154" s="3">
        <f>IFERROR(__xludf.DUMMYFUNCTION("""COMPUTED_VALUE"""),0.0)</f>
        <v>0</v>
      </c>
      <c r="W154" s="3">
        <f>IFERROR(__xludf.DUMMYFUNCTION("""COMPUTED_VALUE"""),0.0)</f>
        <v>0</v>
      </c>
      <c r="X154" s="3">
        <f>IFERROR(__xludf.DUMMYFUNCTION("""COMPUTED_VALUE"""),0.0)</f>
        <v>0</v>
      </c>
      <c r="Y154" s="3">
        <f>IFERROR(__xludf.DUMMYFUNCTION("""COMPUTED_VALUE"""),0.0)</f>
        <v>0</v>
      </c>
      <c r="Z154" s="3">
        <f>IFERROR(__xludf.DUMMYFUNCTION("""COMPUTED_VALUE"""),0.0)</f>
        <v>0</v>
      </c>
      <c r="AA154" s="3">
        <f>IFERROR(__xludf.DUMMYFUNCTION("""COMPUTED_VALUE"""),0.0)</f>
        <v>0</v>
      </c>
      <c r="AB154" s="3">
        <f>IFERROR(__xludf.DUMMYFUNCTION("""COMPUTED_VALUE"""),0.0)</f>
        <v>0</v>
      </c>
      <c r="AC154" s="3">
        <f>IFERROR(__xludf.DUMMYFUNCTION("""COMPUTED_VALUE"""),0.0)</f>
        <v>0</v>
      </c>
      <c r="AD154" s="3">
        <f>IFERROR(__xludf.DUMMYFUNCTION("""COMPUTED_VALUE"""),0.0)</f>
        <v>0</v>
      </c>
      <c r="AE154" s="3">
        <f>IFERROR(__xludf.DUMMYFUNCTION("""COMPUTED_VALUE"""),0.0)</f>
        <v>0</v>
      </c>
      <c r="AF154" s="3">
        <f>IFERROR(__xludf.DUMMYFUNCTION("""COMPUTED_VALUE"""),0.0)</f>
        <v>0</v>
      </c>
      <c r="AG154" s="3">
        <f>IFERROR(__xludf.DUMMYFUNCTION("""COMPUTED_VALUE"""),0.0)</f>
        <v>0</v>
      </c>
      <c r="AH154" s="3">
        <f>IFERROR(__xludf.DUMMYFUNCTION("""COMPUTED_VALUE"""),0.0)</f>
        <v>0</v>
      </c>
      <c r="AI154" s="3">
        <f>IFERROR(__xludf.DUMMYFUNCTION("""COMPUTED_VALUE"""),0.0)</f>
        <v>0</v>
      </c>
      <c r="AJ154" s="3">
        <f>IFERROR(__xludf.DUMMYFUNCTION("""COMPUTED_VALUE"""),0.0)</f>
        <v>0</v>
      </c>
      <c r="AK154" s="3">
        <f>IFERROR(__xludf.DUMMYFUNCTION("""COMPUTED_VALUE"""),0.0)</f>
        <v>0</v>
      </c>
      <c r="AL154" s="3">
        <f>IFERROR(__xludf.DUMMYFUNCTION("""COMPUTED_VALUE"""),0.0)</f>
        <v>0</v>
      </c>
      <c r="AM154" s="3">
        <f>IFERROR(__xludf.DUMMYFUNCTION("""COMPUTED_VALUE"""),0.0)</f>
        <v>0</v>
      </c>
      <c r="AN154" s="3">
        <f>IFERROR(__xludf.DUMMYFUNCTION("""COMPUTED_VALUE"""),0.0)</f>
        <v>0</v>
      </c>
      <c r="AO154" s="3">
        <f>IFERROR(__xludf.DUMMYFUNCTION("""COMPUTED_VALUE"""),0.0)</f>
        <v>0</v>
      </c>
      <c r="AP154" s="3">
        <f>IFERROR(__xludf.DUMMYFUNCTION("""COMPUTED_VALUE"""),0.0)</f>
        <v>0</v>
      </c>
      <c r="AQ154" s="3">
        <f>IFERROR(__xludf.DUMMYFUNCTION("""COMPUTED_VALUE"""),0.0)</f>
        <v>0</v>
      </c>
      <c r="AR154" s="3">
        <f>IFERROR(__xludf.DUMMYFUNCTION("""COMPUTED_VALUE"""),0.0)</f>
        <v>0</v>
      </c>
      <c r="AS154" s="3">
        <f>IFERROR(__xludf.DUMMYFUNCTION("""COMPUTED_VALUE"""),0.0)</f>
        <v>0</v>
      </c>
      <c r="AT154" s="3">
        <f>IFERROR(__xludf.DUMMYFUNCTION("""COMPUTED_VALUE"""),0.0)</f>
        <v>0</v>
      </c>
      <c r="AU154" s="3">
        <f>IFERROR(__xludf.DUMMYFUNCTION("""COMPUTED_VALUE"""),0.0)</f>
        <v>0</v>
      </c>
      <c r="AV154" s="3">
        <f>IFERROR(__xludf.DUMMYFUNCTION("""COMPUTED_VALUE"""),0.0)</f>
        <v>0</v>
      </c>
      <c r="AW154" s="3">
        <f>IFERROR(__xludf.DUMMYFUNCTION("""COMPUTED_VALUE"""),0.0)</f>
        <v>0</v>
      </c>
      <c r="AX154" s="3">
        <f>IFERROR(__xludf.DUMMYFUNCTION("""COMPUTED_VALUE"""),0.0)</f>
        <v>0</v>
      </c>
      <c r="AY154" s="3">
        <f>IFERROR(__xludf.DUMMYFUNCTION("""COMPUTED_VALUE"""),0.0)</f>
        <v>0</v>
      </c>
      <c r="AZ154" s="3">
        <f>IFERROR(__xludf.DUMMYFUNCTION("""COMPUTED_VALUE"""),0.0)</f>
        <v>0</v>
      </c>
      <c r="BA154" s="3">
        <f>IFERROR(__xludf.DUMMYFUNCTION("""COMPUTED_VALUE"""),0.0)</f>
        <v>0</v>
      </c>
      <c r="BB154" s="3">
        <f>IFERROR(__xludf.DUMMYFUNCTION("""COMPUTED_VALUE"""),0.0)</f>
        <v>0</v>
      </c>
      <c r="BC154" s="3">
        <f>IFERROR(__xludf.DUMMYFUNCTION("""COMPUTED_VALUE"""),0.0)</f>
        <v>0</v>
      </c>
      <c r="BD154" s="3">
        <f>IFERROR(__xludf.DUMMYFUNCTION("""COMPUTED_VALUE"""),0.0)</f>
        <v>0</v>
      </c>
      <c r="BE154" s="3">
        <f>IFERROR(__xludf.DUMMYFUNCTION("""COMPUTED_VALUE"""),0.0)</f>
        <v>0</v>
      </c>
      <c r="BF154" s="3">
        <f>IFERROR(__xludf.DUMMYFUNCTION("""COMPUTED_VALUE"""),0.0)</f>
        <v>0</v>
      </c>
      <c r="BG154" s="3">
        <f>IFERROR(__xludf.DUMMYFUNCTION("""COMPUTED_VALUE"""),0.0)</f>
        <v>0</v>
      </c>
      <c r="BH154" s="3">
        <f>IFERROR(__xludf.DUMMYFUNCTION("""COMPUTED_VALUE"""),0.0)</f>
        <v>0</v>
      </c>
      <c r="BI154" s="3">
        <f>IFERROR(__xludf.DUMMYFUNCTION("""COMPUTED_VALUE"""),0.0)</f>
        <v>0</v>
      </c>
      <c r="BJ154" s="3">
        <f>IFERROR(__xludf.DUMMYFUNCTION("""COMPUTED_VALUE"""),0.0)</f>
        <v>0</v>
      </c>
      <c r="BK154" s="3">
        <f>IFERROR(__xludf.DUMMYFUNCTION("""COMPUTED_VALUE"""),3.0)</f>
        <v>3</v>
      </c>
      <c r="BL154" s="3">
        <f>IFERROR(__xludf.DUMMYFUNCTION("""COMPUTED_VALUE"""),3.0)</f>
        <v>3</v>
      </c>
      <c r="BM154" s="3">
        <f>IFERROR(__xludf.DUMMYFUNCTION("""COMPUTED_VALUE"""),3.0)</f>
        <v>3</v>
      </c>
      <c r="BN154" s="3">
        <f>IFERROR(__xludf.DUMMYFUNCTION("""COMPUTED_VALUE"""),12.0)</f>
        <v>12</v>
      </c>
      <c r="BO154" s="3">
        <f>IFERROR(__xludf.DUMMYFUNCTION("""COMPUTED_VALUE"""),17.0)</f>
        <v>17</v>
      </c>
      <c r="BP154" s="3">
        <f>IFERROR(__xludf.DUMMYFUNCTION("""COMPUTED_VALUE"""),19.0)</f>
        <v>19</v>
      </c>
      <c r="BQ154" s="3">
        <f>IFERROR(__xludf.DUMMYFUNCTION("""COMPUTED_VALUE"""),23.0)</f>
        <v>23</v>
      </c>
      <c r="BR154" s="3">
        <f>IFERROR(__xludf.DUMMYFUNCTION("""COMPUTED_VALUE"""),26.0)</f>
        <v>26</v>
      </c>
      <c r="BS154" s="3">
        <f>IFERROR(__xludf.DUMMYFUNCTION("""COMPUTED_VALUE"""),26.0)</f>
        <v>26</v>
      </c>
      <c r="BT154" s="3">
        <f>IFERROR(__xludf.DUMMYFUNCTION("""COMPUTED_VALUE"""),39.0)</f>
        <v>39</v>
      </c>
      <c r="BU154" s="3">
        <f>IFERROR(__xludf.DUMMYFUNCTION("""COMPUTED_VALUE"""),43.0)</f>
        <v>43</v>
      </c>
      <c r="BV154" s="3">
        <f>IFERROR(__xludf.DUMMYFUNCTION("""COMPUTED_VALUE"""),57.0)</f>
        <v>57</v>
      </c>
      <c r="BW154" s="3">
        <f>IFERROR(__xludf.DUMMYFUNCTION("""COMPUTED_VALUE"""),57.0)</f>
        <v>57</v>
      </c>
      <c r="BX154" s="3">
        <f>IFERROR(__xludf.DUMMYFUNCTION("""COMPUTED_VALUE"""),59.0)</f>
        <v>59</v>
      </c>
      <c r="BY154" s="3">
        <f>IFERROR(__xludf.DUMMYFUNCTION("""COMPUTED_VALUE"""),70.0)</f>
        <v>70</v>
      </c>
      <c r="BZ154" s="3">
        <f>IFERROR(__xludf.DUMMYFUNCTION("""COMPUTED_VALUE"""),70.0)</f>
        <v>70</v>
      </c>
      <c r="CA154" s="3">
        <f>IFERROR(__xludf.DUMMYFUNCTION("""COMPUTED_VALUE"""),72.0)</f>
        <v>72</v>
      </c>
      <c r="CB154" s="3">
        <f>IFERROR(__xludf.DUMMYFUNCTION("""COMPUTED_VALUE"""),82.0)</f>
        <v>82</v>
      </c>
    </row>
    <row r="155">
      <c r="A155" s="3" t="str">
        <f>IFERROR(__xludf.DUMMYFUNCTION("""COMPUTED_VALUE"""),"")</f>
        <v/>
      </c>
      <c r="B155" s="3" t="str">
        <f>IFERROR(__xludf.DUMMYFUNCTION("""COMPUTED_VALUE"""),"Malaysia")</f>
        <v>Malaysia</v>
      </c>
      <c r="C155" s="3">
        <f>IFERROR(__xludf.DUMMYFUNCTION("""COMPUTED_VALUE"""),2.5)</f>
        <v>2.5</v>
      </c>
      <c r="D155" s="3">
        <f>IFERROR(__xludf.DUMMYFUNCTION("""COMPUTED_VALUE"""),112.5)</f>
        <v>112.5</v>
      </c>
      <c r="E155" s="3">
        <f>IFERROR(__xludf.DUMMYFUNCTION("""COMPUTED_VALUE"""),0.0)</f>
        <v>0</v>
      </c>
      <c r="F155" s="3">
        <f>IFERROR(__xludf.DUMMYFUNCTION("""COMPUTED_VALUE"""),0.0)</f>
        <v>0</v>
      </c>
      <c r="G155" s="3">
        <f>IFERROR(__xludf.DUMMYFUNCTION("""COMPUTED_VALUE"""),0.0)</f>
        <v>0</v>
      </c>
      <c r="H155" s="3">
        <f>IFERROR(__xludf.DUMMYFUNCTION("""COMPUTED_VALUE"""),3.0)</f>
        <v>3</v>
      </c>
      <c r="I155" s="3">
        <f>IFERROR(__xludf.DUMMYFUNCTION("""COMPUTED_VALUE"""),4.0)</f>
        <v>4</v>
      </c>
      <c r="J155" s="3">
        <f>IFERROR(__xludf.DUMMYFUNCTION("""COMPUTED_VALUE"""),4.0)</f>
        <v>4</v>
      </c>
      <c r="K155" s="3">
        <f>IFERROR(__xludf.DUMMYFUNCTION("""COMPUTED_VALUE"""),4.0)</f>
        <v>4</v>
      </c>
      <c r="L155" s="3">
        <f>IFERROR(__xludf.DUMMYFUNCTION("""COMPUTED_VALUE"""),7.0)</f>
        <v>7</v>
      </c>
      <c r="M155" s="3">
        <f>IFERROR(__xludf.DUMMYFUNCTION("""COMPUTED_VALUE"""),8.0)</f>
        <v>8</v>
      </c>
      <c r="N155" s="3">
        <f>IFERROR(__xludf.DUMMYFUNCTION("""COMPUTED_VALUE"""),8.0)</f>
        <v>8</v>
      </c>
      <c r="O155" s="3">
        <f>IFERROR(__xludf.DUMMYFUNCTION("""COMPUTED_VALUE"""),8.0)</f>
        <v>8</v>
      </c>
      <c r="P155" s="3">
        <f>IFERROR(__xludf.DUMMYFUNCTION("""COMPUTED_VALUE"""),8.0)</f>
        <v>8</v>
      </c>
      <c r="Q155" s="3">
        <f>IFERROR(__xludf.DUMMYFUNCTION("""COMPUTED_VALUE"""),8.0)</f>
        <v>8</v>
      </c>
      <c r="R155" s="3">
        <f>IFERROR(__xludf.DUMMYFUNCTION("""COMPUTED_VALUE"""),10.0)</f>
        <v>10</v>
      </c>
      <c r="S155" s="3">
        <f>IFERROR(__xludf.DUMMYFUNCTION("""COMPUTED_VALUE"""),12.0)</f>
        <v>12</v>
      </c>
      <c r="T155" s="3">
        <f>IFERROR(__xludf.DUMMYFUNCTION("""COMPUTED_VALUE"""),12.0)</f>
        <v>12</v>
      </c>
      <c r="U155" s="3">
        <f>IFERROR(__xludf.DUMMYFUNCTION("""COMPUTED_VALUE"""),12.0)</f>
        <v>12</v>
      </c>
      <c r="V155" s="3">
        <f>IFERROR(__xludf.DUMMYFUNCTION("""COMPUTED_VALUE"""),16.0)</f>
        <v>16</v>
      </c>
      <c r="W155" s="3">
        <f>IFERROR(__xludf.DUMMYFUNCTION("""COMPUTED_VALUE"""),16.0)</f>
        <v>16</v>
      </c>
      <c r="X155" s="3">
        <f>IFERROR(__xludf.DUMMYFUNCTION("""COMPUTED_VALUE"""),18.0)</f>
        <v>18</v>
      </c>
      <c r="Y155" s="3">
        <f>IFERROR(__xludf.DUMMYFUNCTION("""COMPUTED_VALUE"""),18.0)</f>
        <v>18</v>
      </c>
      <c r="Z155" s="3">
        <f>IFERROR(__xludf.DUMMYFUNCTION("""COMPUTED_VALUE"""),18.0)</f>
        <v>18</v>
      </c>
      <c r="AA155" s="3">
        <f>IFERROR(__xludf.DUMMYFUNCTION("""COMPUTED_VALUE"""),19.0)</f>
        <v>19</v>
      </c>
      <c r="AB155" s="3">
        <f>IFERROR(__xludf.DUMMYFUNCTION("""COMPUTED_VALUE"""),19.0)</f>
        <v>19</v>
      </c>
      <c r="AC155" s="3">
        <f>IFERROR(__xludf.DUMMYFUNCTION("""COMPUTED_VALUE"""),22.0)</f>
        <v>22</v>
      </c>
      <c r="AD155" s="3">
        <f>IFERROR(__xludf.DUMMYFUNCTION("""COMPUTED_VALUE"""),22.0)</f>
        <v>22</v>
      </c>
      <c r="AE155" s="3">
        <f>IFERROR(__xludf.DUMMYFUNCTION("""COMPUTED_VALUE"""),22.0)</f>
        <v>22</v>
      </c>
      <c r="AF155" s="3">
        <f>IFERROR(__xludf.DUMMYFUNCTION("""COMPUTED_VALUE"""),22.0)</f>
        <v>22</v>
      </c>
      <c r="AG155" s="3">
        <f>IFERROR(__xludf.DUMMYFUNCTION("""COMPUTED_VALUE"""),22.0)</f>
        <v>22</v>
      </c>
      <c r="AH155" s="3">
        <f>IFERROR(__xludf.DUMMYFUNCTION("""COMPUTED_VALUE"""),22.0)</f>
        <v>22</v>
      </c>
      <c r="AI155" s="3">
        <f>IFERROR(__xludf.DUMMYFUNCTION("""COMPUTED_VALUE"""),22.0)</f>
        <v>22</v>
      </c>
      <c r="AJ155" s="3">
        <f>IFERROR(__xludf.DUMMYFUNCTION("""COMPUTED_VALUE"""),22.0)</f>
        <v>22</v>
      </c>
      <c r="AK155" s="3">
        <f>IFERROR(__xludf.DUMMYFUNCTION("""COMPUTED_VALUE"""),22.0)</f>
        <v>22</v>
      </c>
      <c r="AL155" s="3">
        <f>IFERROR(__xludf.DUMMYFUNCTION("""COMPUTED_VALUE"""),22.0)</f>
        <v>22</v>
      </c>
      <c r="AM155" s="3">
        <f>IFERROR(__xludf.DUMMYFUNCTION("""COMPUTED_VALUE"""),22.0)</f>
        <v>22</v>
      </c>
      <c r="AN155" s="3">
        <f>IFERROR(__xludf.DUMMYFUNCTION("""COMPUTED_VALUE"""),22.0)</f>
        <v>22</v>
      </c>
      <c r="AO155" s="3">
        <f>IFERROR(__xludf.DUMMYFUNCTION("""COMPUTED_VALUE"""),23.0)</f>
        <v>23</v>
      </c>
      <c r="AP155" s="3">
        <f>IFERROR(__xludf.DUMMYFUNCTION("""COMPUTED_VALUE"""),23.0)</f>
        <v>23</v>
      </c>
      <c r="AQ155" s="3">
        <f>IFERROR(__xludf.DUMMYFUNCTION("""COMPUTED_VALUE"""),25.0)</f>
        <v>25</v>
      </c>
      <c r="AR155" s="3">
        <f>IFERROR(__xludf.DUMMYFUNCTION("""COMPUTED_VALUE"""),29.0)</f>
        <v>29</v>
      </c>
      <c r="AS155" s="3">
        <f>IFERROR(__xludf.DUMMYFUNCTION("""COMPUTED_VALUE"""),29.0)</f>
        <v>29</v>
      </c>
      <c r="AT155" s="3">
        <f>IFERROR(__xludf.DUMMYFUNCTION("""COMPUTED_VALUE"""),36.0)</f>
        <v>36</v>
      </c>
      <c r="AU155" s="3">
        <f>IFERROR(__xludf.DUMMYFUNCTION("""COMPUTED_VALUE"""),50.0)</f>
        <v>50</v>
      </c>
      <c r="AV155" s="3">
        <f>IFERROR(__xludf.DUMMYFUNCTION("""COMPUTED_VALUE"""),50.0)</f>
        <v>50</v>
      </c>
      <c r="AW155" s="3">
        <f>IFERROR(__xludf.DUMMYFUNCTION("""COMPUTED_VALUE"""),83.0)</f>
        <v>83</v>
      </c>
      <c r="AX155" s="3">
        <f>IFERROR(__xludf.DUMMYFUNCTION("""COMPUTED_VALUE"""),93.0)</f>
        <v>93</v>
      </c>
      <c r="AY155" s="3">
        <f>IFERROR(__xludf.DUMMYFUNCTION("""COMPUTED_VALUE"""),99.0)</f>
        <v>99</v>
      </c>
      <c r="AZ155" s="3">
        <f>IFERROR(__xludf.DUMMYFUNCTION("""COMPUTED_VALUE"""),117.0)</f>
        <v>117</v>
      </c>
      <c r="BA155" s="3">
        <f>IFERROR(__xludf.DUMMYFUNCTION("""COMPUTED_VALUE"""),129.0)</f>
        <v>129</v>
      </c>
      <c r="BB155" s="3">
        <f>IFERROR(__xludf.DUMMYFUNCTION("""COMPUTED_VALUE"""),149.0)</f>
        <v>149</v>
      </c>
      <c r="BC155" s="3">
        <f>IFERROR(__xludf.DUMMYFUNCTION("""COMPUTED_VALUE"""),149.0)</f>
        <v>149</v>
      </c>
      <c r="BD155" s="3">
        <f>IFERROR(__xludf.DUMMYFUNCTION("""COMPUTED_VALUE"""),197.0)</f>
        <v>197</v>
      </c>
      <c r="BE155" s="3">
        <f>IFERROR(__xludf.DUMMYFUNCTION("""COMPUTED_VALUE"""),238.0)</f>
        <v>238</v>
      </c>
      <c r="BF155" s="3">
        <f>IFERROR(__xludf.DUMMYFUNCTION("""COMPUTED_VALUE"""),428.0)</f>
        <v>428</v>
      </c>
      <c r="BG155" s="3">
        <f>IFERROR(__xludf.DUMMYFUNCTION("""COMPUTED_VALUE"""),566.0)</f>
        <v>566</v>
      </c>
      <c r="BH155" s="3">
        <f>IFERROR(__xludf.DUMMYFUNCTION("""COMPUTED_VALUE"""),673.0)</f>
        <v>673</v>
      </c>
      <c r="BI155" s="3">
        <f>IFERROR(__xludf.DUMMYFUNCTION("""COMPUTED_VALUE"""),790.0)</f>
        <v>790</v>
      </c>
      <c r="BJ155" s="3">
        <f>IFERROR(__xludf.DUMMYFUNCTION("""COMPUTED_VALUE"""),900.0)</f>
        <v>900</v>
      </c>
      <c r="BK155" s="3">
        <f>IFERROR(__xludf.DUMMYFUNCTION("""COMPUTED_VALUE"""),1030.0)</f>
        <v>1030</v>
      </c>
      <c r="BL155" s="3">
        <f>IFERROR(__xludf.DUMMYFUNCTION("""COMPUTED_VALUE"""),1183.0)</f>
        <v>1183</v>
      </c>
      <c r="BM155" s="3">
        <f>IFERROR(__xludf.DUMMYFUNCTION("""COMPUTED_VALUE"""),1306.0)</f>
        <v>1306</v>
      </c>
      <c r="BN155" s="3">
        <f>IFERROR(__xludf.DUMMYFUNCTION("""COMPUTED_VALUE"""),1518.0)</f>
        <v>1518</v>
      </c>
      <c r="BO155" s="3">
        <f>IFERROR(__xludf.DUMMYFUNCTION("""COMPUTED_VALUE"""),1624.0)</f>
        <v>1624</v>
      </c>
      <c r="BP155" s="3">
        <f>IFERROR(__xludf.DUMMYFUNCTION("""COMPUTED_VALUE"""),1796.0)</f>
        <v>1796</v>
      </c>
      <c r="BQ155" s="3">
        <f>IFERROR(__xludf.DUMMYFUNCTION("""COMPUTED_VALUE"""),2031.0)</f>
        <v>2031</v>
      </c>
      <c r="BR155" s="3">
        <f>IFERROR(__xludf.DUMMYFUNCTION("""COMPUTED_VALUE"""),2161.0)</f>
        <v>2161</v>
      </c>
      <c r="BS155" s="3">
        <f>IFERROR(__xludf.DUMMYFUNCTION("""COMPUTED_VALUE"""),2320.0)</f>
        <v>2320</v>
      </c>
      <c r="BT155" s="3">
        <f>IFERROR(__xludf.DUMMYFUNCTION("""COMPUTED_VALUE"""),2470.0)</f>
        <v>2470</v>
      </c>
      <c r="BU155" s="3">
        <f>IFERROR(__xludf.DUMMYFUNCTION("""COMPUTED_VALUE"""),2626.0)</f>
        <v>2626</v>
      </c>
      <c r="BV155" s="3">
        <f>IFERROR(__xludf.DUMMYFUNCTION("""COMPUTED_VALUE"""),2766.0)</f>
        <v>2766</v>
      </c>
      <c r="BW155" s="3">
        <f>IFERROR(__xludf.DUMMYFUNCTION("""COMPUTED_VALUE"""),2908.0)</f>
        <v>2908</v>
      </c>
      <c r="BX155" s="3">
        <f>IFERROR(__xludf.DUMMYFUNCTION("""COMPUTED_VALUE"""),3116.0)</f>
        <v>3116</v>
      </c>
      <c r="BY155" s="3">
        <f>IFERROR(__xludf.DUMMYFUNCTION("""COMPUTED_VALUE"""),3333.0)</f>
        <v>3333</v>
      </c>
      <c r="BZ155" s="3">
        <f>IFERROR(__xludf.DUMMYFUNCTION("""COMPUTED_VALUE"""),3483.0)</f>
        <v>3483</v>
      </c>
      <c r="CA155" s="3">
        <f>IFERROR(__xludf.DUMMYFUNCTION("""COMPUTED_VALUE"""),3662.0)</f>
        <v>3662</v>
      </c>
      <c r="CB155" s="3">
        <f>IFERROR(__xludf.DUMMYFUNCTION("""COMPUTED_VALUE"""),3793.0)</f>
        <v>3793</v>
      </c>
    </row>
    <row r="156">
      <c r="A156" s="3" t="str">
        <f>IFERROR(__xludf.DUMMYFUNCTION("""COMPUTED_VALUE"""),"")</f>
        <v/>
      </c>
      <c r="B156" s="3" t="str">
        <f>IFERROR(__xludf.DUMMYFUNCTION("""COMPUTED_VALUE"""),"Maldives")</f>
        <v>Maldives</v>
      </c>
      <c r="C156" s="3">
        <f>IFERROR(__xludf.DUMMYFUNCTION("""COMPUTED_VALUE"""),3.2028)</f>
        <v>3.2028</v>
      </c>
      <c r="D156" s="3">
        <f>IFERROR(__xludf.DUMMYFUNCTION("""COMPUTED_VALUE"""),73.2207)</f>
        <v>73.2207</v>
      </c>
      <c r="E156" s="3">
        <f>IFERROR(__xludf.DUMMYFUNCTION("""COMPUTED_VALUE"""),0.0)</f>
        <v>0</v>
      </c>
      <c r="F156" s="3">
        <f>IFERROR(__xludf.DUMMYFUNCTION("""COMPUTED_VALUE"""),0.0)</f>
        <v>0</v>
      </c>
      <c r="G156" s="3">
        <f>IFERROR(__xludf.DUMMYFUNCTION("""COMPUTED_VALUE"""),0.0)</f>
        <v>0</v>
      </c>
      <c r="H156" s="3">
        <f>IFERROR(__xludf.DUMMYFUNCTION("""COMPUTED_VALUE"""),0.0)</f>
        <v>0</v>
      </c>
      <c r="I156" s="3">
        <f>IFERROR(__xludf.DUMMYFUNCTION("""COMPUTED_VALUE"""),0.0)</f>
        <v>0</v>
      </c>
      <c r="J156" s="3">
        <f>IFERROR(__xludf.DUMMYFUNCTION("""COMPUTED_VALUE"""),0.0)</f>
        <v>0</v>
      </c>
      <c r="K156" s="3">
        <f>IFERROR(__xludf.DUMMYFUNCTION("""COMPUTED_VALUE"""),0.0)</f>
        <v>0</v>
      </c>
      <c r="L156" s="3">
        <f>IFERROR(__xludf.DUMMYFUNCTION("""COMPUTED_VALUE"""),0.0)</f>
        <v>0</v>
      </c>
      <c r="M156" s="3">
        <f>IFERROR(__xludf.DUMMYFUNCTION("""COMPUTED_VALUE"""),0.0)</f>
        <v>0</v>
      </c>
      <c r="N156" s="3">
        <f>IFERROR(__xludf.DUMMYFUNCTION("""COMPUTED_VALUE"""),0.0)</f>
        <v>0</v>
      </c>
      <c r="O156" s="3">
        <f>IFERROR(__xludf.DUMMYFUNCTION("""COMPUTED_VALUE"""),0.0)</f>
        <v>0</v>
      </c>
      <c r="P156" s="3">
        <f>IFERROR(__xludf.DUMMYFUNCTION("""COMPUTED_VALUE"""),0.0)</f>
        <v>0</v>
      </c>
      <c r="Q156" s="3">
        <f>IFERROR(__xludf.DUMMYFUNCTION("""COMPUTED_VALUE"""),0.0)</f>
        <v>0</v>
      </c>
      <c r="R156" s="3">
        <f>IFERROR(__xludf.DUMMYFUNCTION("""COMPUTED_VALUE"""),0.0)</f>
        <v>0</v>
      </c>
      <c r="S156" s="3">
        <f>IFERROR(__xludf.DUMMYFUNCTION("""COMPUTED_VALUE"""),0.0)</f>
        <v>0</v>
      </c>
      <c r="T156" s="3">
        <f>IFERROR(__xludf.DUMMYFUNCTION("""COMPUTED_VALUE"""),0.0)</f>
        <v>0</v>
      </c>
      <c r="U156" s="3">
        <f>IFERROR(__xludf.DUMMYFUNCTION("""COMPUTED_VALUE"""),0.0)</f>
        <v>0</v>
      </c>
      <c r="V156" s="3">
        <f>IFERROR(__xludf.DUMMYFUNCTION("""COMPUTED_VALUE"""),0.0)</f>
        <v>0</v>
      </c>
      <c r="W156" s="3">
        <f>IFERROR(__xludf.DUMMYFUNCTION("""COMPUTED_VALUE"""),0.0)</f>
        <v>0</v>
      </c>
      <c r="X156" s="3">
        <f>IFERROR(__xludf.DUMMYFUNCTION("""COMPUTED_VALUE"""),0.0)</f>
        <v>0</v>
      </c>
      <c r="Y156" s="3">
        <f>IFERROR(__xludf.DUMMYFUNCTION("""COMPUTED_VALUE"""),0.0)</f>
        <v>0</v>
      </c>
      <c r="Z156" s="3">
        <f>IFERROR(__xludf.DUMMYFUNCTION("""COMPUTED_VALUE"""),0.0)</f>
        <v>0</v>
      </c>
      <c r="AA156" s="3">
        <f>IFERROR(__xludf.DUMMYFUNCTION("""COMPUTED_VALUE"""),0.0)</f>
        <v>0</v>
      </c>
      <c r="AB156" s="3">
        <f>IFERROR(__xludf.DUMMYFUNCTION("""COMPUTED_VALUE"""),0.0)</f>
        <v>0</v>
      </c>
      <c r="AC156" s="3">
        <f>IFERROR(__xludf.DUMMYFUNCTION("""COMPUTED_VALUE"""),0.0)</f>
        <v>0</v>
      </c>
      <c r="AD156" s="3">
        <f>IFERROR(__xludf.DUMMYFUNCTION("""COMPUTED_VALUE"""),0.0)</f>
        <v>0</v>
      </c>
      <c r="AE156" s="3">
        <f>IFERROR(__xludf.DUMMYFUNCTION("""COMPUTED_VALUE"""),0.0)</f>
        <v>0</v>
      </c>
      <c r="AF156" s="3">
        <f>IFERROR(__xludf.DUMMYFUNCTION("""COMPUTED_VALUE"""),0.0)</f>
        <v>0</v>
      </c>
      <c r="AG156" s="3">
        <f>IFERROR(__xludf.DUMMYFUNCTION("""COMPUTED_VALUE"""),0.0)</f>
        <v>0</v>
      </c>
      <c r="AH156" s="3">
        <f>IFERROR(__xludf.DUMMYFUNCTION("""COMPUTED_VALUE"""),0.0)</f>
        <v>0</v>
      </c>
      <c r="AI156" s="3">
        <f>IFERROR(__xludf.DUMMYFUNCTION("""COMPUTED_VALUE"""),0.0)</f>
        <v>0</v>
      </c>
      <c r="AJ156" s="3">
        <f>IFERROR(__xludf.DUMMYFUNCTION("""COMPUTED_VALUE"""),0.0)</f>
        <v>0</v>
      </c>
      <c r="AK156" s="3">
        <f>IFERROR(__xludf.DUMMYFUNCTION("""COMPUTED_VALUE"""),0.0)</f>
        <v>0</v>
      </c>
      <c r="AL156" s="3">
        <f>IFERROR(__xludf.DUMMYFUNCTION("""COMPUTED_VALUE"""),0.0)</f>
        <v>0</v>
      </c>
      <c r="AM156" s="3">
        <f>IFERROR(__xludf.DUMMYFUNCTION("""COMPUTED_VALUE"""),0.0)</f>
        <v>0</v>
      </c>
      <c r="AN156" s="3">
        <f>IFERROR(__xludf.DUMMYFUNCTION("""COMPUTED_VALUE"""),0.0)</f>
        <v>0</v>
      </c>
      <c r="AO156" s="3">
        <f>IFERROR(__xludf.DUMMYFUNCTION("""COMPUTED_VALUE"""),0.0)</f>
        <v>0</v>
      </c>
      <c r="AP156" s="3">
        <f>IFERROR(__xludf.DUMMYFUNCTION("""COMPUTED_VALUE"""),0.0)</f>
        <v>0</v>
      </c>
      <c r="AQ156" s="3">
        <f>IFERROR(__xludf.DUMMYFUNCTION("""COMPUTED_VALUE"""),0.0)</f>
        <v>0</v>
      </c>
      <c r="AR156" s="3">
        <f>IFERROR(__xludf.DUMMYFUNCTION("""COMPUTED_VALUE"""),0.0)</f>
        <v>0</v>
      </c>
      <c r="AS156" s="3">
        <f>IFERROR(__xludf.DUMMYFUNCTION("""COMPUTED_VALUE"""),0.0)</f>
        <v>0</v>
      </c>
      <c r="AT156" s="3">
        <f>IFERROR(__xludf.DUMMYFUNCTION("""COMPUTED_VALUE"""),0.0)</f>
        <v>0</v>
      </c>
      <c r="AU156" s="3">
        <f>IFERROR(__xludf.DUMMYFUNCTION("""COMPUTED_VALUE"""),0.0)</f>
        <v>0</v>
      </c>
      <c r="AV156" s="3">
        <f>IFERROR(__xludf.DUMMYFUNCTION("""COMPUTED_VALUE"""),0.0)</f>
        <v>0</v>
      </c>
      <c r="AW156" s="3">
        <f>IFERROR(__xludf.DUMMYFUNCTION("""COMPUTED_VALUE"""),0.0)</f>
        <v>0</v>
      </c>
      <c r="AX156" s="3">
        <f>IFERROR(__xludf.DUMMYFUNCTION("""COMPUTED_VALUE"""),0.0)</f>
        <v>0</v>
      </c>
      <c r="AY156" s="3">
        <f>IFERROR(__xludf.DUMMYFUNCTION("""COMPUTED_VALUE"""),4.0)</f>
        <v>4</v>
      </c>
      <c r="AZ156" s="3">
        <f>IFERROR(__xludf.DUMMYFUNCTION("""COMPUTED_VALUE"""),4.0)</f>
        <v>4</v>
      </c>
      <c r="BA156" s="3">
        <f>IFERROR(__xludf.DUMMYFUNCTION("""COMPUTED_VALUE"""),6.0)</f>
        <v>6</v>
      </c>
      <c r="BB156" s="3">
        <f>IFERROR(__xludf.DUMMYFUNCTION("""COMPUTED_VALUE"""),8.0)</f>
        <v>8</v>
      </c>
      <c r="BC156" s="3">
        <f>IFERROR(__xludf.DUMMYFUNCTION("""COMPUTED_VALUE"""),8.0)</f>
        <v>8</v>
      </c>
      <c r="BD156" s="3">
        <f>IFERROR(__xludf.DUMMYFUNCTION("""COMPUTED_VALUE"""),9.0)</f>
        <v>9</v>
      </c>
      <c r="BE156" s="3">
        <f>IFERROR(__xludf.DUMMYFUNCTION("""COMPUTED_VALUE"""),10.0)</f>
        <v>10</v>
      </c>
      <c r="BF156" s="3">
        <f>IFERROR(__xludf.DUMMYFUNCTION("""COMPUTED_VALUE"""),13.0)</f>
        <v>13</v>
      </c>
      <c r="BG156" s="3">
        <f>IFERROR(__xludf.DUMMYFUNCTION("""COMPUTED_VALUE"""),13.0)</f>
        <v>13</v>
      </c>
      <c r="BH156" s="3">
        <f>IFERROR(__xludf.DUMMYFUNCTION("""COMPUTED_VALUE"""),13.0)</f>
        <v>13</v>
      </c>
      <c r="BI156" s="3">
        <f>IFERROR(__xludf.DUMMYFUNCTION("""COMPUTED_VALUE"""),13.0)</f>
        <v>13</v>
      </c>
      <c r="BJ156" s="3">
        <f>IFERROR(__xludf.DUMMYFUNCTION("""COMPUTED_VALUE"""),13.0)</f>
        <v>13</v>
      </c>
      <c r="BK156" s="3">
        <f>IFERROR(__xludf.DUMMYFUNCTION("""COMPUTED_VALUE"""),13.0)</f>
        <v>13</v>
      </c>
      <c r="BL156" s="3">
        <f>IFERROR(__xludf.DUMMYFUNCTION("""COMPUTED_VALUE"""),13.0)</f>
        <v>13</v>
      </c>
      <c r="BM156" s="3">
        <f>IFERROR(__xludf.DUMMYFUNCTION("""COMPUTED_VALUE"""),13.0)</f>
        <v>13</v>
      </c>
      <c r="BN156" s="3">
        <f>IFERROR(__xludf.DUMMYFUNCTION("""COMPUTED_VALUE"""),13.0)</f>
        <v>13</v>
      </c>
      <c r="BO156" s="3">
        <f>IFERROR(__xludf.DUMMYFUNCTION("""COMPUTED_VALUE"""),13.0)</f>
        <v>13</v>
      </c>
      <c r="BP156" s="3">
        <f>IFERROR(__xludf.DUMMYFUNCTION("""COMPUTED_VALUE"""),13.0)</f>
        <v>13</v>
      </c>
      <c r="BQ156" s="3">
        <f>IFERROR(__xludf.DUMMYFUNCTION("""COMPUTED_VALUE"""),13.0)</f>
        <v>13</v>
      </c>
      <c r="BR156" s="3">
        <f>IFERROR(__xludf.DUMMYFUNCTION("""COMPUTED_VALUE"""),16.0)</f>
        <v>16</v>
      </c>
      <c r="BS156" s="3">
        <f>IFERROR(__xludf.DUMMYFUNCTION("""COMPUTED_VALUE"""),16.0)</f>
        <v>16</v>
      </c>
      <c r="BT156" s="3">
        <f>IFERROR(__xludf.DUMMYFUNCTION("""COMPUTED_VALUE"""),17.0)</f>
        <v>17</v>
      </c>
      <c r="BU156" s="3">
        <f>IFERROR(__xludf.DUMMYFUNCTION("""COMPUTED_VALUE"""),17.0)</f>
        <v>17</v>
      </c>
      <c r="BV156" s="3">
        <f>IFERROR(__xludf.DUMMYFUNCTION("""COMPUTED_VALUE"""),18.0)</f>
        <v>18</v>
      </c>
      <c r="BW156" s="3">
        <f>IFERROR(__xludf.DUMMYFUNCTION("""COMPUTED_VALUE"""),19.0)</f>
        <v>19</v>
      </c>
      <c r="BX156" s="3">
        <f>IFERROR(__xludf.DUMMYFUNCTION("""COMPUTED_VALUE"""),19.0)</f>
        <v>19</v>
      </c>
      <c r="BY156" s="3">
        <f>IFERROR(__xludf.DUMMYFUNCTION("""COMPUTED_VALUE"""),19.0)</f>
        <v>19</v>
      </c>
      <c r="BZ156" s="3">
        <f>IFERROR(__xludf.DUMMYFUNCTION("""COMPUTED_VALUE"""),19.0)</f>
        <v>19</v>
      </c>
      <c r="CA156" s="3">
        <f>IFERROR(__xludf.DUMMYFUNCTION("""COMPUTED_VALUE"""),19.0)</f>
        <v>19</v>
      </c>
      <c r="CB156" s="3">
        <f>IFERROR(__xludf.DUMMYFUNCTION("""COMPUTED_VALUE"""),19.0)</f>
        <v>19</v>
      </c>
    </row>
    <row r="157">
      <c r="A157" s="3" t="str">
        <f>IFERROR(__xludf.DUMMYFUNCTION("""COMPUTED_VALUE"""),"")</f>
        <v/>
      </c>
      <c r="B157" s="3" t="str">
        <f>IFERROR(__xludf.DUMMYFUNCTION("""COMPUTED_VALUE"""),"Malta")</f>
        <v>Malta</v>
      </c>
      <c r="C157" s="3">
        <f>IFERROR(__xludf.DUMMYFUNCTION("""COMPUTED_VALUE"""),35.9375)</f>
        <v>35.9375</v>
      </c>
      <c r="D157" s="3">
        <f>IFERROR(__xludf.DUMMYFUNCTION("""COMPUTED_VALUE"""),14.3754)</f>
        <v>14.3754</v>
      </c>
      <c r="E157" s="3">
        <f>IFERROR(__xludf.DUMMYFUNCTION("""COMPUTED_VALUE"""),0.0)</f>
        <v>0</v>
      </c>
      <c r="F157" s="3">
        <f>IFERROR(__xludf.DUMMYFUNCTION("""COMPUTED_VALUE"""),0.0)</f>
        <v>0</v>
      </c>
      <c r="G157" s="3">
        <f>IFERROR(__xludf.DUMMYFUNCTION("""COMPUTED_VALUE"""),0.0)</f>
        <v>0</v>
      </c>
      <c r="H157" s="3">
        <f>IFERROR(__xludf.DUMMYFUNCTION("""COMPUTED_VALUE"""),0.0)</f>
        <v>0</v>
      </c>
      <c r="I157" s="3">
        <f>IFERROR(__xludf.DUMMYFUNCTION("""COMPUTED_VALUE"""),0.0)</f>
        <v>0</v>
      </c>
      <c r="J157" s="3">
        <f>IFERROR(__xludf.DUMMYFUNCTION("""COMPUTED_VALUE"""),0.0)</f>
        <v>0</v>
      </c>
      <c r="K157" s="3">
        <f>IFERROR(__xludf.DUMMYFUNCTION("""COMPUTED_VALUE"""),0.0)</f>
        <v>0</v>
      </c>
      <c r="L157" s="3">
        <f>IFERROR(__xludf.DUMMYFUNCTION("""COMPUTED_VALUE"""),0.0)</f>
        <v>0</v>
      </c>
      <c r="M157" s="3">
        <f>IFERROR(__xludf.DUMMYFUNCTION("""COMPUTED_VALUE"""),0.0)</f>
        <v>0</v>
      </c>
      <c r="N157" s="3">
        <f>IFERROR(__xludf.DUMMYFUNCTION("""COMPUTED_VALUE"""),0.0)</f>
        <v>0</v>
      </c>
      <c r="O157" s="3">
        <f>IFERROR(__xludf.DUMMYFUNCTION("""COMPUTED_VALUE"""),0.0)</f>
        <v>0</v>
      </c>
      <c r="P157" s="3">
        <f>IFERROR(__xludf.DUMMYFUNCTION("""COMPUTED_VALUE"""),0.0)</f>
        <v>0</v>
      </c>
      <c r="Q157" s="3">
        <f>IFERROR(__xludf.DUMMYFUNCTION("""COMPUTED_VALUE"""),0.0)</f>
        <v>0</v>
      </c>
      <c r="R157" s="3">
        <f>IFERROR(__xludf.DUMMYFUNCTION("""COMPUTED_VALUE"""),0.0)</f>
        <v>0</v>
      </c>
      <c r="S157" s="3">
        <f>IFERROR(__xludf.DUMMYFUNCTION("""COMPUTED_VALUE"""),0.0)</f>
        <v>0</v>
      </c>
      <c r="T157" s="3">
        <f>IFERROR(__xludf.DUMMYFUNCTION("""COMPUTED_VALUE"""),0.0)</f>
        <v>0</v>
      </c>
      <c r="U157" s="3">
        <f>IFERROR(__xludf.DUMMYFUNCTION("""COMPUTED_VALUE"""),0.0)</f>
        <v>0</v>
      </c>
      <c r="V157" s="3">
        <f>IFERROR(__xludf.DUMMYFUNCTION("""COMPUTED_VALUE"""),0.0)</f>
        <v>0</v>
      </c>
      <c r="W157" s="3">
        <f>IFERROR(__xludf.DUMMYFUNCTION("""COMPUTED_VALUE"""),0.0)</f>
        <v>0</v>
      </c>
      <c r="X157" s="3">
        <f>IFERROR(__xludf.DUMMYFUNCTION("""COMPUTED_VALUE"""),0.0)</f>
        <v>0</v>
      </c>
      <c r="Y157" s="3">
        <f>IFERROR(__xludf.DUMMYFUNCTION("""COMPUTED_VALUE"""),0.0)</f>
        <v>0</v>
      </c>
      <c r="Z157" s="3">
        <f>IFERROR(__xludf.DUMMYFUNCTION("""COMPUTED_VALUE"""),0.0)</f>
        <v>0</v>
      </c>
      <c r="AA157" s="3">
        <f>IFERROR(__xludf.DUMMYFUNCTION("""COMPUTED_VALUE"""),0.0)</f>
        <v>0</v>
      </c>
      <c r="AB157" s="3">
        <f>IFERROR(__xludf.DUMMYFUNCTION("""COMPUTED_VALUE"""),0.0)</f>
        <v>0</v>
      </c>
      <c r="AC157" s="3">
        <f>IFERROR(__xludf.DUMMYFUNCTION("""COMPUTED_VALUE"""),0.0)</f>
        <v>0</v>
      </c>
      <c r="AD157" s="3">
        <f>IFERROR(__xludf.DUMMYFUNCTION("""COMPUTED_VALUE"""),0.0)</f>
        <v>0</v>
      </c>
      <c r="AE157" s="3">
        <f>IFERROR(__xludf.DUMMYFUNCTION("""COMPUTED_VALUE"""),0.0)</f>
        <v>0</v>
      </c>
      <c r="AF157" s="3">
        <f>IFERROR(__xludf.DUMMYFUNCTION("""COMPUTED_VALUE"""),0.0)</f>
        <v>0</v>
      </c>
      <c r="AG157" s="3">
        <f>IFERROR(__xludf.DUMMYFUNCTION("""COMPUTED_VALUE"""),0.0)</f>
        <v>0</v>
      </c>
      <c r="AH157" s="3">
        <f>IFERROR(__xludf.DUMMYFUNCTION("""COMPUTED_VALUE"""),0.0)</f>
        <v>0</v>
      </c>
      <c r="AI157" s="3">
        <f>IFERROR(__xludf.DUMMYFUNCTION("""COMPUTED_VALUE"""),0.0)</f>
        <v>0</v>
      </c>
      <c r="AJ157" s="3">
        <f>IFERROR(__xludf.DUMMYFUNCTION("""COMPUTED_VALUE"""),0.0)</f>
        <v>0</v>
      </c>
      <c r="AK157" s="3">
        <f>IFERROR(__xludf.DUMMYFUNCTION("""COMPUTED_VALUE"""),0.0)</f>
        <v>0</v>
      </c>
      <c r="AL157" s="3">
        <f>IFERROR(__xludf.DUMMYFUNCTION("""COMPUTED_VALUE"""),0.0)</f>
        <v>0</v>
      </c>
      <c r="AM157" s="3">
        <f>IFERROR(__xludf.DUMMYFUNCTION("""COMPUTED_VALUE"""),0.0)</f>
        <v>0</v>
      </c>
      <c r="AN157" s="3">
        <f>IFERROR(__xludf.DUMMYFUNCTION("""COMPUTED_VALUE"""),0.0)</f>
        <v>0</v>
      </c>
      <c r="AO157" s="3">
        <f>IFERROR(__xludf.DUMMYFUNCTION("""COMPUTED_VALUE"""),0.0)</f>
        <v>0</v>
      </c>
      <c r="AP157" s="3">
        <f>IFERROR(__xludf.DUMMYFUNCTION("""COMPUTED_VALUE"""),0.0)</f>
        <v>0</v>
      </c>
      <c r="AQ157" s="3">
        <f>IFERROR(__xludf.DUMMYFUNCTION("""COMPUTED_VALUE"""),0.0)</f>
        <v>0</v>
      </c>
      <c r="AR157" s="3">
        <f>IFERROR(__xludf.DUMMYFUNCTION("""COMPUTED_VALUE"""),0.0)</f>
        <v>0</v>
      </c>
      <c r="AS157" s="3">
        <f>IFERROR(__xludf.DUMMYFUNCTION("""COMPUTED_VALUE"""),0.0)</f>
        <v>0</v>
      </c>
      <c r="AT157" s="3">
        <f>IFERROR(__xludf.DUMMYFUNCTION("""COMPUTED_VALUE"""),0.0)</f>
        <v>0</v>
      </c>
      <c r="AU157" s="3">
        <f>IFERROR(__xludf.DUMMYFUNCTION("""COMPUTED_VALUE"""),0.0)</f>
        <v>0</v>
      </c>
      <c r="AV157" s="3">
        <f>IFERROR(__xludf.DUMMYFUNCTION("""COMPUTED_VALUE"""),0.0)</f>
        <v>0</v>
      </c>
      <c r="AW157" s="3">
        <f>IFERROR(__xludf.DUMMYFUNCTION("""COMPUTED_VALUE"""),0.0)</f>
        <v>0</v>
      </c>
      <c r="AX157" s="3">
        <f>IFERROR(__xludf.DUMMYFUNCTION("""COMPUTED_VALUE"""),3.0)</f>
        <v>3</v>
      </c>
      <c r="AY157" s="3">
        <f>IFERROR(__xludf.DUMMYFUNCTION("""COMPUTED_VALUE"""),3.0)</f>
        <v>3</v>
      </c>
      <c r="AZ157" s="3">
        <f>IFERROR(__xludf.DUMMYFUNCTION("""COMPUTED_VALUE"""),3.0)</f>
        <v>3</v>
      </c>
      <c r="BA157" s="3">
        <f>IFERROR(__xludf.DUMMYFUNCTION("""COMPUTED_VALUE"""),5.0)</f>
        <v>5</v>
      </c>
      <c r="BB157" s="3">
        <f>IFERROR(__xludf.DUMMYFUNCTION("""COMPUTED_VALUE"""),6.0)</f>
        <v>6</v>
      </c>
      <c r="BC157" s="3">
        <f>IFERROR(__xludf.DUMMYFUNCTION("""COMPUTED_VALUE"""),6.0)</f>
        <v>6</v>
      </c>
      <c r="BD157" s="3">
        <f>IFERROR(__xludf.DUMMYFUNCTION("""COMPUTED_VALUE"""),12.0)</f>
        <v>12</v>
      </c>
      <c r="BE157" s="3">
        <f>IFERROR(__xludf.DUMMYFUNCTION("""COMPUTED_VALUE"""),18.0)</f>
        <v>18</v>
      </c>
      <c r="BF157" s="3">
        <f>IFERROR(__xludf.DUMMYFUNCTION("""COMPUTED_VALUE"""),21.0)</f>
        <v>21</v>
      </c>
      <c r="BG157" s="3">
        <f>IFERROR(__xludf.DUMMYFUNCTION("""COMPUTED_VALUE"""),30.0)</f>
        <v>30</v>
      </c>
      <c r="BH157" s="3">
        <f>IFERROR(__xludf.DUMMYFUNCTION("""COMPUTED_VALUE"""),38.0)</f>
        <v>38</v>
      </c>
      <c r="BI157" s="3">
        <f>IFERROR(__xludf.DUMMYFUNCTION("""COMPUTED_VALUE"""),38.0)</f>
        <v>38</v>
      </c>
      <c r="BJ157" s="3">
        <f>IFERROR(__xludf.DUMMYFUNCTION("""COMPUTED_VALUE"""),53.0)</f>
        <v>53</v>
      </c>
      <c r="BK157" s="3">
        <f>IFERROR(__xludf.DUMMYFUNCTION("""COMPUTED_VALUE"""),64.0)</f>
        <v>64</v>
      </c>
      <c r="BL157" s="3">
        <f>IFERROR(__xludf.DUMMYFUNCTION("""COMPUTED_VALUE"""),73.0)</f>
        <v>73</v>
      </c>
      <c r="BM157" s="3">
        <f>IFERROR(__xludf.DUMMYFUNCTION("""COMPUTED_VALUE"""),90.0)</f>
        <v>90</v>
      </c>
      <c r="BN157" s="3">
        <f>IFERROR(__xludf.DUMMYFUNCTION("""COMPUTED_VALUE"""),107.0)</f>
        <v>107</v>
      </c>
      <c r="BO157" s="3">
        <f>IFERROR(__xludf.DUMMYFUNCTION("""COMPUTED_VALUE"""),110.0)</f>
        <v>110</v>
      </c>
      <c r="BP157" s="3">
        <f>IFERROR(__xludf.DUMMYFUNCTION("""COMPUTED_VALUE"""),129.0)</f>
        <v>129</v>
      </c>
      <c r="BQ157" s="3">
        <f>IFERROR(__xludf.DUMMYFUNCTION("""COMPUTED_VALUE"""),134.0)</f>
        <v>134</v>
      </c>
      <c r="BR157" s="3">
        <f>IFERROR(__xludf.DUMMYFUNCTION("""COMPUTED_VALUE"""),139.0)</f>
        <v>139</v>
      </c>
      <c r="BS157" s="3">
        <f>IFERROR(__xludf.DUMMYFUNCTION("""COMPUTED_VALUE"""),149.0)</f>
        <v>149</v>
      </c>
      <c r="BT157" s="3">
        <f>IFERROR(__xludf.DUMMYFUNCTION("""COMPUTED_VALUE"""),151.0)</f>
        <v>151</v>
      </c>
      <c r="BU157" s="3">
        <f>IFERROR(__xludf.DUMMYFUNCTION("""COMPUTED_VALUE"""),156.0)</f>
        <v>156</v>
      </c>
      <c r="BV157" s="3">
        <f>IFERROR(__xludf.DUMMYFUNCTION("""COMPUTED_VALUE"""),169.0)</f>
        <v>169</v>
      </c>
      <c r="BW157" s="3">
        <f>IFERROR(__xludf.DUMMYFUNCTION("""COMPUTED_VALUE"""),188.0)</f>
        <v>188</v>
      </c>
      <c r="BX157" s="3">
        <f>IFERROR(__xludf.DUMMYFUNCTION("""COMPUTED_VALUE"""),196.0)</f>
        <v>196</v>
      </c>
      <c r="BY157" s="3">
        <f>IFERROR(__xludf.DUMMYFUNCTION("""COMPUTED_VALUE"""),202.0)</f>
        <v>202</v>
      </c>
      <c r="BZ157" s="3">
        <f>IFERROR(__xludf.DUMMYFUNCTION("""COMPUTED_VALUE"""),213.0)</f>
        <v>213</v>
      </c>
      <c r="CA157" s="3">
        <f>IFERROR(__xludf.DUMMYFUNCTION("""COMPUTED_VALUE"""),227.0)</f>
        <v>227</v>
      </c>
      <c r="CB157" s="3">
        <f>IFERROR(__xludf.DUMMYFUNCTION("""COMPUTED_VALUE"""),241.0)</f>
        <v>241</v>
      </c>
    </row>
    <row r="158">
      <c r="A158" s="3" t="str">
        <f>IFERROR(__xludf.DUMMYFUNCTION("""COMPUTED_VALUE"""),"")</f>
        <v/>
      </c>
      <c r="B158" s="3" t="str">
        <f>IFERROR(__xludf.DUMMYFUNCTION("""COMPUTED_VALUE"""),"Mauritania")</f>
        <v>Mauritania</v>
      </c>
      <c r="C158" s="3">
        <f>IFERROR(__xludf.DUMMYFUNCTION("""COMPUTED_VALUE"""),21.0079)</f>
        <v>21.0079</v>
      </c>
      <c r="D158" s="3">
        <f>IFERROR(__xludf.DUMMYFUNCTION("""COMPUTED_VALUE"""),10.9408)</f>
        <v>10.9408</v>
      </c>
      <c r="E158" s="3">
        <f>IFERROR(__xludf.DUMMYFUNCTION("""COMPUTED_VALUE"""),0.0)</f>
        <v>0</v>
      </c>
      <c r="F158" s="3">
        <f>IFERROR(__xludf.DUMMYFUNCTION("""COMPUTED_VALUE"""),0.0)</f>
        <v>0</v>
      </c>
      <c r="G158" s="3">
        <f>IFERROR(__xludf.DUMMYFUNCTION("""COMPUTED_VALUE"""),0.0)</f>
        <v>0</v>
      </c>
      <c r="H158" s="3">
        <f>IFERROR(__xludf.DUMMYFUNCTION("""COMPUTED_VALUE"""),0.0)</f>
        <v>0</v>
      </c>
      <c r="I158" s="3">
        <f>IFERROR(__xludf.DUMMYFUNCTION("""COMPUTED_VALUE"""),0.0)</f>
        <v>0</v>
      </c>
      <c r="J158" s="3">
        <f>IFERROR(__xludf.DUMMYFUNCTION("""COMPUTED_VALUE"""),0.0)</f>
        <v>0</v>
      </c>
      <c r="K158" s="3">
        <f>IFERROR(__xludf.DUMMYFUNCTION("""COMPUTED_VALUE"""),0.0)</f>
        <v>0</v>
      </c>
      <c r="L158" s="3">
        <f>IFERROR(__xludf.DUMMYFUNCTION("""COMPUTED_VALUE"""),0.0)</f>
        <v>0</v>
      </c>
      <c r="M158" s="3">
        <f>IFERROR(__xludf.DUMMYFUNCTION("""COMPUTED_VALUE"""),0.0)</f>
        <v>0</v>
      </c>
      <c r="N158" s="3">
        <f>IFERROR(__xludf.DUMMYFUNCTION("""COMPUTED_VALUE"""),0.0)</f>
        <v>0</v>
      </c>
      <c r="O158" s="3">
        <f>IFERROR(__xludf.DUMMYFUNCTION("""COMPUTED_VALUE"""),0.0)</f>
        <v>0</v>
      </c>
      <c r="P158" s="3">
        <f>IFERROR(__xludf.DUMMYFUNCTION("""COMPUTED_VALUE"""),0.0)</f>
        <v>0</v>
      </c>
      <c r="Q158" s="3">
        <f>IFERROR(__xludf.DUMMYFUNCTION("""COMPUTED_VALUE"""),0.0)</f>
        <v>0</v>
      </c>
      <c r="R158" s="3">
        <f>IFERROR(__xludf.DUMMYFUNCTION("""COMPUTED_VALUE"""),0.0)</f>
        <v>0</v>
      </c>
      <c r="S158" s="3">
        <f>IFERROR(__xludf.DUMMYFUNCTION("""COMPUTED_VALUE"""),0.0)</f>
        <v>0</v>
      </c>
      <c r="T158" s="3">
        <f>IFERROR(__xludf.DUMMYFUNCTION("""COMPUTED_VALUE"""),0.0)</f>
        <v>0</v>
      </c>
      <c r="U158" s="3">
        <f>IFERROR(__xludf.DUMMYFUNCTION("""COMPUTED_VALUE"""),0.0)</f>
        <v>0</v>
      </c>
      <c r="V158" s="3">
        <f>IFERROR(__xludf.DUMMYFUNCTION("""COMPUTED_VALUE"""),0.0)</f>
        <v>0</v>
      </c>
      <c r="W158" s="3">
        <f>IFERROR(__xludf.DUMMYFUNCTION("""COMPUTED_VALUE"""),0.0)</f>
        <v>0</v>
      </c>
      <c r="X158" s="3">
        <f>IFERROR(__xludf.DUMMYFUNCTION("""COMPUTED_VALUE"""),0.0)</f>
        <v>0</v>
      </c>
      <c r="Y158" s="3">
        <f>IFERROR(__xludf.DUMMYFUNCTION("""COMPUTED_VALUE"""),0.0)</f>
        <v>0</v>
      </c>
      <c r="Z158" s="3">
        <f>IFERROR(__xludf.DUMMYFUNCTION("""COMPUTED_VALUE"""),0.0)</f>
        <v>0</v>
      </c>
      <c r="AA158" s="3">
        <f>IFERROR(__xludf.DUMMYFUNCTION("""COMPUTED_VALUE"""),0.0)</f>
        <v>0</v>
      </c>
      <c r="AB158" s="3">
        <f>IFERROR(__xludf.DUMMYFUNCTION("""COMPUTED_VALUE"""),0.0)</f>
        <v>0</v>
      </c>
      <c r="AC158" s="3">
        <f>IFERROR(__xludf.DUMMYFUNCTION("""COMPUTED_VALUE"""),0.0)</f>
        <v>0</v>
      </c>
      <c r="AD158" s="3">
        <f>IFERROR(__xludf.DUMMYFUNCTION("""COMPUTED_VALUE"""),0.0)</f>
        <v>0</v>
      </c>
      <c r="AE158" s="3">
        <f>IFERROR(__xludf.DUMMYFUNCTION("""COMPUTED_VALUE"""),0.0)</f>
        <v>0</v>
      </c>
      <c r="AF158" s="3">
        <f>IFERROR(__xludf.DUMMYFUNCTION("""COMPUTED_VALUE"""),0.0)</f>
        <v>0</v>
      </c>
      <c r="AG158" s="3">
        <f>IFERROR(__xludf.DUMMYFUNCTION("""COMPUTED_VALUE"""),0.0)</f>
        <v>0</v>
      </c>
      <c r="AH158" s="3">
        <f>IFERROR(__xludf.DUMMYFUNCTION("""COMPUTED_VALUE"""),0.0)</f>
        <v>0</v>
      </c>
      <c r="AI158" s="3">
        <f>IFERROR(__xludf.DUMMYFUNCTION("""COMPUTED_VALUE"""),0.0)</f>
        <v>0</v>
      </c>
      <c r="AJ158" s="3">
        <f>IFERROR(__xludf.DUMMYFUNCTION("""COMPUTED_VALUE"""),0.0)</f>
        <v>0</v>
      </c>
      <c r="AK158" s="3">
        <f>IFERROR(__xludf.DUMMYFUNCTION("""COMPUTED_VALUE"""),0.0)</f>
        <v>0</v>
      </c>
      <c r="AL158" s="3">
        <f>IFERROR(__xludf.DUMMYFUNCTION("""COMPUTED_VALUE"""),0.0)</f>
        <v>0</v>
      </c>
      <c r="AM158" s="3">
        <f>IFERROR(__xludf.DUMMYFUNCTION("""COMPUTED_VALUE"""),0.0)</f>
        <v>0</v>
      </c>
      <c r="AN158" s="3">
        <f>IFERROR(__xludf.DUMMYFUNCTION("""COMPUTED_VALUE"""),0.0)</f>
        <v>0</v>
      </c>
      <c r="AO158" s="3">
        <f>IFERROR(__xludf.DUMMYFUNCTION("""COMPUTED_VALUE"""),0.0)</f>
        <v>0</v>
      </c>
      <c r="AP158" s="3">
        <f>IFERROR(__xludf.DUMMYFUNCTION("""COMPUTED_VALUE"""),0.0)</f>
        <v>0</v>
      </c>
      <c r="AQ158" s="3">
        <f>IFERROR(__xludf.DUMMYFUNCTION("""COMPUTED_VALUE"""),0.0)</f>
        <v>0</v>
      </c>
      <c r="AR158" s="3">
        <f>IFERROR(__xludf.DUMMYFUNCTION("""COMPUTED_VALUE"""),0.0)</f>
        <v>0</v>
      </c>
      <c r="AS158" s="3">
        <f>IFERROR(__xludf.DUMMYFUNCTION("""COMPUTED_VALUE"""),0.0)</f>
        <v>0</v>
      </c>
      <c r="AT158" s="3">
        <f>IFERROR(__xludf.DUMMYFUNCTION("""COMPUTED_VALUE"""),0.0)</f>
        <v>0</v>
      </c>
      <c r="AU158" s="3">
        <f>IFERROR(__xludf.DUMMYFUNCTION("""COMPUTED_VALUE"""),0.0)</f>
        <v>0</v>
      </c>
      <c r="AV158" s="3">
        <f>IFERROR(__xludf.DUMMYFUNCTION("""COMPUTED_VALUE"""),0.0)</f>
        <v>0</v>
      </c>
      <c r="AW158" s="3">
        <f>IFERROR(__xludf.DUMMYFUNCTION("""COMPUTED_VALUE"""),0.0)</f>
        <v>0</v>
      </c>
      <c r="AX158" s="3">
        <f>IFERROR(__xludf.DUMMYFUNCTION("""COMPUTED_VALUE"""),0.0)</f>
        <v>0</v>
      </c>
      <c r="AY158" s="3">
        <f>IFERROR(__xludf.DUMMYFUNCTION("""COMPUTED_VALUE"""),0.0)</f>
        <v>0</v>
      </c>
      <c r="AZ158" s="3">
        <f>IFERROR(__xludf.DUMMYFUNCTION("""COMPUTED_VALUE"""),0.0)</f>
        <v>0</v>
      </c>
      <c r="BA158" s="3">
        <f>IFERROR(__xludf.DUMMYFUNCTION("""COMPUTED_VALUE"""),0.0)</f>
        <v>0</v>
      </c>
      <c r="BB158" s="3">
        <f>IFERROR(__xludf.DUMMYFUNCTION("""COMPUTED_VALUE"""),0.0)</f>
        <v>0</v>
      </c>
      <c r="BC158" s="3">
        <f>IFERROR(__xludf.DUMMYFUNCTION("""COMPUTED_VALUE"""),0.0)</f>
        <v>0</v>
      </c>
      <c r="BD158" s="3">
        <f>IFERROR(__xludf.DUMMYFUNCTION("""COMPUTED_VALUE"""),0.0)</f>
        <v>0</v>
      </c>
      <c r="BE158" s="3">
        <f>IFERROR(__xludf.DUMMYFUNCTION("""COMPUTED_VALUE"""),1.0)</f>
        <v>1</v>
      </c>
      <c r="BF158" s="3">
        <f>IFERROR(__xludf.DUMMYFUNCTION("""COMPUTED_VALUE"""),1.0)</f>
        <v>1</v>
      </c>
      <c r="BG158" s="3">
        <f>IFERROR(__xludf.DUMMYFUNCTION("""COMPUTED_VALUE"""),1.0)</f>
        <v>1</v>
      </c>
      <c r="BH158" s="3">
        <f>IFERROR(__xludf.DUMMYFUNCTION("""COMPUTED_VALUE"""),1.0)</f>
        <v>1</v>
      </c>
      <c r="BI158" s="3">
        <f>IFERROR(__xludf.DUMMYFUNCTION("""COMPUTED_VALUE"""),1.0)</f>
        <v>1</v>
      </c>
      <c r="BJ158" s="3">
        <f>IFERROR(__xludf.DUMMYFUNCTION("""COMPUTED_VALUE"""),2.0)</f>
        <v>2</v>
      </c>
      <c r="BK158" s="3">
        <f>IFERROR(__xludf.DUMMYFUNCTION("""COMPUTED_VALUE"""),2.0)</f>
        <v>2</v>
      </c>
      <c r="BL158" s="3">
        <f>IFERROR(__xludf.DUMMYFUNCTION("""COMPUTED_VALUE"""),2.0)</f>
        <v>2</v>
      </c>
      <c r="BM158" s="3">
        <f>IFERROR(__xludf.DUMMYFUNCTION("""COMPUTED_VALUE"""),2.0)</f>
        <v>2</v>
      </c>
      <c r="BN158" s="3">
        <f>IFERROR(__xludf.DUMMYFUNCTION("""COMPUTED_VALUE"""),2.0)</f>
        <v>2</v>
      </c>
      <c r="BO158" s="3">
        <f>IFERROR(__xludf.DUMMYFUNCTION("""COMPUTED_VALUE"""),2.0)</f>
        <v>2</v>
      </c>
      <c r="BP158" s="3">
        <f>IFERROR(__xludf.DUMMYFUNCTION("""COMPUTED_VALUE"""),2.0)</f>
        <v>2</v>
      </c>
      <c r="BQ158" s="3">
        <f>IFERROR(__xludf.DUMMYFUNCTION("""COMPUTED_VALUE"""),3.0)</f>
        <v>3</v>
      </c>
      <c r="BR158" s="3">
        <f>IFERROR(__xludf.DUMMYFUNCTION("""COMPUTED_VALUE"""),3.0)</f>
        <v>3</v>
      </c>
      <c r="BS158" s="3">
        <f>IFERROR(__xludf.DUMMYFUNCTION("""COMPUTED_VALUE"""),5.0)</f>
        <v>5</v>
      </c>
      <c r="BT158" s="3">
        <f>IFERROR(__xludf.DUMMYFUNCTION("""COMPUTED_VALUE"""),5.0)</f>
        <v>5</v>
      </c>
      <c r="BU158" s="3">
        <f>IFERROR(__xludf.DUMMYFUNCTION("""COMPUTED_VALUE"""),5.0)</f>
        <v>5</v>
      </c>
      <c r="BV158" s="3">
        <f>IFERROR(__xludf.DUMMYFUNCTION("""COMPUTED_VALUE"""),6.0)</f>
        <v>6</v>
      </c>
      <c r="BW158" s="3">
        <f>IFERROR(__xludf.DUMMYFUNCTION("""COMPUTED_VALUE"""),6.0)</f>
        <v>6</v>
      </c>
      <c r="BX158" s="3">
        <f>IFERROR(__xludf.DUMMYFUNCTION("""COMPUTED_VALUE"""),6.0)</f>
        <v>6</v>
      </c>
      <c r="BY158" s="3">
        <f>IFERROR(__xludf.DUMMYFUNCTION("""COMPUTED_VALUE"""),6.0)</f>
        <v>6</v>
      </c>
      <c r="BZ158" s="3">
        <f>IFERROR(__xludf.DUMMYFUNCTION("""COMPUTED_VALUE"""),6.0)</f>
        <v>6</v>
      </c>
      <c r="CA158" s="3">
        <f>IFERROR(__xludf.DUMMYFUNCTION("""COMPUTED_VALUE"""),6.0)</f>
        <v>6</v>
      </c>
      <c r="CB158" s="3">
        <f>IFERROR(__xludf.DUMMYFUNCTION("""COMPUTED_VALUE"""),6.0)</f>
        <v>6</v>
      </c>
    </row>
    <row r="159">
      <c r="A159" s="3" t="str">
        <f>IFERROR(__xludf.DUMMYFUNCTION("""COMPUTED_VALUE"""),"")</f>
        <v/>
      </c>
      <c r="B159" s="3" t="str">
        <f>IFERROR(__xludf.DUMMYFUNCTION("""COMPUTED_VALUE"""),"Mauritius")</f>
        <v>Mauritius</v>
      </c>
      <c r="C159" s="3">
        <f>IFERROR(__xludf.DUMMYFUNCTION("""COMPUTED_VALUE"""),-20.2)</f>
        <v>-20.2</v>
      </c>
      <c r="D159" s="3">
        <f>IFERROR(__xludf.DUMMYFUNCTION("""COMPUTED_VALUE"""),57.5)</f>
        <v>57.5</v>
      </c>
      <c r="E159" s="3">
        <f>IFERROR(__xludf.DUMMYFUNCTION("""COMPUTED_VALUE"""),0.0)</f>
        <v>0</v>
      </c>
      <c r="F159" s="3">
        <f>IFERROR(__xludf.DUMMYFUNCTION("""COMPUTED_VALUE"""),0.0)</f>
        <v>0</v>
      </c>
      <c r="G159" s="3">
        <f>IFERROR(__xludf.DUMMYFUNCTION("""COMPUTED_VALUE"""),0.0)</f>
        <v>0</v>
      </c>
      <c r="H159" s="3">
        <f>IFERROR(__xludf.DUMMYFUNCTION("""COMPUTED_VALUE"""),0.0)</f>
        <v>0</v>
      </c>
      <c r="I159" s="3">
        <f>IFERROR(__xludf.DUMMYFUNCTION("""COMPUTED_VALUE"""),0.0)</f>
        <v>0</v>
      </c>
      <c r="J159" s="3">
        <f>IFERROR(__xludf.DUMMYFUNCTION("""COMPUTED_VALUE"""),0.0)</f>
        <v>0</v>
      </c>
      <c r="K159" s="3">
        <f>IFERROR(__xludf.DUMMYFUNCTION("""COMPUTED_VALUE"""),0.0)</f>
        <v>0</v>
      </c>
      <c r="L159" s="3">
        <f>IFERROR(__xludf.DUMMYFUNCTION("""COMPUTED_VALUE"""),0.0)</f>
        <v>0</v>
      </c>
      <c r="M159" s="3">
        <f>IFERROR(__xludf.DUMMYFUNCTION("""COMPUTED_VALUE"""),0.0)</f>
        <v>0</v>
      </c>
      <c r="N159" s="3">
        <f>IFERROR(__xludf.DUMMYFUNCTION("""COMPUTED_VALUE"""),0.0)</f>
        <v>0</v>
      </c>
      <c r="O159" s="3">
        <f>IFERROR(__xludf.DUMMYFUNCTION("""COMPUTED_VALUE"""),0.0)</f>
        <v>0</v>
      </c>
      <c r="P159" s="3">
        <f>IFERROR(__xludf.DUMMYFUNCTION("""COMPUTED_VALUE"""),0.0)</f>
        <v>0</v>
      </c>
      <c r="Q159" s="3">
        <f>IFERROR(__xludf.DUMMYFUNCTION("""COMPUTED_VALUE"""),0.0)</f>
        <v>0</v>
      </c>
      <c r="R159" s="3">
        <f>IFERROR(__xludf.DUMMYFUNCTION("""COMPUTED_VALUE"""),0.0)</f>
        <v>0</v>
      </c>
      <c r="S159" s="3">
        <f>IFERROR(__xludf.DUMMYFUNCTION("""COMPUTED_VALUE"""),0.0)</f>
        <v>0</v>
      </c>
      <c r="T159" s="3">
        <f>IFERROR(__xludf.DUMMYFUNCTION("""COMPUTED_VALUE"""),0.0)</f>
        <v>0</v>
      </c>
      <c r="U159" s="3">
        <f>IFERROR(__xludf.DUMMYFUNCTION("""COMPUTED_VALUE"""),0.0)</f>
        <v>0</v>
      </c>
      <c r="V159" s="3">
        <f>IFERROR(__xludf.DUMMYFUNCTION("""COMPUTED_VALUE"""),0.0)</f>
        <v>0</v>
      </c>
      <c r="W159" s="3">
        <f>IFERROR(__xludf.DUMMYFUNCTION("""COMPUTED_VALUE"""),0.0)</f>
        <v>0</v>
      </c>
      <c r="X159" s="3">
        <f>IFERROR(__xludf.DUMMYFUNCTION("""COMPUTED_VALUE"""),0.0)</f>
        <v>0</v>
      </c>
      <c r="Y159" s="3">
        <f>IFERROR(__xludf.DUMMYFUNCTION("""COMPUTED_VALUE"""),0.0)</f>
        <v>0</v>
      </c>
      <c r="Z159" s="3">
        <f>IFERROR(__xludf.DUMMYFUNCTION("""COMPUTED_VALUE"""),0.0)</f>
        <v>0</v>
      </c>
      <c r="AA159" s="3">
        <f>IFERROR(__xludf.DUMMYFUNCTION("""COMPUTED_VALUE"""),0.0)</f>
        <v>0</v>
      </c>
      <c r="AB159" s="3">
        <f>IFERROR(__xludf.DUMMYFUNCTION("""COMPUTED_VALUE"""),0.0)</f>
        <v>0</v>
      </c>
      <c r="AC159" s="3">
        <f>IFERROR(__xludf.DUMMYFUNCTION("""COMPUTED_VALUE"""),0.0)</f>
        <v>0</v>
      </c>
      <c r="AD159" s="3">
        <f>IFERROR(__xludf.DUMMYFUNCTION("""COMPUTED_VALUE"""),0.0)</f>
        <v>0</v>
      </c>
      <c r="AE159" s="3">
        <f>IFERROR(__xludf.DUMMYFUNCTION("""COMPUTED_VALUE"""),0.0)</f>
        <v>0</v>
      </c>
      <c r="AF159" s="3">
        <f>IFERROR(__xludf.DUMMYFUNCTION("""COMPUTED_VALUE"""),0.0)</f>
        <v>0</v>
      </c>
      <c r="AG159" s="3">
        <f>IFERROR(__xludf.DUMMYFUNCTION("""COMPUTED_VALUE"""),0.0)</f>
        <v>0</v>
      </c>
      <c r="AH159" s="3">
        <f>IFERROR(__xludf.DUMMYFUNCTION("""COMPUTED_VALUE"""),0.0)</f>
        <v>0</v>
      </c>
      <c r="AI159" s="3">
        <f>IFERROR(__xludf.DUMMYFUNCTION("""COMPUTED_VALUE"""),0.0)</f>
        <v>0</v>
      </c>
      <c r="AJ159" s="3">
        <f>IFERROR(__xludf.DUMMYFUNCTION("""COMPUTED_VALUE"""),0.0)</f>
        <v>0</v>
      </c>
      <c r="AK159" s="3">
        <f>IFERROR(__xludf.DUMMYFUNCTION("""COMPUTED_VALUE"""),0.0)</f>
        <v>0</v>
      </c>
      <c r="AL159" s="3">
        <f>IFERROR(__xludf.DUMMYFUNCTION("""COMPUTED_VALUE"""),0.0)</f>
        <v>0</v>
      </c>
      <c r="AM159" s="3">
        <f>IFERROR(__xludf.DUMMYFUNCTION("""COMPUTED_VALUE"""),0.0)</f>
        <v>0</v>
      </c>
      <c r="AN159" s="3">
        <f>IFERROR(__xludf.DUMMYFUNCTION("""COMPUTED_VALUE"""),0.0)</f>
        <v>0</v>
      </c>
      <c r="AO159" s="3">
        <f>IFERROR(__xludf.DUMMYFUNCTION("""COMPUTED_VALUE"""),0.0)</f>
        <v>0</v>
      </c>
      <c r="AP159" s="3">
        <f>IFERROR(__xludf.DUMMYFUNCTION("""COMPUTED_VALUE"""),0.0)</f>
        <v>0</v>
      </c>
      <c r="AQ159" s="3">
        <f>IFERROR(__xludf.DUMMYFUNCTION("""COMPUTED_VALUE"""),0.0)</f>
        <v>0</v>
      </c>
      <c r="AR159" s="3">
        <f>IFERROR(__xludf.DUMMYFUNCTION("""COMPUTED_VALUE"""),0.0)</f>
        <v>0</v>
      </c>
      <c r="AS159" s="3">
        <f>IFERROR(__xludf.DUMMYFUNCTION("""COMPUTED_VALUE"""),0.0)</f>
        <v>0</v>
      </c>
      <c r="AT159" s="3">
        <f>IFERROR(__xludf.DUMMYFUNCTION("""COMPUTED_VALUE"""),0.0)</f>
        <v>0</v>
      </c>
      <c r="AU159" s="3">
        <f>IFERROR(__xludf.DUMMYFUNCTION("""COMPUTED_VALUE"""),0.0)</f>
        <v>0</v>
      </c>
      <c r="AV159" s="3">
        <f>IFERROR(__xludf.DUMMYFUNCTION("""COMPUTED_VALUE"""),0.0)</f>
        <v>0</v>
      </c>
      <c r="AW159" s="3">
        <f>IFERROR(__xludf.DUMMYFUNCTION("""COMPUTED_VALUE"""),0.0)</f>
        <v>0</v>
      </c>
      <c r="AX159" s="3">
        <f>IFERROR(__xludf.DUMMYFUNCTION("""COMPUTED_VALUE"""),0.0)</f>
        <v>0</v>
      </c>
      <c r="AY159" s="3">
        <f>IFERROR(__xludf.DUMMYFUNCTION("""COMPUTED_VALUE"""),0.0)</f>
        <v>0</v>
      </c>
      <c r="AZ159" s="3">
        <f>IFERROR(__xludf.DUMMYFUNCTION("""COMPUTED_VALUE"""),0.0)</f>
        <v>0</v>
      </c>
      <c r="BA159" s="3">
        <f>IFERROR(__xludf.DUMMYFUNCTION("""COMPUTED_VALUE"""),0.0)</f>
        <v>0</v>
      </c>
      <c r="BB159" s="3">
        <f>IFERROR(__xludf.DUMMYFUNCTION("""COMPUTED_VALUE"""),0.0)</f>
        <v>0</v>
      </c>
      <c r="BC159" s="3">
        <f>IFERROR(__xludf.DUMMYFUNCTION("""COMPUTED_VALUE"""),0.0)</f>
        <v>0</v>
      </c>
      <c r="BD159" s="3">
        <f>IFERROR(__xludf.DUMMYFUNCTION("""COMPUTED_VALUE"""),0.0)</f>
        <v>0</v>
      </c>
      <c r="BE159" s="3">
        <f>IFERROR(__xludf.DUMMYFUNCTION("""COMPUTED_VALUE"""),0.0)</f>
        <v>0</v>
      </c>
      <c r="BF159" s="3">
        <f>IFERROR(__xludf.DUMMYFUNCTION("""COMPUTED_VALUE"""),0.0)</f>
        <v>0</v>
      </c>
      <c r="BG159" s="3">
        <f>IFERROR(__xludf.DUMMYFUNCTION("""COMPUTED_VALUE"""),0.0)</f>
        <v>0</v>
      </c>
      <c r="BH159" s="3">
        <f>IFERROR(__xludf.DUMMYFUNCTION("""COMPUTED_VALUE"""),0.0)</f>
        <v>0</v>
      </c>
      <c r="BI159" s="3">
        <f>IFERROR(__xludf.DUMMYFUNCTION("""COMPUTED_VALUE"""),3.0)</f>
        <v>3</v>
      </c>
      <c r="BJ159" s="3">
        <f>IFERROR(__xludf.DUMMYFUNCTION("""COMPUTED_VALUE"""),3.0)</f>
        <v>3</v>
      </c>
      <c r="BK159" s="3">
        <f>IFERROR(__xludf.DUMMYFUNCTION("""COMPUTED_VALUE"""),12.0)</f>
        <v>12</v>
      </c>
      <c r="BL159" s="3">
        <f>IFERROR(__xludf.DUMMYFUNCTION("""COMPUTED_VALUE"""),14.0)</f>
        <v>14</v>
      </c>
      <c r="BM159" s="3">
        <f>IFERROR(__xludf.DUMMYFUNCTION("""COMPUTED_VALUE"""),28.0)</f>
        <v>28</v>
      </c>
      <c r="BN159" s="3">
        <f>IFERROR(__xludf.DUMMYFUNCTION("""COMPUTED_VALUE"""),36.0)</f>
        <v>36</v>
      </c>
      <c r="BO159" s="3">
        <f>IFERROR(__xludf.DUMMYFUNCTION("""COMPUTED_VALUE"""),42.0)</f>
        <v>42</v>
      </c>
      <c r="BP159" s="3">
        <f>IFERROR(__xludf.DUMMYFUNCTION("""COMPUTED_VALUE"""),48.0)</f>
        <v>48</v>
      </c>
      <c r="BQ159" s="3">
        <f>IFERROR(__xludf.DUMMYFUNCTION("""COMPUTED_VALUE"""),81.0)</f>
        <v>81</v>
      </c>
      <c r="BR159" s="3">
        <f>IFERROR(__xludf.DUMMYFUNCTION("""COMPUTED_VALUE"""),94.0)</f>
        <v>94</v>
      </c>
      <c r="BS159" s="3">
        <f>IFERROR(__xludf.DUMMYFUNCTION("""COMPUTED_VALUE"""),102.0)</f>
        <v>102</v>
      </c>
      <c r="BT159" s="3">
        <f>IFERROR(__xludf.DUMMYFUNCTION("""COMPUTED_VALUE"""),107.0)</f>
        <v>107</v>
      </c>
      <c r="BU159" s="3">
        <f>IFERROR(__xludf.DUMMYFUNCTION("""COMPUTED_VALUE"""),128.0)</f>
        <v>128</v>
      </c>
      <c r="BV159" s="3">
        <f>IFERROR(__xludf.DUMMYFUNCTION("""COMPUTED_VALUE"""),143.0)</f>
        <v>143</v>
      </c>
      <c r="BW159" s="3">
        <f>IFERROR(__xludf.DUMMYFUNCTION("""COMPUTED_VALUE"""),161.0)</f>
        <v>161</v>
      </c>
      <c r="BX159" s="3">
        <f>IFERROR(__xludf.DUMMYFUNCTION("""COMPUTED_VALUE"""),169.0)</f>
        <v>169</v>
      </c>
      <c r="BY159" s="3">
        <f>IFERROR(__xludf.DUMMYFUNCTION("""COMPUTED_VALUE"""),186.0)</f>
        <v>186</v>
      </c>
      <c r="BZ159" s="3">
        <f>IFERROR(__xludf.DUMMYFUNCTION("""COMPUTED_VALUE"""),196.0)</f>
        <v>196</v>
      </c>
      <c r="CA159" s="3">
        <f>IFERROR(__xludf.DUMMYFUNCTION("""COMPUTED_VALUE"""),227.0)</f>
        <v>227</v>
      </c>
      <c r="CB159" s="3">
        <f>IFERROR(__xludf.DUMMYFUNCTION("""COMPUTED_VALUE"""),244.0)</f>
        <v>244</v>
      </c>
    </row>
    <row r="160">
      <c r="A160" s="3" t="str">
        <f>IFERROR(__xludf.DUMMYFUNCTION("""COMPUTED_VALUE"""),"")</f>
        <v/>
      </c>
      <c r="B160" s="3" t="str">
        <f>IFERROR(__xludf.DUMMYFUNCTION("""COMPUTED_VALUE"""),"Mexico")</f>
        <v>Mexico</v>
      </c>
      <c r="C160" s="3">
        <f>IFERROR(__xludf.DUMMYFUNCTION("""COMPUTED_VALUE"""),23.6345)</f>
        <v>23.6345</v>
      </c>
      <c r="D160" s="3">
        <f>IFERROR(__xludf.DUMMYFUNCTION("""COMPUTED_VALUE"""),-102.5528)</f>
        <v>-102.5528</v>
      </c>
      <c r="E160" s="3">
        <f>IFERROR(__xludf.DUMMYFUNCTION("""COMPUTED_VALUE"""),0.0)</f>
        <v>0</v>
      </c>
      <c r="F160" s="3">
        <f>IFERROR(__xludf.DUMMYFUNCTION("""COMPUTED_VALUE"""),0.0)</f>
        <v>0</v>
      </c>
      <c r="G160" s="3">
        <f>IFERROR(__xludf.DUMMYFUNCTION("""COMPUTED_VALUE"""),0.0)</f>
        <v>0</v>
      </c>
      <c r="H160" s="3">
        <f>IFERROR(__xludf.DUMMYFUNCTION("""COMPUTED_VALUE"""),0.0)</f>
        <v>0</v>
      </c>
      <c r="I160" s="3">
        <f>IFERROR(__xludf.DUMMYFUNCTION("""COMPUTED_VALUE"""),0.0)</f>
        <v>0</v>
      </c>
      <c r="J160" s="3">
        <f>IFERROR(__xludf.DUMMYFUNCTION("""COMPUTED_VALUE"""),0.0)</f>
        <v>0</v>
      </c>
      <c r="K160" s="3">
        <f>IFERROR(__xludf.DUMMYFUNCTION("""COMPUTED_VALUE"""),0.0)</f>
        <v>0</v>
      </c>
      <c r="L160" s="3">
        <f>IFERROR(__xludf.DUMMYFUNCTION("""COMPUTED_VALUE"""),0.0)</f>
        <v>0</v>
      </c>
      <c r="M160" s="3">
        <f>IFERROR(__xludf.DUMMYFUNCTION("""COMPUTED_VALUE"""),0.0)</f>
        <v>0</v>
      </c>
      <c r="N160" s="3">
        <f>IFERROR(__xludf.DUMMYFUNCTION("""COMPUTED_VALUE"""),0.0)</f>
        <v>0</v>
      </c>
      <c r="O160" s="3">
        <f>IFERROR(__xludf.DUMMYFUNCTION("""COMPUTED_VALUE"""),0.0)</f>
        <v>0</v>
      </c>
      <c r="P160" s="3">
        <f>IFERROR(__xludf.DUMMYFUNCTION("""COMPUTED_VALUE"""),0.0)</f>
        <v>0</v>
      </c>
      <c r="Q160" s="3">
        <f>IFERROR(__xludf.DUMMYFUNCTION("""COMPUTED_VALUE"""),0.0)</f>
        <v>0</v>
      </c>
      <c r="R160" s="3">
        <f>IFERROR(__xludf.DUMMYFUNCTION("""COMPUTED_VALUE"""),0.0)</f>
        <v>0</v>
      </c>
      <c r="S160" s="3">
        <f>IFERROR(__xludf.DUMMYFUNCTION("""COMPUTED_VALUE"""),0.0)</f>
        <v>0</v>
      </c>
      <c r="T160" s="3">
        <f>IFERROR(__xludf.DUMMYFUNCTION("""COMPUTED_VALUE"""),0.0)</f>
        <v>0</v>
      </c>
      <c r="U160" s="3">
        <f>IFERROR(__xludf.DUMMYFUNCTION("""COMPUTED_VALUE"""),0.0)</f>
        <v>0</v>
      </c>
      <c r="V160" s="3">
        <f>IFERROR(__xludf.DUMMYFUNCTION("""COMPUTED_VALUE"""),0.0)</f>
        <v>0</v>
      </c>
      <c r="W160" s="3">
        <f>IFERROR(__xludf.DUMMYFUNCTION("""COMPUTED_VALUE"""),0.0)</f>
        <v>0</v>
      </c>
      <c r="X160" s="3">
        <f>IFERROR(__xludf.DUMMYFUNCTION("""COMPUTED_VALUE"""),0.0)</f>
        <v>0</v>
      </c>
      <c r="Y160" s="3">
        <f>IFERROR(__xludf.DUMMYFUNCTION("""COMPUTED_VALUE"""),0.0)</f>
        <v>0</v>
      </c>
      <c r="Z160" s="3">
        <f>IFERROR(__xludf.DUMMYFUNCTION("""COMPUTED_VALUE"""),0.0)</f>
        <v>0</v>
      </c>
      <c r="AA160" s="3">
        <f>IFERROR(__xludf.DUMMYFUNCTION("""COMPUTED_VALUE"""),0.0)</f>
        <v>0</v>
      </c>
      <c r="AB160" s="3">
        <f>IFERROR(__xludf.DUMMYFUNCTION("""COMPUTED_VALUE"""),0.0)</f>
        <v>0</v>
      </c>
      <c r="AC160" s="3">
        <f>IFERROR(__xludf.DUMMYFUNCTION("""COMPUTED_VALUE"""),0.0)</f>
        <v>0</v>
      </c>
      <c r="AD160" s="3">
        <f>IFERROR(__xludf.DUMMYFUNCTION("""COMPUTED_VALUE"""),0.0)</f>
        <v>0</v>
      </c>
      <c r="AE160" s="3">
        <f>IFERROR(__xludf.DUMMYFUNCTION("""COMPUTED_VALUE"""),0.0)</f>
        <v>0</v>
      </c>
      <c r="AF160" s="3">
        <f>IFERROR(__xludf.DUMMYFUNCTION("""COMPUTED_VALUE"""),0.0)</f>
        <v>0</v>
      </c>
      <c r="AG160" s="3">
        <f>IFERROR(__xludf.DUMMYFUNCTION("""COMPUTED_VALUE"""),0.0)</f>
        <v>0</v>
      </c>
      <c r="AH160" s="3">
        <f>IFERROR(__xludf.DUMMYFUNCTION("""COMPUTED_VALUE"""),0.0)</f>
        <v>0</v>
      </c>
      <c r="AI160" s="3">
        <f>IFERROR(__xludf.DUMMYFUNCTION("""COMPUTED_VALUE"""),0.0)</f>
        <v>0</v>
      </c>
      <c r="AJ160" s="3">
        <f>IFERROR(__xludf.DUMMYFUNCTION("""COMPUTED_VALUE"""),0.0)</f>
        <v>0</v>
      </c>
      <c r="AK160" s="3">
        <f>IFERROR(__xludf.DUMMYFUNCTION("""COMPUTED_VALUE"""),0.0)</f>
        <v>0</v>
      </c>
      <c r="AL160" s="3">
        <f>IFERROR(__xludf.DUMMYFUNCTION("""COMPUTED_VALUE"""),0.0)</f>
        <v>0</v>
      </c>
      <c r="AM160" s="3">
        <f>IFERROR(__xludf.DUMMYFUNCTION("""COMPUTED_VALUE"""),0.0)</f>
        <v>0</v>
      </c>
      <c r="AN160" s="3">
        <f>IFERROR(__xludf.DUMMYFUNCTION("""COMPUTED_VALUE"""),0.0)</f>
        <v>0</v>
      </c>
      <c r="AO160" s="3">
        <f>IFERROR(__xludf.DUMMYFUNCTION("""COMPUTED_VALUE"""),0.0)</f>
        <v>0</v>
      </c>
      <c r="AP160" s="3">
        <f>IFERROR(__xludf.DUMMYFUNCTION("""COMPUTED_VALUE"""),1.0)</f>
        <v>1</v>
      </c>
      <c r="AQ160" s="3">
        <f>IFERROR(__xludf.DUMMYFUNCTION("""COMPUTED_VALUE"""),4.0)</f>
        <v>4</v>
      </c>
      <c r="AR160" s="3">
        <f>IFERROR(__xludf.DUMMYFUNCTION("""COMPUTED_VALUE"""),5.0)</f>
        <v>5</v>
      </c>
      <c r="AS160" s="3">
        <f>IFERROR(__xludf.DUMMYFUNCTION("""COMPUTED_VALUE"""),5.0)</f>
        <v>5</v>
      </c>
      <c r="AT160" s="3">
        <f>IFERROR(__xludf.DUMMYFUNCTION("""COMPUTED_VALUE"""),5.0)</f>
        <v>5</v>
      </c>
      <c r="AU160" s="3">
        <f>IFERROR(__xludf.DUMMYFUNCTION("""COMPUTED_VALUE"""),5.0)</f>
        <v>5</v>
      </c>
      <c r="AV160" s="3">
        <f>IFERROR(__xludf.DUMMYFUNCTION("""COMPUTED_VALUE"""),5.0)</f>
        <v>5</v>
      </c>
      <c r="AW160" s="3">
        <f>IFERROR(__xludf.DUMMYFUNCTION("""COMPUTED_VALUE"""),6.0)</f>
        <v>6</v>
      </c>
      <c r="AX160" s="3">
        <f>IFERROR(__xludf.DUMMYFUNCTION("""COMPUTED_VALUE"""),6.0)</f>
        <v>6</v>
      </c>
      <c r="AY160" s="3">
        <f>IFERROR(__xludf.DUMMYFUNCTION("""COMPUTED_VALUE"""),7.0)</f>
        <v>7</v>
      </c>
      <c r="AZ160" s="3">
        <f>IFERROR(__xludf.DUMMYFUNCTION("""COMPUTED_VALUE"""),7.0)</f>
        <v>7</v>
      </c>
      <c r="BA160" s="3">
        <f>IFERROR(__xludf.DUMMYFUNCTION("""COMPUTED_VALUE"""),7.0)</f>
        <v>7</v>
      </c>
      <c r="BB160" s="3">
        <f>IFERROR(__xludf.DUMMYFUNCTION("""COMPUTED_VALUE"""),8.0)</f>
        <v>8</v>
      </c>
      <c r="BC160" s="3">
        <f>IFERROR(__xludf.DUMMYFUNCTION("""COMPUTED_VALUE"""),12.0)</f>
        <v>12</v>
      </c>
      <c r="BD160" s="3">
        <f>IFERROR(__xludf.DUMMYFUNCTION("""COMPUTED_VALUE"""),12.0)</f>
        <v>12</v>
      </c>
      <c r="BE160" s="3">
        <f>IFERROR(__xludf.DUMMYFUNCTION("""COMPUTED_VALUE"""),26.0)</f>
        <v>26</v>
      </c>
      <c r="BF160" s="3">
        <f>IFERROR(__xludf.DUMMYFUNCTION("""COMPUTED_VALUE"""),41.0)</f>
        <v>41</v>
      </c>
      <c r="BG160" s="3">
        <f>IFERROR(__xludf.DUMMYFUNCTION("""COMPUTED_VALUE"""),53.0)</f>
        <v>53</v>
      </c>
      <c r="BH160" s="3">
        <f>IFERROR(__xludf.DUMMYFUNCTION("""COMPUTED_VALUE"""),82.0)</f>
        <v>82</v>
      </c>
      <c r="BI160" s="3">
        <f>IFERROR(__xludf.DUMMYFUNCTION("""COMPUTED_VALUE"""),93.0)</f>
        <v>93</v>
      </c>
      <c r="BJ160" s="3">
        <f>IFERROR(__xludf.DUMMYFUNCTION("""COMPUTED_VALUE"""),118.0)</f>
        <v>118</v>
      </c>
      <c r="BK160" s="3">
        <f>IFERROR(__xludf.DUMMYFUNCTION("""COMPUTED_VALUE"""),164.0)</f>
        <v>164</v>
      </c>
      <c r="BL160" s="3">
        <f>IFERROR(__xludf.DUMMYFUNCTION("""COMPUTED_VALUE"""),203.0)</f>
        <v>203</v>
      </c>
      <c r="BM160" s="3">
        <f>IFERROR(__xludf.DUMMYFUNCTION("""COMPUTED_VALUE"""),251.0)</f>
        <v>251</v>
      </c>
      <c r="BN160" s="3">
        <f>IFERROR(__xludf.DUMMYFUNCTION("""COMPUTED_VALUE"""),316.0)</f>
        <v>316</v>
      </c>
      <c r="BO160" s="3">
        <f>IFERROR(__xludf.DUMMYFUNCTION("""COMPUTED_VALUE"""),367.0)</f>
        <v>367</v>
      </c>
      <c r="BP160" s="3">
        <f>IFERROR(__xludf.DUMMYFUNCTION("""COMPUTED_VALUE"""),405.0)</f>
        <v>405</v>
      </c>
      <c r="BQ160" s="3">
        <f>IFERROR(__xludf.DUMMYFUNCTION("""COMPUTED_VALUE"""),475.0)</f>
        <v>475</v>
      </c>
      <c r="BR160" s="3">
        <f>IFERROR(__xludf.DUMMYFUNCTION("""COMPUTED_VALUE"""),585.0)</f>
        <v>585</v>
      </c>
      <c r="BS160" s="3">
        <f>IFERROR(__xludf.DUMMYFUNCTION("""COMPUTED_VALUE"""),717.0)</f>
        <v>717</v>
      </c>
      <c r="BT160" s="3">
        <f>IFERROR(__xludf.DUMMYFUNCTION("""COMPUTED_VALUE"""),848.0)</f>
        <v>848</v>
      </c>
      <c r="BU160" s="3">
        <f>IFERROR(__xludf.DUMMYFUNCTION("""COMPUTED_VALUE"""),993.0)</f>
        <v>993</v>
      </c>
      <c r="BV160" s="3">
        <f>IFERROR(__xludf.DUMMYFUNCTION("""COMPUTED_VALUE"""),1094.0)</f>
        <v>1094</v>
      </c>
      <c r="BW160" s="3">
        <f>IFERROR(__xludf.DUMMYFUNCTION("""COMPUTED_VALUE"""),1215.0)</f>
        <v>1215</v>
      </c>
      <c r="BX160" s="3">
        <f>IFERROR(__xludf.DUMMYFUNCTION("""COMPUTED_VALUE"""),1378.0)</f>
        <v>1378</v>
      </c>
      <c r="BY160" s="3">
        <f>IFERROR(__xludf.DUMMYFUNCTION("""COMPUTED_VALUE"""),1510.0)</f>
        <v>1510</v>
      </c>
      <c r="BZ160" s="3">
        <f>IFERROR(__xludf.DUMMYFUNCTION("""COMPUTED_VALUE"""),1688.0)</f>
        <v>1688</v>
      </c>
      <c r="CA160" s="3">
        <f>IFERROR(__xludf.DUMMYFUNCTION("""COMPUTED_VALUE"""),1890.0)</f>
        <v>1890</v>
      </c>
      <c r="CB160" s="3">
        <f>IFERROR(__xludf.DUMMYFUNCTION("""COMPUTED_VALUE"""),2143.0)</f>
        <v>2143</v>
      </c>
    </row>
    <row r="161">
      <c r="A161" s="3" t="str">
        <f>IFERROR(__xludf.DUMMYFUNCTION("""COMPUTED_VALUE"""),"")</f>
        <v/>
      </c>
      <c r="B161" s="3" t="str">
        <f>IFERROR(__xludf.DUMMYFUNCTION("""COMPUTED_VALUE"""),"Moldova")</f>
        <v>Moldova</v>
      </c>
      <c r="C161" s="3">
        <f>IFERROR(__xludf.DUMMYFUNCTION("""COMPUTED_VALUE"""),47.4116)</f>
        <v>47.4116</v>
      </c>
      <c r="D161" s="3">
        <f>IFERROR(__xludf.DUMMYFUNCTION("""COMPUTED_VALUE"""),28.3699)</f>
        <v>28.3699</v>
      </c>
      <c r="E161" s="3">
        <f>IFERROR(__xludf.DUMMYFUNCTION("""COMPUTED_VALUE"""),0.0)</f>
        <v>0</v>
      </c>
      <c r="F161" s="3">
        <f>IFERROR(__xludf.DUMMYFUNCTION("""COMPUTED_VALUE"""),0.0)</f>
        <v>0</v>
      </c>
      <c r="G161" s="3">
        <f>IFERROR(__xludf.DUMMYFUNCTION("""COMPUTED_VALUE"""),0.0)</f>
        <v>0</v>
      </c>
      <c r="H161" s="3">
        <f>IFERROR(__xludf.DUMMYFUNCTION("""COMPUTED_VALUE"""),0.0)</f>
        <v>0</v>
      </c>
      <c r="I161" s="3">
        <f>IFERROR(__xludf.DUMMYFUNCTION("""COMPUTED_VALUE"""),0.0)</f>
        <v>0</v>
      </c>
      <c r="J161" s="3">
        <f>IFERROR(__xludf.DUMMYFUNCTION("""COMPUTED_VALUE"""),0.0)</f>
        <v>0</v>
      </c>
      <c r="K161" s="3">
        <f>IFERROR(__xludf.DUMMYFUNCTION("""COMPUTED_VALUE"""),0.0)</f>
        <v>0</v>
      </c>
      <c r="L161" s="3">
        <f>IFERROR(__xludf.DUMMYFUNCTION("""COMPUTED_VALUE"""),0.0)</f>
        <v>0</v>
      </c>
      <c r="M161" s="3">
        <f>IFERROR(__xludf.DUMMYFUNCTION("""COMPUTED_VALUE"""),0.0)</f>
        <v>0</v>
      </c>
      <c r="N161" s="3">
        <f>IFERROR(__xludf.DUMMYFUNCTION("""COMPUTED_VALUE"""),0.0)</f>
        <v>0</v>
      </c>
      <c r="O161" s="3">
        <f>IFERROR(__xludf.DUMMYFUNCTION("""COMPUTED_VALUE"""),0.0)</f>
        <v>0</v>
      </c>
      <c r="P161" s="3">
        <f>IFERROR(__xludf.DUMMYFUNCTION("""COMPUTED_VALUE"""),0.0)</f>
        <v>0</v>
      </c>
      <c r="Q161" s="3">
        <f>IFERROR(__xludf.DUMMYFUNCTION("""COMPUTED_VALUE"""),0.0)</f>
        <v>0</v>
      </c>
      <c r="R161" s="3">
        <f>IFERROR(__xludf.DUMMYFUNCTION("""COMPUTED_VALUE"""),0.0)</f>
        <v>0</v>
      </c>
      <c r="S161" s="3">
        <f>IFERROR(__xludf.DUMMYFUNCTION("""COMPUTED_VALUE"""),0.0)</f>
        <v>0</v>
      </c>
      <c r="T161" s="3">
        <f>IFERROR(__xludf.DUMMYFUNCTION("""COMPUTED_VALUE"""),0.0)</f>
        <v>0</v>
      </c>
      <c r="U161" s="3">
        <f>IFERROR(__xludf.DUMMYFUNCTION("""COMPUTED_VALUE"""),0.0)</f>
        <v>0</v>
      </c>
      <c r="V161" s="3">
        <f>IFERROR(__xludf.DUMMYFUNCTION("""COMPUTED_VALUE"""),0.0)</f>
        <v>0</v>
      </c>
      <c r="W161" s="3">
        <f>IFERROR(__xludf.DUMMYFUNCTION("""COMPUTED_VALUE"""),0.0)</f>
        <v>0</v>
      </c>
      <c r="X161" s="3">
        <f>IFERROR(__xludf.DUMMYFUNCTION("""COMPUTED_VALUE"""),0.0)</f>
        <v>0</v>
      </c>
      <c r="Y161" s="3">
        <f>IFERROR(__xludf.DUMMYFUNCTION("""COMPUTED_VALUE"""),0.0)</f>
        <v>0</v>
      </c>
      <c r="Z161" s="3">
        <f>IFERROR(__xludf.DUMMYFUNCTION("""COMPUTED_VALUE"""),0.0)</f>
        <v>0</v>
      </c>
      <c r="AA161" s="3">
        <f>IFERROR(__xludf.DUMMYFUNCTION("""COMPUTED_VALUE"""),0.0)</f>
        <v>0</v>
      </c>
      <c r="AB161" s="3">
        <f>IFERROR(__xludf.DUMMYFUNCTION("""COMPUTED_VALUE"""),0.0)</f>
        <v>0</v>
      </c>
      <c r="AC161" s="3">
        <f>IFERROR(__xludf.DUMMYFUNCTION("""COMPUTED_VALUE"""),0.0)</f>
        <v>0</v>
      </c>
      <c r="AD161" s="3">
        <f>IFERROR(__xludf.DUMMYFUNCTION("""COMPUTED_VALUE"""),0.0)</f>
        <v>0</v>
      </c>
      <c r="AE161" s="3">
        <f>IFERROR(__xludf.DUMMYFUNCTION("""COMPUTED_VALUE"""),0.0)</f>
        <v>0</v>
      </c>
      <c r="AF161" s="3">
        <f>IFERROR(__xludf.DUMMYFUNCTION("""COMPUTED_VALUE"""),0.0)</f>
        <v>0</v>
      </c>
      <c r="AG161" s="3">
        <f>IFERROR(__xludf.DUMMYFUNCTION("""COMPUTED_VALUE"""),0.0)</f>
        <v>0</v>
      </c>
      <c r="AH161" s="3">
        <f>IFERROR(__xludf.DUMMYFUNCTION("""COMPUTED_VALUE"""),0.0)</f>
        <v>0</v>
      </c>
      <c r="AI161" s="3">
        <f>IFERROR(__xludf.DUMMYFUNCTION("""COMPUTED_VALUE"""),0.0)</f>
        <v>0</v>
      </c>
      <c r="AJ161" s="3">
        <f>IFERROR(__xludf.DUMMYFUNCTION("""COMPUTED_VALUE"""),0.0)</f>
        <v>0</v>
      </c>
      <c r="AK161" s="3">
        <f>IFERROR(__xludf.DUMMYFUNCTION("""COMPUTED_VALUE"""),0.0)</f>
        <v>0</v>
      </c>
      <c r="AL161" s="3">
        <f>IFERROR(__xludf.DUMMYFUNCTION("""COMPUTED_VALUE"""),0.0)</f>
        <v>0</v>
      </c>
      <c r="AM161" s="3">
        <f>IFERROR(__xludf.DUMMYFUNCTION("""COMPUTED_VALUE"""),0.0)</f>
        <v>0</v>
      </c>
      <c r="AN161" s="3">
        <f>IFERROR(__xludf.DUMMYFUNCTION("""COMPUTED_VALUE"""),0.0)</f>
        <v>0</v>
      </c>
      <c r="AO161" s="3">
        <f>IFERROR(__xludf.DUMMYFUNCTION("""COMPUTED_VALUE"""),0.0)</f>
        <v>0</v>
      </c>
      <c r="AP161" s="3">
        <f>IFERROR(__xludf.DUMMYFUNCTION("""COMPUTED_VALUE"""),0.0)</f>
        <v>0</v>
      </c>
      <c r="AQ161" s="3">
        <f>IFERROR(__xludf.DUMMYFUNCTION("""COMPUTED_VALUE"""),0.0)</f>
        <v>0</v>
      </c>
      <c r="AR161" s="3">
        <f>IFERROR(__xludf.DUMMYFUNCTION("""COMPUTED_VALUE"""),0.0)</f>
        <v>0</v>
      </c>
      <c r="AS161" s="3">
        <f>IFERROR(__xludf.DUMMYFUNCTION("""COMPUTED_VALUE"""),0.0)</f>
        <v>0</v>
      </c>
      <c r="AT161" s="3">
        <f>IFERROR(__xludf.DUMMYFUNCTION("""COMPUTED_VALUE"""),0.0)</f>
        <v>0</v>
      </c>
      <c r="AU161" s="3">
        <f>IFERROR(__xludf.DUMMYFUNCTION("""COMPUTED_VALUE"""),0.0)</f>
        <v>0</v>
      </c>
      <c r="AV161" s="3">
        <f>IFERROR(__xludf.DUMMYFUNCTION("""COMPUTED_VALUE"""),0.0)</f>
        <v>0</v>
      </c>
      <c r="AW161" s="3">
        <f>IFERROR(__xludf.DUMMYFUNCTION("""COMPUTED_VALUE"""),0.0)</f>
        <v>0</v>
      </c>
      <c r="AX161" s="3">
        <f>IFERROR(__xludf.DUMMYFUNCTION("""COMPUTED_VALUE"""),0.0)</f>
        <v>0</v>
      </c>
      <c r="AY161" s="3">
        <f>IFERROR(__xludf.DUMMYFUNCTION("""COMPUTED_VALUE"""),1.0)</f>
        <v>1</v>
      </c>
      <c r="AZ161" s="3">
        <f>IFERROR(__xludf.DUMMYFUNCTION("""COMPUTED_VALUE"""),1.0)</f>
        <v>1</v>
      </c>
      <c r="BA161" s="3">
        <f>IFERROR(__xludf.DUMMYFUNCTION("""COMPUTED_VALUE"""),3.0)</f>
        <v>3</v>
      </c>
      <c r="BB161" s="3">
        <f>IFERROR(__xludf.DUMMYFUNCTION("""COMPUTED_VALUE"""),3.0)</f>
        <v>3</v>
      </c>
      <c r="BC161" s="3">
        <f>IFERROR(__xludf.DUMMYFUNCTION("""COMPUTED_VALUE"""),3.0)</f>
        <v>3</v>
      </c>
      <c r="BD161" s="3">
        <f>IFERROR(__xludf.DUMMYFUNCTION("""COMPUTED_VALUE"""),6.0)</f>
        <v>6</v>
      </c>
      <c r="BE161" s="3">
        <f>IFERROR(__xludf.DUMMYFUNCTION("""COMPUTED_VALUE"""),12.0)</f>
        <v>12</v>
      </c>
      <c r="BF161" s="3">
        <f>IFERROR(__xludf.DUMMYFUNCTION("""COMPUTED_VALUE"""),23.0)</f>
        <v>23</v>
      </c>
      <c r="BG161" s="3">
        <f>IFERROR(__xludf.DUMMYFUNCTION("""COMPUTED_VALUE"""),23.0)</f>
        <v>23</v>
      </c>
      <c r="BH161" s="3">
        <f>IFERROR(__xludf.DUMMYFUNCTION("""COMPUTED_VALUE"""),30.0)</f>
        <v>30</v>
      </c>
      <c r="BI161" s="3">
        <f>IFERROR(__xludf.DUMMYFUNCTION("""COMPUTED_VALUE"""),30.0)</f>
        <v>30</v>
      </c>
      <c r="BJ161" s="3">
        <f>IFERROR(__xludf.DUMMYFUNCTION("""COMPUTED_VALUE"""),49.0)</f>
        <v>49</v>
      </c>
      <c r="BK161" s="3">
        <f>IFERROR(__xludf.DUMMYFUNCTION("""COMPUTED_VALUE"""),66.0)</f>
        <v>66</v>
      </c>
      <c r="BL161" s="3">
        <f>IFERROR(__xludf.DUMMYFUNCTION("""COMPUTED_VALUE"""),80.0)</f>
        <v>80</v>
      </c>
      <c r="BM161" s="3">
        <f>IFERROR(__xludf.DUMMYFUNCTION("""COMPUTED_VALUE"""),94.0)</f>
        <v>94</v>
      </c>
      <c r="BN161" s="3">
        <f>IFERROR(__xludf.DUMMYFUNCTION("""COMPUTED_VALUE"""),109.0)</f>
        <v>109</v>
      </c>
      <c r="BO161" s="3">
        <f>IFERROR(__xludf.DUMMYFUNCTION("""COMPUTED_VALUE"""),125.0)</f>
        <v>125</v>
      </c>
      <c r="BP161" s="3">
        <f>IFERROR(__xludf.DUMMYFUNCTION("""COMPUTED_VALUE"""),149.0)</f>
        <v>149</v>
      </c>
      <c r="BQ161" s="3">
        <f>IFERROR(__xludf.DUMMYFUNCTION("""COMPUTED_VALUE"""),177.0)</f>
        <v>177</v>
      </c>
      <c r="BR161" s="3">
        <f>IFERROR(__xludf.DUMMYFUNCTION("""COMPUTED_VALUE"""),199.0)</f>
        <v>199</v>
      </c>
      <c r="BS161" s="3">
        <f>IFERROR(__xludf.DUMMYFUNCTION("""COMPUTED_VALUE"""),231.0)</f>
        <v>231</v>
      </c>
      <c r="BT161" s="3">
        <f>IFERROR(__xludf.DUMMYFUNCTION("""COMPUTED_VALUE"""),263.0)</f>
        <v>263</v>
      </c>
      <c r="BU161" s="3">
        <f>IFERROR(__xludf.DUMMYFUNCTION("""COMPUTED_VALUE"""),298.0)</f>
        <v>298</v>
      </c>
      <c r="BV161" s="3">
        <f>IFERROR(__xludf.DUMMYFUNCTION("""COMPUTED_VALUE"""),353.0)</f>
        <v>353</v>
      </c>
      <c r="BW161" s="3">
        <f>IFERROR(__xludf.DUMMYFUNCTION("""COMPUTED_VALUE"""),423.0)</f>
        <v>423</v>
      </c>
      <c r="BX161" s="3">
        <f>IFERROR(__xludf.DUMMYFUNCTION("""COMPUTED_VALUE"""),505.0)</f>
        <v>505</v>
      </c>
      <c r="BY161" s="3">
        <f>IFERROR(__xludf.DUMMYFUNCTION("""COMPUTED_VALUE"""),591.0)</f>
        <v>591</v>
      </c>
      <c r="BZ161" s="3">
        <f>IFERROR(__xludf.DUMMYFUNCTION("""COMPUTED_VALUE"""),752.0)</f>
        <v>752</v>
      </c>
      <c r="CA161" s="3">
        <f>IFERROR(__xludf.DUMMYFUNCTION("""COMPUTED_VALUE"""),864.0)</f>
        <v>864</v>
      </c>
      <c r="CB161" s="3">
        <f>IFERROR(__xludf.DUMMYFUNCTION("""COMPUTED_VALUE"""),965.0)</f>
        <v>965</v>
      </c>
    </row>
    <row r="162">
      <c r="A162" s="3" t="str">
        <f>IFERROR(__xludf.DUMMYFUNCTION("""COMPUTED_VALUE"""),"")</f>
        <v/>
      </c>
      <c r="B162" s="3" t="str">
        <f>IFERROR(__xludf.DUMMYFUNCTION("""COMPUTED_VALUE"""),"Monaco")</f>
        <v>Monaco</v>
      </c>
      <c r="C162" s="3">
        <f>IFERROR(__xludf.DUMMYFUNCTION("""COMPUTED_VALUE"""),43.7333)</f>
        <v>43.7333</v>
      </c>
      <c r="D162" s="3">
        <f>IFERROR(__xludf.DUMMYFUNCTION("""COMPUTED_VALUE"""),7.4167)</f>
        <v>7.4167</v>
      </c>
      <c r="E162" s="3">
        <f>IFERROR(__xludf.DUMMYFUNCTION("""COMPUTED_VALUE"""),0.0)</f>
        <v>0</v>
      </c>
      <c r="F162" s="3">
        <f>IFERROR(__xludf.DUMMYFUNCTION("""COMPUTED_VALUE"""),0.0)</f>
        <v>0</v>
      </c>
      <c r="G162" s="3">
        <f>IFERROR(__xludf.DUMMYFUNCTION("""COMPUTED_VALUE"""),0.0)</f>
        <v>0</v>
      </c>
      <c r="H162" s="3">
        <f>IFERROR(__xludf.DUMMYFUNCTION("""COMPUTED_VALUE"""),0.0)</f>
        <v>0</v>
      </c>
      <c r="I162" s="3">
        <f>IFERROR(__xludf.DUMMYFUNCTION("""COMPUTED_VALUE"""),0.0)</f>
        <v>0</v>
      </c>
      <c r="J162" s="3">
        <f>IFERROR(__xludf.DUMMYFUNCTION("""COMPUTED_VALUE"""),0.0)</f>
        <v>0</v>
      </c>
      <c r="K162" s="3">
        <f>IFERROR(__xludf.DUMMYFUNCTION("""COMPUTED_VALUE"""),0.0)</f>
        <v>0</v>
      </c>
      <c r="L162" s="3">
        <f>IFERROR(__xludf.DUMMYFUNCTION("""COMPUTED_VALUE"""),0.0)</f>
        <v>0</v>
      </c>
      <c r="M162" s="3">
        <f>IFERROR(__xludf.DUMMYFUNCTION("""COMPUTED_VALUE"""),0.0)</f>
        <v>0</v>
      </c>
      <c r="N162" s="3">
        <f>IFERROR(__xludf.DUMMYFUNCTION("""COMPUTED_VALUE"""),0.0)</f>
        <v>0</v>
      </c>
      <c r="O162" s="3">
        <f>IFERROR(__xludf.DUMMYFUNCTION("""COMPUTED_VALUE"""),0.0)</f>
        <v>0</v>
      </c>
      <c r="P162" s="3">
        <f>IFERROR(__xludf.DUMMYFUNCTION("""COMPUTED_VALUE"""),0.0)</f>
        <v>0</v>
      </c>
      <c r="Q162" s="3">
        <f>IFERROR(__xludf.DUMMYFUNCTION("""COMPUTED_VALUE"""),0.0)</f>
        <v>0</v>
      </c>
      <c r="R162" s="3">
        <f>IFERROR(__xludf.DUMMYFUNCTION("""COMPUTED_VALUE"""),0.0)</f>
        <v>0</v>
      </c>
      <c r="S162" s="3">
        <f>IFERROR(__xludf.DUMMYFUNCTION("""COMPUTED_VALUE"""),0.0)</f>
        <v>0</v>
      </c>
      <c r="T162" s="3">
        <f>IFERROR(__xludf.DUMMYFUNCTION("""COMPUTED_VALUE"""),0.0)</f>
        <v>0</v>
      </c>
      <c r="U162" s="3">
        <f>IFERROR(__xludf.DUMMYFUNCTION("""COMPUTED_VALUE"""),0.0)</f>
        <v>0</v>
      </c>
      <c r="V162" s="3">
        <f>IFERROR(__xludf.DUMMYFUNCTION("""COMPUTED_VALUE"""),0.0)</f>
        <v>0</v>
      </c>
      <c r="W162" s="3">
        <f>IFERROR(__xludf.DUMMYFUNCTION("""COMPUTED_VALUE"""),0.0)</f>
        <v>0</v>
      </c>
      <c r="X162" s="3">
        <f>IFERROR(__xludf.DUMMYFUNCTION("""COMPUTED_VALUE"""),0.0)</f>
        <v>0</v>
      </c>
      <c r="Y162" s="3">
        <f>IFERROR(__xludf.DUMMYFUNCTION("""COMPUTED_VALUE"""),0.0)</f>
        <v>0</v>
      </c>
      <c r="Z162" s="3">
        <f>IFERROR(__xludf.DUMMYFUNCTION("""COMPUTED_VALUE"""),0.0)</f>
        <v>0</v>
      </c>
      <c r="AA162" s="3">
        <f>IFERROR(__xludf.DUMMYFUNCTION("""COMPUTED_VALUE"""),0.0)</f>
        <v>0</v>
      </c>
      <c r="AB162" s="3">
        <f>IFERROR(__xludf.DUMMYFUNCTION("""COMPUTED_VALUE"""),0.0)</f>
        <v>0</v>
      </c>
      <c r="AC162" s="3">
        <f>IFERROR(__xludf.DUMMYFUNCTION("""COMPUTED_VALUE"""),0.0)</f>
        <v>0</v>
      </c>
      <c r="AD162" s="3">
        <f>IFERROR(__xludf.DUMMYFUNCTION("""COMPUTED_VALUE"""),0.0)</f>
        <v>0</v>
      </c>
      <c r="AE162" s="3">
        <f>IFERROR(__xludf.DUMMYFUNCTION("""COMPUTED_VALUE"""),0.0)</f>
        <v>0</v>
      </c>
      <c r="AF162" s="3">
        <f>IFERROR(__xludf.DUMMYFUNCTION("""COMPUTED_VALUE"""),0.0)</f>
        <v>0</v>
      </c>
      <c r="AG162" s="3">
        <f>IFERROR(__xludf.DUMMYFUNCTION("""COMPUTED_VALUE"""),0.0)</f>
        <v>0</v>
      </c>
      <c r="AH162" s="3">
        <f>IFERROR(__xludf.DUMMYFUNCTION("""COMPUTED_VALUE"""),0.0)</f>
        <v>0</v>
      </c>
      <c r="AI162" s="3">
        <f>IFERROR(__xludf.DUMMYFUNCTION("""COMPUTED_VALUE"""),0.0)</f>
        <v>0</v>
      </c>
      <c r="AJ162" s="3">
        <f>IFERROR(__xludf.DUMMYFUNCTION("""COMPUTED_VALUE"""),0.0)</f>
        <v>0</v>
      </c>
      <c r="AK162" s="3">
        <f>IFERROR(__xludf.DUMMYFUNCTION("""COMPUTED_VALUE"""),0.0)</f>
        <v>0</v>
      </c>
      <c r="AL162" s="3">
        <f>IFERROR(__xludf.DUMMYFUNCTION("""COMPUTED_VALUE"""),0.0)</f>
        <v>0</v>
      </c>
      <c r="AM162" s="3">
        <f>IFERROR(__xludf.DUMMYFUNCTION("""COMPUTED_VALUE"""),0.0)</f>
        <v>0</v>
      </c>
      <c r="AN162" s="3">
        <f>IFERROR(__xludf.DUMMYFUNCTION("""COMPUTED_VALUE"""),0.0)</f>
        <v>0</v>
      </c>
      <c r="AO162" s="3">
        <f>IFERROR(__xludf.DUMMYFUNCTION("""COMPUTED_VALUE"""),0.0)</f>
        <v>0</v>
      </c>
      <c r="AP162" s="3">
        <f>IFERROR(__xludf.DUMMYFUNCTION("""COMPUTED_VALUE"""),0.0)</f>
        <v>0</v>
      </c>
      <c r="AQ162" s="3">
        <f>IFERROR(__xludf.DUMMYFUNCTION("""COMPUTED_VALUE"""),1.0)</f>
        <v>1</v>
      </c>
      <c r="AR162" s="3">
        <f>IFERROR(__xludf.DUMMYFUNCTION("""COMPUTED_VALUE"""),1.0)</f>
        <v>1</v>
      </c>
      <c r="AS162" s="3">
        <f>IFERROR(__xludf.DUMMYFUNCTION("""COMPUTED_VALUE"""),1.0)</f>
        <v>1</v>
      </c>
      <c r="AT162" s="3">
        <f>IFERROR(__xludf.DUMMYFUNCTION("""COMPUTED_VALUE"""),1.0)</f>
        <v>1</v>
      </c>
      <c r="AU162" s="3">
        <f>IFERROR(__xludf.DUMMYFUNCTION("""COMPUTED_VALUE"""),1.0)</f>
        <v>1</v>
      </c>
      <c r="AV162" s="3">
        <f>IFERROR(__xludf.DUMMYFUNCTION("""COMPUTED_VALUE"""),1.0)</f>
        <v>1</v>
      </c>
      <c r="AW162" s="3">
        <f>IFERROR(__xludf.DUMMYFUNCTION("""COMPUTED_VALUE"""),1.0)</f>
        <v>1</v>
      </c>
      <c r="AX162" s="3">
        <f>IFERROR(__xludf.DUMMYFUNCTION("""COMPUTED_VALUE"""),1.0)</f>
        <v>1</v>
      </c>
      <c r="AY162" s="3">
        <f>IFERROR(__xludf.DUMMYFUNCTION("""COMPUTED_VALUE"""),1.0)</f>
        <v>1</v>
      </c>
      <c r="AZ162" s="3">
        <f>IFERROR(__xludf.DUMMYFUNCTION("""COMPUTED_VALUE"""),1.0)</f>
        <v>1</v>
      </c>
      <c r="BA162" s="3">
        <f>IFERROR(__xludf.DUMMYFUNCTION("""COMPUTED_VALUE"""),1.0)</f>
        <v>1</v>
      </c>
      <c r="BB162" s="3">
        <f>IFERROR(__xludf.DUMMYFUNCTION("""COMPUTED_VALUE"""),1.0)</f>
        <v>1</v>
      </c>
      <c r="BC162" s="3">
        <f>IFERROR(__xludf.DUMMYFUNCTION("""COMPUTED_VALUE"""),2.0)</f>
        <v>2</v>
      </c>
      <c r="BD162" s="3">
        <f>IFERROR(__xludf.DUMMYFUNCTION("""COMPUTED_VALUE"""),2.0)</f>
        <v>2</v>
      </c>
      <c r="BE162" s="3">
        <f>IFERROR(__xludf.DUMMYFUNCTION("""COMPUTED_VALUE"""),2.0)</f>
        <v>2</v>
      </c>
      <c r="BF162" s="3">
        <f>IFERROR(__xludf.DUMMYFUNCTION("""COMPUTED_VALUE"""),2.0)</f>
        <v>2</v>
      </c>
      <c r="BG162" s="3">
        <f>IFERROR(__xludf.DUMMYFUNCTION("""COMPUTED_VALUE"""),7.0)</f>
        <v>7</v>
      </c>
      <c r="BH162" s="3">
        <f>IFERROR(__xludf.DUMMYFUNCTION("""COMPUTED_VALUE"""),7.0)</f>
        <v>7</v>
      </c>
      <c r="BI162" s="3">
        <f>IFERROR(__xludf.DUMMYFUNCTION("""COMPUTED_VALUE"""),7.0)</f>
        <v>7</v>
      </c>
      <c r="BJ162" s="3">
        <f>IFERROR(__xludf.DUMMYFUNCTION("""COMPUTED_VALUE"""),7.0)</f>
        <v>7</v>
      </c>
      <c r="BK162" s="3">
        <f>IFERROR(__xludf.DUMMYFUNCTION("""COMPUTED_VALUE"""),11.0)</f>
        <v>11</v>
      </c>
      <c r="BL162" s="3">
        <f>IFERROR(__xludf.DUMMYFUNCTION("""COMPUTED_VALUE"""),11.0)</f>
        <v>11</v>
      </c>
      <c r="BM162" s="3">
        <f>IFERROR(__xludf.DUMMYFUNCTION("""COMPUTED_VALUE"""),23.0)</f>
        <v>23</v>
      </c>
      <c r="BN162" s="3">
        <f>IFERROR(__xludf.DUMMYFUNCTION("""COMPUTED_VALUE"""),23.0)</f>
        <v>23</v>
      </c>
      <c r="BO162" s="3">
        <f>IFERROR(__xludf.DUMMYFUNCTION("""COMPUTED_VALUE"""),23.0)</f>
        <v>23</v>
      </c>
      <c r="BP162" s="3">
        <f>IFERROR(__xludf.DUMMYFUNCTION("""COMPUTED_VALUE"""),31.0)</f>
        <v>31</v>
      </c>
      <c r="BQ162" s="3">
        <f>IFERROR(__xludf.DUMMYFUNCTION("""COMPUTED_VALUE"""),33.0)</f>
        <v>33</v>
      </c>
      <c r="BR162" s="3">
        <f>IFERROR(__xludf.DUMMYFUNCTION("""COMPUTED_VALUE"""),42.0)</f>
        <v>42</v>
      </c>
      <c r="BS162" s="3">
        <f>IFERROR(__xludf.DUMMYFUNCTION("""COMPUTED_VALUE"""),42.0)</f>
        <v>42</v>
      </c>
      <c r="BT162" s="3">
        <f>IFERROR(__xludf.DUMMYFUNCTION("""COMPUTED_VALUE"""),46.0)</f>
        <v>46</v>
      </c>
      <c r="BU162" s="3">
        <f>IFERROR(__xludf.DUMMYFUNCTION("""COMPUTED_VALUE"""),49.0)</f>
        <v>49</v>
      </c>
      <c r="BV162" s="3">
        <f>IFERROR(__xludf.DUMMYFUNCTION("""COMPUTED_VALUE"""),52.0)</f>
        <v>52</v>
      </c>
      <c r="BW162" s="3">
        <f>IFERROR(__xludf.DUMMYFUNCTION("""COMPUTED_VALUE"""),55.0)</f>
        <v>55</v>
      </c>
      <c r="BX162" s="3">
        <f>IFERROR(__xludf.DUMMYFUNCTION("""COMPUTED_VALUE"""),60.0)</f>
        <v>60</v>
      </c>
      <c r="BY162" s="3">
        <f>IFERROR(__xludf.DUMMYFUNCTION("""COMPUTED_VALUE"""),64.0)</f>
        <v>64</v>
      </c>
      <c r="BZ162" s="3">
        <f>IFERROR(__xludf.DUMMYFUNCTION("""COMPUTED_VALUE"""),66.0)</f>
        <v>66</v>
      </c>
      <c r="CA162" s="3">
        <f>IFERROR(__xludf.DUMMYFUNCTION("""COMPUTED_VALUE"""),73.0)</f>
        <v>73</v>
      </c>
      <c r="CB162" s="3">
        <f>IFERROR(__xludf.DUMMYFUNCTION("""COMPUTED_VALUE"""),77.0)</f>
        <v>77</v>
      </c>
    </row>
    <row r="163">
      <c r="A163" s="3" t="str">
        <f>IFERROR(__xludf.DUMMYFUNCTION("""COMPUTED_VALUE"""),"")</f>
        <v/>
      </c>
      <c r="B163" s="3" t="str">
        <f>IFERROR(__xludf.DUMMYFUNCTION("""COMPUTED_VALUE"""),"Mongolia")</f>
        <v>Mongolia</v>
      </c>
      <c r="C163" s="3">
        <f>IFERROR(__xludf.DUMMYFUNCTION("""COMPUTED_VALUE"""),46.8625)</f>
        <v>46.8625</v>
      </c>
      <c r="D163" s="3">
        <f>IFERROR(__xludf.DUMMYFUNCTION("""COMPUTED_VALUE"""),103.8467)</f>
        <v>103.8467</v>
      </c>
      <c r="E163" s="3">
        <f>IFERROR(__xludf.DUMMYFUNCTION("""COMPUTED_VALUE"""),0.0)</f>
        <v>0</v>
      </c>
      <c r="F163" s="3">
        <f>IFERROR(__xludf.DUMMYFUNCTION("""COMPUTED_VALUE"""),0.0)</f>
        <v>0</v>
      </c>
      <c r="G163" s="3">
        <f>IFERROR(__xludf.DUMMYFUNCTION("""COMPUTED_VALUE"""),0.0)</f>
        <v>0</v>
      </c>
      <c r="H163" s="3">
        <f>IFERROR(__xludf.DUMMYFUNCTION("""COMPUTED_VALUE"""),0.0)</f>
        <v>0</v>
      </c>
      <c r="I163" s="3">
        <f>IFERROR(__xludf.DUMMYFUNCTION("""COMPUTED_VALUE"""),0.0)</f>
        <v>0</v>
      </c>
      <c r="J163" s="3">
        <f>IFERROR(__xludf.DUMMYFUNCTION("""COMPUTED_VALUE"""),0.0)</f>
        <v>0</v>
      </c>
      <c r="K163" s="3">
        <f>IFERROR(__xludf.DUMMYFUNCTION("""COMPUTED_VALUE"""),0.0)</f>
        <v>0</v>
      </c>
      <c r="L163" s="3">
        <f>IFERROR(__xludf.DUMMYFUNCTION("""COMPUTED_VALUE"""),0.0)</f>
        <v>0</v>
      </c>
      <c r="M163" s="3">
        <f>IFERROR(__xludf.DUMMYFUNCTION("""COMPUTED_VALUE"""),0.0)</f>
        <v>0</v>
      </c>
      <c r="N163" s="3">
        <f>IFERROR(__xludf.DUMMYFUNCTION("""COMPUTED_VALUE"""),0.0)</f>
        <v>0</v>
      </c>
      <c r="O163" s="3">
        <f>IFERROR(__xludf.DUMMYFUNCTION("""COMPUTED_VALUE"""),0.0)</f>
        <v>0</v>
      </c>
      <c r="P163" s="3">
        <f>IFERROR(__xludf.DUMMYFUNCTION("""COMPUTED_VALUE"""),0.0)</f>
        <v>0</v>
      </c>
      <c r="Q163" s="3">
        <f>IFERROR(__xludf.DUMMYFUNCTION("""COMPUTED_VALUE"""),0.0)</f>
        <v>0</v>
      </c>
      <c r="R163" s="3">
        <f>IFERROR(__xludf.DUMMYFUNCTION("""COMPUTED_VALUE"""),0.0)</f>
        <v>0</v>
      </c>
      <c r="S163" s="3">
        <f>IFERROR(__xludf.DUMMYFUNCTION("""COMPUTED_VALUE"""),0.0)</f>
        <v>0</v>
      </c>
      <c r="T163" s="3">
        <f>IFERROR(__xludf.DUMMYFUNCTION("""COMPUTED_VALUE"""),0.0)</f>
        <v>0</v>
      </c>
      <c r="U163" s="3">
        <f>IFERROR(__xludf.DUMMYFUNCTION("""COMPUTED_VALUE"""),0.0)</f>
        <v>0</v>
      </c>
      <c r="V163" s="3">
        <f>IFERROR(__xludf.DUMMYFUNCTION("""COMPUTED_VALUE"""),0.0)</f>
        <v>0</v>
      </c>
      <c r="W163" s="3">
        <f>IFERROR(__xludf.DUMMYFUNCTION("""COMPUTED_VALUE"""),0.0)</f>
        <v>0</v>
      </c>
      <c r="X163" s="3">
        <f>IFERROR(__xludf.DUMMYFUNCTION("""COMPUTED_VALUE"""),0.0)</f>
        <v>0</v>
      </c>
      <c r="Y163" s="3">
        <f>IFERROR(__xludf.DUMMYFUNCTION("""COMPUTED_VALUE"""),0.0)</f>
        <v>0</v>
      </c>
      <c r="Z163" s="3">
        <f>IFERROR(__xludf.DUMMYFUNCTION("""COMPUTED_VALUE"""),0.0)</f>
        <v>0</v>
      </c>
      <c r="AA163" s="3">
        <f>IFERROR(__xludf.DUMMYFUNCTION("""COMPUTED_VALUE"""),0.0)</f>
        <v>0</v>
      </c>
      <c r="AB163" s="3">
        <f>IFERROR(__xludf.DUMMYFUNCTION("""COMPUTED_VALUE"""),0.0)</f>
        <v>0</v>
      </c>
      <c r="AC163" s="3">
        <f>IFERROR(__xludf.DUMMYFUNCTION("""COMPUTED_VALUE"""),0.0)</f>
        <v>0</v>
      </c>
      <c r="AD163" s="3">
        <f>IFERROR(__xludf.DUMMYFUNCTION("""COMPUTED_VALUE"""),0.0)</f>
        <v>0</v>
      </c>
      <c r="AE163" s="3">
        <f>IFERROR(__xludf.DUMMYFUNCTION("""COMPUTED_VALUE"""),0.0)</f>
        <v>0</v>
      </c>
      <c r="AF163" s="3">
        <f>IFERROR(__xludf.DUMMYFUNCTION("""COMPUTED_VALUE"""),0.0)</f>
        <v>0</v>
      </c>
      <c r="AG163" s="3">
        <f>IFERROR(__xludf.DUMMYFUNCTION("""COMPUTED_VALUE"""),0.0)</f>
        <v>0</v>
      </c>
      <c r="AH163" s="3">
        <f>IFERROR(__xludf.DUMMYFUNCTION("""COMPUTED_VALUE"""),0.0)</f>
        <v>0</v>
      </c>
      <c r="AI163" s="3">
        <f>IFERROR(__xludf.DUMMYFUNCTION("""COMPUTED_VALUE"""),0.0)</f>
        <v>0</v>
      </c>
      <c r="AJ163" s="3">
        <f>IFERROR(__xludf.DUMMYFUNCTION("""COMPUTED_VALUE"""),0.0)</f>
        <v>0</v>
      </c>
      <c r="AK163" s="3">
        <f>IFERROR(__xludf.DUMMYFUNCTION("""COMPUTED_VALUE"""),0.0)</f>
        <v>0</v>
      </c>
      <c r="AL163" s="3">
        <f>IFERROR(__xludf.DUMMYFUNCTION("""COMPUTED_VALUE"""),0.0)</f>
        <v>0</v>
      </c>
      <c r="AM163" s="3">
        <f>IFERROR(__xludf.DUMMYFUNCTION("""COMPUTED_VALUE"""),0.0)</f>
        <v>0</v>
      </c>
      <c r="AN163" s="3">
        <f>IFERROR(__xludf.DUMMYFUNCTION("""COMPUTED_VALUE"""),0.0)</f>
        <v>0</v>
      </c>
      <c r="AO163" s="3">
        <f>IFERROR(__xludf.DUMMYFUNCTION("""COMPUTED_VALUE"""),0.0)</f>
        <v>0</v>
      </c>
      <c r="AP163" s="3">
        <f>IFERROR(__xludf.DUMMYFUNCTION("""COMPUTED_VALUE"""),0.0)</f>
        <v>0</v>
      </c>
      <c r="AQ163" s="3">
        <f>IFERROR(__xludf.DUMMYFUNCTION("""COMPUTED_VALUE"""),0.0)</f>
        <v>0</v>
      </c>
      <c r="AR163" s="3">
        <f>IFERROR(__xludf.DUMMYFUNCTION("""COMPUTED_VALUE"""),0.0)</f>
        <v>0</v>
      </c>
      <c r="AS163" s="3">
        <f>IFERROR(__xludf.DUMMYFUNCTION("""COMPUTED_VALUE"""),0.0)</f>
        <v>0</v>
      </c>
      <c r="AT163" s="3">
        <f>IFERROR(__xludf.DUMMYFUNCTION("""COMPUTED_VALUE"""),0.0)</f>
        <v>0</v>
      </c>
      <c r="AU163" s="3">
        <f>IFERROR(__xludf.DUMMYFUNCTION("""COMPUTED_VALUE"""),0.0)</f>
        <v>0</v>
      </c>
      <c r="AV163" s="3">
        <f>IFERROR(__xludf.DUMMYFUNCTION("""COMPUTED_VALUE"""),0.0)</f>
        <v>0</v>
      </c>
      <c r="AW163" s="3">
        <f>IFERROR(__xludf.DUMMYFUNCTION("""COMPUTED_VALUE"""),0.0)</f>
        <v>0</v>
      </c>
      <c r="AX163" s="3">
        <f>IFERROR(__xludf.DUMMYFUNCTION("""COMPUTED_VALUE"""),0.0)</f>
        <v>0</v>
      </c>
      <c r="AY163" s="3">
        <f>IFERROR(__xludf.DUMMYFUNCTION("""COMPUTED_VALUE"""),0.0)</f>
        <v>0</v>
      </c>
      <c r="AZ163" s="3">
        <f>IFERROR(__xludf.DUMMYFUNCTION("""COMPUTED_VALUE"""),0.0)</f>
        <v>0</v>
      </c>
      <c r="BA163" s="3">
        <f>IFERROR(__xludf.DUMMYFUNCTION("""COMPUTED_VALUE"""),1.0)</f>
        <v>1</v>
      </c>
      <c r="BB163" s="3">
        <f>IFERROR(__xludf.DUMMYFUNCTION("""COMPUTED_VALUE"""),1.0)</f>
        <v>1</v>
      </c>
      <c r="BC163" s="3">
        <f>IFERROR(__xludf.DUMMYFUNCTION("""COMPUTED_VALUE"""),1.0)</f>
        <v>1</v>
      </c>
      <c r="BD163" s="3">
        <f>IFERROR(__xludf.DUMMYFUNCTION("""COMPUTED_VALUE"""),1.0)</f>
        <v>1</v>
      </c>
      <c r="BE163" s="3">
        <f>IFERROR(__xludf.DUMMYFUNCTION("""COMPUTED_VALUE"""),1.0)</f>
        <v>1</v>
      </c>
      <c r="BF163" s="3">
        <f>IFERROR(__xludf.DUMMYFUNCTION("""COMPUTED_VALUE"""),1.0)</f>
        <v>1</v>
      </c>
      <c r="BG163" s="3">
        <f>IFERROR(__xludf.DUMMYFUNCTION("""COMPUTED_VALUE"""),1.0)</f>
        <v>1</v>
      </c>
      <c r="BH163" s="3">
        <f>IFERROR(__xludf.DUMMYFUNCTION("""COMPUTED_VALUE"""),5.0)</f>
        <v>5</v>
      </c>
      <c r="BI163" s="3">
        <f>IFERROR(__xludf.DUMMYFUNCTION("""COMPUTED_VALUE"""),6.0)</f>
        <v>6</v>
      </c>
      <c r="BJ163" s="3">
        <f>IFERROR(__xludf.DUMMYFUNCTION("""COMPUTED_VALUE"""),6.0)</f>
        <v>6</v>
      </c>
      <c r="BK163" s="3">
        <f>IFERROR(__xludf.DUMMYFUNCTION("""COMPUTED_VALUE"""),6.0)</f>
        <v>6</v>
      </c>
      <c r="BL163" s="3">
        <f>IFERROR(__xludf.DUMMYFUNCTION("""COMPUTED_VALUE"""),10.0)</f>
        <v>10</v>
      </c>
      <c r="BM163" s="3">
        <f>IFERROR(__xludf.DUMMYFUNCTION("""COMPUTED_VALUE"""),10.0)</f>
        <v>10</v>
      </c>
      <c r="BN163" s="3">
        <f>IFERROR(__xludf.DUMMYFUNCTION("""COMPUTED_VALUE"""),10.0)</f>
        <v>10</v>
      </c>
      <c r="BO163" s="3">
        <f>IFERROR(__xludf.DUMMYFUNCTION("""COMPUTED_VALUE"""),10.0)</f>
        <v>10</v>
      </c>
      <c r="BP163" s="3">
        <f>IFERROR(__xludf.DUMMYFUNCTION("""COMPUTED_VALUE"""),10.0)</f>
        <v>10</v>
      </c>
      <c r="BQ163" s="3">
        <f>IFERROR(__xludf.DUMMYFUNCTION("""COMPUTED_VALUE"""),11.0)</f>
        <v>11</v>
      </c>
      <c r="BR163" s="3">
        <f>IFERROR(__xludf.DUMMYFUNCTION("""COMPUTED_VALUE"""),11.0)</f>
        <v>11</v>
      </c>
      <c r="BS163" s="3">
        <f>IFERROR(__xludf.DUMMYFUNCTION("""COMPUTED_VALUE"""),12.0)</f>
        <v>12</v>
      </c>
      <c r="BT163" s="3">
        <f>IFERROR(__xludf.DUMMYFUNCTION("""COMPUTED_VALUE"""),12.0)</f>
        <v>12</v>
      </c>
      <c r="BU163" s="3">
        <f>IFERROR(__xludf.DUMMYFUNCTION("""COMPUTED_VALUE"""),12.0)</f>
        <v>12</v>
      </c>
      <c r="BV163" s="3">
        <f>IFERROR(__xludf.DUMMYFUNCTION("""COMPUTED_VALUE"""),12.0)</f>
        <v>12</v>
      </c>
      <c r="BW163" s="3">
        <f>IFERROR(__xludf.DUMMYFUNCTION("""COMPUTED_VALUE"""),14.0)</f>
        <v>14</v>
      </c>
      <c r="BX163" s="3">
        <f>IFERROR(__xludf.DUMMYFUNCTION("""COMPUTED_VALUE"""),14.0)</f>
        <v>14</v>
      </c>
      <c r="BY163" s="3">
        <f>IFERROR(__xludf.DUMMYFUNCTION("""COMPUTED_VALUE"""),14.0)</f>
        <v>14</v>
      </c>
      <c r="BZ163" s="3">
        <f>IFERROR(__xludf.DUMMYFUNCTION("""COMPUTED_VALUE"""),14.0)</f>
        <v>14</v>
      </c>
      <c r="CA163" s="3">
        <f>IFERROR(__xludf.DUMMYFUNCTION("""COMPUTED_VALUE"""),14.0)</f>
        <v>14</v>
      </c>
      <c r="CB163" s="3">
        <f>IFERROR(__xludf.DUMMYFUNCTION("""COMPUTED_VALUE"""),15.0)</f>
        <v>15</v>
      </c>
    </row>
    <row r="164">
      <c r="A164" s="3" t="str">
        <f>IFERROR(__xludf.DUMMYFUNCTION("""COMPUTED_VALUE"""),"")</f>
        <v/>
      </c>
      <c r="B164" s="3" t="str">
        <f>IFERROR(__xludf.DUMMYFUNCTION("""COMPUTED_VALUE"""),"Montenegro")</f>
        <v>Montenegro</v>
      </c>
      <c r="C164" s="3">
        <f>IFERROR(__xludf.DUMMYFUNCTION("""COMPUTED_VALUE"""),42.5)</f>
        <v>42.5</v>
      </c>
      <c r="D164" s="3">
        <f>IFERROR(__xludf.DUMMYFUNCTION("""COMPUTED_VALUE"""),19.3)</f>
        <v>19.3</v>
      </c>
      <c r="E164" s="3">
        <f>IFERROR(__xludf.DUMMYFUNCTION("""COMPUTED_VALUE"""),0.0)</f>
        <v>0</v>
      </c>
      <c r="F164" s="3">
        <f>IFERROR(__xludf.DUMMYFUNCTION("""COMPUTED_VALUE"""),0.0)</f>
        <v>0</v>
      </c>
      <c r="G164" s="3">
        <f>IFERROR(__xludf.DUMMYFUNCTION("""COMPUTED_VALUE"""),0.0)</f>
        <v>0</v>
      </c>
      <c r="H164" s="3">
        <f>IFERROR(__xludf.DUMMYFUNCTION("""COMPUTED_VALUE"""),0.0)</f>
        <v>0</v>
      </c>
      <c r="I164" s="3">
        <f>IFERROR(__xludf.DUMMYFUNCTION("""COMPUTED_VALUE"""),0.0)</f>
        <v>0</v>
      </c>
      <c r="J164" s="3">
        <f>IFERROR(__xludf.DUMMYFUNCTION("""COMPUTED_VALUE"""),0.0)</f>
        <v>0</v>
      </c>
      <c r="K164" s="3">
        <f>IFERROR(__xludf.DUMMYFUNCTION("""COMPUTED_VALUE"""),0.0)</f>
        <v>0</v>
      </c>
      <c r="L164" s="3">
        <f>IFERROR(__xludf.DUMMYFUNCTION("""COMPUTED_VALUE"""),0.0)</f>
        <v>0</v>
      </c>
      <c r="M164" s="3">
        <f>IFERROR(__xludf.DUMMYFUNCTION("""COMPUTED_VALUE"""),0.0)</f>
        <v>0</v>
      </c>
      <c r="N164" s="3">
        <f>IFERROR(__xludf.DUMMYFUNCTION("""COMPUTED_VALUE"""),0.0)</f>
        <v>0</v>
      </c>
      <c r="O164" s="3">
        <f>IFERROR(__xludf.DUMMYFUNCTION("""COMPUTED_VALUE"""),0.0)</f>
        <v>0</v>
      </c>
      <c r="P164" s="3">
        <f>IFERROR(__xludf.DUMMYFUNCTION("""COMPUTED_VALUE"""),0.0)</f>
        <v>0</v>
      </c>
      <c r="Q164" s="3">
        <f>IFERROR(__xludf.DUMMYFUNCTION("""COMPUTED_VALUE"""),0.0)</f>
        <v>0</v>
      </c>
      <c r="R164" s="3">
        <f>IFERROR(__xludf.DUMMYFUNCTION("""COMPUTED_VALUE"""),0.0)</f>
        <v>0</v>
      </c>
      <c r="S164" s="3">
        <f>IFERROR(__xludf.DUMMYFUNCTION("""COMPUTED_VALUE"""),0.0)</f>
        <v>0</v>
      </c>
      <c r="T164" s="3">
        <f>IFERROR(__xludf.DUMMYFUNCTION("""COMPUTED_VALUE"""),0.0)</f>
        <v>0</v>
      </c>
      <c r="U164" s="3">
        <f>IFERROR(__xludf.DUMMYFUNCTION("""COMPUTED_VALUE"""),0.0)</f>
        <v>0</v>
      </c>
      <c r="V164" s="3">
        <f>IFERROR(__xludf.DUMMYFUNCTION("""COMPUTED_VALUE"""),0.0)</f>
        <v>0</v>
      </c>
      <c r="W164" s="3">
        <f>IFERROR(__xludf.DUMMYFUNCTION("""COMPUTED_VALUE"""),0.0)</f>
        <v>0</v>
      </c>
      <c r="X164" s="3">
        <f>IFERROR(__xludf.DUMMYFUNCTION("""COMPUTED_VALUE"""),0.0)</f>
        <v>0</v>
      </c>
      <c r="Y164" s="3">
        <f>IFERROR(__xludf.DUMMYFUNCTION("""COMPUTED_VALUE"""),0.0)</f>
        <v>0</v>
      </c>
      <c r="Z164" s="3">
        <f>IFERROR(__xludf.DUMMYFUNCTION("""COMPUTED_VALUE"""),0.0)</f>
        <v>0</v>
      </c>
      <c r="AA164" s="3">
        <f>IFERROR(__xludf.DUMMYFUNCTION("""COMPUTED_VALUE"""),0.0)</f>
        <v>0</v>
      </c>
      <c r="AB164" s="3">
        <f>IFERROR(__xludf.DUMMYFUNCTION("""COMPUTED_VALUE"""),0.0)</f>
        <v>0</v>
      </c>
      <c r="AC164" s="3">
        <f>IFERROR(__xludf.DUMMYFUNCTION("""COMPUTED_VALUE"""),0.0)</f>
        <v>0</v>
      </c>
      <c r="AD164" s="3">
        <f>IFERROR(__xludf.DUMMYFUNCTION("""COMPUTED_VALUE"""),0.0)</f>
        <v>0</v>
      </c>
      <c r="AE164" s="3">
        <f>IFERROR(__xludf.DUMMYFUNCTION("""COMPUTED_VALUE"""),0.0)</f>
        <v>0</v>
      </c>
      <c r="AF164" s="3">
        <f>IFERROR(__xludf.DUMMYFUNCTION("""COMPUTED_VALUE"""),0.0)</f>
        <v>0</v>
      </c>
      <c r="AG164" s="3">
        <f>IFERROR(__xludf.DUMMYFUNCTION("""COMPUTED_VALUE"""),0.0)</f>
        <v>0</v>
      </c>
      <c r="AH164" s="3">
        <f>IFERROR(__xludf.DUMMYFUNCTION("""COMPUTED_VALUE"""),0.0)</f>
        <v>0</v>
      </c>
      <c r="AI164" s="3">
        <f>IFERROR(__xludf.DUMMYFUNCTION("""COMPUTED_VALUE"""),0.0)</f>
        <v>0</v>
      </c>
      <c r="AJ164" s="3">
        <f>IFERROR(__xludf.DUMMYFUNCTION("""COMPUTED_VALUE"""),0.0)</f>
        <v>0</v>
      </c>
      <c r="AK164" s="3">
        <f>IFERROR(__xludf.DUMMYFUNCTION("""COMPUTED_VALUE"""),0.0)</f>
        <v>0</v>
      </c>
      <c r="AL164" s="3">
        <f>IFERROR(__xludf.DUMMYFUNCTION("""COMPUTED_VALUE"""),0.0)</f>
        <v>0</v>
      </c>
      <c r="AM164" s="3">
        <f>IFERROR(__xludf.DUMMYFUNCTION("""COMPUTED_VALUE"""),0.0)</f>
        <v>0</v>
      </c>
      <c r="AN164" s="3">
        <f>IFERROR(__xludf.DUMMYFUNCTION("""COMPUTED_VALUE"""),0.0)</f>
        <v>0</v>
      </c>
      <c r="AO164" s="3">
        <f>IFERROR(__xludf.DUMMYFUNCTION("""COMPUTED_VALUE"""),0.0)</f>
        <v>0</v>
      </c>
      <c r="AP164" s="3">
        <f>IFERROR(__xludf.DUMMYFUNCTION("""COMPUTED_VALUE"""),0.0)</f>
        <v>0</v>
      </c>
      <c r="AQ164" s="3">
        <f>IFERROR(__xludf.DUMMYFUNCTION("""COMPUTED_VALUE"""),0.0)</f>
        <v>0</v>
      </c>
      <c r="AR164" s="3">
        <f>IFERROR(__xludf.DUMMYFUNCTION("""COMPUTED_VALUE"""),0.0)</f>
        <v>0</v>
      </c>
      <c r="AS164" s="3">
        <f>IFERROR(__xludf.DUMMYFUNCTION("""COMPUTED_VALUE"""),0.0)</f>
        <v>0</v>
      </c>
      <c r="AT164" s="3">
        <f>IFERROR(__xludf.DUMMYFUNCTION("""COMPUTED_VALUE"""),0.0)</f>
        <v>0</v>
      </c>
      <c r="AU164" s="3">
        <f>IFERROR(__xludf.DUMMYFUNCTION("""COMPUTED_VALUE"""),0.0)</f>
        <v>0</v>
      </c>
      <c r="AV164" s="3">
        <f>IFERROR(__xludf.DUMMYFUNCTION("""COMPUTED_VALUE"""),0.0)</f>
        <v>0</v>
      </c>
      <c r="AW164" s="3">
        <f>IFERROR(__xludf.DUMMYFUNCTION("""COMPUTED_VALUE"""),0.0)</f>
        <v>0</v>
      </c>
      <c r="AX164" s="3">
        <f>IFERROR(__xludf.DUMMYFUNCTION("""COMPUTED_VALUE"""),0.0)</f>
        <v>0</v>
      </c>
      <c r="AY164" s="3">
        <f>IFERROR(__xludf.DUMMYFUNCTION("""COMPUTED_VALUE"""),0.0)</f>
        <v>0</v>
      </c>
      <c r="AZ164" s="3">
        <f>IFERROR(__xludf.DUMMYFUNCTION("""COMPUTED_VALUE"""),0.0)</f>
        <v>0</v>
      </c>
      <c r="BA164" s="3">
        <f>IFERROR(__xludf.DUMMYFUNCTION("""COMPUTED_VALUE"""),0.0)</f>
        <v>0</v>
      </c>
      <c r="BB164" s="3">
        <f>IFERROR(__xludf.DUMMYFUNCTION("""COMPUTED_VALUE"""),0.0)</f>
        <v>0</v>
      </c>
      <c r="BC164" s="3">
        <f>IFERROR(__xludf.DUMMYFUNCTION("""COMPUTED_VALUE"""),0.0)</f>
        <v>0</v>
      </c>
      <c r="BD164" s="3">
        <f>IFERROR(__xludf.DUMMYFUNCTION("""COMPUTED_VALUE"""),0.0)</f>
        <v>0</v>
      </c>
      <c r="BE164" s="3">
        <f>IFERROR(__xludf.DUMMYFUNCTION("""COMPUTED_VALUE"""),0.0)</f>
        <v>0</v>
      </c>
      <c r="BF164" s="3">
        <f>IFERROR(__xludf.DUMMYFUNCTION("""COMPUTED_VALUE"""),0.0)</f>
        <v>0</v>
      </c>
      <c r="BG164" s="3">
        <f>IFERROR(__xludf.DUMMYFUNCTION("""COMPUTED_VALUE"""),0.0)</f>
        <v>0</v>
      </c>
      <c r="BH164" s="3">
        <f>IFERROR(__xludf.DUMMYFUNCTION("""COMPUTED_VALUE"""),2.0)</f>
        <v>2</v>
      </c>
      <c r="BI164" s="3">
        <f>IFERROR(__xludf.DUMMYFUNCTION("""COMPUTED_VALUE"""),2.0)</f>
        <v>2</v>
      </c>
      <c r="BJ164" s="3">
        <f>IFERROR(__xludf.DUMMYFUNCTION("""COMPUTED_VALUE"""),3.0)</f>
        <v>3</v>
      </c>
      <c r="BK164" s="3">
        <f>IFERROR(__xludf.DUMMYFUNCTION("""COMPUTED_VALUE"""),14.0)</f>
        <v>14</v>
      </c>
      <c r="BL164" s="3">
        <f>IFERROR(__xludf.DUMMYFUNCTION("""COMPUTED_VALUE"""),14.0)</f>
        <v>14</v>
      </c>
      <c r="BM164" s="3">
        <f>IFERROR(__xludf.DUMMYFUNCTION("""COMPUTED_VALUE"""),21.0)</f>
        <v>21</v>
      </c>
      <c r="BN164" s="3">
        <f>IFERROR(__xludf.DUMMYFUNCTION("""COMPUTED_VALUE"""),27.0)</f>
        <v>27</v>
      </c>
      <c r="BO164" s="3">
        <f>IFERROR(__xludf.DUMMYFUNCTION("""COMPUTED_VALUE"""),47.0)</f>
        <v>47</v>
      </c>
      <c r="BP164" s="3">
        <f>IFERROR(__xludf.DUMMYFUNCTION("""COMPUTED_VALUE"""),52.0)</f>
        <v>52</v>
      </c>
      <c r="BQ164" s="3">
        <f>IFERROR(__xludf.DUMMYFUNCTION("""COMPUTED_VALUE"""),69.0)</f>
        <v>69</v>
      </c>
      <c r="BR164" s="3">
        <f>IFERROR(__xludf.DUMMYFUNCTION("""COMPUTED_VALUE"""),82.0)</f>
        <v>82</v>
      </c>
      <c r="BS164" s="3">
        <f>IFERROR(__xludf.DUMMYFUNCTION("""COMPUTED_VALUE"""),84.0)</f>
        <v>84</v>
      </c>
      <c r="BT164" s="3">
        <f>IFERROR(__xludf.DUMMYFUNCTION("""COMPUTED_VALUE"""),85.0)</f>
        <v>85</v>
      </c>
      <c r="BU164" s="3">
        <f>IFERROR(__xludf.DUMMYFUNCTION("""COMPUTED_VALUE"""),91.0)</f>
        <v>91</v>
      </c>
      <c r="BV164" s="3">
        <f>IFERROR(__xludf.DUMMYFUNCTION("""COMPUTED_VALUE"""),109.0)</f>
        <v>109</v>
      </c>
      <c r="BW164" s="3">
        <f>IFERROR(__xludf.DUMMYFUNCTION("""COMPUTED_VALUE"""),123.0)</f>
        <v>123</v>
      </c>
      <c r="BX164" s="3">
        <f>IFERROR(__xludf.DUMMYFUNCTION("""COMPUTED_VALUE"""),144.0)</f>
        <v>144</v>
      </c>
      <c r="BY164" s="3">
        <f>IFERROR(__xludf.DUMMYFUNCTION("""COMPUTED_VALUE"""),174.0)</f>
        <v>174</v>
      </c>
      <c r="BZ164" s="3">
        <f>IFERROR(__xludf.DUMMYFUNCTION("""COMPUTED_VALUE"""),201.0)</f>
        <v>201</v>
      </c>
      <c r="CA164" s="3">
        <f>IFERROR(__xludf.DUMMYFUNCTION("""COMPUTED_VALUE"""),214.0)</f>
        <v>214</v>
      </c>
      <c r="CB164" s="3">
        <f>IFERROR(__xludf.DUMMYFUNCTION("""COMPUTED_VALUE"""),233.0)</f>
        <v>233</v>
      </c>
    </row>
    <row r="165">
      <c r="A165" s="3" t="str">
        <f>IFERROR(__xludf.DUMMYFUNCTION("""COMPUTED_VALUE"""),"")</f>
        <v/>
      </c>
      <c r="B165" s="3" t="str">
        <f>IFERROR(__xludf.DUMMYFUNCTION("""COMPUTED_VALUE"""),"Morocco")</f>
        <v>Morocco</v>
      </c>
      <c r="C165" s="3">
        <f>IFERROR(__xludf.DUMMYFUNCTION("""COMPUTED_VALUE"""),31.7917)</f>
        <v>31.7917</v>
      </c>
      <c r="D165" s="3">
        <f>IFERROR(__xludf.DUMMYFUNCTION("""COMPUTED_VALUE"""),-7.0926)</f>
        <v>-7.0926</v>
      </c>
      <c r="E165" s="3">
        <f>IFERROR(__xludf.DUMMYFUNCTION("""COMPUTED_VALUE"""),0.0)</f>
        <v>0</v>
      </c>
      <c r="F165" s="3">
        <f>IFERROR(__xludf.DUMMYFUNCTION("""COMPUTED_VALUE"""),0.0)</f>
        <v>0</v>
      </c>
      <c r="G165" s="3">
        <f>IFERROR(__xludf.DUMMYFUNCTION("""COMPUTED_VALUE"""),0.0)</f>
        <v>0</v>
      </c>
      <c r="H165" s="3">
        <f>IFERROR(__xludf.DUMMYFUNCTION("""COMPUTED_VALUE"""),0.0)</f>
        <v>0</v>
      </c>
      <c r="I165" s="3">
        <f>IFERROR(__xludf.DUMMYFUNCTION("""COMPUTED_VALUE"""),0.0)</f>
        <v>0</v>
      </c>
      <c r="J165" s="3">
        <f>IFERROR(__xludf.DUMMYFUNCTION("""COMPUTED_VALUE"""),0.0)</f>
        <v>0</v>
      </c>
      <c r="K165" s="3">
        <f>IFERROR(__xludf.DUMMYFUNCTION("""COMPUTED_VALUE"""),0.0)</f>
        <v>0</v>
      </c>
      <c r="L165" s="3">
        <f>IFERROR(__xludf.DUMMYFUNCTION("""COMPUTED_VALUE"""),0.0)</f>
        <v>0</v>
      </c>
      <c r="M165" s="3">
        <f>IFERROR(__xludf.DUMMYFUNCTION("""COMPUTED_VALUE"""),0.0)</f>
        <v>0</v>
      </c>
      <c r="N165" s="3">
        <f>IFERROR(__xludf.DUMMYFUNCTION("""COMPUTED_VALUE"""),0.0)</f>
        <v>0</v>
      </c>
      <c r="O165" s="3">
        <f>IFERROR(__xludf.DUMMYFUNCTION("""COMPUTED_VALUE"""),0.0)</f>
        <v>0</v>
      </c>
      <c r="P165" s="3">
        <f>IFERROR(__xludf.DUMMYFUNCTION("""COMPUTED_VALUE"""),0.0)</f>
        <v>0</v>
      </c>
      <c r="Q165" s="3">
        <f>IFERROR(__xludf.DUMMYFUNCTION("""COMPUTED_VALUE"""),0.0)</f>
        <v>0</v>
      </c>
      <c r="R165" s="3">
        <f>IFERROR(__xludf.DUMMYFUNCTION("""COMPUTED_VALUE"""),0.0)</f>
        <v>0</v>
      </c>
      <c r="S165" s="3">
        <f>IFERROR(__xludf.DUMMYFUNCTION("""COMPUTED_VALUE"""),0.0)</f>
        <v>0</v>
      </c>
      <c r="T165" s="3">
        <f>IFERROR(__xludf.DUMMYFUNCTION("""COMPUTED_VALUE"""),0.0)</f>
        <v>0</v>
      </c>
      <c r="U165" s="3">
        <f>IFERROR(__xludf.DUMMYFUNCTION("""COMPUTED_VALUE"""),0.0)</f>
        <v>0</v>
      </c>
      <c r="V165" s="3">
        <f>IFERROR(__xludf.DUMMYFUNCTION("""COMPUTED_VALUE"""),0.0)</f>
        <v>0</v>
      </c>
      <c r="W165" s="3">
        <f>IFERROR(__xludf.DUMMYFUNCTION("""COMPUTED_VALUE"""),0.0)</f>
        <v>0</v>
      </c>
      <c r="X165" s="3">
        <f>IFERROR(__xludf.DUMMYFUNCTION("""COMPUTED_VALUE"""),0.0)</f>
        <v>0</v>
      </c>
      <c r="Y165" s="3">
        <f>IFERROR(__xludf.DUMMYFUNCTION("""COMPUTED_VALUE"""),0.0)</f>
        <v>0</v>
      </c>
      <c r="Z165" s="3">
        <f>IFERROR(__xludf.DUMMYFUNCTION("""COMPUTED_VALUE"""),0.0)</f>
        <v>0</v>
      </c>
      <c r="AA165" s="3">
        <f>IFERROR(__xludf.DUMMYFUNCTION("""COMPUTED_VALUE"""),0.0)</f>
        <v>0</v>
      </c>
      <c r="AB165" s="3">
        <f>IFERROR(__xludf.DUMMYFUNCTION("""COMPUTED_VALUE"""),0.0)</f>
        <v>0</v>
      </c>
      <c r="AC165" s="3">
        <f>IFERROR(__xludf.DUMMYFUNCTION("""COMPUTED_VALUE"""),0.0)</f>
        <v>0</v>
      </c>
      <c r="AD165" s="3">
        <f>IFERROR(__xludf.DUMMYFUNCTION("""COMPUTED_VALUE"""),0.0)</f>
        <v>0</v>
      </c>
      <c r="AE165" s="3">
        <f>IFERROR(__xludf.DUMMYFUNCTION("""COMPUTED_VALUE"""),0.0)</f>
        <v>0</v>
      </c>
      <c r="AF165" s="3">
        <f>IFERROR(__xludf.DUMMYFUNCTION("""COMPUTED_VALUE"""),0.0)</f>
        <v>0</v>
      </c>
      <c r="AG165" s="3">
        <f>IFERROR(__xludf.DUMMYFUNCTION("""COMPUTED_VALUE"""),0.0)</f>
        <v>0</v>
      </c>
      <c r="AH165" s="3">
        <f>IFERROR(__xludf.DUMMYFUNCTION("""COMPUTED_VALUE"""),0.0)</f>
        <v>0</v>
      </c>
      <c r="AI165" s="3">
        <f>IFERROR(__xludf.DUMMYFUNCTION("""COMPUTED_VALUE"""),0.0)</f>
        <v>0</v>
      </c>
      <c r="AJ165" s="3">
        <f>IFERROR(__xludf.DUMMYFUNCTION("""COMPUTED_VALUE"""),0.0)</f>
        <v>0</v>
      </c>
      <c r="AK165" s="3">
        <f>IFERROR(__xludf.DUMMYFUNCTION("""COMPUTED_VALUE"""),0.0)</f>
        <v>0</v>
      </c>
      <c r="AL165" s="3">
        <f>IFERROR(__xludf.DUMMYFUNCTION("""COMPUTED_VALUE"""),0.0)</f>
        <v>0</v>
      </c>
      <c r="AM165" s="3">
        <f>IFERROR(__xludf.DUMMYFUNCTION("""COMPUTED_VALUE"""),0.0)</f>
        <v>0</v>
      </c>
      <c r="AN165" s="3">
        <f>IFERROR(__xludf.DUMMYFUNCTION("""COMPUTED_VALUE"""),0.0)</f>
        <v>0</v>
      </c>
      <c r="AO165" s="3">
        <f>IFERROR(__xludf.DUMMYFUNCTION("""COMPUTED_VALUE"""),0.0)</f>
        <v>0</v>
      </c>
      <c r="AP165" s="3">
        <f>IFERROR(__xludf.DUMMYFUNCTION("""COMPUTED_VALUE"""),0.0)</f>
        <v>0</v>
      </c>
      <c r="AQ165" s="3">
        <f>IFERROR(__xludf.DUMMYFUNCTION("""COMPUTED_VALUE"""),0.0)</f>
        <v>0</v>
      </c>
      <c r="AR165" s="3">
        <f>IFERROR(__xludf.DUMMYFUNCTION("""COMPUTED_VALUE"""),0.0)</f>
        <v>0</v>
      </c>
      <c r="AS165" s="3">
        <f>IFERROR(__xludf.DUMMYFUNCTION("""COMPUTED_VALUE"""),1.0)</f>
        <v>1</v>
      </c>
      <c r="AT165" s="3">
        <f>IFERROR(__xludf.DUMMYFUNCTION("""COMPUTED_VALUE"""),1.0)</f>
        <v>1</v>
      </c>
      <c r="AU165" s="3">
        <f>IFERROR(__xludf.DUMMYFUNCTION("""COMPUTED_VALUE"""),1.0)</f>
        <v>1</v>
      </c>
      <c r="AV165" s="3">
        <f>IFERROR(__xludf.DUMMYFUNCTION("""COMPUTED_VALUE"""),2.0)</f>
        <v>2</v>
      </c>
      <c r="AW165" s="3">
        <f>IFERROR(__xludf.DUMMYFUNCTION("""COMPUTED_VALUE"""),2.0)</f>
        <v>2</v>
      </c>
      <c r="AX165" s="3">
        <f>IFERROR(__xludf.DUMMYFUNCTION("""COMPUTED_VALUE"""),2.0)</f>
        <v>2</v>
      </c>
      <c r="AY165" s="3">
        <f>IFERROR(__xludf.DUMMYFUNCTION("""COMPUTED_VALUE"""),2.0)</f>
        <v>2</v>
      </c>
      <c r="AZ165" s="3">
        <f>IFERROR(__xludf.DUMMYFUNCTION("""COMPUTED_VALUE"""),2.0)</f>
        <v>2</v>
      </c>
      <c r="BA165" s="3">
        <f>IFERROR(__xludf.DUMMYFUNCTION("""COMPUTED_VALUE"""),3.0)</f>
        <v>3</v>
      </c>
      <c r="BB165" s="3">
        <f>IFERROR(__xludf.DUMMYFUNCTION("""COMPUTED_VALUE"""),5.0)</f>
        <v>5</v>
      </c>
      <c r="BC165" s="3">
        <f>IFERROR(__xludf.DUMMYFUNCTION("""COMPUTED_VALUE"""),6.0)</f>
        <v>6</v>
      </c>
      <c r="BD165" s="3">
        <f>IFERROR(__xludf.DUMMYFUNCTION("""COMPUTED_VALUE"""),7.0)</f>
        <v>7</v>
      </c>
      <c r="BE165" s="3">
        <f>IFERROR(__xludf.DUMMYFUNCTION("""COMPUTED_VALUE"""),17.0)</f>
        <v>17</v>
      </c>
      <c r="BF165" s="3">
        <f>IFERROR(__xludf.DUMMYFUNCTION("""COMPUTED_VALUE"""),28.0)</f>
        <v>28</v>
      </c>
      <c r="BG165" s="3">
        <f>IFERROR(__xludf.DUMMYFUNCTION("""COMPUTED_VALUE"""),29.0)</f>
        <v>29</v>
      </c>
      <c r="BH165" s="3">
        <f>IFERROR(__xludf.DUMMYFUNCTION("""COMPUTED_VALUE"""),38.0)</f>
        <v>38</v>
      </c>
      <c r="BI165" s="3">
        <f>IFERROR(__xludf.DUMMYFUNCTION("""COMPUTED_VALUE"""),49.0)</f>
        <v>49</v>
      </c>
      <c r="BJ165" s="3">
        <f>IFERROR(__xludf.DUMMYFUNCTION("""COMPUTED_VALUE"""),63.0)</f>
        <v>63</v>
      </c>
      <c r="BK165" s="3">
        <f>IFERROR(__xludf.DUMMYFUNCTION("""COMPUTED_VALUE"""),77.0)</f>
        <v>77</v>
      </c>
      <c r="BL165" s="3">
        <f>IFERROR(__xludf.DUMMYFUNCTION("""COMPUTED_VALUE"""),96.0)</f>
        <v>96</v>
      </c>
      <c r="BM165" s="3">
        <f>IFERROR(__xludf.DUMMYFUNCTION("""COMPUTED_VALUE"""),115.0)</f>
        <v>115</v>
      </c>
      <c r="BN165" s="3">
        <f>IFERROR(__xludf.DUMMYFUNCTION("""COMPUTED_VALUE"""),143.0)</f>
        <v>143</v>
      </c>
      <c r="BO165" s="3">
        <f>IFERROR(__xludf.DUMMYFUNCTION("""COMPUTED_VALUE"""),170.0)</f>
        <v>170</v>
      </c>
      <c r="BP165" s="3">
        <f>IFERROR(__xludf.DUMMYFUNCTION("""COMPUTED_VALUE"""),225.0)</f>
        <v>225</v>
      </c>
      <c r="BQ165" s="3">
        <f>IFERROR(__xludf.DUMMYFUNCTION("""COMPUTED_VALUE"""),275.0)</f>
        <v>275</v>
      </c>
      <c r="BR165" s="3">
        <f>IFERROR(__xludf.DUMMYFUNCTION("""COMPUTED_VALUE"""),345.0)</f>
        <v>345</v>
      </c>
      <c r="BS165" s="3">
        <f>IFERROR(__xludf.DUMMYFUNCTION("""COMPUTED_VALUE"""),402.0)</f>
        <v>402</v>
      </c>
      <c r="BT165" s="3">
        <f>IFERROR(__xludf.DUMMYFUNCTION("""COMPUTED_VALUE"""),479.0)</f>
        <v>479</v>
      </c>
      <c r="BU165" s="3">
        <f>IFERROR(__xludf.DUMMYFUNCTION("""COMPUTED_VALUE"""),556.0)</f>
        <v>556</v>
      </c>
      <c r="BV165" s="3">
        <f>IFERROR(__xludf.DUMMYFUNCTION("""COMPUTED_VALUE"""),617.0)</f>
        <v>617</v>
      </c>
      <c r="BW165" s="3">
        <f>IFERROR(__xludf.DUMMYFUNCTION("""COMPUTED_VALUE"""),654.0)</f>
        <v>654</v>
      </c>
      <c r="BX165" s="3">
        <f>IFERROR(__xludf.DUMMYFUNCTION("""COMPUTED_VALUE"""),708.0)</f>
        <v>708</v>
      </c>
      <c r="BY165" s="3">
        <f>IFERROR(__xludf.DUMMYFUNCTION("""COMPUTED_VALUE"""),791.0)</f>
        <v>791</v>
      </c>
      <c r="BZ165" s="3">
        <f>IFERROR(__xludf.DUMMYFUNCTION("""COMPUTED_VALUE"""),919.0)</f>
        <v>919</v>
      </c>
      <c r="CA165" s="3">
        <f>IFERROR(__xludf.DUMMYFUNCTION("""COMPUTED_VALUE"""),1021.0)</f>
        <v>1021</v>
      </c>
      <c r="CB165" s="3">
        <f>IFERROR(__xludf.DUMMYFUNCTION("""COMPUTED_VALUE"""),1120.0)</f>
        <v>1120</v>
      </c>
    </row>
    <row r="166">
      <c r="A166" s="3" t="str">
        <f>IFERROR(__xludf.DUMMYFUNCTION("""COMPUTED_VALUE"""),"")</f>
        <v/>
      </c>
      <c r="B166" s="3" t="str">
        <f>IFERROR(__xludf.DUMMYFUNCTION("""COMPUTED_VALUE"""),"Namibia")</f>
        <v>Namibia</v>
      </c>
      <c r="C166" s="3">
        <f>IFERROR(__xludf.DUMMYFUNCTION("""COMPUTED_VALUE"""),-22.9576)</f>
        <v>-22.9576</v>
      </c>
      <c r="D166" s="3">
        <f>IFERROR(__xludf.DUMMYFUNCTION("""COMPUTED_VALUE"""),18.4904)</f>
        <v>18.4904</v>
      </c>
      <c r="E166" s="3">
        <f>IFERROR(__xludf.DUMMYFUNCTION("""COMPUTED_VALUE"""),0.0)</f>
        <v>0</v>
      </c>
      <c r="F166" s="3">
        <f>IFERROR(__xludf.DUMMYFUNCTION("""COMPUTED_VALUE"""),0.0)</f>
        <v>0</v>
      </c>
      <c r="G166" s="3">
        <f>IFERROR(__xludf.DUMMYFUNCTION("""COMPUTED_VALUE"""),0.0)</f>
        <v>0</v>
      </c>
      <c r="H166" s="3">
        <f>IFERROR(__xludf.DUMMYFUNCTION("""COMPUTED_VALUE"""),0.0)</f>
        <v>0</v>
      </c>
      <c r="I166" s="3">
        <f>IFERROR(__xludf.DUMMYFUNCTION("""COMPUTED_VALUE"""),0.0)</f>
        <v>0</v>
      </c>
      <c r="J166" s="3">
        <f>IFERROR(__xludf.DUMMYFUNCTION("""COMPUTED_VALUE"""),0.0)</f>
        <v>0</v>
      </c>
      <c r="K166" s="3">
        <f>IFERROR(__xludf.DUMMYFUNCTION("""COMPUTED_VALUE"""),0.0)</f>
        <v>0</v>
      </c>
      <c r="L166" s="3">
        <f>IFERROR(__xludf.DUMMYFUNCTION("""COMPUTED_VALUE"""),0.0)</f>
        <v>0</v>
      </c>
      <c r="M166" s="3">
        <f>IFERROR(__xludf.DUMMYFUNCTION("""COMPUTED_VALUE"""),0.0)</f>
        <v>0</v>
      </c>
      <c r="N166" s="3">
        <f>IFERROR(__xludf.DUMMYFUNCTION("""COMPUTED_VALUE"""),0.0)</f>
        <v>0</v>
      </c>
      <c r="O166" s="3">
        <f>IFERROR(__xludf.DUMMYFUNCTION("""COMPUTED_VALUE"""),0.0)</f>
        <v>0</v>
      </c>
      <c r="P166" s="3">
        <f>IFERROR(__xludf.DUMMYFUNCTION("""COMPUTED_VALUE"""),0.0)</f>
        <v>0</v>
      </c>
      <c r="Q166" s="3">
        <f>IFERROR(__xludf.DUMMYFUNCTION("""COMPUTED_VALUE"""),0.0)</f>
        <v>0</v>
      </c>
      <c r="R166" s="3">
        <f>IFERROR(__xludf.DUMMYFUNCTION("""COMPUTED_VALUE"""),0.0)</f>
        <v>0</v>
      </c>
      <c r="S166" s="3">
        <f>IFERROR(__xludf.DUMMYFUNCTION("""COMPUTED_VALUE"""),0.0)</f>
        <v>0</v>
      </c>
      <c r="T166" s="3">
        <f>IFERROR(__xludf.DUMMYFUNCTION("""COMPUTED_VALUE"""),0.0)</f>
        <v>0</v>
      </c>
      <c r="U166" s="3">
        <f>IFERROR(__xludf.DUMMYFUNCTION("""COMPUTED_VALUE"""),0.0)</f>
        <v>0</v>
      </c>
      <c r="V166" s="3">
        <f>IFERROR(__xludf.DUMMYFUNCTION("""COMPUTED_VALUE"""),0.0)</f>
        <v>0</v>
      </c>
      <c r="W166" s="3">
        <f>IFERROR(__xludf.DUMMYFUNCTION("""COMPUTED_VALUE"""),0.0)</f>
        <v>0</v>
      </c>
      <c r="X166" s="3">
        <f>IFERROR(__xludf.DUMMYFUNCTION("""COMPUTED_VALUE"""),0.0)</f>
        <v>0</v>
      </c>
      <c r="Y166" s="3">
        <f>IFERROR(__xludf.DUMMYFUNCTION("""COMPUTED_VALUE"""),0.0)</f>
        <v>0</v>
      </c>
      <c r="Z166" s="3">
        <f>IFERROR(__xludf.DUMMYFUNCTION("""COMPUTED_VALUE"""),0.0)</f>
        <v>0</v>
      </c>
      <c r="AA166" s="3">
        <f>IFERROR(__xludf.DUMMYFUNCTION("""COMPUTED_VALUE"""),0.0)</f>
        <v>0</v>
      </c>
      <c r="AB166" s="3">
        <f>IFERROR(__xludf.DUMMYFUNCTION("""COMPUTED_VALUE"""),0.0)</f>
        <v>0</v>
      </c>
      <c r="AC166" s="3">
        <f>IFERROR(__xludf.DUMMYFUNCTION("""COMPUTED_VALUE"""),0.0)</f>
        <v>0</v>
      </c>
      <c r="AD166" s="3">
        <f>IFERROR(__xludf.DUMMYFUNCTION("""COMPUTED_VALUE"""),0.0)</f>
        <v>0</v>
      </c>
      <c r="AE166" s="3">
        <f>IFERROR(__xludf.DUMMYFUNCTION("""COMPUTED_VALUE"""),0.0)</f>
        <v>0</v>
      </c>
      <c r="AF166" s="3">
        <f>IFERROR(__xludf.DUMMYFUNCTION("""COMPUTED_VALUE"""),0.0)</f>
        <v>0</v>
      </c>
      <c r="AG166" s="3">
        <f>IFERROR(__xludf.DUMMYFUNCTION("""COMPUTED_VALUE"""),0.0)</f>
        <v>0</v>
      </c>
      <c r="AH166" s="3">
        <f>IFERROR(__xludf.DUMMYFUNCTION("""COMPUTED_VALUE"""),0.0)</f>
        <v>0</v>
      </c>
      <c r="AI166" s="3">
        <f>IFERROR(__xludf.DUMMYFUNCTION("""COMPUTED_VALUE"""),0.0)</f>
        <v>0</v>
      </c>
      <c r="AJ166" s="3">
        <f>IFERROR(__xludf.DUMMYFUNCTION("""COMPUTED_VALUE"""),0.0)</f>
        <v>0</v>
      </c>
      <c r="AK166" s="3">
        <f>IFERROR(__xludf.DUMMYFUNCTION("""COMPUTED_VALUE"""),0.0)</f>
        <v>0</v>
      </c>
      <c r="AL166" s="3">
        <f>IFERROR(__xludf.DUMMYFUNCTION("""COMPUTED_VALUE"""),0.0)</f>
        <v>0</v>
      </c>
      <c r="AM166" s="3">
        <f>IFERROR(__xludf.DUMMYFUNCTION("""COMPUTED_VALUE"""),0.0)</f>
        <v>0</v>
      </c>
      <c r="AN166" s="3">
        <f>IFERROR(__xludf.DUMMYFUNCTION("""COMPUTED_VALUE"""),0.0)</f>
        <v>0</v>
      </c>
      <c r="AO166" s="3">
        <f>IFERROR(__xludf.DUMMYFUNCTION("""COMPUTED_VALUE"""),0.0)</f>
        <v>0</v>
      </c>
      <c r="AP166" s="3">
        <f>IFERROR(__xludf.DUMMYFUNCTION("""COMPUTED_VALUE"""),0.0)</f>
        <v>0</v>
      </c>
      <c r="AQ166" s="3">
        <f>IFERROR(__xludf.DUMMYFUNCTION("""COMPUTED_VALUE"""),0.0)</f>
        <v>0</v>
      </c>
      <c r="AR166" s="3">
        <f>IFERROR(__xludf.DUMMYFUNCTION("""COMPUTED_VALUE"""),0.0)</f>
        <v>0</v>
      </c>
      <c r="AS166" s="3">
        <f>IFERROR(__xludf.DUMMYFUNCTION("""COMPUTED_VALUE"""),0.0)</f>
        <v>0</v>
      </c>
      <c r="AT166" s="3">
        <f>IFERROR(__xludf.DUMMYFUNCTION("""COMPUTED_VALUE"""),0.0)</f>
        <v>0</v>
      </c>
      <c r="AU166" s="3">
        <f>IFERROR(__xludf.DUMMYFUNCTION("""COMPUTED_VALUE"""),0.0)</f>
        <v>0</v>
      </c>
      <c r="AV166" s="3">
        <f>IFERROR(__xludf.DUMMYFUNCTION("""COMPUTED_VALUE"""),0.0)</f>
        <v>0</v>
      </c>
      <c r="AW166" s="3">
        <f>IFERROR(__xludf.DUMMYFUNCTION("""COMPUTED_VALUE"""),0.0)</f>
        <v>0</v>
      </c>
      <c r="AX166" s="3">
        <f>IFERROR(__xludf.DUMMYFUNCTION("""COMPUTED_VALUE"""),0.0)</f>
        <v>0</v>
      </c>
      <c r="AY166" s="3">
        <f>IFERROR(__xludf.DUMMYFUNCTION("""COMPUTED_VALUE"""),0.0)</f>
        <v>0</v>
      </c>
      <c r="AZ166" s="3">
        <f>IFERROR(__xludf.DUMMYFUNCTION("""COMPUTED_VALUE"""),0.0)</f>
        <v>0</v>
      </c>
      <c r="BA166" s="3">
        <f>IFERROR(__xludf.DUMMYFUNCTION("""COMPUTED_VALUE"""),0.0)</f>
        <v>0</v>
      </c>
      <c r="BB166" s="3">
        <f>IFERROR(__xludf.DUMMYFUNCTION("""COMPUTED_VALUE"""),0.0)</f>
        <v>0</v>
      </c>
      <c r="BC166" s="3">
        <f>IFERROR(__xludf.DUMMYFUNCTION("""COMPUTED_VALUE"""),0.0)</f>
        <v>0</v>
      </c>
      <c r="BD166" s="3">
        <f>IFERROR(__xludf.DUMMYFUNCTION("""COMPUTED_VALUE"""),0.0)</f>
        <v>0</v>
      </c>
      <c r="BE166" s="3">
        <f>IFERROR(__xludf.DUMMYFUNCTION("""COMPUTED_VALUE"""),2.0)</f>
        <v>2</v>
      </c>
      <c r="BF166" s="3">
        <f>IFERROR(__xludf.DUMMYFUNCTION("""COMPUTED_VALUE"""),2.0)</f>
        <v>2</v>
      </c>
      <c r="BG166" s="3">
        <f>IFERROR(__xludf.DUMMYFUNCTION("""COMPUTED_VALUE"""),2.0)</f>
        <v>2</v>
      </c>
      <c r="BH166" s="3">
        <f>IFERROR(__xludf.DUMMYFUNCTION("""COMPUTED_VALUE"""),2.0)</f>
        <v>2</v>
      </c>
      <c r="BI166" s="3">
        <f>IFERROR(__xludf.DUMMYFUNCTION("""COMPUTED_VALUE"""),2.0)</f>
        <v>2</v>
      </c>
      <c r="BJ166" s="3">
        <f>IFERROR(__xludf.DUMMYFUNCTION("""COMPUTED_VALUE"""),3.0)</f>
        <v>3</v>
      </c>
      <c r="BK166" s="3">
        <f>IFERROR(__xludf.DUMMYFUNCTION("""COMPUTED_VALUE"""),3.0)</f>
        <v>3</v>
      </c>
      <c r="BL166" s="3">
        <f>IFERROR(__xludf.DUMMYFUNCTION("""COMPUTED_VALUE"""),3.0)</f>
        <v>3</v>
      </c>
      <c r="BM166" s="3">
        <f>IFERROR(__xludf.DUMMYFUNCTION("""COMPUTED_VALUE"""),3.0)</f>
        <v>3</v>
      </c>
      <c r="BN166" s="3">
        <f>IFERROR(__xludf.DUMMYFUNCTION("""COMPUTED_VALUE"""),4.0)</f>
        <v>4</v>
      </c>
      <c r="BO166" s="3">
        <f>IFERROR(__xludf.DUMMYFUNCTION("""COMPUTED_VALUE"""),7.0)</f>
        <v>7</v>
      </c>
      <c r="BP166" s="3">
        <f>IFERROR(__xludf.DUMMYFUNCTION("""COMPUTED_VALUE"""),7.0)</f>
        <v>7</v>
      </c>
      <c r="BQ166" s="3">
        <f>IFERROR(__xludf.DUMMYFUNCTION("""COMPUTED_VALUE"""),8.0)</f>
        <v>8</v>
      </c>
      <c r="BR166" s="3">
        <f>IFERROR(__xludf.DUMMYFUNCTION("""COMPUTED_VALUE"""),8.0)</f>
        <v>8</v>
      </c>
      <c r="BS166" s="3">
        <f>IFERROR(__xludf.DUMMYFUNCTION("""COMPUTED_VALUE"""),8.0)</f>
        <v>8</v>
      </c>
      <c r="BT166" s="3">
        <f>IFERROR(__xludf.DUMMYFUNCTION("""COMPUTED_VALUE"""),11.0)</f>
        <v>11</v>
      </c>
      <c r="BU166" s="3">
        <f>IFERROR(__xludf.DUMMYFUNCTION("""COMPUTED_VALUE"""),11.0)</f>
        <v>11</v>
      </c>
      <c r="BV166" s="3">
        <f>IFERROR(__xludf.DUMMYFUNCTION("""COMPUTED_VALUE"""),11.0)</f>
        <v>11</v>
      </c>
      <c r="BW166" s="3">
        <f>IFERROR(__xludf.DUMMYFUNCTION("""COMPUTED_VALUE"""),14.0)</f>
        <v>14</v>
      </c>
      <c r="BX166" s="3">
        <f>IFERROR(__xludf.DUMMYFUNCTION("""COMPUTED_VALUE"""),14.0)</f>
        <v>14</v>
      </c>
      <c r="BY166" s="3">
        <f>IFERROR(__xludf.DUMMYFUNCTION("""COMPUTED_VALUE"""),14.0)</f>
        <v>14</v>
      </c>
      <c r="BZ166" s="3">
        <f>IFERROR(__xludf.DUMMYFUNCTION("""COMPUTED_VALUE"""),14.0)</f>
        <v>14</v>
      </c>
      <c r="CA166" s="3">
        <f>IFERROR(__xludf.DUMMYFUNCTION("""COMPUTED_VALUE"""),16.0)</f>
        <v>16</v>
      </c>
      <c r="CB166" s="3">
        <f>IFERROR(__xludf.DUMMYFUNCTION("""COMPUTED_VALUE"""),16.0)</f>
        <v>16</v>
      </c>
    </row>
    <row r="167">
      <c r="A167" s="3" t="str">
        <f>IFERROR(__xludf.DUMMYFUNCTION("""COMPUTED_VALUE"""),"")</f>
        <v/>
      </c>
      <c r="B167" s="3" t="str">
        <f>IFERROR(__xludf.DUMMYFUNCTION("""COMPUTED_VALUE"""),"Nepal")</f>
        <v>Nepal</v>
      </c>
      <c r="C167" s="3">
        <f>IFERROR(__xludf.DUMMYFUNCTION("""COMPUTED_VALUE"""),28.1667)</f>
        <v>28.1667</v>
      </c>
      <c r="D167" s="3">
        <f>IFERROR(__xludf.DUMMYFUNCTION("""COMPUTED_VALUE"""),84.25)</f>
        <v>84.25</v>
      </c>
      <c r="E167" s="3">
        <f>IFERROR(__xludf.DUMMYFUNCTION("""COMPUTED_VALUE"""),0.0)</f>
        <v>0</v>
      </c>
      <c r="F167" s="3">
        <f>IFERROR(__xludf.DUMMYFUNCTION("""COMPUTED_VALUE"""),0.0)</f>
        <v>0</v>
      </c>
      <c r="G167" s="3">
        <f>IFERROR(__xludf.DUMMYFUNCTION("""COMPUTED_VALUE"""),0.0)</f>
        <v>0</v>
      </c>
      <c r="H167" s="3">
        <f>IFERROR(__xludf.DUMMYFUNCTION("""COMPUTED_VALUE"""),1.0)</f>
        <v>1</v>
      </c>
      <c r="I167" s="3">
        <f>IFERROR(__xludf.DUMMYFUNCTION("""COMPUTED_VALUE"""),1.0)</f>
        <v>1</v>
      </c>
      <c r="J167" s="3">
        <f>IFERROR(__xludf.DUMMYFUNCTION("""COMPUTED_VALUE"""),1.0)</f>
        <v>1</v>
      </c>
      <c r="K167" s="3">
        <f>IFERROR(__xludf.DUMMYFUNCTION("""COMPUTED_VALUE"""),1.0)</f>
        <v>1</v>
      </c>
      <c r="L167" s="3">
        <f>IFERROR(__xludf.DUMMYFUNCTION("""COMPUTED_VALUE"""),1.0)</f>
        <v>1</v>
      </c>
      <c r="M167" s="3">
        <f>IFERROR(__xludf.DUMMYFUNCTION("""COMPUTED_VALUE"""),1.0)</f>
        <v>1</v>
      </c>
      <c r="N167" s="3">
        <f>IFERROR(__xludf.DUMMYFUNCTION("""COMPUTED_VALUE"""),1.0)</f>
        <v>1</v>
      </c>
      <c r="O167" s="3">
        <f>IFERROR(__xludf.DUMMYFUNCTION("""COMPUTED_VALUE"""),1.0)</f>
        <v>1</v>
      </c>
      <c r="P167" s="3">
        <f>IFERROR(__xludf.DUMMYFUNCTION("""COMPUTED_VALUE"""),1.0)</f>
        <v>1</v>
      </c>
      <c r="Q167" s="3">
        <f>IFERROR(__xludf.DUMMYFUNCTION("""COMPUTED_VALUE"""),1.0)</f>
        <v>1</v>
      </c>
      <c r="R167" s="3">
        <f>IFERROR(__xludf.DUMMYFUNCTION("""COMPUTED_VALUE"""),1.0)</f>
        <v>1</v>
      </c>
      <c r="S167" s="3">
        <f>IFERROR(__xludf.DUMMYFUNCTION("""COMPUTED_VALUE"""),1.0)</f>
        <v>1</v>
      </c>
      <c r="T167" s="3">
        <f>IFERROR(__xludf.DUMMYFUNCTION("""COMPUTED_VALUE"""),1.0)</f>
        <v>1</v>
      </c>
      <c r="U167" s="3">
        <f>IFERROR(__xludf.DUMMYFUNCTION("""COMPUTED_VALUE"""),1.0)</f>
        <v>1</v>
      </c>
      <c r="V167" s="3">
        <f>IFERROR(__xludf.DUMMYFUNCTION("""COMPUTED_VALUE"""),1.0)</f>
        <v>1</v>
      </c>
      <c r="W167" s="3">
        <f>IFERROR(__xludf.DUMMYFUNCTION("""COMPUTED_VALUE"""),1.0)</f>
        <v>1</v>
      </c>
      <c r="X167" s="3">
        <f>IFERROR(__xludf.DUMMYFUNCTION("""COMPUTED_VALUE"""),1.0)</f>
        <v>1</v>
      </c>
      <c r="Y167" s="3">
        <f>IFERROR(__xludf.DUMMYFUNCTION("""COMPUTED_VALUE"""),1.0)</f>
        <v>1</v>
      </c>
      <c r="Z167" s="3">
        <f>IFERROR(__xludf.DUMMYFUNCTION("""COMPUTED_VALUE"""),1.0)</f>
        <v>1</v>
      </c>
      <c r="AA167" s="3">
        <f>IFERROR(__xludf.DUMMYFUNCTION("""COMPUTED_VALUE"""),1.0)</f>
        <v>1</v>
      </c>
      <c r="AB167" s="3">
        <f>IFERROR(__xludf.DUMMYFUNCTION("""COMPUTED_VALUE"""),1.0)</f>
        <v>1</v>
      </c>
      <c r="AC167" s="3">
        <f>IFERROR(__xludf.DUMMYFUNCTION("""COMPUTED_VALUE"""),1.0)</f>
        <v>1</v>
      </c>
      <c r="AD167" s="3">
        <f>IFERROR(__xludf.DUMMYFUNCTION("""COMPUTED_VALUE"""),1.0)</f>
        <v>1</v>
      </c>
      <c r="AE167" s="3">
        <f>IFERROR(__xludf.DUMMYFUNCTION("""COMPUTED_VALUE"""),1.0)</f>
        <v>1</v>
      </c>
      <c r="AF167" s="3">
        <f>IFERROR(__xludf.DUMMYFUNCTION("""COMPUTED_VALUE"""),1.0)</f>
        <v>1</v>
      </c>
      <c r="AG167" s="3">
        <f>IFERROR(__xludf.DUMMYFUNCTION("""COMPUTED_VALUE"""),1.0)</f>
        <v>1</v>
      </c>
      <c r="AH167" s="3">
        <f>IFERROR(__xludf.DUMMYFUNCTION("""COMPUTED_VALUE"""),1.0)</f>
        <v>1</v>
      </c>
      <c r="AI167" s="3">
        <f>IFERROR(__xludf.DUMMYFUNCTION("""COMPUTED_VALUE"""),1.0)</f>
        <v>1</v>
      </c>
      <c r="AJ167" s="3">
        <f>IFERROR(__xludf.DUMMYFUNCTION("""COMPUTED_VALUE"""),1.0)</f>
        <v>1</v>
      </c>
      <c r="AK167" s="3">
        <f>IFERROR(__xludf.DUMMYFUNCTION("""COMPUTED_VALUE"""),1.0)</f>
        <v>1</v>
      </c>
      <c r="AL167" s="3">
        <f>IFERROR(__xludf.DUMMYFUNCTION("""COMPUTED_VALUE"""),1.0)</f>
        <v>1</v>
      </c>
      <c r="AM167" s="3">
        <f>IFERROR(__xludf.DUMMYFUNCTION("""COMPUTED_VALUE"""),1.0)</f>
        <v>1</v>
      </c>
      <c r="AN167" s="3">
        <f>IFERROR(__xludf.DUMMYFUNCTION("""COMPUTED_VALUE"""),1.0)</f>
        <v>1</v>
      </c>
      <c r="AO167" s="3">
        <f>IFERROR(__xludf.DUMMYFUNCTION("""COMPUTED_VALUE"""),1.0)</f>
        <v>1</v>
      </c>
      <c r="AP167" s="3">
        <f>IFERROR(__xludf.DUMMYFUNCTION("""COMPUTED_VALUE"""),1.0)</f>
        <v>1</v>
      </c>
      <c r="AQ167" s="3">
        <f>IFERROR(__xludf.DUMMYFUNCTION("""COMPUTED_VALUE"""),1.0)</f>
        <v>1</v>
      </c>
      <c r="AR167" s="3">
        <f>IFERROR(__xludf.DUMMYFUNCTION("""COMPUTED_VALUE"""),1.0)</f>
        <v>1</v>
      </c>
      <c r="AS167" s="3">
        <f>IFERROR(__xludf.DUMMYFUNCTION("""COMPUTED_VALUE"""),1.0)</f>
        <v>1</v>
      </c>
      <c r="AT167" s="3">
        <f>IFERROR(__xludf.DUMMYFUNCTION("""COMPUTED_VALUE"""),1.0)</f>
        <v>1</v>
      </c>
      <c r="AU167" s="3">
        <f>IFERROR(__xludf.DUMMYFUNCTION("""COMPUTED_VALUE"""),1.0)</f>
        <v>1</v>
      </c>
      <c r="AV167" s="3">
        <f>IFERROR(__xludf.DUMMYFUNCTION("""COMPUTED_VALUE"""),1.0)</f>
        <v>1</v>
      </c>
      <c r="AW167" s="3">
        <f>IFERROR(__xludf.DUMMYFUNCTION("""COMPUTED_VALUE"""),1.0)</f>
        <v>1</v>
      </c>
      <c r="AX167" s="3">
        <f>IFERROR(__xludf.DUMMYFUNCTION("""COMPUTED_VALUE"""),1.0)</f>
        <v>1</v>
      </c>
      <c r="AY167" s="3">
        <f>IFERROR(__xludf.DUMMYFUNCTION("""COMPUTED_VALUE"""),1.0)</f>
        <v>1</v>
      </c>
      <c r="AZ167" s="3">
        <f>IFERROR(__xludf.DUMMYFUNCTION("""COMPUTED_VALUE"""),1.0)</f>
        <v>1</v>
      </c>
      <c r="BA167" s="3">
        <f>IFERROR(__xludf.DUMMYFUNCTION("""COMPUTED_VALUE"""),1.0)</f>
        <v>1</v>
      </c>
      <c r="BB167" s="3">
        <f>IFERROR(__xludf.DUMMYFUNCTION("""COMPUTED_VALUE"""),1.0)</f>
        <v>1</v>
      </c>
      <c r="BC167" s="3">
        <f>IFERROR(__xludf.DUMMYFUNCTION("""COMPUTED_VALUE"""),1.0)</f>
        <v>1</v>
      </c>
      <c r="BD167" s="3">
        <f>IFERROR(__xludf.DUMMYFUNCTION("""COMPUTED_VALUE"""),1.0)</f>
        <v>1</v>
      </c>
      <c r="BE167" s="3">
        <f>IFERROR(__xludf.DUMMYFUNCTION("""COMPUTED_VALUE"""),1.0)</f>
        <v>1</v>
      </c>
      <c r="BF167" s="3">
        <f>IFERROR(__xludf.DUMMYFUNCTION("""COMPUTED_VALUE"""),1.0)</f>
        <v>1</v>
      </c>
      <c r="BG167" s="3">
        <f>IFERROR(__xludf.DUMMYFUNCTION("""COMPUTED_VALUE"""),1.0)</f>
        <v>1</v>
      </c>
      <c r="BH167" s="3">
        <f>IFERROR(__xludf.DUMMYFUNCTION("""COMPUTED_VALUE"""),1.0)</f>
        <v>1</v>
      </c>
      <c r="BI167" s="3">
        <f>IFERROR(__xludf.DUMMYFUNCTION("""COMPUTED_VALUE"""),1.0)</f>
        <v>1</v>
      </c>
      <c r="BJ167" s="3">
        <f>IFERROR(__xludf.DUMMYFUNCTION("""COMPUTED_VALUE"""),1.0)</f>
        <v>1</v>
      </c>
      <c r="BK167" s="3">
        <f>IFERROR(__xludf.DUMMYFUNCTION("""COMPUTED_VALUE"""),1.0)</f>
        <v>1</v>
      </c>
      <c r="BL167" s="3">
        <f>IFERROR(__xludf.DUMMYFUNCTION("""COMPUTED_VALUE"""),1.0)</f>
        <v>1</v>
      </c>
      <c r="BM167" s="3">
        <f>IFERROR(__xludf.DUMMYFUNCTION("""COMPUTED_VALUE"""),1.0)</f>
        <v>1</v>
      </c>
      <c r="BN167" s="3">
        <f>IFERROR(__xludf.DUMMYFUNCTION("""COMPUTED_VALUE"""),2.0)</f>
        <v>2</v>
      </c>
      <c r="BO167" s="3">
        <f>IFERROR(__xludf.DUMMYFUNCTION("""COMPUTED_VALUE"""),2.0)</f>
        <v>2</v>
      </c>
      <c r="BP167" s="3">
        <f>IFERROR(__xludf.DUMMYFUNCTION("""COMPUTED_VALUE"""),3.0)</f>
        <v>3</v>
      </c>
      <c r="BQ167" s="3">
        <f>IFERROR(__xludf.DUMMYFUNCTION("""COMPUTED_VALUE"""),3.0)</f>
        <v>3</v>
      </c>
      <c r="BR167" s="3">
        <f>IFERROR(__xludf.DUMMYFUNCTION("""COMPUTED_VALUE"""),4.0)</f>
        <v>4</v>
      </c>
      <c r="BS167" s="3">
        <f>IFERROR(__xludf.DUMMYFUNCTION("""COMPUTED_VALUE"""),5.0)</f>
        <v>5</v>
      </c>
      <c r="BT167" s="3">
        <f>IFERROR(__xludf.DUMMYFUNCTION("""COMPUTED_VALUE"""),5.0)</f>
        <v>5</v>
      </c>
      <c r="BU167" s="3">
        <f>IFERROR(__xludf.DUMMYFUNCTION("""COMPUTED_VALUE"""),5.0)</f>
        <v>5</v>
      </c>
      <c r="BV167" s="3">
        <f>IFERROR(__xludf.DUMMYFUNCTION("""COMPUTED_VALUE"""),5.0)</f>
        <v>5</v>
      </c>
      <c r="BW167" s="3">
        <f>IFERROR(__xludf.DUMMYFUNCTION("""COMPUTED_VALUE"""),5.0)</f>
        <v>5</v>
      </c>
      <c r="BX167" s="3">
        <f>IFERROR(__xludf.DUMMYFUNCTION("""COMPUTED_VALUE"""),6.0)</f>
        <v>6</v>
      </c>
      <c r="BY167" s="3">
        <f>IFERROR(__xludf.DUMMYFUNCTION("""COMPUTED_VALUE"""),6.0)</f>
        <v>6</v>
      </c>
      <c r="BZ167" s="3">
        <f>IFERROR(__xludf.DUMMYFUNCTION("""COMPUTED_VALUE"""),9.0)</f>
        <v>9</v>
      </c>
      <c r="CA167" s="3">
        <f>IFERROR(__xludf.DUMMYFUNCTION("""COMPUTED_VALUE"""),9.0)</f>
        <v>9</v>
      </c>
      <c r="CB167" s="3">
        <f>IFERROR(__xludf.DUMMYFUNCTION("""COMPUTED_VALUE"""),9.0)</f>
        <v>9</v>
      </c>
    </row>
    <row r="168">
      <c r="A168" s="3" t="str">
        <f>IFERROR(__xludf.DUMMYFUNCTION("""COMPUTED_VALUE"""),"Aruba")</f>
        <v>Aruba</v>
      </c>
      <c r="B168" s="3" t="str">
        <f>IFERROR(__xludf.DUMMYFUNCTION("""COMPUTED_VALUE"""),"Netherlands")</f>
        <v>Netherlands</v>
      </c>
      <c r="C168" s="3">
        <f>IFERROR(__xludf.DUMMYFUNCTION("""COMPUTED_VALUE"""),12.5186)</f>
        <v>12.5186</v>
      </c>
      <c r="D168" s="3">
        <f>IFERROR(__xludf.DUMMYFUNCTION("""COMPUTED_VALUE"""),-70.0358)</f>
        <v>-70.0358</v>
      </c>
      <c r="E168" s="3">
        <f>IFERROR(__xludf.DUMMYFUNCTION("""COMPUTED_VALUE"""),0.0)</f>
        <v>0</v>
      </c>
      <c r="F168" s="3">
        <f>IFERROR(__xludf.DUMMYFUNCTION("""COMPUTED_VALUE"""),0.0)</f>
        <v>0</v>
      </c>
      <c r="G168" s="3">
        <f>IFERROR(__xludf.DUMMYFUNCTION("""COMPUTED_VALUE"""),0.0)</f>
        <v>0</v>
      </c>
      <c r="H168" s="3">
        <f>IFERROR(__xludf.DUMMYFUNCTION("""COMPUTED_VALUE"""),0.0)</f>
        <v>0</v>
      </c>
      <c r="I168" s="3">
        <f>IFERROR(__xludf.DUMMYFUNCTION("""COMPUTED_VALUE"""),0.0)</f>
        <v>0</v>
      </c>
      <c r="J168" s="3">
        <f>IFERROR(__xludf.DUMMYFUNCTION("""COMPUTED_VALUE"""),0.0)</f>
        <v>0</v>
      </c>
      <c r="K168" s="3">
        <f>IFERROR(__xludf.DUMMYFUNCTION("""COMPUTED_VALUE"""),0.0)</f>
        <v>0</v>
      </c>
      <c r="L168" s="3">
        <f>IFERROR(__xludf.DUMMYFUNCTION("""COMPUTED_VALUE"""),0.0)</f>
        <v>0</v>
      </c>
      <c r="M168" s="3">
        <f>IFERROR(__xludf.DUMMYFUNCTION("""COMPUTED_VALUE"""),0.0)</f>
        <v>0</v>
      </c>
      <c r="N168" s="3">
        <f>IFERROR(__xludf.DUMMYFUNCTION("""COMPUTED_VALUE"""),0.0)</f>
        <v>0</v>
      </c>
      <c r="O168" s="3">
        <f>IFERROR(__xludf.DUMMYFUNCTION("""COMPUTED_VALUE"""),0.0)</f>
        <v>0</v>
      </c>
      <c r="P168" s="3">
        <f>IFERROR(__xludf.DUMMYFUNCTION("""COMPUTED_VALUE"""),0.0)</f>
        <v>0</v>
      </c>
      <c r="Q168" s="3">
        <f>IFERROR(__xludf.DUMMYFUNCTION("""COMPUTED_VALUE"""),0.0)</f>
        <v>0</v>
      </c>
      <c r="R168" s="3">
        <f>IFERROR(__xludf.DUMMYFUNCTION("""COMPUTED_VALUE"""),0.0)</f>
        <v>0</v>
      </c>
      <c r="S168" s="3">
        <f>IFERROR(__xludf.DUMMYFUNCTION("""COMPUTED_VALUE"""),0.0)</f>
        <v>0</v>
      </c>
      <c r="T168" s="3">
        <f>IFERROR(__xludf.DUMMYFUNCTION("""COMPUTED_VALUE"""),0.0)</f>
        <v>0</v>
      </c>
      <c r="U168" s="3">
        <f>IFERROR(__xludf.DUMMYFUNCTION("""COMPUTED_VALUE"""),0.0)</f>
        <v>0</v>
      </c>
      <c r="V168" s="3">
        <f>IFERROR(__xludf.DUMMYFUNCTION("""COMPUTED_VALUE"""),0.0)</f>
        <v>0</v>
      </c>
      <c r="W168" s="3">
        <f>IFERROR(__xludf.DUMMYFUNCTION("""COMPUTED_VALUE"""),0.0)</f>
        <v>0</v>
      </c>
      <c r="X168" s="3">
        <f>IFERROR(__xludf.DUMMYFUNCTION("""COMPUTED_VALUE"""),0.0)</f>
        <v>0</v>
      </c>
      <c r="Y168" s="3">
        <f>IFERROR(__xludf.DUMMYFUNCTION("""COMPUTED_VALUE"""),0.0)</f>
        <v>0</v>
      </c>
      <c r="Z168" s="3">
        <f>IFERROR(__xludf.DUMMYFUNCTION("""COMPUTED_VALUE"""),0.0)</f>
        <v>0</v>
      </c>
      <c r="AA168" s="3">
        <f>IFERROR(__xludf.DUMMYFUNCTION("""COMPUTED_VALUE"""),0.0)</f>
        <v>0</v>
      </c>
      <c r="AB168" s="3">
        <f>IFERROR(__xludf.DUMMYFUNCTION("""COMPUTED_VALUE"""),0.0)</f>
        <v>0</v>
      </c>
      <c r="AC168" s="3">
        <f>IFERROR(__xludf.DUMMYFUNCTION("""COMPUTED_VALUE"""),0.0)</f>
        <v>0</v>
      </c>
      <c r="AD168" s="3">
        <f>IFERROR(__xludf.DUMMYFUNCTION("""COMPUTED_VALUE"""),0.0)</f>
        <v>0</v>
      </c>
      <c r="AE168" s="3">
        <f>IFERROR(__xludf.DUMMYFUNCTION("""COMPUTED_VALUE"""),0.0)</f>
        <v>0</v>
      </c>
      <c r="AF168" s="3">
        <f>IFERROR(__xludf.DUMMYFUNCTION("""COMPUTED_VALUE"""),0.0)</f>
        <v>0</v>
      </c>
      <c r="AG168" s="3">
        <f>IFERROR(__xludf.DUMMYFUNCTION("""COMPUTED_VALUE"""),0.0)</f>
        <v>0</v>
      </c>
      <c r="AH168" s="3">
        <f>IFERROR(__xludf.DUMMYFUNCTION("""COMPUTED_VALUE"""),0.0)</f>
        <v>0</v>
      </c>
      <c r="AI168" s="3">
        <f>IFERROR(__xludf.DUMMYFUNCTION("""COMPUTED_VALUE"""),0.0)</f>
        <v>0</v>
      </c>
      <c r="AJ168" s="3">
        <f>IFERROR(__xludf.DUMMYFUNCTION("""COMPUTED_VALUE"""),0.0)</f>
        <v>0</v>
      </c>
      <c r="AK168" s="3">
        <f>IFERROR(__xludf.DUMMYFUNCTION("""COMPUTED_VALUE"""),0.0)</f>
        <v>0</v>
      </c>
      <c r="AL168" s="3">
        <f>IFERROR(__xludf.DUMMYFUNCTION("""COMPUTED_VALUE"""),0.0)</f>
        <v>0</v>
      </c>
      <c r="AM168" s="3">
        <f>IFERROR(__xludf.DUMMYFUNCTION("""COMPUTED_VALUE"""),0.0)</f>
        <v>0</v>
      </c>
      <c r="AN168" s="3">
        <f>IFERROR(__xludf.DUMMYFUNCTION("""COMPUTED_VALUE"""),0.0)</f>
        <v>0</v>
      </c>
      <c r="AO168" s="3">
        <f>IFERROR(__xludf.DUMMYFUNCTION("""COMPUTED_VALUE"""),0.0)</f>
        <v>0</v>
      </c>
      <c r="AP168" s="3">
        <f>IFERROR(__xludf.DUMMYFUNCTION("""COMPUTED_VALUE"""),0.0)</f>
        <v>0</v>
      </c>
      <c r="AQ168" s="3">
        <f>IFERROR(__xludf.DUMMYFUNCTION("""COMPUTED_VALUE"""),0.0)</f>
        <v>0</v>
      </c>
      <c r="AR168" s="3">
        <f>IFERROR(__xludf.DUMMYFUNCTION("""COMPUTED_VALUE"""),0.0)</f>
        <v>0</v>
      </c>
      <c r="AS168" s="3">
        <f>IFERROR(__xludf.DUMMYFUNCTION("""COMPUTED_VALUE"""),0.0)</f>
        <v>0</v>
      </c>
      <c r="AT168" s="3">
        <f>IFERROR(__xludf.DUMMYFUNCTION("""COMPUTED_VALUE"""),0.0)</f>
        <v>0</v>
      </c>
      <c r="AU168" s="3">
        <f>IFERROR(__xludf.DUMMYFUNCTION("""COMPUTED_VALUE"""),0.0)</f>
        <v>0</v>
      </c>
      <c r="AV168" s="3">
        <f>IFERROR(__xludf.DUMMYFUNCTION("""COMPUTED_VALUE"""),0.0)</f>
        <v>0</v>
      </c>
      <c r="AW168" s="3">
        <f>IFERROR(__xludf.DUMMYFUNCTION("""COMPUTED_VALUE"""),0.0)</f>
        <v>0</v>
      </c>
      <c r="AX168" s="3">
        <f>IFERROR(__xludf.DUMMYFUNCTION("""COMPUTED_VALUE"""),0.0)</f>
        <v>0</v>
      </c>
      <c r="AY168" s="3">
        <f>IFERROR(__xludf.DUMMYFUNCTION("""COMPUTED_VALUE"""),0.0)</f>
        <v>0</v>
      </c>
      <c r="AZ168" s="3">
        <f>IFERROR(__xludf.DUMMYFUNCTION("""COMPUTED_VALUE"""),0.0)</f>
        <v>0</v>
      </c>
      <c r="BA168" s="3">
        <f>IFERROR(__xludf.DUMMYFUNCTION("""COMPUTED_VALUE"""),0.0)</f>
        <v>0</v>
      </c>
      <c r="BB168" s="3">
        <f>IFERROR(__xludf.DUMMYFUNCTION("""COMPUTED_VALUE"""),0.0)</f>
        <v>0</v>
      </c>
      <c r="BC168" s="3">
        <f>IFERROR(__xludf.DUMMYFUNCTION("""COMPUTED_VALUE"""),0.0)</f>
        <v>0</v>
      </c>
      <c r="BD168" s="3">
        <f>IFERROR(__xludf.DUMMYFUNCTION("""COMPUTED_VALUE"""),2.0)</f>
        <v>2</v>
      </c>
      <c r="BE168" s="3">
        <f>IFERROR(__xludf.DUMMYFUNCTION("""COMPUTED_VALUE"""),2.0)</f>
        <v>2</v>
      </c>
      <c r="BF168" s="3">
        <f>IFERROR(__xludf.DUMMYFUNCTION("""COMPUTED_VALUE"""),2.0)</f>
        <v>2</v>
      </c>
      <c r="BG168" s="3">
        <f>IFERROR(__xludf.DUMMYFUNCTION("""COMPUTED_VALUE"""),2.0)</f>
        <v>2</v>
      </c>
      <c r="BH168" s="3">
        <f>IFERROR(__xludf.DUMMYFUNCTION("""COMPUTED_VALUE"""),3.0)</f>
        <v>3</v>
      </c>
      <c r="BI168" s="3">
        <f>IFERROR(__xludf.DUMMYFUNCTION("""COMPUTED_VALUE"""),4.0)</f>
        <v>4</v>
      </c>
      <c r="BJ168" s="3">
        <f>IFERROR(__xludf.DUMMYFUNCTION("""COMPUTED_VALUE"""),4.0)</f>
        <v>4</v>
      </c>
      <c r="BK168" s="3">
        <f>IFERROR(__xludf.DUMMYFUNCTION("""COMPUTED_VALUE"""),5.0)</f>
        <v>5</v>
      </c>
      <c r="BL168" s="3">
        <f>IFERROR(__xludf.DUMMYFUNCTION("""COMPUTED_VALUE"""),5.0)</f>
        <v>5</v>
      </c>
      <c r="BM168" s="3">
        <f>IFERROR(__xludf.DUMMYFUNCTION("""COMPUTED_VALUE"""),9.0)</f>
        <v>9</v>
      </c>
      <c r="BN168" s="3">
        <f>IFERROR(__xludf.DUMMYFUNCTION("""COMPUTED_VALUE"""),9.0)</f>
        <v>9</v>
      </c>
      <c r="BO168" s="3">
        <f>IFERROR(__xludf.DUMMYFUNCTION("""COMPUTED_VALUE"""),12.0)</f>
        <v>12</v>
      </c>
      <c r="BP168" s="3">
        <f>IFERROR(__xludf.DUMMYFUNCTION("""COMPUTED_VALUE"""),17.0)</f>
        <v>17</v>
      </c>
      <c r="BQ168" s="3">
        <f>IFERROR(__xludf.DUMMYFUNCTION("""COMPUTED_VALUE"""),28.0)</f>
        <v>28</v>
      </c>
      <c r="BR168" s="3">
        <f>IFERROR(__xludf.DUMMYFUNCTION("""COMPUTED_VALUE"""),33.0)</f>
        <v>33</v>
      </c>
      <c r="BS168" s="3">
        <f>IFERROR(__xludf.DUMMYFUNCTION("""COMPUTED_VALUE"""),46.0)</f>
        <v>46</v>
      </c>
      <c r="BT168" s="3">
        <f>IFERROR(__xludf.DUMMYFUNCTION("""COMPUTED_VALUE"""),50.0)</f>
        <v>50</v>
      </c>
      <c r="BU168" s="3">
        <f>IFERROR(__xludf.DUMMYFUNCTION("""COMPUTED_VALUE"""),50.0)</f>
        <v>50</v>
      </c>
      <c r="BV168" s="3">
        <f>IFERROR(__xludf.DUMMYFUNCTION("""COMPUTED_VALUE"""),55.0)</f>
        <v>55</v>
      </c>
      <c r="BW168" s="3">
        <f>IFERROR(__xludf.DUMMYFUNCTION("""COMPUTED_VALUE"""),55.0)</f>
        <v>55</v>
      </c>
      <c r="BX168" s="3">
        <f>IFERROR(__xludf.DUMMYFUNCTION("""COMPUTED_VALUE"""),60.0)</f>
        <v>60</v>
      </c>
      <c r="BY168" s="3">
        <f>IFERROR(__xludf.DUMMYFUNCTION("""COMPUTED_VALUE"""),62.0)</f>
        <v>62</v>
      </c>
      <c r="BZ168" s="3">
        <f>IFERROR(__xludf.DUMMYFUNCTION("""COMPUTED_VALUE"""),64.0)</f>
        <v>64</v>
      </c>
      <c r="CA168" s="3">
        <f>IFERROR(__xludf.DUMMYFUNCTION("""COMPUTED_VALUE"""),64.0)</f>
        <v>64</v>
      </c>
      <c r="CB168" s="3">
        <f>IFERROR(__xludf.DUMMYFUNCTION("""COMPUTED_VALUE"""),71.0)</f>
        <v>71</v>
      </c>
    </row>
    <row r="169">
      <c r="A169" s="3" t="str">
        <f>IFERROR(__xludf.DUMMYFUNCTION("""COMPUTED_VALUE"""),"Curacao")</f>
        <v>Curacao</v>
      </c>
      <c r="B169" s="3" t="str">
        <f>IFERROR(__xludf.DUMMYFUNCTION("""COMPUTED_VALUE"""),"Netherlands")</f>
        <v>Netherlands</v>
      </c>
      <c r="C169" s="3">
        <f>IFERROR(__xludf.DUMMYFUNCTION("""COMPUTED_VALUE"""),12.1696)</f>
        <v>12.1696</v>
      </c>
      <c r="D169" s="3">
        <f>IFERROR(__xludf.DUMMYFUNCTION("""COMPUTED_VALUE"""),-68.99)</f>
        <v>-68.99</v>
      </c>
      <c r="E169" s="3">
        <f>IFERROR(__xludf.DUMMYFUNCTION("""COMPUTED_VALUE"""),0.0)</f>
        <v>0</v>
      </c>
      <c r="F169" s="3">
        <f>IFERROR(__xludf.DUMMYFUNCTION("""COMPUTED_VALUE"""),0.0)</f>
        <v>0</v>
      </c>
      <c r="G169" s="3">
        <f>IFERROR(__xludf.DUMMYFUNCTION("""COMPUTED_VALUE"""),0.0)</f>
        <v>0</v>
      </c>
      <c r="H169" s="3">
        <f>IFERROR(__xludf.DUMMYFUNCTION("""COMPUTED_VALUE"""),0.0)</f>
        <v>0</v>
      </c>
      <c r="I169" s="3">
        <f>IFERROR(__xludf.DUMMYFUNCTION("""COMPUTED_VALUE"""),0.0)</f>
        <v>0</v>
      </c>
      <c r="J169" s="3">
        <f>IFERROR(__xludf.DUMMYFUNCTION("""COMPUTED_VALUE"""),0.0)</f>
        <v>0</v>
      </c>
      <c r="K169" s="3">
        <f>IFERROR(__xludf.DUMMYFUNCTION("""COMPUTED_VALUE"""),0.0)</f>
        <v>0</v>
      </c>
      <c r="L169" s="3">
        <f>IFERROR(__xludf.DUMMYFUNCTION("""COMPUTED_VALUE"""),0.0)</f>
        <v>0</v>
      </c>
      <c r="M169" s="3">
        <f>IFERROR(__xludf.DUMMYFUNCTION("""COMPUTED_VALUE"""),0.0)</f>
        <v>0</v>
      </c>
      <c r="N169" s="3">
        <f>IFERROR(__xludf.DUMMYFUNCTION("""COMPUTED_VALUE"""),0.0)</f>
        <v>0</v>
      </c>
      <c r="O169" s="3">
        <f>IFERROR(__xludf.DUMMYFUNCTION("""COMPUTED_VALUE"""),0.0)</f>
        <v>0</v>
      </c>
      <c r="P169" s="3">
        <f>IFERROR(__xludf.DUMMYFUNCTION("""COMPUTED_VALUE"""),0.0)</f>
        <v>0</v>
      </c>
      <c r="Q169" s="3">
        <f>IFERROR(__xludf.DUMMYFUNCTION("""COMPUTED_VALUE"""),0.0)</f>
        <v>0</v>
      </c>
      <c r="R169" s="3">
        <f>IFERROR(__xludf.DUMMYFUNCTION("""COMPUTED_VALUE"""),0.0)</f>
        <v>0</v>
      </c>
      <c r="S169" s="3">
        <f>IFERROR(__xludf.DUMMYFUNCTION("""COMPUTED_VALUE"""),0.0)</f>
        <v>0</v>
      </c>
      <c r="T169" s="3">
        <f>IFERROR(__xludf.DUMMYFUNCTION("""COMPUTED_VALUE"""),0.0)</f>
        <v>0</v>
      </c>
      <c r="U169" s="3">
        <f>IFERROR(__xludf.DUMMYFUNCTION("""COMPUTED_VALUE"""),0.0)</f>
        <v>0</v>
      </c>
      <c r="V169" s="3">
        <f>IFERROR(__xludf.DUMMYFUNCTION("""COMPUTED_VALUE"""),0.0)</f>
        <v>0</v>
      </c>
      <c r="W169" s="3">
        <f>IFERROR(__xludf.DUMMYFUNCTION("""COMPUTED_VALUE"""),0.0)</f>
        <v>0</v>
      </c>
      <c r="X169" s="3">
        <f>IFERROR(__xludf.DUMMYFUNCTION("""COMPUTED_VALUE"""),0.0)</f>
        <v>0</v>
      </c>
      <c r="Y169" s="3">
        <f>IFERROR(__xludf.DUMMYFUNCTION("""COMPUTED_VALUE"""),0.0)</f>
        <v>0</v>
      </c>
      <c r="Z169" s="3">
        <f>IFERROR(__xludf.DUMMYFUNCTION("""COMPUTED_VALUE"""),0.0)</f>
        <v>0</v>
      </c>
      <c r="AA169" s="3">
        <f>IFERROR(__xludf.DUMMYFUNCTION("""COMPUTED_VALUE"""),0.0)</f>
        <v>0</v>
      </c>
      <c r="AB169" s="3">
        <f>IFERROR(__xludf.DUMMYFUNCTION("""COMPUTED_VALUE"""),0.0)</f>
        <v>0</v>
      </c>
      <c r="AC169" s="3">
        <f>IFERROR(__xludf.DUMMYFUNCTION("""COMPUTED_VALUE"""),0.0)</f>
        <v>0</v>
      </c>
      <c r="AD169" s="3">
        <f>IFERROR(__xludf.DUMMYFUNCTION("""COMPUTED_VALUE"""),0.0)</f>
        <v>0</v>
      </c>
      <c r="AE169" s="3">
        <f>IFERROR(__xludf.DUMMYFUNCTION("""COMPUTED_VALUE"""),0.0)</f>
        <v>0</v>
      </c>
      <c r="AF169" s="3">
        <f>IFERROR(__xludf.DUMMYFUNCTION("""COMPUTED_VALUE"""),0.0)</f>
        <v>0</v>
      </c>
      <c r="AG169" s="3">
        <f>IFERROR(__xludf.DUMMYFUNCTION("""COMPUTED_VALUE"""),0.0)</f>
        <v>0</v>
      </c>
      <c r="AH169" s="3">
        <f>IFERROR(__xludf.DUMMYFUNCTION("""COMPUTED_VALUE"""),0.0)</f>
        <v>0</v>
      </c>
      <c r="AI169" s="3">
        <f>IFERROR(__xludf.DUMMYFUNCTION("""COMPUTED_VALUE"""),0.0)</f>
        <v>0</v>
      </c>
      <c r="AJ169" s="3">
        <f>IFERROR(__xludf.DUMMYFUNCTION("""COMPUTED_VALUE"""),0.0)</f>
        <v>0</v>
      </c>
      <c r="AK169" s="3">
        <f>IFERROR(__xludf.DUMMYFUNCTION("""COMPUTED_VALUE"""),0.0)</f>
        <v>0</v>
      </c>
      <c r="AL169" s="3">
        <f>IFERROR(__xludf.DUMMYFUNCTION("""COMPUTED_VALUE"""),0.0)</f>
        <v>0</v>
      </c>
      <c r="AM169" s="3">
        <f>IFERROR(__xludf.DUMMYFUNCTION("""COMPUTED_VALUE"""),0.0)</f>
        <v>0</v>
      </c>
      <c r="AN169" s="3">
        <f>IFERROR(__xludf.DUMMYFUNCTION("""COMPUTED_VALUE"""),0.0)</f>
        <v>0</v>
      </c>
      <c r="AO169" s="3">
        <f>IFERROR(__xludf.DUMMYFUNCTION("""COMPUTED_VALUE"""),0.0)</f>
        <v>0</v>
      </c>
      <c r="AP169" s="3">
        <f>IFERROR(__xludf.DUMMYFUNCTION("""COMPUTED_VALUE"""),0.0)</f>
        <v>0</v>
      </c>
      <c r="AQ169" s="3">
        <f>IFERROR(__xludf.DUMMYFUNCTION("""COMPUTED_VALUE"""),0.0)</f>
        <v>0</v>
      </c>
      <c r="AR169" s="3">
        <f>IFERROR(__xludf.DUMMYFUNCTION("""COMPUTED_VALUE"""),0.0)</f>
        <v>0</v>
      </c>
      <c r="AS169" s="3">
        <f>IFERROR(__xludf.DUMMYFUNCTION("""COMPUTED_VALUE"""),0.0)</f>
        <v>0</v>
      </c>
      <c r="AT169" s="3">
        <f>IFERROR(__xludf.DUMMYFUNCTION("""COMPUTED_VALUE"""),0.0)</f>
        <v>0</v>
      </c>
      <c r="AU169" s="3">
        <f>IFERROR(__xludf.DUMMYFUNCTION("""COMPUTED_VALUE"""),0.0)</f>
        <v>0</v>
      </c>
      <c r="AV169" s="3">
        <f>IFERROR(__xludf.DUMMYFUNCTION("""COMPUTED_VALUE"""),0.0)</f>
        <v>0</v>
      </c>
      <c r="AW169" s="3">
        <f>IFERROR(__xludf.DUMMYFUNCTION("""COMPUTED_VALUE"""),0.0)</f>
        <v>0</v>
      </c>
      <c r="AX169" s="3">
        <f>IFERROR(__xludf.DUMMYFUNCTION("""COMPUTED_VALUE"""),0.0)</f>
        <v>0</v>
      </c>
      <c r="AY169" s="3">
        <f>IFERROR(__xludf.DUMMYFUNCTION("""COMPUTED_VALUE"""),0.0)</f>
        <v>0</v>
      </c>
      <c r="AZ169" s="3">
        <f>IFERROR(__xludf.DUMMYFUNCTION("""COMPUTED_VALUE"""),0.0)</f>
        <v>0</v>
      </c>
      <c r="BA169" s="3">
        <f>IFERROR(__xludf.DUMMYFUNCTION("""COMPUTED_VALUE"""),0.0)</f>
        <v>0</v>
      </c>
      <c r="BB169" s="3">
        <f>IFERROR(__xludf.DUMMYFUNCTION("""COMPUTED_VALUE"""),0.0)</f>
        <v>0</v>
      </c>
      <c r="BC169" s="3">
        <f>IFERROR(__xludf.DUMMYFUNCTION("""COMPUTED_VALUE"""),0.0)</f>
        <v>0</v>
      </c>
      <c r="BD169" s="3">
        <f>IFERROR(__xludf.DUMMYFUNCTION("""COMPUTED_VALUE"""),0.0)</f>
        <v>0</v>
      </c>
      <c r="BE169" s="3">
        <f>IFERROR(__xludf.DUMMYFUNCTION("""COMPUTED_VALUE"""),1.0)</f>
        <v>1</v>
      </c>
      <c r="BF169" s="3">
        <f>IFERROR(__xludf.DUMMYFUNCTION("""COMPUTED_VALUE"""),1.0)</f>
        <v>1</v>
      </c>
      <c r="BG169" s="3">
        <f>IFERROR(__xludf.DUMMYFUNCTION("""COMPUTED_VALUE"""),1.0)</f>
        <v>1</v>
      </c>
      <c r="BH169" s="3">
        <f>IFERROR(__xludf.DUMMYFUNCTION("""COMPUTED_VALUE"""),3.0)</f>
        <v>3</v>
      </c>
      <c r="BI169" s="3">
        <f>IFERROR(__xludf.DUMMYFUNCTION("""COMPUTED_VALUE"""),3.0)</f>
        <v>3</v>
      </c>
      <c r="BJ169" s="3">
        <f>IFERROR(__xludf.DUMMYFUNCTION("""COMPUTED_VALUE"""),3.0)</f>
        <v>3</v>
      </c>
      <c r="BK169" s="3">
        <f>IFERROR(__xludf.DUMMYFUNCTION("""COMPUTED_VALUE"""),3.0)</f>
        <v>3</v>
      </c>
      <c r="BL169" s="3">
        <f>IFERROR(__xludf.DUMMYFUNCTION("""COMPUTED_VALUE"""),3.0)</f>
        <v>3</v>
      </c>
      <c r="BM169" s="3">
        <f>IFERROR(__xludf.DUMMYFUNCTION("""COMPUTED_VALUE"""),3.0)</f>
        <v>3</v>
      </c>
      <c r="BN169" s="3">
        <f>IFERROR(__xludf.DUMMYFUNCTION("""COMPUTED_VALUE"""),4.0)</f>
        <v>4</v>
      </c>
      <c r="BO169" s="3">
        <f>IFERROR(__xludf.DUMMYFUNCTION("""COMPUTED_VALUE"""),6.0)</f>
        <v>6</v>
      </c>
      <c r="BP169" s="3">
        <f>IFERROR(__xludf.DUMMYFUNCTION("""COMPUTED_VALUE"""),6.0)</f>
        <v>6</v>
      </c>
      <c r="BQ169" s="3">
        <f>IFERROR(__xludf.DUMMYFUNCTION("""COMPUTED_VALUE"""),6.0)</f>
        <v>6</v>
      </c>
      <c r="BR169" s="3">
        <f>IFERROR(__xludf.DUMMYFUNCTION("""COMPUTED_VALUE"""),8.0)</f>
        <v>8</v>
      </c>
      <c r="BS169" s="3">
        <f>IFERROR(__xludf.DUMMYFUNCTION("""COMPUTED_VALUE"""),8.0)</f>
        <v>8</v>
      </c>
      <c r="BT169" s="3">
        <f>IFERROR(__xludf.DUMMYFUNCTION("""COMPUTED_VALUE"""),8.0)</f>
        <v>8</v>
      </c>
      <c r="BU169" s="3">
        <f>IFERROR(__xludf.DUMMYFUNCTION("""COMPUTED_VALUE"""),11.0)</f>
        <v>11</v>
      </c>
      <c r="BV169" s="3">
        <f>IFERROR(__xludf.DUMMYFUNCTION("""COMPUTED_VALUE"""),11.0)</f>
        <v>11</v>
      </c>
      <c r="BW169" s="3">
        <f>IFERROR(__xludf.DUMMYFUNCTION("""COMPUTED_VALUE"""),11.0)</f>
        <v>11</v>
      </c>
      <c r="BX169" s="3">
        <f>IFERROR(__xludf.DUMMYFUNCTION("""COMPUTED_VALUE"""),11.0)</f>
        <v>11</v>
      </c>
      <c r="BY169" s="3">
        <f>IFERROR(__xludf.DUMMYFUNCTION("""COMPUTED_VALUE"""),11.0)</f>
        <v>11</v>
      </c>
      <c r="BZ169" s="3">
        <f>IFERROR(__xludf.DUMMYFUNCTION("""COMPUTED_VALUE"""),11.0)</f>
        <v>11</v>
      </c>
      <c r="CA169" s="3">
        <f>IFERROR(__xludf.DUMMYFUNCTION("""COMPUTED_VALUE"""),11.0)</f>
        <v>11</v>
      </c>
      <c r="CB169" s="3">
        <f>IFERROR(__xludf.DUMMYFUNCTION("""COMPUTED_VALUE"""),13.0)</f>
        <v>13</v>
      </c>
    </row>
    <row r="170">
      <c r="A170" s="3" t="str">
        <f>IFERROR(__xludf.DUMMYFUNCTION("""COMPUTED_VALUE"""),"Sint Maarten")</f>
        <v>Sint Maarten</v>
      </c>
      <c r="B170" s="3" t="str">
        <f>IFERROR(__xludf.DUMMYFUNCTION("""COMPUTED_VALUE"""),"Netherlands")</f>
        <v>Netherlands</v>
      </c>
      <c r="C170" s="3">
        <f>IFERROR(__xludf.DUMMYFUNCTION("""COMPUTED_VALUE"""),18.0425)</f>
        <v>18.0425</v>
      </c>
      <c r="D170" s="3">
        <f>IFERROR(__xludf.DUMMYFUNCTION("""COMPUTED_VALUE"""),-63.0548)</f>
        <v>-63.0548</v>
      </c>
      <c r="E170" s="3">
        <f>IFERROR(__xludf.DUMMYFUNCTION("""COMPUTED_VALUE"""),0.0)</f>
        <v>0</v>
      </c>
      <c r="F170" s="3">
        <f>IFERROR(__xludf.DUMMYFUNCTION("""COMPUTED_VALUE"""),0.0)</f>
        <v>0</v>
      </c>
      <c r="G170" s="3">
        <f>IFERROR(__xludf.DUMMYFUNCTION("""COMPUTED_VALUE"""),0.0)</f>
        <v>0</v>
      </c>
      <c r="H170" s="3">
        <f>IFERROR(__xludf.DUMMYFUNCTION("""COMPUTED_VALUE"""),0.0)</f>
        <v>0</v>
      </c>
      <c r="I170" s="3">
        <f>IFERROR(__xludf.DUMMYFUNCTION("""COMPUTED_VALUE"""),0.0)</f>
        <v>0</v>
      </c>
      <c r="J170" s="3">
        <f>IFERROR(__xludf.DUMMYFUNCTION("""COMPUTED_VALUE"""),0.0)</f>
        <v>0</v>
      </c>
      <c r="K170" s="3">
        <f>IFERROR(__xludf.DUMMYFUNCTION("""COMPUTED_VALUE"""),0.0)</f>
        <v>0</v>
      </c>
      <c r="L170" s="3">
        <f>IFERROR(__xludf.DUMMYFUNCTION("""COMPUTED_VALUE"""),0.0)</f>
        <v>0</v>
      </c>
      <c r="M170" s="3">
        <f>IFERROR(__xludf.DUMMYFUNCTION("""COMPUTED_VALUE"""),0.0)</f>
        <v>0</v>
      </c>
      <c r="N170" s="3">
        <f>IFERROR(__xludf.DUMMYFUNCTION("""COMPUTED_VALUE"""),0.0)</f>
        <v>0</v>
      </c>
      <c r="O170" s="3">
        <f>IFERROR(__xludf.DUMMYFUNCTION("""COMPUTED_VALUE"""),0.0)</f>
        <v>0</v>
      </c>
      <c r="P170" s="3">
        <f>IFERROR(__xludf.DUMMYFUNCTION("""COMPUTED_VALUE"""),0.0)</f>
        <v>0</v>
      </c>
      <c r="Q170" s="3">
        <f>IFERROR(__xludf.DUMMYFUNCTION("""COMPUTED_VALUE"""),0.0)</f>
        <v>0</v>
      </c>
      <c r="R170" s="3">
        <f>IFERROR(__xludf.DUMMYFUNCTION("""COMPUTED_VALUE"""),0.0)</f>
        <v>0</v>
      </c>
      <c r="S170" s="3">
        <f>IFERROR(__xludf.DUMMYFUNCTION("""COMPUTED_VALUE"""),0.0)</f>
        <v>0</v>
      </c>
      <c r="T170" s="3">
        <f>IFERROR(__xludf.DUMMYFUNCTION("""COMPUTED_VALUE"""),0.0)</f>
        <v>0</v>
      </c>
      <c r="U170" s="3">
        <f>IFERROR(__xludf.DUMMYFUNCTION("""COMPUTED_VALUE"""),0.0)</f>
        <v>0</v>
      </c>
      <c r="V170" s="3">
        <f>IFERROR(__xludf.DUMMYFUNCTION("""COMPUTED_VALUE"""),0.0)</f>
        <v>0</v>
      </c>
      <c r="W170" s="3">
        <f>IFERROR(__xludf.DUMMYFUNCTION("""COMPUTED_VALUE"""),0.0)</f>
        <v>0</v>
      </c>
      <c r="X170" s="3">
        <f>IFERROR(__xludf.DUMMYFUNCTION("""COMPUTED_VALUE"""),0.0)</f>
        <v>0</v>
      </c>
      <c r="Y170" s="3">
        <f>IFERROR(__xludf.DUMMYFUNCTION("""COMPUTED_VALUE"""),0.0)</f>
        <v>0</v>
      </c>
      <c r="Z170" s="3">
        <f>IFERROR(__xludf.DUMMYFUNCTION("""COMPUTED_VALUE"""),0.0)</f>
        <v>0</v>
      </c>
      <c r="AA170" s="3">
        <f>IFERROR(__xludf.DUMMYFUNCTION("""COMPUTED_VALUE"""),0.0)</f>
        <v>0</v>
      </c>
      <c r="AB170" s="3">
        <f>IFERROR(__xludf.DUMMYFUNCTION("""COMPUTED_VALUE"""),0.0)</f>
        <v>0</v>
      </c>
      <c r="AC170" s="3">
        <f>IFERROR(__xludf.DUMMYFUNCTION("""COMPUTED_VALUE"""),0.0)</f>
        <v>0</v>
      </c>
      <c r="AD170" s="3">
        <f>IFERROR(__xludf.DUMMYFUNCTION("""COMPUTED_VALUE"""),0.0)</f>
        <v>0</v>
      </c>
      <c r="AE170" s="3">
        <f>IFERROR(__xludf.DUMMYFUNCTION("""COMPUTED_VALUE"""),0.0)</f>
        <v>0</v>
      </c>
      <c r="AF170" s="3">
        <f>IFERROR(__xludf.DUMMYFUNCTION("""COMPUTED_VALUE"""),0.0)</f>
        <v>0</v>
      </c>
      <c r="AG170" s="3">
        <f>IFERROR(__xludf.DUMMYFUNCTION("""COMPUTED_VALUE"""),0.0)</f>
        <v>0</v>
      </c>
      <c r="AH170" s="3">
        <f>IFERROR(__xludf.DUMMYFUNCTION("""COMPUTED_VALUE"""),0.0)</f>
        <v>0</v>
      </c>
      <c r="AI170" s="3">
        <f>IFERROR(__xludf.DUMMYFUNCTION("""COMPUTED_VALUE"""),0.0)</f>
        <v>0</v>
      </c>
      <c r="AJ170" s="3">
        <f>IFERROR(__xludf.DUMMYFUNCTION("""COMPUTED_VALUE"""),0.0)</f>
        <v>0</v>
      </c>
      <c r="AK170" s="3">
        <f>IFERROR(__xludf.DUMMYFUNCTION("""COMPUTED_VALUE"""),0.0)</f>
        <v>0</v>
      </c>
      <c r="AL170" s="3">
        <f>IFERROR(__xludf.DUMMYFUNCTION("""COMPUTED_VALUE"""),0.0)</f>
        <v>0</v>
      </c>
      <c r="AM170" s="3">
        <f>IFERROR(__xludf.DUMMYFUNCTION("""COMPUTED_VALUE"""),0.0)</f>
        <v>0</v>
      </c>
      <c r="AN170" s="3">
        <f>IFERROR(__xludf.DUMMYFUNCTION("""COMPUTED_VALUE"""),0.0)</f>
        <v>0</v>
      </c>
      <c r="AO170" s="3">
        <f>IFERROR(__xludf.DUMMYFUNCTION("""COMPUTED_VALUE"""),0.0)</f>
        <v>0</v>
      </c>
      <c r="AP170" s="3">
        <f>IFERROR(__xludf.DUMMYFUNCTION("""COMPUTED_VALUE"""),0.0)</f>
        <v>0</v>
      </c>
      <c r="AQ170" s="3">
        <f>IFERROR(__xludf.DUMMYFUNCTION("""COMPUTED_VALUE"""),0.0)</f>
        <v>0</v>
      </c>
      <c r="AR170" s="3">
        <f>IFERROR(__xludf.DUMMYFUNCTION("""COMPUTED_VALUE"""),0.0)</f>
        <v>0</v>
      </c>
      <c r="AS170" s="3">
        <f>IFERROR(__xludf.DUMMYFUNCTION("""COMPUTED_VALUE"""),0.0)</f>
        <v>0</v>
      </c>
      <c r="AT170" s="3">
        <f>IFERROR(__xludf.DUMMYFUNCTION("""COMPUTED_VALUE"""),0.0)</f>
        <v>0</v>
      </c>
      <c r="AU170" s="3">
        <f>IFERROR(__xludf.DUMMYFUNCTION("""COMPUTED_VALUE"""),0.0)</f>
        <v>0</v>
      </c>
      <c r="AV170" s="3">
        <f>IFERROR(__xludf.DUMMYFUNCTION("""COMPUTED_VALUE"""),0.0)</f>
        <v>0</v>
      </c>
      <c r="AW170" s="3">
        <f>IFERROR(__xludf.DUMMYFUNCTION("""COMPUTED_VALUE"""),0.0)</f>
        <v>0</v>
      </c>
      <c r="AX170" s="3">
        <f>IFERROR(__xludf.DUMMYFUNCTION("""COMPUTED_VALUE"""),0.0)</f>
        <v>0</v>
      </c>
      <c r="AY170" s="3">
        <f>IFERROR(__xludf.DUMMYFUNCTION("""COMPUTED_VALUE"""),0.0)</f>
        <v>0</v>
      </c>
      <c r="AZ170" s="3">
        <f>IFERROR(__xludf.DUMMYFUNCTION("""COMPUTED_VALUE"""),0.0)</f>
        <v>0</v>
      </c>
      <c r="BA170" s="3">
        <f>IFERROR(__xludf.DUMMYFUNCTION("""COMPUTED_VALUE"""),0.0)</f>
        <v>0</v>
      </c>
      <c r="BB170" s="3">
        <f>IFERROR(__xludf.DUMMYFUNCTION("""COMPUTED_VALUE"""),0.0)</f>
        <v>0</v>
      </c>
      <c r="BC170" s="3">
        <f>IFERROR(__xludf.DUMMYFUNCTION("""COMPUTED_VALUE"""),0.0)</f>
        <v>0</v>
      </c>
      <c r="BD170" s="3">
        <f>IFERROR(__xludf.DUMMYFUNCTION("""COMPUTED_VALUE"""),0.0)</f>
        <v>0</v>
      </c>
      <c r="BE170" s="3">
        <f>IFERROR(__xludf.DUMMYFUNCTION("""COMPUTED_VALUE"""),0.0)</f>
        <v>0</v>
      </c>
      <c r="BF170" s="3">
        <f>IFERROR(__xludf.DUMMYFUNCTION("""COMPUTED_VALUE"""),0.0)</f>
        <v>0</v>
      </c>
      <c r="BG170" s="3">
        <f>IFERROR(__xludf.DUMMYFUNCTION("""COMPUTED_VALUE"""),0.0)</f>
        <v>0</v>
      </c>
      <c r="BH170" s="3">
        <f>IFERROR(__xludf.DUMMYFUNCTION("""COMPUTED_VALUE"""),0.0)</f>
        <v>0</v>
      </c>
      <c r="BI170" s="3">
        <f>IFERROR(__xludf.DUMMYFUNCTION("""COMPUTED_VALUE"""),0.0)</f>
        <v>0</v>
      </c>
      <c r="BJ170" s="3">
        <f>IFERROR(__xludf.DUMMYFUNCTION("""COMPUTED_VALUE"""),0.0)</f>
        <v>0</v>
      </c>
      <c r="BK170" s="3">
        <f>IFERROR(__xludf.DUMMYFUNCTION("""COMPUTED_VALUE"""),1.0)</f>
        <v>1</v>
      </c>
      <c r="BL170" s="3">
        <f>IFERROR(__xludf.DUMMYFUNCTION("""COMPUTED_VALUE"""),1.0)</f>
        <v>1</v>
      </c>
      <c r="BM170" s="3">
        <f>IFERROR(__xludf.DUMMYFUNCTION("""COMPUTED_VALUE"""),1.0)</f>
        <v>1</v>
      </c>
      <c r="BN170" s="3">
        <f>IFERROR(__xludf.DUMMYFUNCTION("""COMPUTED_VALUE"""),2.0)</f>
        <v>2</v>
      </c>
      <c r="BO170" s="3">
        <f>IFERROR(__xludf.DUMMYFUNCTION("""COMPUTED_VALUE"""),2.0)</f>
        <v>2</v>
      </c>
      <c r="BP170" s="3">
        <f>IFERROR(__xludf.DUMMYFUNCTION("""COMPUTED_VALUE"""),3.0)</f>
        <v>3</v>
      </c>
      <c r="BQ170" s="3">
        <f>IFERROR(__xludf.DUMMYFUNCTION("""COMPUTED_VALUE"""),3.0)</f>
        <v>3</v>
      </c>
      <c r="BR170" s="3">
        <f>IFERROR(__xludf.DUMMYFUNCTION("""COMPUTED_VALUE"""),3.0)</f>
        <v>3</v>
      </c>
      <c r="BS170" s="3">
        <f>IFERROR(__xludf.DUMMYFUNCTION("""COMPUTED_VALUE"""),3.0)</f>
        <v>3</v>
      </c>
      <c r="BT170" s="3">
        <f>IFERROR(__xludf.DUMMYFUNCTION("""COMPUTED_VALUE"""),6.0)</f>
        <v>6</v>
      </c>
      <c r="BU170" s="3">
        <f>IFERROR(__xludf.DUMMYFUNCTION("""COMPUTED_VALUE"""),6.0)</f>
        <v>6</v>
      </c>
      <c r="BV170" s="3">
        <f>IFERROR(__xludf.DUMMYFUNCTION("""COMPUTED_VALUE"""),6.0)</f>
        <v>6</v>
      </c>
      <c r="BW170" s="3">
        <f>IFERROR(__xludf.DUMMYFUNCTION("""COMPUTED_VALUE"""),16.0)</f>
        <v>16</v>
      </c>
      <c r="BX170" s="3">
        <f>IFERROR(__xludf.DUMMYFUNCTION("""COMPUTED_VALUE"""),18.0)</f>
        <v>18</v>
      </c>
      <c r="BY170" s="3">
        <f>IFERROR(__xludf.DUMMYFUNCTION("""COMPUTED_VALUE"""),23.0)</f>
        <v>23</v>
      </c>
      <c r="BZ170" s="3">
        <f>IFERROR(__xludf.DUMMYFUNCTION("""COMPUTED_VALUE"""),23.0)</f>
        <v>23</v>
      </c>
      <c r="CA170" s="3">
        <f>IFERROR(__xludf.DUMMYFUNCTION("""COMPUTED_VALUE"""),25.0)</f>
        <v>25</v>
      </c>
      <c r="CB170" s="3">
        <f>IFERROR(__xludf.DUMMYFUNCTION("""COMPUTED_VALUE"""),37.0)</f>
        <v>37</v>
      </c>
    </row>
    <row r="171">
      <c r="A171" s="3" t="str">
        <f>IFERROR(__xludf.DUMMYFUNCTION("""COMPUTED_VALUE"""),"")</f>
        <v/>
      </c>
      <c r="B171" s="3" t="str">
        <f>IFERROR(__xludf.DUMMYFUNCTION("""COMPUTED_VALUE"""),"Netherlands")</f>
        <v>Netherlands</v>
      </c>
      <c r="C171" s="3">
        <f>IFERROR(__xludf.DUMMYFUNCTION("""COMPUTED_VALUE"""),52.1326)</f>
        <v>52.1326</v>
      </c>
      <c r="D171" s="3">
        <f>IFERROR(__xludf.DUMMYFUNCTION("""COMPUTED_VALUE"""),5.2913)</f>
        <v>5.2913</v>
      </c>
      <c r="E171" s="3">
        <f>IFERROR(__xludf.DUMMYFUNCTION("""COMPUTED_VALUE"""),0.0)</f>
        <v>0</v>
      </c>
      <c r="F171" s="3">
        <f>IFERROR(__xludf.DUMMYFUNCTION("""COMPUTED_VALUE"""),0.0)</f>
        <v>0</v>
      </c>
      <c r="G171" s="3">
        <f>IFERROR(__xludf.DUMMYFUNCTION("""COMPUTED_VALUE"""),0.0)</f>
        <v>0</v>
      </c>
      <c r="H171" s="3">
        <f>IFERROR(__xludf.DUMMYFUNCTION("""COMPUTED_VALUE"""),0.0)</f>
        <v>0</v>
      </c>
      <c r="I171" s="3">
        <f>IFERROR(__xludf.DUMMYFUNCTION("""COMPUTED_VALUE"""),0.0)</f>
        <v>0</v>
      </c>
      <c r="J171" s="3">
        <f>IFERROR(__xludf.DUMMYFUNCTION("""COMPUTED_VALUE"""),0.0)</f>
        <v>0</v>
      </c>
      <c r="K171" s="3">
        <f>IFERROR(__xludf.DUMMYFUNCTION("""COMPUTED_VALUE"""),0.0)</f>
        <v>0</v>
      </c>
      <c r="L171" s="3">
        <f>IFERROR(__xludf.DUMMYFUNCTION("""COMPUTED_VALUE"""),0.0)</f>
        <v>0</v>
      </c>
      <c r="M171" s="3">
        <f>IFERROR(__xludf.DUMMYFUNCTION("""COMPUTED_VALUE"""),0.0)</f>
        <v>0</v>
      </c>
      <c r="N171" s="3">
        <f>IFERROR(__xludf.DUMMYFUNCTION("""COMPUTED_VALUE"""),0.0)</f>
        <v>0</v>
      </c>
      <c r="O171" s="3">
        <f>IFERROR(__xludf.DUMMYFUNCTION("""COMPUTED_VALUE"""),0.0)</f>
        <v>0</v>
      </c>
      <c r="P171" s="3">
        <f>IFERROR(__xludf.DUMMYFUNCTION("""COMPUTED_VALUE"""),0.0)</f>
        <v>0</v>
      </c>
      <c r="Q171" s="3">
        <f>IFERROR(__xludf.DUMMYFUNCTION("""COMPUTED_VALUE"""),0.0)</f>
        <v>0</v>
      </c>
      <c r="R171" s="3">
        <f>IFERROR(__xludf.DUMMYFUNCTION("""COMPUTED_VALUE"""),0.0)</f>
        <v>0</v>
      </c>
      <c r="S171" s="3">
        <f>IFERROR(__xludf.DUMMYFUNCTION("""COMPUTED_VALUE"""),0.0)</f>
        <v>0</v>
      </c>
      <c r="T171" s="3">
        <f>IFERROR(__xludf.DUMMYFUNCTION("""COMPUTED_VALUE"""),0.0)</f>
        <v>0</v>
      </c>
      <c r="U171" s="3">
        <f>IFERROR(__xludf.DUMMYFUNCTION("""COMPUTED_VALUE"""),0.0)</f>
        <v>0</v>
      </c>
      <c r="V171" s="3">
        <f>IFERROR(__xludf.DUMMYFUNCTION("""COMPUTED_VALUE"""),0.0)</f>
        <v>0</v>
      </c>
      <c r="W171" s="3">
        <f>IFERROR(__xludf.DUMMYFUNCTION("""COMPUTED_VALUE"""),0.0)</f>
        <v>0</v>
      </c>
      <c r="X171" s="3">
        <f>IFERROR(__xludf.DUMMYFUNCTION("""COMPUTED_VALUE"""),0.0)</f>
        <v>0</v>
      </c>
      <c r="Y171" s="3">
        <f>IFERROR(__xludf.DUMMYFUNCTION("""COMPUTED_VALUE"""),0.0)</f>
        <v>0</v>
      </c>
      <c r="Z171" s="3">
        <f>IFERROR(__xludf.DUMMYFUNCTION("""COMPUTED_VALUE"""),0.0)</f>
        <v>0</v>
      </c>
      <c r="AA171" s="3">
        <f>IFERROR(__xludf.DUMMYFUNCTION("""COMPUTED_VALUE"""),0.0)</f>
        <v>0</v>
      </c>
      <c r="AB171" s="3">
        <f>IFERROR(__xludf.DUMMYFUNCTION("""COMPUTED_VALUE"""),0.0)</f>
        <v>0</v>
      </c>
      <c r="AC171" s="3">
        <f>IFERROR(__xludf.DUMMYFUNCTION("""COMPUTED_VALUE"""),0.0)</f>
        <v>0</v>
      </c>
      <c r="AD171" s="3">
        <f>IFERROR(__xludf.DUMMYFUNCTION("""COMPUTED_VALUE"""),0.0)</f>
        <v>0</v>
      </c>
      <c r="AE171" s="3">
        <f>IFERROR(__xludf.DUMMYFUNCTION("""COMPUTED_VALUE"""),0.0)</f>
        <v>0</v>
      </c>
      <c r="AF171" s="3">
        <f>IFERROR(__xludf.DUMMYFUNCTION("""COMPUTED_VALUE"""),0.0)</f>
        <v>0</v>
      </c>
      <c r="AG171" s="3">
        <f>IFERROR(__xludf.DUMMYFUNCTION("""COMPUTED_VALUE"""),0.0)</f>
        <v>0</v>
      </c>
      <c r="AH171" s="3">
        <f>IFERROR(__xludf.DUMMYFUNCTION("""COMPUTED_VALUE"""),0.0)</f>
        <v>0</v>
      </c>
      <c r="AI171" s="3">
        <f>IFERROR(__xludf.DUMMYFUNCTION("""COMPUTED_VALUE"""),0.0)</f>
        <v>0</v>
      </c>
      <c r="AJ171" s="3">
        <f>IFERROR(__xludf.DUMMYFUNCTION("""COMPUTED_VALUE"""),0.0)</f>
        <v>0</v>
      </c>
      <c r="AK171" s="3">
        <f>IFERROR(__xludf.DUMMYFUNCTION("""COMPUTED_VALUE"""),0.0)</f>
        <v>0</v>
      </c>
      <c r="AL171" s="3">
        <f>IFERROR(__xludf.DUMMYFUNCTION("""COMPUTED_VALUE"""),0.0)</f>
        <v>0</v>
      </c>
      <c r="AM171" s="3">
        <f>IFERROR(__xludf.DUMMYFUNCTION("""COMPUTED_VALUE"""),0.0)</f>
        <v>0</v>
      </c>
      <c r="AN171" s="3">
        <f>IFERROR(__xludf.DUMMYFUNCTION("""COMPUTED_VALUE"""),0.0)</f>
        <v>0</v>
      </c>
      <c r="AO171" s="3">
        <f>IFERROR(__xludf.DUMMYFUNCTION("""COMPUTED_VALUE"""),1.0)</f>
        <v>1</v>
      </c>
      <c r="AP171" s="3">
        <f>IFERROR(__xludf.DUMMYFUNCTION("""COMPUTED_VALUE"""),1.0)</f>
        <v>1</v>
      </c>
      <c r="AQ171" s="3">
        <f>IFERROR(__xludf.DUMMYFUNCTION("""COMPUTED_VALUE"""),6.0)</f>
        <v>6</v>
      </c>
      <c r="AR171" s="3">
        <f>IFERROR(__xludf.DUMMYFUNCTION("""COMPUTED_VALUE"""),10.0)</f>
        <v>10</v>
      </c>
      <c r="AS171" s="3">
        <f>IFERROR(__xludf.DUMMYFUNCTION("""COMPUTED_VALUE"""),18.0)</f>
        <v>18</v>
      </c>
      <c r="AT171" s="3">
        <f>IFERROR(__xludf.DUMMYFUNCTION("""COMPUTED_VALUE"""),24.0)</f>
        <v>24</v>
      </c>
      <c r="AU171" s="3">
        <f>IFERROR(__xludf.DUMMYFUNCTION("""COMPUTED_VALUE"""),38.0)</f>
        <v>38</v>
      </c>
      <c r="AV171" s="3">
        <f>IFERROR(__xludf.DUMMYFUNCTION("""COMPUTED_VALUE"""),82.0)</f>
        <v>82</v>
      </c>
      <c r="AW171" s="3">
        <f>IFERROR(__xludf.DUMMYFUNCTION("""COMPUTED_VALUE"""),128.0)</f>
        <v>128</v>
      </c>
      <c r="AX171" s="3">
        <f>IFERROR(__xludf.DUMMYFUNCTION("""COMPUTED_VALUE"""),188.0)</f>
        <v>188</v>
      </c>
      <c r="AY171" s="3">
        <f>IFERROR(__xludf.DUMMYFUNCTION("""COMPUTED_VALUE"""),265.0)</f>
        <v>265</v>
      </c>
      <c r="AZ171" s="3">
        <f>IFERROR(__xludf.DUMMYFUNCTION("""COMPUTED_VALUE"""),321.0)</f>
        <v>321</v>
      </c>
      <c r="BA171" s="3">
        <f>IFERROR(__xludf.DUMMYFUNCTION("""COMPUTED_VALUE"""),382.0)</f>
        <v>382</v>
      </c>
      <c r="BB171" s="3">
        <f>IFERROR(__xludf.DUMMYFUNCTION("""COMPUTED_VALUE"""),503.0)</f>
        <v>503</v>
      </c>
      <c r="BC171" s="3">
        <f>IFERROR(__xludf.DUMMYFUNCTION("""COMPUTED_VALUE"""),503.0)</f>
        <v>503</v>
      </c>
      <c r="BD171" s="3">
        <f>IFERROR(__xludf.DUMMYFUNCTION("""COMPUTED_VALUE"""),804.0)</f>
        <v>804</v>
      </c>
      <c r="BE171" s="3">
        <f>IFERROR(__xludf.DUMMYFUNCTION("""COMPUTED_VALUE"""),959.0)</f>
        <v>959</v>
      </c>
      <c r="BF171" s="3">
        <f>IFERROR(__xludf.DUMMYFUNCTION("""COMPUTED_VALUE"""),1135.0)</f>
        <v>1135</v>
      </c>
      <c r="BG171" s="3">
        <f>IFERROR(__xludf.DUMMYFUNCTION("""COMPUTED_VALUE"""),1413.0)</f>
        <v>1413</v>
      </c>
      <c r="BH171" s="3">
        <f>IFERROR(__xludf.DUMMYFUNCTION("""COMPUTED_VALUE"""),1705.0)</f>
        <v>1705</v>
      </c>
      <c r="BI171" s="3">
        <f>IFERROR(__xludf.DUMMYFUNCTION("""COMPUTED_VALUE"""),2051.0)</f>
        <v>2051</v>
      </c>
      <c r="BJ171" s="3">
        <f>IFERROR(__xludf.DUMMYFUNCTION("""COMPUTED_VALUE"""),2460.0)</f>
        <v>2460</v>
      </c>
      <c r="BK171" s="3">
        <f>IFERROR(__xludf.DUMMYFUNCTION("""COMPUTED_VALUE"""),2994.0)</f>
        <v>2994</v>
      </c>
      <c r="BL171" s="3">
        <f>IFERROR(__xludf.DUMMYFUNCTION("""COMPUTED_VALUE"""),3631.0)</f>
        <v>3631</v>
      </c>
      <c r="BM171" s="3">
        <f>IFERROR(__xludf.DUMMYFUNCTION("""COMPUTED_VALUE"""),4204.0)</f>
        <v>4204</v>
      </c>
      <c r="BN171" s="3">
        <f>IFERROR(__xludf.DUMMYFUNCTION("""COMPUTED_VALUE"""),4749.0)</f>
        <v>4749</v>
      </c>
      <c r="BO171" s="3">
        <f>IFERROR(__xludf.DUMMYFUNCTION("""COMPUTED_VALUE"""),5560.0)</f>
        <v>5560</v>
      </c>
      <c r="BP171" s="3">
        <f>IFERROR(__xludf.DUMMYFUNCTION("""COMPUTED_VALUE"""),6412.0)</f>
        <v>6412</v>
      </c>
      <c r="BQ171" s="3">
        <f>IFERROR(__xludf.DUMMYFUNCTION("""COMPUTED_VALUE"""),7431.0)</f>
        <v>7431</v>
      </c>
      <c r="BR171" s="3">
        <f>IFERROR(__xludf.DUMMYFUNCTION("""COMPUTED_VALUE"""),8603.0)</f>
        <v>8603</v>
      </c>
      <c r="BS171" s="3">
        <f>IFERROR(__xludf.DUMMYFUNCTION("""COMPUTED_VALUE"""),9762.0)</f>
        <v>9762</v>
      </c>
      <c r="BT171" s="3">
        <f>IFERROR(__xludf.DUMMYFUNCTION("""COMPUTED_VALUE"""),10866.0)</f>
        <v>10866</v>
      </c>
      <c r="BU171" s="3">
        <f>IFERROR(__xludf.DUMMYFUNCTION("""COMPUTED_VALUE"""),11750.0)</f>
        <v>11750</v>
      </c>
      <c r="BV171" s="3">
        <f>IFERROR(__xludf.DUMMYFUNCTION("""COMPUTED_VALUE"""),12595.0)</f>
        <v>12595</v>
      </c>
      <c r="BW171" s="3">
        <f>IFERROR(__xludf.DUMMYFUNCTION("""COMPUTED_VALUE"""),13614.0)</f>
        <v>13614</v>
      </c>
      <c r="BX171" s="3">
        <f>IFERROR(__xludf.DUMMYFUNCTION("""COMPUTED_VALUE"""),14697.0)</f>
        <v>14697</v>
      </c>
      <c r="BY171" s="3">
        <f>IFERROR(__xludf.DUMMYFUNCTION("""COMPUTED_VALUE"""),15723.0)</f>
        <v>15723</v>
      </c>
      <c r="BZ171" s="3">
        <f>IFERROR(__xludf.DUMMYFUNCTION("""COMPUTED_VALUE"""),16627.0)</f>
        <v>16627</v>
      </c>
      <c r="CA171" s="3">
        <f>IFERROR(__xludf.DUMMYFUNCTION("""COMPUTED_VALUE"""),17851.0)</f>
        <v>17851</v>
      </c>
      <c r="CB171" s="3">
        <f>IFERROR(__xludf.DUMMYFUNCTION("""COMPUTED_VALUE"""),18803.0)</f>
        <v>18803</v>
      </c>
    </row>
    <row r="172">
      <c r="A172" s="3" t="str">
        <f>IFERROR(__xludf.DUMMYFUNCTION("""COMPUTED_VALUE"""),"")</f>
        <v/>
      </c>
      <c r="B172" s="3" t="str">
        <f>IFERROR(__xludf.DUMMYFUNCTION("""COMPUTED_VALUE"""),"New Zealand")</f>
        <v>New Zealand</v>
      </c>
      <c r="C172" s="3">
        <f>IFERROR(__xludf.DUMMYFUNCTION("""COMPUTED_VALUE"""),-40.9006)</f>
        <v>-40.9006</v>
      </c>
      <c r="D172" s="3">
        <f>IFERROR(__xludf.DUMMYFUNCTION("""COMPUTED_VALUE"""),174.886)</f>
        <v>174.886</v>
      </c>
      <c r="E172" s="3">
        <f>IFERROR(__xludf.DUMMYFUNCTION("""COMPUTED_VALUE"""),0.0)</f>
        <v>0</v>
      </c>
      <c r="F172" s="3">
        <f>IFERROR(__xludf.DUMMYFUNCTION("""COMPUTED_VALUE"""),0.0)</f>
        <v>0</v>
      </c>
      <c r="G172" s="3">
        <f>IFERROR(__xludf.DUMMYFUNCTION("""COMPUTED_VALUE"""),0.0)</f>
        <v>0</v>
      </c>
      <c r="H172" s="3">
        <f>IFERROR(__xludf.DUMMYFUNCTION("""COMPUTED_VALUE"""),0.0)</f>
        <v>0</v>
      </c>
      <c r="I172" s="3">
        <f>IFERROR(__xludf.DUMMYFUNCTION("""COMPUTED_VALUE"""),0.0)</f>
        <v>0</v>
      </c>
      <c r="J172" s="3">
        <f>IFERROR(__xludf.DUMMYFUNCTION("""COMPUTED_VALUE"""),0.0)</f>
        <v>0</v>
      </c>
      <c r="K172" s="3">
        <f>IFERROR(__xludf.DUMMYFUNCTION("""COMPUTED_VALUE"""),0.0)</f>
        <v>0</v>
      </c>
      <c r="L172" s="3">
        <f>IFERROR(__xludf.DUMMYFUNCTION("""COMPUTED_VALUE"""),0.0)</f>
        <v>0</v>
      </c>
      <c r="M172" s="3">
        <f>IFERROR(__xludf.DUMMYFUNCTION("""COMPUTED_VALUE"""),0.0)</f>
        <v>0</v>
      </c>
      <c r="N172" s="3">
        <f>IFERROR(__xludf.DUMMYFUNCTION("""COMPUTED_VALUE"""),0.0)</f>
        <v>0</v>
      </c>
      <c r="O172" s="3">
        <f>IFERROR(__xludf.DUMMYFUNCTION("""COMPUTED_VALUE"""),0.0)</f>
        <v>0</v>
      </c>
      <c r="P172" s="3">
        <f>IFERROR(__xludf.DUMMYFUNCTION("""COMPUTED_VALUE"""),0.0)</f>
        <v>0</v>
      </c>
      <c r="Q172" s="3">
        <f>IFERROR(__xludf.DUMMYFUNCTION("""COMPUTED_VALUE"""),0.0)</f>
        <v>0</v>
      </c>
      <c r="R172" s="3">
        <f>IFERROR(__xludf.DUMMYFUNCTION("""COMPUTED_VALUE"""),0.0)</f>
        <v>0</v>
      </c>
      <c r="S172" s="3">
        <f>IFERROR(__xludf.DUMMYFUNCTION("""COMPUTED_VALUE"""),0.0)</f>
        <v>0</v>
      </c>
      <c r="T172" s="3">
        <f>IFERROR(__xludf.DUMMYFUNCTION("""COMPUTED_VALUE"""),0.0)</f>
        <v>0</v>
      </c>
      <c r="U172" s="3">
        <f>IFERROR(__xludf.DUMMYFUNCTION("""COMPUTED_VALUE"""),0.0)</f>
        <v>0</v>
      </c>
      <c r="V172" s="3">
        <f>IFERROR(__xludf.DUMMYFUNCTION("""COMPUTED_VALUE"""),0.0)</f>
        <v>0</v>
      </c>
      <c r="W172" s="3">
        <f>IFERROR(__xludf.DUMMYFUNCTION("""COMPUTED_VALUE"""),0.0)</f>
        <v>0</v>
      </c>
      <c r="X172" s="3">
        <f>IFERROR(__xludf.DUMMYFUNCTION("""COMPUTED_VALUE"""),0.0)</f>
        <v>0</v>
      </c>
      <c r="Y172" s="3">
        <f>IFERROR(__xludf.DUMMYFUNCTION("""COMPUTED_VALUE"""),0.0)</f>
        <v>0</v>
      </c>
      <c r="Z172" s="3">
        <f>IFERROR(__xludf.DUMMYFUNCTION("""COMPUTED_VALUE"""),0.0)</f>
        <v>0</v>
      </c>
      <c r="AA172" s="3">
        <f>IFERROR(__xludf.DUMMYFUNCTION("""COMPUTED_VALUE"""),0.0)</f>
        <v>0</v>
      </c>
      <c r="AB172" s="3">
        <f>IFERROR(__xludf.DUMMYFUNCTION("""COMPUTED_VALUE"""),0.0)</f>
        <v>0</v>
      </c>
      <c r="AC172" s="3">
        <f>IFERROR(__xludf.DUMMYFUNCTION("""COMPUTED_VALUE"""),0.0)</f>
        <v>0</v>
      </c>
      <c r="AD172" s="3">
        <f>IFERROR(__xludf.DUMMYFUNCTION("""COMPUTED_VALUE"""),0.0)</f>
        <v>0</v>
      </c>
      <c r="AE172" s="3">
        <f>IFERROR(__xludf.DUMMYFUNCTION("""COMPUTED_VALUE"""),0.0)</f>
        <v>0</v>
      </c>
      <c r="AF172" s="3">
        <f>IFERROR(__xludf.DUMMYFUNCTION("""COMPUTED_VALUE"""),0.0)</f>
        <v>0</v>
      </c>
      <c r="AG172" s="3">
        <f>IFERROR(__xludf.DUMMYFUNCTION("""COMPUTED_VALUE"""),0.0)</f>
        <v>0</v>
      </c>
      <c r="AH172" s="3">
        <f>IFERROR(__xludf.DUMMYFUNCTION("""COMPUTED_VALUE"""),0.0)</f>
        <v>0</v>
      </c>
      <c r="AI172" s="3">
        <f>IFERROR(__xludf.DUMMYFUNCTION("""COMPUTED_VALUE"""),0.0)</f>
        <v>0</v>
      </c>
      <c r="AJ172" s="3">
        <f>IFERROR(__xludf.DUMMYFUNCTION("""COMPUTED_VALUE"""),0.0)</f>
        <v>0</v>
      </c>
      <c r="AK172" s="3">
        <f>IFERROR(__xludf.DUMMYFUNCTION("""COMPUTED_VALUE"""),0.0)</f>
        <v>0</v>
      </c>
      <c r="AL172" s="3">
        <f>IFERROR(__xludf.DUMMYFUNCTION("""COMPUTED_VALUE"""),0.0)</f>
        <v>0</v>
      </c>
      <c r="AM172" s="3">
        <f>IFERROR(__xludf.DUMMYFUNCTION("""COMPUTED_VALUE"""),0.0)</f>
        <v>0</v>
      </c>
      <c r="AN172" s="3">
        <f>IFERROR(__xludf.DUMMYFUNCTION("""COMPUTED_VALUE"""),0.0)</f>
        <v>0</v>
      </c>
      <c r="AO172" s="3">
        <f>IFERROR(__xludf.DUMMYFUNCTION("""COMPUTED_VALUE"""),0.0)</f>
        <v>0</v>
      </c>
      <c r="AP172" s="3">
        <f>IFERROR(__xludf.DUMMYFUNCTION("""COMPUTED_VALUE"""),1.0)</f>
        <v>1</v>
      </c>
      <c r="AQ172" s="3">
        <f>IFERROR(__xludf.DUMMYFUNCTION("""COMPUTED_VALUE"""),1.0)</f>
        <v>1</v>
      </c>
      <c r="AR172" s="3">
        <f>IFERROR(__xludf.DUMMYFUNCTION("""COMPUTED_VALUE"""),1.0)</f>
        <v>1</v>
      </c>
      <c r="AS172" s="3">
        <f>IFERROR(__xludf.DUMMYFUNCTION("""COMPUTED_VALUE"""),1.0)</f>
        <v>1</v>
      </c>
      <c r="AT172" s="3">
        <f>IFERROR(__xludf.DUMMYFUNCTION("""COMPUTED_VALUE"""),1.0)</f>
        <v>1</v>
      </c>
      <c r="AU172" s="3">
        <f>IFERROR(__xludf.DUMMYFUNCTION("""COMPUTED_VALUE"""),3.0)</f>
        <v>3</v>
      </c>
      <c r="AV172" s="3">
        <f>IFERROR(__xludf.DUMMYFUNCTION("""COMPUTED_VALUE"""),3.0)</f>
        <v>3</v>
      </c>
      <c r="AW172" s="3">
        <f>IFERROR(__xludf.DUMMYFUNCTION("""COMPUTED_VALUE"""),4.0)</f>
        <v>4</v>
      </c>
      <c r="AX172" s="3">
        <f>IFERROR(__xludf.DUMMYFUNCTION("""COMPUTED_VALUE"""),5.0)</f>
        <v>5</v>
      </c>
      <c r="AY172" s="3">
        <f>IFERROR(__xludf.DUMMYFUNCTION("""COMPUTED_VALUE"""),5.0)</f>
        <v>5</v>
      </c>
      <c r="AZ172" s="3">
        <f>IFERROR(__xludf.DUMMYFUNCTION("""COMPUTED_VALUE"""),5.0)</f>
        <v>5</v>
      </c>
      <c r="BA172" s="3">
        <f>IFERROR(__xludf.DUMMYFUNCTION("""COMPUTED_VALUE"""),5.0)</f>
        <v>5</v>
      </c>
      <c r="BB172" s="3">
        <f>IFERROR(__xludf.DUMMYFUNCTION("""COMPUTED_VALUE"""),5.0)</f>
        <v>5</v>
      </c>
      <c r="BC172" s="3">
        <f>IFERROR(__xludf.DUMMYFUNCTION("""COMPUTED_VALUE"""),5.0)</f>
        <v>5</v>
      </c>
      <c r="BD172" s="3">
        <f>IFERROR(__xludf.DUMMYFUNCTION("""COMPUTED_VALUE"""),5.0)</f>
        <v>5</v>
      </c>
      <c r="BE172" s="3">
        <f>IFERROR(__xludf.DUMMYFUNCTION("""COMPUTED_VALUE"""),6.0)</f>
        <v>6</v>
      </c>
      <c r="BF172" s="3">
        <f>IFERROR(__xludf.DUMMYFUNCTION("""COMPUTED_VALUE"""),8.0)</f>
        <v>8</v>
      </c>
      <c r="BG172" s="3">
        <f>IFERROR(__xludf.DUMMYFUNCTION("""COMPUTED_VALUE"""),8.0)</f>
        <v>8</v>
      </c>
      <c r="BH172" s="3">
        <f>IFERROR(__xludf.DUMMYFUNCTION("""COMPUTED_VALUE"""),12.0)</f>
        <v>12</v>
      </c>
      <c r="BI172" s="3">
        <f>IFERROR(__xludf.DUMMYFUNCTION("""COMPUTED_VALUE"""),20.0)</f>
        <v>20</v>
      </c>
      <c r="BJ172" s="3">
        <f>IFERROR(__xludf.DUMMYFUNCTION("""COMPUTED_VALUE"""),28.0)</f>
        <v>28</v>
      </c>
      <c r="BK172" s="3">
        <f>IFERROR(__xludf.DUMMYFUNCTION("""COMPUTED_VALUE"""),39.0)</f>
        <v>39</v>
      </c>
      <c r="BL172" s="3">
        <f>IFERROR(__xludf.DUMMYFUNCTION("""COMPUTED_VALUE"""),52.0)</f>
        <v>52</v>
      </c>
      <c r="BM172" s="3">
        <f>IFERROR(__xludf.DUMMYFUNCTION("""COMPUTED_VALUE"""),102.0)</f>
        <v>102</v>
      </c>
      <c r="BN172" s="3">
        <f>IFERROR(__xludf.DUMMYFUNCTION("""COMPUTED_VALUE"""),102.0)</f>
        <v>102</v>
      </c>
      <c r="BO172" s="3">
        <f>IFERROR(__xludf.DUMMYFUNCTION("""COMPUTED_VALUE"""),155.0)</f>
        <v>155</v>
      </c>
      <c r="BP172" s="3">
        <f>IFERROR(__xludf.DUMMYFUNCTION("""COMPUTED_VALUE"""),205.0)</f>
        <v>205</v>
      </c>
      <c r="BQ172" s="3">
        <f>IFERROR(__xludf.DUMMYFUNCTION("""COMPUTED_VALUE"""),283.0)</f>
        <v>283</v>
      </c>
      <c r="BR172" s="3">
        <f>IFERROR(__xludf.DUMMYFUNCTION("""COMPUTED_VALUE"""),368.0)</f>
        <v>368</v>
      </c>
      <c r="BS172" s="3">
        <f>IFERROR(__xludf.DUMMYFUNCTION("""COMPUTED_VALUE"""),451.0)</f>
        <v>451</v>
      </c>
      <c r="BT172" s="3">
        <f>IFERROR(__xludf.DUMMYFUNCTION("""COMPUTED_VALUE"""),514.0)</f>
        <v>514</v>
      </c>
      <c r="BU172" s="3">
        <f>IFERROR(__xludf.DUMMYFUNCTION("""COMPUTED_VALUE"""),589.0)</f>
        <v>589</v>
      </c>
      <c r="BV172" s="3">
        <f>IFERROR(__xludf.DUMMYFUNCTION("""COMPUTED_VALUE"""),647.0)</f>
        <v>647</v>
      </c>
      <c r="BW172" s="3">
        <f>IFERROR(__xludf.DUMMYFUNCTION("""COMPUTED_VALUE"""),708.0)</f>
        <v>708</v>
      </c>
      <c r="BX172" s="3">
        <f>IFERROR(__xludf.DUMMYFUNCTION("""COMPUTED_VALUE"""),797.0)</f>
        <v>797</v>
      </c>
      <c r="BY172" s="3">
        <f>IFERROR(__xludf.DUMMYFUNCTION("""COMPUTED_VALUE"""),868.0)</f>
        <v>868</v>
      </c>
      <c r="BZ172" s="3">
        <f>IFERROR(__xludf.DUMMYFUNCTION("""COMPUTED_VALUE"""),950.0)</f>
        <v>950</v>
      </c>
      <c r="CA172" s="3">
        <f>IFERROR(__xludf.DUMMYFUNCTION("""COMPUTED_VALUE"""),1039.0)</f>
        <v>1039</v>
      </c>
      <c r="CB172" s="3">
        <f>IFERROR(__xludf.DUMMYFUNCTION("""COMPUTED_VALUE"""),1106.0)</f>
        <v>1106</v>
      </c>
    </row>
    <row r="173">
      <c r="A173" s="3" t="str">
        <f>IFERROR(__xludf.DUMMYFUNCTION("""COMPUTED_VALUE"""),"")</f>
        <v/>
      </c>
      <c r="B173" s="3" t="str">
        <f>IFERROR(__xludf.DUMMYFUNCTION("""COMPUTED_VALUE"""),"Nicaragua")</f>
        <v>Nicaragua</v>
      </c>
      <c r="C173" s="3">
        <f>IFERROR(__xludf.DUMMYFUNCTION("""COMPUTED_VALUE"""),12.8654)</f>
        <v>12.8654</v>
      </c>
      <c r="D173" s="3">
        <f>IFERROR(__xludf.DUMMYFUNCTION("""COMPUTED_VALUE"""),-85.2072)</f>
        <v>-85.2072</v>
      </c>
      <c r="E173" s="3">
        <f>IFERROR(__xludf.DUMMYFUNCTION("""COMPUTED_VALUE"""),0.0)</f>
        <v>0</v>
      </c>
      <c r="F173" s="3">
        <f>IFERROR(__xludf.DUMMYFUNCTION("""COMPUTED_VALUE"""),0.0)</f>
        <v>0</v>
      </c>
      <c r="G173" s="3">
        <f>IFERROR(__xludf.DUMMYFUNCTION("""COMPUTED_VALUE"""),0.0)</f>
        <v>0</v>
      </c>
      <c r="H173" s="3">
        <f>IFERROR(__xludf.DUMMYFUNCTION("""COMPUTED_VALUE"""),0.0)</f>
        <v>0</v>
      </c>
      <c r="I173" s="3">
        <f>IFERROR(__xludf.DUMMYFUNCTION("""COMPUTED_VALUE"""),0.0)</f>
        <v>0</v>
      </c>
      <c r="J173" s="3">
        <f>IFERROR(__xludf.DUMMYFUNCTION("""COMPUTED_VALUE"""),0.0)</f>
        <v>0</v>
      </c>
      <c r="K173" s="3">
        <f>IFERROR(__xludf.DUMMYFUNCTION("""COMPUTED_VALUE"""),0.0)</f>
        <v>0</v>
      </c>
      <c r="L173" s="3">
        <f>IFERROR(__xludf.DUMMYFUNCTION("""COMPUTED_VALUE"""),0.0)</f>
        <v>0</v>
      </c>
      <c r="M173" s="3">
        <f>IFERROR(__xludf.DUMMYFUNCTION("""COMPUTED_VALUE"""),0.0)</f>
        <v>0</v>
      </c>
      <c r="N173" s="3">
        <f>IFERROR(__xludf.DUMMYFUNCTION("""COMPUTED_VALUE"""),0.0)</f>
        <v>0</v>
      </c>
      <c r="O173" s="3">
        <f>IFERROR(__xludf.DUMMYFUNCTION("""COMPUTED_VALUE"""),0.0)</f>
        <v>0</v>
      </c>
      <c r="P173" s="3">
        <f>IFERROR(__xludf.DUMMYFUNCTION("""COMPUTED_VALUE"""),0.0)</f>
        <v>0</v>
      </c>
      <c r="Q173" s="3">
        <f>IFERROR(__xludf.DUMMYFUNCTION("""COMPUTED_VALUE"""),0.0)</f>
        <v>0</v>
      </c>
      <c r="R173" s="3">
        <f>IFERROR(__xludf.DUMMYFUNCTION("""COMPUTED_VALUE"""),0.0)</f>
        <v>0</v>
      </c>
      <c r="S173" s="3">
        <f>IFERROR(__xludf.DUMMYFUNCTION("""COMPUTED_VALUE"""),0.0)</f>
        <v>0</v>
      </c>
      <c r="T173" s="3">
        <f>IFERROR(__xludf.DUMMYFUNCTION("""COMPUTED_VALUE"""),0.0)</f>
        <v>0</v>
      </c>
      <c r="U173" s="3">
        <f>IFERROR(__xludf.DUMMYFUNCTION("""COMPUTED_VALUE"""),0.0)</f>
        <v>0</v>
      </c>
      <c r="V173" s="3">
        <f>IFERROR(__xludf.DUMMYFUNCTION("""COMPUTED_VALUE"""),0.0)</f>
        <v>0</v>
      </c>
      <c r="W173" s="3">
        <f>IFERROR(__xludf.DUMMYFUNCTION("""COMPUTED_VALUE"""),0.0)</f>
        <v>0</v>
      </c>
      <c r="X173" s="3">
        <f>IFERROR(__xludf.DUMMYFUNCTION("""COMPUTED_VALUE"""),0.0)</f>
        <v>0</v>
      </c>
      <c r="Y173" s="3">
        <f>IFERROR(__xludf.DUMMYFUNCTION("""COMPUTED_VALUE"""),0.0)</f>
        <v>0</v>
      </c>
      <c r="Z173" s="3">
        <f>IFERROR(__xludf.DUMMYFUNCTION("""COMPUTED_VALUE"""),0.0)</f>
        <v>0</v>
      </c>
      <c r="AA173" s="3">
        <f>IFERROR(__xludf.DUMMYFUNCTION("""COMPUTED_VALUE"""),0.0)</f>
        <v>0</v>
      </c>
      <c r="AB173" s="3">
        <f>IFERROR(__xludf.DUMMYFUNCTION("""COMPUTED_VALUE"""),0.0)</f>
        <v>0</v>
      </c>
      <c r="AC173" s="3">
        <f>IFERROR(__xludf.DUMMYFUNCTION("""COMPUTED_VALUE"""),0.0)</f>
        <v>0</v>
      </c>
      <c r="AD173" s="3">
        <f>IFERROR(__xludf.DUMMYFUNCTION("""COMPUTED_VALUE"""),0.0)</f>
        <v>0</v>
      </c>
      <c r="AE173" s="3">
        <f>IFERROR(__xludf.DUMMYFUNCTION("""COMPUTED_VALUE"""),0.0)</f>
        <v>0</v>
      </c>
      <c r="AF173" s="3">
        <f>IFERROR(__xludf.DUMMYFUNCTION("""COMPUTED_VALUE"""),0.0)</f>
        <v>0</v>
      </c>
      <c r="AG173" s="3">
        <f>IFERROR(__xludf.DUMMYFUNCTION("""COMPUTED_VALUE"""),0.0)</f>
        <v>0</v>
      </c>
      <c r="AH173" s="3">
        <f>IFERROR(__xludf.DUMMYFUNCTION("""COMPUTED_VALUE"""),0.0)</f>
        <v>0</v>
      </c>
      <c r="AI173" s="3">
        <f>IFERROR(__xludf.DUMMYFUNCTION("""COMPUTED_VALUE"""),0.0)</f>
        <v>0</v>
      </c>
      <c r="AJ173" s="3">
        <f>IFERROR(__xludf.DUMMYFUNCTION("""COMPUTED_VALUE"""),0.0)</f>
        <v>0</v>
      </c>
      <c r="AK173" s="3">
        <f>IFERROR(__xludf.DUMMYFUNCTION("""COMPUTED_VALUE"""),0.0)</f>
        <v>0</v>
      </c>
      <c r="AL173" s="3">
        <f>IFERROR(__xludf.DUMMYFUNCTION("""COMPUTED_VALUE"""),0.0)</f>
        <v>0</v>
      </c>
      <c r="AM173" s="3">
        <f>IFERROR(__xludf.DUMMYFUNCTION("""COMPUTED_VALUE"""),0.0)</f>
        <v>0</v>
      </c>
      <c r="AN173" s="3">
        <f>IFERROR(__xludf.DUMMYFUNCTION("""COMPUTED_VALUE"""),0.0)</f>
        <v>0</v>
      </c>
      <c r="AO173" s="3">
        <f>IFERROR(__xludf.DUMMYFUNCTION("""COMPUTED_VALUE"""),0.0)</f>
        <v>0</v>
      </c>
      <c r="AP173" s="3">
        <f>IFERROR(__xludf.DUMMYFUNCTION("""COMPUTED_VALUE"""),0.0)</f>
        <v>0</v>
      </c>
      <c r="AQ173" s="3">
        <f>IFERROR(__xludf.DUMMYFUNCTION("""COMPUTED_VALUE"""),0.0)</f>
        <v>0</v>
      </c>
      <c r="AR173" s="3">
        <f>IFERROR(__xludf.DUMMYFUNCTION("""COMPUTED_VALUE"""),0.0)</f>
        <v>0</v>
      </c>
      <c r="AS173" s="3">
        <f>IFERROR(__xludf.DUMMYFUNCTION("""COMPUTED_VALUE"""),0.0)</f>
        <v>0</v>
      </c>
      <c r="AT173" s="3">
        <f>IFERROR(__xludf.DUMMYFUNCTION("""COMPUTED_VALUE"""),0.0)</f>
        <v>0</v>
      </c>
      <c r="AU173" s="3">
        <f>IFERROR(__xludf.DUMMYFUNCTION("""COMPUTED_VALUE"""),0.0)</f>
        <v>0</v>
      </c>
      <c r="AV173" s="3">
        <f>IFERROR(__xludf.DUMMYFUNCTION("""COMPUTED_VALUE"""),0.0)</f>
        <v>0</v>
      </c>
      <c r="AW173" s="3">
        <f>IFERROR(__xludf.DUMMYFUNCTION("""COMPUTED_VALUE"""),0.0)</f>
        <v>0</v>
      </c>
      <c r="AX173" s="3">
        <f>IFERROR(__xludf.DUMMYFUNCTION("""COMPUTED_VALUE"""),0.0)</f>
        <v>0</v>
      </c>
      <c r="AY173" s="3">
        <f>IFERROR(__xludf.DUMMYFUNCTION("""COMPUTED_VALUE"""),0.0)</f>
        <v>0</v>
      </c>
      <c r="AZ173" s="3">
        <f>IFERROR(__xludf.DUMMYFUNCTION("""COMPUTED_VALUE"""),0.0)</f>
        <v>0</v>
      </c>
      <c r="BA173" s="3">
        <f>IFERROR(__xludf.DUMMYFUNCTION("""COMPUTED_VALUE"""),0.0)</f>
        <v>0</v>
      </c>
      <c r="BB173" s="3">
        <f>IFERROR(__xludf.DUMMYFUNCTION("""COMPUTED_VALUE"""),0.0)</f>
        <v>0</v>
      </c>
      <c r="BC173" s="3">
        <f>IFERROR(__xludf.DUMMYFUNCTION("""COMPUTED_VALUE"""),0.0)</f>
        <v>0</v>
      </c>
      <c r="BD173" s="3">
        <f>IFERROR(__xludf.DUMMYFUNCTION("""COMPUTED_VALUE"""),0.0)</f>
        <v>0</v>
      </c>
      <c r="BE173" s="3">
        <f>IFERROR(__xludf.DUMMYFUNCTION("""COMPUTED_VALUE"""),0.0)</f>
        <v>0</v>
      </c>
      <c r="BF173" s="3">
        <f>IFERROR(__xludf.DUMMYFUNCTION("""COMPUTED_VALUE"""),0.0)</f>
        <v>0</v>
      </c>
      <c r="BG173" s="3">
        <f>IFERROR(__xludf.DUMMYFUNCTION("""COMPUTED_VALUE"""),0.0)</f>
        <v>0</v>
      </c>
      <c r="BH173" s="3">
        <f>IFERROR(__xludf.DUMMYFUNCTION("""COMPUTED_VALUE"""),0.0)</f>
        <v>0</v>
      </c>
      <c r="BI173" s="3">
        <f>IFERROR(__xludf.DUMMYFUNCTION("""COMPUTED_VALUE"""),0.0)</f>
        <v>0</v>
      </c>
      <c r="BJ173" s="3">
        <f>IFERROR(__xludf.DUMMYFUNCTION("""COMPUTED_VALUE"""),1.0)</f>
        <v>1</v>
      </c>
      <c r="BK173" s="3">
        <f>IFERROR(__xludf.DUMMYFUNCTION("""COMPUTED_VALUE"""),1.0)</f>
        <v>1</v>
      </c>
      <c r="BL173" s="3">
        <f>IFERROR(__xludf.DUMMYFUNCTION("""COMPUTED_VALUE"""),2.0)</f>
        <v>2</v>
      </c>
      <c r="BM173" s="3">
        <f>IFERROR(__xludf.DUMMYFUNCTION("""COMPUTED_VALUE"""),2.0)</f>
        <v>2</v>
      </c>
      <c r="BN173" s="3">
        <f>IFERROR(__xludf.DUMMYFUNCTION("""COMPUTED_VALUE"""),2.0)</f>
        <v>2</v>
      </c>
      <c r="BO173" s="3">
        <f>IFERROR(__xludf.DUMMYFUNCTION("""COMPUTED_VALUE"""),2.0)</f>
        <v>2</v>
      </c>
      <c r="BP173" s="3">
        <f>IFERROR(__xludf.DUMMYFUNCTION("""COMPUTED_VALUE"""),2.0)</f>
        <v>2</v>
      </c>
      <c r="BQ173" s="3">
        <f>IFERROR(__xludf.DUMMYFUNCTION("""COMPUTED_VALUE"""),2.0)</f>
        <v>2</v>
      </c>
      <c r="BR173" s="3">
        <f>IFERROR(__xludf.DUMMYFUNCTION("""COMPUTED_VALUE"""),2.0)</f>
        <v>2</v>
      </c>
      <c r="BS173" s="3">
        <f>IFERROR(__xludf.DUMMYFUNCTION("""COMPUTED_VALUE"""),4.0)</f>
        <v>4</v>
      </c>
      <c r="BT173" s="3">
        <f>IFERROR(__xludf.DUMMYFUNCTION("""COMPUTED_VALUE"""),4.0)</f>
        <v>4</v>
      </c>
      <c r="BU173" s="3">
        <f>IFERROR(__xludf.DUMMYFUNCTION("""COMPUTED_VALUE"""),4.0)</f>
        <v>4</v>
      </c>
      <c r="BV173" s="3">
        <f>IFERROR(__xludf.DUMMYFUNCTION("""COMPUTED_VALUE"""),5.0)</f>
        <v>5</v>
      </c>
      <c r="BW173" s="3">
        <f>IFERROR(__xludf.DUMMYFUNCTION("""COMPUTED_VALUE"""),5.0)</f>
        <v>5</v>
      </c>
      <c r="BX173" s="3">
        <f>IFERROR(__xludf.DUMMYFUNCTION("""COMPUTED_VALUE"""),5.0)</f>
        <v>5</v>
      </c>
      <c r="BY173" s="3">
        <f>IFERROR(__xludf.DUMMYFUNCTION("""COMPUTED_VALUE"""),5.0)</f>
        <v>5</v>
      </c>
      <c r="BZ173" s="3">
        <f>IFERROR(__xludf.DUMMYFUNCTION("""COMPUTED_VALUE"""),5.0)</f>
        <v>5</v>
      </c>
      <c r="CA173" s="3">
        <f>IFERROR(__xludf.DUMMYFUNCTION("""COMPUTED_VALUE"""),6.0)</f>
        <v>6</v>
      </c>
      <c r="CB173" s="3">
        <f>IFERROR(__xludf.DUMMYFUNCTION("""COMPUTED_VALUE"""),6.0)</f>
        <v>6</v>
      </c>
    </row>
    <row r="174">
      <c r="A174" s="3" t="str">
        <f>IFERROR(__xludf.DUMMYFUNCTION("""COMPUTED_VALUE"""),"")</f>
        <v/>
      </c>
      <c r="B174" s="3" t="str">
        <f>IFERROR(__xludf.DUMMYFUNCTION("""COMPUTED_VALUE"""),"Niger")</f>
        <v>Niger</v>
      </c>
      <c r="C174" s="3">
        <f>IFERROR(__xludf.DUMMYFUNCTION("""COMPUTED_VALUE"""),17.6078)</f>
        <v>17.6078</v>
      </c>
      <c r="D174" s="3">
        <f>IFERROR(__xludf.DUMMYFUNCTION("""COMPUTED_VALUE"""),8.0817)</f>
        <v>8.0817</v>
      </c>
      <c r="E174" s="3">
        <f>IFERROR(__xludf.DUMMYFUNCTION("""COMPUTED_VALUE"""),0.0)</f>
        <v>0</v>
      </c>
      <c r="F174" s="3">
        <f>IFERROR(__xludf.DUMMYFUNCTION("""COMPUTED_VALUE"""),0.0)</f>
        <v>0</v>
      </c>
      <c r="G174" s="3">
        <f>IFERROR(__xludf.DUMMYFUNCTION("""COMPUTED_VALUE"""),0.0)</f>
        <v>0</v>
      </c>
      <c r="H174" s="3">
        <f>IFERROR(__xludf.DUMMYFUNCTION("""COMPUTED_VALUE"""),0.0)</f>
        <v>0</v>
      </c>
      <c r="I174" s="3">
        <f>IFERROR(__xludf.DUMMYFUNCTION("""COMPUTED_VALUE"""),0.0)</f>
        <v>0</v>
      </c>
      <c r="J174" s="3">
        <f>IFERROR(__xludf.DUMMYFUNCTION("""COMPUTED_VALUE"""),0.0)</f>
        <v>0</v>
      </c>
      <c r="K174" s="3">
        <f>IFERROR(__xludf.DUMMYFUNCTION("""COMPUTED_VALUE"""),0.0)</f>
        <v>0</v>
      </c>
      <c r="L174" s="3">
        <f>IFERROR(__xludf.DUMMYFUNCTION("""COMPUTED_VALUE"""),0.0)</f>
        <v>0</v>
      </c>
      <c r="M174" s="3">
        <f>IFERROR(__xludf.DUMMYFUNCTION("""COMPUTED_VALUE"""),0.0)</f>
        <v>0</v>
      </c>
      <c r="N174" s="3">
        <f>IFERROR(__xludf.DUMMYFUNCTION("""COMPUTED_VALUE"""),0.0)</f>
        <v>0</v>
      </c>
      <c r="O174" s="3">
        <f>IFERROR(__xludf.DUMMYFUNCTION("""COMPUTED_VALUE"""),0.0)</f>
        <v>0</v>
      </c>
      <c r="P174" s="3">
        <f>IFERROR(__xludf.DUMMYFUNCTION("""COMPUTED_VALUE"""),0.0)</f>
        <v>0</v>
      </c>
      <c r="Q174" s="3">
        <f>IFERROR(__xludf.DUMMYFUNCTION("""COMPUTED_VALUE"""),0.0)</f>
        <v>0</v>
      </c>
      <c r="R174" s="3">
        <f>IFERROR(__xludf.DUMMYFUNCTION("""COMPUTED_VALUE"""),0.0)</f>
        <v>0</v>
      </c>
      <c r="S174" s="3">
        <f>IFERROR(__xludf.DUMMYFUNCTION("""COMPUTED_VALUE"""),0.0)</f>
        <v>0</v>
      </c>
      <c r="T174" s="3">
        <f>IFERROR(__xludf.DUMMYFUNCTION("""COMPUTED_VALUE"""),0.0)</f>
        <v>0</v>
      </c>
      <c r="U174" s="3">
        <f>IFERROR(__xludf.DUMMYFUNCTION("""COMPUTED_VALUE"""),0.0)</f>
        <v>0</v>
      </c>
      <c r="V174" s="3">
        <f>IFERROR(__xludf.DUMMYFUNCTION("""COMPUTED_VALUE"""),0.0)</f>
        <v>0</v>
      </c>
      <c r="W174" s="3">
        <f>IFERROR(__xludf.DUMMYFUNCTION("""COMPUTED_VALUE"""),0.0)</f>
        <v>0</v>
      </c>
      <c r="X174" s="3">
        <f>IFERROR(__xludf.DUMMYFUNCTION("""COMPUTED_VALUE"""),0.0)</f>
        <v>0</v>
      </c>
      <c r="Y174" s="3">
        <f>IFERROR(__xludf.DUMMYFUNCTION("""COMPUTED_VALUE"""),0.0)</f>
        <v>0</v>
      </c>
      <c r="Z174" s="3">
        <f>IFERROR(__xludf.DUMMYFUNCTION("""COMPUTED_VALUE"""),0.0)</f>
        <v>0</v>
      </c>
      <c r="AA174" s="3">
        <f>IFERROR(__xludf.DUMMYFUNCTION("""COMPUTED_VALUE"""),0.0)</f>
        <v>0</v>
      </c>
      <c r="AB174" s="3">
        <f>IFERROR(__xludf.DUMMYFUNCTION("""COMPUTED_VALUE"""),0.0)</f>
        <v>0</v>
      </c>
      <c r="AC174" s="3">
        <f>IFERROR(__xludf.DUMMYFUNCTION("""COMPUTED_VALUE"""),0.0)</f>
        <v>0</v>
      </c>
      <c r="AD174" s="3">
        <f>IFERROR(__xludf.DUMMYFUNCTION("""COMPUTED_VALUE"""),0.0)</f>
        <v>0</v>
      </c>
      <c r="AE174" s="3">
        <f>IFERROR(__xludf.DUMMYFUNCTION("""COMPUTED_VALUE"""),0.0)</f>
        <v>0</v>
      </c>
      <c r="AF174" s="3">
        <f>IFERROR(__xludf.DUMMYFUNCTION("""COMPUTED_VALUE"""),0.0)</f>
        <v>0</v>
      </c>
      <c r="AG174" s="3">
        <f>IFERROR(__xludf.DUMMYFUNCTION("""COMPUTED_VALUE"""),0.0)</f>
        <v>0</v>
      </c>
      <c r="AH174" s="3">
        <f>IFERROR(__xludf.DUMMYFUNCTION("""COMPUTED_VALUE"""),0.0)</f>
        <v>0</v>
      </c>
      <c r="AI174" s="3">
        <f>IFERROR(__xludf.DUMMYFUNCTION("""COMPUTED_VALUE"""),0.0)</f>
        <v>0</v>
      </c>
      <c r="AJ174" s="3">
        <f>IFERROR(__xludf.DUMMYFUNCTION("""COMPUTED_VALUE"""),0.0)</f>
        <v>0</v>
      </c>
      <c r="AK174" s="3">
        <f>IFERROR(__xludf.DUMMYFUNCTION("""COMPUTED_VALUE"""),0.0)</f>
        <v>0</v>
      </c>
      <c r="AL174" s="3">
        <f>IFERROR(__xludf.DUMMYFUNCTION("""COMPUTED_VALUE"""),0.0)</f>
        <v>0</v>
      </c>
      <c r="AM174" s="3">
        <f>IFERROR(__xludf.DUMMYFUNCTION("""COMPUTED_VALUE"""),0.0)</f>
        <v>0</v>
      </c>
      <c r="AN174" s="3">
        <f>IFERROR(__xludf.DUMMYFUNCTION("""COMPUTED_VALUE"""),0.0)</f>
        <v>0</v>
      </c>
      <c r="AO174" s="3">
        <f>IFERROR(__xludf.DUMMYFUNCTION("""COMPUTED_VALUE"""),0.0)</f>
        <v>0</v>
      </c>
      <c r="AP174" s="3">
        <f>IFERROR(__xludf.DUMMYFUNCTION("""COMPUTED_VALUE"""),0.0)</f>
        <v>0</v>
      </c>
      <c r="AQ174" s="3">
        <f>IFERROR(__xludf.DUMMYFUNCTION("""COMPUTED_VALUE"""),0.0)</f>
        <v>0</v>
      </c>
      <c r="AR174" s="3">
        <f>IFERROR(__xludf.DUMMYFUNCTION("""COMPUTED_VALUE"""),0.0)</f>
        <v>0</v>
      </c>
      <c r="AS174" s="3">
        <f>IFERROR(__xludf.DUMMYFUNCTION("""COMPUTED_VALUE"""),0.0)</f>
        <v>0</v>
      </c>
      <c r="AT174" s="3">
        <f>IFERROR(__xludf.DUMMYFUNCTION("""COMPUTED_VALUE"""),0.0)</f>
        <v>0</v>
      </c>
      <c r="AU174" s="3">
        <f>IFERROR(__xludf.DUMMYFUNCTION("""COMPUTED_VALUE"""),0.0)</f>
        <v>0</v>
      </c>
      <c r="AV174" s="3">
        <f>IFERROR(__xludf.DUMMYFUNCTION("""COMPUTED_VALUE"""),0.0)</f>
        <v>0</v>
      </c>
      <c r="AW174" s="3">
        <f>IFERROR(__xludf.DUMMYFUNCTION("""COMPUTED_VALUE"""),0.0)</f>
        <v>0</v>
      </c>
      <c r="AX174" s="3">
        <f>IFERROR(__xludf.DUMMYFUNCTION("""COMPUTED_VALUE"""),0.0)</f>
        <v>0</v>
      </c>
      <c r="AY174" s="3">
        <f>IFERROR(__xludf.DUMMYFUNCTION("""COMPUTED_VALUE"""),0.0)</f>
        <v>0</v>
      </c>
      <c r="AZ174" s="3">
        <f>IFERROR(__xludf.DUMMYFUNCTION("""COMPUTED_VALUE"""),0.0)</f>
        <v>0</v>
      </c>
      <c r="BA174" s="3">
        <f>IFERROR(__xludf.DUMMYFUNCTION("""COMPUTED_VALUE"""),0.0)</f>
        <v>0</v>
      </c>
      <c r="BB174" s="3">
        <f>IFERROR(__xludf.DUMMYFUNCTION("""COMPUTED_VALUE"""),0.0)</f>
        <v>0</v>
      </c>
      <c r="BC174" s="3">
        <f>IFERROR(__xludf.DUMMYFUNCTION("""COMPUTED_VALUE"""),0.0)</f>
        <v>0</v>
      </c>
      <c r="BD174" s="3">
        <f>IFERROR(__xludf.DUMMYFUNCTION("""COMPUTED_VALUE"""),0.0)</f>
        <v>0</v>
      </c>
      <c r="BE174" s="3">
        <f>IFERROR(__xludf.DUMMYFUNCTION("""COMPUTED_VALUE"""),0.0)</f>
        <v>0</v>
      </c>
      <c r="BF174" s="3">
        <f>IFERROR(__xludf.DUMMYFUNCTION("""COMPUTED_VALUE"""),0.0)</f>
        <v>0</v>
      </c>
      <c r="BG174" s="3">
        <f>IFERROR(__xludf.DUMMYFUNCTION("""COMPUTED_VALUE"""),0.0)</f>
        <v>0</v>
      </c>
      <c r="BH174" s="3">
        <f>IFERROR(__xludf.DUMMYFUNCTION("""COMPUTED_VALUE"""),0.0)</f>
        <v>0</v>
      </c>
      <c r="BI174" s="3">
        <f>IFERROR(__xludf.DUMMYFUNCTION("""COMPUTED_VALUE"""),0.0)</f>
        <v>0</v>
      </c>
      <c r="BJ174" s="3">
        <f>IFERROR(__xludf.DUMMYFUNCTION("""COMPUTED_VALUE"""),0.0)</f>
        <v>0</v>
      </c>
      <c r="BK174" s="3">
        <f>IFERROR(__xludf.DUMMYFUNCTION("""COMPUTED_VALUE"""),1.0)</f>
        <v>1</v>
      </c>
      <c r="BL174" s="3">
        <f>IFERROR(__xludf.DUMMYFUNCTION("""COMPUTED_VALUE"""),1.0)</f>
        <v>1</v>
      </c>
      <c r="BM174" s="3">
        <f>IFERROR(__xludf.DUMMYFUNCTION("""COMPUTED_VALUE"""),2.0)</f>
        <v>2</v>
      </c>
      <c r="BN174" s="3">
        <f>IFERROR(__xludf.DUMMYFUNCTION("""COMPUTED_VALUE"""),3.0)</f>
        <v>3</v>
      </c>
      <c r="BO174" s="3">
        <f>IFERROR(__xludf.DUMMYFUNCTION("""COMPUTED_VALUE"""),3.0)</f>
        <v>3</v>
      </c>
      <c r="BP174" s="3">
        <f>IFERROR(__xludf.DUMMYFUNCTION("""COMPUTED_VALUE"""),7.0)</f>
        <v>7</v>
      </c>
      <c r="BQ174" s="3">
        <f>IFERROR(__xludf.DUMMYFUNCTION("""COMPUTED_VALUE"""),10.0)</f>
        <v>10</v>
      </c>
      <c r="BR174" s="3">
        <f>IFERROR(__xludf.DUMMYFUNCTION("""COMPUTED_VALUE"""),10.0)</f>
        <v>10</v>
      </c>
      <c r="BS174" s="3">
        <f>IFERROR(__xludf.DUMMYFUNCTION("""COMPUTED_VALUE"""),10.0)</f>
        <v>10</v>
      </c>
      <c r="BT174" s="3">
        <f>IFERROR(__xludf.DUMMYFUNCTION("""COMPUTED_VALUE"""),18.0)</f>
        <v>18</v>
      </c>
      <c r="BU174" s="3">
        <f>IFERROR(__xludf.DUMMYFUNCTION("""COMPUTED_VALUE"""),27.0)</f>
        <v>27</v>
      </c>
      <c r="BV174" s="3">
        <f>IFERROR(__xludf.DUMMYFUNCTION("""COMPUTED_VALUE"""),27.0)</f>
        <v>27</v>
      </c>
      <c r="BW174" s="3">
        <f>IFERROR(__xludf.DUMMYFUNCTION("""COMPUTED_VALUE"""),74.0)</f>
        <v>74</v>
      </c>
      <c r="BX174" s="3">
        <f>IFERROR(__xludf.DUMMYFUNCTION("""COMPUTED_VALUE"""),98.0)</f>
        <v>98</v>
      </c>
      <c r="BY174" s="3">
        <f>IFERROR(__xludf.DUMMYFUNCTION("""COMPUTED_VALUE"""),120.0)</f>
        <v>120</v>
      </c>
      <c r="BZ174" s="3">
        <f>IFERROR(__xludf.DUMMYFUNCTION("""COMPUTED_VALUE"""),144.0)</f>
        <v>144</v>
      </c>
      <c r="CA174" s="3">
        <f>IFERROR(__xludf.DUMMYFUNCTION("""COMPUTED_VALUE"""),184.0)</f>
        <v>184</v>
      </c>
      <c r="CB174" s="3">
        <f>IFERROR(__xludf.DUMMYFUNCTION("""COMPUTED_VALUE"""),253.0)</f>
        <v>253</v>
      </c>
    </row>
    <row r="175">
      <c r="A175" s="3" t="str">
        <f>IFERROR(__xludf.DUMMYFUNCTION("""COMPUTED_VALUE"""),"")</f>
        <v/>
      </c>
      <c r="B175" s="3" t="str">
        <f>IFERROR(__xludf.DUMMYFUNCTION("""COMPUTED_VALUE"""),"Nigeria")</f>
        <v>Nigeria</v>
      </c>
      <c r="C175" s="3">
        <f>IFERROR(__xludf.DUMMYFUNCTION("""COMPUTED_VALUE"""),9.082)</f>
        <v>9.082</v>
      </c>
      <c r="D175" s="3">
        <f>IFERROR(__xludf.DUMMYFUNCTION("""COMPUTED_VALUE"""),8.6753)</f>
        <v>8.6753</v>
      </c>
      <c r="E175" s="3">
        <f>IFERROR(__xludf.DUMMYFUNCTION("""COMPUTED_VALUE"""),0.0)</f>
        <v>0</v>
      </c>
      <c r="F175" s="3">
        <f>IFERROR(__xludf.DUMMYFUNCTION("""COMPUTED_VALUE"""),0.0)</f>
        <v>0</v>
      </c>
      <c r="G175" s="3">
        <f>IFERROR(__xludf.DUMMYFUNCTION("""COMPUTED_VALUE"""),0.0)</f>
        <v>0</v>
      </c>
      <c r="H175" s="3">
        <f>IFERROR(__xludf.DUMMYFUNCTION("""COMPUTED_VALUE"""),0.0)</f>
        <v>0</v>
      </c>
      <c r="I175" s="3">
        <f>IFERROR(__xludf.DUMMYFUNCTION("""COMPUTED_VALUE"""),0.0)</f>
        <v>0</v>
      </c>
      <c r="J175" s="3">
        <f>IFERROR(__xludf.DUMMYFUNCTION("""COMPUTED_VALUE"""),0.0)</f>
        <v>0</v>
      </c>
      <c r="K175" s="3">
        <f>IFERROR(__xludf.DUMMYFUNCTION("""COMPUTED_VALUE"""),0.0)</f>
        <v>0</v>
      </c>
      <c r="L175" s="3">
        <f>IFERROR(__xludf.DUMMYFUNCTION("""COMPUTED_VALUE"""),0.0)</f>
        <v>0</v>
      </c>
      <c r="M175" s="3">
        <f>IFERROR(__xludf.DUMMYFUNCTION("""COMPUTED_VALUE"""),0.0)</f>
        <v>0</v>
      </c>
      <c r="N175" s="3">
        <f>IFERROR(__xludf.DUMMYFUNCTION("""COMPUTED_VALUE"""),0.0)</f>
        <v>0</v>
      </c>
      <c r="O175" s="3">
        <f>IFERROR(__xludf.DUMMYFUNCTION("""COMPUTED_VALUE"""),0.0)</f>
        <v>0</v>
      </c>
      <c r="P175" s="3">
        <f>IFERROR(__xludf.DUMMYFUNCTION("""COMPUTED_VALUE"""),0.0)</f>
        <v>0</v>
      </c>
      <c r="Q175" s="3">
        <f>IFERROR(__xludf.DUMMYFUNCTION("""COMPUTED_VALUE"""),0.0)</f>
        <v>0</v>
      </c>
      <c r="R175" s="3">
        <f>IFERROR(__xludf.DUMMYFUNCTION("""COMPUTED_VALUE"""),0.0)</f>
        <v>0</v>
      </c>
      <c r="S175" s="3">
        <f>IFERROR(__xludf.DUMMYFUNCTION("""COMPUTED_VALUE"""),0.0)</f>
        <v>0</v>
      </c>
      <c r="T175" s="3">
        <f>IFERROR(__xludf.DUMMYFUNCTION("""COMPUTED_VALUE"""),0.0)</f>
        <v>0</v>
      </c>
      <c r="U175" s="3">
        <f>IFERROR(__xludf.DUMMYFUNCTION("""COMPUTED_VALUE"""),0.0)</f>
        <v>0</v>
      </c>
      <c r="V175" s="3">
        <f>IFERROR(__xludf.DUMMYFUNCTION("""COMPUTED_VALUE"""),0.0)</f>
        <v>0</v>
      </c>
      <c r="W175" s="3">
        <f>IFERROR(__xludf.DUMMYFUNCTION("""COMPUTED_VALUE"""),0.0)</f>
        <v>0</v>
      </c>
      <c r="X175" s="3">
        <f>IFERROR(__xludf.DUMMYFUNCTION("""COMPUTED_VALUE"""),0.0)</f>
        <v>0</v>
      </c>
      <c r="Y175" s="3">
        <f>IFERROR(__xludf.DUMMYFUNCTION("""COMPUTED_VALUE"""),0.0)</f>
        <v>0</v>
      </c>
      <c r="Z175" s="3">
        <f>IFERROR(__xludf.DUMMYFUNCTION("""COMPUTED_VALUE"""),0.0)</f>
        <v>0</v>
      </c>
      <c r="AA175" s="3">
        <f>IFERROR(__xludf.DUMMYFUNCTION("""COMPUTED_VALUE"""),0.0)</f>
        <v>0</v>
      </c>
      <c r="AB175" s="3">
        <f>IFERROR(__xludf.DUMMYFUNCTION("""COMPUTED_VALUE"""),0.0)</f>
        <v>0</v>
      </c>
      <c r="AC175" s="3">
        <f>IFERROR(__xludf.DUMMYFUNCTION("""COMPUTED_VALUE"""),0.0)</f>
        <v>0</v>
      </c>
      <c r="AD175" s="3">
        <f>IFERROR(__xludf.DUMMYFUNCTION("""COMPUTED_VALUE"""),0.0)</f>
        <v>0</v>
      </c>
      <c r="AE175" s="3">
        <f>IFERROR(__xludf.DUMMYFUNCTION("""COMPUTED_VALUE"""),0.0)</f>
        <v>0</v>
      </c>
      <c r="AF175" s="3">
        <f>IFERROR(__xludf.DUMMYFUNCTION("""COMPUTED_VALUE"""),0.0)</f>
        <v>0</v>
      </c>
      <c r="AG175" s="3">
        <f>IFERROR(__xludf.DUMMYFUNCTION("""COMPUTED_VALUE"""),0.0)</f>
        <v>0</v>
      </c>
      <c r="AH175" s="3">
        <f>IFERROR(__xludf.DUMMYFUNCTION("""COMPUTED_VALUE"""),0.0)</f>
        <v>0</v>
      </c>
      <c r="AI175" s="3">
        <f>IFERROR(__xludf.DUMMYFUNCTION("""COMPUTED_VALUE"""),0.0)</f>
        <v>0</v>
      </c>
      <c r="AJ175" s="3">
        <f>IFERROR(__xludf.DUMMYFUNCTION("""COMPUTED_VALUE"""),0.0)</f>
        <v>0</v>
      </c>
      <c r="AK175" s="3">
        <f>IFERROR(__xludf.DUMMYFUNCTION("""COMPUTED_VALUE"""),0.0)</f>
        <v>0</v>
      </c>
      <c r="AL175" s="3">
        <f>IFERROR(__xludf.DUMMYFUNCTION("""COMPUTED_VALUE"""),0.0)</f>
        <v>0</v>
      </c>
      <c r="AM175" s="3">
        <f>IFERROR(__xludf.DUMMYFUNCTION("""COMPUTED_VALUE"""),0.0)</f>
        <v>0</v>
      </c>
      <c r="AN175" s="3">
        <f>IFERROR(__xludf.DUMMYFUNCTION("""COMPUTED_VALUE"""),0.0)</f>
        <v>0</v>
      </c>
      <c r="AO175" s="3">
        <f>IFERROR(__xludf.DUMMYFUNCTION("""COMPUTED_VALUE"""),0.0)</f>
        <v>0</v>
      </c>
      <c r="AP175" s="3">
        <f>IFERROR(__xludf.DUMMYFUNCTION("""COMPUTED_VALUE"""),1.0)</f>
        <v>1</v>
      </c>
      <c r="AQ175" s="3">
        <f>IFERROR(__xludf.DUMMYFUNCTION("""COMPUTED_VALUE"""),1.0)</f>
        <v>1</v>
      </c>
      <c r="AR175" s="3">
        <f>IFERROR(__xludf.DUMMYFUNCTION("""COMPUTED_VALUE"""),1.0)</f>
        <v>1</v>
      </c>
      <c r="AS175" s="3">
        <f>IFERROR(__xludf.DUMMYFUNCTION("""COMPUTED_VALUE"""),1.0)</f>
        <v>1</v>
      </c>
      <c r="AT175" s="3">
        <f>IFERROR(__xludf.DUMMYFUNCTION("""COMPUTED_VALUE"""),1.0)</f>
        <v>1</v>
      </c>
      <c r="AU175" s="3">
        <f>IFERROR(__xludf.DUMMYFUNCTION("""COMPUTED_VALUE"""),1.0)</f>
        <v>1</v>
      </c>
      <c r="AV175" s="3">
        <f>IFERROR(__xludf.DUMMYFUNCTION("""COMPUTED_VALUE"""),1.0)</f>
        <v>1</v>
      </c>
      <c r="AW175" s="3">
        <f>IFERROR(__xludf.DUMMYFUNCTION("""COMPUTED_VALUE"""),1.0)</f>
        <v>1</v>
      </c>
      <c r="AX175" s="3">
        <f>IFERROR(__xludf.DUMMYFUNCTION("""COMPUTED_VALUE"""),1.0)</f>
        <v>1</v>
      </c>
      <c r="AY175" s="3">
        <f>IFERROR(__xludf.DUMMYFUNCTION("""COMPUTED_VALUE"""),1.0)</f>
        <v>1</v>
      </c>
      <c r="AZ175" s="3">
        <f>IFERROR(__xludf.DUMMYFUNCTION("""COMPUTED_VALUE"""),2.0)</f>
        <v>2</v>
      </c>
      <c r="BA175" s="3">
        <f>IFERROR(__xludf.DUMMYFUNCTION("""COMPUTED_VALUE"""),2.0)</f>
        <v>2</v>
      </c>
      <c r="BB175" s="3">
        <f>IFERROR(__xludf.DUMMYFUNCTION("""COMPUTED_VALUE"""),2.0)</f>
        <v>2</v>
      </c>
      <c r="BC175" s="3">
        <f>IFERROR(__xludf.DUMMYFUNCTION("""COMPUTED_VALUE"""),2.0)</f>
        <v>2</v>
      </c>
      <c r="BD175" s="3">
        <f>IFERROR(__xludf.DUMMYFUNCTION("""COMPUTED_VALUE"""),2.0)</f>
        <v>2</v>
      </c>
      <c r="BE175" s="3">
        <f>IFERROR(__xludf.DUMMYFUNCTION("""COMPUTED_VALUE"""),2.0)</f>
        <v>2</v>
      </c>
      <c r="BF175" s="3">
        <f>IFERROR(__xludf.DUMMYFUNCTION("""COMPUTED_VALUE"""),2.0)</f>
        <v>2</v>
      </c>
      <c r="BG175" s="3">
        <f>IFERROR(__xludf.DUMMYFUNCTION("""COMPUTED_VALUE"""),2.0)</f>
        <v>2</v>
      </c>
      <c r="BH175" s="3">
        <f>IFERROR(__xludf.DUMMYFUNCTION("""COMPUTED_VALUE"""),3.0)</f>
        <v>3</v>
      </c>
      <c r="BI175" s="3">
        <f>IFERROR(__xludf.DUMMYFUNCTION("""COMPUTED_VALUE"""),8.0)</f>
        <v>8</v>
      </c>
      <c r="BJ175" s="3">
        <f>IFERROR(__xludf.DUMMYFUNCTION("""COMPUTED_VALUE"""),8.0)</f>
        <v>8</v>
      </c>
      <c r="BK175" s="3">
        <f>IFERROR(__xludf.DUMMYFUNCTION("""COMPUTED_VALUE"""),12.0)</f>
        <v>12</v>
      </c>
      <c r="BL175" s="3">
        <f>IFERROR(__xludf.DUMMYFUNCTION("""COMPUTED_VALUE"""),22.0)</f>
        <v>22</v>
      </c>
      <c r="BM175" s="3">
        <f>IFERROR(__xludf.DUMMYFUNCTION("""COMPUTED_VALUE"""),30.0)</f>
        <v>30</v>
      </c>
      <c r="BN175" s="3">
        <f>IFERROR(__xludf.DUMMYFUNCTION("""COMPUTED_VALUE"""),40.0)</f>
        <v>40</v>
      </c>
      <c r="BO175" s="3">
        <f>IFERROR(__xludf.DUMMYFUNCTION("""COMPUTED_VALUE"""),44.0)</f>
        <v>44</v>
      </c>
      <c r="BP175" s="3">
        <f>IFERROR(__xludf.DUMMYFUNCTION("""COMPUTED_VALUE"""),51.0)</f>
        <v>51</v>
      </c>
      <c r="BQ175" s="3">
        <f>IFERROR(__xludf.DUMMYFUNCTION("""COMPUTED_VALUE"""),65.0)</f>
        <v>65</v>
      </c>
      <c r="BR175" s="3">
        <f>IFERROR(__xludf.DUMMYFUNCTION("""COMPUTED_VALUE"""),70.0)</f>
        <v>70</v>
      </c>
      <c r="BS175" s="3">
        <f>IFERROR(__xludf.DUMMYFUNCTION("""COMPUTED_VALUE"""),89.0)</f>
        <v>89</v>
      </c>
      <c r="BT175" s="3">
        <f>IFERROR(__xludf.DUMMYFUNCTION("""COMPUTED_VALUE"""),111.0)</f>
        <v>111</v>
      </c>
      <c r="BU175" s="3">
        <f>IFERROR(__xludf.DUMMYFUNCTION("""COMPUTED_VALUE"""),131.0)</f>
        <v>131</v>
      </c>
      <c r="BV175" s="3">
        <f>IFERROR(__xludf.DUMMYFUNCTION("""COMPUTED_VALUE"""),135.0)</f>
        <v>135</v>
      </c>
      <c r="BW175" s="3">
        <f>IFERROR(__xludf.DUMMYFUNCTION("""COMPUTED_VALUE"""),174.0)</f>
        <v>174</v>
      </c>
      <c r="BX175" s="3">
        <f>IFERROR(__xludf.DUMMYFUNCTION("""COMPUTED_VALUE"""),184.0)</f>
        <v>184</v>
      </c>
      <c r="BY175" s="3">
        <f>IFERROR(__xludf.DUMMYFUNCTION("""COMPUTED_VALUE"""),210.0)</f>
        <v>210</v>
      </c>
      <c r="BZ175" s="3">
        <f>IFERROR(__xludf.DUMMYFUNCTION("""COMPUTED_VALUE"""),214.0)</f>
        <v>214</v>
      </c>
      <c r="CA175" s="3">
        <f>IFERROR(__xludf.DUMMYFUNCTION("""COMPUTED_VALUE"""),232.0)</f>
        <v>232</v>
      </c>
      <c r="CB175" s="3">
        <f>IFERROR(__xludf.DUMMYFUNCTION("""COMPUTED_VALUE"""),238.0)</f>
        <v>238</v>
      </c>
    </row>
    <row r="176">
      <c r="A176" s="3" t="str">
        <f>IFERROR(__xludf.DUMMYFUNCTION("""COMPUTED_VALUE"""),"")</f>
        <v/>
      </c>
      <c r="B176" s="3" t="str">
        <f>IFERROR(__xludf.DUMMYFUNCTION("""COMPUTED_VALUE"""),"North Macedonia")</f>
        <v>North Macedonia</v>
      </c>
      <c r="C176" s="3">
        <f>IFERROR(__xludf.DUMMYFUNCTION("""COMPUTED_VALUE"""),41.6086)</f>
        <v>41.6086</v>
      </c>
      <c r="D176" s="3">
        <f>IFERROR(__xludf.DUMMYFUNCTION("""COMPUTED_VALUE"""),21.7453)</f>
        <v>21.7453</v>
      </c>
      <c r="E176" s="3">
        <f>IFERROR(__xludf.DUMMYFUNCTION("""COMPUTED_VALUE"""),0.0)</f>
        <v>0</v>
      </c>
      <c r="F176" s="3">
        <f>IFERROR(__xludf.DUMMYFUNCTION("""COMPUTED_VALUE"""),0.0)</f>
        <v>0</v>
      </c>
      <c r="G176" s="3">
        <f>IFERROR(__xludf.DUMMYFUNCTION("""COMPUTED_VALUE"""),0.0)</f>
        <v>0</v>
      </c>
      <c r="H176" s="3">
        <f>IFERROR(__xludf.DUMMYFUNCTION("""COMPUTED_VALUE"""),0.0)</f>
        <v>0</v>
      </c>
      <c r="I176" s="3">
        <f>IFERROR(__xludf.DUMMYFUNCTION("""COMPUTED_VALUE"""),0.0)</f>
        <v>0</v>
      </c>
      <c r="J176" s="3">
        <f>IFERROR(__xludf.DUMMYFUNCTION("""COMPUTED_VALUE"""),0.0)</f>
        <v>0</v>
      </c>
      <c r="K176" s="3">
        <f>IFERROR(__xludf.DUMMYFUNCTION("""COMPUTED_VALUE"""),0.0)</f>
        <v>0</v>
      </c>
      <c r="L176" s="3">
        <f>IFERROR(__xludf.DUMMYFUNCTION("""COMPUTED_VALUE"""),0.0)</f>
        <v>0</v>
      </c>
      <c r="M176" s="3">
        <f>IFERROR(__xludf.DUMMYFUNCTION("""COMPUTED_VALUE"""),0.0)</f>
        <v>0</v>
      </c>
      <c r="N176" s="3">
        <f>IFERROR(__xludf.DUMMYFUNCTION("""COMPUTED_VALUE"""),0.0)</f>
        <v>0</v>
      </c>
      <c r="O176" s="3">
        <f>IFERROR(__xludf.DUMMYFUNCTION("""COMPUTED_VALUE"""),0.0)</f>
        <v>0</v>
      </c>
      <c r="P176" s="3">
        <f>IFERROR(__xludf.DUMMYFUNCTION("""COMPUTED_VALUE"""),0.0)</f>
        <v>0</v>
      </c>
      <c r="Q176" s="3">
        <f>IFERROR(__xludf.DUMMYFUNCTION("""COMPUTED_VALUE"""),0.0)</f>
        <v>0</v>
      </c>
      <c r="R176" s="3">
        <f>IFERROR(__xludf.DUMMYFUNCTION("""COMPUTED_VALUE"""),0.0)</f>
        <v>0</v>
      </c>
      <c r="S176" s="3">
        <f>IFERROR(__xludf.DUMMYFUNCTION("""COMPUTED_VALUE"""),0.0)</f>
        <v>0</v>
      </c>
      <c r="T176" s="3">
        <f>IFERROR(__xludf.DUMMYFUNCTION("""COMPUTED_VALUE"""),0.0)</f>
        <v>0</v>
      </c>
      <c r="U176" s="3">
        <f>IFERROR(__xludf.DUMMYFUNCTION("""COMPUTED_VALUE"""),0.0)</f>
        <v>0</v>
      </c>
      <c r="V176" s="3">
        <f>IFERROR(__xludf.DUMMYFUNCTION("""COMPUTED_VALUE"""),0.0)</f>
        <v>0</v>
      </c>
      <c r="W176" s="3">
        <f>IFERROR(__xludf.DUMMYFUNCTION("""COMPUTED_VALUE"""),0.0)</f>
        <v>0</v>
      </c>
      <c r="X176" s="3">
        <f>IFERROR(__xludf.DUMMYFUNCTION("""COMPUTED_VALUE"""),0.0)</f>
        <v>0</v>
      </c>
      <c r="Y176" s="3">
        <f>IFERROR(__xludf.DUMMYFUNCTION("""COMPUTED_VALUE"""),0.0)</f>
        <v>0</v>
      </c>
      <c r="Z176" s="3">
        <f>IFERROR(__xludf.DUMMYFUNCTION("""COMPUTED_VALUE"""),0.0)</f>
        <v>0</v>
      </c>
      <c r="AA176" s="3">
        <f>IFERROR(__xludf.DUMMYFUNCTION("""COMPUTED_VALUE"""),0.0)</f>
        <v>0</v>
      </c>
      <c r="AB176" s="3">
        <f>IFERROR(__xludf.DUMMYFUNCTION("""COMPUTED_VALUE"""),0.0)</f>
        <v>0</v>
      </c>
      <c r="AC176" s="3">
        <f>IFERROR(__xludf.DUMMYFUNCTION("""COMPUTED_VALUE"""),0.0)</f>
        <v>0</v>
      </c>
      <c r="AD176" s="3">
        <f>IFERROR(__xludf.DUMMYFUNCTION("""COMPUTED_VALUE"""),0.0)</f>
        <v>0</v>
      </c>
      <c r="AE176" s="3">
        <f>IFERROR(__xludf.DUMMYFUNCTION("""COMPUTED_VALUE"""),0.0)</f>
        <v>0</v>
      </c>
      <c r="AF176" s="3">
        <f>IFERROR(__xludf.DUMMYFUNCTION("""COMPUTED_VALUE"""),0.0)</f>
        <v>0</v>
      </c>
      <c r="AG176" s="3">
        <f>IFERROR(__xludf.DUMMYFUNCTION("""COMPUTED_VALUE"""),0.0)</f>
        <v>0</v>
      </c>
      <c r="AH176" s="3">
        <f>IFERROR(__xludf.DUMMYFUNCTION("""COMPUTED_VALUE"""),0.0)</f>
        <v>0</v>
      </c>
      <c r="AI176" s="3">
        <f>IFERROR(__xludf.DUMMYFUNCTION("""COMPUTED_VALUE"""),0.0)</f>
        <v>0</v>
      </c>
      <c r="AJ176" s="3">
        <f>IFERROR(__xludf.DUMMYFUNCTION("""COMPUTED_VALUE"""),0.0)</f>
        <v>0</v>
      </c>
      <c r="AK176" s="3">
        <f>IFERROR(__xludf.DUMMYFUNCTION("""COMPUTED_VALUE"""),0.0)</f>
        <v>0</v>
      </c>
      <c r="AL176" s="3">
        <f>IFERROR(__xludf.DUMMYFUNCTION("""COMPUTED_VALUE"""),0.0)</f>
        <v>0</v>
      </c>
      <c r="AM176" s="3">
        <f>IFERROR(__xludf.DUMMYFUNCTION("""COMPUTED_VALUE"""),0.0)</f>
        <v>0</v>
      </c>
      <c r="AN176" s="3">
        <f>IFERROR(__xludf.DUMMYFUNCTION("""COMPUTED_VALUE"""),1.0)</f>
        <v>1</v>
      </c>
      <c r="AO176" s="3">
        <f>IFERROR(__xludf.DUMMYFUNCTION("""COMPUTED_VALUE"""),1.0)</f>
        <v>1</v>
      </c>
      <c r="AP176" s="3">
        <f>IFERROR(__xludf.DUMMYFUNCTION("""COMPUTED_VALUE"""),1.0)</f>
        <v>1</v>
      </c>
      <c r="AQ176" s="3">
        <f>IFERROR(__xludf.DUMMYFUNCTION("""COMPUTED_VALUE"""),1.0)</f>
        <v>1</v>
      </c>
      <c r="AR176" s="3">
        <f>IFERROR(__xludf.DUMMYFUNCTION("""COMPUTED_VALUE"""),1.0)</f>
        <v>1</v>
      </c>
      <c r="AS176" s="3">
        <f>IFERROR(__xludf.DUMMYFUNCTION("""COMPUTED_VALUE"""),1.0)</f>
        <v>1</v>
      </c>
      <c r="AT176" s="3">
        <f>IFERROR(__xludf.DUMMYFUNCTION("""COMPUTED_VALUE"""),1.0)</f>
        <v>1</v>
      </c>
      <c r="AU176" s="3">
        <f>IFERROR(__xludf.DUMMYFUNCTION("""COMPUTED_VALUE"""),1.0)</f>
        <v>1</v>
      </c>
      <c r="AV176" s="3">
        <f>IFERROR(__xludf.DUMMYFUNCTION("""COMPUTED_VALUE"""),1.0)</f>
        <v>1</v>
      </c>
      <c r="AW176" s="3">
        <f>IFERROR(__xludf.DUMMYFUNCTION("""COMPUTED_VALUE"""),3.0)</f>
        <v>3</v>
      </c>
      <c r="AX176" s="3">
        <f>IFERROR(__xludf.DUMMYFUNCTION("""COMPUTED_VALUE"""),3.0)</f>
        <v>3</v>
      </c>
      <c r="AY176" s="3">
        <f>IFERROR(__xludf.DUMMYFUNCTION("""COMPUTED_VALUE"""),3.0)</f>
        <v>3</v>
      </c>
      <c r="AZ176" s="3">
        <f>IFERROR(__xludf.DUMMYFUNCTION("""COMPUTED_VALUE"""),3.0)</f>
        <v>3</v>
      </c>
      <c r="BA176" s="3">
        <f>IFERROR(__xludf.DUMMYFUNCTION("""COMPUTED_VALUE"""),7.0)</f>
        <v>7</v>
      </c>
      <c r="BB176" s="3">
        <f>IFERROR(__xludf.DUMMYFUNCTION("""COMPUTED_VALUE"""),7.0)</f>
        <v>7</v>
      </c>
      <c r="BC176" s="3">
        <f>IFERROR(__xludf.DUMMYFUNCTION("""COMPUTED_VALUE"""),7.0)</f>
        <v>7</v>
      </c>
      <c r="BD176" s="3">
        <f>IFERROR(__xludf.DUMMYFUNCTION("""COMPUTED_VALUE"""),14.0)</f>
        <v>14</v>
      </c>
      <c r="BE176" s="3">
        <f>IFERROR(__xludf.DUMMYFUNCTION("""COMPUTED_VALUE"""),14.0)</f>
        <v>14</v>
      </c>
      <c r="BF176" s="3">
        <f>IFERROR(__xludf.DUMMYFUNCTION("""COMPUTED_VALUE"""),14.0)</f>
        <v>14</v>
      </c>
      <c r="BG176" s="3">
        <f>IFERROR(__xludf.DUMMYFUNCTION("""COMPUTED_VALUE"""),18.0)</f>
        <v>18</v>
      </c>
      <c r="BH176" s="3">
        <f>IFERROR(__xludf.DUMMYFUNCTION("""COMPUTED_VALUE"""),26.0)</f>
        <v>26</v>
      </c>
      <c r="BI176" s="3">
        <f>IFERROR(__xludf.DUMMYFUNCTION("""COMPUTED_VALUE"""),35.0)</f>
        <v>35</v>
      </c>
      <c r="BJ176" s="3">
        <f>IFERROR(__xludf.DUMMYFUNCTION("""COMPUTED_VALUE"""),48.0)</f>
        <v>48</v>
      </c>
      <c r="BK176" s="3">
        <f>IFERROR(__xludf.DUMMYFUNCTION("""COMPUTED_VALUE"""),67.0)</f>
        <v>67</v>
      </c>
      <c r="BL176" s="3">
        <f>IFERROR(__xludf.DUMMYFUNCTION("""COMPUTED_VALUE"""),85.0)</f>
        <v>85</v>
      </c>
      <c r="BM176" s="3">
        <f>IFERROR(__xludf.DUMMYFUNCTION("""COMPUTED_VALUE"""),115.0)</f>
        <v>115</v>
      </c>
      <c r="BN176" s="3">
        <f>IFERROR(__xludf.DUMMYFUNCTION("""COMPUTED_VALUE"""),136.0)</f>
        <v>136</v>
      </c>
      <c r="BO176" s="3">
        <f>IFERROR(__xludf.DUMMYFUNCTION("""COMPUTED_VALUE"""),148.0)</f>
        <v>148</v>
      </c>
      <c r="BP176" s="3">
        <f>IFERROR(__xludf.DUMMYFUNCTION("""COMPUTED_VALUE"""),177.0)</f>
        <v>177</v>
      </c>
      <c r="BQ176" s="3">
        <f>IFERROR(__xludf.DUMMYFUNCTION("""COMPUTED_VALUE"""),201.0)</f>
        <v>201</v>
      </c>
      <c r="BR176" s="3">
        <f>IFERROR(__xludf.DUMMYFUNCTION("""COMPUTED_VALUE"""),219.0)</f>
        <v>219</v>
      </c>
      <c r="BS176" s="3">
        <f>IFERROR(__xludf.DUMMYFUNCTION("""COMPUTED_VALUE"""),241.0)</f>
        <v>241</v>
      </c>
      <c r="BT176" s="3">
        <f>IFERROR(__xludf.DUMMYFUNCTION("""COMPUTED_VALUE"""),259.0)</f>
        <v>259</v>
      </c>
      <c r="BU176" s="3">
        <f>IFERROR(__xludf.DUMMYFUNCTION("""COMPUTED_VALUE"""),285.0)</f>
        <v>285</v>
      </c>
      <c r="BV176" s="3">
        <f>IFERROR(__xludf.DUMMYFUNCTION("""COMPUTED_VALUE"""),329.0)</f>
        <v>329</v>
      </c>
      <c r="BW176" s="3">
        <f>IFERROR(__xludf.DUMMYFUNCTION("""COMPUTED_VALUE"""),354.0)</f>
        <v>354</v>
      </c>
      <c r="BX176" s="3">
        <f>IFERROR(__xludf.DUMMYFUNCTION("""COMPUTED_VALUE"""),384.0)</f>
        <v>384</v>
      </c>
      <c r="BY176" s="3">
        <f>IFERROR(__xludf.DUMMYFUNCTION("""COMPUTED_VALUE"""),430.0)</f>
        <v>430</v>
      </c>
      <c r="BZ176" s="3">
        <f>IFERROR(__xludf.DUMMYFUNCTION("""COMPUTED_VALUE"""),483.0)</f>
        <v>483</v>
      </c>
      <c r="CA176" s="3">
        <f>IFERROR(__xludf.DUMMYFUNCTION("""COMPUTED_VALUE"""),555.0)</f>
        <v>555</v>
      </c>
      <c r="CB176" s="3">
        <f>IFERROR(__xludf.DUMMYFUNCTION("""COMPUTED_VALUE"""),570.0)</f>
        <v>570</v>
      </c>
    </row>
    <row r="177">
      <c r="A177" s="3" t="str">
        <f>IFERROR(__xludf.DUMMYFUNCTION("""COMPUTED_VALUE"""),"")</f>
        <v/>
      </c>
      <c r="B177" s="3" t="str">
        <f>IFERROR(__xludf.DUMMYFUNCTION("""COMPUTED_VALUE"""),"Norway")</f>
        <v>Norway</v>
      </c>
      <c r="C177" s="3">
        <f>IFERROR(__xludf.DUMMYFUNCTION("""COMPUTED_VALUE"""),60.472)</f>
        <v>60.472</v>
      </c>
      <c r="D177" s="3">
        <f>IFERROR(__xludf.DUMMYFUNCTION("""COMPUTED_VALUE"""),8.4689)</f>
        <v>8.4689</v>
      </c>
      <c r="E177" s="3">
        <f>IFERROR(__xludf.DUMMYFUNCTION("""COMPUTED_VALUE"""),0.0)</f>
        <v>0</v>
      </c>
      <c r="F177" s="3">
        <f>IFERROR(__xludf.DUMMYFUNCTION("""COMPUTED_VALUE"""),0.0)</f>
        <v>0</v>
      </c>
      <c r="G177" s="3">
        <f>IFERROR(__xludf.DUMMYFUNCTION("""COMPUTED_VALUE"""),0.0)</f>
        <v>0</v>
      </c>
      <c r="H177" s="3">
        <f>IFERROR(__xludf.DUMMYFUNCTION("""COMPUTED_VALUE"""),0.0)</f>
        <v>0</v>
      </c>
      <c r="I177" s="3">
        <f>IFERROR(__xludf.DUMMYFUNCTION("""COMPUTED_VALUE"""),0.0)</f>
        <v>0</v>
      </c>
      <c r="J177" s="3">
        <f>IFERROR(__xludf.DUMMYFUNCTION("""COMPUTED_VALUE"""),0.0)</f>
        <v>0</v>
      </c>
      <c r="K177" s="3">
        <f>IFERROR(__xludf.DUMMYFUNCTION("""COMPUTED_VALUE"""),0.0)</f>
        <v>0</v>
      </c>
      <c r="L177" s="3">
        <f>IFERROR(__xludf.DUMMYFUNCTION("""COMPUTED_VALUE"""),0.0)</f>
        <v>0</v>
      </c>
      <c r="M177" s="3">
        <f>IFERROR(__xludf.DUMMYFUNCTION("""COMPUTED_VALUE"""),0.0)</f>
        <v>0</v>
      </c>
      <c r="N177" s="3">
        <f>IFERROR(__xludf.DUMMYFUNCTION("""COMPUTED_VALUE"""),0.0)</f>
        <v>0</v>
      </c>
      <c r="O177" s="3">
        <f>IFERROR(__xludf.DUMMYFUNCTION("""COMPUTED_VALUE"""),0.0)</f>
        <v>0</v>
      </c>
      <c r="P177" s="3">
        <f>IFERROR(__xludf.DUMMYFUNCTION("""COMPUTED_VALUE"""),0.0)</f>
        <v>0</v>
      </c>
      <c r="Q177" s="3">
        <f>IFERROR(__xludf.DUMMYFUNCTION("""COMPUTED_VALUE"""),0.0)</f>
        <v>0</v>
      </c>
      <c r="R177" s="3">
        <f>IFERROR(__xludf.DUMMYFUNCTION("""COMPUTED_VALUE"""),0.0)</f>
        <v>0</v>
      </c>
      <c r="S177" s="3">
        <f>IFERROR(__xludf.DUMMYFUNCTION("""COMPUTED_VALUE"""),0.0)</f>
        <v>0</v>
      </c>
      <c r="T177" s="3">
        <f>IFERROR(__xludf.DUMMYFUNCTION("""COMPUTED_VALUE"""),0.0)</f>
        <v>0</v>
      </c>
      <c r="U177" s="3">
        <f>IFERROR(__xludf.DUMMYFUNCTION("""COMPUTED_VALUE"""),0.0)</f>
        <v>0</v>
      </c>
      <c r="V177" s="3">
        <f>IFERROR(__xludf.DUMMYFUNCTION("""COMPUTED_VALUE"""),0.0)</f>
        <v>0</v>
      </c>
      <c r="W177" s="3">
        <f>IFERROR(__xludf.DUMMYFUNCTION("""COMPUTED_VALUE"""),0.0)</f>
        <v>0</v>
      </c>
      <c r="X177" s="3">
        <f>IFERROR(__xludf.DUMMYFUNCTION("""COMPUTED_VALUE"""),0.0)</f>
        <v>0</v>
      </c>
      <c r="Y177" s="3">
        <f>IFERROR(__xludf.DUMMYFUNCTION("""COMPUTED_VALUE"""),0.0)</f>
        <v>0</v>
      </c>
      <c r="Z177" s="3">
        <f>IFERROR(__xludf.DUMMYFUNCTION("""COMPUTED_VALUE"""),0.0)</f>
        <v>0</v>
      </c>
      <c r="AA177" s="3">
        <f>IFERROR(__xludf.DUMMYFUNCTION("""COMPUTED_VALUE"""),0.0)</f>
        <v>0</v>
      </c>
      <c r="AB177" s="3">
        <f>IFERROR(__xludf.DUMMYFUNCTION("""COMPUTED_VALUE"""),0.0)</f>
        <v>0</v>
      </c>
      <c r="AC177" s="3">
        <f>IFERROR(__xludf.DUMMYFUNCTION("""COMPUTED_VALUE"""),0.0)</f>
        <v>0</v>
      </c>
      <c r="AD177" s="3">
        <f>IFERROR(__xludf.DUMMYFUNCTION("""COMPUTED_VALUE"""),0.0)</f>
        <v>0</v>
      </c>
      <c r="AE177" s="3">
        <f>IFERROR(__xludf.DUMMYFUNCTION("""COMPUTED_VALUE"""),0.0)</f>
        <v>0</v>
      </c>
      <c r="AF177" s="3">
        <f>IFERROR(__xludf.DUMMYFUNCTION("""COMPUTED_VALUE"""),0.0)</f>
        <v>0</v>
      </c>
      <c r="AG177" s="3">
        <f>IFERROR(__xludf.DUMMYFUNCTION("""COMPUTED_VALUE"""),0.0)</f>
        <v>0</v>
      </c>
      <c r="AH177" s="3">
        <f>IFERROR(__xludf.DUMMYFUNCTION("""COMPUTED_VALUE"""),0.0)</f>
        <v>0</v>
      </c>
      <c r="AI177" s="3">
        <f>IFERROR(__xludf.DUMMYFUNCTION("""COMPUTED_VALUE"""),0.0)</f>
        <v>0</v>
      </c>
      <c r="AJ177" s="3">
        <f>IFERROR(__xludf.DUMMYFUNCTION("""COMPUTED_VALUE"""),0.0)</f>
        <v>0</v>
      </c>
      <c r="AK177" s="3">
        <f>IFERROR(__xludf.DUMMYFUNCTION("""COMPUTED_VALUE"""),0.0)</f>
        <v>0</v>
      </c>
      <c r="AL177" s="3">
        <f>IFERROR(__xludf.DUMMYFUNCTION("""COMPUTED_VALUE"""),0.0)</f>
        <v>0</v>
      </c>
      <c r="AM177" s="3">
        <f>IFERROR(__xludf.DUMMYFUNCTION("""COMPUTED_VALUE"""),0.0)</f>
        <v>0</v>
      </c>
      <c r="AN177" s="3">
        <f>IFERROR(__xludf.DUMMYFUNCTION("""COMPUTED_VALUE"""),1.0)</f>
        <v>1</v>
      </c>
      <c r="AO177" s="3">
        <f>IFERROR(__xludf.DUMMYFUNCTION("""COMPUTED_VALUE"""),1.0)</f>
        <v>1</v>
      </c>
      <c r="AP177" s="3">
        <f>IFERROR(__xludf.DUMMYFUNCTION("""COMPUTED_VALUE"""),6.0)</f>
        <v>6</v>
      </c>
      <c r="AQ177" s="3">
        <f>IFERROR(__xludf.DUMMYFUNCTION("""COMPUTED_VALUE"""),15.0)</f>
        <v>15</v>
      </c>
      <c r="AR177" s="3">
        <f>IFERROR(__xludf.DUMMYFUNCTION("""COMPUTED_VALUE"""),19.0)</f>
        <v>19</v>
      </c>
      <c r="AS177" s="3">
        <f>IFERROR(__xludf.DUMMYFUNCTION("""COMPUTED_VALUE"""),25.0)</f>
        <v>25</v>
      </c>
      <c r="AT177" s="3">
        <f>IFERROR(__xludf.DUMMYFUNCTION("""COMPUTED_VALUE"""),32.0)</f>
        <v>32</v>
      </c>
      <c r="AU177" s="3">
        <f>IFERROR(__xludf.DUMMYFUNCTION("""COMPUTED_VALUE"""),56.0)</f>
        <v>56</v>
      </c>
      <c r="AV177" s="3">
        <f>IFERROR(__xludf.DUMMYFUNCTION("""COMPUTED_VALUE"""),87.0)</f>
        <v>87</v>
      </c>
      <c r="AW177" s="3">
        <f>IFERROR(__xludf.DUMMYFUNCTION("""COMPUTED_VALUE"""),108.0)</f>
        <v>108</v>
      </c>
      <c r="AX177" s="3">
        <f>IFERROR(__xludf.DUMMYFUNCTION("""COMPUTED_VALUE"""),147.0)</f>
        <v>147</v>
      </c>
      <c r="AY177" s="3">
        <f>IFERROR(__xludf.DUMMYFUNCTION("""COMPUTED_VALUE"""),176.0)</f>
        <v>176</v>
      </c>
      <c r="AZ177" s="3">
        <f>IFERROR(__xludf.DUMMYFUNCTION("""COMPUTED_VALUE"""),205.0)</f>
        <v>205</v>
      </c>
      <c r="BA177" s="3">
        <f>IFERROR(__xludf.DUMMYFUNCTION("""COMPUTED_VALUE"""),400.0)</f>
        <v>400</v>
      </c>
      <c r="BB177" s="3">
        <f>IFERROR(__xludf.DUMMYFUNCTION("""COMPUTED_VALUE"""),598.0)</f>
        <v>598</v>
      </c>
      <c r="BC177" s="3">
        <f>IFERROR(__xludf.DUMMYFUNCTION("""COMPUTED_VALUE"""),702.0)</f>
        <v>702</v>
      </c>
      <c r="BD177" s="3">
        <f>IFERROR(__xludf.DUMMYFUNCTION("""COMPUTED_VALUE"""),996.0)</f>
        <v>996</v>
      </c>
      <c r="BE177" s="3">
        <f>IFERROR(__xludf.DUMMYFUNCTION("""COMPUTED_VALUE"""),1090.0)</f>
        <v>1090</v>
      </c>
      <c r="BF177" s="3">
        <f>IFERROR(__xludf.DUMMYFUNCTION("""COMPUTED_VALUE"""),1221.0)</f>
        <v>1221</v>
      </c>
      <c r="BG177" s="3">
        <f>IFERROR(__xludf.DUMMYFUNCTION("""COMPUTED_VALUE"""),1333.0)</f>
        <v>1333</v>
      </c>
      <c r="BH177" s="3">
        <f>IFERROR(__xludf.DUMMYFUNCTION("""COMPUTED_VALUE"""),1463.0)</f>
        <v>1463</v>
      </c>
      <c r="BI177" s="3">
        <f>IFERROR(__xludf.DUMMYFUNCTION("""COMPUTED_VALUE"""),1550.0)</f>
        <v>1550</v>
      </c>
      <c r="BJ177" s="3">
        <f>IFERROR(__xludf.DUMMYFUNCTION("""COMPUTED_VALUE"""),1746.0)</f>
        <v>1746</v>
      </c>
      <c r="BK177" s="3">
        <f>IFERROR(__xludf.DUMMYFUNCTION("""COMPUTED_VALUE"""),1914.0)</f>
        <v>1914</v>
      </c>
      <c r="BL177" s="3">
        <f>IFERROR(__xludf.DUMMYFUNCTION("""COMPUTED_VALUE"""),2118.0)</f>
        <v>2118</v>
      </c>
      <c r="BM177" s="3">
        <f>IFERROR(__xludf.DUMMYFUNCTION("""COMPUTED_VALUE"""),2385.0)</f>
        <v>2385</v>
      </c>
      <c r="BN177" s="3">
        <f>IFERROR(__xludf.DUMMYFUNCTION("""COMPUTED_VALUE"""),2621.0)</f>
        <v>2621</v>
      </c>
      <c r="BO177" s="3">
        <f>IFERROR(__xludf.DUMMYFUNCTION("""COMPUTED_VALUE"""),2863.0)</f>
        <v>2863</v>
      </c>
      <c r="BP177" s="3">
        <f>IFERROR(__xludf.DUMMYFUNCTION("""COMPUTED_VALUE"""),3084.0)</f>
        <v>3084</v>
      </c>
      <c r="BQ177" s="3">
        <f>IFERROR(__xludf.DUMMYFUNCTION("""COMPUTED_VALUE"""),3369.0)</f>
        <v>3369</v>
      </c>
      <c r="BR177" s="3">
        <f>IFERROR(__xludf.DUMMYFUNCTION("""COMPUTED_VALUE"""),3755.0)</f>
        <v>3755</v>
      </c>
      <c r="BS177" s="3">
        <f>IFERROR(__xludf.DUMMYFUNCTION("""COMPUTED_VALUE"""),4015.0)</f>
        <v>4015</v>
      </c>
      <c r="BT177" s="3">
        <f>IFERROR(__xludf.DUMMYFUNCTION("""COMPUTED_VALUE"""),4284.0)</f>
        <v>4284</v>
      </c>
      <c r="BU177" s="3">
        <f>IFERROR(__xludf.DUMMYFUNCTION("""COMPUTED_VALUE"""),4445.0)</f>
        <v>4445</v>
      </c>
      <c r="BV177" s="3">
        <f>IFERROR(__xludf.DUMMYFUNCTION("""COMPUTED_VALUE"""),4641.0)</f>
        <v>4641</v>
      </c>
      <c r="BW177" s="3">
        <f>IFERROR(__xludf.DUMMYFUNCTION("""COMPUTED_VALUE"""),4863.0)</f>
        <v>4863</v>
      </c>
      <c r="BX177" s="3">
        <f>IFERROR(__xludf.DUMMYFUNCTION("""COMPUTED_VALUE"""),5147.0)</f>
        <v>5147</v>
      </c>
      <c r="BY177" s="3">
        <f>IFERROR(__xludf.DUMMYFUNCTION("""COMPUTED_VALUE"""),5370.0)</f>
        <v>5370</v>
      </c>
      <c r="BZ177" s="3">
        <f>IFERROR(__xludf.DUMMYFUNCTION("""COMPUTED_VALUE"""),5550.0)</f>
        <v>5550</v>
      </c>
      <c r="CA177" s="3">
        <f>IFERROR(__xludf.DUMMYFUNCTION("""COMPUTED_VALUE"""),5687.0)</f>
        <v>5687</v>
      </c>
      <c r="CB177" s="3">
        <f>IFERROR(__xludf.DUMMYFUNCTION("""COMPUTED_VALUE"""),5865.0)</f>
        <v>5865</v>
      </c>
    </row>
    <row r="178">
      <c r="A178" s="3" t="str">
        <f>IFERROR(__xludf.DUMMYFUNCTION("""COMPUTED_VALUE"""),"")</f>
        <v/>
      </c>
      <c r="B178" s="3" t="str">
        <f>IFERROR(__xludf.DUMMYFUNCTION("""COMPUTED_VALUE"""),"Oman")</f>
        <v>Oman</v>
      </c>
      <c r="C178" s="3">
        <f>IFERROR(__xludf.DUMMYFUNCTION("""COMPUTED_VALUE"""),21.0)</f>
        <v>21</v>
      </c>
      <c r="D178" s="3">
        <f>IFERROR(__xludf.DUMMYFUNCTION("""COMPUTED_VALUE"""),57.0)</f>
        <v>57</v>
      </c>
      <c r="E178" s="3">
        <f>IFERROR(__xludf.DUMMYFUNCTION("""COMPUTED_VALUE"""),0.0)</f>
        <v>0</v>
      </c>
      <c r="F178" s="3">
        <f>IFERROR(__xludf.DUMMYFUNCTION("""COMPUTED_VALUE"""),0.0)</f>
        <v>0</v>
      </c>
      <c r="G178" s="3">
        <f>IFERROR(__xludf.DUMMYFUNCTION("""COMPUTED_VALUE"""),0.0)</f>
        <v>0</v>
      </c>
      <c r="H178" s="3">
        <f>IFERROR(__xludf.DUMMYFUNCTION("""COMPUTED_VALUE"""),0.0)</f>
        <v>0</v>
      </c>
      <c r="I178" s="3">
        <f>IFERROR(__xludf.DUMMYFUNCTION("""COMPUTED_VALUE"""),0.0)</f>
        <v>0</v>
      </c>
      <c r="J178" s="3">
        <f>IFERROR(__xludf.DUMMYFUNCTION("""COMPUTED_VALUE"""),0.0)</f>
        <v>0</v>
      </c>
      <c r="K178" s="3">
        <f>IFERROR(__xludf.DUMMYFUNCTION("""COMPUTED_VALUE"""),0.0)</f>
        <v>0</v>
      </c>
      <c r="L178" s="3">
        <f>IFERROR(__xludf.DUMMYFUNCTION("""COMPUTED_VALUE"""),0.0)</f>
        <v>0</v>
      </c>
      <c r="M178" s="3">
        <f>IFERROR(__xludf.DUMMYFUNCTION("""COMPUTED_VALUE"""),0.0)</f>
        <v>0</v>
      </c>
      <c r="N178" s="3">
        <f>IFERROR(__xludf.DUMMYFUNCTION("""COMPUTED_VALUE"""),0.0)</f>
        <v>0</v>
      </c>
      <c r="O178" s="3">
        <f>IFERROR(__xludf.DUMMYFUNCTION("""COMPUTED_VALUE"""),0.0)</f>
        <v>0</v>
      </c>
      <c r="P178" s="3">
        <f>IFERROR(__xludf.DUMMYFUNCTION("""COMPUTED_VALUE"""),0.0)</f>
        <v>0</v>
      </c>
      <c r="Q178" s="3">
        <f>IFERROR(__xludf.DUMMYFUNCTION("""COMPUTED_VALUE"""),0.0)</f>
        <v>0</v>
      </c>
      <c r="R178" s="3">
        <f>IFERROR(__xludf.DUMMYFUNCTION("""COMPUTED_VALUE"""),0.0)</f>
        <v>0</v>
      </c>
      <c r="S178" s="3">
        <f>IFERROR(__xludf.DUMMYFUNCTION("""COMPUTED_VALUE"""),0.0)</f>
        <v>0</v>
      </c>
      <c r="T178" s="3">
        <f>IFERROR(__xludf.DUMMYFUNCTION("""COMPUTED_VALUE"""),0.0)</f>
        <v>0</v>
      </c>
      <c r="U178" s="3">
        <f>IFERROR(__xludf.DUMMYFUNCTION("""COMPUTED_VALUE"""),0.0)</f>
        <v>0</v>
      </c>
      <c r="V178" s="3">
        <f>IFERROR(__xludf.DUMMYFUNCTION("""COMPUTED_VALUE"""),0.0)</f>
        <v>0</v>
      </c>
      <c r="W178" s="3">
        <f>IFERROR(__xludf.DUMMYFUNCTION("""COMPUTED_VALUE"""),0.0)</f>
        <v>0</v>
      </c>
      <c r="X178" s="3">
        <f>IFERROR(__xludf.DUMMYFUNCTION("""COMPUTED_VALUE"""),0.0)</f>
        <v>0</v>
      </c>
      <c r="Y178" s="3">
        <f>IFERROR(__xludf.DUMMYFUNCTION("""COMPUTED_VALUE"""),0.0)</f>
        <v>0</v>
      </c>
      <c r="Z178" s="3">
        <f>IFERROR(__xludf.DUMMYFUNCTION("""COMPUTED_VALUE"""),0.0)</f>
        <v>0</v>
      </c>
      <c r="AA178" s="3">
        <f>IFERROR(__xludf.DUMMYFUNCTION("""COMPUTED_VALUE"""),0.0)</f>
        <v>0</v>
      </c>
      <c r="AB178" s="3">
        <f>IFERROR(__xludf.DUMMYFUNCTION("""COMPUTED_VALUE"""),0.0)</f>
        <v>0</v>
      </c>
      <c r="AC178" s="3">
        <f>IFERROR(__xludf.DUMMYFUNCTION("""COMPUTED_VALUE"""),0.0)</f>
        <v>0</v>
      </c>
      <c r="AD178" s="3">
        <f>IFERROR(__xludf.DUMMYFUNCTION("""COMPUTED_VALUE"""),0.0)</f>
        <v>0</v>
      </c>
      <c r="AE178" s="3">
        <f>IFERROR(__xludf.DUMMYFUNCTION("""COMPUTED_VALUE"""),0.0)</f>
        <v>0</v>
      </c>
      <c r="AF178" s="3">
        <f>IFERROR(__xludf.DUMMYFUNCTION("""COMPUTED_VALUE"""),0.0)</f>
        <v>0</v>
      </c>
      <c r="AG178" s="3">
        <f>IFERROR(__xludf.DUMMYFUNCTION("""COMPUTED_VALUE"""),0.0)</f>
        <v>0</v>
      </c>
      <c r="AH178" s="3">
        <f>IFERROR(__xludf.DUMMYFUNCTION("""COMPUTED_VALUE"""),0.0)</f>
        <v>0</v>
      </c>
      <c r="AI178" s="3">
        <f>IFERROR(__xludf.DUMMYFUNCTION("""COMPUTED_VALUE"""),0.0)</f>
        <v>0</v>
      </c>
      <c r="AJ178" s="3">
        <f>IFERROR(__xludf.DUMMYFUNCTION("""COMPUTED_VALUE"""),0.0)</f>
        <v>0</v>
      </c>
      <c r="AK178" s="3">
        <f>IFERROR(__xludf.DUMMYFUNCTION("""COMPUTED_VALUE"""),0.0)</f>
        <v>0</v>
      </c>
      <c r="AL178" s="3">
        <f>IFERROR(__xludf.DUMMYFUNCTION("""COMPUTED_VALUE"""),2.0)</f>
        <v>2</v>
      </c>
      <c r="AM178" s="3">
        <f>IFERROR(__xludf.DUMMYFUNCTION("""COMPUTED_VALUE"""),2.0)</f>
        <v>2</v>
      </c>
      <c r="AN178" s="3">
        <f>IFERROR(__xludf.DUMMYFUNCTION("""COMPUTED_VALUE"""),4.0)</f>
        <v>4</v>
      </c>
      <c r="AO178" s="3">
        <f>IFERROR(__xludf.DUMMYFUNCTION("""COMPUTED_VALUE"""),4.0)</f>
        <v>4</v>
      </c>
      <c r="AP178" s="3">
        <f>IFERROR(__xludf.DUMMYFUNCTION("""COMPUTED_VALUE"""),4.0)</f>
        <v>4</v>
      </c>
      <c r="AQ178" s="3">
        <f>IFERROR(__xludf.DUMMYFUNCTION("""COMPUTED_VALUE"""),6.0)</f>
        <v>6</v>
      </c>
      <c r="AR178" s="3">
        <f>IFERROR(__xludf.DUMMYFUNCTION("""COMPUTED_VALUE"""),6.0)</f>
        <v>6</v>
      </c>
      <c r="AS178" s="3">
        <f>IFERROR(__xludf.DUMMYFUNCTION("""COMPUTED_VALUE"""),6.0)</f>
        <v>6</v>
      </c>
      <c r="AT178" s="3">
        <f>IFERROR(__xludf.DUMMYFUNCTION("""COMPUTED_VALUE"""),12.0)</f>
        <v>12</v>
      </c>
      <c r="AU178" s="3">
        <f>IFERROR(__xludf.DUMMYFUNCTION("""COMPUTED_VALUE"""),15.0)</f>
        <v>15</v>
      </c>
      <c r="AV178" s="3">
        <f>IFERROR(__xludf.DUMMYFUNCTION("""COMPUTED_VALUE"""),16.0)</f>
        <v>16</v>
      </c>
      <c r="AW178" s="3">
        <f>IFERROR(__xludf.DUMMYFUNCTION("""COMPUTED_VALUE"""),16.0)</f>
        <v>16</v>
      </c>
      <c r="AX178" s="3">
        <f>IFERROR(__xludf.DUMMYFUNCTION("""COMPUTED_VALUE"""),16.0)</f>
        <v>16</v>
      </c>
      <c r="AY178" s="3">
        <f>IFERROR(__xludf.DUMMYFUNCTION("""COMPUTED_VALUE"""),16.0)</f>
        <v>16</v>
      </c>
      <c r="AZ178" s="3">
        <f>IFERROR(__xludf.DUMMYFUNCTION("""COMPUTED_VALUE"""),16.0)</f>
        <v>16</v>
      </c>
      <c r="BA178" s="3">
        <f>IFERROR(__xludf.DUMMYFUNCTION("""COMPUTED_VALUE"""),18.0)</f>
        <v>18</v>
      </c>
      <c r="BB178" s="3">
        <f>IFERROR(__xludf.DUMMYFUNCTION("""COMPUTED_VALUE"""),18.0)</f>
        <v>18</v>
      </c>
      <c r="BC178" s="3">
        <f>IFERROR(__xludf.DUMMYFUNCTION("""COMPUTED_VALUE"""),18.0)</f>
        <v>18</v>
      </c>
      <c r="BD178" s="3">
        <f>IFERROR(__xludf.DUMMYFUNCTION("""COMPUTED_VALUE"""),19.0)</f>
        <v>19</v>
      </c>
      <c r="BE178" s="3">
        <f>IFERROR(__xludf.DUMMYFUNCTION("""COMPUTED_VALUE"""),19.0)</f>
        <v>19</v>
      </c>
      <c r="BF178" s="3">
        <f>IFERROR(__xludf.DUMMYFUNCTION("""COMPUTED_VALUE"""),22.0)</f>
        <v>22</v>
      </c>
      <c r="BG178" s="3">
        <f>IFERROR(__xludf.DUMMYFUNCTION("""COMPUTED_VALUE"""),22.0)</f>
        <v>22</v>
      </c>
      <c r="BH178" s="3">
        <f>IFERROR(__xludf.DUMMYFUNCTION("""COMPUTED_VALUE"""),24.0)</f>
        <v>24</v>
      </c>
      <c r="BI178" s="3">
        <f>IFERROR(__xludf.DUMMYFUNCTION("""COMPUTED_VALUE"""),39.0)</f>
        <v>39</v>
      </c>
      <c r="BJ178" s="3">
        <f>IFERROR(__xludf.DUMMYFUNCTION("""COMPUTED_VALUE"""),48.0)</f>
        <v>48</v>
      </c>
      <c r="BK178" s="3">
        <f>IFERROR(__xludf.DUMMYFUNCTION("""COMPUTED_VALUE"""),48.0)</f>
        <v>48</v>
      </c>
      <c r="BL178" s="3">
        <f>IFERROR(__xludf.DUMMYFUNCTION("""COMPUTED_VALUE"""),52.0)</f>
        <v>52</v>
      </c>
      <c r="BM178" s="3">
        <f>IFERROR(__xludf.DUMMYFUNCTION("""COMPUTED_VALUE"""),55.0)</f>
        <v>55</v>
      </c>
      <c r="BN178" s="3">
        <f>IFERROR(__xludf.DUMMYFUNCTION("""COMPUTED_VALUE"""),66.0)</f>
        <v>66</v>
      </c>
      <c r="BO178" s="3">
        <f>IFERROR(__xludf.DUMMYFUNCTION("""COMPUTED_VALUE"""),84.0)</f>
        <v>84</v>
      </c>
      <c r="BP178" s="3">
        <f>IFERROR(__xludf.DUMMYFUNCTION("""COMPUTED_VALUE"""),99.0)</f>
        <v>99</v>
      </c>
      <c r="BQ178" s="3">
        <f>IFERROR(__xludf.DUMMYFUNCTION("""COMPUTED_VALUE"""),109.0)</f>
        <v>109</v>
      </c>
      <c r="BR178" s="3">
        <f>IFERROR(__xludf.DUMMYFUNCTION("""COMPUTED_VALUE"""),131.0)</f>
        <v>131</v>
      </c>
      <c r="BS178" s="3">
        <f>IFERROR(__xludf.DUMMYFUNCTION("""COMPUTED_VALUE"""),152.0)</f>
        <v>152</v>
      </c>
      <c r="BT178" s="3">
        <f>IFERROR(__xludf.DUMMYFUNCTION("""COMPUTED_VALUE"""),167.0)</f>
        <v>167</v>
      </c>
      <c r="BU178" s="3">
        <f>IFERROR(__xludf.DUMMYFUNCTION("""COMPUTED_VALUE"""),179.0)</f>
        <v>179</v>
      </c>
      <c r="BV178" s="3">
        <f>IFERROR(__xludf.DUMMYFUNCTION("""COMPUTED_VALUE"""),192.0)</f>
        <v>192</v>
      </c>
      <c r="BW178" s="3">
        <f>IFERROR(__xludf.DUMMYFUNCTION("""COMPUTED_VALUE"""),210.0)</f>
        <v>210</v>
      </c>
      <c r="BX178" s="3">
        <f>IFERROR(__xludf.DUMMYFUNCTION("""COMPUTED_VALUE"""),231.0)</f>
        <v>231</v>
      </c>
      <c r="BY178" s="3">
        <f>IFERROR(__xludf.DUMMYFUNCTION("""COMPUTED_VALUE"""),252.0)</f>
        <v>252</v>
      </c>
      <c r="BZ178" s="3">
        <f>IFERROR(__xludf.DUMMYFUNCTION("""COMPUTED_VALUE"""),277.0)</f>
        <v>277</v>
      </c>
      <c r="CA178" s="3">
        <f>IFERROR(__xludf.DUMMYFUNCTION("""COMPUTED_VALUE"""),298.0)</f>
        <v>298</v>
      </c>
      <c r="CB178" s="3">
        <f>IFERROR(__xludf.DUMMYFUNCTION("""COMPUTED_VALUE"""),331.0)</f>
        <v>331</v>
      </c>
    </row>
    <row r="179">
      <c r="A179" s="3" t="str">
        <f>IFERROR(__xludf.DUMMYFUNCTION("""COMPUTED_VALUE"""),"")</f>
        <v/>
      </c>
      <c r="B179" s="3" t="str">
        <f>IFERROR(__xludf.DUMMYFUNCTION("""COMPUTED_VALUE"""),"Pakistan")</f>
        <v>Pakistan</v>
      </c>
      <c r="C179" s="3">
        <f>IFERROR(__xludf.DUMMYFUNCTION("""COMPUTED_VALUE"""),30.3753)</f>
        <v>30.3753</v>
      </c>
      <c r="D179" s="3">
        <f>IFERROR(__xludf.DUMMYFUNCTION("""COMPUTED_VALUE"""),69.3451)</f>
        <v>69.3451</v>
      </c>
      <c r="E179" s="3">
        <f>IFERROR(__xludf.DUMMYFUNCTION("""COMPUTED_VALUE"""),0.0)</f>
        <v>0</v>
      </c>
      <c r="F179" s="3">
        <f>IFERROR(__xludf.DUMMYFUNCTION("""COMPUTED_VALUE"""),0.0)</f>
        <v>0</v>
      </c>
      <c r="G179" s="3">
        <f>IFERROR(__xludf.DUMMYFUNCTION("""COMPUTED_VALUE"""),0.0)</f>
        <v>0</v>
      </c>
      <c r="H179" s="3">
        <f>IFERROR(__xludf.DUMMYFUNCTION("""COMPUTED_VALUE"""),0.0)</f>
        <v>0</v>
      </c>
      <c r="I179" s="3">
        <f>IFERROR(__xludf.DUMMYFUNCTION("""COMPUTED_VALUE"""),0.0)</f>
        <v>0</v>
      </c>
      <c r="J179" s="3">
        <f>IFERROR(__xludf.DUMMYFUNCTION("""COMPUTED_VALUE"""),0.0)</f>
        <v>0</v>
      </c>
      <c r="K179" s="3">
        <f>IFERROR(__xludf.DUMMYFUNCTION("""COMPUTED_VALUE"""),0.0)</f>
        <v>0</v>
      </c>
      <c r="L179" s="3">
        <f>IFERROR(__xludf.DUMMYFUNCTION("""COMPUTED_VALUE"""),0.0)</f>
        <v>0</v>
      </c>
      <c r="M179" s="3">
        <f>IFERROR(__xludf.DUMMYFUNCTION("""COMPUTED_VALUE"""),0.0)</f>
        <v>0</v>
      </c>
      <c r="N179" s="3">
        <f>IFERROR(__xludf.DUMMYFUNCTION("""COMPUTED_VALUE"""),0.0)</f>
        <v>0</v>
      </c>
      <c r="O179" s="3">
        <f>IFERROR(__xludf.DUMMYFUNCTION("""COMPUTED_VALUE"""),0.0)</f>
        <v>0</v>
      </c>
      <c r="P179" s="3">
        <f>IFERROR(__xludf.DUMMYFUNCTION("""COMPUTED_VALUE"""),0.0)</f>
        <v>0</v>
      </c>
      <c r="Q179" s="3">
        <f>IFERROR(__xludf.DUMMYFUNCTION("""COMPUTED_VALUE"""),0.0)</f>
        <v>0</v>
      </c>
      <c r="R179" s="3">
        <f>IFERROR(__xludf.DUMMYFUNCTION("""COMPUTED_VALUE"""),0.0)</f>
        <v>0</v>
      </c>
      <c r="S179" s="3">
        <f>IFERROR(__xludf.DUMMYFUNCTION("""COMPUTED_VALUE"""),0.0)</f>
        <v>0</v>
      </c>
      <c r="T179" s="3">
        <f>IFERROR(__xludf.DUMMYFUNCTION("""COMPUTED_VALUE"""),0.0)</f>
        <v>0</v>
      </c>
      <c r="U179" s="3">
        <f>IFERROR(__xludf.DUMMYFUNCTION("""COMPUTED_VALUE"""),0.0)</f>
        <v>0</v>
      </c>
      <c r="V179" s="3">
        <f>IFERROR(__xludf.DUMMYFUNCTION("""COMPUTED_VALUE"""),0.0)</f>
        <v>0</v>
      </c>
      <c r="W179" s="3">
        <f>IFERROR(__xludf.DUMMYFUNCTION("""COMPUTED_VALUE"""),0.0)</f>
        <v>0</v>
      </c>
      <c r="X179" s="3">
        <f>IFERROR(__xludf.DUMMYFUNCTION("""COMPUTED_VALUE"""),0.0)</f>
        <v>0</v>
      </c>
      <c r="Y179" s="3">
        <f>IFERROR(__xludf.DUMMYFUNCTION("""COMPUTED_VALUE"""),0.0)</f>
        <v>0</v>
      </c>
      <c r="Z179" s="3">
        <f>IFERROR(__xludf.DUMMYFUNCTION("""COMPUTED_VALUE"""),0.0)</f>
        <v>0</v>
      </c>
      <c r="AA179" s="3">
        <f>IFERROR(__xludf.DUMMYFUNCTION("""COMPUTED_VALUE"""),0.0)</f>
        <v>0</v>
      </c>
      <c r="AB179" s="3">
        <f>IFERROR(__xludf.DUMMYFUNCTION("""COMPUTED_VALUE"""),0.0)</f>
        <v>0</v>
      </c>
      <c r="AC179" s="3">
        <f>IFERROR(__xludf.DUMMYFUNCTION("""COMPUTED_VALUE"""),0.0)</f>
        <v>0</v>
      </c>
      <c r="AD179" s="3">
        <f>IFERROR(__xludf.DUMMYFUNCTION("""COMPUTED_VALUE"""),0.0)</f>
        <v>0</v>
      </c>
      <c r="AE179" s="3">
        <f>IFERROR(__xludf.DUMMYFUNCTION("""COMPUTED_VALUE"""),0.0)</f>
        <v>0</v>
      </c>
      <c r="AF179" s="3">
        <f>IFERROR(__xludf.DUMMYFUNCTION("""COMPUTED_VALUE"""),0.0)</f>
        <v>0</v>
      </c>
      <c r="AG179" s="3">
        <f>IFERROR(__xludf.DUMMYFUNCTION("""COMPUTED_VALUE"""),0.0)</f>
        <v>0</v>
      </c>
      <c r="AH179" s="3">
        <f>IFERROR(__xludf.DUMMYFUNCTION("""COMPUTED_VALUE"""),0.0)</f>
        <v>0</v>
      </c>
      <c r="AI179" s="3">
        <f>IFERROR(__xludf.DUMMYFUNCTION("""COMPUTED_VALUE"""),0.0)</f>
        <v>0</v>
      </c>
      <c r="AJ179" s="3">
        <f>IFERROR(__xludf.DUMMYFUNCTION("""COMPUTED_VALUE"""),0.0)</f>
        <v>0</v>
      </c>
      <c r="AK179" s="3">
        <f>IFERROR(__xludf.DUMMYFUNCTION("""COMPUTED_VALUE"""),0.0)</f>
        <v>0</v>
      </c>
      <c r="AL179" s="3">
        <f>IFERROR(__xludf.DUMMYFUNCTION("""COMPUTED_VALUE"""),0.0)</f>
        <v>0</v>
      </c>
      <c r="AM179" s="3">
        <f>IFERROR(__xludf.DUMMYFUNCTION("""COMPUTED_VALUE"""),0.0)</f>
        <v>0</v>
      </c>
      <c r="AN179" s="3">
        <f>IFERROR(__xludf.DUMMYFUNCTION("""COMPUTED_VALUE"""),2.0)</f>
        <v>2</v>
      </c>
      <c r="AO179" s="3">
        <f>IFERROR(__xludf.DUMMYFUNCTION("""COMPUTED_VALUE"""),2.0)</f>
        <v>2</v>
      </c>
      <c r="AP179" s="3">
        <f>IFERROR(__xludf.DUMMYFUNCTION("""COMPUTED_VALUE"""),2.0)</f>
        <v>2</v>
      </c>
      <c r="AQ179" s="3">
        <f>IFERROR(__xludf.DUMMYFUNCTION("""COMPUTED_VALUE"""),4.0)</f>
        <v>4</v>
      </c>
      <c r="AR179" s="3">
        <f>IFERROR(__xludf.DUMMYFUNCTION("""COMPUTED_VALUE"""),4.0)</f>
        <v>4</v>
      </c>
      <c r="AS179" s="3">
        <f>IFERROR(__xludf.DUMMYFUNCTION("""COMPUTED_VALUE"""),4.0)</f>
        <v>4</v>
      </c>
      <c r="AT179" s="3">
        <f>IFERROR(__xludf.DUMMYFUNCTION("""COMPUTED_VALUE"""),5.0)</f>
        <v>5</v>
      </c>
      <c r="AU179" s="3">
        <f>IFERROR(__xludf.DUMMYFUNCTION("""COMPUTED_VALUE"""),5.0)</f>
        <v>5</v>
      </c>
      <c r="AV179" s="3">
        <f>IFERROR(__xludf.DUMMYFUNCTION("""COMPUTED_VALUE"""),5.0)</f>
        <v>5</v>
      </c>
      <c r="AW179" s="3">
        <f>IFERROR(__xludf.DUMMYFUNCTION("""COMPUTED_VALUE"""),6.0)</f>
        <v>6</v>
      </c>
      <c r="AX179" s="3">
        <f>IFERROR(__xludf.DUMMYFUNCTION("""COMPUTED_VALUE"""),6.0)</f>
        <v>6</v>
      </c>
      <c r="AY179" s="3">
        <f>IFERROR(__xludf.DUMMYFUNCTION("""COMPUTED_VALUE"""),6.0)</f>
        <v>6</v>
      </c>
      <c r="AZ179" s="3">
        <f>IFERROR(__xludf.DUMMYFUNCTION("""COMPUTED_VALUE"""),6.0)</f>
        <v>6</v>
      </c>
      <c r="BA179" s="3">
        <f>IFERROR(__xludf.DUMMYFUNCTION("""COMPUTED_VALUE"""),16.0)</f>
        <v>16</v>
      </c>
      <c r="BB179" s="3">
        <f>IFERROR(__xludf.DUMMYFUNCTION("""COMPUTED_VALUE"""),19.0)</f>
        <v>19</v>
      </c>
      <c r="BC179" s="3">
        <f>IFERROR(__xludf.DUMMYFUNCTION("""COMPUTED_VALUE"""),20.0)</f>
        <v>20</v>
      </c>
      <c r="BD179" s="3">
        <f>IFERROR(__xludf.DUMMYFUNCTION("""COMPUTED_VALUE"""),28.0)</f>
        <v>28</v>
      </c>
      <c r="BE179" s="3">
        <f>IFERROR(__xludf.DUMMYFUNCTION("""COMPUTED_VALUE"""),31.0)</f>
        <v>31</v>
      </c>
      <c r="BF179" s="3">
        <f>IFERROR(__xludf.DUMMYFUNCTION("""COMPUTED_VALUE"""),53.0)</f>
        <v>53</v>
      </c>
      <c r="BG179" s="3">
        <f>IFERROR(__xludf.DUMMYFUNCTION("""COMPUTED_VALUE"""),136.0)</f>
        <v>136</v>
      </c>
      <c r="BH179" s="3">
        <f>IFERROR(__xludf.DUMMYFUNCTION("""COMPUTED_VALUE"""),236.0)</f>
        <v>236</v>
      </c>
      <c r="BI179" s="3">
        <f>IFERROR(__xludf.DUMMYFUNCTION("""COMPUTED_VALUE"""),299.0)</f>
        <v>299</v>
      </c>
      <c r="BJ179" s="3">
        <f>IFERROR(__xludf.DUMMYFUNCTION("""COMPUTED_VALUE"""),454.0)</f>
        <v>454</v>
      </c>
      <c r="BK179" s="3">
        <f>IFERROR(__xludf.DUMMYFUNCTION("""COMPUTED_VALUE"""),501.0)</f>
        <v>501</v>
      </c>
      <c r="BL179" s="3">
        <f>IFERROR(__xludf.DUMMYFUNCTION("""COMPUTED_VALUE"""),730.0)</f>
        <v>730</v>
      </c>
      <c r="BM179" s="3">
        <f>IFERROR(__xludf.DUMMYFUNCTION("""COMPUTED_VALUE"""),776.0)</f>
        <v>776</v>
      </c>
      <c r="BN179" s="3">
        <f>IFERROR(__xludf.DUMMYFUNCTION("""COMPUTED_VALUE"""),875.0)</f>
        <v>875</v>
      </c>
      <c r="BO179" s="3">
        <f>IFERROR(__xludf.DUMMYFUNCTION("""COMPUTED_VALUE"""),972.0)</f>
        <v>972</v>
      </c>
      <c r="BP179" s="3">
        <f>IFERROR(__xludf.DUMMYFUNCTION("""COMPUTED_VALUE"""),1063.0)</f>
        <v>1063</v>
      </c>
      <c r="BQ179" s="3">
        <f>IFERROR(__xludf.DUMMYFUNCTION("""COMPUTED_VALUE"""),1201.0)</f>
        <v>1201</v>
      </c>
      <c r="BR179" s="3">
        <f>IFERROR(__xludf.DUMMYFUNCTION("""COMPUTED_VALUE"""),1373.0)</f>
        <v>1373</v>
      </c>
      <c r="BS179" s="3">
        <f>IFERROR(__xludf.DUMMYFUNCTION("""COMPUTED_VALUE"""),1495.0)</f>
        <v>1495</v>
      </c>
      <c r="BT179" s="3">
        <f>IFERROR(__xludf.DUMMYFUNCTION("""COMPUTED_VALUE"""),1597.0)</f>
        <v>1597</v>
      </c>
      <c r="BU179" s="3">
        <f>IFERROR(__xludf.DUMMYFUNCTION("""COMPUTED_VALUE"""),1717.0)</f>
        <v>1717</v>
      </c>
      <c r="BV179" s="3">
        <f>IFERROR(__xludf.DUMMYFUNCTION("""COMPUTED_VALUE"""),1938.0)</f>
        <v>1938</v>
      </c>
      <c r="BW179" s="3">
        <f>IFERROR(__xludf.DUMMYFUNCTION("""COMPUTED_VALUE"""),2118.0)</f>
        <v>2118</v>
      </c>
      <c r="BX179" s="3">
        <f>IFERROR(__xludf.DUMMYFUNCTION("""COMPUTED_VALUE"""),2421.0)</f>
        <v>2421</v>
      </c>
      <c r="BY179" s="3">
        <f>IFERROR(__xludf.DUMMYFUNCTION("""COMPUTED_VALUE"""),2686.0)</f>
        <v>2686</v>
      </c>
      <c r="BZ179" s="3">
        <f>IFERROR(__xludf.DUMMYFUNCTION("""COMPUTED_VALUE"""),2818.0)</f>
        <v>2818</v>
      </c>
      <c r="CA179" s="3">
        <f>IFERROR(__xludf.DUMMYFUNCTION("""COMPUTED_VALUE"""),3157.0)</f>
        <v>3157</v>
      </c>
      <c r="CB179" s="3">
        <f>IFERROR(__xludf.DUMMYFUNCTION("""COMPUTED_VALUE"""),3766.0)</f>
        <v>3766</v>
      </c>
    </row>
    <row r="180">
      <c r="A180" s="3" t="str">
        <f>IFERROR(__xludf.DUMMYFUNCTION("""COMPUTED_VALUE"""),"")</f>
        <v/>
      </c>
      <c r="B180" s="3" t="str">
        <f>IFERROR(__xludf.DUMMYFUNCTION("""COMPUTED_VALUE"""),"Panama")</f>
        <v>Panama</v>
      </c>
      <c r="C180" s="3">
        <f>IFERROR(__xludf.DUMMYFUNCTION("""COMPUTED_VALUE"""),8.538)</f>
        <v>8.538</v>
      </c>
      <c r="D180" s="3">
        <f>IFERROR(__xludf.DUMMYFUNCTION("""COMPUTED_VALUE"""),-80.7821)</f>
        <v>-80.7821</v>
      </c>
      <c r="E180" s="3">
        <f>IFERROR(__xludf.DUMMYFUNCTION("""COMPUTED_VALUE"""),0.0)</f>
        <v>0</v>
      </c>
      <c r="F180" s="3">
        <f>IFERROR(__xludf.DUMMYFUNCTION("""COMPUTED_VALUE"""),0.0)</f>
        <v>0</v>
      </c>
      <c r="G180" s="3">
        <f>IFERROR(__xludf.DUMMYFUNCTION("""COMPUTED_VALUE"""),0.0)</f>
        <v>0</v>
      </c>
      <c r="H180" s="3">
        <f>IFERROR(__xludf.DUMMYFUNCTION("""COMPUTED_VALUE"""),0.0)</f>
        <v>0</v>
      </c>
      <c r="I180" s="3">
        <f>IFERROR(__xludf.DUMMYFUNCTION("""COMPUTED_VALUE"""),0.0)</f>
        <v>0</v>
      </c>
      <c r="J180" s="3">
        <f>IFERROR(__xludf.DUMMYFUNCTION("""COMPUTED_VALUE"""),0.0)</f>
        <v>0</v>
      </c>
      <c r="K180" s="3">
        <f>IFERROR(__xludf.DUMMYFUNCTION("""COMPUTED_VALUE"""),0.0)</f>
        <v>0</v>
      </c>
      <c r="L180" s="3">
        <f>IFERROR(__xludf.DUMMYFUNCTION("""COMPUTED_VALUE"""),0.0)</f>
        <v>0</v>
      </c>
      <c r="M180" s="3">
        <f>IFERROR(__xludf.DUMMYFUNCTION("""COMPUTED_VALUE"""),0.0)</f>
        <v>0</v>
      </c>
      <c r="N180" s="3">
        <f>IFERROR(__xludf.DUMMYFUNCTION("""COMPUTED_VALUE"""),0.0)</f>
        <v>0</v>
      </c>
      <c r="O180" s="3">
        <f>IFERROR(__xludf.DUMMYFUNCTION("""COMPUTED_VALUE"""),0.0)</f>
        <v>0</v>
      </c>
      <c r="P180" s="3">
        <f>IFERROR(__xludf.DUMMYFUNCTION("""COMPUTED_VALUE"""),0.0)</f>
        <v>0</v>
      </c>
      <c r="Q180" s="3">
        <f>IFERROR(__xludf.DUMMYFUNCTION("""COMPUTED_VALUE"""),0.0)</f>
        <v>0</v>
      </c>
      <c r="R180" s="3">
        <f>IFERROR(__xludf.DUMMYFUNCTION("""COMPUTED_VALUE"""),0.0)</f>
        <v>0</v>
      </c>
      <c r="S180" s="3">
        <f>IFERROR(__xludf.DUMMYFUNCTION("""COMPUTED_VALUE"""),0.0)</f>
        <v>0</v>
      </c>
      <c r="T180" s="3">
        <f>IFERROR(__xludf.DUMMYFUNCTION("""COMPUTED_VALUE"""),0.0)</f>
        <v>0</v>
      </c>
      <c r="U180" s="3">
        <f>IFERROR(__xludf.DUMMYFUNCTION("""COMPUTED_VALUE"""),0.0)</f>
        <v>0</v>
      </c>
      <c r="V180" s="3">
        <f>IFERROR(__xludf.DUMMYFUNCTION("""COMPUTED_VALUE"""),0.0)</f>
        <v>0</v>
      </c>
      <c r="W180" s="3">
        <f>IFERROR(__xludf.DUMMYFUNCTION("""COMPUTED_VALUE"""),0.0)</f>
        <v>0</v>
      </c>
      <c r="X180" s="3">
        <f>IFERROR(__xludf.DUMMYFUNCTION("""COMPUTED_VALUE"""),0.0)</f>
        <v>0</v>
      </c>
      <c r="Y180" s="3">
        <f>IFERROR(__xludf.DUMMYFUNCTION("""COMPUTED_VALUE"""),0.0)</f>
        <v>0</v>
      </c>
      <c r="Z180" s="3">
        <f>IFERROR(__xludf.DUMMYFUNCTION("""COMPUTED_VALUE"""),0.0)</f>
        <v>0</v>
      </c>
      <c r="AA180" s="3">
        <f>IFERROR(__xludf.DUMMYFUNCTION("""COMPUTED_VALUE"""),0.0)</f>
        <v>0</v>
      </c>
      <c r="AB180" s="3">
        <f>IFERROR(__xludf.DUMMYFUNCTION("""COMPUTED_VALUE"""),0.0)</f>
        <v>0</v>
      </c>
      <c r="AC180" s="3">
        <f>IFERROR(__xludf.DUMMYFUNCTION("""COMPUTED_VALUE"""),0.0)</f>
        <v>0</v>
      </c>
      <c r="AD180" s="3">
        <f>IFERROR(__xludf.DUMMYFUNCTION("""COMPUTED_VALUE"""),0.0)</f>
        <v>0</v>
      </c>
      <c r="AE180" s="3">
        <f>IFERROR(__xludf.DUMMYFUNCTION("""COMPUTED_VALUE"""),0.0)</f>
        <v>0</v>
      </c>
      <c r="AF180" s="3">
        <f>IFERROR(__xludf.DUMMYFUNCTION("""COMPUTED_VALUE"""),0.0)</f>
        <v>0</v>
      </c>
      <c r="AG180" s="3">
        <f>IFERROR(__xludf.DUMMYFUNCTION("""COMPUTED_VALUE"""),0.0)</f>
        <v>0</v>
      </c>
      <c r="AH180" s="3">
        <f>IFERROR(__xludf.DUMMYFUNCTION("""COMPUTED_VALUE"""),0.0)</f>
        <v>0</v>
      </c>
      <c r="AI180" s="3">
        <f>IFERROR(__xludf.DUMMYFUNCTION("""COMPUTED_VALUE"""),0.0)</f>
        <v>0</v>
      </c>
      <c r="AJ180" s="3">
        <f>IFERROR(__xludf.DUMMYFUNCTION("""COMPUTED_VALUE"""),0.0)</f>
        <v>0</v>
      </c>
      <c r="AK180" s="3">
        <f>IFERROR(__xludf.DUMMYFUNCTION("""COMPUTED_VALUE"""),0.0)</f>
        <v>0</v>
      </c>
      <c r="AL180" s="3">
        <f>IFERROR(__xludf.DUMMYFUNCTION("""COMPUTED_VALUE"""),0.0)</f>
        <v>0</v>
      </c>
      <c r="AM180" s="3">
        <f>IFERROR(__xludf.DUMMYFUNCTION("""COMPUTED_VALUE"""),0.0)</f>
        <v>0</v>
      </c>
      <c r="AN180" s="3">
        <f>IFERROR(__xludf.DUMMYFUNCTION("""COMPUTED_VALUE"""),0.0)</f>
        <v>0</v>
      </c>
      <c r="AO180" s="3">
        <f>IFERROR(__xludf.DUMMYFUNCTION("""COMPUTED_VALUE"""),0.0)</f>
        <v>0</v>
      </c>
      <c r="AP180" s="3">
        <f>IFERROR(__xludf.DUMMYFUNCTION("""COMPUTED_VALUE"""),0.0)</f>
        <v>0</v>
      </c>
      <c r="AQ180" s="3">
        <f>IFERROR(__xludf.DUMMYFUNCTION("""COMPUTED_VALUE"""),0.0)</f>
        <v>0</v>
      </c>
      <c r="AR180" s="3">
        <f>IFERROR(__xludf.DUMMYFUNCTION("""COMPUTED_VALUE"""),0.0)</f>
        <v>0</v>
      </c>
      <c r="AS180" s="3">
        <f>IFERROR(__xludf.DUMMYFUNCTION("""COMPUTED_VALUE"""),0.0)</f>
        <v>0</v>
      </c>
      <c r="AT180" s="3">
        <f>IFERROR(__xludf.DUMMYFUNCTION("""COMPUTED_VALUE"""),0.0)</f>
        <v>0</v>
      </c>
      <c r="AU180" s="3">
        <f>IFERROR(__xludf.DUMMYFUNCTION("""COMPUTED_VALUE"""),0.0)</f>
        <v>0</v>
      </c>
      <c r="AV180" s="3">
        <f>IFERROR(__xludf.DUMMYFUNCTION("""COMPUTED_VALUE"""),0.0)</f>
        <v>0</v>
      </c>
      <c r="AW180" s="3">
        <f>IFERROR(__xludf.DUMMYFUNCTION("""COMPUTED_VALUE"""),0.0)</f>
        <v>0</v>
      </c>
      <c r="AX180" s="3">
        <f>IFERROR(__xludf.DUMMYFUNCTION("""COMPUTED_VALUE"""),0.0)</f>
        <v>0</v>
      </c>
      <c r="AY180" s="3">
        <f>IFERROR(__xludf.DUMMYFUNCTION("""COMPUTED_VALUE"""),0.0)</f>
        <v>0</v>
      </c>
      <c r="AZ180" s="3">
        <f>IFERROR(__xludf.DUMMYFUNCTION("""COMPUTED_VALUE"""),0.0)</f>
        <v>0</v>
      </c>
      <c r="BA180" s="3">
        <f>IFERROR(__xludf.DUMMYFUNCTION("""COMPUTED_VALUE"""),1.0)</f>
        <v>1</v>
      </c>
      <c r="BB180" s="3">
        <f>IFERROR(__xludf.DUMMYFUNCTION("""COMPUTED_VALUE"""),8.0)</f>
        <v>8</v>
      </c>
      <c r="BC180" s="3">
        <f>IFERROR(__xludf.DUMMYFUNCTION("""COMPUTED_VALUE"""),11.0)</f>
        <v>11</v>
      </c>
      <c r="BD180" s="3">
        <f>IFERROR(__xludf.DUMMYFUNCTION("""COMPUTED_VALUE"""),27.0)</f>
        <v>27</v>
      </c>
      <c r="BE180" s="3">
        <f>IFERROR(__xludf.DUMMYFUNCTION("""COMPUTED_VALUE"""),36.0)</f>
        <v>36</v>
      </c>
      <c r="BF180" s="3">
        <f>IFERROR(__xludf.DUMMYFUNCTION("""COMPUTED_VALUE"""),43.0)</f>
        <v>43</v>
      </c>
      <c r="BG180" s="3">
        <f>IFERROR(__xludf.DUMMYFUNCTION("""COMPUTED_VALUE"""),55.0)</f>
        <v>55</v>
      </c>
      <c r="BH180" s="3">
        <f>IFERROR(__xludf.DUMMYFUNCTION("""COMPUTED_VALUE"""),69.0)</f>
        <v>69</v>
      </c>
      <c r="BI180" s="3">
        <f>IFERROR(__xludf.DUMMYFUNCTION("""COMPUTED_VALUE"""),86.0)</f>
        <v>86</v>
      </c>
      <c r="BJ180" s="3">
        <f>IFERROR(__xludf.DUMMYFUNCTION("""COMPUTED_VALUE"""),109.0)</f>
        <v>109</v>
      </c>
      <c r="BK180" s="3">
        <f>IFERROR(__xludf.DUMMYFUNCTION("""COMPUTED_VALUE"""),137.0)</f>
        <v>137</v>
      </c>
      <c r="BL180" s="3">
        <f>IFERROR(__xludf.DUMMYFUNCTION("""COMPUTED_VALUE"""),200.0)</f>
        <v>200</v>
      </c>
      <c r="BM180" s="3">
        <f>IFERROR(__xludf.DUMMYFUNCTION("""COMPUTED_VALUE"""),313.0)</f>
        <v>313</v>
      </c>
      <c r="BN180" s="3">
        <f>IFERROR(__xludf.DUMMYFUNCTION("""COMPUTED_VALUE"""),345.0)</f>
        <v>345</v>
      </c>
      <c r="BO180" s="3">
        <f>IFERROR(__xludf.DUMMYFUNCTION("""COMPUTED_VALUE"""),345.0)</f>
        <v>345</v>
      </c>
      <c r="BP180" s="3">
        <f>IFERROR(__xludf.DUMMYFUNCTION("""COMPUTED_VALUE"""),443.0)</f>
        <v>443</v>
      </c>
      <c r="BQ180" s="3">
        <f>IFERROR(__xludf.DUMMYFUNCTION("""COMPUTED_VALUE"""),558.0)</f>
        <v>558</v>
      </c>
      <c r="BR180" s="3">
        <f>IFERROR(__xludf.DUMMYFUNCTION("""COMPUTED_VALUE"""),674.0)</f>
        <v>674</v>
      </c>
      <c r="BS180" s="3">
        <f>IFERROR(__xludf.DUMMYFUNCTION("""COMPUTED_VALUE"""),786.0)</f>
        <v>786</v>
      </c>
      <c r="BT180" s="3">
        <f>IFERROR(__xludf.DUMMYFUNCTION("""COMPUTED_VALUE"""),901.0)</f>
        <v>901</v>
      </c>
      <c r="BU180" s="3">
        <f>IFERROR(__xludf.DUMMYFUNCTION("""COMPUTED_VALUE"""),989.0)</f>
        <v>989</v>
      </c>
      <c r="BV180" s="3">
        <f>IFERROR(__xludf.DUMMYFUNCTION("""COMPUTED_VALUE"""),1181.0)</f>
        <v>1181</v>
      </c>
      <c r="BW180" s="3">
        <f>IFERROR(__xludf.DUMMYFUNCTION("""COMPUTED_VALUE"""),1181.0)</f>
        <v>1181</v>
      </c>
      <c r="BX180" s="3">
        <f>IFERROR(__xludf.DUMMYFUNCTION("""COMPUTED_VALUE"""),1317.0)</f>
        <v>1317</v>
      </c>
      <c r="BY180" s="3">
        <f>IFERROR(__xludf.DUMMYFUNCTION("""COMPUTED_VALUE"""),1475.0)</f>
        <v>1475</v>
      </c>
      <c r="BZ180" s="3">
        <f>IFERROR(__xludf.DUMMYFUNCTION("""COMPUTED_VALUE"""),1673.0)</f>
        <v>1673</v>
      </c>
      <c r="CA180" s="3">
        <f>IFERROR(__xludf.DUMMYFUNCTION("""COMPUTED_VALUE"""),1801.0)</f>
        <v>1801</v>
      </c>
      <c r="CB180" s="3">
        <f>IFERROR(__xludf.DUMMYFUNCTION("""COMPUTED_VALUE"""),1988.0)</f>
        <v>1988</v>
      </c>
    </row>
    <row r="181">
      <c r="A181" s="3" t="str">
        <f>IFERROR(__xludf.DUMMYFUNCTION("""COMPUTED_VALUE"""),"")</f>
        <v/>
      </c>
      <c r="B181" s="3" t="str">
        <f>IFERROR(__xludf.DUMMYFUNCTION("""COMPUTED_VALUE"""),"Papua New Guinea")</f>
        <v>Papua New Guinea</v>
      </c>
      <c r="C181" s="3">
        <f>IFERROR(__xludf.DUMMYFUNCTION("""COMPUTED_VALUE"""),-6.315)</f>
        <v>-6.315</v>
      </c>
      <c r="D181" s="3">
        <f>IFERROR(__xludf.DUMMYFUNCTION("""COMPUTED_VALUE"""),143.9555)</f>
        <v>143.9555</v>
      </c>
      <c r="E181" s="3">
        <f>IFERROR(__xludf.DUMMYFUNCTION("""COMPUTED_VALUE"""),0.0)</f>
        <v>0</v>
      </c>
      <c r="F181" s="3">
        <f>IFERROR(__xludf.DUMMYFUNCTION("""COMPUTED_VALUE"""),0.0)</f>
        <v>0</v>
      </c>
      <c r="G181" s="3">
        <f>IFERROR(__xludf.DUMMYFUNCTION("""COMPUTED_VALUE"""),0.0)</f>
        <v>0</v>
      </c>
      <c r="H181" s="3">
        <f>IFERROR(__xludf.DUMMYFUNCTION("""COMPUTED_VALUE"""),0.0)</f>
        <v>0</v>
      </c>
      <c r="I181" s="3">
        <f>IFERROR(__xludf.DUMMYFUNCTION("""COMPUTED_VALUE"""),0.0)</f>
        <v>0</v>
      </c>
      <c r="J181" s="3">
        <f>IFERROR(__xludf.DUMMYFUNCTION("""COMPUTED_VALUE"""),0.0)</f>
        <v>0</v>
      </c>
      <c r="K181" s="3">
        <f>IFERROR(__xludf.DUMMYFUNCTION("""COMPUTED_VALUE"""),0.0)</f>
        <v>0</v>
      </c>
      <c r="L181" s="3">
        <f>IFERROR(__xludf.DUMMYFUNCTION("""COMPUTED_VALUE"""),0.0)</f>
        <v>0</v>
      </c>
      <c r="M181" s="3">
        <f>IFERROR(__xludf.DUMMYFUNCTION("""COMPUTED_VALUE"""),0.0)</f>
        <v>0</v>
      </c>
      <c r="N181" s="3">
        <f>IFERROR(__xludf.DUMMYFUNCTION("""COMPUTED_VALUE"""),0.0)</f>
        <v>0</v>
      </c>
      <c r="O181" s="3">
        <f>IFERROR(__xludf.DUMMYFUNCTION("""COMPUTED_VALUE"""),0.0)</f>
        <v>0</v>
      </c>
      <c r="P181" s="3">
        <f>IFERROR(__xludf.DUMMYFUNCTION("""COMPUTED_VALUE"""),0.0)</f>
        <v>0</v>
      </c>
      <c r="Q181" s="3">
        <f>IFERROR(__xludf.DUMMYFUNCTION("""COMPUTED_VALUE"""),0.0)</f>
        <v>0</v>
      </c>
      <c r="R181" s="3">
        <f>IFERROR(__xludf.DUMMYFUNCTION("""COMPUTED_VALUE"""),0.0)</f>
        <v>0</v>
      </c>
      <c r="S181" s="3">
        <f>IFERROR(__xludf.DUMMYFUNCTION("""COMPUTED_VALUE"""),0.0)</f>
        <v>0</v>
      </c>
      <c r="T181" s="3">
        <f>IFERROR(__xludf.DUMMYFUNCTION("""COMPUTED_VALUE"""),0.0)</f>
        <v>0</v>
      </c>
      <c r="U181" s="3">
        <f>IFERROR(__xludf.DUMMYFUNCTION("""COMPUTED_VALUE"""),0.0)</f>
        <v>0</v>
      </c>
      <c r="V181" s="3">
        <f>IFERROR(__xludf.DUMMYFUNCTION("""COMPUTED_VALUE"""),0.0)</f>
        <v>0</v>
      </c>
      <c r="W181" s="3">
        <f>IFERROR(__xludf.DUMMYFUNCTION("""COMPUTED_VALUE"""),0.0)</f>
        <v>0</v>
      </c>
      <c r="X181" s="3">
        <f>IFERROR(__xludf.DUMMYFUNCTION("""COMPUTED_VALUE"""),0.0)</f>
        <v>0</v>
      </c>
      <c r="Y181" s="3">
        <f>IFERROR(__xludf.DUMMYFUNCTION("""COMPUTED_VALUE"""),0.0)</f>
        <v>0</v>
      </c>
      <c r="Z181" s="3">
        <f>IFERROR(__xludf.DUMMYFUNCTION("""COMPUTED_VALUE"""),0.0)</f>
        <v>0</v>
      </c>
      <c r="AA181" s="3">
        <f>IFERROR(__xludf.DUMMYFUNCTION("""COMPUTED_VALUE"""),0.0)</f>
        <v>0</v>
      </c>
      <c r="AB181" s="3">
        <f>IFERROR(__xludf.DUMMYFUNCTION("""COMPUTED_VALUE"""),0.0)</f>
        <v>0</v>
      </c>
      <c r="AC181" s="3">
        <f>IFERROR(__xludf.DUMMYFUNCTION("""COMPUTED_VALUE"""),0.0)</f>
        <v>0</v>
      </c>
      <c r="AD181" s="3">
        <f>IFERROR(__xludf.DUMMYFUNCTION("""COMPUTED_VALUE"""),0.0)</f>
        <v>0</v>
      </c>
      <c r="AE181" s="3">
        <f>IFERROR(__xludf.DUMMYFUNCTION("""COMPUTED_VALUE"""),0.0)</f>
        <v>0</v>
      </c>
      <c r="AF181" s="3">
        <f>IFERROR(__xludf.DUMMYFUNCTION("""COMPUTED_VALUE"""),0.0)</f>
        <v>0</v>
      </c>
      <c r="AG181" s="3">
        <f>IFERROR(__xludf.DUMMYFUNCTION("""COMPUTED_VALUE"""),0.0)</f>
        <v>0</v>
      </c>
      <c r="AH181" s="3">
        <f>IFERROR(__xludf.DUMMYFUNCTION("""COMPUTED_VALUE"""),0.0)</f>
        <v>0</v>
      </c>
      <c r="AI181" s="3">
        <f>IFERROR(__xludf.DUMMYFUNCTION("""COMPUTED_VALUE"""),0.0)</f>
        <v>0</v>
      </c>
      <c r="AJ181" s="3">
        <f>IFERROR(__xludf.DUMMYFUNCTION("""COMPUTED_VALUE"""),0.0)</f>
        <v>0</v>
      </c>
      <c r="AK181" s="3">
        <f>IFERROR(__xludf.DUMMYFUNCTION("""COMPUTED_VALUE"""),0.0)</f>
        <v>0</v>
      </c>
      <c r="AL181" s="3">
        <f>IFERROR(__xludf.DUMMYFUNCTION("""COMPUTED_VALUE"""),0.0)</f>
        <v>0</v>
      </c>
      <c r="AM181" s="3">
        <f>IFERROR(__xludf.DUMMYFUNCTION("""COMPUTED_VALUE"""),0.0)</f>
        <v>0</v>
      </c>
      <c r="AN181" s="3">
        <f>IFERROR(__xludf.DUMMYFUNCTION("""COMPUTED_VALUE"""),0.0)</f>
        <v>0</v>
      </c>
      <c r="AO181" s="3">
        <f>IFERROR(__xludf.DUMMYFUNCTION("""COMPUTED_VALUE"""),0.0)</f>
        <v>0</v>
      </c>
      <c r="AP181" s="3">
        <f>IFERROR(__xludf.DUMMYFUNCTION("""COMPUTED_VALUE"""),0.0)</f>
        <v>0</v>
      </c>
      <c r="AQ181" s="3">
        <f>IFERROR(__xludf.DUMMYFUNCTION("""COMPUTED_VALUE"""),0.0)</f>
        <v>0</v>
      </c>
      <c r="AR181" s="3">
        <f>IFERROR(__xludf.DUMMYFUNCTION("""COMPUTED_VALUE"""),0.0)</f>
        <v>0</v>
      </c>
      <c r="AS181" s="3">
        <f>IFERROR(__xludf.DUMMYFUNCTION("""COMPUTED_VALUE"""),0.0)</f>
        <v>0</v>
      </c>
      <c r="AT181" s="3">
        <f>IFERROR(__xludf.DUMMYFUNCTION("""COMPUTED_VALUE"""),0.0)</f>
        <v>0</v>
      </c>
      <c r="AU181" s="3">
        <f>IFERROR(__xludf.DUMMYFUNCTION("""COMPUTED_VALUE"""),0.0)</f>
        <v>0</v>
      </c>
      <c r="AV181" s="3">
        <f>IFERROR(__xludf.DUMMYFUNCTION("""COMPUTED_VALUE"""),0.0)</f>
        <v>0</v>
      </c>
      <c r="AW181" s="3">
        <f>IFERROR(__xludf.DUMMYFUNCTION("""COMPUTED_VALUE"""),0.0)</f>
        <v>0</v>
      </c>
      <c r="AX181" s="3">
        <f>IFERROR(__xludf.DUMMYFUNCTION("""COMPUTED_VALUE"""),0.0)</f>
        <v>0</v>
      </c>
      <c r="AY181" s="3">
        <f>IFERROR(__xludf.DUMMYFUNCTION("""COMPUTED_VALUE"""),0.0)</f>
        <v>0</v>
      </c>
      <c r="AZ181" s="3">
        <f>IFERROR(__xludf.DUMMYFUNCTION("""COMPUTED_VALUE"""),0.0)</f>
        <v>0</v>
      </c>
      <c r="BA181" s="3">
        <f>IFERROR(__xludf.DUMMYFUNCTION("""COMPUTED_VALUE"""),0.0)</f>
        <v>0</v>
      </c>
      <c r="BB181" s="3">
        <f>IFERROR(__xludf.DUMMYFUNCTION("""COMPUTED_VALUE"""),0.0)</f>
        <v>0</v>
      </c>
      <c r="BC181" s="3">
        <f>IFERROR(__xludf.DUMMYFUNCTION("""COMPUTED_VALUE"""),0.0)</f>
        <v>0</v>
      </c>
      <c r="BD181" s="3">
        <f>IFERROR(__xludf.DUMMYFUNCTION("""COMPUTED_VALUE"""),0.0)</f>
        <v>0</v>
      </c>
      <c r="BE181" s="3">
        <f>IFERROR(__xludf.DUMMYFUNCTION("""COMPUTED_VALUE"""),0.0)</f>
        <v>0</v>
      </c>
      <c r="BF181" s="3">
        <f>IFERROR(__xludf.DUMMYFUNCTION("""COMPUTED_VALUE"""),0.0)</f>
        <v>0</v>
      </c>
      <c r="BG181" s="3">
        <f>IFERROR(__xludf.DUMMYFUNCTION("""COMPUTED_VALUE"""),0.0)</f>
        <v>0</v>
      </c>
      <c r="BH181" s="3">
        <f>IFERROR(__xludf.DUMMYFUNCTION("""COMPUTED_VALUE"""),0.0)</f>
        <v>0</v>
      </c>
      <c r="BI181" s="3">
        <f>IFERROR(__xludf.DUMMYFUNCTION("""COMPUTED_VALUE"""),0.0)</f>
        <v>0</v>
      </c>
      <c r="BJ181" s="3">
        <f>IFERROR(__xludf.DUMMYFUNCTION("""COMPUTED_VALUE"""),0.0)</f>
        <v>0</v>
      </c>
      <c r="BK181" s="3">
        <f>IFERROR(__xludf.DUMMYFUNCTION("""COMPUTED_VALUE"""),1.0)</f>
        <v>1</v>
      </c>
      <c r="BL181" s="3">
        <f>IFERROR(__xludf.DUMMYFUNCTION("""COMPUTED_VALUE"""),1.0)</f>
        <v>1</v>
      </c>
      <c r="BM181" s="3">
        <f>IFERROR(__xludf.DUMMYFUNCTION("""COMPUTED_VALUE"""),1.0)</f>
        <v>1</v>
      </c>
      <c r="BN181" s="3">
        <f>IFERROR(__xludf.DUMMYFUNCTION("""COMPUTED_VALUE"""),1.0)</f>
        <v>1</v>
      </c>
      <c r="BO181" s="3">
        <f>IFERROR(__xludf.DUMMYFUNCTION("""COMPUTED_VALUE"""),1.0)</f>
        <v>1</v>
      </c>
      <c r="BP181" s="3">
        <f>IFERROR(__xludf.DUMMYFUNCTION("""COMPUTED_VALUE"""),1.0)</f>
        <v>1</v>
      </c>
      <c r="BQ181" s="3">
        <f>IFERROR(__xludf.DUMMYFUNCTION("""COMPUTED_VALUE"""),1.0)</f>
        <v>1</v>
      </c>
      <c r="BR181" s="3">
        <f>IFERROR(__xludf.DUMMYFUNCTION("""COMPUTED_VALUE"""),1.0)</f>
        <v>1</v>
      </c>
      <c r="BS181" s="3">
        <f>IFERROR(__xludf.DUMMYFUNCTION("""COMPUTED_VALUE"""),1.0)</f>
        <v>1</v>
      </c>
      <c r="BT181" s="3">
        <f>IFERROR(__xludf.DUMMYFUNCTION("""COMPUTED_VALUE"""),1.0)</f>
        <v>1</v>
      </c>
      <c r="BU181" s="3">
        <f>IFERROR(__xludf.DUMMYFUNCTION("""COMPUTED_VALUE"""),1.0)</f>
        <v>1</v>
      </c>
      <c r="BV181" s="3">
        <f>IFERROR(__xludf.DUMMYFUNCTION("""COMPUTED_VALUE"""),1.0)</f>
        <v>1</v>
      </c>
      <c r="BW181" s="3">
        <f>IFERROR(__xludf.DUMMYFUNCTION("""COMPUTED_VALUE"""),1.0)</f>
        <v>1</v>
      </c>
      <c r="BX181" s="3">
        <f>IFERROR(__xludf.DUMMYFUNCTION("""COMPUTED_VALUE"""),1.0)</f>
        <v>1</v>
      </c>
      <c r="BY181" s="3">
        <f>IFERROR(__xludf.DUMMYFUNCTION("""COMPUTED_VALUE"""),1.0)</f>
        <v>1</v>
      </c>
      <c r="BZ181" s="3">
        <f>IFERROR(__xludf.DUMMYFUNCTION("""COMPUTED_VALUE"""),1.0)</f>
        <v>1</v>
      </c>
      <c r="CA181" s="3">
        <f>IFERROR(__xludf.DUMMYFUNCTION("""COMPUTED_VALUE"""),1.0)</f>
        <v>1</v>
      </c>
      <c r="CB181" s="3">
        <f>IFERROR(__xludf.DUMMYFUNCTION("""COMPUTED_VALUE"""),2.0)</f>
        <v>2</v>
      </c>
    </row>
    <row r="182">
      <c r="A182" s="3" t="str">
        <f>IFERROR(__xludf.DUMMYFUNCTION("""COMPUTED_VALUE"""),"")</f>
        <v/>
      </c>
      <c r="B182" s="3" t="str">
        <f>IFERROR(__xludf.DUMMYFUNCTION("""COMPUTED_VALUE"""),"Paraguay")</f>
        <v>Paraguay</v>
      </c>
      <c r="C182" s="3">
        <f>IFERROR(__xludf.DUMMYFUNCTION("""COMPUTED_VALUE"""),-23.4425)</f>
        <v>-23.4425</v>
      </c>
      <c r="D182" s="3">
        <f>IFERROR(__xludf.DUMMYFUNCTION("""COMPUTED_VALUE"""),-58.4438)</f>
        <v>-58.4438</v>
      </c>
      <c r="E182" s="3">
        <f>IFERROR(__xludf.DUMMYFUNCTION("""COMPUTED_VALUE"""),0.0)</f>
        <v>0</v>
      </c>
      <c r="F182" s="3">
        <f>IFERROR(__xludf.DUMMYFUNCTION("""COMPUTED_VALUE"""),0.0)</f>
        <v>0</v>
      </c>
      <c r="G182" s="3">
        <f>IFERROR(__xludf.DUMMYFUNCTION("""COMPUTED_VALUE"""),0.0)</f>
        <v>0</v>
      </c>
      <c r="H182" s="3">
        <f>IFERROR(__xludf.DUMMYFUNCTION("""COMPUTED_VALUE"""),0.0)</f>
        <v>0</v>
      </c>
      <c r="I182" s="3">
        <f>IFERROR(__xludf.DUMMYFUNCTION("""COMPUTED_VALUE"""),0.0)</f>
        <v>0</v>
      </c>
      <c r="J182" s="3">
        <f>IFERROR(__xludf.DUMMYFUNCTION("""COMPUTED_VALUE"""),0.0)</f>
        <v>0</v>
      </c>
      <c r="K182" s="3">
        <f>IFERROR(__xludf.DUMMYFUNCTION("""COMPUTED_VALUE"""),0.0)</f>
        <v>0</v>
      </c>
      <c r="L182" s="3">
        <f>IFERROR(__xludf.DUMMYFUNCTION("""COMPUTED_VALUE"""),0.0)</f>
        <v>0</v>
      </c>
      <c r="M182" s="3">
        <f>IFERROR(__xludf.DUMMYFUNCTION("""COMPUTED_VALUE"""),0.0)</f>
        <v>0</v>
      </c>
      <c r="N182" s="3">
        <f>IFERROR(__xludf.DUMMYFUNCTION("""COMPUTED_VALUE"""),0.0)</f>
        <v>0</v>
      </c>
      <c r="O182" s="3">
        <f>IFERROR(__xludf.DUMMYFUNCTION("""COMPUTED_VALUE"""),0.0)</f>
        <v>0</v>
      </c>
      <c r="P182" s="3">
        <f>IFERROR(__xludf.DUMMYFUNCTION("""COMPUTED_VALUE"""),0.0)</f>
        <v>0</v>
      </c>
      <c r="Q182" s="3">
        <f>IFERROR(__xludf.DUMMYFUNCTION("""COMPUTED_VALUE"""),0.0)</f>
        <v>0</v>
      </c>
      <c r="R182" s="3">
        <f>IFERROR(__xludf.DUMMYFUNCTION("""COMPUTED_VALUE"""),0.0)</f>
        <v>0</v>
      </c>
      <c r="S182" s="3">
        <f>IFERROR(__xludf.DUMMYFUNCTION("""COMPUTED_VALUE"""),0.0)</f>
        <v>0</v>
      </c>
      <c r="T182" s="3">
        <f>IFERROR(__xludf.DUMMYFUNCTION("""COMPUTED_VALUE"""),0.0)</f>
        <v>0</v>
      </c>
      <c r="U182" s="3">
        <f>IFERROR(__xludf.DUMMYFUNCTION("""COMPUTED_VALUE"""),0.0)</f>
        <v>0</v>
      </c>
      <c r="V182" s="3">
        <f>IFERROR(__xludf.DUMMYFUNCTION("""COMPUTED_VALUE"""),0.0)</f>
        <v>0</v>
      </c>
      <c r="W182" s="3">
        <f>IFERROR(__xludf.DUMMYFUNCTION("""COMPUTED_VALUE"""),0.0)</f>
        <v>0</v>
      </c>
      <c r="X182" s="3">
        <f>IFERROR(__xludf.DUMMYFUNCTION("""COMPUTED_VALUE"""),0.0)</f>
        <v>0</v>
      </c>
      <c r="Y182" s="3">
        <f>IFERROR(__xludf.DUMMYFUNCTION("""COMPUTED_VALUE"""),0.0)</f>
        <v>0</v>
      </c>
      <c r="Z182" s="3">
        <f>IFERROR(__xludf.DUMMYFUNCTION("""COMPUTED_VALUE"""),0.0)</f>
        <v>0</v>
      </c>
      <c r="AA182" s="3">
        <f>IFERROR(__xludf.DUMMYFUNCTION("""COMPUTED_VALUE"""),0.0)</f>
        <v>0</v>
      </c>
      <c r="AB182" s="3">
        <f>IFERROR(__xludf.DUMMYFUNCTION("""COMPUTED_VALUE"""),0.0)</f>
        <v>0</v>
      </c>
      <c r="AC182" s="3">
        <f>IFERROR(__xludf.DUMMYFUNCTION("""COMPUTED_VALUE"""),0.0)</f>
        <v>0</v>
      </c>
      <c r="AD182" s="3">
        <f>IFERROR(__xludf.DUMMYFUNCTION("""COMPUTED_VALUE"""),0.0)</f>
        <v>0</v>
      </c>
      <c r="AE182" s="3">
        <f>IFERROR(__xludf.DUMMYFUNCTION("""COMPUTED_VALUE"""),0.0)</f>
        <v>0</v>
      </c>
      <c r="AF182" s="3">
        <f>IFERROR(__xludf.DUMMYFUNCTION("""COMPUTED_VALUE"""),0.0)</f>
        <v>0</v>
      </c>
      <c r="AG182" s="3">
        <f>IFERROR(__xludf.DUMMYFUNCTION("""COMPUTED_VALUE"""),0.0)</f>
        <v>0</v>
      </c>
      <c r="AH182" s="3">
        <f>IFERROR(__xludf.DUMMYFUNCTION("""COMPUTED_VALUE"""),0.0)</f>
        <v>0</v>
      </c>
      <c r="AI182" s="3">
        <f>IFERROR(__xludf.DUMMYFUNCTION("""COMPUTED_VALUE"""),0.0)</f>
        <v>0</v>
      </c>
      <c r="AJ182" s="3">
        <f>IFERROR(__xludf.DUMMYFUNCTION("""COMPUTED_VALUE"""),0.0)</f>
        <v>0</v>
      </c>
      <c r="AK182" s="3">
        <f>IFERROR(__xludf.DUMMYFUNCTION("""COMPUTED_VALUE"""),0.0)</f>
        <v>0</v>
      </c>
      <c r="AL182" s="3">
        <f>IFERROR(__xludf.DUMMYFUNCTION("""COMPUTED_VALUE"""),0.0)</f>
        <v>0</v>
      </c>
      <c r="AM182" s="3">
        <f>IFERROR(__xludf.DUMMYFUNCTION("""COMPUTED_VALUE"""),0.0)</f>
        <v>0</v>
      </c>
      <c r="AN182" s="3">
        <f>IFERROR(__xludf.DUMMYFUNCTION("""COMPUTED_VALUE"""),0.0)</f>
        <v>0</v>
      </c>
      <c r="AO182" s="3">
        <f>IFERROR(__xludf.DUMMYFUNCTION("""COMPUTED_VALUE"""),0.0)</f>
        <v>0</v>
      </c>
      <c r="AP182" s="3">
        <f>IFERROR(__xludf.DUMMYFUNCTION("""COMPUTED_VALUE"""),0.0)</f>
        <v>0</v>
      </c>
      <c r="AQ182" s="3">
        <f>IFERROR(__xludf.DUMMYFUNCTION("""COMPUTED_VALUE"""),0.0)</f>
        <v>0</v>
      </c>
      <c r="AR182" s="3">
        <f>IFERROR(__xludf.DUMMYFUNCTION("""COMPUTED_VALUE"""),0.0)</f>
        <v>0</v>
      </c>
      <c r="AS182" s="3">
        <f>IFERROR(__xludf.DUMMYFUNCTION("""COMPUTED_VALUE"""),0.0)</f>
        <v>0</v>
      </c>
      <c r="AT182" s="3">
        <f>IFERROR(__xludf.DUMMYFUNCTION("""COMPUTED_VALUE"""),0.0)</f>
        <v>0</v>
      </c>
      <c r="AU182" s="3">
        <f>IFERROR(__xludf.DUMMYFUNCTION("""COMPUTED_VALUE"""),0.0)</f>
        <v>0</v>
      </c>
      <c r="AV182" s="3">
        <f>IFERROR(__xludf.DUMMYFUNCTION("""COMPUTED_VALUE"""),0.0)</f>
        <v>0</v>
      </c>
      <c r="AW182" s="3">
        <f>IFERROR(__xludf.DUMMYFUNCTION("""COMPUTED_VALUE"""),0.0)</f>
        <v>0</v>
      </c>
      <c r="AX182" s="3">
        <f>IFERROR(__xludf.DUMMYFUNCTION("""COMPUTED_VALUE"""),0.0)</f>
        <v>0</v>
      </c>
      <c r="AY182" s="3">
        <f>IFERROR(__xludf.DUMMYFUNCTION("""COMPUTED_VALUE"""),1.0)</f>
        <v>1</v>
      </c>
      <c r="AZ182" s="3">
        <f>IFERROR(__xludf.DUMMYFUNCTION("""COMPUTED_VALUE"""),1.0)</f>
        <v>1</v>
      </c>
      <c r="BA182" s="3">
        <f>IFERROR(__xludf.DUMMYFUNCTION("""COMPUTED_VALUE"""),1.0)</f>
        <v>1</v>
      </c>
      <c r="BB182" s="3">
        <f>IFERROR(__xludf.DUMMYFUNCTION("""COMPUTED_VALUE"""),5.0)</f>
        <v>5</v>
      </c>
      <c r="BC182" s="3">
        <f>IFERROR(__xludf.DUMMYFUNCTION("""COMPUTED_VALUE"""),5.0)</f>
        <v>5</v>
      </c>
      <c r="BD182" s="3">
        <f>IFERROR(__xludf.DUMMYFUNCTION("""COMPUTED_VALUE"""),6.0)</f>
        <v>6</v>
      </c>
      <c r="BE182" s="3">
        <f>IFERROR(__xludf.DUMMYFUNCTION("""COMPUTED_VALUE"""),6.0)</f>
        <v>6</v>
      </c>
      <c r="BF182" s="3">
        <f>IFERROR(__xludf.DUMMYFUNCTION("""COMPUTED_VALUE"""),6.0)</f>
        <v>6</v>
      </c>
      <c r="BG182" s="3">
        <f>IFERROR(__xludf.DUMMYFUNCTION("""COMPUTED_VALUE"""),8.0)</f>
        <v>8</v>
      </c>
      <c r="BH182" s="3">
        <f>IFERROR(__xludf.DUMMYFUNCTION("""COMPUTED_VALUE"""),9.0)</f>
        <v>9</v>
      </c>
      <c r="BI182" s="3">
        <f>IFERROR(__xludf.DUMMYFUNCTION("""COMPUTED_VALUE"""),11.0)</f>
        <v>11</v>
      </c>
      <c r="BJ182" s="3">
        <f>IFERROR(__xludf.DUMMYFUNCTION("""COMPUTED_VALUE"""),11.0)</f>
        <v>11</v>
      </c>
      <c r="BK182" s="3">
        <f>IFERROR(__xludf.DUMMYFUNCTION("""COMPUTED_VALUE"""),13.0)</f>
        <v>13</v>
      </c>
      <c r="BL182" s="3">
        <f>IFERROR(__xludf.DUMMYFUNCTION("""COMPUTED_VALUE"""),18.0)</f>
        <v>18</v>
      </c>
      <c r="BM182" s="3">
        <f>IFERROR(__xludf.DUMMYFUNCTION("""COMPUTED_VALUE"""),22.0)</f>
        <v>22</v>
      </c>
      <c r="BN182" s="3">
        <f>IFERROR(__xludf.DUMMYFUNCTION("""COMPUTED_VALUE"""),22.0)</f>
        <v>22</v>
      </c>
      <c r="BO182" s="3">
        <f>IFERROR(__xludf.DUMMYFUNCTION("""COMPUTED_VALUE"""),27.0)</f>
        <v>27</v>
      </c>
      <c r="BP182" s="3">
        <f>IFERROR(__xludf.DUMMYFUNCTION("""COMPUTED_VALUE"""),37.0)</f>
        <v>37</v>
      </c>
      <c r="BQ182" s="3">
        <f>IFERROR(__xludf.DUMMYFUNCTION("""COMPUTED_VALUE"""),41.0)</f>
        <v>41</v>
      </c>
      <c r="BR182" s="3">
        <f>IFERROR(__xludf.DUMMYFUNCTION("""COMPUTED_VALUE"""),52.0)</f>
        <v>52</v>
      </c>
      <c r="BS182" s="3">
        <f>IFERROR(__xludf.DUMMYFUNCTION("""COMPUTED_VALUE"""),56.0)</f>
        <v>56</v>
      </c>
      <c r="BT182" s="3">
        <f>IFERROR(__xludf.DUMMYFUNCTION("""COMPUTED_VALUE"""),59.0)</f>
        <v>59</v>
      </c>
      <c r="BU182" s="3">
        <f>IFERROR(__xludf.DUMMYFUNCTION("""COMPUTED_VALUE"""),64.0)</f>
        <v>64</v>
      </c>
      <c r="BV182" s="3">
        <f>IFERROR(__xludf.DUMMYFUNCTION("""COMPUTED_VALUE"""),65.0)</f>
        <v>65</v>
      </c>
      <c r="BW182" s="3">
        <f>IFERROR(__xludf.DUMMYFUNCTION("""COMPUTED_VALUE"""),69.0)</f>
        <v>69</v>
      </c>
      <c r="BX182" s="3">
        <f>IFERROR(__xludf.DUMMYFUNCTION("""COMPUTED_VALUE"""),77.0)</f>
        <v>77</v>
      </c>
      <c r="BY182" s="3">
        <f>IFERROR(__xludf.DUMMYFUNCTION("""COMPUTED_VALUE"""),92.0)</f>
        <v>92</v>
      </c>
      <c r="BZ182" s="3">
        <f>IFERROR(__xludf.DUMMYFUNCTION("""COMPUTED_VALUE"""),96.0)</f>
        <v>96</v>
      </c>
      <c r="CA182" s="3">
        <f>IFERROR(__xludf.DUMMYFUNCTION("""COMPUTED_VALUE"""),104.0)</f>
        <v>104</v>
      </c>
      <c r="CB182" s="3">
        <f>IFERROR(__xludf.DUMMYFUNCTION("""COMPUTED_VALUE"""),113.0)</f>
        <v>113</v>
      </c>
    </row>
    <row r="183">
      <c r="A183" s="3" t="str">
        <f>IFERROR(__xludf.DUMMYFUNCTION("""COMPUTED_VALUE"""),"")</f>
        <v/>
      </c>
      <c r="B183" s="3" t="str">
        <f>IFERROR(__xludf.DUMMYFUNCTION("""COMPUTED_VALUE"""),"Peru")</f>
        <v>Peru</v>
      </c>
      <c r="C183" s="3">
        <f>IFERROR(__xludf.DUMMYFUNCTION("""COMPUTED_VALUE"""),-9.19)</f>
        <v>-9.19</v>
      </c>
      <c r="D183" s="3">
        <f>IFERROR(__xludf.DUMMYFUNCTION("""COMPUTED_VALUE"""),-75.0152)</f>
        <v>-75.0152</v>
      </c>
      <c r="E183" s="3">
        <f>IFERROR(__xludf.DUMMYFUNCTION("""COMPUTED_VALUE"""),0.0)</f>
        <v>0</v>
      </c>
      <c r="F183" s="3">
        <f>IFERROR(__xludf.DUMMYFUNCTION("""COMPUTED_VALUE"""),0.0)</f>
        <v>0</v>
      </c>
      <c r="G183" s="3">
        <f>IFERROR(__xludf.DUMMYFUNCTION("""COMPUTED_VALUE"""),0.0)</f>
        <v>0</v>
      </c>
      <c r="H183" s="3">
        <f>IFERROR(__xludf.DUMMYFUNCTION("""COMPUTED_VALUE"""),0.0)</f>
        <v>0</v>
      </c>
      <c r="I183" s="3">
        <f>IFERROR(__xludf.DUMMYFUNCTION("""COMPUTED_VALUE"""),0.0)</f>
        <v>0</v>
      </c>
      <c r="J183" s="3">
        <f>IFERROR(__xludf.DUMMYFUNCTION("""COMPUTED_VALUE"""),0.0)</f>
        <v>0</v>
      </c>
      <c r="K183" s="3">
        <f>IFERROR(__xludf.DUMMYFUNCTION("""COMPUTED_VALUE"""),0.0)</f>
        <v>0</v>
      </c>
      <c r="L183" s="3">
        <f>IFERROR(__xludf.DUMMYFUNCTION("""COMPUTED_VALUE"""),0.0)</f>
        <v>0</v>
      </c>
      <c r="M183" s="3">
        <f>IFERROR(__xludf.DUMMYFUNCTION("""COMPUTED_VALUE"""),0.0)</f>
        <v>0</v>
      </c>
      <c r="N183" s="3">
        <f>IFERROR(__xludf.DUMMYFUNCTION("""COMPUTED_VALUE"""),0.0)</f>
        <v>0</v>
      </c>
      <c r="O183" s="3">
        <f>IFERROR(__xludf.DUMMYFUNCTION("""COMPUTED_VALUE"""),0.0)</f>
        <v>0</v>
      </c>
      <c r="P183" s="3">
        <f>IFERROR(__xludf.DUMMYFUNCTION("""COMPUTED_VALUE"""),0.0)</f>
        <v>0</v>
      </c>
      <c r="Q183" s="3">
        <f>IFERROR(__xludf.DUMMYFUNCTION("""COMPUTED_VALUE"""),0.0)</f>
        <v>0</v>
      </c>
      <c r="R183" s="3">
        <f>IFERROR(__xludf.DUMMYFUNCTION("""COMPUTED_VALUE"""),0.0)</f>
        <v>0</v>
      </c>
      <c r="S183" s="3">
        <f>IFERROR(__xludf.DUMMYFUNCTION("""COMPUTED_VALUE"""),0.0)</f>
        <v>0</v>
      </c>
      <c r="T183" s="3">
        <f>IFERROR(__xludf.DUMMYFUNCTION("""COMPUTED_VALUE"""),0.0)</f>
        <v>0</v>
      </c>
      <c r="U183" s="3">
        <f>IFERROR(__xludf.DUMMYFUNCTION("""COMPUTED_VALUE"""),0.0)</f>
        <v>0</v>
      </c>
      <c r="V183" s="3">
        <f>IFERROR(__xludf.DUMMYFUNCTION("""COMPUTED_VALUE"""),0.0)</f>
        <v>0</v>
      </c>
      <c r="W183" s="3">
        <f>IFERROR(__xludf.DUMMYFUNCTION("""COMPUTED_VALUE"""),0.0)</f>
        <v>0</v>
      </c>
      <c r="X183" s="3">
        <f>IFERROR(__xludf.DUMMYFUNCTION("""COMPUTED_VALUE"""),0.0)</f>
        <v>0</v>
      </c>
      <c r="Y183" s="3">
        <f>IFERROR(__xludf.DUMMYFUNCTION("""COMPUTED_VALUE"""),0.0)</f>
        <v>0</v>
      </c>
      <c r="Z183" s="3">
        <f>IFERROR(__xludf.DUMMYFUNCTION("""COMPUTED_VALUE"""),0.0)</f>
        <v>0</v>
      </c>
      <c r="AA183" s="3">
        <f>IFERROR(__xludf.DUMMYFUNCTION("""COMPUTED_VALUE"""),0.0)</f>
        <v>0</v>
      </c>
      <c r="AB183" s="3">
        <f>IFERROR(__xludf.DUMMYFUNCTION("""COMPUTED_VALUE"""),0.0)</f>
        <v>0</v>
      </c>
      <c r="AC183" s="3">
        <f>IFERROR(__xludf.DUMMYFUNCTION("""COMPUTED_VALUE"""),0.0)</f>
        <v>0</v>
      </c>
      <c r="AD183" s="3">
        <f>IFERROR(__xludf.DUMMYFUNCTION("""COMPUTED_VALUE"""),0.0)</f>
        <v>0</v>
      </c>
      <c r="AE183" s="3">
        <f>IFERROR(__xludf.DUMMYFUNCTION("""COMPUTED_VALUE"""),0.0)</f>
        <v>0</v>
      </c>
      <c r="AF183" s="3">
        <f>IFERROR(__xludf.DUMMYFUNCTION("""COMPUTED_VALUE"""),0.0)</f>
        <v>0</v>
      </c>
      <c r="AG183" s="3">
        <f>IFERROR(__xludf.DUMMYFUNCTION("""COMPUTED_VALUE"""),0.0)</f>
        <v>0</v>
      </c>
      <c r="AH183" s="3">
        <f>IFERROR(__xludf.DUMMYFUNCTION("""COMPUTED_VALUE"""),0.0)</f>
        <v>0</v>
      </c>
      <c r="AI183" s="3">
        <f>IFERROR(__xludf.DUMMYFUNCTION("""COMPUTED_VALUE"""),0.0)</f>
        <v>0</v>
      </c>
      <c r="AJ183" s="3">
        <f>IFERROR(__xludf.DUMMYFUNCTION("""COMPUTED_VALUE"""),0.0)</f>
        <v>0</v>
      </c>
      <c r="AK183" s="3">
        <f>IFERROR(__xludf.DUMMYFUNCTION("""COMPUTED_VALUE"""),0.0)</f>
        <v>0</v>
      </c>
      <c r="AL183" s="3">
        <f>IFERROR(__xludf.DUMMYFUNCTION("""COMPUTED_VALUE"""),0.0)</f>
        <v>0</v>
      </c>
      <c r="AM183" s="3">
        <f>IFERROR(__xludf.DUMMYFUNCTION("""COMPUTED_VALUE"""),0.0)</f>
        <v>0</v>
      </c>
      <c r="AN183" s="3">
        <f>IFERROR(__xludf.DUMMYFUNCTION("""COMPUTED_VALUE"""),0.0)</f>
        <v>0</v>
      </c>
      <c r="AO183" s="3">
        <f>IFERROR(__xludf.DUMMYFUNCTION("""COMPUTED_VALUE"""),0.0)</f>
        <v>0</v>
      </c>
      <c r="AP183" s="3">
        <f>IFERROR(__xludf.DUMMYFUNCTION("""COMPUTED_VALUE"""),0.0)</f>
        <v>0</v>
      </c>
      <c r="AQ183" s="3">
        <f>IFERROR(__xludf.DUMMYFUNCTION("""COMPUTED_VALUE"""),0.0)</f>
        <v>0</v>
      </c>
      <c r="AR183" s="3">
        <f>IFERROR(__xludf.DUMMYFUNCTION("""COMPUTED_VALUE"""),0.0)</f>
        <v>0</v>
      </c>
      <c r="AS183" s="3">
        <f>IFERROR(__xludf.DUMMYFUNCTION("""COMPUTED_VALUE"""),0.0)</f>
        <v>0</v>
      </c>
      <c r="AT183" s="3">
        <f>IFERROR(__xludf.DUMMYFUNCTION("""COMPUTED_VALUE"""),0.0)</f>
        <v>0</v>
      </c>
      <c r="AU183" s="3">
        <f>IFERROR(__xludf.DUMMYFUNCTION("""COMPUTED_VALUE"""),0.0)</f>
        <v>0</v>
      </c>
      <c r="AV183" s="3">
        <f>IFERROR(__xludf.DUMMYFUNCTION("""COMPUTED_VALUE"""),0.0)</f>
        <v>0</v>
      </c>
      <c r="AW183" s="3">
        <f>IFERROR(__xludf.DUMMYFUNCTION("""COMPUTED_VALUE"""),1.0)</f>
        <v>1</v>
      </c>
      <c r="AX183" s="3">
        <f>IFERROR(__xludf.DUMMYFUNCTION("""COMPUTED_VALUE"""),1.0)</f>
        <v>1</v>
      </c>
      <c r="AY183" s="3">
        <f>IFERROR(__xludf.DUMMYFUNCTION("""COMPUTED_VALUE"""),6.0)</f>
        <v>6</v>
      </c>
      <c r="AZ183" s="3">
        <f>IFERROR(__xludf.DUMMYFUNCTION("""COMPUTED_VALUE"""),7.0)</f>
        <v>7</v>
      </c>
      <c r="BA183" s="3">
        <f>IFERROR(__xludf.DUMMYFUNCTION("""COMPUTED_VALUE"""),11.0)</f>
        <v>11</v>
      </c>
      <c r="BB183" s="3">
        <f>IFERROR(__xludf.DUMMYFUNCTION("""COMPUTED_VALUE"""),11.0)</f>
        <v>11</v>
      </c>
      <c r="BC183" s="3">
        <f>IFERROR(__xludf.DUMMYFUNCTION("""COMPUTED_VALUE"""),15.0)</f>
        <v>15</v>
      </c>
      <c r="BD183" s="3">
        <f>IFERROR(__xludf.DUMMYFUNCTION("""COMPUTED_VALUE"""),28.0)</f>
        <v>28</v>
      </c>
      <c r="BE183" s="3">
        <f>IFERROR(__xludf.DUMMYFUNCTION("""COMPUTED_VALUE"""),38.0)</f>
        <v>38</v>
      </c>
      <c r="BF183" s="3">
        <f>IFERROR(__xludf.DUMMYFUNCTION("""COMPUTED_VALUE"""),43.0)</f>
        <v>43</v>
      </c>
      <c r="BG183" s="3">
        <f>IFERROR(__xludf.DUMMYFUNCTION("""COMPUTED_VALUE"""),86.0)</f>
        <v>86</v>
      </c>
      <c r="BH183" s="3">
        <f>IFERROR(__xludf.DUMMYFUNCTION("""COMPUTED_VALUE"""),117.0)</f>
        <v>117</v>
      </c>
      <c r="BI183" s="3">
        <f>IFERROR(__xludf.DUMMYFUNCTION("""COMPUTED_VALUE"""),145.0)</f>
        <v>145</v>
      </c>
      <c r="BJ183" s="3">
        <f>IFERROR(__xludf.DUMMYFUNCTION("""COMPUTED_VALUE"""),234.0)</f>
        <v>234</v>
      </c>
      <c r="BK183" s="3">
        <f>IFERROR(__xludf.DUMMYFUNCTION("""COMPUTED_VALUE"""),234.0)</f>
        <v>234</v>
      </c>
      <c r="BL183" s="3">
        <f>IFERROR(__xludf.DUMMYFUNCTION("""COMPUTED_VALUE"""),318.0)</f>
        <v>318</v>
      </c>
      <c r="BM183" s="3">
        <f>IFERROR(__xludf.DUMMYFUNCTION("""COMPUTED_VALUE"""),363.0)</f>
        <v>363</v>
      </c>
      <c r="BN183" s="3">
        <f>IFERROR(__xludf.DUMMYFUNCTION("""COMPUTED_VALUE"""),395.0)</f>
        <v>395</v>
      </c>
      <c r="BO183" s="3">
        <f>IFERROR(__xludf.DUMMYFUNCTION("""COMPUTED_VALUE"""),416.0)</f>
        <v>416</v>
      </c>
      <c r="BP183" s="3">
        <f>IFERROR(__xludf.DUMMYFUNCTION("""COMPUTED_VALUE"""),480.0)</f>
        <v>480</v>
      </c>
      <c r="BQ183" s="3">
        <f>IFERROR(__xludf.DUMMYFUNCTION("""COMPUTED_VALUE"""),580.0)</f>
        <v>580</v>
      </c>
      <c r="BR183" s="3">
        <f>IFERROR(__xludf.DUMMYFUNCTION("""COMPUTED_VALUE"""),635.0)</f>
        <v>635</v>
      </c>
      <c r="BS183" s="3">
        <f>IFERROR(__xludf.DUMMYFUNCTION("""COMPUTED_VALUE"""),671.0)</f>
        <v>671</v>
      </c>
      <c r="BT183" s="3">
        <f>IFERROR(__xludf.DUMMYFUNCTION("""COMPUTED_VALUE"""),852.0)</f>
        <v>852</v>
      </c>
      <c r="BU183" s="3">
        <f>IFERROR(__xludf.DUMMYFUNCTION("""COMPUTED_VALUE"""),950.0)</f>
        <v>950</v>
      </c>
      <c r="BV183" s="3">
        <f>IFERROR(__xludf.DUMMYFUNCTION("""COMPUTED_VALUE"""),1065.0)</f>
        <v>1065</v>
      </c>
      <c r="BW183" s="3">
        <f>IFERROR(__xludf.DUMMYFUNCTION("""COMPUTED_VALUE"""),1323.0)</f>
        <v>1323</v>
      </c>
      <c r="BX183" s="3">
        <f>IFERROR(__xludf.DUMMYFUNCTION("""COMPUTED_VALUE"""),1414.0)</f>
        <v>1414</v>
      </c>
      <c r="BY183" s="3">
        <f>IFERROR(__xludf.DUMMYFUNCTION("""COMPUTED_VALUE"""),1595.0)</f>
        <v>1595</v>
      </c>
      <c r="BZ183" s="3">
        <f>IFERROR(__xludf.DUMMYFUNCTION("""COMPUTED_VALUE"""),1746.0)</f>
        <v>1746</v>
      </c>
      <c r="CA183" s="3">
        <f>IFERROR(__xludf.DUMMYFUNCTION("""COMPUTED_VALUE"""),2281.0)</f>
        <v>2281</v>
      </c>
      <c r="CB183" s="3">
        <f>IFERROR(__xludf.DUMMYFUNCTION("""COMPUTED_VALUE"""),2561.0)</f>
        <v>2561</v>
      </c>
    </row>
    <row r="184">
      <c r="A184" s="3" t="str">
        <f>IFERROR(__xludf.DUMMYFUNCTION("""COMPUTED_VALUE"""),"")</f>
        <v/>
      </c>
      <c r="B184" s="3" t="str">
        <f>IFERROR(__xludf.DUMMYFUNCTION("""COMPUTED_VALUE"""),"Philippines")</f>
        <v>Philippines</v>
      </c>
      <c r="C184" s="3">
        <f>IFERROR(__xludf.DUMMYFUNCTION("""COMPUTED_VALUE"""),13.0)</f>
        <v>13</v>
      </c>
      <c r="D184" s="3">
        <f>IFERROR(__xludf.DUMMYFUNCTION("""COMPUTED_VALUE"""),122.0)</f>
        <v>122</v>
      </c>
      <c r="E184" s="3">
        <f>IFERROR(__xludf.DUMMYFUNCTION("""COMPUTED_VALUE"""),0.0)</f>
        <v>0</v>
      </c>
      <c r="F184" s="3">
        <f>IFERROR(__xludf.DUMMYFUNCTION("""COMPUTED_VALUE"""),0.0)</f>
        <v>0</v>
      </c>
      <c r="G184" s="3">
        <f>IFERROR(__xludf.DUMMYFUNCTION("""COMPUTED_VALUE"""),0.0)</f>
        <v>0</v>
      </c>
      <c r="H184" s="3">
        <f>IFERROR(__xludf.DUMMYFUNCTION("""COMPUTED_VALUE"""),0.0)</f>
        <v>0</v>
      </c>
      <c r="I184" s="3">
        <f>IFERROR(__xludf.DUMMYFUNCTION("""COMPUTED_VALUE"""),0.0)</f>
        <v>0</v>
      </c>
      <c r="J184" s="3">
        <f>IFERROR(__xludf.DUMMYFUNCTION("""COMPUTED_VALUE"""),0.0)</f>
        <v>0</v>
      </c>
      <c r="K184" s="3">
        <f>IFERROR(__xludf.DUMMYFUNCTION("""COMPUTED_VALUE"""),0.0)</f>
        <v>0</v>
      </c>
      <c r="L184" s="3">
        <f>IFERROR(__xludf.DUMMYFUNCTION("""COMPUTED_VALUE"""),0.0)</f>
        <v>0</v>
      </c>
      <c r="M184" s="3">
        <f>IFERROR(__xludf.DUMMYFUNCTION("""COMPUTED_VALUE"""),1.0)</f>
        <v>1</v>
      </c>
      <c r="N184" s="3">
        <f>IFERROR(__xludf.DUMMYFUNCTION("""COMPUTED_VALUE"""),1.0)</f>
        <v>1</v>
      </c>
      <c r="O184" s="3">
        <f>IFERROR(__xludf.DUMMYFUNCTION("""COMPUTED_VALUE"""),1.0)</f>
        <v>1</v>
      </c>
      <c r="P184" s="3">
        <f>IFERROR(__xludf.DUMMYFUNCTION("""COMPUTED_VALUE"""),2.0)</f>
        <v>2</v>
      </c>
      <c r="Q184" s="3">
        <f>IFERROR(__xludf.DUMMYFUNCTION("""COMPUTED_VALUE"""),2.0)</f>
        <v>2</v>
      </c>
      <c r="R184" s="3">
        <f>IFERROR(__xludf.DUMMYFUNCTION("""COMPUTED_VALUE"""),2.0)</f>
        <v>2</v>
      </c>
      <c r="S184" s="3">
        <f>IFERROR(__xludf.DUMMYFUNCTION("""COMPUTED_VALUE"""),2.0)</f>
        <v>2</v>
      </c>
      <c r="T184" s="3">
        <f>IFERROR(__xludf.DUMMYFUNCTION("""COMPUTED_VALUE"""),2.0)</f>
        <v>2</v>
      </c>
      <c r="U184" s="3">
        <f>IFERROR(__xludf.DUMMYFUNCTION("""COMPUTED_VALUE"""),3.0)</f>
        <v>3</v>
      </c>
      <c r="V184" s="3">
        <f>IFERROR(__xludf.DUMMYFUNCTION("""COMPUTED_VALUE"""),3.0)</f>
        <v>3</v>
      </c>
      <c r="W184" s="3">
        <f>IFERROR(__xludf.DUMMYFUNCTION("""COMPUTED_VALUE"""),3.0)</f>
        <v>3</v>
      </c>
      <c r="X184" s="3">
        <f>IFERROR(__xludf.DUMMYFUNCTION("""COMPUTED_VALUE"""),3.0)</f>
        <v>3</v>
      </c>
      <c r="Y184" s="3">
        <f>IFERROR(__xludf.DUMMYFUNCTION("""COMPUTED_VALUE"""),3.0)</f>
        <v>3</v>
      </c>
      <c r="Z184" s="3">
        <f>IFERROR(__xludf.DUMMYFUNCTION("""COMPUTED_VALUE"""),3.0)</f>
        <v>3</v>
      </c>
      <c r="AA184" s="3">
        <f>IFERROR(__xludf.DUMMYFUNCTION("""COMPUTED_VALUE"""),3.0)</f>
        <v>3</v>
      </c>
      <c r="AB184" s="3">
        <f>IFERROR(__xludf.DUMMYFUNCTION("""COMPUTED_VALUE"""),3.0)</f>
        <v>3</v>
      </c>
      <c r="AC184" s="3">
        <f>IFERROR(__xludf.DUMMYFUNCTION("""COMPUTED_VALUE"""),3.0)</f>
        <v>3</v>
      </c>
      <c r="AD184" s="3">
        <f>IFERROR(__xludf.DUMMYFUNCTION("""COMPUTED_VALUE"""),3.0)</f>
        <v>3</v>
      </c>
      <c r="AE184" s="3">
        <f>IFERROR(__xludf.DUMMYFUNCTION("""COMPUTED_VALUE"""),3.0)</f>
        <v>3</v>
      </c>
      <c r="AF184" s="3">
        <f>IFERROR(__xludf.DUMMYFUNCTION("""COMPUTED_VALUE"""),3.0)</f>
        <v>3</v>
      </c>
      <c r="AG184" s="3">
        <f>IFERROR(__xludf.DUMMYFUNCTION("""COMPUTED_VALUE"""),3.0)</f>
        <v>3</v>
      </c>
      <c r="AH184" s="3">
        <f>IFERROR(__xludf.DUMMYFUNCTION("""COMPUTED_VALUE"""),3.0)</f>
        <v>3</v>
      </c>
      <c r="AI184" s="3">
        <f>IFERROR(__xludf.DUMMYFUNCTION("""COMPUTED_VALUE"""),3.0)</f>
        <v>3</v>
      </c>
      <c r="AJ184" s="3">
        <f>IFERROR(__xludf.DUMMYFUNCTION("""COMPUTED_VALUE"""),3.0)</f>
        <v>3</v>
      </c>
      <c r="AK184" s="3">
        <f>IFERROR(__xludf.DUMMYFUNCTION("""COMPUTED_VALUE"""),3.0)</f>
        <v>3</v>
      </c>
      <c r="AL184" s="3">
        <f>IFERROR(__xludf.DUMMYFUNCTION("""COMPUTED_VALUE"""),3.0)</f>
        <v>3</v>
      </c>
      <c r="AM184" s="3">
        <f>IFERROR(__xludf.DUMMYFUNCTION("""COMPUTED_VALUE"""),3.0)</f>
        <v>3</v>
      </c>
      <c r="AN184" s="3">
        <f>IFERROR(__xludf.DUMMYFUNCTION("""COMPUTED_VALUE"""),3.0)</f>
        <v>3</v>
      </c>
      <c r="AO184" s="3">
        <f>IFERROR(__xludf.DUMMYFUNCTION("""COMPUTED_VALUE"""),3.0)</f>
        <v>3</v>
      </c>
      <c r="AP184" s="3">
        <f>IFERROR(__xludf.DUMMYFUNCTION("""COMPUTED_VALUE"""),3.0)</f>
        <v>3</v>
      </c>
      <c r="AQ184" s="3">
        <f>IFERROR(__xludf.DUMMYFUNCTION("""COMPUTED_VALUE"""),3.0)</f>
        <v>3</v>
      </c>
      <c r="AR184" s="3">
        <f>IFERROR(__xludf.DUMMYFUNCTION("""COMPUTED_VALUE"""),3.0)</f>
        <v>3</v>
      </c>
      <c r="AS184" s="3">
        <f>IFERROR(__xludf.DUMMYFUNCTION("""COMPUTED_VALUE"""),3.0)</f>
        <v>3</v>
      </c>
      <c r="AT184" s="3">
        <f>IFERROR(__xludf.DUMMYFUNCTION("""COMPUTED_VALUE"""),3.0)</f>
        <v>3</v>
      </c>
      <c r="AU184" s="3">
        <f>IFERROR(__xludf.DUMMYFUNCTION("""COMPUTED_VALUE"""),3.0)</f>
        <v>3</v>
      </c>
      <c r="AV184" s="3">
        <f>IFERROR(__xludf.DUMMYFUNCTION("""COMPUTED_VALUE"""),3.0)</f>
        <v>3</v>
      </c>
      <c r="AW184" s="3">
        <f>IFERROR(__xludf.DUMMYFUNCTION("""COMPUTED_VALUE"""),5.0)</f>
        <v>5</v>
      </c>
      <c r="AX184" s="3">
        <f>IFERROR(__xludf.DUMMYFUNCTION("""COMPUTED_VALUE"""),6.0)</f>
        <v>6</v>
      </c>
      <c r="AY184" s="3">
        <f>IFERROR(__xludf.DUMMYFUNCTION("""COMPUTED_VALUE"""),10.0)</f>
        <v>10</v>
      </c>
      <c r="AZ184" s="3">
        <f>IFERROR(__xludf.DUMMYFUNCTION("""COMPUTED_VALUE"""),20.0)</f>
        <v>20</v>
      </c>
      <c r="BA184" s="3">
        <f>IFERROR(__xludf.DUMMYFUNCTION("""COMPUTED_VALUE"""),33.0)</f>
        <v>33</v>
      </c>
      <c r="BB184" s="3">
        <f>IFERROR(__xludf.DUMMYFUNCTION("""COMPUTED_VALUE"""),49.0)</f>
        <v>49</v>
      </c>
      <c r="BC184" s="3">
        <f>IFERROR(__xludf.DUMMYFUNCTION("""COMPUTED_VALUE"""),52.0)</f>
        <v>52</v>
      </c>
      <c r="BD184" s="3">
        <f>IFERROR(__xludf.DUMMYFUNCTION("""COMPUTED_VALUE"""),64.0)</f>
        <v>64</v>
      </c>
      <c r="BE184" s="3">
        <f>IFERROR(__xludf.DUMMYFUNCTION("""COMPUTED_VALUE"""),111.0)</f>
        <v>111</v>
      </c>
      <c r="BF184" s="3">
        <f>IFERROR(__xludf.DUMMYFUNCTION("""COMPUTED_VALUE"""),140.0)</f>
        <v>140</v>
      </c>
      <c r="BG184" s="3">
        <f>IFERROR(__xludf.DUMMYFUNCTION("""COMPUTED_VALUE"""),142.0)</f>
        <v>142</v>
      </c>
      <c r="BH184" s="3">
        <f>IFERROR(__xludf.DUMMYFUNCTION("""COMPUTED_VALUE"""),187.0)</f>
        <v>187</v>
      </c>
      <c r="BI184" s="3">
        <f>IFERROR(__xludf.DUMMYFUNCTION("""COMPUTED_VALUE"""),202.0)</f>
        <v>202</v>
      </c>
      <c r="BJ184" s="3">
        <f>IFERROR(__xludf.DUMMYFUNCTION("""COMPUTED_VALUE"""),217.0)</f>
        <v>217</v>
      </c>
      <c r="BK184" s="3">
        <f>IFERROR(__xludf.DUMMYFUNCTION("""COMPUTED_VALUE"""),230.0)</f>
        <v>230</v>
      </c>
      <c r="BL184" s="3">
        <f>IFERROR(__xludf.DUMMYFUNCTION("""COMPUTED_VALUE"""),307.0)</f>
        <v>307</v>
      </c>
      <c r="BM184" s="3">
        <f>IFERROR(__xludf.DUMMYFUNCTION("""COMPUTED_VALUE"""),380.0)</f>
        <v>380</v>
      </c>
      <c r="BN184" s="3">
        <f>IFERROR(__xludf.DUMMYFUNCTION("""COMPUTED_VALUE"""),462.0)</f>
        <v>462</v>
      </c>
      <c r="BO184" s="3">
        <f>IFERROR(__xludf.DUMMYFUNCTION("""COMPUTED_VALUE"""),552.0)</f>
        <v>552</v>
      </c>
      <c r="BP184" s="3">
        <f>IFERROR(__xludf.DUMMYFUNCTION("""COMPUTED_VALUE"""),636.0)</f>
        <v>636</v>
      </c>
      <c r="BQ184" s="3">
        <f>IFERROR(__xludf.DUMMYFUNCTION("""COMPUTED_VALUE"""),707.0)</f>
        <v>707</v>
      </c>
      <c r="BR184" s="3">
        <f>IFERROR(__xludf.DUMMYFUNCTION("""COMPUTED_VALUE"""),803.0)</f>
        <v>803</v>
      </c>
      <c r="BS184" s="3">
        <f>IFERROR(__xludf.DUMMYFUNCTION("""COMPUTED_VALUE"""),1075.0)</f>
        <v>1075</v>
      </c>
      <c r="BT184" s="3">
        <f>IFERROR(__xludf.DUMMYFUNCTION("""COMPUTED_VALUE"""),1418.0)</f>
        <v>1418</v>
      </c>
      <c r="BU184" s="3">
        <f>IFERROR(__xludf.DUMMYFUNCTION("""COMPUTED_VALUE"""),1546.0)</f>
        <v>1546</v>
      </c>
      <c r="BV184" s="3">
        <f>IFERROR(__xludf.DUMMYFUNCTION("""COMPUTED_VALUE"""),2084.0)</f>
        <v>2084</v>
      </c>
      <c r="BW184" s="3">
        <f>IFERROR(__xludf.DUMMYFUNCTION("""COMPUTED_VALUE"""),2311.0)</f>
        <v>2311</v>
      </c>
      <c r="BX184" s="3">
        <f>IFERROR(__xludf.DUMMYFUNCTION("""COMPUTED_VALUE"""),2633.0)</f>
        <v>2633</v>
      </c>
      <c r="BY184" s="3">
        <f>IFERROR(__xludf.DUMMYFUNCTION("""COMPUTED_VALUE"""),3018.0)</f>
        <v>3018</v>
      </c>
      <c r="BZ184" s="3">
        <f>IFERROR(__xludf.DUMMYFUNCTION("""COMPUTED_VALUE"""),3094.0)</f>
        <v>3094</v>
      </c>
      <c r="CA184" s="3">
        <f>IFERROR(__xludf.DUMMYFUNCTION("""COMPUTED_VALUE"""),3246.0)</f>
        <v>3246</v>
      </c>
      <c r="CB184" s="3">
        <f>IFERROR(__xludf.DUMMYFUNCTION("""COMPUTED_VALUE"""),3660.0)</f>
        <v>3660</v>
      </c>
    </row>
    <row r="185">
      <c r="A185" s="3" t="str">
        <f>IFERROR(__xludf.DUMMYFUNCTION("""COMPUTED_VALUE"""),"")</f>
        <v/>
      </c>
      <c r="B185" s="3" t="str">
        <f>IFERROR(__xludf.DUMMYFUNCTION("""COMPUTED_VALUE"""),"Poland")</f>
        <v>Poland</v>
      </c>
      <c r="C185" s="3">
        <f>IFERROR(__xludf.DUMMYFUNCTION("""COMPUTED_VALUE"""),51.9194)</f>
        <v>51.9194</v>
      </c>
      <c r="D185" s="3">
        <f>IFERROR(__xludf.DUMMYFUNCTION("""COMPUTED_VALUE"""),19.1451)</f>
        <v>19.1451</v>
      </c>
      <c r="E185" s="3">
        <f>IFERROR(__xludf.DUMMYFUNCTION("""COMPUTED_VALUE"""),0.0)</f>
        <v>0</v>
      </c>
      <c r="F185" s="3">
        <f>IFERROR(__xludf.DUMMYFUNCTION("""COMPUTED_VALUE"""),0.0)</f>
        <v>0</v>
      </c>
      <c r="G185" s="3">
        <f>IFERROR(__xludf.DUMMYFUNCTION("""COMPUTED_VALUE"""),0.0)</f>
        <v>0</v>
      </c>
      <c r="H185" s="3">
        <f>IFERROR(__xludf.DUMMYFUNCTION("""COMPUTED_VALUE"""),0.0)</f>
        <v>0</v>
      </c>
      <c r="I185" s="3">
        <f>IFERROR(__xludf.DUMMYFUNCTION("""COMPUTED_VALUE"""),0.0)</f>
        <v>0</v>
      </c>
      <c r="J185" s="3">
        <f>IFERROR(__xludf.DUMMYFUNCTION("""COMPUTED_VALUE"""),0.0)</f>
        <v>0</v>
      </c>
      <c r="K185" s="3">
        <f>IFERROR(__xludf.DUMMYFUNCTION("""COMPUTED_VALUE"""),0.0)</f>
        <v>0</v>
      </c>
      <c r="L185" s="3">
        <f>IFERROR(__xludf.DUMMYFUNCTION("""COMPUTED_VALUE"""),0.0)</f>
        <v>0</v>
      </c>
      <c r="M185" s="3">
        <f>IFERROR(__xludf.DUMMYFUNCTION("""COMPUTED_VALUE"""),0.0)</f>
        <v>0</v>
      </c>
      <c r="N185" s="3">
        <f>IFERROR(__xludf.DUMMYFUNCTION("""COMPUTED_VALUE"""),0.0)</f>
        <v>0</v>
      </c>
      <c r="O185" s="3">
        <f>IFERROR(__xludf.DUMMYFUNCTION("""COMPUTED_VALUE"""),0.0)</f>
        <v>0</v>
      </c>
      <c r="P185" s="3">
        <f>IFERROR(__xludf.DUMMYFUNCTION("""COMPUTED_VALUE"""),0.0)</f>
        <v>0</v>
      </c>
      <c r="Q185" s="3">
        <f>IFERROR(__xludf.DUMMYFUNCTION("""COMPUTED_VALUE"""),0.0)</f>
        <v>0</v>
      </c>
      <c r="R185" s="3">
        <f>IFERROR(__xludf.DUMMYFUNCTION("""COMPUTED_VALUE"""),0.0)</f>
        <v>0</v>
      </c>
      <c r="S185" s="3">
        <f>IFERROR(__xludf.DUMMYFUNCTION("""COMPUTED_VALUE"""),0.0)</f>
        <v>0</v>
      </c>
      <c r="T185" s="3">
        <f>IFERROR(__xludf.DUMMYFUNCTION("""COMPUTED_VALUE"""),0.0)</f>
        <v>0</v>
      </c>
      <c r="U185" s="3">
        <f>IFERROR(__xludf.DUMMYFUNCTION("""COMPUTED_VALUE"""),0.0)</f>
        <v>0</v>
      </c>
      <c r="V185" s="3">
        <f>IFERROR(__xludf.DUMMYFUNCTION("""COMPUTED_VALUE"""),0.0)</f>
        <v>0</v>
      </c>
      <c r="W185" s="3">
        <f>IFERROR(__xludf.DUMMYFUNCTION("""COMPUTED_VALUE"""),0.0)</f>
        <v>0</v>
      </c>
      <c r="X185" s="3">
        <f>IFERROR(__xludf.DUMMYFUNCTION("""COMPUTED_VALUE"""),0.0)</f>
        <v>0</v>
      </c>
      <c r="Y185" s="3">
        <f>IFERROR(__xludf.DUMMYFUNCTION("""COMPUTED_VALUE"""),0.0)</f>
        <v>0</v>
      </c>
      <c r="Z185" s="3">
        <f>IFERROR(__xludf.DUMMYFUNCTION("""COMPUTED_VALUE"""),0.0)</f>
        <v>0</v>
      </c>
      <c r="AA185" s="3">
        <f>IFERROR(__xludf.DUMMYFUNCTION("""COMPUTED_VALUE"""),0.0)</f>
        <v>0</v>
      </c>
      <c r="AB185" s="3">
        <f>IFERROR(__xludf.DUMMYFUNCTION("""COMPUTED_VALUE"""),0.0)</f>
        <v>0</v>
      </c>
      <c r="AC185" s="3">
        <f>IFERROR(__xludf.DUMMYFUNCTION("""COMPUTED_VALUE"""),0.0)</f>
        <v>0</v>
      </c>
      <c r="AD185" s="3">
        <f>IFERROR(__xludf.DUMMYFUNCTION("""COMPUTED_VALUE"""),0.0)</f>
        <v>0</v>
      </c>
      <c r="AE185" s="3">
        <f>IFERROR(__xludf.DUMMYFUNCTION("""COMPUTED_VALUE"""),0.0)</f>
        <v>0</v>
      </c>
      <c r="AF185" s="3">
        <f>IFERROR(__xludf.DUMMYFUNCTION("""COMPUTED_VALUE"""),0.0)</f>
        <v>0</v>
      </c>
      <c r="AG185" s="3">
        <f>IFERROR(__xludf.DUMMYFUNCTION("""COMPUTED_VALUE"""),0.0)</f>
        <v>0</v>
      </c>
      <c r="AH185" s="3">
        <f>IFERROR(__xludf.DUMMYFUNCTION("""COMPUTED_VALUE"""),0.0)</f>
        <v>0</v>
      </c>
      <c r="AI185" s="3">
        <f>IFERROR(__xludf.DUMMYFUNCTION("""COMPUTED_VALUE"""),0.0)</f>
        <v>0</v>
      </c>
      <c r="AJ185" s="3">
        <f>IFERROR(__xludf.DUMMYFUNCTION("""COMPUTED_VALUE"""),0.0)</f>
        <v>0</v>
      </c>
      <c r="AK185" s="3">
        <f>IFERROR(__xludf.DUMMYFUNCTION("""COMPUTED_VALUE"""),0.0)</f>
        <v>0</v>
      </c>
      <c r="AL185" s="3">
        <f>IFERROR(__xludf.DUMMYFUNCTION("""COMPUTED_VALUE"""),0.0)</f>
        <v>0</v>
      </c>
      <c r="AM185" s="3">
        <f>IFERROR(__xludf.DUMMYFUNCTION("""COMPUTED_VALUE"""),0.0)</f>
        <v>0</v>
      </c>
      <c r="AN185" s="3">
        <f>IFERROR(__xludf.DUMMYFUNCTION("""COMPUTED_VALUE"""),0.0)</f>
        <v>0</v>
      </c>
      <c r="AO185" s="3">
        <f>IFERROR(__xludf.DUMMYFUNCTION("""COMPUTED_VALUE"""),0.0)</f>
        <v>0</v>
      </c>
      <c r="AP185" s="3">
        <f>IFERROR(__xludf.DUMMYFUNCTION("""COMPUTED_VALUE"""),0.0)</f>
        <v>0</v>
      </c>
      <c r="AQ185" s="3">
        <f>IFERROR(__xludf.DUMMYFUNCTION("""COMPUTED_VALUE"""),0.0)</f>
        <v>0</v>
      </c>
      <c r="AR185" s="3">
        <f>IFERROR(__xludf.DUMMYFUNCTION("""COMPUTED_VALUE"""),0.0)</f>
        <v>0</v>
      </c>
      <c r="AS185" s="3">
        <f>IFERROR(__xludf.DUMMYFUNCTION("""COMPUTED_VALUE"""),0.0)</f>
        <v>0</v>
      </c>
      <c r="AT185" s="3">
        <f>IFERROR(__xludf.DUMMYFUNCTION("""COMPUTED_VALUE"""),0.0)</f>
        <v>0</v>
      </c>
      <c r="AU185" s="3">
        <f>IFERROR(__xludf.DUMMYFUNCTION("""COMPUTED_VALUE"""),1.0)</f>
        <v>1</v>
      </c>
      <c r="AV185" s="3">
        <f>IFERROR(__xludf.DUMMYFUNCTION("""COMPUTED_VALUE"""),1.0)</f>
        <v>1</v>
      </c>
      <c r="AW185" s="3">
        <f>IFERROR(__xludf.DUMMYFUNCTION("""COMPUTED_VALUE"""),5.0)</f>
        <v>5</v>
      </c>
      <c r="AX185" s="3">
        <f>IFERROR(__xludf.DUMMYFUNCTION("""COMPUTED_VALUE"""),5.0)</f>
        <v>5</v>
      </c>
      <c r="AY185" s="3">
        <f>IFERROR(__xludf.DUMMYFUNCTION("""COMPUTED_VALUE"""),11.0)</f>
        <v>11</v>
      </c>
      <c r="AZ185" s="3">
        <f>IFERROR(__xludf.DUMMYFUNCTION("""COMPUTED_VALUE"""),16.0)</f>
        <v>16</v>
      </c>
      <c r="BA185" s="3">
        <f>IFERROR(__xludf.DUMMYFUNCTION("""COMPUTED_VALUE"""),22.0)</f>
        <v>22</v>
      </c>
      <c r="BB185" s="3">
        <f>IFERROR(__xludf.DUMMYFUNCTION("""COMPUTED_VALUE"""),31.0)</f>
        <v>31</v>
      </c>
      <c r="BC185" s="3">
        <f>IFERROR(__xludf.DUMMYFUNCTION("""COMPUTED_VALUE"""),49.0)</f>
        <v>49</v>
      </c>
      <c r="BD185" s="3">
        <f>IFERROR(__xludf.DUMMYFUNCTION("""COMPUTED_VALUE"""),68.0)</f>
        <v>68</v>
      </c>
      <c r="BE185" s="3">
        <f>IFERROR(__xludf.DUMMYFUNCTION("""COMPUTED_VALUE"""),103.0)</f>
        <v>103</v>
      </c>
      <c r="BF185" s="3">
        <f>IFERROR(__xludf.DUMMYFUNCTION("""COMPUTED_VALUE"""),119.0)</f>
        <v>119</v>
      </c>
      <c r="BG185" s="3">
        <f>IFERROR(__xludf.DUMMYFUNCTION("""COMPUTED_VALUE"""),177.0)</f>
        <v>177</v>
      </c>
      <c r="BH185" s="3">
        <f>IFERROR(__xludf.DUMMYFUNCTION("""COMPUTED_VALUE"""),238.0)</f>
        <v>238</v>
      </c>
      <c r="BI185" s="3">
        <f>IFERROR(__xludf.DUMMYFUNCTION("""COMPUTED_VALUE"""),251.0)</f>
        <v>251</v>
      </c>
      <c r="BJ185" s="3">
        <f>IFERROR(__xludf.DUMMYFUNCTION("""COMPUTED_VALUE"""),355.0)</f>
        <v>355</v>
      </c>
      <c r="BK185" s="3">
        <f>IFERROR(__xludf.DUMMYFUNCTION("""COMPUTED_VALUE"""),425.0)</f>
        <v>425</v>
      </c>
      <c r="BL185" s="3">
        <f>IFERROR(__xludf.DUMMYFUNCTION("""COMPUTED_VALUE"""),536.0)</f>
        <v>536</v>
      </c>
      <c r="BM185" s="3">
        <f>IFERROR(__xludf.DUMMYFUNCTION("""COMPUTED_VALUE"""),634.0)</f>
        <v>634</v>
      </c>
      <c r="BN185" s="3">
        <f>IFERROR(__xludf.DUMMYFUNCTION("""COMPUTED_VALUE"""),749.0)</f>
        <v>749</v>
      </c>
      <c r="BO185" s="3">
        <f>IFERROR(__xludf.DUMMYFUNCTION("""COMPUTED_VALUE"""),901.0)</f>
        <v>901</v>
      </c>
      <c r="BP185" s="3">
        <f>IFERROR(__xludf.DUMMYFUNCTION("""COMPUTED_VALUE"""),1051.0)</f>
        <v>1051</v>
      </c>
      <c r="BQ185" s="3">
        <f>IFERROR(__xludf.DUMMYFUNCTION("""COMPUTED_VALUE"""),1221.0)</f>
        <v>1221</v>
      </c>
      <c r="BR185" s="3">
        <f>IFERROR(__xludf.DUMMYFUNCTION("""COMPUTED_VALUE"""),1389.0)</f>
        <v>1389</v>
      </c>
      <c r="BS185" s="3">
        <f>IFERROR(__xludf.DUMMYFUNCTION("""COMPUTED_VALUE"""),1638.0)</f>
        <v>1638</v>
      </c>
      <c r="BT185" s="3">
        <f>IFERROR(__xludf.DUMMYFUNCTION("""COMPUTED_VALUE"""),1862.0)</f>
        <v>1862</v>
      </c>
      <c r="BU185" s="3">
        <f>IFERROR(__xludf.DUMMYFUNCTION("""COMPUTED_VALUE"""),2055.0)</f>
        <v>2055</v>
      </c>
      <c r="BV185" s="3">
        <f>IFERROR(__xludf.DUMMYFUNCTION("""COMPUTED_VALUE"""),2311.0)</f>
        <v>2311</v>
      </c>
      <c r="BW185" s="3">
        <f>IFERROR(__xludf.DUMMYFUNCTION("""COMPUTED_VALUE"""),2554.0)</f>
        <v>2554</v>
      </c>
      <c r="BX185" s="3">
        <f>IFERROR(__xludf.DUMMYFUNCTION("""COMPUTED_VALUE"""),2946.0)</f>
        <v>2946</v>
      </c>
      <c r="BY185" s="3">
        <f>IFERROR(__xludf.DUMMYFUNCTION("""COMPUTED_VALUE"""),3383.0)</f>
        <v>3383</v>
      </c>
      <c r="BZ185" s="3">
        <f>IFERROR(__xludf.DUMMYFUNCTION("""COMPUTED_VALUE"""),3627.0)</f>
        <v>3627</v>
      </c>
      <c r="CA185" s="3">
        <f>IFERROR(__xludf.DUMMYFUNCTION("""COMPUTED_VALUE"""),4102.0)</f>
        <v>4102</v>
      </c>
      <c r="CB185" s="3">
        <f>IFERROR(__xludf.DUMMYFUNCTION("""COMPUTED_VALUE"""),4413.0)</f>
        <v>4413</v>
      </c>
    </row>
    <row r="186">
      <c r="A186" s="3" t="str">
        <f>IFERROR(__xludf.DUMMYFUNCTION("""COMPUTED_VALUE"""),"")</f>
        <v/>
      </c>
      <c r="B186" s="3" t="str">
        <f>IFERROR(__xludf.DUMMYFUNCTION("""COMPUTED_VALUE"""),"Portugal")</f>
        <v>Portugal</v>
      </c>
      <c r="C186" s="3">
        <f>IFERROR(__xludf.DUMMYFUNCTION("""COMPUTED_VALUE"""),39.3999)</f>
        <v>39.3999</v>
      </c>
      <c r="D186" s="3">
        <f>IFERROR(__xludf.DUMMYFUNCTION("""COMPUTED_VALUE"""),-8.2245)</f>
        <v>-8.2245</v>
      </c>
      <c r="E186" s="3">
        <f>IFERROR(__xludf.DUMMYFUNCTION("""COMPUTED_VALUE"""),0.0)</f>
        <v>0</v>
      </c>
      <c r="F186" s="3">
        <f>IFERROR(__xludf.DUMMYFUNCTION("""COMPUTED_VALUE"""),0.0)</f>
        <v>0</v>
      </c>
      <c r="G186" s="3">
        <f>IFERROR(__xludf.DUMMYFUNCTION("""COMPUTED_VALUE"""),0.0)</f>
        <v>0</v>
      </c>
      <c r="H186" s="3">
        <f>IFERROR(__xludf.DUMMYFUNCTION("""COMPUTED_VALUE"""),0.0)</f>
        <v>0</v>
      </c>
      <c r="I186" s="3">
        <f>IFERROR(__xludf.DUMMYFUNCTION("""COMPUTED_VALUE"""),0.0)</f>
        <v>0</v>
      </c>
      <c r="J186" s="3">
        <f>IFERROR(__xludf.DUMMYFUNCTION("""COMPUTED_VALUE"""),0.0)</f>
        <v>0</v>
      </c>
      <c r="K186" s="3">
        <f>IFERROR(__xludf.DUMMYFUNCTION("""COMPUTED_VALUE"""),0.0)</f>
        <v>0</v>
      </c>
      <c r="L186" s="3">
        <f>IFERROR(__xludf.DUMMYFUNCTION("""COMPUTED_VALUE"""),0.0)</f>
        <v>0</v>
      </c>
      <c r="M186" s="3">
        <f>IFERROR(__xludf.DUMMYFUNCTION("""COMPUTED_VALUE"""),0.0)</f>
        <v>0</v>
      </c>
      <c r="N186" s="3">
        <f>IFERROR(__xludf.DUMMYFUNCTION("""COMPUTED_VALUE"""),0.0)</f>
        <v>0</v>
      </c>
      <c r="O186" s="3">
        <f>IFERROR(__xludf.DUMMYFUNCTION("""COMPUTED_VALUE"""),0.0)</f>
        <v>0</v>
      </c>
      <c r="P186" s="3">
        <f>IFERROR(__xludf.DUMMYFUNCTION("""COMPUTED_VALUE"""),0.0)</f>
        <v>0</v>
      </c>
      <c r="Q186" s="3">
        <f>IFERROR(__xludf.DUMMYFUNCTION("""COMPUTED_VALUE"""),0.0)</f>
        <v>0</v>
      </c>
      <c r="R186" s="3">
        <f>IFERROR(__xludf.DUMMYFUNCTION("""COMPUTED_VALUE"""),0.0)</f>
        <v>0</v>
      </c>
      <c r="S186" s="3">
        <f>IFERROR(__xludf.DUMMYFUNCTION("""COMPUTED_VALUE"""),0.0)</f>
        <v>0</v>
      </c>
      <c r="T186" s="3">
        <f>IFERROR(__xludf.DUMMYFUNCTION("""COMPUTED_VALUE"""),0.0)</f>
        <v>0</v>
      </c>
      <c r="U186" s="3">
        <f>IFERROR(__xludf.DUMMYFUNCTION("""COMPUTED_VALUE"""),0.0)</f>
        <v>0</v>
      </c>
      <c r="V186" s="3">
        <f>IFERROR(__xludf.DUMMYFUNCTION("""COMPUTED_VALUE"""),0.0)</f>
        <v>0</v>
      </c>
      <c r="W186" s="3">
        <f>IFERROR(__xludf.DUMMYFUNCTION("""COMPUTED_VALUE"""),0.0)</f>
        <v>0</v>
      </c>
      <c r="X186" s="3">
        <f>IFERROR(__xludf.DUMMYFUNCTION("""COMPUTED_VALUE"""),0.0)</f>
        <v>0</v>
      </c>
      <c r="Y186" s="3">
        <f>IFERROR(__xludf.DUMMYFUNCTION("""COMPUTED_VALUE"""),0.0)</f>
        <v>0</v>
      </c>
      <c r="Z186" s="3">
        <f>IFERROR(__xludf.DUMMYFUNCTION("""COMPUTED_VALUE"""),0.0)</f>
        <v>0</v>
      </c>
      <c r="AA186" s="3">
        <f>IFERROR(__xludf.DUMMYFUNCTION("""COMPUTED_VALUE"""),0.0)</f>
        <v>0</v>
      </c>
      <c r="AB186" s="3">
        <f>IFERROR(__xludf.DUMMYFUNCTION("""COMPUTED_VALUE"""),0.0)</f>
        <v>0</v>
      </c>
      <c r="AC186" s="3">
        <f>IFERROR(__xludf.DUMMYFUNCTION("""COMPUTED_VALUE"""),0.0)</f>
        <v>0</v>
      </c>
      <c r="AD186" s="3">
        <f>IFERROR(__xludf.DUMMYFUNCTION("""COMPUTED_VALUE"""),0.0)</f>
        <v>0</v>
      </c>
      <c r="AE186" s="3">
        <f>IFERROR(__xludf.DUMMYFUNCTION("""COMPUTED_VALUE"""),0.0)</f>
        <v>0</v>
      </c>
      <c r="AF186" s="3">
        <f>IFERROR(__xludf.DUMMYFUNCTION("""COMPUTED_VALUE"""),0.0)</f>
        <v>0</v>
      </c>
      <c r="AG186" s="3">
        <f>IFERROR(__xludf.DUMMYFUNCTION("""COMPUTED_VALUE"""),0.0)</f>
        <v>0</v>
      </c>
      <c r="AH186" s="3">
        <f>IFERROR(__xludf.DUMMYFUNCTION("""COMPUTED_VALUE"""),0.0)</f>
        <v>0</v>
      </c>
      <c r="AI186" s="3">
        <f>IFERROR(__xludf.DUMMYFUNCTION("""COMPUTED_VALUE"""),0.0)</f>
        <v>0</v>
      </c>
      <c r="AJ186" s="3">
        <f>IFERROR(__xludf.DUMMYFUNCTION("""COMPUTED_VALUE"""),0.0)</f>
        <v>0</v>
      </c>
      <c r="AK186" s="3">
        <f>IFERROR(__xludf.DUMMYFUNCTION("""COMPUTED_VALUE"""),0.0)</f>
        <v>0</v>
      </c>
      <c r="AL186" s="3">
        <f>IFERROR(__xludf.DUMMYFUNCTION("""COMPUTED_VALUE"""),0.0)</f>
        <v>0</v>
      </c>
      <c r="AM186" s="3">
        <f>IFERROR(__xludf.DUMMYFUNCTION("""COMPUTED_VALUE"""),0.0)</f>
        <v>0</v>
      </c>
      <c r="AN186" s="3">
        <f>IFERROR(__xludf.DUMMYFUNCTION("""COMPUTED_VALUE"""),0.0)</f>
        <v>0</v>
      </c>
      <c r="AO186" s="3">
        <f>IFERROR(__xludf.DUMMYFUNCTION("""COMPUTED_VALUE"""),0.0)</f>
        <v>0</v>
      </c>
      <c r="AP186" s="3">
        <f>IFERROR(__xludf.DUMMYFUNCTION("""COMPUTED_VALUE"""),0.0)</f>
        <v>0</v>
      </c>
      <c r="AQ186" s="3">
        <f>IFERROR(__xludf.DUMMYFUNCTION("""COMPUTED_VALUE"""),0.0)</f>
        <v>0</v>
      </c>
      <c r="AR186" s="3">
        <f>IFERROR(__xludf.DUMMYFUNCTION("""COMPUTED_VALUE"""),0.0)</f>
        <v>0</v>
      </c>
      <c r="AS186" s="3">
        <f>IFERROR(__xludf.DUMMYFUNCTION("""COMPUTED_VALUE"""),2.0)</f>
        <v>2</v>
      </c>
      <c r="AT186" s="3">
        <f>IFERROR(__xludf.DUMMYFUNCTION("""COMPUTED_VALUE"""),2.0)</f>
        <v>2</v>
      </c>
      <c r="AU186" s="3">
        <f>IFERROR(__xludf.DUMMYFUNCTION("""COMPUTED_VALUE"""),5.0)</f>
        <v>5</v>
      </c>
      <c r="AV186" s="3">
        <f>IFERROR(__xludf.DUMMYFUNCTION("""COMPUTED_VALUE"""),8.0)</f>
        <v>8</v>
      </c>
      <c r="AW186" s="3">
        <f>IFERROR(__xludf.DUMMYFUNCTION("""COMPUTED_VALUE"""),13.0)</f>
        <v>13</v>
      </c>
      <c r="AX186" s="3">
        <f>IFERROR(__xludf.DUMMYFUNCTION("""COMPUTED_VALUE"""),20.0)</f>
        <v>20</v>
      </c>
      <c r="AY186" s="3">
        <f>IFERROR(__xludf.DUMMYFUNCTION("""COMPUTED_VALUE"""),30.0)</f>
        <v>30</v>
      </c>
      <c r="AZ186" s="3">
        <f>IFERROR(__xludf.DUMMYFUNCTION("""COMPUTED_VALUE"""),30.0)</f>
        <v>30</v>
      </c>
      <c r="BA186" s="3">
        <f>IFERROR(__xludf.DUMMYFUNCTION("""COMPUTED_VALUE"""),41.0)</f>
        <v>41</v>
      </c>
      <c r="BB186" s="3">
        <f>IFERROR(__xludf.DUMMYFUNCTION("""COMPUTED_VALUE"""),59.0)</f>
        <v>59</v>
      </c>
      <c r="BC186" s="3">
        <f>IFERROR(__xludf.DUMMYFUNCTION("""COMPUTED_VALUE"""),59.0)</f>
        <v>59</v>
      </c>
      <c r="BD186" s="3">
        <f>IFERROR(__xludf.DUMMYFUNCTION("""COMPUTED_VALUE"""),112.0)</f>
        <v>112</v>
      </c>
      <c r="BE186" s="3">
        <f>IFERROR(__xludf.DUMMYFUNCTION("""COMPUTED_VALUE"""),169.0)</f>
        <v>169</v>
      </c>
      <c r="BF186" s="3">
        <f>IFERROR(__xludf.DUMMYFUNCTION("""COMPUTED_VALUE"""),245.0)</f>
        <v>245</v>
      </c>
      <c r="BG186" s="3">
        <f>IFERROR(__xludf.DUMMYFUNCTION("""COMPUTED_VALUE"""),331.0)</f>
        <v>331</v>
      </c>
      <c r="BH186" s="3">
        <f>IFERROR(__xludf.DUMMYFUNCTION("""COMPUTED_VALUE"""),448.0)</f>
        <v>448</v>
      </c>
      <c r="BI186" s="3">
        <f>IFERROR(__xludf.DUMMYFUNCTION("""COMPUTED_VALUE"""),448.0)</f>
        <v>448</v>
      </c>
      <c r="BJ186" s="3">
        <f>IFERROR(__xludf.DUMMYFUNCTION("""COMPUTED_VALUE"""),785.0)</f>
        <v>785</v>
      </c>
      <c r="BK186" s="3">
        <f>IFERROR(__xludf.DUMMYFUNCTION("""COMPUTED_VALUE"""),1020.0)</f>
        <v>1020</v>
      </c>
      <c r="BL186" s="3">
        <f>IFERROR(__xludf.DUMMYFUNCTION("""COMPUTED_VALUE"""),1280.0)</f>
        <v>1280</v>
      </c>
      <c r="BM186" s="3">
        <f>IFERROR(__xludf.DUMMYFUNCTION("""COMPUTED_VALUE"""),1600.0)</f>
        <v>1600</v>
      </c>
      <c r="BN186" s="3">
        <f>IFERROR(__xludf.DUMMYFUNCTION("""COMPUTED_VALUE"""),2060.0)</f>
        <v>2060</v>
      </c>
      <c r="BO186" s="3">
        <f>IFERROR(__xludf.DUMMYFUNCTION("""COMPUTED_VALUE"""),2362.0)</f>
        <v>2362</v>
      </c>
      <c r="BP186" s="3">
        <f>IFERROR(__xludf.DUMMYFUNCTION("""COMPUTED_VALUE"""),2995.0)</f>
        <v>2995</v>
      </c>
      <c r="BQ186" s="3">
        <f>IFERROR(__xludf.DUMMYFUNCTION("""COMPUTED_VALUE"""),3544.0)</f>
        <v>3544</v>
      </c>
      <c r="BR186" s="3">
        <f>IFERROR(__xludf.DUMMYFUNCTION("""COMPUTED_VALUE"""),4268.0)</f>
        <v>4268</v>
      </c>
      <c r="BS186" s="3">
        <f>IFERROR(__xludf.DUMMYFUNCTION("""COMPUTED_VALUE"""),5170.0)</f>
        <v>5170</v>
      </c>
      <c r="BT186" s="3">
        <f>IFERROR(__xludf.DUMMYFUNCTION("""COMPUTED_VALUE"""),5962.0)</f>
        <v>5962</v>
      </c>
      <c r="BU186" s="3">
        <f>IFERROR(__xludf.DUMMYFUNCTION("""COMPUTED_VALUE"""),6408.0)</f>
        <v>6408</v>
      </c>
      <c r="BV186" s="3">
        <f>IFERROR(__xludf.DUMMYFUNCTION("""COMPUTED_VALUE"""),7443.0)</f>
        <v>7443</v>
      </c>
      <c r="BW186" s="3">
        <f>IFERROR(__xludf.DUMMYFUNCTION("""COMPUTED_VALUE"""),8251.0)</f>
        <v>8251</v>
      </c>
      <c r="BX186" s="3">
        <f>IFERROR(__xludf.DUMMYFUNCTION("""COMPUTED_VALUE"""),9034.0)</f>
        <v>9034</v>
      </c>
      <c r="BY186" s="3">
        <f>IFERROR(__xludf.DUMMYFUNCTION("""COMPUTED_VALUE"""),9886.0)</f>
        <v>9886</v>
      </c>
      <c r="BZ186" s="3">
        <f>IFERROR(__xludf.DUMMYFUNCTION("""COMPUTED_VALUE"""),10524.0)</f>
        <v>10524</v>
      </c>
      <c r="CA186" s="3">
        <f>IFERROR(__xludf.DUMMYFUNCTION("""COMPUTED_VALUE"""),11278.0)</f>
        <v>11278</v>
      </c>
      <c r="CB186" s="3">
        <f>IFERROR(__xludf.DUMMYFUNCTION("""COMPUTED_VALUE"""),11730.0)</f>
        <v>11730</v>
      </c>
    </row>
    <row r="187">
      <c r="A187" s="3" t="str">
        <f>IFERROR(__xludf.DUMMYFUNCTION("""COMPUTED_VALUE"""),"")</f>
        <v/>
      </c>
      <c r="B187" s="3" t="str">
        <f>IFERROR(__xludf.DUMMYFUNCTION("""COMPUTED_VALUE"""),"Qatar")</f>
        <v>Qatar</v>
      </c>
      <c r="C187" s="3">
        <f>IFERROR(__xludf.DUMMYFUNCTION("""COMPUTED_VALUE"""),25.3548)</f>
        <v>25.3548</v>
      </c>
      <c r="D187" s="3">
        <f>IFERROR(__xludf.DUMMYFUNCTION("""COMPUTED_VALUE"""),51.1839)</f>
        <v>51.1839</v>
      </c>
      <c r="E187" s="3">
        <f>IFERROR(__xludf.DUMMYFUNCTION("""COMPUTED_VALUE"""),0.0)</f>
        <v>0</v>
      </c>
      <c r="F187" s="3">
        <f>IFERROR(__xludf.DUMMYFUNCTION("""COMPUTED_VALUE"""),0.0)</f>
        <v>0</v>
      </c>
      <c r="G187" s="3">
        <f>IFERROR(__xludf.DUMMYFUNCTION("""COMPUTED_VALUE"""),0.0)</f>
        <v>0</v>
      </c>
      <c r="H187" s="3">
        <f>IFERROR(__xludf.DUMMYFUNCTION("""COMPUTED_VALUE"""),0.0)</f>
        <v>0</v>
      </c>
      <c r="I187" s="3">
        <f>IFERROR(__xludf.DUMMYFUNCTION("""COMPUTED_VALUE"""),0.0)</f>
        <v>0</v>
      </c>
      <c r="J187" s="3">
        <f>IFERROR(__xludf.DUMMYFUNCTION("""COMPUTED_VALUE"""),0.0)</f>
        <v>0</v>
      </c>
      <c r="K187" s="3">
        <f>IFERROR(__xludf.DUMMYFUNCTION("""COMPUTED_VALUE"""),0.0)</f>
        <v>0</v>
      </c>
      <c r="L187" s="3">
        <f>IFERROR(__xludf.DUMMYFUNCTION("""COMPUTED_VALUE"""),0.0)</f>
        <v>0</v>
      </c>
      <c r="M187" s="3">
        <f>IFERROR(__xludf.DUMMYFUNCTION("""COMPUTED_VALUE"""),0.0)</f>
        <v>0</v>
      </c>
      <c r="N187" s="3">
        <f>IFERROR(__xludf.DUMMYFUNCTION("""COMPUTED_VALUE"""),0.0)</f>
        <v>0</v>
      </c>
      <c r="O187" s="3">
        <f>IFERROR(__xludf.DUMMYFUNCTION("""COMPUTED_VALUE"""),0.0)</f>
        <v>0</v>
      </c>
      <c r="P187" s="3">
        <f>IFERROR(__xludf.DUMMYFUNCTION("""COMPUTED_VALUE"""),0.0)</f>
        <v>0</v>
      </c>
      <c r="Q187" s="3">
        <f>IFERROR(__xludf.DUMMYFUNCTION("""COMPUTED_VALUE"""),0.0)</f>
        <v>0</v>
      </c>
      <c r="R187" s="3">
        <f>IFERROR(__xludf.DUMMYFUNCTION("""COMPUTED_VALUE"""),0.0)</f>
        <v>0</v>
      </c>
      <c r="S187" s="3">
        <f>IFERROR(__xludf.DUMMYFUNCTION("""COMPUTED_VALUE"""),0.0)</f>
        <v>0</v>
      </c>
      <c r="T187" s="3">
        <f>IFERROR(__xludf.DUMMYFUNCTION("""COMPUTED_VALUE"""),0.0)</f>
        <v>0</v>
      </c>
      <c r="U187" s="3">
        <f>IFERROR(__xludf.DUMMYFUNCTION("""COMPUTED_VALUE"""),0.0)</f>
        <v>0</v>
      </c>
      <c r="V187" s="3">
        <f>IFERROR(__xludf.DUMMYFUNCTION("""COMPUTED_VALUE"""),0.0)</f>
        <v>0</v>
      </c>
      <c r="W187" s="3">
        <f>IFERROR(__xludf.DUMMYFUNCTION("""COMPUTED_VALUE"""),0.0)</f>
        <v>0</v>
      </c>
      <c r="X187" s="3">
        <f>IFERROR(__xludf.DUMMYFUNCTION("""COMPUTED_VALUE"""),0.0)</f>
        <v>0</v>
      </c>
      <c r="Y187" s="3">
        <f>IFERROR(__xludf.DUMMYFUNCTION("""COMPUTED_VALUE"""),0.0)</f>
        <v>0</v>
      </c>
      <c r="Z187" s="3">
        <f>IFERROR(__xludf.DUMMYFUNCTION("""COMPUTED_VALUE"""),0.0)</f>
        <v>0</v>
      </c>
      <c r="AA187" s="3">
        <f>IFERROR(__xludf.DUMMYFUNCTION("""COMPUTED_VALUE"""),0.0)</f>
        <v>0</v>
      </c>
      <c r="AB187" s="3">
        <f>IFERROR(__xludf.DUMMYFUNCTION("""COMPUTED_VALUE"""),0.0)</f>
        <v>0</v>
      </c>
      <c r="AC187" s="3">
        <f>IFERROR(__xludf.DUMMYFUNCTION("""COMPUTED_VALUE"""),0.0)</f>
        <v>0</v>
      </c>
      <c r="AD187" s="3">
        <f>IFERROR(__xludf.DUMMYFUNCTION("""COMPUTED_VALUE"""),0.0)</f>
        <v>0</v>
      </c>
      <c r="AE187" s="3">
        <f>IFERROR(__xludf.DUMMYFUNCTION("""COMPUTED_VALUE"""),0.0)</f>
        <v>0</v>
      </c>
      <c r="AF187" s="3">
        <f>IFERROR(__xludf.DUMMYFUNCTION("""COMPUTED_VALUE"""),0.0)</f>
        <v>0</v>
      </c>
      <c r="AG187" s="3">
        <f>IFERROR(__xludf.DUMMYFUNCTION("""COMPUTED_VALUE"""),0.0)</f>
        <v>0</v>
      </c>
      <c r="AH187" s="3">
        <f>IFERROR(__xludf.DUMMYFUNCTION("""COMPUTED_VALUE"""),0.0)</f>
        <v>0</v>
      </c>
      <c r="AI187" s="3">
        <f>IFERROR(__xludf.DUMMYFUNCTION("""COMPUTED_VALUE"""),0.0)</f>
        <v>0</v>
      </c>
      <c r="AJ187" s="3">
        <f>IFERROR(__xludf.DUMMYFUNCTION("""COMPUTED_VALUE"""),0.0)</f>
        <v>0</v>
      </c>
      <c r="AK187" s="3">
        <f>IFERROR(__xludf.DUMMYFUNCTION("""COMPUTED_VALUE"""),0.0)</f>
        <v>0</v>
      </c>
      <c r="AL187" s="3">
        <f>IFERROR(__xludf.DUMMYFUNCTION("""COMPUTED_VALUE"""),0.0)</f>
        <v>0</v>
      </c>
      <c r="AM187" s="3">
        <f>IFERROR(__xludf.DUMMYFUNCTION("""COMPUTED_VALUE"""),0.0)</f>
        <v>0</v>
      </c>
      <c r="AN187" s="3">
        <f>IFERROR(__xludf.DUMMYFUNCTION("""COMPUTED_VALUE"""),0.0)</f>
        <v>0</v>
      </c>
      <c r="AO187" s="3">
        <f>IFERROR(__xludf.DUMMYFUNCTION("""COMPUTED_VALUE"""),0.0)</f>
        <v>0</v>
      </c>
      <c r="AP187" s="3">
        <f>IFERROR(__xludf.DUMMYFUNCTION("""COMPUTED_VALUE"""),0.0)</f>
        <v>0</v>
      </c>
      <c r="AQ187" s="3">
        <f>IFERROR(__xludf.DUMMYFUNCTION("""COMPUTED_VALUE"""),1.0)</f>
        <v>1</v>
      </c>
      <c r="AR187" s="3">
        <f>IFERROR(__xludf.DUMMYFUNCTION("""COMPUTED_VALUE"""),3.0)</f>
        <v>3</v>
      </c>
      <c r="AS187" s="3">
        <f>IFERROR(__xludf.DUMMYFUNCTION("""COMPUTED_VALUE"""),3.0)</f>
        <v>3</v>
      </c>
      <c r="AT187" s="3">
        <f>IFERROR(__xludf.DUMMYFUNCTION("""COMPUTED_VALUE"""),7.0)</f>
        <v>7</v>
      </c>
      <c r="AU187" s="3">
        <f>IFERROR(__xludf.DUMMYFUNCTION("""COMPUTED_VALUE"""),8.0)</f>
        <v>8</v>
      </c>
      <c r="AV187" s="3">
        <f>IFERROR(__xludf.DUMMYFUNCTION("""COMPUTED_VALUE"""),8.0)</f>
        <v>8</v>
      </c>
      <c r="AW187" s="3">
        <f>IFERROR(__xludf.DUMMYFUNCTION("""COMPUTED_VALUE"""),8.0)</f>
        <v>8</v>
      </c>
      <c r="AX187" s="3">
        <f>IFERROR(__xludf.DUMMYFUNCTION("""COMPUTED_VALUE"""),8.0)</f>
        <v>8</v>
      </c>
      <c r="AY187" s="3">
        <f>IFERROR(__xludf.DUMMYFUNCTION("""COMPUTED_VALUE"""),15.0)</f>
        <v>15</v>
      </c>
      <c r="AZ187" s="3">
        <f>IFERROR(__xludf.DUMMYFUNCTION("""COMPUTED_VALUE"""),18.0)</f>
        <v>18</v>
      </c>
      <c r="BA187" s="3">
        <f>IFERROR(__xludf.DUMMYFUNCTION("""COMPUTED_VALUE"""),24.0)</f>
        <v>24</v>
      </c>
      <c r="BB187" s="3">
        <f>IFERROR(__xludf.DUMMYFUNCTION("""COMPUTED_VALUE"""),262.0)</f>
        <v>262</v>
      </c>
      <c r="BC187" s="3">
        <f>IFERROR(__xludf.DUMMYFUNCTION("""COMPUTED_VALUE"""),262.0)</f>
        <v>262</v>
      </c>
      <c r="BD187" s="3">
        <f>IFERROR(__xludf.DUMMYFUNCTION("""COMPUTED_VALUE"""),320.0)</f>
        <v>320</v>
      </c>
      <c r="BE187" s="3">
        <f>IFERROR(__xludf.DUMMYFUNCTION("""COMPUTED_VALUE"""),337.0)</f>
        <v>337</v>
      </c>
      <c r="BF187" s="3">
        <f>IFERROR(__xludf.DUMMYFUNCTION("""COMPUTED_VALUE"""),401.0)</f>
        <v>401</v>
      </c>
      <c r="BG187" s="3">
        <f>IFERROR(__xludf.DUMMYFUNCTION("""COMPUTED_VALUE"""),439.0)</f>
        <v>439</v>
      </c>
      <c r="BH187" s="3">
        <f>IFERROR(__xludf.DUMMYFUNCTION("""COMPUTED_VALUE"""),439.0)</f>
        <v>439</v>
      </c>
      <c r="BI187" s="3">
        <f>IFERROR(__xludf.DUMMYFUNCTION("""COMPUTED_VALUE"""),452.0)</f>
        <v>452</v>
      </c>
      <c r="BJ187" s="3">
        <f>IFERROR(__xludf.DUMMYFUNCTION("""COMPUTED_VALUE"""),460.0)</f>
        <v>460</v>
      </c>
      <c r="BK187" s="3">
        <f>IFERROR(__xludf.DUMMYFUNCTION("""COMPUTED_VALUE"""),470.0)</f>
        <v>470</v>
      </c>
      <c r="BL187" s="3">
        <f>IFERROR(__xludf.DUMMYFUNCTION("""COMPUTED_VALUE"""),481.0)</f>
        <v>481</v>
      </c>
      <c r="BM187" s="3">
        <f>IFERROR(__xludf.DUMMYFUNCTION("""COMPUTED_VALUE"""),494.0)</f>
        <v>494</v>
      </c>
      <c r="BN187" s="3">
        <f>IFERROR(__xludf.DUMMYFUNCTION("""COMPUTED_VALUE"""),501.0)</f>
        <v>501</v>
      </c>
      <c r="BO187" s="3">
        <f>IFERROR(__xludf.DUMMYFUNCTION("""COMPUTED_VALUE"""),526.0)</f>
        <v>526</v>
      </c>
      <c r="BP187" s="3">
        <f>IFERROR(__xludf.DUMMYFUNCTION("""COMPUTED_VALUE"""),537.0)</f>
        <v>537</v>
      </c>
      <c r="BQ187" s="3">
        <f>IFERROR(__xludf.DUMMYFUNCTION("""COMPUTED_VALUE"""),549.0)</f>
        <v>549</v>
      </c>
      <c r="BR187" s="3">
        <f>IFERROR(__xludf.DUMMYFUNCTION("""COMPUTED_VALUE"""),562.0)</f>
        <v>562</v>
      </c>
      <c r="BS187" s="3">
        <f>IFERROR(__xludf.DUMMYFUNCTION("""COMPUTED_VALUE"""),590.0)</f>
        <v>590</v>
      </c>
      <c r="BT187" s="3">
        <f>IFERROR(__xludf.DUMMYFUNCTION("""COMPUTED_VALUE"""),634.0)</f>
        <v>634</v>
      </c>
      <c r="BU187" s="3">
        <f>IFERROR(__xludf.DUMMYFUNCTION("""COMPUTED_VALUE"""),693.0)</f>
        <v>693</v>
      </c>
      <c r="BV187" s="3">
        <f>IFERROR(__xludf.DUMMYFUNCTION("""COMPUTED_VALUE"""),781.0)</f>
        <v>781</v>
      </c>
      <c r="BW187" s="3">
        <f>IFERROR(__xludf.DUMMYFUNCTION("""COMPUTED_VALUE"""),835.0)</f>
        <v>835</v>
      </c>
      <c r="BX187" s="3">
        <f>IFERROR(__xludf.DUMMYFUNCTION("""COMPUTED_VALUE"""),949.0)</f>
        <v>949</v>
      </c>
      <c r="BY187" s="3">
        <f>IFERROR(__xludf.DUMMYFUNCTION("""COMPUTED_VALUE"""),1075.0)</f>
        <v>1075</v>
      </c>
      <c r="BZ187" s="3">
        <f>IFERROR(__xludf.DUMMYFUNCTION("""COMPUTED_VALUE"""),1325.0)</f>
        <v>1325</v>
      </c>
      <c r="CA187" s="3">
        <f>IFERROR(__xludf.DUMMYFUNCTION("""COMPUTED_VALUE"""),1604.0)</f>
        <v>1604</v>
      </c>
      <c r="CB187" s="3">
        <f>IFERROR(__xludf.DUMMYFUNCTION("""COMPUTED_VALUE"""),1832.0)</f>
        <v>1832</v>
      </c>
    </row>
    <row r="188">
      <c r="A188" s="3" t="str">
        <f>IFERROR(__xludf.DUMMYFUNCTION("""COMPUTED_VALUE"""),"")</f>
        <v/>
      </c>
      <c r="B188" s="3" t="str">
        <f>IFERROR(__xludf.DUMMYFUNCTION("""COMPUTED_VALUE"""),"Romania")</f>
        <v>Romania</v>
      </c>
      <c r="C188" s="3">
        <f>IFERROR(__xludf.DUMMYFUNCTION("""COMPUTED_VALUE"""),45.9432)</f>
        <v>45.9432</v>
      </c>
      <c r="D188" s="3">
        <f>IFERROR(__xludf.DUMMYFUNCTION("""COMPUTED_VALUE"""),24.9668)</f>
        <v>24.9668</v>
      </c>
      <c r="E188" s="3">
        <f>IFERROR(__xludf.DUMMYFUNCTION("""COMPUTED_VALUE"""),0.0)</f>
        <v>0</v>
      </c>
      <c r="F188" s="3">
        <f>IFERROR(__xludf.DUMMYFUNCTION("""COMPUTED_VALUE"""),0.0)</f>
        <v>0</v>
      </c>
      <c r="G188" s="3">
        <f>IFERROR(__xludf.DUMMYFUNCTION("""COMPUTED_VALUE"""),0.0)</f>
        <v>0</v>
      </c>
      <c r="H188" s="3">
        <f>IFERROR(__xludf.DUMMYFUNCTION("""COMPUTED_VALUE"""),0.0)</f>
        <v>0</v>
      </c>
      <c r="I188" s="3">
        <f>IFERROR(__xludf.DUMMYFUNCTION("""COMPUTED_VALUE"""),0.0)</f>
        <v>0</v>
      </c>
      <c r="J188" s="3">
        <f>IFERROR(__xludf.DUMMYFUNCTION("""COMPUTED_VALUE"""),0.0)</f>
        <v>0</v>
      </c>
      <c r="K188" s="3">
        <f>IFERROR(__xludf.DUMMYFUNCTION("""COMPUTED_VALUE"""),0.0)</f>
        <v>0</v>
      </c>
      <c r="L188" s="3">
        <f>IFERROR(__xludf.DUMMYFUNCTION("""COMPUTED_VALUE"""),0.0)</f>
        <v>0</v>
      </c>
      <c r="M188" s="3">
        <f>IFERROR(__xludf.DUMMYFUNCTION("""COMPUTED_VALUE"""),0.0)</f>
        <v>0</v>
      </c>
      <c r="N188" s="3">
        <f>IFERROR(__xludf.DUMMYFUNCTION("""COMPUTED_VALUE"""),0.0)</f>
        <v>0</v>
      </c>
      <c r="O188" s="3">
        <f>IFERROR(__xludf.DUMMYFUNCTION("""COMPUTED_VALUE"""),0.0)</f>
        <v>0</v>
      </c>
      <c r="P188" s="3">
        <f>IFERROR(__xludf.DUMMYFUNCTION("""COMPUTED_VALUE"""),0.0)</f>
        <v>0</v>
      </c>
      <c r="Q188" s="3">
        <f>IFERROR(__xludf.DUMMYFUNCTION("""COMPUTED_VALUE"""),0.0)</f>
        <v>0</v>
      </c>
      <c r="R188" s="3">
        <f>IFERROR(__xludf.DUMMYFUNCTION("""COMPUTED_VALUE"""),0.0)</f>
        <v>0</v>
      </c>
      <c r="S188" s="3">
        <f>IFERROR(__xludf.DUMMYFUNCTION("""COMPUTED_VALUE"""),0.0)</f>
        <v>0</v>
      </c>
      <c r="T188" s="3">
        <f>IFERROR(__xludf.DUMMYFUNCTION("""COMPUTED_VALUE"""),0.0)</f>
        <v>0</v>
      </c>
      <c r="U188" s="3">
        <f>IFERROR(__xludf.DUMMYFUNCTION("""COMPUTED_VALUE"""),0.0)</f>
        <v>0</v>
      </c>
      <c r="V188" s="3">
        <f>IFERROR(__xludf.DUMMYFUNCTION("""COMPUTED_VALUE"""),0.0)</f>
        <v>0</v>
      </c>
      <c r="W188" s="3">
        <f>IFERROR(__xludf.DUMMYFUNCTION("""COMPUTED_VALUE"""),0.0)</f>
        <v>0</v>
      </c>
      <c r="X188" s="3">
        <f>IFERROR(__xludf.DUMMYFUNCTION("""COMPUTED_VALUE"""),0.0)</f>
        <v>0</v>
      </c>
      <c r="Y188" s="3">
        <f>IFERROR(__xludf.DUMMYFUNCTION("""COMPUTED_VALUE"""),0.0)</f>
        <v>0</v>
      </c>
      <c r="Z188" s="3">
        <f>IFERROR(__xludf.DUMMYFUNCTION("""COMPUTED_VALUE"""),0.0)</f>
        <v>0</v>
      </c>
      <c r="AA188" s="3">
        <f>IFERROR(__xludf.DUMMYFUNCTION("""COMPUTED_VALUE"""),0.0)</f>
        <v>0</v>
      </c>
      <c r="AB188" s="3">
        <f>IFERROR(__xludf.DUMMYFUNCTION("""COMPUTED_VALUE"""),0.0)</f>
        <v>0</v>
      </c>
      <c r="AC188" s="3">
        <f>IFERROR(__xludf.DUMMYFUNCTION("""COMPUTED_VALUE"""),0.0)</f>
        <v>0</v>
      </c>
      <c r="AD188" s="3">
        <f>IFERROR(__xludf.DUMMYFUNCTION("""COMPUTED_VALUE"""),0.0)</f>
        <v>0</v>
      </c>
      <c r="AE188" s="3">
        <f>IFERROR(__xludf.DUMMYFUNCTION("""COMPUTED_VALUE"""),0.0)</f>
        <v>0</v>
      </c>
      <c r="AF188" s="3">
        <f>IFERROR(__xludf.DUMMYFUNCTION("""COMPUTED_VALUE"""),0.0)</f>
        <v>0</v>
      </c>
      <c r="AG188" s="3">
        <f>IFERROR(__xludf.DUMMYFUNCTION("""COMPUTED_VALUE"""),0.0)</f>
        <v>0</v>
      </c>
      <c r="AH188" s="3">
        <f>IFERROR(__xludf.DUMMYFUNCTION("""COMPUTED_VALUE"""),0.0)</f>
        <v>0</v>
      </c>
      <c r="AI188" s="3">
        <f>IFERROR(__xludf.DUMMYFUNCTION("""COMPUTED_VALUE"""),0.0)</f>
        <v>0</v>
      </c>
      <c r="AJ188" s="3">
        <f>IFERROR(__xludf.DUMMYFUNCTION("""COMPUTED_VALUE"""),0.0)</f>
        <v>0</v>
      </c>
      <c r="AK188" s="3">
        <f>IFERROR(__xludf.DUMMYFUNCTION("""COMPUTED_VALUE"""),0.0)</f>
        <v>0</v>
      </c>
      <c r="AL188" s="3">
        <f>IFERROR(__xludf.DUMMYFUNCTION("""COMPUTED_VALUE"""),0.0)</f>
        <v>0</v>
      </c>
      <c r="AM188" s="3">
        <f>IFERROR(__xludf.DUMMYFUNCTION("""COMPUTED_VALUE"""),0.0)</f>
        <v>0</v>
      </c>
      <c r="AN188" s="3">
        <f>IFERROR(__xludf.DUMMYFUNCTION("""COMPUTED_VALUE"""),1.0)</f>
        <v>1</v>
      </c>
      <c r="AO188" s="3">
        <f>IFERROR(__xludf.DUMMYFUNCTION("""COMPUTED_VALUE"""),1.0)</f>
        <v>1</v>
      </c>
      <c r="AP188" s="3">
        <f>IFERROR(__xludf.DUMMYFUNCTION("""COMPUTED_VALUE"""),3.0)</f>
        <v>3</v>
      </c>
      <c r="AQ188" s="3">
        <f>IFERROR(__xludf.DUMMYFUNCTION("""COMPUTED_VALUE"""),3.0)</f>
        <v>3</v>
      </c>
      <c r="AR188" s="3">
        <f>IFERROR(__xludf.DUMMYFUNCTION("""COMPUTED_VALUE"""),3.0)</f>
        <v>3</v>
      </c>
      <c r="AS188" s="3">
        <f>IFERROR(__xludf.DUMMYFUNCTION("""COMPUTED_VALUE"""),3.0)</f>
        <v>3</v>
      </c>
      <c r="AT188" s="3">
        <f>IFERROR(__xludf.DUMMYFUNCTION("""COMPUTED_VALUE"""),3.0)</f>
        <v>3</v>
      </c>
      <c r="AU188" s="3">
        <f>IFERROR(__xludf.DUMMYFUNCTION("""COMPUTED_VALUE"""),4.0)</f>
        <v>4</v>
      </c>
      <c r="AV188" s="3">
        <f>IFERROR(__xludf.DUMMYFUNCTION("""COMPUTED_VALUE"""),6.0)</f>
        <v>6</v>
      </c>
      <c r="AW188" s="3">
        <f>IFERROR(__xludf.DUMMYFUNCTION("""COMPUTED_VALUE"""),9.0)</f>
        <v>9</v>
      </c>
      <c r="AX188" s="3">
        <f>IFERROR(__xludf.DUMMYFUNCTION("""COMPUTED_VALUE"""),9.0)</f>
        <v>9</v>
      </c>
      <c r="AY188" s="3">
        <f>IFERROR(__xludf.DUMMYFUNCTION("""COMPUTED_VALUE"""),15.0)</f>
        <v>15</v>
      </c>
      <c r="AZ188" s="3">
        <f>IFERROR(__xludf.DUMMYFUNCTION("""COMPUTED_VALUE"""),15.0)</f>
        <v>15</v>
      </c>
      <c r="BA188" s="3">
        <f>IFERROR(__xludf.DUMMYFUNCTION("""COMPUTED_VALUE"""),25.0)</f>
        <v>25</v>
      </c>
      <c r="BB188" s="3">
        <f>IFERROR(__xludf.DUMMYFUNCTION("""COMPUTED_VALUE"""),45.0)</f>
        <v>45</v>
      </c>
      <c r="BC188" s="3">
        <f>IFERROR(__xludf.DUMMYFUNCTION("""COMPUTED_VALUE"""),49.0)</f>
        <v>49</v>
      </c>
      <c r="BD188" s="3">
        <f>IFERROR(__xludf.DUMMYFUNCTION("""COMPUTED_VALUE"""),89.0)</f>
        <v>89</v>
      </c>
      <c r="BE188" s="3">
        <f>IFERROR(__xludf.DUMMYFUNCTION("""COMPUTED_VALUE"""),123.0)</f>
        <v>123</v>
      </c>
      <c r="BF188" s="3">
        <f>IFERROR(__xludf.DUMMYFUNCTION("""COMPUTED_VALUE"""),131.0)</f>
        <v>131</v>
      </c>
      <c r="BG188" s="3">
        <f>IFERROR(__xludf.DUMMYFUNCTION("""COMPUTED_VALUE"""),158.0)</f>
        <v>158</v>
      </c>
      <c r="BH188" s="3">
        <f>IFERROR(__xludf.DUMMYFUNCTION("""COMPUTED_VALUE"""),184.0)</f>
        <v>184</v>
      </c>
      <c r="BI188" s="3">
        <f>IFERROR(__xludf.DUMMYFUNCTION("""COMPUTED_VALUE"""),260.0)</f>
        <v>260</v>
      </c>
      <c r="BJ188" s="3">
        <f>IFERROR(__xludf.DUMMYFUNCTION("""COMPUTED_VALUE"""),277.0)</f>
        <v>277</v>
      </c>
      <c r="BK188" s="3">
        <f>IFERROR(__xludf.DUMMYFUNCTION("""COMPUTED_VALUE"""),308.0)</f>
        <v>308</v>
      </c>
      <c r="BL188" s="3">
        <f>IFERROR(__xludf.DUMMYFUNCTION("""COMPUTED_VALUE"""),367.0)</f>
        <v>367</v>
      </c>
      <c r="BM188" s="3">
        <f>IFERROR(__xludf.DUMMYFUNCTION("""COMPUTED_VALUE"""),433.0)</f>
        <v>433</v>
      </c>
      <c r="BN188" s="3">
        <f>IFERROR(__xludf.DUMMYFUNCTION("""COMPUTED_VALUE"""),576.0)</f>
        <v>576</v>
      </c>
      <c r="BO188" s="3">
        <f>IFERROR(__xludf.DUMMYFUNCTION("""COMPUTED_VALUE"""),794.0)</f>
        <v>794</v>
      </c>
      <c r="BP188" s="3">
        <f>IFERROR(__xludf.DUMMYFUNCTION("""COMPUTED_VALUE"""),906.0)</f>
        <v>906</v>
      </c>
      <c r="BQ188" s="3">
        <f>IFERROR(__xludf.DUMMYFUNCTION("""COMPUTED_VALUE"""),1029.0)</f>
        <v>1029</v>
      </c>
      <c r="BR188" s="3">
        <f>IFERROR(__xludf.DUMMYFUNCTION("""COMPUTED_VALUE"""),1292.0)</f>
        <v>1292</v>
      </c>
      <c r="BS188" s="3">
        <f>IFERROR(__xludf.DUMMYFUNCTION("""COMPUTED_VALUE"""),1452.0)</f>
        <v>1452</v>
      </c>
      <c r="BT188" s="3">
        <f>IFERROR(__xludf.DUMMYFUNCTION("""COMPUTED_VALUE"""),1815.0)</f>
        <v>1815</v>
      </c>
      <c r="BU188" s="3">
        <f>IFERROR(__xludf.DUMMYFUNCTION("""COMPUTED_VALUE"""),2109.0)</f>
        <v>2109</v>
      </c>
      <c r="BV188" s="3">
        <f>IFERROR(__xludf.DUMMYFUNCTION("""COMPUTED_VALUE"""),2245.0)</f>
        <v>2245</v>
      </c>
      <c r="BW188" s="3">
        <f>IFERROR(__xludf.DUMMYFUNCTION("""COMPUTED_VALUE"""),2460.0)</f>
        <v>2460</v>
      </c>
      <c r="BX188" s="3">
        <f>IFERROR(__xludf.DUMMYFUNCTION("""COMPUTED_VALUE"""),2738.0)</f>
        <v>2738</v>
      </c>
      <c r="BY188" s="3">
        <f>IFERROR(__xludf.DUMMYFUNCTION("""COMPUTED_VALUE"""),3183.0)</f>
        <v>3183</v>
      </c>
      <c r="BZ188" s="3">
        <f>IFERROR(__xludf.DUMMYFUNCTION("""COMPUTED_VALUE"""),3613.0)</f>
        <v>3613</v>
      </c>
      <c r="CA188" s="3">
        <f>IFERROR(__xludf.DUMMYFUNCTION("""COMPUTED_VALUE"""),3864.0)</f>
        <v>3864</v>
      </c>
      <c r="CB188" s="3">
        <f>IFERROR(__xludf.DUMMYFUNCTION("""COMPUTED_VALUE"""),4057.0)</f>
        <v>4057</v>
      </c>
    </row>
    <row r="189">
      <c r="A189" s="3" t="str">
        <f>IFERROR(__xludf.DUMMYFUNCTION("""COMPUTED_VALUE"""),"")</f>
        <v/>
      </c>
      <c r="B189" s="3" t="str">
        <f>IFERROR(__xludf.DUMMYFUNCTION("""COMPUTED_VALUE"""),"Russia")</f>
        <v>Russia</v>
      </c>
      <c r="C189" s="3">
        <f>IFERROR(__xludf.DUMMYFUNCTION("""COMPUTED_VALUE"""),60.0)</f>
        <v>60</v>
      </c>
      <c r="D189" s="3">
        <f>IFERROR(__xludf.DUMMYFUNCTION("""COMPUTED_VALUE"""),90.0)</f>
        <v>90</v>
      </c>
      <c r="E189" s="3">
        <f>IFERROR(__xludf.DUMMYFUNCTION("""COMPUTED_VALUE"""),0.0)</f>
        <v>0</v>
      </c>
      <c r="F189" s="3">
        <f>IFERROR(__xludf.DUMMYFUNCTION("""COMPUTED_VALUE"""),0.0)</f>
        <v>0</v>
      </c>
      <c r="G189" s="3">
        <f>IFERROR(__xludf.DUMMYFUNCTION("""COMPUTED_VALUE"""),0.0)</f>
        <v>0</v>
      </c>
      <c r="H189" s="3">
        <f>IFERROR(__xludf.DUMMYFUNCTION("""COMPUTED_VALUE"""),0.0)</f>
        <v>0</v>
      </c>
      <c r="I189" s="3">
        <f>IFERROR(__xludf.DUMMYFUNCTION("""COMPUTED_VALUE"""),0.0)</f>
        <v>0</v>
      </c>
      <c r="J189" s="3">
        <f>IFERROR(__xludf.DUMMYFUNCTION("""COMPUTED_VALUE"""),0.0)</f>
        <v>0</v>
      </c>
      <c r="K189" s="3">
        <f>IFERROR(__xludf.DUMMYFUNCTION("""COMPUTED_VALUE"""),0.0)</f>
        <v>0</v>
      </c>
      <c r="L189" s="3">
        <f>IFERROR(__xludf.DUMMYFUNCTION("""COMPUTED_VALUE"""),0.0)</f>
        <v>0</v>
      </c>
      <c r="M189" s="3">
        <f>IFERROR(__xludf.DUMMYFUNCTION("""COMPUTED_VALUE"""),0.0)</f>
        <v>0</v>
      </c>
      <c r="N189" s="3">
        <f>IFERROR(__xludf.DUMMYFUNCTION("""COMPUTED_VALUE"""),2.0)</f>
        <v>2</v>
      </c>
      <c r="O189" s="3">
        <f>IFERROR(__xludf.DUMMYFUNCTION("""COMPUTED_VALUE"""),2.0)</f>
        <v>2</v>
      </c>
      <c r="P189" s="3">
        <f>IFERROR(__xludf.DUMMYFUNCTION("""COMPUTED_VALUE"""),2.0)</f>
        <v>2</v>
      </c>
      <c r="Q189" s="3">
        <f>IFERROR(__xludf.DUMMYFUNCTION("""COMPUTED_VALUE"""),2.0)</f>
        <v>2</v>
      </c>
      <c r="R189" s="3">
        <f>IFERROR(__xludf.DUMMYFUNCTION("""COMPUTED_VALUE"""),2.0)</f>
        <v>2</v>
      </c>
      <c r="S189" s="3">
        <f>IFERROR(__xludf.DUMMYFUNCTION("""COMPUTED_VALUE"""),2.0)</f>
        <v>2</v>
      </c>
      <c r="T189" s="3">
        <f>IFERROR(__xludf.DUMMYFUNCTION("""COMPUTED_VALUE"""),2.0)</f>
        <v>2</v>
      </c>
      <c r="U189" s="3">
        <f>IFERROR(__xludf.DUMMYFUNCTION("""COMPUTED_VALUE"""),2.0)</f>
        <v>2</v>
      </c>
      <c r="V189" s="3">
        <f>IFERROR(__xludf.DUMMYFUNCTION("""COMPUTED_VALUE"""),2.0)</f>
        <v>2</v>
      </c>
      <c r="W189" s="3">
        <f>IFERROR(__xludf.DUMMYFUNCTION("""COMPUTED_VALUE"""),2.0)</f>
        <v>2</v>
      </c>
      <c r="X189" s="3">
        <f>IFERROR(__xludf.DUMMYFUNCTION("""COMPUTED_VALUE"""),2.0)</f>
        <v>2</v>
      </c>
      <c r="Y189" s="3">
        <f>IFERROR(__xludf.DUMMYFUNCTION("""COMPUTED_VALUE"""),2.0)</f>
        <v>2</v>
      </c>
      <c r="Z189" s="3">
        <f>IFERROR(__xludf.DUMMYFUNCTION("""COMPUTED_VALUE"""),2.0)</f>
        <v>2</v>
      </c>
      <c r="AA189" s="3">
        <f>IFERROR(__xludf.DUMMYFUNCTION("""COMPUTED_VALUE"""),2.0)</f>
        <v>2</v>
      </c>
      <c r="AB189" s="3">
        <f>IFERROR(__xludf.DUMMYFUNCTION("""COMPUTED_VALUE"""),2.0)</f>
        <v>2</v>
      </c>
      <c r="AC189" s="3">
        <f>IFERROR(__xludf.DUMMYFUNCTION("""COMPUTED_VALUE"""),2.0)</f>
        <v>2</v>
      </c>
      <c r="AD189" s="3">
        <f>IFERROR(__xludf.DUMMYFUNCTION("""COMPUTED_VALUE"""),2.0)</f>
        <v>2</v>
      </c>
      <c r="AE189" s="3">
        <f>IFERROR(__xludf.DUMMYFUNCTION("""COMPUTED_VALUE"""),2.0)</f>
        <v>2</v>
      </c>
      <c r="AF189" s="3">
        <f>IFERROR(__xludf.DUMMYFUNCTION("""COMPUTED_VALUE"""),2.0)</f>
        <v>2</v>
      </c>
      <c r="AG189" s="3">
        <f>IFERROR(__xludf.DUMMYFUNCTION("""COMPUTED_VALUE"""),2.0)</f>
        <v>2</v>
      </c>
      <c r="AH189" s="3">
        <f>IFERROR(__xludf.DUMMYFUNCTION("""COMPUTED_VALUE"""),2.0)</f>
        <v>2</v>
      </c>
      <c r="AI189" s="3">
        <f>IFERROR(__xludf.DUMMYFUNCTION("""COMPUTED_VALUE"""),2.0)</f>
        <v>2</v>
      </c>
      <c r="AJ189" s="3">
        <f>IFERROR(__xludf.DUMMYFUNCTION("""COMPUTED_VALUE"""),2.0)</f>
        <v>2</v>
      </c>
      <c r="AK189" s="3">
        <f>IFERROR(__xludf.DUMMYFUNCTION("""COMPUTED_VALUE"""),2.0)</f>
        <v>2</v>
      </c>
      <c r="AL189" s="3">
        <f>IFERROR(__xludf.DUMMYFUNCTION("""COMPUTED_VALUE"""),2.0)</f>
        <v>2</v>
      </c>
      <c r="AM189" s="3">
        <f>IFERROR(__xludf.DUMMYFUNCTION("""COMPUTED_VALUE"""),2.0)</f>
        <v>2</v>
      </c>
      <c r="AN189" s="3">
        <f>IFERROR(__xludf.DUMMYFUNCTION("""COMPUTED_VALUE"""),2.0)</f>
        <v>2</v>
      </c>
      <c r="AO189" s="3">
        <f>IFERROR(__xludf.DUMMYFUNCTION("""COMPUTED_VALUE"""),2.0)</f>
        <v>2</v>
      </c>
      <c r="AP189" s="3">
        <f>IFERROR(__xludf.DUMMYFUNCTION("""COMPUTED_VALUE"""),2.0)</f>
        <v>2</v>
      </c>
      <c r="AQ189" s="3">
        <f>IFERROR(__xludf.DUMMYFUNCTION("""COMPUTED_VALUE"""),2.0)</f>
        <v>2</v>
      </c>
      <c r="AR189" s="3">
        <f>IFERROR(__xludf.DUMMYFUNCTION("""COMPUTED_VALUE"""),2.0)</f>
        <v>2</v>
      </c>
      <c r="AS189" s="3">
        <f>IFERROR(__xludf.DUMMYFUNCTION("""COMPUTED_VALUE"""),3.0)</f>
        <v>3</v>
      </c>
      <c r="AT189" s="3">
        <f>IFERROR(__xludf.DUMMYFUNCTION("""COMPUTED_VALUE"""),3.0)</f>
        <v>3</v>
      </c>
      <c r="AU189" s="3">
        <f>IFERROR(__xludf.DUMMYFUNCTION("""COMPUTED_VALUE"""),3.0)</f>
        <v>3</v>
      </c>
      <c r="AV189" s="3">
        <f>IFERROR(__xludf.DUMMYFUNCTION("""COMPUTED_VALUE"""),4.0)</f>
        <v>4</v>
      </c>
      <c r="AW189" s="3">
        <f>IFERROR(__xludf.DUMMYFUNCTION("""COMPUTED_VALUE"""),13.0)</f>
        <v>13</v>
      </c>
      <c r="AX189" s="3">
        <f>IFERROR(__xludf.DUMMYFUNCTION("""COMPUTED_VALUE"""),13.0)</f>
        <v>13</v>
      </c>
      <c r="AY189" s="3">
        <f>IFERROR(__xludf.DUMMYFUNCTION("""COMPUTED_VALUE"""),17.0)</f>
        <v>17</v>
      </c>
      <c r="AZ189" s="3">
        <f>IFERROR(__xludf.DUMMYFUNCTION("""COMPUTED_VALUE"""),17.0)</f>
        <v>17</v>
      </c>
      <c r="BA189" s="3">
        <f>IFERROR(__xludf.DUMMYFUNCTION("""COMPUTED_VALUE"""),20.0)</f>
        <v>20</v>
      </c>
      <c r="BB189" s="3">
        <f>IFERROR(__xludf.DUMMYFUNCTION("""COMPUTED_VALUE"""),20.0)</f>
        <v>20</v>
      </c>
      <c r="BC189" s="3">
        <f>IFERROR(__xludf.DUMMYFUNCTION("""COMPUTED_VALUE"""),28.0)</f>
        <v>28</v>
      </c>
      <c r="BD189" s="3">
        <f>IFERROR(__xludf.DUMMYFUNCTION("""COMPUTED_VALUE"""),45.0)</f>
        <v>45</v>
      </c>
      <c r="BE189" s="3">
        <f>IFERROR(__xludf.DUMMYFUNCTION("""COMPUTED_VALUE"""),59.0)</f>
        <v>59</v>
      </c>
      <c r="BF189" s="3">
        <f>IFERROR(__xludf.DUMMYFUNCTION("""COMPUTED_VALUE"""),63.0)</f>
        <v>63</v>
      </c>
      <c r="BG189" s="3">
        <f>IFERROR(__xludf.DUMMYFUNCTION("""COMPUTED_VALUE"""),90.0)</f>
        <v>90</v>
      </c>
      <c r="BH189" s="3">
        <f>IFERROR(__xludf.DUMMYFUNCTION("""COMPUTED_VALUE"""),114.0)</f>
        <v>114</v>
      </c>
      <c r="BI189" s="3">
        <f>IFERROR(__xludf.DUMMYFUNCTION("""COMPUTED_VALUE"""),147.0)</f>
        <v>147</v>
      </c>
      <c r="BJ189" s="3">
        <f>IFERROR(__xludf.DUMMYFUNCTION("""COMPUTED_VALUE"""),199.0)</f>
        <v>199</v>
      </c>
      <c r="BK189" s="3">
        <f>IFERROR(__xludf.DUMMYFUNCTION("""COMPUTED_VALUE"""),253.0)</f>
        <v>253</v>
      </c>
      <c r="BL189" s="3">
        <f>IFERROR(__xludf.DUMMYFUNCTION("""COMPUTED_VALUE"""),306.0)</f>
        <v>306</v>
      </c>
      <c r="BM189" s="3">
        <f>IFERROR(__xludf.DUMMYFUNCTION("""COMPUTED_VALUE"""),367.0)</f>
        <v>367</v>
      </c>
      <c r="BN189" s="3">
        <f>IFERROR(__xludf.DUMMYFUNCTION("""COMPUTED_VALUE"""),438.0)</f>
        <v>438</v>
      </c>
      <c r="BO189" s="3">
        <f>IFERROR(__xludf.DUMMYFUNCTION("""COMPUTED_VALUE"""),495.0)</f>
        <v>495</v>
      </c>
      <c r="BP189" s="3">
        <f>IFERROR(__xludf.DUMMYFUNCTION("""COMPUTED_VALUE"""),658.0)</f>
        <v>658</v>
      </c>
      <c r="BQ189" s="3">
        <f>IFERROR(__xludf.DUMMYFUNCTION("""COMPUTED_VALUE"""),840.0)</f>
        <v>840</v>
      </c>
      <c r="BR189" s="3">
        <f>IFERROR(__xludf.DUMMYFUNCTION("""COMPUTED_VALUE"""),1036.0)</f>
        <v>1036</v>
      </c>
      <c r="BS189" s="3">
        <f>IFERROR(__xludf.DUMMYFUNCTION("""COMPUTED_VALUE"""),1264.0)</f>
        <v>1264</v>
      </c>
      <c r="BT189" s="3">
        <f>IFERROR(__xludf.DUMMYFUNCTION("""COMPUTED_VALUE"""),1534.0)</f>
        <v>1534</v>
      </c>
      <c r="BU189" s="3">
        <f>IFERROR(__xludf.DUMMYFUNCTION("""COMPUTED_VALUE"""),1836.0)</f>
        <v>1836</v>
      </c>
      <c r="BV189" s="3">
        <f>IFERROR(__xludf.DUMMYFUNCTION("""COMPUTED_VALUE"""),2337.0)</f>
        <v>2337</v>
      </c>
      <c r="BW189" s="3">
        <f>IFERROR(__xludf.DUMMYFUNCTION("""COMPUTED_VALUE"""),2777.0)</f>
        <v>2777</v>
      </c>
      <c r="BX189" s="3">
        <f>IFERROR(__xludf.DUMMYFUNCTION("""COMPUTED_VALUE"""),3548.0)</f>
        <v>3548</v>
      </c>
      <c r="BY189" s="3">
        <f>IFERROR(__xludf.DUMMYFUNCTION("""COMPUTED_VALUE"""),4149.0)</f>
        <v>4149</v>
      </c>
      <c r="BZ189" s="3">
        <f>IFERROR(__xludf.DUMMYFUNCTION("""COMPUTED_VALUE"""),4731.0)</f>
        <v>4731</v>
      </c>
      <c r="CA189" s="3">
        <f>IFERROR(__xludf.DUMMYFUNCTION("""COMPUTED_VALUE"""),5389.0)</f>
        <v>5389</v>
      </c>
      <c r="CB189" s="3">
        <f>IFERROR(__xludf.DUMMYFUNCTION("""COMPUTED_VALUE"""),6343.0)</f>
        <v>6343</v>
      </c>
    </row>
    <row r="190">
      <c r="A190" s="3" t="str">
        <f>IFERROR(__xludf.DUMMYFUNCTION("""COMPUTED_VALUE"""),"")</f>
        <v/>
      </c>
      <c r="B190" s="3" t="str">
        <f>IFERROR(__xludf.DUMMYFUNCTION("""COMPUTED_VALUE"""),"Rwanda")</f>
        <v>Rwanda</v>
      </c>
      <c r="C190" s="3">
        <f>IFERROR(__xludf.DUMMYFUNCTION("""COMPUTED_VALUE"""),-1.9403)</f>
        <v>-1.9403</v>
      </c>
      <c r="D190" s="3">
        <f>IFERROR(__xludf.DUMMYFUNCTION("""COMPUTED_VALUE"""),29.8739)</f>
        <v>29.8739</v>
      </c>
      <c r="E190" s="3">
        <f>IFERROR(__xludf.DUMMYFUNCTION("""COMPUTED_VALUE"""),0.0)</f>
        <v>0</v>
      </c>
      <c r="F190" s="3">
        <f>IFERROR(__xludf.DUMMYFUNCTION("""COMPUTED_VALUE"""),0.0)</f>
        <v>0</v>
      </c>
      <c r="G190" s="3">
        <f>IFERROR(__xludf.DUMMYFUNCTION("""COMPUTED_VALUE"""),0.0)</f>
        <v>0</v>
      </c>
      <c r="H190" s="3">
        <f>IFERROR(__xludf.DUMMYFUNCTION("""COMPUTED_VALUE"""),0.0)</f>
        <v>0</v>
      </c>
      <c r="I190" s="3">
        <f>IFERROR(__xludf.DUMMYFUNCTION("""COMPUTED_VALUE"""),0.0)</f>
        <v>0</v>
      </c>
      <c r="J190" s="3">
        <f>IFERROR(__xludf.DUMMYFUNCTION("""COMPUTED_VALUE"""),0.0)</f>
        <v>0</v>
      </c>
      <c r="K190" s="3">
        <f>IFERROR(__xludf.DUMMYFUNCTION("""COMPUTED_VALUE"""),0.0)</f>
        <v>0</v>
      </c>
      <c r="L190" s="3">
        <f>IFERROR(__xludf.DUMMYFUNCTION("""COMPUTED_VALUE"""),0.0)</f>
        <v>0</v>
      </c>
      <c r="M190" s="3">
        <f>IFERROR(__xludf.DUMMYFUNCTION("""COMPUTED_VALUE"""),0.0)</f>
        <v>0</v>
      </c>
      <c r="N190" s="3">
        <f>IFERROR(__xludf.DUMMYFUNCTION("""COMPUTED_VALUE"""),0.0)</f>
        <v>0</v>
      </c>
      <c r="O190" s="3">
        <f>IFERROR(__xludf.DUMMYFUNCTION("""COMPUTED_VALUE"""),0.0)</f>
        <v>0</v>
      </c>
      <c r="P190" s="3">
        <f>IFERROR(__xludf.DUMMYFUNCTION("""COMPUTED_VALUE"""),0.0)</f>
        <v>0</v>
      </c>
      <c r="Q190" s="3">
        <f>IFERROR(__xludf.DUMMYFUNCTION("""COMPUTED_VALUE"""),0.0)</f>
        <v>0</v>
      </c>
      <c r="R190" s="3">
        <f>IFERROR(__xludf.DUMMYFUNCTION("""COMPUTED_VALUE"""),0.0)</f>
        <v>0</v>
      </c>
      <c r="S190" s="3">
        <f>IFERROR(__xludf.DUMMYFUNCTION("""COMPUTED_VALUE"""),0.0)</f>
        <v>0</v>
      </c>
      <c r="T190" s="3">
        <f>IFERROR(__xludf.DUMMYFUNCTION("""COMPUTED_VALUE"""),0.0)</f>
        <v>0</v>
      </c>
      <c r="U190" s="3">
        <f>IFERROR(__xludf.DUMMYFUNCTION("""COMPUTED_VALUE"""),0.0)</f>
        <v>0</v>
      </c>
      <c r="V190" s="3">
        <f>IFERROR(__xludf.DUMMYFUNCTION("""COMPUTED_VALUE"""),0.0)</f>
        <v>0</v>
      </c>
      <c r="W190" s="3">
        <f>IFERROR(__xludf.DUMMYFUNCTION("""COMPUTED_VALUE"""),0.0)</f>
        <v>0</v>
      </c>
      <c r="X190" s="3">
        <f>IFERROR(__xludf.DUMMYFUNCTION("""COMPUTED_VALUE"""),0.0)</f>
        <v>0</v>
      </c>
      <c r="Y190" s="3">
        <f>IFERROR(__xludf.DUMMYFUNCTION("""COMPUTED_VALUE"""),0.0)</f>
        <v>0</v>
      </c>
      <c r="Z190" s="3">
        <f>IFERROR(__xludf.DUMMYFUNCTION("""COMPUTED_VALUE"""),0.0)</f>
        <v>0</v>
      </c>
      <c r="AA190" s="3">
        <f>IFERROR(__xludf.DUMMYFUNCTION("""COMPUTED_VALUE"""),0.0)</f>
        <v>0</v>
      </c>
      <c r="AB190" s="3">
        <f>IFERROR(__xludf.DUMMYFUNCTION("""COMPUTED_VALUE"""),0.0)</f>
        <v>0</v>
      </c>
      <c r="AC190" s="3">
        <f>IFERROR(__xludf.DUMMYFUNCTION("""COMPUTED_VALUE"""),0.0)</f>
        <v>0</v>
      </c>
      <c r="AD190" s="3">
        <f>IFERROR(__xludf.DUMMYFUNCTION("""COMPUTED_VALUE"""),0.0)</f>
        <v>0</v>
      </c>
      <c r="AE190" s="3">
        <f>IFERROR(__xludf.DUMMYFUNCTION("""COMPUTED_VALUE"""),0.0)</f>
        <v>0</v>
      </c>
      <c r="AF190" s="3">
        <f>IFERROR(__xludf.DUMMYFUNCTION("""COMPUTED_VALUE"""),0.0)</f>
        <v>0</v>
      </c>
      <c r="AG190" s="3">
        <f>IFERROR(__xludf.DUMMYFUNCTION("""COMPUTED_VALUE"""),0.0)</f>
        <v>0</v>
      </c>
      <c r="AH190" s="3">
        <f>IFERROR(__xludf.DUMMYFUNCTION("""COMPUTED_VALUE"""),0.0)</f>
        <v>0</v>
      </c>
      <c r="AI190" s="3">
        <f>IFERROR(__xludf.DUMMYFUNCTION("""COMPUTED_VALUE"""),0.0)</f>
        <v>0</v>
      </c>
      <c r="AJ190" s="3">
        <f>IFERROR(__xludf.DUMMYFUNCTION("""COMPUTED_VALUE"""),0.0)</f>
        <v>0</v>
      </c>
      <c r="AK190" s="3">
        <f>IFERROR(__xludf.DUMMYFUNCTION("""COMPUTED_VALUE"""),0.0)</f>
        <v>0</v>
      </c>
      <c r="AL190" s="3">
        <f>IFERROR(__xludf.DUMMYFUNCTION("""COMPUTED_VALUE"""),0.0)</f>
        <v>0</v>
      </c>
      <c r="AM190" s="3">
        <f>IFERROR(__xludf.DUMMYFUNCTION("""COMPUTED_VALUE"""),0.0)</f>
        <v>0</v>
      </c>
      <c r="AN190" s="3">
        <f>IFERROR(__xludf.DUMMYFUNCTION("""COMPUTED_VALUE"""),0.0)</f>
        <v>0</v>
      </c>
      <c r="AO190" s="3">
        <f>IFERROR(__xludf.DUMMYFUNCTION("""COMPUTED_VALUE"""),0.0)</f>
        <v>0</v>
      </c>
      <c r="AP190" s="3">
        <f>IFERROR(__xludf.DUMMYFUNCTION("""COMPUTED_VALUE"""),0.0)</f>
        <v>0</v>
      </c>
      <c r="AQ190" s="3">
        <f>IFERROR(__xludf.DUMMYFUNCTION("""COMPUTED_VALUE"""),0.0)</f>
        <v>0</v>
      </c>
      <c r="AR190" s="3">
        <f>IFERROR(__xludf.DUMMYFUNCTION("""COMPUTED_VALUE"""),0.0)</f>
        <v>0</v>
      </c>
      <c r="AS190" s="3">
        <f>IFERROR(__xludf.DUMMYFUNCTION("""COMPUTED_VALUE"""),0.0)</f>
        <v>0</v>
      </c>
      <c r="AT190" s="3">
        <f>IFERROR(__xludf.DUMMYFUNCTION("""COMPUTED_VALUE"""),0.0)</f>
        <v>0</v>
      </c>
      <c r="AU190" s="3">
        <f>IFERROR(__xludf.DUMMYFUNCTION("""COMPUTED_VALUE"""),0.0)</f>
        <v>0</v>
      </c>
      <c r="AV190" s="3">
        <f>IFERROR(__xludf.DUMMYFUNCTION("""COMPUTED_VALUE"""),0.0)</f>
        <v>0</v>
      </c>
      <c r="AW190" s="3">
        <f>IFERROR(__xludf.DUMMYFUNCTION("""COMPUTED_VALUE"""),0.0)</f>
        <v>0</v>
      </c>
      <c r="AX190" s="3">
        <f>IFERROR(__xludf.DUMMYFUNCTION("""COMPUTED_VALUE"""),0.0)</f>
        <v>0</v>
      </c>
      <c r="AY190" s="3">
        <f>IFERROR(__xludf.DUMMYFUNCTION("""COMPUTED_VALUE"""),0.0)</f>
        <v>0</v>
      </c>
      <c r="AZ190" s="3">
        <f>IFERROR(__xludf.DUMMYFUNCTION("""COMPUTED_VALUE"""),0.0)</f>
        <v>0</v>
      </c>
      <c r="BA190" s="3">
        <f>IFERROR(__xludf.DUMMYFUNCTION("""COMPUTED_VALUE"""),0.0)</f>
        <v>0</v>
      </c>
      <c r="BB190" s="3">
        <f>IFERROR(__xludf.DUMMYFUNCTION("""COMPUTED_VALUE"""),0.0)</f>
        <v>0</v>
      </c>
      <c r="BC190" s="3">
        <f>IFERROR(__xludf.DUMMYFUNCTION("""COMPUTED_VALUE"""),0.0)</f>
        <v>0</v>
      </c>
      <c r="BD190" s="3">
        <f>IFERROR(__xludf.DUMMYFUNCTION("""COMPUTED_VALUE"""),0.0)</f>
        <v>0</v>
      </c>
      <c r="BE190" s="3">
        <f>IFERROR(__xludf.DUMMYFUNCTION("""COMPUTED_VALUE"""),1.0)</f>
        <v>1</v>
      </c>
      <c r="BF190" s="3">
        <f>IFERROR(__xludf.DUMMYFUNCTION("""COMPUTED_VALUE"""),1.0)</f>
        <v>1</v>
      </c>
      <c r="BG190" s="3">
        <f>IFERROR(__xludf.DUMMYFUNCTION("""COMPUTED_VALUE"""),5.0)</f>
        <v>5</v>
      </c>
      <c r="BH190" s="3">
        <f>IFERROR(__xludf.DUMMYFUNCTION("""COMPUTED_VALUE"""),7.0)</f>
        <v>7</v>
      </c>
      <c r="BI190" s="3">
        <f>IFERROR(__xludf.DUMMYFUNCTION("""COMPUTED_VALUE"""),8.0)</f>
        <v>8</v>
      </c>
      <c r="BJ190" s="3">
        <f>IFERROR(__xludf.DUMMYFUNCTION("""COMPUTED_VALUE"""),8.0)</f>
        <v>8</v>
      </c>
      <c r="BK190" s="3">
        <f>IFERROR(__xludf.DUMMYFUNCTION("""COMPUTED_VALUE"""),17.0)</f>
        <v>17</v>
      </c>
      <c r="BL190" s="3">
        <f>IFERROR(__xludf.DUMMYFUNCTION("""COMPUTED_VALUE"""),17.0)</f>
        <v>17</v>
      </c>
      <c r="BM190" s="3">
        <f>IFERROR(__xludf.DUMMYFUNCTION("""COMPUTED_VALUE"""),19.0)</f>
        <v>19</v>
      </c>
      <c r="BN190" s="3">
        <f>IFERROR(__xludf.DUMMYFUNCTION("""COMPUTED_VALUE"""),36.0)</f>
        <v>36</v>
      </c>
      <c r="BO190" s="3">
        <f>IFERROR(__xludf.DUMMYFUNCTION("""COMPUTED_VALUE"""),40.0)</f>
        <v>40</v>
      </c>
      <c r="BP190" s="3">
        <f>IFERROR(__xludf.DUMMYFUNCTION("""COMPUTED_VALUE"""),41.0)</f>
        <v>41</v>
      </c>
      <c r="BQ190" s="3">
        <f>IFERROR(__xludf.DUMMYFUNCTION("""COMPUTED_VALUE"""),50.0)</f>
        <v>50</v>
      </c>
      <c r="BR190" s="3">
        <f>IFERROR(__xludf.DUMMYFUNCTION("""COMPUTED_VALUE"""),54.0)</f>
        <v>54</v>
      </c>
      <c r="BS190" s="3">
        <f>IFERROR(__xludf.DUMMYFUNCTION("""COMPUTED_VALUE"""),60.0)</f>
        <v>60</v>
      </c>
      <c r="BT190" s="3">
        <f>IFERROR(__xludf.DUMMYFUNCTION("""COMPUTED_VALUE"""),70.0)</f>
        <v>70</v>
      </c>
      <c r="BU190" s="3">
        <f>IFERROR(__xludf.DUMMYFUNCTION("""COMPUTED_VALUE"""),70.0)</f>
        <v>70</v>
      </c>
      <c r="BV190" s="3">
        <f>IFERROR(__xludf.DUMMYFUNCTION("""COMPUTED_VALUE"""),75.0)</f>
        <v>75</v>
      </c>
      <c r="BW190" s="3">
        <f>IFERROR(__xludf.DUMMYFUNCTION("""COMPUTED_VALUE"""),82.0)</f>
        <v>82</v>
      </c>
      <c r="BX190" s="3">
        <f>IFERROR(__xludf.DUMMYFUNCTION("""COMPUTED_VALUE"""),84.0)</f>
        <v>84</v>
      </c>
      <c r="BY190" s="3">
        <f>IFERROR(__xludf.DUMMYFUNCTION("""COMPUTED_VALUE"""),89.0)</f>
        <v>89</v>
      </c>
      <c r="BZ190" s="3">
        <f>IFERROR(__xludf.DUMMYFUNCTION("""COMPUTED_VALUE"""),102.0)</f>
        <v>102</v>
      </c>
      <c r="CA190" s="3">
        <f>IFERROR(__xludf.DUMMYFUNCTION("""COMPUTED_VALUE"""),104.0)</f>
        <v>104</v>
      </c>
      <c r="CB190" s="3">
        <f>IFERROR(__xludf.DUMMYFUNCTION("""COMPUTED_VALUE"""),105.0)</f>
        <v>105</v>
      </c>
    </row>
    <row r="191">
      <c r="A191" s="3" t="str">
        <f>IFERROR(__xludf.DUMMYFUNCTION("""COMPUTED_VALUE"""),"")</f>
        <v/>
      </c>
      <c r="B191" s="3" t="str">
        <f>IFERROR(__xludf.DUMMYFUNCTION("""COMPUTED_VALUE"""),"Saint Lucia")</f>
        <v>Saint Lucia</v>
      </c>
      <c r="C191" s="3">
        <f>IFERROR(__xludf.DUMMYFUNCTION("""COMPUTED_VALUE"""),13.9094)</f>
        <v>13.9094</v>
      </c>
      <c r="D191" s="3">
        <f>IFERROR(__xludf.DUMMYFUNCTION("""COMPUTED_VALUE"""),-60.9789)</f>
        <v>-60.9789</v>
      </c>
      <c r="E191" s="3">
        <f>IFERROR(__xludf.DUMMYFUNCTION("""COMPUTED_VALUE"""),0.0)</f>
        <v>0</v>
      </c>
      <c r="F191" s="3">
        <f>IFERROR(__xludf.DUMMYFUNCTION("""COMPUTED_VALUE"""),0.0)</f>
        <v>0</v>
      </c>
      <c r="G191" s="3">
        <f>IFERROR(__xludf.DUMMYFUNCTION("""COMPUTED_VALUE"""),0.0)</f>
        <v>0</v>
      </c>
      <c r="H191" s="3">
        <f>IFERROR(__xludf.DUMMYFUNCTION("""COMPUTED_VALUE"""),0.0)</f>
        <v>0</v>
      </c>
      <c r="I191" s="3">
        <f>IFERROR(__xludf.DUMMYFUNCTION("""COMPUTED_VALUE"""),0.0)</f>
        <v>0</v>
      </c>
      <c r="J191" s="3">
        <f>IFERROR(__xludf.DUMMYFUNCTION("""COMPUTED_VALUE"""),0.0)</f>
        <v>0</v>
      </c>
      <c r="K191" s="3">
        <f>IFERROR(__xludf.DUMMYFUNCTION("""COMPUTED_VALUE"""),0.0)</f>
        <v>0</v>
      </c>
      <c r="L191" s="3">
        <f>IFERROR(__xludf.DUMMYFUNCTION("""COMPUTED_VALUE"""),0.0)</f>
        <v>0</v>
      </c>
      <c r="M191" s="3">
        <f>IFERROR(__xludf.DUMMYFUNCTION("""COMPUTED_VALUE"""),0.0)</f>
        <v>0</v>
      </c>
      <c r="N191" s="3">
        <f>IFERROR(__xludf.DUMMYFUNCTION("""COMPUTED_VALUE"""),0.0)</f>
        <v>0</v>
      </c>
      <c r="O191" s="3">
        <f>IFERROR(__xludf.DUMMYFUNCTION("""COMPUTED_VALUE"""),0.0)</f>
        <v>0</v>
      </c>
      <c r="P191" s="3">
        <f>IFERROR(__xludf.DUMMYFUNCTION("""COMPUTED_VALUE"""),0.0)</f>
        <v>0</v>
      </c>
      <c r="Q191" s="3">
        <f>IFERROR(__xludf.DUMMYFUNCTION("""COMPUTED_VALUE"""),0.0)</f>
        <v>0</v>
      </c>
      <c r="R191" s="3">
        <f>IFERROR(__xludf.DUMMYFUNCTION("""COMPUTED_VALUE"""),0.0)</f>
        <v>0</v>
      </c>
      <c r="S191" s="3">
        <f>IFERROR(__xludf.DUMMYFUNCTION("""COMPUTED_VALUE"""),0.0)</f>
        <v>0</v>
      </c>
      <c r="T191" s="3">
        <f>IFERROR(__xludf.DUMMYFUNCTION("""COMPUTED_VALUE"""),0.0)</f>
        <v>0</v>
      </c>
      <c r="U191" s="3">
        <f>IFERROR(__xludf.DUMMYFUNCTION("""COMPUTED_VALUE"""),0.0)</f>
        <v>0</v>
      </c>
      <c r="V191" s="3">
        <f>IFERROR(__xludf.DUMMYFUNCTION("""COMPUTED_VALUE"""),0.0)</f>
        <v>0</v>
      </c>
      <c r="W191" s="3">
        <f>IFERROR(__xludf.DUMMYFUNCTION("""COMPUTED_VALUE"""),0.0)</f>
        <v>0</v>
      </c>
      <c r="X191" s="3">
        <f>IFERROR(__xludf.DUMMYFUNCTION("""COMPUTED_VALUE"""),0.0)</f>
        <v>0</v>
      </c>
      <c r="Y191" s="3">
        <f>IFERROR(__xludf.DUMMYFUNCTION("""COMPUTED_VALUE"""),0.0)</f>
        <v>0</v>
      </c>
      <c r="Z191" s="3">
        <f>IFERROR(__xludf.DUMMYFUNCTION("""COMPUTED_VALUE"""),0.0)</f>
        <v>0</v>
      </c>
      <c r="AA191" s="3">
        <f>IFERROR(__xludf.DUMMYFUNCTION("""COMPUTED_VALUE"""),0.0)</f>
        <v>0</v>
      </c>
      <c r="AB191" s="3">
        <f>IFERROR(__xludf.DUMMYFUNCTION("""COMPUTED_VALUE"""),0.0)</f>
        <v>0</v>
      </c>
      <c r="AC191" s="3">
        <f>IFERROR(__xludf.DUMMYFUNCTION("""COMPUTED_VALUE"""),0.0)</f>
        <v>0</v>
      </c>
      <c r="AD191" s="3">
        <f>IFERROR(__xludf.DUMMYFUNCTION("""COMPUTED_VALUE"""),0.0)</f>
        <v>0</v>
      </c>
      <c r="AE191" s="3">
        <f>IFERROR(__xludf.DUMMYFUNCTION("""COMPUTED_VALUE"""),0.0)</f>
        <v>0</v>
      </c>
      <c r="AF191" s="3">
        <f>IFERROR(__xludf.DUMMYFUNCTION("""COMPUTED_VALUE"""),0.0)</f>
        <v>0</v>
      </c>
      <c r="AG191" s="3">
        <f>IFERROR(__xludf.DUMMYFUNCTION("""COMPUTED_VALUE"""),0.0)</f>
        <v>0</v>
      </c>
      <c r="AH191" s="3">
        <f>IFERROR(__xludf.DUMMYFUNCTION("""COMPUTED_VALUE"""),0.0)</f>
        <v>0</v>
      </c>
      <c r="AI191" s="3">
        <f>IFERROR(__xludf.DUMMYFUNCTION("""COMPUTED_VALUE"""),0.0)</f>
        <v>0</v>
      </c>
      <c r="AJ191" s="3">
        <f>IFERROR(__xludf.DUMMYFUNCTION("""COMPUTED_VALUE"""),0.0)</f>
        <v>0</v>
      </c>
      <c r="AK191" s="3">
        <f>IFERROR(__xludf.DUMMYFUNCTION("""COMPUTED_VALUE"""),0.0)</f>
        <v>0</v>
      </c>
      <c r="AL191" s="3">
        <f>IFERROR(__xludf.DUMMYFUNCTION("""COMPUTED_VALUE"""),0.0)</f>
        <v>0</v>
      </c>
      <c r="AM191" s="3">
        <f>IFERROR(__xludf.DUMMYFUNCTION("""COMPUTED_VALUE"""),0.0)</f>
        <v>0</v>
      </c>
      <c r="AN191" s="3">
        <f>IFERROR(__xludf.DUMMYFUNCTION("""COMPUTED_VALUE"""),0.0)</f>
        <v>0</v>
      </c>
      <c r="AO191" s="3">
        <f>IFERROR(__xludf.DUMMYFUNCTION("""COMPUTED_VALUE"""),0.0)</f>
        <v>0</v>
      </c>
      <c r="AP191" s="3">
        <f>IFERROR(__xludf.DUMMYFUNCTION("""COMPUTED_VALUE"""),0.0)</f>
        <v>0</v>
      </c>
      <c r="AQ191" s="3">
        <f>IFERROR(__xludf.DUMMYFUNCTION("""COMPUTED_VALUE"""),0.0)</f>
        <v>0</v>
      </c>
      <c r="AR191" s="3">
        <f>IFERROR(__xludf.DUMMYFUNCTION("""COMPUTED_VALUE"""),0.0)</f>
        <v>0</v>
      </c>
      <c r="AS191" s="3">
        <f>IFERROR(__xludf.DUMMYFUNCTION("""COMPUTED_VALUE"""),0.0)</f>
        <v>0</v>
      </c>
      <c r="AT191" s="3">
        <f>IFERROR(__xludf.DUMMYFUNCTION("""COMPUTED_VALUE"""),0.0)</f>
        <v>0</v>
      </c>
      <c r="AU191" s="3">
        <f>IFERROR(__xludf.DUMMYFUNCTION("""COMPUTED_VALUE"""),0.0)</f>
        <v>0</v>
      </c>
      <c r="AV191" s="3">
        <f>IFERROR(__xludf.DUMMYFUNCTION("""COMPUTED_VALUE"""),0.0)</f>
        <v>0</v>
      </c>
      <c r="AW191" s="3">
        <f>IFERROR(__xludf.DUMMYFUNCTION("""COMPUTED_VALUE"""),0.0)</f>
        <v>0</v>
      </c>
      <c r="AX191" s="3">
        <f>IFERROR(__xludf.DUMMYFUNCTION("""COMPUTED_VALUE"""),0.0)</f>
        <v>0</v>
      </c>
      <c r="AY191" s="3">
        <f>IFERROR(__xludf.DUMMYFUNCTION("""COMPUTED_VALUE"""),0.0)</f>
        <v>0</v>
      </c>
      <c r="AZ191" s="3">
        <f>IFERROR(__xludf.DUMMYFUNCTION("""COMPUTED_VALUE"""),0.0)</f>
        <v>0</v>
      </c>
      <c r="BA191" s="3">
        <f>IFERROR(__xludf.DUMMYFUNCTION("""COMPUTED_VALUE"""),0.0)</f>
        <v>0</v>
      </c>
      <c r="BB191" s="3">
        <f>IFERROR(__xludf.DUMMYFUNCTION("""COMPUTED_VALUE"""),0.0)</f>
        <v>0</v>
      </c>
      <c r="BC191" s="3">
        <f>IFERROR(__xludf.DUMMYFUNCTION("""COMPUTED_VALUE"""),0.0)</f>
        <v>0</v>
      </c>
      <c r="BD191" s="3">
        <f>IFERROR(__xludf.DUMMYFUNCTION("""COMPUTED_VALUE"""),0.0)</f>
        <v>0</v>
      </c>
      <c r="BE191" s="3">
        <f>IFERROR(__xludf.DUMMYFUNCTION("""COMPUTED_VALUE"""),1.0)</f>
        <v>1</v>
      </c>
      <c r="BF191" s="3">
        <f>IFERROR(__xludf.DUMMYFUNCTION("""COMPUTED_VALUE"""),2.0)</f>
        <v>2</v>
      </c>
      <c r="BG191" s="3">
        <f>IFERROR(__xludf.DUMMYFUNCTION("""COMPUTED_VALUE"""),2.0)</f>
        <v>2</v>
      </c>
      <c r="BH191" s="3">
        <f>IFERROR(__xludf.DUMMYFUNCTION("""COMPUTED_VALUE"""),2.0)</f>
        <v>2</v>
      </c>
      <c r="BI191" s="3">
        <f>IFERROR(__xludf.DUMMYFUNCTION("""COMPUTED_VALUE"""),2.0)</f>
        <v>2</v>
      </c>
      <c r="BJ191" s="3">
        <f>IFERROR(__xludf.DUMMYFUNCTION("""COMPUTED_VALUE"""),2.0)</f>
        <v>2</v>
      </c>
      <c r="BK191" s="3">
        <f>IFERROR(__xludf.DUMMYFUNCTION("""COMPUTED_VALUE"""),2.0)</f>
        <v>2</v>
      </c>
      <c r="BL191" s="3">
        <f>IFERROR(__xludf.DUMMYFUNCTION("""COMPUTED_VALUE"""),2.0)</f>
        <v>2</v>
      </c>
      <c r="BM191" s="3">
        <f>IFERROR(__xludf.DUMMYFUNCTION("""COMPUTED_VALUE"""),2.0)</f>
        <v>2</v>
      </c>
      <c r="BN191" s="3">
        <f>IFERROR(__xludf.DUMMYFUNCTION("""COMPUTED_VALUE"""),3.0)</f>
        <v>3</v>
      </c>
      <c r="BO191" s="3">
        <f>IFERROR(__xludf.DUMMYFUNCTION("""COMPUTED_VALUE"""),3.0)</f>
        <v>3</v>
      </c>
      <c r="BP191" s="3">
        <f>IFERROR(__xludf.DUMMYFUNCTION("""COMPUTED_VALUE"""),3.0)</f>
        <v>3</v>
      </c>
      <c r="BQ191" s="3">
        <f>IFERROR(__xludf.DUMMYFUNCTION("""COMPUTED_VALUE"""),3.0)</f>
        <v>3</v>
      </c>
      <c r="BR191" s="3">
        <f>IFERROR(__xludf.DUMMYFUNCTION("""COMPUTED_VALUE"""),3.0)</f>
        <v>3</v>
      </c>
      <c r="BS191" s="3">
        <f>IFERROR(__xludf.DUMMYFUNCTION("""COMPUTED_VALUE"""),3.0)</f>
        <v>3</v>
      </c>
      <c r="BT191" s="3">
        <f>IFERROR(__xludf.DUMMYFUNCTION("""COMPUTED_VALUE"""),9.0)</f>
        <v>9</v>
      </c>
      <c r="BU191" s="3">
        <f>IFERROR(__xludf.DUMMYFUNCTION("""COMPUTED_VALUE"""),9.0)</f>
        <v>9</v>
      </c>
      <c r="BV191" s="3">
        <f>IFERROR(__xludf.DUMMYFUNCTION("""COMPUTED_VALUE"""),13.0)</f>
        <v>13</v>
      </c>
      <c r="BW191" s="3">
        <f>IFERROR(__xludf.DUMMYFUNCTION("""COMPUTED_VALUE"""),13.0)</f>
        <v>13</v>
      </c>
      <c r="BX191" s="3">
        <f>IFERROR(__xludf.DUMMYFUNCTION("""COMPUTED_VALUE"""),13.0)</f>
        <v>13</v>
      </c>
      <c r="BY191" s="3">
        <f>IFERROR(__xludf.DUMMYFUNCTION("""COMPUTED_VALUE"""),13.0)</f>
        <v>13</v>
      </c>
      <c r="BZ191" s="3">
        <f>IFERROR(__xludf.DUMMYFUNCTION("""COMPUTED_VALUE"""),14.0)</f>
        <v>14</v>
      </c>
      <c r="CA191" s="3">
        <f>IFERROR(__xludf.DUMMYFUNCTION("""COMPUTED_VALUE"""),14.0)</f>
        <v>14</v>
      </c>
      <c r="CB191" s="3">
        <f>IFERROR(__xludf.DUMMYFUNCTION("""COMPUTED_VALUE"""),14.0)</f>
        <v>14</v>
      </c>
    </row>
    <row r="192">
      <c r="A192" s="3" t="str">
        <f>IFERROR(__xludf.DUMMYFUNCTION("""COMPUTED_VALUE"""),"")</f>
        <v/>
      </c>
      <c r="B192" s="3" t="str">
        <f>IFERROR(__xludf.DUMMYFUNCTION("""COMPUTED_VALUE"""),"Saint Vincent and the Grenadines")</f>
        <v>Saint Vincent and the Grenadines</v>
      </c>
      <c r="C192" s="3">
        <f>IFERROR(__xludf.DUMMYFUNCTION("""COMPUTED_VALUE"""),12.9843)</f>
        <v>12.9843</v>
      </c>
      <c r="D192" s="3">
        <f>IFERROR(__xludf.DUMMYFUNCTION("""COMPUTED_VALUE"""),-61.2872)</f>
        <v>-61.2872</v>
      </c>
      <c r="E192" s="3">
        <f>IFERROR(__xludf.DUMMYFUNCTION("""COMPUTED_VALUE"""),0.0)</f>
        <v>0</v>
      </c>
      <c r="F192" s="3">
        <f>IFERROR(__xludf.DUMMYFUNCTION("""COMPUTED_VALUE"""),0.0)</f>
        <v>0</v>
      </c>
      <c r="G192" s="3">
        <f>IFERROR(__xludf.DUMMYFUNCTION("""COMPUTED_VALUE"""),0.0)</f>
        <v>0</v>
      </c>
      <c r="H192" s="3">
        <f>IFERROR(__xludf.DUMMYFUNCTION("""COMPUTED_VALUE"""),0.0)</f>
        <v>0</v>
      </c>
      <c r="I192" s="3">
        <f>IFERROR(__xludf.DUMMYFUNCTION("""COMPUTED_VALUE"""),0.0)</f>
        <v>0</v>
      </c>
      <c r="J192" s="3">
        <f>IFERROR(__xludf.DUMMYFUNCTION("""COMPUTED_VALUE"""),0.0)</f>
        <v>0</v>
      </c>
      <c r="K192" s="3">
        <f>IFERROR(__xludf.DUMMYFUNCTION("""COMPUTED_VALUE"""),0.0)</f>
        <v>0</v>
      </c>
      <c r="L192" s="3">
        <f>IFERROR(__xludf.DUMMYFUNCTION("""COMPUTED_VALUE"""),0.0)</f>
        <v>0</v>
      </c>
      <c r="M192" s="3">
        <f>IFERROR(__xludf.DUMMYFUNCTION("""COMPUTED_VALUE"""),0.0)</f>
        <v>0</v>
      </c>
      <c r="N192" s="3">
        <f>IFERROR(__xludf.DUMMYFUNCTION("""COMPUTED_VALUE"""),0.0)</f>
        <v>0</v>
      </c>
      <c r="O192" s="3">
        <f>IFERROR(__xludf.DUMMYFUNCTION("""COMPUTED_VALUE"""),0.0)</f>
        <v>0</v>
      </c>
      <c r="P192" s="3">
        <f>IFERROR(__xludf.DUMMYFUNCTION("""COMPUTED_VALUE"""),0.0)</f>
        <v>0</v>
      </c>
      <c r="Q192" s="3">
        <f>IFERROR(__xludf.DUMMYFUNCTION("""COMPUTED_VALUE"""),0.0)</f>
        <v>0</v>
      </c>
      <c r="R192" s="3">
        <f>IFERROR(__xludf.DUMMYFUNCTION("""COMPUTED_VALUE"""),0.0)</f>
        <v>0</v>
      </c>
      <c r="S192" s="3">
        <f>IFERROR(__xludf.DUMMYFUNCTION("""COMPUTED_VALUE"""),0.0)</f>
        <v>0</v>
      </c>
      <c r="T192" s="3">
        <f>IFERROR(__xludf.DUMMYFUNCTION("""COMPUTED_VALUE"""),0.0)</f>
        <v>0</v>
      </c>
      <c r="U192" s="3">
        <f>IFERROR(__xludf.DUMMYFUNCTION("""COMPUTED_VALUE"""),0.0)</f>
        <v>0</v>
      </c>
      <c r="V192" s="3">
        <f>IFERROR(__xludf.DUMMYFUNCTION("""COMPUTED_VALUE"""),0.0)</f>
        <v>0</v>
      </c>
      <c r="W192" s="3">
        <f>IFERROR(__xludf.DUMMYFUNCTION("""COMPUTED_VALUE"""),0.0)</f>
        <v>0</v>
      </c>
      <c r="X192" s="3">
        <f>IFERROR(__xludf.DUMMYFUNCTION("""COMPUTED_VALUE"""),0.0)</f>
        <v>0</v>
      </c>
      <c r="Y192" s="3">
        <f>IFERROR(__xludf.DUMMYFUNCTION("""COMPUTED_VALUE"""),0.0)</f>
        <v>0</v>
      </c>
      <c r="Z192" s="3">
        <f>IFERROR(__xludf.DUMMYFUNCTION("""COMPUTED_VALUE"""),0.0)</f>
        <v>0</v>
      </c>
      <c r="AA192" s="3">
        <f>IFERROR(__xludf.DUMMYFUNCTION("""COMPUTED_VALUE"""),0.0)</f>
        <v>0</v>
      </c>
      <c r="AB192" s="3">
        <f>IFERROR(__xludf.DUMMYFUNCTION("""COMPUTED_VALUE"""),0.0)</f>
        <v>0</v>
      </c>
      <c r="AC192" s="3">
        <f>IFERROR(__xludf.DUMMYFUNCTION("""COMPUTED_VALUE"""),0.0)</f>
        <v>0</v>
      </c>
      <c r="AD192" s="3">
        <f>IFERROR(__xludf.DUMMYFUNCTION("""COMPUTED_VALUE"""),0.0)</f>
        <v>0</v>
      </c>
      <c r="AE192" s="3">
        <f>IFERROR(__xludf.DUMMYFUNCTION("""COMPUTED_VALUE"""),0.0)</f>
        <v>0</v>
      </c>
      <c r="AF192" s="3">
        <f>IFERROR(__xludf.DUMMYFUNCTION("""COMPUTED_VALUE"""),0.0)</f>
        <v>0</v>
      </c>
      <c r="AG192" s="3">
        <f>IFERROR(__xludf.DUMMYFUNCTION("""COMPUTED_VALUE"""),0.0)</f>
        <v>0</v>
      </c>
      <c r="AH192" s="3">
        <f>IFERROR(__xludf.DUMMYFUNCTION("""COMPUTED_VALUE"""),0.0)</f>
        <v>0</v>
      </c>
      <c r="AI192" s="3">
        <f>IFERROR(__xludf.DUMMYFUNCTION("""COMPUTED_VALUE"""),0.0)</f>
        <v>0</v>
      </c>
      <c r="AJ192" s="3">
        <f>IFERROR(__xludf.DUMMYFUNCTION("""COMPUTED_VALUE"""),0.0)</f>
        <v>0</v>
      </c>
      <c r="AK192" s="3">
        <f>IFERROR(__xludf.DUMMYFUNCTION("""COMPUTED_VALUE"""),0.0)</f>
        <v>0</v>
      </c>
      <c r="AL192" s="3">
        <f>IFERROR(__xludf.DUMMYFUNCTION("""COMPUTED_VALUE"""),0.0)</f>
        <v>0</v>
      </c>
      <c r="AM192" s="3">
        <f>IFERROR(__xludf.DUMMYFUNCTION("""COMPUTED_VALUE"""),0.0)</f>
        <v>0</v>
      </c>
      <c r="AN192" s="3">
        <f>IFERROR(__xludf.DUMMYFUNCTION("""COMPUTED_VALUE"""),0.0)</f>
        <v>0</v>
      </c>
      <c r="AO192" s="3">
        <f>IFERROR(__xludf.DUMMYFUNCTION("""COMPUTED_VALUE"""),0.0)</f>
        <v>0</v>
      </c>
      <c r="AP192" s="3">
        <f>IFERROR(__xludf.DUMMYFUNCTION("""COMPUTED_VALUE"""),0.0)</f>
        <v>0</v>
      </c>
      <c r="AQ192" s="3">
        <f>IFERROR(__xludf.DUMMYFUNCTION("""COMPUTED_VALUE"""),0.0)</f>
        <v>0</v>
      </c>
      <c r="AR192" s="3">
        <f>IFERROR(__xludf.DUMMYFUNCTION("""COMPUTED_VALUE"""),0.0)</f>
        <v>0</v>
      </c>
      <c r="AS192" s="3">
        <f>IFERROR(__xludf.DUMMYFUNCTION("""COMPUTED_VALUE"""),0.0)</f>
        <v>0</v>
      </c>
      <c r="AT192" s="3">
        <f>IFERROR(__xludf.DUMMYFUNCTION("""COMPUTED_VALUE"""),0.0)</f>
        <v>0</v>
      </c>
      <c r="AU192" s="3">
        <f>IFERROR(__xludf.DUMMYFUNCTION("""COMPUTED_VALUE"""),0.0)</f>
        <v>0</v>
      </c>
      <c r="AV192" s="3">
        <f>IFERROR(__xludf.DUMMYFUNCTION("""COMPUTED_VALUE"""),0.0)</f>
        <v>0</v>
      </c>
      <c r="AW192" s="3">
        <f>IFERROR(__xludf.DUMMYFUNCTION("""COMPUTED_VALUE"""),0.0)</f>
        <v>0</v>
      </c>
      <c r="AX192" s="3">
        <f>IFERROR(__xludf.DUMMYFUNCTION("""COMPUTED_VALUE"""),0.0)</f>
        <v>0</v>
      </c>
      <c r="AY192" s="3">
        <f>IFERROR(__xludf.DUMMYFUNCTION("""COMPUTED_VALUE"""),0.0)</f>
        <v>0</v>
      </c>
      <c r="AZ192" s="3">
        <f>IFERROR(__xludf.DUMMYFUNCTION("""COMPUTED_VALUE"""),0.0)</f>
        <v>0</v>
      </c>
      <c r="BA192" s="3">
        <f>IFERROR(__xludf.DUMMYFUNCTION("""COMPUTED_VALUE"""),0.0)</f>
        <v>0</v>
      </c>
      <c r="BB192" s="3">
        <f>IFERROR(__xludf.DUMMYFUNCTION("""COMPUTED_VALUE"""),0.0)</f>
        <v>0</v>
      </c>
      <c r="BC192" s="3">
        <f>IFERROR(__xludf.DUMMYFUNCTION("""COMPUTED_VALUE"""),0.0)</f>
        <v>0</v>
      </c>
      <c r="BD192" s="3">
        <f>IFERROR(__xludf.DUMMYFUNCTION("""COMPUTED_VALUE"""),0.0)</f>
        <v>0</v>
      </c>
      <c r="BE192" s="3">
        <f>IFERROR(__xludf.DUMMYFUNCTION("""COMPUTED_VALUE"""),1.0)</f>
        <v>1</v>
      </c>
      <c r="BF192" s="3">
        <f>IFERROR(__xludf.DUMMYFUNCTION("""COMPUTED_VALUE"""),1.0)</f>
        <v>1</v>
      </c>
      <c r="BG192" s="3">
        <f>IFERROR(__xludf.DUMMYFUNCTION("""COMPUTED_VALUE"""),1.0)</f>
        <v>1</v>
      </c>
      <c r="BH192" s="3">
        <f>IFERROR(__xludf.DUMMYFUNCTION("""COMPUTED_VALUE"""),1.0)</f>
        <v>1</v>
      </c>
      <c r="BI192" s="3">
        <f>IFERROR(__xludf.DUMMYFUNCTION("""COMPUTED_VALUE"""),1.0)</f>
        <v>1</v>
      </c>
      <c r="BJ192" s="3">
        <f>IFERROR(__xludf.DUMMYFUNCTION("""COMPUTED_VALUE"""),1.0)</f>
        <v>1</v>
      </c>
      <c r="BK192" s="3">
        <f>IFERROR(__xludf.DUMMYFUNCTION("""COMPUTED_VALUE"""),1.0)</f>
        <v>1</v>
      </c>
      <c r="BL192" s="3">
        <f>IFERROR(__xludf.DUMMYFUNCTION("""COMPUTED_VALUE"""),1.0)</f>
        <v>1</v>
      </c>
      <c r="BM192" s="3">
        <f>IFERROR(__xludf.DUMMYFUNCTION("""COMPUTED_VALUE"""),1.0)</f>
        <v>1</v>
      </c>
      <c r="BN192" s="3">
        <f>IFERROR(__xludf.DUMMYFUNCTION("""COMPUTED_VALUE"""),1.0)</f>
        <v>1</v>
      </c>
      <c r="BO192" s="3">
        <f>IFERROR(__xludf.DUMMYFUNCTION("""COMPUTED_VALUE"""),1.0)</f>
        <v>1</v>
      </c>
      <c r="BP192" s="3">
        <f>IFERROR(__xludf.DUMMYFUNCTION("""COMPUTED_VALUE"""),1.0)</f>
        <v>1</v>
      </c>
      <c r="BQ192" s="3">
        <f>IFERROR(__xludf.DUMMYFUNCTION("""COMPUTED_VALUE"""),1.0)</f>
        <v>1</v>
      </c>
      <c r="BR192" s="3">
        <f>IFERROR(__xludf.DUMMYFUNCTION("""COMPUTED_VALUE"""),1.0)</f>
        <v>1</v>
      </c>
      <c r="BS192" s="3">
        <f>IFERROR(__xludf.DUMMYFUNCTION("""COMPUTED_VALUE"""),1.0)</f>
        <v>1</v>
      </c>
      <c r="BT192" s="3">
        <f>IFERROR(__xludf.DUMMYFUNCTION("""COMPUTED_VALUE"""),1.0)</f>
        <v>1</v>
      </c>
      <c r="BU192" s="3">
        <f>IFERROR(__xludf.DUMMYFUNCTION("""COMPUTED_VALUE"""),1.0)</f>
        <v>1</v>
      </c>
      <c r="BV192" s="3">
        <f>IFERROR(__xludf.DUMMYFUNCTION("""COMPUTED_VALUE"""),1.0)</f>
        <v>1</v>
      </c>
      <c r="BW192" s="3">
        <f>IFERROR(__xludf.DUMMYFUNCTION("""COMPUTED_VALUE"""),1.0)</f>
        <v>1</v>
      </c>
      <c r="BX192" s="3">
        <f>IFERROR(__xludf.DUMMYFUNCTION("""COMPUTED_VALUE"""),2.0)</f>
        <v>2</v>
      </c>
      <c r="BY192" s="3">
        <f>IFERROR(__xludf.DUMMYFUNCTION("""COMPUTED_VALUE"""),3.0)</f>
        <v>3</v>
      </c>
      <c r="BZ192" s="3">
        <f>IFERROR(__xludf.DUMMYFUNCTION("""COMPUTED_VALUE"""),7.0)</f>
        <v>7</v>
      </c>
      <c r="CA192" s="3">
        <f>IFERROR(__xludf.DUMMYFUNCTION("""COMPUTED_VALUE"""),7.0)</f>
        <v>7</v>
      </c>
      <c r="CB192" s="3">
        <f>IFERROR(__xludf.DUMMYFUNCTION("""COMPUTED_VALUE"""),7.0)</f>
        <v>7</v>
      </c>
    </row>
    <row r="193">
      <c r="A193" s="3" t="str">
        <f>IFERROR(__xludf.DUMMYFUNCTION("""COMPUTED_VALUE"""),"")</f>
        <v/>
      </c>
      <c r="B193" s="3" t="str">
        <f>IFERROR(__xludf.DUMMYFUNCTION("""COMPUTED_VALUE"""),"San Marino")</f>
        <v>San Marino</v>
      </c>
      <c r="C193" s="3">
        <f>IFERROR(__xludf.DUMMYFUNCTION("""COMPUTED_VALUE"""),43.9424)</f>
        <v>43.9424</v>
      </c>
      <c r="D193" s="3">
        <f>IFERROR(__xludf.DUMMYFUNCTION("""COMPUTED_VALUE"""),12.4578)</f>
        <v>12.4578</v>
      </c>
      <c r="E193" s="3">
        <f>IFERROR(__xludf.DUMMYFUNCTION("""COMPUTED_VALUE"""),0.0)</f>
        <v>0</v>
      </c>
      <c r="F193" s="3">
        <f>IFERROR(__xludf.DUMMYFUNCTION("""COMPUTED_VALUE"""),0.0)</f>
        <v>0</v>
      </c>
      <c r="G193" s="3">
        <f>IFERROR(__xludf.DUMMYFUNCTION("""COMPUTED_VALUE"""),0.0)</f>
        <v>0</v>
      </c>
      <c r="H193" s="3">
        <f>IFERROR(__xludf.DUMMYFUNCTION("""COMPUTED_VALUE"""),0.0)</f>
        <v>0</v>
      </c>
      <c r="I193" s="3">
        <f>IFERROR(__xludf.DUMMYFUNCTION("""COMPUTED_VALUE"""),0.0)</f>
        <v>0</v>
      </c>
      <c r="J193" s="3">
        <f>IFERROR(__xludf.DUMMYFUNCTION("""COMPUTED_VALUE"""),0.0)</f>
        <v>0</v>
      </c>
      <c r="K193" s="3">
        <f>IFERROR(__xludf.DUMMYFUNCTION("""COMPUTED_VALUE"""),0.0)</f>
        <v>0</v>
      </c>
      <c r="L193" s="3">
        <f>IFERROR(__xludf.DUMMYFUNCTION("""COMPUTED_VALUE"""),0.0)</f>
        <v>0</v>
      </c>
      <c r="M193" s="3">
        <f>IFERROR(__xludf.DUMMYFUNCTION("""COMPUTED_VALUE"""),0.0)</f>
        <v>0</v>
      </c>
      <c r="N193" s="3">
        <f>IFERROR(__xludf.DUMMYFUNCTION("""COMPUTED_VALUE"""),0.0)</f>
        <v>0</v>
      </c>
      <c r="O193" s="3">
        <f>IFERROR(__xludf.DUMMYFUNCTION("""COMPUTED_VALUE"""),0.0)</f>
        <v>0</v>
      </c>
      <c r="P193" s="3">
        <f>IFERROR(__xludf.DUMMYFUNCTION("""COMPUTED_VALUE"""),0.0)</f>
        <v>0</v>
      </c>
      <c r="Q193" s="3">
        <f>IFERROR(__xludf.DUMMYFUNCTION("""COMPUTED_VALUE"""),0.0)</f>
        <v>0</v>
      </c>
      <c r="R193" s="3">
        <f>IFERROR(__xludf.DUMMYFUNCTION("""COMPUTED_VALUE"""),0.0)</f>
        <v>0</v>
      </c>
      <c r="S193" s="3">
        <f>IFERROR(__xludf.DUMMYFUNCTION("""COMPUTED_VALUE"""),0.0)</f>
        <v>0</v>
      </c>
      <c r="T193" s="3">
        <f>IFERROR(__xludf.DUMMYFUNCTION("""COMPUTED_VALUE"""),0.0)</f>
        <v>0</v>
      </c>
      <c r="U193" s="3">
        <f>IFERROR(__xludf.DUMMYFUNCTION("""COMPUTED_VALUE"""),0.0)</f>
        <v>0</v>
      </c>
      <c r="V193" s="3">
        <f>IFERROR(__xludf.DUMMYFUNCTION("""COMPUTED_VALUE"""),0.0)</f>
        <v>0</v>
      </c>
      <c r="W193" s="3">
        <f>IFERROR(__xludf.DUMMYFUNCTION("""COMPUTED_VALUE"""),0.0)</f>
        <v>0</v>
      </c>
      <c r="X193" s="3">
        <f>IFERROR(__xludf.DUMMYFUNCTION("""COMPUTED_VALUE"""),0.0)</f>
        <v>0</v>
      </c>
      <c r="Y193" s="3">
        <f>IFERROR(__xludf.DUMMYFUNCTION("""COMPUTED_VALUE"""),0.0)</f>
        <v>0</v>
      </c>
      <c r="Z193" s="3">
        <f>IFERROR(__xludf.DUMMYFUNCTION("""COMPUTED_VALUE"""),0.0)</f>
        <v>0</v>
      </c>
      <c r="AA193" s="3">
        <f>IFERROR(__xludf.DUMMYFUNCTION("""COMPUTED_VALUE"""),0.0)</f>
        <v>0</v>
      </c>
      <c r="AB193" s="3">
        <f>IFERROR(__xludf.DUMMYFUNCTION("""COMPUTED_VALUE"""),0.0)</f>
        <v>0</v>
      </c>
      <c r="AC193" s="3">
        <f>IFERROR(__xludf.DUMMYFUNCTION("""COMPUTED_VALUE"""),0.0)</f>
        <v>0</v>
      </c>
      <c r="AD193" s="3">
        <f>IFERROR(__xludf.DUMMYFUNCTION("""COMPUTED_VALUE"""),0.0)</f>
        <v>0</v>
      </c>
      <c r="AE193" s="3">
        <f>IFERROR(__xludf.DUMMYFUNCTION("""COMPUTED_VALUE"""),0.0)</f>
        <v>0</v>
      </c>
      <c r="AF193" s="3">
        <f>IFERROR(__xludf.DUMMYFUNCTION("""COMPUTED_VALUE"""),0.0)</f>
        <v>0</v>
      </c>
      <c r="AG193" s="3">
        <f>IFERROR(__xludf.DUMMYFUNCTION("""COMPUTED_VALUE"""),0.0)</f>
        <v>0</v>
      </c>
      <c r="AH193" s="3">
        <f>IFERROR(__xludf.DUMMYFUNCTION("""COMPUTED_VALUE"""),0.0)</f>
        <v>0</v>
      </c>
      <c r="AI193" s="3">
        <f>IFERROR(__xludf.DUMMYFUNCTION("""COMPUTED_VALUE"""),0.0)</f>
        <v>0</v>
      </c>
      <c r="AJ193" s="3">
        <f>IFERROR(__xludf.DUMMYFUNCTION("""COMPUTED_VALUE"""),0.0)</f>
        <v>0</v>
      </c>
      <c r="AK193" s="3">
        <f>IFERROR(__xludf.DUMMYFUNCTION("""COMPUTED_VALUE"""),0.0)</f>
        <v>0</v>
      </c>
      <c r="AL193" s="3">
        <f>IFERROR(__xludf.DUMMYFUNCTION("""COMPUTED_VALUE"""),0.0)</f>
        <v>0</v>
      </c>
      <c r="AM193" s="3">
        <f>IFERROR(__xludf.DUMMYFUNCTION("""COMPUTED_VALUE"""),0.0)</f>
        <v>0</v>
      </c>
      <c r="AN193" s="3">
        <f>IFERROR(__xludf.DUMMYFUNCTION("""COMPUTED_VALUE"""),0.0)</f>
        <v>0</v>
      </c>
      <c r="AO193" s="3">
        <f>IFERROR(__xludf.DUMMYFUNCTION("""COMPUTED_VALUE"""),1.0)</f>
        <v>1</v>
      </c>
      <c r="AP193" s="3">
        <f>IFERROR(__xludf.DUMMYFUNCTION("""COMPUTED_VALUE"""),1.0)</f>
        <v>1</v>
      </c>
      <c r="AQ193" s="3">
        <f>IFERROR(__xludf.DUMMYFUNCTION("""COMPUTED_VALUE"""),1.0)</f>
        <v>1</v>
      </c>
      <c r="AR193" s="3">
        <f>IFERROR(__xludf.DUMMYFUNCTION("""COMPUTED_VALUE"""),1.0)</f>
        <v>1</v>
      </c>
      <c r="AS193" s="3">
        <f>IFERROR(__xludf.DUMMYFUNCTION("""COMPUTED_VALUE"""),8.0)</f>
        <v>8</v>
      </c>
      <c r="AT193" s="3">
        <f>IFERROR(__xludf.DUMMYFUNCTION("""COMPUTED_VALUE"""),10.0)</f>
        <v>10</v>
      </c>
      <c r="AU193" s="3">
        <f>IFERROR(__xludf.DUMMYFUNCTION("""COMPUTED_VALUE"""),16.0)</f>
        <v>16</v>
      </c>
      <c r="AV193" s="3">
        <f>IFERROR(__xludf.DUMMYFUNCTION("""COMPUTED_VALUE"""),21.0)</f>
        <v>21</v>
      </c>
      <c r="AW193" s="3">
        <f>IFERROR(__xludf.DUMMYFUNCTION("""COMPUTED_VALUE"""),21.0)</f>
        <v>21</v>
      </c>
      <c r="AX193" s="3">
        <f>IFERROR(__xludf.DUMMYFUNCTION("""COMPUTED_VALUE"""),23.0)</f>
        <v>23</v>
      </c>
      <c r="AY193" s="3">
        <f>IFERROR(__xludf.DUMMYFUNCTION("""COMPUTED_VALUE"""),36.0)</f>
        <v>36</v>
      </c>
      <c r="AZ193" s="3">
        <f>IFERROR(__xludf.DUMMYFUNCTION("""COMPUTED_VALUE"""),36.0)</f>
        <v>36</v>
      </c>
      <c r="BA193" s="3">
        <f>IFERROR(__xludf.DUMMYFUNCTION("""COMPUTED_VALUE"""),51.0)</f>
        <v>51</v>
      </c>
      <c r="BB193" s="3">
        <f>IFERROR(__xludf.DUMMYFUNCTION("""COMPUTED_VALUE"""),62.0)</f>
        <v>62</v>
      </c>
      <c r="BC193" s="3">
        <f>IFERROR(__xludf.DUMMYFUNCTION("""COMPUTED_VALUE"""),69.0)</f>
        <v>69</v>
      </c>
      <c r="BD193" s="3">
        <f>IFERROR(__xludf.DUMMYFUNCTION("""COMPUTED_VALUE"""),80.0)</f>
        <v>80</v>
      </c>
      <c r="BE193" s="3">
        <f>IFERROR(__xludf.DUMMYFUNCTION("""COMPUTED_VALUE"""),80.0)</f>
        <v>80</v>
      </c>
      <c r="BF193" s="3">
        <f>IFERROR(__xludf.DUMMYFUNCTION("""COMPUTED_VALUE"""),101.0)</f>
        <v>101</v>
      </c>
      <c r="BG193" s="3">
        <f>IFERROR(__xludf.DUMMYFUNCTION("""COMPUTED_VALUE"""),109.0)</f>
        <v>109</v>
      </c>
      <c r="BH193" s="3">
        <f>IFERROR(__xludf.DUMMYFUNCTION("""COMPUTED_VALUE"""),109.0)</f>
        <v>109</v>
      </c>
      <c r="BI193" s="3">
        <f>IFERROR(__xludf.DUMMYFUNCTION("""COMPUTED_VALUE"""),119.0)</f>
        <v>119</v>
      </c>
      <c r="BJ193" s="3">
        <f>IFERROR(__xludf.DUMMYFUNCTION("""COMPUTED_VALUE"""),119.0)</f>
        <v>119</v>
      </c>
      <c r="BK193" s="3">
        <f>IFERROR(__xludf.DUMMYFUNCTION("""COMPUTED_VALUE"""),144.0)</f>
        <v>144</v>
      </c>
      <c r="BL193" s="3">
        <f>IFERROR(__xludf.DUMMYFUNCTION("""COMPUTED_VALUE"""),144.0)</f>
        <v>144</v>
      </c>
      <c r="BM193" s="3">
        <f>IFERROR(__xludf.DUMMYFUNCTION("""COMPUTED_VALUE"""),175.0)</f>
        <v>175</v>
      </c>
      <c r="BN193" s="3">
        <f>IFERROR(__xludf.DUMMYFUNCTION("""COMPUTED_VALUE"""),187.0)</f>
        <v>187</v>
      </c>
      <c r="BO193" s="3">
        <f>IFERROR(__xludf.DUMMYFUNCTION("""COMPUTED_VALUE"""),187.0)</f>
        <v>187</v>
      </c>
      <c r="BP193" s="3">
        <f>IFERROR(__xludf.DUMMYFUNCTION("""COMPUTED_VALUE"""),208.0)</f>
        <v>208</v>
      </c>
      <c r="BQ193" s="3">
        <f>IFERROR(__xludf.DUMMYFUNCTION("""COMPUTED_VALUE"""),208.0)</f>
        <v>208</v>
      </c>
      <c r="BR193" s="3">
        <f>IFERROR(__xludf.DUMMYFUNCTION("""COMPUTED_VALUE"""),223.0)</f>
        <v>223</v>
      </c>
      <c r="BS193" s="3">
        <f>IFERROR(__xludf.DUMMYFUNCTION("""COMPUTED_VALUE"""),224.0)</f>
        <v>224</v>
      </c>
      <c r="BT193" s="3">
        <f>IFERROR(__xludf.DUMMYFUNCTION("""COMPUTED_VALUE"""),224.0)</f>
        <v>224</v>
      </c>
      <c r="BU193" s="3">
        <f>IFERROR(__xludf.DUMMYFUNCTION("""COMPUTED_VALUE"""),230.0)</f>
        <v>230</v>
      </c>
      <c r="BV193" s="3">
        <f>IFERROR(__xludf.DUMMYFUNCTION("""COMPUTED_VALUE"""),236.0)</f>
        <v>236</v>
      </c>
      <c r="BW193" s="3">
        <f>IFERROR(__xludf.DUMMYFUNCTION("""COMPUTED_VALUE"""),236.0)</f>
        <v>236</v>
      </c>
      <c r="BX193" s="3">
        <f>IFERROR(__xludf.DUMMYFUNCTION("""COMPUTED_VALUE"""),245.0)</f>
        <v>245</v>
      </c>
      <c r="BY193" s="3">
        <f>IFERROR(__xludf.DUMMYFUNCTION("""COMPUTED_VALUE"""),245.0)</f>
        <v>245</v>
      </c>
      <c r="BZ193" s="3">
        <f>IFERROR(__xludf.DUMMYFUNCTION("""COMPUTED_VALUE"""),259.0)</f>
        <v>259</v>
      </c>
      <c r="CA193" s="3">
        <f>IFERROR(__xludf.DUMMYFUNCTION("""COMPUTED_VALUE"""),266.0)</f>
        <v>266</v>
      </c>
      <c r="CB193" s="3">
        <f>IFERROR(__xludf.DUMMYFUNCTION("""COMPUTED_VALUE"""),266.0)</f>
        <v>266</v>
      </c>
    </row>
    <row r="194">
      <c r="A194" s="3" t="str">
        <f>IFERROR(__xludf.DUMMYFUNCTION("""COMPUTED_VALUE"""),"")</f>
        <v/>
      </c>
      <c r="B194" s="3" t="str">
        <f>IFERROR(__xludf.DUMMYFUNCTION("""COMPUTED_VALUE"""),"Saudi Arabia")</f>
        <v>Saudi Arabia</v>
      </c>
      <c r="C194" s="3">
        <f>IFERROR(__xludf.DUMMYFUNCTION("""COMPUTED_VALUE"""),24.0)</f>
        <v>24</v>
      </c>
      <c r="D194" s="3">
        <f>IFERROR(__xludf.DUMMYFUNCTION("""COMPUTED_VALUE"""),45.0)</f>
        <v>45</v>
      </c>
      <c r="E194" s="3">
        <f>IFERROR(__xludf.DUMMYFUNCTION("""COMPUTED_VALUE"""),0.0)</f>
        <v>0</v>
      </c>
      <c r="F194" s="3">
        <f>IFERROR(__xludf.DUMMYFUNCTION("""COMPUTED_VALUE"""),0.0)</f>
        <v>0</v>
      </c>
      <c r="G194" s="3">
        <f>IFERROR(__xludf.DUMMYFUNCTION("""COMPUTED_VALUE"""),0.0)</f>
        <v>0</v>
      </c>
      <c r="H194" s="3">
        <f>IFERROR(__xludf.DUMMYFUNCTION("""COMPUTED_VALUE"""),0.0)</f>
        <v>0</v>
      </c>
      <c r="I194" s="3">
        <f>IFERROR(__xludf.DUMMYFUNCTION("""COMPUTED_VALUE"""),0.0)</f>
        <v>0</v>
      </c>
      <c r="J194" s="3">
        <f>IFERROR(__xludf.DUMMYFUNCTION("""COMPUTED_VALUE"""),0.0)</f>
        <v>0</v>
      </c>
      <c r="K194" s="3">
        <f>IFERROR(__xludf.DUMMYFUNCTION("""COMPUTED_VALUE"""),0.0)</f>
        <v>0</v>
      </c>
      <c r="L194" s="3">
        <f>IFERROR(__xludf.DUMMYFUNCTION("""COMPUTED_VALUE"""),0.0)</f>
        <v>0</v>
      </c>
      <c r="M194" s="3">
        <f>IFERROR(__xludf.DUMMYFUNCTION("""COMPUTED_VALUE"""),0.0)</f>
        <v>0</v>
      </c>
      <c r="N194" s="3">
        <f>IFERROR(__xludf.DUMMYFUNCTION("""COMPUTED_VALUE"""),0.0)</f>
        <v>0</v>
      </c>
      <c r="O194" s="3">
        <f>IFERROR(__xludf.DUMMYFUNCTION("""COMPUTED_VALUE"""),0.0)</f>
        <v>0</v>
      </c>
      <c r="P194" s="3">
        <f>IFERROR(__xludf.DUMMYFUNCTION("""COMPUTED_VALUE"""),0.0)</f>
        <v>0</v>
      </c>
      <c r="Q194" s="3">
        <f>IFERROR(__xludf.DUMMYFUNCTION("""COMPUTED_VALUE"""),0.0)</f>
        <v>0</v>
      </c>
      <c r="R194" s="3">
        <f>IFERROR(__xludf.DUMMYFUNCTION("""COMPUTED_VALUE"""),0.0)</f>
        <v>0</v>
      </c>
      <c r="S194" s="3">
        <f>IFERROR(__xludf.DUMMYFUNCTION("""COMPUTED_VALUE"""),0.0)</f>
        <v>0</v>
      </c>
      <c r="T194" s="3">
        <f>IFERROR(__xludf.DUMMYFUNCTION("""COMPUTED_VALUE"""),0.0)</f>
        <v>0</v>
      </c>
      <c r="U194" s="3">
        <f>IFERROR(__xludf.DUMMYFUNCTION("""COMPUTED_VALUE"""),0.0)</f>
        <v>0</v>
      </c>
      <c r="V194" s="3">
        <f>IFERROR(__xludf.DUMMYFUNCTION("""COMPUTED_VALUE"""),0.0)</f>
        <v>0</v>
      </c>
      <c r="W194" s="3">
        <f>IFERROR(__xludf.DUMMYFUNCTION("""COMPUTED_VALUE"""),0.0)</f>
        <v>0</v>
      </c>
      <c r="X194" s="3">
        <f>IFERROR(__xludf.DUMMYFUNCTION("""COMPUTED_VALUE"""),0.0)</f>
        <v>0</v>
      </c>
      <c r="Y194" s="3">
        <f>IFERROR(__xludf.DUMMYFUNCTION("""COMPUTED_VALUE"""),0.0)</f>
        <v>0</v>
      </c>
      <c r="Z194" s="3">
        <f>IFERROR(__xludf.DUMMYFUNCTION("""COMPUTED_VALUE"""),0.0)</f>
        <v>0</v>
      </c>
      <c r="AA194" s="3">
        <f>IFERROR(__xludf.DUMMYFUNCTION("""COMPUTED_VALUE"""),0.0)</f>
        <v>0</v>
      </c>
      <c r="AB194" s="3">
        <f>IFERROR(__xludf.DUMMYFUNCTION("""COMPUTED_VALUE"""),0.0)</f>
        <v>0</v>
      </c>
      <c r="AC194" s="3">
        <f>IFERROR(__xludf.DUMMYFUNCTION("""COMPUTED_VALUE"""),0.0)</f>
        <v>0</v>
      </c>
      <c r="AD194" s="3">
        <f>IFERROR(__xludf.DUMMYFUNCTION("""COMPUTED_VALUE"""),0.0)</f>
        <v>0</v>
      </c>
      <c r="AE194" s="3">
        <f>IFERROR(__xludf.DUMMYFUNCTION("""COMPUTED_VALUE"""),0.0)</f>
        <v>0</v>
      </c>
      <c r="AF194" s="3">
        <f>IFERROR(__xludf.DUMMYFUNCTION("""COMPUTED_VALUE"""),0.0)</f>
        <v>0</v>
      </c>
      <c r="AG194" s="3">
        <f>IFERROR(__xludf.DUMMYFUNCTION("""COMPUTED_VALUE"""),0.0)</f>
        <v>0</v>
      </c>
      <c r="AH194" s="3">
        <f>IFERROR(__xludf.DUMMYFUNCTION("""COMPUTED_VALUE"""),0.0)</f>
        <v>0</v>
      </c>
      <c r="AI194" s="3">
        <f>IFERROR(__xludf.DUMMYFUNCTION("""COMPUTED_VALUE"""),0.0)</f>
        <v>0</v>
      </c>
      <c r="AJ194" s="3">
        <f>IFERROR(__xludf.DUMMYFUNCTION("""COMPUTED_VALUE"""),0.0)</f>
        <v>0</v>
      </c>
      <c r="AK194" s="3">
        <f>IFERROR(__xludf.DUMMYFUNCTION("""COMPUTED_VALUE"""),0.0)</f>
        <v>0</v>
      </c>
      <c r="AL194" s="3">
        <f>IFERROR(__xludf.DUMMYFUNCTION("""COMPUTED_VALUE"""),0.0)</f>
        <v>0</v>
      </c>
      <c r="AM194" s="3">
        <f>IFERROR(__xludf.DUMMYFUNCTION("""COMPUTED_VALUE"""),0.0)</f>
        <v>0</v>
      </c>
      <c r="AN194" s="3">
        <f>IFERROR(__xludf.DUMMYFUNCTION("""COMPUTED_VALUE"""),0.0)</f>
        <v>0</v>
      </c>
      <c r="AO194" s="3">
        <f>IFERROR(__xludf.DUMMYFUNCTION("""COMPUTED_VALUE"""),0.0)</f>
        <v>0</v>
      </c>
      <c r="AP194" s="3">
        <f>IFERROR(__xludf.DUMMYFUNCTION("""COMPUTED_VALUE"""),0.0)</f>
        <v>0</v>
      </c>
      <c r="AQ194" s="3">
        <f>IFERROR(__xludf.DUMMYFUNCTION("""COMPUTED_VALUE"""),0.0)</f>
        <v>0</v>
      </c>
      <c r="AR194" s="3">
        <f>IFERROR(__xludf.DUMMYFUNCTION("""COMPUTED_VALUE"""),0.0)</f>
        <v>0</v>
      </c>
      <c r="AS194" s="3">
        <f>IFERROR(__xludf.DUMMYFUNCTION("""COMPUTED_VALUE"""),1.0)</f>
        <v>1</v>
      </c>
      <c r="AT194" s="3">
        <f>IFERROR(__xludf.DUMMYFUNCTION("""COMPUTED_VALUE"""),1.0)</f>
        <v>1</v>
      </c>
      <c r="AU194" s="3">
        <f>IFERROR(__xludf.DUMMYFUNCTION("""COMPUTED_VALUE"""),1.0)</f>
        <v>1</v>
      </c>
      <c r="AV194" s="3">
        <f>IFERROR(__xludf.DUMMYFUNCTION("""COMPUTED_VALUE"""),5.0)</f>
        <v>5</v>
      </c>
      <c r="AW194" s="3">
        <f>IFERROR(__xludf.DUMMYFUNCTION("""COMPUTED_VALUE"""),5.0)</f>
        <v>5</v>
      </c>
      <c r="AX194" s="3">
        <f>IFERROR(__xludf.DUMMYFUNCTION("""COMPUTED_VALUE"""),5.0)</f>
        <v>5</v>
      </c>
      <c r="AY194" s="3">
        <f>IFERROR(__xludf.DUMMYFUNCTION("""COMPUTED_VALUE"""),11.0)</f>
        <v>11</v>
      </c>
      <c r="AZ194" s="3">
        <f>IFERROR(__xludf.DUMMYFUNCTION("""COMPUTED_VALUE"""),15.0)</f>
        <v>15</v>
      </c>
      <c r="BA194" s="3">
        <f>IFERROR(__xludf.DUMMYFUNCTION("""COMPUTED_VALUE"""),20.0)</f>
        <v>20</v>
      </c>
      <c r="BB194" s="3">
        <f>IFERROR(__xludf.DUMMYFUNCTION("""COMPUTED_VALUE"""),21.0)</f>
        <v>21</v>
      </c>
      <c r="BC194" s="3">
        <f>IFERROR(__xludf.DUMMYFUNCTION("""COMPUTED_VALUE"""),45.0)</f>
        <v>45</v>
      </c>
      <c r="BD194" s="3">
        <f>IFERROR(__xludf.DUMMYFUNCTION("""COMPUTED_VALUE"""),86.0)</f>
        <v>86</v>
      </c>
      <c r="BE194" s="3">
        <f>IFERROR(__xludf.DUMMYFUNCTION("""COMPUTED_VALUE"""),103.0)</f>
        <v>103</v>
      </c>
      <c r="BF194" s="3">
        <f>IFERROR(__xludf.DUMMYFUNCTION("""COMPUTED_VALUE"""),103.0)</f>
        <v>103</v>
      </c>
      <c r="BG194" s="3">
        <f>IFERROR(__xludf.DUMMYFUNCTION("""COMPUTED_VALUE"""),118.0)</f>
        <v>118</v>
      </c>
      <c r="BH194" s="3">
        <f>IFERROR(__xludf.DUMMYFUNCTION("""COMPUTED_VALUE"""),171.0)</f>
        <v>171</v>
      </c>
      <c r="BI194" s="3">
        <f>IFERROR(__xludf.DUMMYFUNCTION("""COMPUTED_VALUE"""),171.0)</f>
        <v>171</v>
      </c>
      <c r="BJ194" s="3">
        <f>IFERROR(__xludf.DUMMYFUNCTION("""COMPUTED_VALUE"""),274.0)</f>
        <v>274</v>
      </c>
      <c r="BK194" s="3">
        <f>IFERROR(__xludf.DUMMYFUNCTION("""COMPUTED_VALUE"""),344.0)</f>
        <v>344</v>
      </c>
      <c r="BL194" s="3">
        <f>IFERROR(__xludf.DUMMYFUNCTION("""COMPUTED_VALUE"""),392.0)</f>
        <v>392</v>
      </c>
      <c r="BM194" s="3">
        <f>IFERROR(__xludf.DUMMYFUNCTION("""COMPUTED_VALUE"""),511.0)</f>
        <v>511</v>
      </c>
      <c r="BN194" s="3">
        <f>IFERROR(__xludf.DUMMYFUNCTION("""COMPUTED_VALUE"""),562.0)</f>
        <v>562</v>
      </c>
      <c r="BO194" s="3">
        <f>IFERROR(__xludf.DUMMYFUNCTION("""COMPUTED_VALUE"""),767.0)</f>
        <v>767</v>
      </c>
      <c r="BP194" s="3">
        <f>IFERROR(__xludf.DUMMYFUNCTION("""COMPUTED_VALUE"""),900.0)</f>
        <v>900</v>
      </c>
      <c r="BQ194" s="3">
        <f>IFERROR(__xludf.DUMMYFUNCTION("""COMPUTED_VALUE"""),1012.0)</f>
        <v>1012</v>
      </c>
      <c r="BR194" s="3">
        <f>IFERROR(__xludf.DUMMYFUNCTION("""COMPUTED_VALUE"""),1104.0)</f>
        <v>1104</v>
      </c>
      <c r="BS194" s="3">
        <f>IFERROR(__xludf.DUMMYFUNCTION("""COMPUTED_VALUE"""),1203.0)</f>
        <v>1203</v>
      </c>
      <c r="BT194" s="3">
        <f>IFERROR(__xludf.DUMMYFUNCTION("""COMPUTED_VALUE"""),1299.0)</f>
        <v>1299</v>
      </c>
      <c r="BU194" s="3">
        <f>IFERROR(__xludf.DUMMYFUNCTION("""COMPUTED_VALUE"""),1453.0)</f>
        <v>1453</v>
      </c>
      <c r="BV194" s="3">
        <f>IFERROR(__xludf.DUMMYFUNCTION("""COMPUTED_VALUE"""),1563.0)</f>
        <v>1563</v>
      </c>
      <c r="BW194" s="3">
        <f>IFERROR(__xludf.DUMMYFUNCTION("""COMPUTED_VALUE"""),1720.0)</f>
        <v>1720</v>
      </c>
      <c r="BX194" s="3">
        <f>IFERROR(__xludf.DUMMYFUNCTION("""COMPUTED_VALUE"""),1885.0)</f>
        <v>1885</v>
      </c>
      <c r="BY194" s="3">
        <f>IFERROR(__xludf.DUMMYFUNCTION("""COMPUTED_VALUE"""),2039.0)</f>
        <v>2039</v>
      </c>
      <c r="BZ194" s="3">
        <f>IFERROR(__xludf.DUMMYFUNCTION("""COMPUTED_VALUE"""),2179.0)</f>
        <v>2179</v>
      </c>
      <c r="CA194" s="3">
        <f>IFERROR(__xludf.DUMMYFUNCTION("""COMPUTED_VALUE"""),2402.0)</f>
        <v>2402</v>
      </c>
      <c r="CB194" s="3">
        <f>IFERROR(__xludf.DUMMYFUNCTION("""COMPUTED_VALUE"""),2605.0)</f>
        <v>2605</v>
      </c>
    </row>
    <row r="195">
      <c r="A195" s="3" t="str">
        <f>IFERROR(__xludf.DUMMYFUNCTION("""COMPUTED_VALUE"""),"")</f>
        <v/>
      </c>
      <c r="B195" s="3" t="str">
        <f>IFERROR(__xludf.DUMMYFUNCTION("""COMPUTED_VALUE"""),"Senegal")</f>
        <v>Senegal</v>
      </c>
      <c r="C195" s="3">
        <f>IFERROR(__xludf.DUMMYFUNCTION("""COMPUTED_VALUE"""),14.4974)</f>
        <v>14.4974</v>
      </c>
      <c r="D195" s="3">
        <f>IFERROR(__xludf.DUMMYFUNCTION("""COMPUTED_VALUE"""),-14.4524)</f>
        <v>-14.4524</v>
      </c>
      <c r="E195" s="3">
        <f>IFERROR(__xludf.DUMMYFUNCTION("""COMPUTED_VALUE"""),0.0)</f>
        <v>0</v>
      </c>
      <c r="F195" s="3">
        <f>IFERROR(__xludf.DUMMYFUNCTION("""COMPUTED_VALUE"""),0.0)</f>
        <v>0</v>
      </c>
      <c r="G195" s="3">
        <f>IFERROR(__xludf.DUMMYFUNCTION("""COMPUTED_VALUE"""),0.0)</f>
        <v>0</v>
      </c>
      <c r="H195" s="3">
        <f>IFERROR(__xludf.DUMMYFUNCTION("""COMPUTED_VALUE"""),0.0)</f>
        <v>0</v>
      </c>
      <c r="I195" s="3">
        <f>IFERROR(__xludf.DUMMYFUNCTION("""COMPUTED_VALUE"""),0.0)</f>
        <v>0</v>
      </c>
      <c r="J195" s="3">
        <f>IFERROR(__xludf.DUMMYFUNCTION("""COMPUTED_VALUE"""),0.0)</f>
        <v>0</v>
      </c>
      <c r="K195" s="3">
        <f>IFERROR(__xludf.DUMMYFUNCTION("""COMPUTED_VALUE"""),0.0)</f>
        <v>0</v>
      </c>
      <c r="L195" s="3">
        <f>IFERROR(__xludf.DUMMYFUNCTION("""COMPUTED_VALUE"""),0.0)</f>
        <v>0</v>
      </c>
      <c r="M195" s="3">
        <f>IFERROR(__xludf.DUMMYFUNCTION("""COMPUTED_VALUE"""),0.0)</f>
        <v>0</v>
      </c>
      <c r="N195" s="3">
        <f>IFERROR(__xludf.DUMMYFUNCTION("""COMPUTED_VALUE"""),0.0)</f>
        <v>0</v>
      </c>
      <c r="O195" s="3">
        <f>IFERROR(__xludf.DUMMYFUNCTION("""COMPUTED_VALUE"""),0.0)</f>
        <v>0</v>
      </c>
      <c r="P195" s="3">
        <f>IFERROR(__xludf.DUMMYFUNCTION("""COMPUTED_VALUE"""),0.0)</f>
        <v>0</v>
      </c>
      <c r="Q195" s="3">
        <f>IFERROR(__xludf.DUMMYFUNCTION("""COMPUTED_VALUE"""),0.0)</f>
        <v>0</v>
      </c>
      <c r="R195" s="3">
        <f>IFERROR(__xludf.DUMMYFUNCTION("""COMPUTED_VALUE"""),0.0)</f>
        <v>0</v>
      </c>
      <c r="S195" s="3">
        <f>IFERROR(__xludf.DUMMYFUNCTION("""COMPUTED_VALUE"""),0.0)</f>
        <v>0</v>
      </c>
      <c r="T195" s="3">
        <f>IFERROR(__xludf.DUMMYFUNCTION("""COMPUTED_VALUE"""),0.0)</f>
        <v>0</v>
      </c>
      <c r="U195" s="3">
        <f>IFERROR(__xludf.DUMMYFUNCTION("""COMPUTED_VALUE"""),0.0)</f>
        <v>0</v>
      </c>
      <c r="V195" s="3">
        <f>IFERROR(__xludf.DUMMYFUNCTION("""COMPUTED_VALUE"""),0.0)</f>
        <v>0</v>
      </c>
      <c r="W195" s="3">
        <f>IFERROR(__xludf.DUMMYFUNCTION("""COMPUTED_VALUE"""),0.0)</f>
        <v>0</v>
      </c>
      <c r="X195" s="3">
        <f>IFERROR(__xludf.DUMMYFUNCTION("""COMPUTED_VALUE"""),0.0)</f>
        <v>0</v>
      </c>
      <c r="Y195" s="3">
        <f>IFERROR(__xludf.DUMMYFUNCTION("""COMPUTED_VALUE"""),0.0)</f>
        <v>0</v>
      </c>
      <c r="Z195" s="3">
        <f>IFERROR(__xludf.DUMMYFUNCTION("""COMPUTED_VALUE"""),0.0)</f>
        <v>0</v>
      </c>
      <c r="AA195" s="3">
        <f>IFERROR(__xludf.DUMMYFUNCTION("""COMPUTED_VALUE"""),0.0)</f>
        <v>0</v>
      </c>
      <c r="AB195" s="3">
        <f>IFERROR(__xludf.DUMMYFUNCTION("""COMPUTED_VALUE"""),0.0)</f>
        <v>0</v>
      </c>
      <c r="AC195" s="3">
        <f>IFERROR(__xludf.DUMMYFUNCTION("""COMPUTED_VALUE"""),0.0)</f>
        <v>0</v>
      </c>
      <c r="AD195" s="3">
        <f>IFERROR(__xludf.DUMMYFUNCTION("""COMPUTED_VALUE"""),0.0)</f>
        <v>0</v>
      </c>
      <c r="AE195" s="3">
        <f>IFERROR(__xludf.DUMMYFUNCTION("""COMPUTED_VALUE"""),0.0)</f>
        <v>0</v>
      </c>
      <c r="AF195" s="3">
        <f>IFERROR(__xludf.DUMMYFUNCTION("""COMPUTED_VALUE"""),0.0)</f>
        <v>0</v>
      </c>
      <c r="AG195" s="3">
        <f>IFERROR(__xludf.DUMMYFUNCTION("""COMPUTED_VALUE"""),0.0)</f>
        <v>0</v>
      </c>
      <c r="AH195" s="3">
        <f>IFERROR(__xludf.DUMMYFUNCTION("""COMPUTED_VALUE"""),0.0)</f>
        <v>0</v>
      </c>
      <c r="AI195" s="3">
        <f>IFERROR(__xludf.DUMMYFUNCTION("""COMPUTED_VALUE"""),0.0)</f>
        <v>0</v>
      </c>
      <c r="AJ195" s="3">
        <f>IFERROR(__xludf.DUMMYFUNCTION("""COMPUTED_VALUE"""),0.0)</f>
        <v>0</v>
      </c>
      <c r="AK195" s="3">
        <f>IFERROR(__xludf.DUMMYFUNCTION("""COMPUTED_VALUE"""),0.0)</f>
        <v>0</v>
      </c>
      <c r="AL195" s="3">
        <f>IFERROR(__xludf.DUMMYFUNCTION("""COMPUTED_VALUE"""),0.0)</f>
        <v>0</v>
      </c>
      <c r="AM195" s="3">
        <f>IFERROR(__xludf.DUMMYFUNCTION("""COMPUTED_VALUE"""),0.0)</f>
        <v>0</v>
      </c>
      <c r="AN195" s="3">
        <f>IFERROR(__xludf.DUMMYFUNCTION("""COMPUTED_VALUE"""),0.0)</f>
        <v>0</v>
      </c>
      <c r="AO195" s="3">
        <f>IFERROR(__xludf.DUMMYFUNCTION("""COMPUTED_VALUE"""),0.0)</f>
        <v>0</v>
      </c>
      <c r="AP195" s="3">
        <f>IFERROR(__xludf.DUMMYFUNCTION("""COMPUTED_VALUE"""),0.0)</f>
        <v>0</v>
      </c>
      <c r="AQ195" s="3">
        <f>IFERROR(__xludf.DUMMYFUNCTION("""COMPUTED_VALUE"""),0.0)</f>
        <v>0</v>
      </c>
      <c r="AR195" s="3">
        <f>IFERROR(__xludf.DUMMYFUNCTION("""COMPUTED_VALUE"""),0.0)</f>
        <v>0</v>
      </c>
      <c r="AS195" s="3">
        <f>IFERROR(__xludf.DUMMYFUNCTION("""COMPUTED_VALUE"""),1.0)</f>
        <v>1</v>
      </c>
      <c r="AT195" s="3">
        <f>IFERROR(__xludf.DUMMYFUNCTION("""COMPUTED_VALUE"""),2.0)</f>
        <v>2</v>
      </c>
      <c r="AU195" s="3">
        <f>IFERROR(__xludf.DUMMYFUNCTION("""COMPUTED_VALUE"""),4.0)</f>
        <v>4</v>
      </c>
      <c r="AV195" s="3">
        <f>IFERROR(__xludf.DUMMYFUNCTION("""COMPUTED_VALUE"""),4.0)</f>
        <v>4</v>
      </c>
      <c r="AW195" s="3">
        <f>IFERROR(__xludf.DUMMYFUNCTION("""COMPUTED_VALUE"""),4.0)</f>
        <v>4</v>
      </c>
      <c r="AX195" s="3">
        <f>IFERROR(__xludf.DUMMYFUNCTION("""COMPUTED_VALUE"""),4.0)</f>
        <v>4</v>
      </c>
      <c r="AY195" s="3">
        <f>IFERROR(__xludf.DUMMYFUNCTION("""COMPUTED_VALUE"""),4.0)</f>
        <v>4</v>
      </c>
      <c r="AZ195" s="3">
        <f>IFERROR(__xludf.DUMMYFUNCTION("""COMPUTED_VALUE"""),4.0)</f>
        <v>4</v>
      </c>
      <c r="BA195" s="3">
        <f>IFERROR(__xludf.DUMMYFUNCTION("""COMPUTED_VALUE"""),4.0)</f>
        <v>4</v>
      </c>
      <c r="BB195" s="3">
        <f>IFERROR(__xludf.DUMMYFUNCTION("""COMPUTED_VALUE"""),4.0)</f>
        <v>4</v>
      </c>
      <c r="BC195" s="3">
        <f>IFERROR(__xludf.DUMMYFUNCTION("""COMPUTED_VALUE"""),4.0)</f>
        <v>4</v>
      </c>
      <c r="BD195" s="3">
        <f>IFERROR(__xludf.DUMMYFUNCTION("""COMPUTED_VALUE"""),10.0)</f>
        <v>10</v>
      </c>
      <c r="BE195" s="3">
        <f>IFERROR(__xludf.DUMMYFUNCTION("""COMPUTED_VALUE"""),10.0)</f>
        <v>10</v>
      </c>
      <c r="BF195" s="3">
        <f>IFERROR(__xludf.DUMMYFUNCTION("""COMPUTED_VALUE"""),24.0)</f>
        <v>24</v>
      </c>
      <c r="BG195" s="3">
        <f>IFERROR(__xludf.DUMMYFUNCTION("""COMPUTED_VALUE"""),24.0)</f>
        <v>24</v>
      </c>
      <c r="BH195" s="3">
        <f>IFERROR(__xludf.DUMMYFUNCTION("""COMPUTED_VALUE"""),26.0)</f>
        <v>26</v>
      </c>
      <c r="BI195" s="3">
        <f>IFERROR(__xludf.DUMMYFUNCTION("""COMPUTED_VALUE"""),31.0)</f>
        <v>31</v>
      </c>
      <c r="BJ195" s="3">
        <f>IFERROR(__xludf.DUMMYFUNCTION("""COMPUTED_VALUE"""),31.0)</f>
        <v>31</v>
      </c>
      <c r="BK195" s="3">
        <f>IFERROR(__xludf.DUMMYFUNCTION("""COMPUTED_VALUE"""),38.0)</f>
        <v>38</v>
      </c>
      <c r="BL195" s="3">
        <f>IFERROR(__xludf.DUMMYFUNCTION("""COMPUTED_VALUE"""),47.0)</f>
        <v>47</v>
      </c>
      <c r="BM195" s="3">
        <f>IFERROR(__xludf.DUMMYFUNCTION("""COMPUTED_VALUE"""),67.0)</f>
        <v>67</v>
      </c>
      <c r="BN195" s="3">
        <f>IFERROR(__xludf.DUMMYFUNCTION("""COMPUTED_VALUE"""),79.0)</f>
        <v>79</v>
      </c>
      <c r="BO195" s="3">
        <f>IFERROR(__xludf.DUMMYFUNCTION("""COMPUTED_VALUE"""),86.0)</f>
        <v>86</v>
      </c>
      <c r="BP195" s="3">
        <f>IFERROR(__xludf.DUMMYFUNCTION("""COMPUTED_VALUE"""),99.0)</f>
        <v>99</v>
      </c>
      <c r="BQ195" s="3">
        <f>IFERROR(__xludf.DUMMYFUNCTION("""COMPUTED_VALUE"""),105.0)</f>
        <v>105</v>
      </c>
      <c r="BR195" s="3">
        <f>IFERROR(__xludf.DUMMYFUNCTION("""COMPUTED_VALUE"""),119.0)</f>
        <v>119</v>
      </c>
      <c r="BS195" s="3">
        <f>IFERROR(__xludf.DUMMYFUNCTION("""COMPUTED_VALUE"""),130.0)</f>
        <v>130</v>
      </c>
      <c r="BT195" s="3">
        <f>IFERROR(__xludf.DUMMYFUNCTION("""COMPUTED_VALUE"""),142.0)</f>
        <v>142</v>
      </c>
      <c r="BU195" s="3">
        <f>IFERROR(__xludf.DUMMYFUNCTION("""COMPUTED_VALUE"""),162.0)</f>
        <v>162</v>
      </c>
      <c r="BV195" s="3">
        <f>IFERROR(__xludf.DUMMYFUNCTION("""COMPUTED_VALUE"""),175.0)</f>
        <v>175</v>
      </c>
      <c r="BW195" s="3">
        <f>IFERROR(__xludf.DUMMYFUNCTION("""COMPUTED_VALUE"""),190.0)</f>
        <v>190</v>
      </c>
      <c r="BX195" s="3">
        <f>IFERROR(__xludf.DUMMYFUNCTION("""COMPUTED_VALUE"""),195.0)</f>
        <v>195</v>
      </c>
      <c r="BY195" s="3">
        <f>IFERROR(__xludf.DUMMYFUNCTION("""COMPUTED_VALUE"""),207.0)</f>
        <v>207</v>
      </c>
      <c r="BZ195" s="3">
        <f>IFERROR(__xludf.DUMMYFUNCTION("""COMPUTED_VALUE"""),219.0)</f>
        <v>219</v>
      </c>
      <c r="CA195" s="3">
        <f>IFERROR(__xludf.DUMMYFUNCTION("""COMPUTED_VALUE"""),222.0)</f>
        <v>222</v>
      </c>
      <c r="CB195" s="3">
        <f>IFERROR(__xludf.DUMMYFUNCTION("""COMPUTED_VALUE"""),226.0)</f>
        <v>226</v>
      </c>
    </row>
    <row r="196">
      <c r="A196" s="3" t="str">
        <f>IFERROR(__xludf.DUMMYFUNCTION("""COMPUTED_VALUE"""),"")</f>
        <v/>
      </c>
      <c r="B196" s="3" t="str">
        <f>IFERROR(__xludf.DUMMYFUNCTION("""COMPUTED_VALUE"""),"Serbia")</f>
        <v>Serbia</v>
      </c>
      <c r="C196" s="3">
        <f>IFERROR(__xludf.DUMMYFUNCTION("""COMPUTED_VALUE"""),44.0165)</f>
        <v>44.0165</v>
      </c>
      <c r="D196" s="3">
        <f>IFERROR(__xludf.DUMMYFUNCTION("""COMPUTED_VALUE"""),21.0059)</f>
        <v>21.0059</v>
      </c>
      <c r="E196" s="3">
        <f>IFERROR(__xludf.DUMMYFUNCTION("""COMPUTED_VALUE"""),0.0)</f>
        <v>0</v>
      </c>
      <c r="F196" s="3">
        <f>IFERROR(__xludf.DUMMYFUNCTION("""COMPUTED_VALUE"""),0.0)</f>
        <v>0</v>
      </c>
      <c r="G196" s="3">
        <f>IFERROR(__xludf.DUMMYFUNCTION("""COMPUTED_VALUE"""),0.0)</f>
        <v>0</v>
      </c>
      <c r="H196" s="3">
        <f>IFERROR(__xludf.DUMMYFUNCTION("""COMPUTED_VALUE"""),0.0)</f>
        <v>0</v>
      </c>
      <c r="I196" s="3">
        <f>IFERROR(__xludf.DUMMYFUNCTION("""COMPUTED_VALUE"""),0.0)</f>
        <v>0</v>
      </c>
      <c r="J196" s="3">
        <f>IFERROR(__xludf.DUMMYFUNCTION("""COMPUTED_VALUE"""),0.0)</f>
        <v>0</v>
      </c>
      <c r="K196" s="3">
        <f>IFERROR(__xludf.DUMMYFUNCTION("""COMPUTED_VALUE"""),0.0)</f>
        <v>0</v>
      </c>
      <c r="L196" s="3">
        <f>IFERROR(__xludf.DUMMYFUNCTION("""COMPUTED_VALUE"""),0.0)</f>
        <v>0</v>
      </c>
      <c r="M196" s="3">
        <f>IFERROR(__xludf.DUMMYFUNCTION("""COMPUTED_VALUE"""),0.0)</f>
        <v>0</v>
      </c>
      <c r="N196" s="3">
        <f>IFERROR(__xludf.DUMMYFUNCTION("""COMPUTED_VALUE"""),0.0)</f>
        <v>0</v>
      </c>
      <c r="O196" s="3">
        <f>IFERROR(__xludf.DUMMYFUNCTION("""COMPUTED_VALUE"""),0.0)</f>
        <v>0</v>
      </c>
      <c r="P196" s="3">
        <f>IFERROR(__xludf.DUMMYFUNCTION("""COMPUTED_VALUE"""),0.0)</f>
        <v>0</v>
      </c>
      <c r="Q196" s="3">
        <f>IFERROR(__xludf.DUMMYFUNCTION("""COMPUTED_VALUE"""),0.0)</f>
        <v>0</v>
      </c>
      <c r="R196" s="3">
        <f>IFERROR(__xludf.DUMMYFUNCTION("""COMPUTED_VALUE"""),0.0)</f>
        <v>0</v>
      </c>
      <c r="S196" s="3">
        <f>IFERROR(__xludf.DUMMYFUNCTION("""COMPUTED_VALUE"""),0.0)</f>
        <v>0</v>
      </c>
      <c r="T196" s="3">
        <f>IFERROR(__xludf.DUMMYFUNCTION("""COMPUTED_VALUE"""),0.0)</f>
        <v>0</v>
      </c>
      <c r="U196" s="3">
        <f>IFERROR(__xludf.DUMMYFUNCTION("""COMPUTED_VALUE"""),0.0)</f>
        <v>0</v>
      </c>
      <c r="V196" s="3">
        <f>IFERROR(__xludf.DUMMYFUNCTION("""COMPUTED_VALUE"""),0.0)</f>
        <v>0</v>
      </c>
      <c r="W196" s="3">
        <f>IFERROR(__xludf.DUMMYFUNCTION("""COMPUTED_VALUE"""),0.0)</f>
        <v>0</v>
      </c>
      <c r="X196" s="3">
        <f>IFERROR(__xludf.DUMMYFUNCTION("""COMPUTED_VALUE"""),0.0)</f>
        <v>0</v>
      </c>
      <c r="Y196" s="3">
        <f>IFERROR(__xludf.DUMMYFUNCTION("""COMPUTED_VALUE"""),0.0)</f>
        <v>0</v>
      </c>
      <c r="Z196" s="3">
        <f>IFERROR(__xludf.DUMMYFUNCTION("""COMPUTED_VALUE"""),0.0)</f>
        <v>0</v>
      </c>
      <c r="AA196" s="3">
        <f>IFERROR(__xludf.DUMMYFUNCTION("""COMPUTED_VALUE"""),0.0)</f>
        <v>0</v>
      </c>
      <c r="AB196" s="3">
        <f>IFERROR(__xludf.DUMMYFUNCTION("""COMPUTED_VALUE"""),0.0)</f>
        <v>0</v>
      </c>
      <c r="AC196" s="3">
        <f>IFERROR(__xludf.DUMMYFUNCTION("""COMPUTED_VALUE"""),0.0)</f>
        <v>0</v>
      </c>
      <c r="AD196" s="3">
        <f>IFERROR(__xludf.DUMMYFUNCTION("""COMPUTED_VALUE"""),0.0)</f>
        <v>0</v>
      </c>
      <c r="AE196" s="3">
        <f>IFERROR(__xludf.DUMMYFUNCTION("""COMPUTED_VALUE"""),0.0)</f>
        <v>0</v>
      </c>
      <c r="AF196" s="3">
        <f>IFERROR(__xludf.DUMMYFUNCTION("""COMPUTED_VALUE"""),0.0)</f>
        <v>0</v>
      </c>
      <c r="AG196" s="3">
        <f>IFERROR(__xludf.DUMMYFUNCTION("""COMPUTED_VALUE"""),0.0)</f>
        <v>0</v>
      </c>
      <c r="AH196" s="3">
        <f>IFERROR(__xludf.DUMMYFUNCTION("""COMPUTED_VALUE"""),0.0)</f>
        <v>0</v>
      </c>
      <c r="AI196" s="3">
        <f>IFERROR(__xludf.DUMMYFUNCTION("""COMPUTED_VALUE"""),0.0)</f>
        <v>0</v>
      </c>
      <c r="AJ196" s="3">
        <f>IFERROR(__xludf.DUMMYFUNCTION("""COMPUTED_VALUE"""),0.0)</f>
        <v>0</v>
      </c>
      <c r="AK196" s="3">
        <f>IFERROR(__xludf.DUMMYFUNCTION("""COMPUTED_VALUE"""),0.0)</f>
        <v>0</v>
      </c>
      <c r="AL196" s="3">
        <f>IFERROR(__xludf.DUMMYFUNCTION("""COMPUTED_VALUE"""),0.0)</f>
        <v>0</v>
      </c>
      <c r="AM196" s="3">
        <f>IFERROR(__xludf.DUMMYFUNCTION("""COMPUTED_VALUE"""),0.0)</f>
        <v>0</v>
      </c>
      <c r="AN196" s="3">
        <f>IFERROR(__xludf.DUMMYFUNCTION("""COMPUTED_VALUE"""),0.0)</f>
        <v>0</v>
      </c>
      <c r="AO196" s="3">
        <f>IFERROR(__xludf.DUMMYFUNCTION("""COMPUTED_VALUE"""),0.0)</f>
        <v>0</v>
      </c>
      <c r="AP196" s="3">
        <f>IFERROR(__xludf.DUMMYFUNCTION("""COMPUTED_VALUE"""),0.0)</f>
        <v>0</v>
      </c>
      <c r="AQ196" s="3">
        <f>IFERROR(__xludf.DUMMYFUNCTION("""COMPUTED_VALUE"""),0.0)</f>
        <v>0</v>
      </c>
      <c r="AR196" s="3">
        <f>IFERROR(__xludf.DUMMYFUNCTION("""COMPUTED_VALUE"""),0.0)</f>
        <v>0</v>
      </c>
      <c r="AS196" s="3">
        <f>IFERROR(__xludf.DUMMYFUNCTION("""COMPUTED_VALUE"""),0.0)</f>
        <v>0</v>
      </c>
      <c r="AT196" s="3">
        <f>IFERROR(__xludf.DUMMYFUNCTION("""COMPUTED_VALUE"""),0.0)</f>
        <v>0</v>
      </c>
      <c r="AU196" s="3">
        <f>IFERROR(__xludf.DUMMYFUNCTION("""COMPUTED_VALUE"""),0.0)</f>
        <v>0</v>
      </c>
      <c r="AV196" s="3">
        <f>IFERROR(__xludf.DUMMYFUNCTION("""COMPUTED_VALUE"""),0.0)</f>
        <v>0</v>
      </c>
      <c r="AW196" s="3">
        <f>IFERROR(__xludf.DUMMYFUNCTION("""COMPUTED_VALUE"""),1.0)</f>
        <v>1</v>
      </c>
      <c r="AX196" s="3">
        <f>IFERROR(__xludf.DUMMYFUNCTION("""COMPUTED_VALUE"""),1.0)</f>
        <v>1</v>
      </c>
      <c r="AY196" s="3">
        <f>IFERROR(__xludf.DUMMYFUNCTION("""COMPUTED_VALUE"""),1.0)</f>
        <v>1</v>
      </c>
      <c r="AZ196" s="3">
        <f>IFERROR(__xludf.DUMMYFUNCTION("""COMPUTED_VALUE"""),1.0)</f>
        <v>1</v>
      </c>
      <c r="BA196" s="3">
        <f>IFERROR(__xludf.DUMMYFUNCTION("""COMPUTED_VALUE"""),5.0)</f>
        <v>5</v>
      </c>
      <c r="BB196" s="3">
        <f>IFERROR(__xludf.DUMMYFUNCTION("""COMPUTED_VALUE"""),12.0)</f>
        <v>12</v>
      </c>
      <c r="BC196" s="3">
        <f>IFERROR(__xludf.DUMMYFUNCTION("""COMPUTED_VALUE"""),19.0)</f>
        <v>19</v>
      </c>
      <c r="BD196" s="3">
        <f>IFERROR(__xludf.DUMMYFUNCTION("""COMPUTED_VALUE"""),35.0)</f>
        <v>35</v>
      </c>
      <c r="BE196" s="3">
        <f>IFERROR(__xludf.DUMMYFUNCTION("""COMPUTED_VALUE"""),46.0)</f>
        <v>46</v>
      </c>
      <c r="BF196" s="3">
        <f>IFERROR(__xludf.DUMMYFUNCTION("""COMPUTED_VALUE"""),48.0)</f>
        <v>48</v>
      </c>
      <c r="BG196" s="3">
        <f>IFERROR(__xludf.DUMMYFUNCTION("""COMPUTED_VALUE"""),55.0)</f>
        <v>55</v>
      </c>
      <c r="BH196" s="3">
        <f>IFERROR(__xludf.DUMMYFUNCTION("""COMPUTED_VALUE"""),65.0)</f>
        <v>65</v>
      </c>
      <c r="BI196" s="3">
        <f>IFERROR(__xludf.DUMMYFUNCTION("""COMPUTED_VALUE"""),83.0)</f>
        <v>83</v>
      </c>
      <c r="BJ196" s="3">
        <f>IFERROR(__xludf.DUMMYFUNCTION("""COMPUTED_VALUE"""),103.0)</f>
        <v>103</v>
      </c>
      <c r="BK196" s="3">
        <f>IFERROR(__xludf.DUMMYFUNCTION("""COMPUTED_VALUE"""),135.0)</f>
        <v>135</v>
      </c>
      <c r="BL196" s="3">
        <f>IFERROR(__xludf.DUMMYFUNCTION("""COMPUTED_VALUE"""),171.0)</f>
        <v>171</v>
      </c>
      <c r="BM196" s="3">
        <f>IFERROR(__xludf.DUMMYFUNCTION("""COMPUTED_VALUE"""),222.0)</f>
        <v>222</v>
      </c>
      <c r="BN196" s="3">
        <f>IFERROR(__xludf.DUMMYFUNCTION("""COMPUTED_VALUE"""),249.0)</f>
        <v>249</v>
      </c>
      <c r="BO196" s="3">
        <f>IFERROR(__xludf.DUMMYFUNCTION("""COMPUTED_VALUE"""),303.0)</f>
        <v>303</v>
      </c>
      <c r="BP196" s="3">
        <f>IFERROR(__xludf.DUMMYFUNCTION("""COMPUTED_VALUE"""),384.0)</f>
        <v>384</v>
      </c>
      <c r="BQ196" s="3">
        <f>IFERROR(__xludf.DUMMYFUNCTION("""COMPUTED_VALUE"""),384.0)</f>
        <v>384</v>
      </c>
      <c r="BR196" s="3">
        <f>IFERROR(__xludf.DUMMYFUNCTION("""COMPUTED_VALUE"""),457.0)</f>
        <v>457</v>
      </c>
      <c r="BS196" s="3">
        <f>IFERROR(__xludf.DUMMYFUNCTION("""COMPUTED_VALUE"""),659.0)</f>
        <v>659</v>
      </c>
      <c r="BT196" s="3">
        <f>IFERROR(__xludf.DUMMYFUNCTION("""COMPUTED_VALUE"""),741.0)</f>
        <v>741</v>
      </c>
      <c r="BU196" s="3">
        <f>IFERROR(__xludf.DUMMYFUNCTION("""COMPUTED_VALUE"""),785.0)</f>
        <v>785</v>
      </c>
      <c r="BV196" s="3">
        <f>IFERROR(__xludf.DUMMYFUNCTION("""COMPUTED_VALUE"""),900.0)</f>
        <v>900</v>
      </c>
      <c r="BW196" s="3">
        <f>IFERROR(__xludf.DUMMYFUNCTION("""COMPUTED_VALUE"""),1060.0)</f>
        <v>1060</v>
      </c>
      <c r="BX196" s="3">
        <f>IFERROR(__xludf.DUMMYFUNCTION("""COMPUTED_VALUE"""),1171.0)</f>
        <v>1171</v>
      </c>
      <c r="BY196" s="3">
        <f>IFERROR(__xludf.DUMMYFUNCTION("""COMPUTED_VALUE"""),1476.0)</f>
        <v>1476</v>
      </c>
      <c r="BZ196" s="3">
        <f>IFERROR(__xludf.DUMMYFUNCTION("""COMPUTED_VALUE"""),1624.0)</f>
        <v>1624</v>
      </c>
      <c r="CA196" s="3">
        <f>IFERROR(__xludf.DUMMYFUNCTION("""COMPUTED_VALUE"""),1908.0)</f>
        <v>1908</v>
      </c>
      <c r="CB196" s="3">
        <f>IFERROR(__xludf.DUMMYFUNCTION("""COMPUTED_VALUE"""),2200.0)</f>
        <v>2200</v>
      </c>
    </row>
    <row r="197">
      <c r="A197" s="3" t="str">
        <f>IFERROR(__xludf.DUMMYFUNCTION("""COMPUTED_VALUE"""),"")</f>
        <v/>
      </c>
      <c r="B197" s="3" t="str">
        <f>IFERROR(__xludf.DUMMYFUNCTION("""COMPUTED_VALUE"""),"Seychelles")</f>
        <v>Seychelles</v>
      </c>
      <c r="C197" s="3">
        <f>IFERROR(__xludf.DUMMYFUNCTION("""COMPUTED_VALUE"""),-4.6796)</f>
        <v>-4.6796</v>
      </c>
      <c r="D197" s="3">
        <f>IFERROR(__xludf.DUMMYFUNCTION("""COMPUTED_VALUE"""),55.492)</f>
        <v>55.492</v>
      </c>
      <c r="E197" s="3">
        <f>IFERROR(__xludf.DUMMYFUNCTION("""COMPUTED_VALUE"""),0.0)</f>
        <v>0</v>
      </c>
      <c r="F197" s="3">
        <f>IFERROR(__xludf.DUMMYFUNCTION("""COMPUTED_VALUE"""),0.0)</f>
        <v>0</v>
      </c>
      <c r="G197" s="3">
        <f>IFERROR(__xludf.DUMMYFUNCTION("""COMPUTED_VALUE"""),0.0)</f>
        <v>0</v>
      </c>
      <c r="H197" s="3">
        <f>IFERROR(__xludf.DUMMYFUNCTION("""COMPUTED_VALUE"""),0.0)</f>
        <v>0</v>
      </c>
      <c r="I197" s="3">
        <f>IFERROR(__xludf.DUMMYFUNCTION("""COMPUTED_VALUE"""),0.0)</f>
        <v>0</v>
      </c>
      <c r="J197" s="3">
        <f>IFERROR(__xludf.DUMMYFUNCTION("""COMPUTED_VALUE"""),0.0)</f>
        <v>0</v>
      </c>
      <c r="K197" s="3">
        <f>IFERROR(__xludf.DUMMYFUNCTION("""COMPUTED_VALUE"""),0.0)</f>
        <v>0</v>
      </c>
      <c r="L197" s="3">
        <f>IFERROR(__xludf.DUMMYFUNCTION("""COMPUTED_VALUE"""),0.0)</f>
        <v>0</v>
      </c>
      <c r="M197" s="3">
        <f>IFERROR(__xludf.DUMMYFUNCTION("""COMPUTED_VALUE"""),0.0)</f>
        <v>0</v>
      </c>
      <c r="N197" s="3">
        <f>IFERROR(__xludf.DUMMYFUNCTION("""COMPUTED_VALUE"""),0.0)</f>
        <v>0</v>
      </c>
      <c r="O197" s="3">
        <f>IFERROR(__xludf.DUMMYFUNCTION("""COMPUTED_VALUE"""),0.0)</f>
        <v>0</v>
      </c>
      <c r="P197" s="3">
        <f>IFERROR(__xludf.DUMMYFUNCTION("""COMPUTED_VALUE"""),0.0)</f>
        <v>0</v>
      </c>
      <c r="Q197" s="3">
        <f>IFERROR(__xludf.DUMMYFUNCTION("""COMPUTED_VALUE"""),0.0)</f>
        <v>0</v>
      </c>
      <c r="R197" s="3">
        <f>IFERROR(__xludf.DUMMYFUNCTION("""COMPUTED_VALUE"""),0.0)</f>
        <v>0</v>
      </c>
      <c r="S197" s="3">
        <f>IFERROR(__xludf.DUMMYFUNCTION("""COMPUTED_VALUE"""),0.0)</f>
        <v>0</v>
      </c>
      <c r="T197" s="3">
        <f>IFERROR(__xludf.DUMMYFUNCTION("""COMPUTED_VALUE"""),0.0)</f>
        <v>0</v>
      </c>
      <c r="U197" s="3">
        <f>IFERROR(__xludf.DUMMYFUNCTION("""COMPUTED_VALUE"""),0.0)</f>
        <v>0</v>
      </c>
      <c r="V197" s="3">
        <f>IFERROR(__xludf.DUMMYFUNCTION("""COMPUTED_VALUE"""),0.0)</f>
        <v>0</v>
      </c>
      <c r="W197" s="3">
        <f>IFERROR(__xludf.DUMMYFUNCTION("""COMPUTED_VALUE"""),0.0)</f>
        <v>0</v>
      </c>
      <c r="X197" s="3">
        <f>IFERROR(__xludf.DUMMYFUNCTION("""COMPUTED_VALUE"""),0.0)</f>
        <v>0</v>
      </c>
      <c r="Y197" s="3">
        <f>IFERROR(__xludf.DUMMYFUNCTION("""COMPUTED_VALUE"""),0.0)</f>
        <v>0</v>
      </c>
      <c r="Z197" s="3">
        <f>IFERROR(__xludf.DUMMYFUNCTION("""COMPUTED_VALUE"""),0.0)</f>
        <v>0</v>
      </c>
      <c r="AA197" s="3">
        <f>IFERROR(__xludf.DUMMYFUNCTION("""COMPUTED_VALUE"""),0.0)</f>
        <v>0</v>
      </c>
      <c r="AB197" s="3">
        <f>IFERROR(__xludf.DUMMYFUNCTION("""COMPUTED_VALUE"""),0.0)</f>
        <v>0</v>
      </c>
      <c r="AC197" s="3">
        <f>IFERROR(__xludf.DUMMYFUNCTION("""COMPUTED_VALUE"""),0.0)</f>
        <v>0</v>
      </c>
      <c r="AD197" s="3">
        <f>IFERROR(__xludf.DUMMYFUNCTION("""COMPUTED_VALUE"""),0.0)</f>
        <v>0</v>
      </c>
      <c r="AE197" s="3">
        <f>IFERROR(__xludf.DUMMYFUNCTION("""COMPUTED_VALUE"""),0.0)</f>
        <v>0</v>
      </c>
      <c r="AF197" s="3">
        <f>IFERROR(__xludf.DUMMYFUNCTION("""COMPUTED_VALUE"""),0.0)</f>
        <v>0</v>
      </c>
      <c r="AG197" s="3">
        <f>IFERROR(__xludf.DUMMYFUNCTION("""COMPUTED_VALUE"""),0.0)</f>
        <v>0</v>
      </c>
      <c r="AH197" s="3">
        <f>IFERROR(__xludf.DUMMYFUNCTION("""COMPUTED_VALUE"""),0.0)</f>
        <v>0</v>
      </c>
      <c r="AI197" s="3">
        <f>IFERROR(__xludf.DUMMYFUNCTION("""COMPUTED_VALUE"""),0.0)</f>
        <v>0</v>
      </c>
      <c r="AJ197" s="3">
        <f>IFERROR(__xludf.DUMMYFUNCTION("""COMPUTED_VALUE"""),0.0)</f>
        <v>0</v>
      </c>
      <c r="AK197" s="3">
        <f>IFERROR(__xludf.DUMMYFUNCTION("""COMPUTED_VALUE"""),0.0)</f>
        <v>0</v>
      </c>
      <c r="AL197" s="3">
        <f>IFERROR(__xludf.DUMMYFUNCTION("""COMPUTED_VALUE"""),0.0)</f>
        <v>0</v>
      </c>
      <c r="AM197" s="3">
        <f>IFERROR(__xludf.DUMMYFUNCTION("""COMPUTED_VALUE"""),0.0)</f>
        <v>0</v>
      </c>
      <c r="AN197" s="3">
        <f>IFERROR(__xludf.DUMMYFUNCTION("""COMPUTED_VALUE"""),0.0)</f>
        <v>0</v>
      </c>
      <c r="AO197" s="3">
        <f>IFERROR(__xludf.DUMMYFUNCTION("""COMPUTED_VALUE"""),0.0)</f>
        <v>0</v>
      </c>
      <c r="AP197" s="3">
        <f>IFERROR(__xludf.DUMMYFUNCTION("""COMPUTED_VALUE"""),0.0)</f>
        <v>0</v>
      </c>
      <c r="AQ197" s="3">
        <f>IFERROR(__xludf.DUMMYFUNCTION("""COMPUTED_VALUE"""),0.0)</f>
        <v>0</v>
      </c>
      <c r="AR197" s="3">
        <f>IFERROR(__xludf.DUMMYFUNCTION("""COMPUTED_VALUE"""),0.0)</f>
        <v>0</v>
      </c>
      <c r="AS197" s="3">
        <f>IFERROR(__xludf.DUMMYFUNCTION("""COMPUTED_VALUE"""),0.0)</f>
        <v>0</v>
      </c>
      <c r="AT197" s="3">
        <f>IFERROR(__xludf.DUMMYFUNCTION("""COMPUTED_VALUE"""),0.0)</f>
        <v>0</v>
      </c>
      <c r="AU197" s="3">
        <f>IFERROR(__xludf.DUMMYFUNCTION("""COMPUTED_VALUE"""),0.0)</f>
        <v>0</v>
      </c>
      <c r="AV197" s="3">
        <f>IFERROR(__xludf.DUMMYFUNCTION("""COMPUTED_VALUE"""),0.0)</f>
        <v>0</v>
      </c>
      <c r="AW197" s="3">
        <f>IFERROR(__xludf.DUMMYFUNCTION("""COMPUTED_VALUE"""),0.0)</f>
        <v>0</v>
      </c>
      <c r="AX197" s="3">
        <f>IFERROR(__xludf.DUMMYFUNCTION("""COMPUTED_VALUE"""),0.0)</f>
        <v>0</v>
      </c>
      <c r="AY197" s="3">
        <f>IFERROR(__xludf.DUMMYFUNCTION("""COMPUTED_VALUE"""),0.0)</f>
        <v>0</v>
      </c>
      <c r="AZ197" s="3">
        <f>IFERROR(__xludf.DUMMYFUNCTION("""COMPUTED_VALUE"""),0.0)</f>
        <v>0</v>
      </c>
      <c r="BA197" s="3">
        <f>IFERROR(__xludf.DUMMYFUNCTION("""COMPUTED_VALUE"""),0.0)</f>
        <v>0</v>
      </c>
      <c r="BB197" s="3">
        <f>IFERROR(__xludf.DUMMYFUNCTION("""COMPUTED_VALUE"""),0.0)</f>
        <v>0</v>
      </c>
      <c r="BC197" s="3">
        <f>IFERROR(__xludf.DUMMYFUNCTION("""COMPUTED_VALUE"""),0.0)</f>
        <v>0</v>
      </c>
      <c r="BD197" s="3">
        <f>IFERROR(__xludf.DUMMYFUNCTION("""COMPUTED_VALUE"""),0.0)</f>
        <v>0</v>
      </c>
      <c r="BE197" s="3">
        <f>IFERROR(__xludf.DUMMYFUNCTION("""COMPUTED_VALUE"""),2.0)</f>
        <v>2</v>
      </c>
      <c r="BF197" s="3">
        <f>IFERROR(__xludf.DUMMYFUNCTION("""COMPUTED_VALUE"""),2.0)</f>
        <v>2</v>
      </c>
      <c r="BG197" s="3">
        <f>IFERROR(__xludf.DUMMYFUNCTION("""COMPUTED_VALUE"""),3.0)</f>
        <v>3</v>
      </c>
      <c r="BH197" s="3">
        <f>IFERROR(__xludf.DUMMYFUNCTION("""COMPUTED_VALUE"""),4.0)</f>
        <v>4</v>
      </c>
      <c r="BI197" s="3">
        <f>IFERROR(__xludf.DUMMYFUNCTION("""COMPUTED_VALUE"""),4.0)</f>
        <v>4</v>
      </c>
      <c r="BJ197" s="3">
        <f>IFERROR(__xludf.DUMMYFUNCTION("""COMPUTED_VALUE"""),6.0)</f>
        <v>6</v>
      </c>
      <c r="BK197" s="3">
        <f>IFERROR(__xludf.DUMMYFUNCTION("""COMPUTED_VALUE"""),7.0)</f>
        <v>7</v>
      </c>
      <c r="BL197" s="3">
        <f>IFERROR(__xludf.DUMMYFUNCTION("""COMPUTED_VALUE"""),7.0)</f>
        <v>7</v>
      </c>
      <c r="BM197" s="3">
        <f>IFERROR(__xludf.DUMMYFUNCTION("""COMPUTED_VALUE"""),7.0)</f>
        <v>7</v>
      </c>
      <c r="BN197" s="3">
        <f>IFERROR(__xludf.DUMMYFUNCTION("""COMPUTED_VALUE"""),7.0)</f>
        <v>7</v>
      </c>
      <c r="BO197" s="3">
        <f>IFERROR(__xludf.DUMMYFUNCTION("""COMPUTED_VALUE"""),7.0)</f>
        <v>7</v>
      </c>
      <c r="BP197" s="3">
        <f>IFERROR(__xludf.DUMMYFUNCTION("""COMPUTED_VALUE"""),7.0)</f>
        <v>7</v>
      </c>
      <c r="BQ197" s="3">
        <f>IFERROR(__xludf.DUMMYFUNCTION("""COMPUTED_VALUE"""),7.0)</f>
        <v>7</v>
      </c>
      <c r="BR197" s="3">
        <f>IFERROR(__xludf.DUMMYFUNCTION("""COMPUTED_VALUE"""),7.0)</f>
        <v>7</v>
      </c>
      <c r="BS197" s="3">
        <f>IFERROR(__xludf.DUMMYFUNCTION("""COMPUTED_VALUE"""),8.0)</f>
        <v>8</v>
      </c>
      <c r="BT197" s="3">
        <f>IFERROR(__xludf.DUMMYFUNCTION("""COMPUTED_VALUE"""),8.0)</f>
        <v>8</v>
      </c>
      <c r="BU197" s="3">
        <f>IFERROR(__xludf.DUMMYFUNCTION("""COMPUTED_VALUE"""),8.0)</f>
        <v>8</v>
      </c>
      <c r="BV197" s="3">
        <f>IFERROR(__xludf.DUMMYFUNCTION("""COMPUTED_VALUE"""),10.0)</f>
        <v>10</v>
      </c>
      <c r="BW197" s="3">
        <f>IFERROR(__xludf.DUMMYFUNCTION("""COMPUTED_VALUE"""),10.0)</f>
        <v>10</v>
      </c>
      <c r="BX197" s="3">
        <f>IFERROR(__xludf.DUMMYFUNCTION("""COMPUTED_VALUE"""),10.0)</f>
        <v>10</v>
      </c>
      <c r="BY197" s="3">
        <f>IFERROR(__xludf.DUMMYFUNCTION("""COMPUTED_VALUE"""),10.0)</f>
        <v>10</v>
      </c>
      <c r="BZ197" s="3">
        <f>IFERROR(__xludf.DUMMYFUNCTION("""COMPUTED_VALUE"""),10.0)</f>
        <v>10</v>
      </c>
      <c r="CA197" s="3">
        <f>IFERROR(__xludf.DUMMYFUNCTION("""COMPUTED_VALUE"""),10.0)</f>
        <v>10</v>
      </c>
      <c r="CB197" s="3">
        <f>IFERROR(__xludf.DUMMYFUNCTION("""COMPUTED_VALUE"""),11.0)</f>
        <v>11</v>
      </c>
    </row>
    <row r="198">
      <c r="A198" s="3" t="str">
        <f>IFERROR(__xludf.DUMMYFUNCTION("""COMPUTED_VALUE"""),"")</f>
        <v/>
      </c>
      <c r="B198" s="3" t="str">
        <f>IFERROR(__xludf.DUMMYFUNCTION("""COMPUTED_VALUE"""),"Singapore")</f>
        <v>Singapore</v>
      </c>
      <c r="C198" s="3">
        <f>IFERROR(__xludf.DUMMYFUNCTION("""COMPUTED_VALUE"""),1.2833)</f>
        <v>1.2833</v>
      </c>
      <c r="D198" s="3">
        <f>IFERROR(__xludf.DUMMYFUNCTION("""COMPUTED_VALUE"""),103.8333)</f>
        <v>103.8333</v>
      </c>
      <c r="E198" s="3">
        <f>IFERROR(__xludf.DUMMYFUNCTION("""COMPUTED_VALUE"""),0.0)</f>
        <v>0</v>
      </c>
      <c r="F198" s="3">
        <f>IFERROR(__xludf.DUMMYFUNCTION("""COMPUTED_VALUE"""),1.0)</f>
        <v>1</v>
      </c>
      <c r="G198" s="3">
        <f>IFERROR(__xludf.DUMMYFUNCTION("""COMPUTED_VALUE"""),3.0)</f>
        <v>3</v>
      </c>
      <c r="H198" s="3">
        <f>IFERROR(__xludf.DUMMYFUNCTION("""COMPUTED_VALUE"""),3.0)</f>
        <v>3</v>
      </c>
      <c r="I198" s="3">
        <f>IFERROR(__xludf.DUMMYFUNCTION("""COMPUTED_VALUE"""),4.0)</f>
        <v>4</v>
      </c>
      <c r="J198" s="3">
        <f>IFERROR(__xludf.DUMMYFUNCTION("""COMPUTED_VALUE"""),5.0)</f>
        <v>5</v>
      </c>
      <c r="K198" s="3">
        <f>IFERROR(__xludf.DUMMYFUNCTION("""COMPUTED_VALUE"""),7.0)</f>
        <v>7</v>
      </c>
      <c r="L198" s="3">
        <f>IFERROR(__xludf.DUMMYFUNCTION("""COMPUTED_VALUE"""),7.0)</f>
        <v>7</v>
      </c>
      <c r="M198" s="3">
        <f>IFERROR(__xludf.DUMMYFUNCTION("""COMPUTED_VALUE"""),10.0)</f>
        <v>10</v>
      </c>
      <c r="N198" s="3">
        <f>IFERROR(__xludf.DUMMYFUNCTION("""COMPUTED_VALUE"""),13.0)</f>
        <v>13</v>
      </c>
      <c r="O198" s="3">
        <f>IFERROR(__xludf.DUMMYFUNCTION("""COMPUTED_VALUE"""),16.0)</f>
        <v>16</v>
      </c>
      <c r="P198" s="3">
        <f>IFERROR(__xludf.DUMMYFUNCTION("""COMPUTED_VALUE"""),18.0)</f>
        <v>18</v>
      </c>
      <c r="Q198" s="3">
        <f>IFERROR(__xludf.DUMMYFUNCTION("""COMPUTED_VALUE"""),18.0)</f>
        <v>18</v>
      </c>
      <c r="R198" s="3">
        <f>IFERROR(__xludf.DUMMYFUNCTION("""COMPUTED_VALUE"""),24.0)</f>
        <v>24</v>
      </c>
      <c r="S198" s="3">
        <f>IFERROR(__xludf.DUMMYFUNCTION("""COMPUTED_VALUE"""),28.0)</f>
        <v>28</v>
      </c>
      <c r="T198" s="3">
        <f>IFERROR(__xludf.DUMMYFUNCTION("""COMPUTED_VALUE"""),28.0)</f>
        <v>28</v>
      </c>
      <c r="U198" s="3">
        <f>IFERROR(__xludf.DUMMYFUNCTION("""COMPUTED_VALUE"""),30.0)</f>
        <v>30</v>
      </c>
      <c r="V198" s="3">
        <f>IFERROR(__xludf.DUMMYFUNCTION("""COMPUTED_VALUE"""),33.0)</f>
        <v>33</v>
      </c>
      <c r="W198" s="3">
        <f>IFERROR(__xludf.DUMMYFUNCTION("""COMPUTED_VALUE"""),40.0)</f>
        <v>40</v>
      </c>
      <c r="X198" s="3">
        <f>IFERROR(__xludf.DUMMYFUNCTION("""COMPUTED_VALUE"""),45.0)</f>
        <v>45</v>
      </c>
      <c r="Y198" s="3">
        <f>IFERROR(__xludf.DUMMYFUNCTION("""COMPUTED_VALUE"""),47.0)</f>
        <v>47</v>
      </c>
      <c r="Z198" s="3">
        <f>IFERROR(__xludf.DUMMYFUNCTION("""COMPUTED_VALUE"""),50.0)</f>
        <v>50</v>
      </c>
      <c r="AA198" s="3">
        <f>IFERROR(__xludf.DUMMYFUNCTION("""COMPUTED_VALUE"""),58.0)</f>
        <v>58</v>
      </c>
      <c r="AB198" s="3">
        <f>IFERROR(__xludf.DUMMYFUNCTION("""COMPUTED_VALUE"""),67.0)</f>
        <v>67</v>
      </c>
      <c r="AC198" s="3">
        <f>IFERROR(__xludf.DUMMYFUNCTION("""COMPUTED_VALUE"""),72.0)</f>
        <v>72</v>
      </c>
      <c r="AD198" s="3">
        <f>IFERROR(__xludf.DUMMYFUNCTION("""COMPUTED_VALUE"""),75.0)</f>
        <v>75</v>
      </c>
      <c r="AE198" s="3">
        <f>IFERROR(__xludf.DUMMYFUNCTION("""COMPUTED_VALUE"""),77.0)</f>
        <v>77</v>
      </c>
      <c r="AF198" s="3">
        <f>IFERROR(__xludf.DUMMYFUNCTION("""COMPUTED_VALUE"""),81.0)</f>
        <v>81</v>
      </c>
      <c r="AG198" s="3">
        <f>IFERROR(__xludf.DUMMYFUNCTION("""COMPUTED_VALUE"""),84.0)</f>
        <v>84</v>
      </c>
      <c r="AH198" s="3">
        <f>IFERROR(__xludf.DUMMYFUNCTION("""COMPUTED_VALUE"""),84.0)</f>
        <v>84</v>
      </c>
      <c r="AI198" s="3">
        <f>IFERROR(__xludf.DUMMYFUNCTION("""COMPUTED_VALUE"""),85.0)</f>
        <v>85</v>
      </c>
      <c r="AJ198" s="3">
        <f>IFERROR(__xludf.DUMMYFUNCTION("""COMPUTED_VALUE"""),85.0)</f>
        <v>85</v>
      </c>
      <c r="AK198" s="3">
        <f>IFERROR(__xludf.DUMMYFUNCTION("""COMPUTED_VALUE"""),89.0)</f>
        <v>89</v>
      </c>
      <c r="AL198" s="3">
        <f>IFERROR(__xludf.DUMMYFUNCTION("""COMPUTED_VALUE"""),89.0)</f>
        <v>89</v>
      </c>
      <c r="AM198" s="3">
        <f>IFERROR(__xludf.DUMMYFUNCTION("""COMPUTED_VALUE"""),91.0)</f>
        <v>91</v>
      </c>
      <c r="AN198" s="3">
        <f>IFERROR(__xludf.DUMMYFUNCTION("""COMPUTED_VALUE"""),93.0)</f>
        <v>93</v>
      </c>
      <c r="AO198" s="3">
        <f>IFERROR(__xludf.DUMMYFUNCTION("""COMPUTED_VALUE"""),93.0)</f>
        <v>93</v>
      </c>
      <c r="AP198" s="3">
        <f>IFERROR(__xludf.DUMMYFUNCTION("""COMPUTED_VALUE"""),93.0)</f>
        <v>93</v>
      </c>
      <c r="AQ198" s="3">
        <f>IFERROR(__xludf.DUMMYFUNCTION("""COMPUTED_VALUE"""),102.0)</f>
        <v>102</v>
      </c>
      <c r="AR198" s="3">
        <f>IFERROR(__xludf.DUMMYFUNCTION("""COMPUTED_VALUE"""),106.0)</f>
        <v>106</v>
      </c>
      <c r="AS198" s="3">
        <f>IFERROR(__xludf.DUMMYFUNCTION("""COMPUTED_VALUE"""),108.0)</f>
        <v>108</v>
      </c>
      <c r="AT198" s="3">
        <f>IFERROR(__xludf.DUMMYFUNCTION("""COMPUTED_VALUE"""),110.0)</f>
        <v>110</v>
      </c>
      <c r="AU198" s="3">
        <f>IFERROR(__xludf.DUMMYFUNCTION("""COMPUTED_VALUE"""),110.0)</f>
        <v>110</v>
      </c>
      <c r="AV198" s="3">
        <f>IFERROR(__xludf.DUMMYFUNCTION("""COMPUTED_VALUE"""),117.0)</f>
        <v>117</v>
      </c>
      <c r="AW198" s="3">
        <f>IFERROR(__xludf.DUMMYFUNCTION("""COMPUTED_VALUE"""),130.0)</f>
        <v>130</v>
      </c>
      <c r="AX198" s="3">
        <f>IFERROR(__xludf.DUMMYFUNCTION("""COMPUTED_VALUE"""),138.0)</f>
        <v>138</v>
      </c>
      <c r="AY198" s="3">
        <f>IFERROR(__xludf.DUMMYFUNCTION("""COMPUTED_VALUE"""),150.0)</f>
        <v>150</v>
      </c>
      <c r="AZ198" s="3">
        <f>IFERROR(__xludf.DUMMYFUNCTION("""COMPUTED_VALUE"""),150.0)</f>
        <v>150</v>
      </c>
      <c r="BA198" s="3">
        <f>IFERROR(__xludf.DUMMYFUNCTION("""COMPUTED_VALUE"""),160.0)</f>
        <v>160</v>
      </c>
      <c r="BB198" s="3">
        <f>IFERROR(__xludf.DUMMYFUNCTION("""COMPUTED_VALUE"""),178.0)</f>
        <v>178</v>
      </c>
      <c r="BC198" s="3">
        <f>IFERROR(__xludf.DUMMYFUNCTION("""COMPUTED_VALUE"""),178.0)</f>
        <v>178</v>
      </c>
      <c r="BD198" s="3">
        <f>IFERROR(__xludf.DUMMYFUNCTION("""COMPUTED_VALUE"""),200.0)</f>
        <v>200</v>
      </c>
      <c r="BE198" s="3">
        <f>IFERROR(__xludf.DUMMYFUNCTION("""COMPUTED_VALUE"""),212.0)</f>
        <v>212</v>
      </c>
      <c r="BF198" s="3">
        <f>IFERROR(__xludf.DUMMYFUNCTION("""COMPUTED_VALUE"""),226.0)</f>
        <v>226</v>
      </c>
      <c r="BG198" s="3">
        <f>IFERROR(__xludf.DUMMYFUNCTION("""COMPUTED_VALUE"""),243.0)</f>
        <v>243</v>
      </c>
      <c r="BH198" s="3">
        <f>IFERROR(__xludf.DUMMYFUNCTION("""COMPUTED_VALUE"""),266.0)</f>
        <v>266</v>
      </c>
      <c r="BI198" s="3">
        <f>IFERROR(__xludf.DUMMYFUNCTION("""COMPUTED_VALUE"""),313.0)</f>
        <v>313</v>
      </c>
      <c r="BJ198" s="3">
        <f>IFERROR(__xludf.DUMMYFUNCTION("""COMPUTED_VALUE"""),345.0)</f>
        <v>345</v>
      </c>
      <c r="BK198" s="3">
        <f>IFERROR(__xludf.DUMMYFUNCTION("""COMPUTED_VALUE"""),385.0)</f>
        <v>385</v>
      </c>
      <c r="BL198" s="3">
        <f>IFERROR(__xludf.DUMMYFUNCTION("""COMPUTED_VALUE"""),432.0)</f>
        <v>432</v>
      </c>
      <c r="BM198" s="3">
        <f>IFERROR(__xludf.DUMMYFUNCTION("""COMPUTED_VALUE"""),455.0)</f>
        <v>455</v>
      </c>
      <c r="BN198" s="3">
        <f>IFERROR(__xludf.DUMMYFUNCTION("""COMPUTED_VALUE"""),509.0)</f>
        <v>509</v>
      </c>
      <c r="BO198" s="3">
        <f>IFERROR(__xludf.DUMMYFUNCTION("""COMPUTED_VALUE"""),558.0)</f>
        <v>558</v>
      </c>
      <c r="BP198" s="3">
        <f>IFERROR(__xludf.DUMMYFUNCTION("""COMPUTED_VALUE"""),631.0)</f>
        <v>631</v>
      </c>
      <c r="BQ198" s="3">
        <f>IFERROR(__xludf.DUMMYFUNCTION("""COMPUTED_VALUE"""),683.0)</f>
        <v>683</v>
      </c>
      <c r="BR198" s="3">
        <f>IFERROR(__xludf.DUMMYFUNCTION("""COMPUTED_VALUE"""),732.0)</f>
        <v>732</v>
      </c>
      <c r="BS198" s="3">
        <f>IFERROR(__xludf.DUMMYFUNCTION("""COMPUTED_VALUE"""),802.0)</f>
        <v>802</v>
      </c>
      <c r="BT198" s="3">
        <f>IFERROR(__xludf.DUMMYFUNCTION("""COMPUTED_VALUE"""),844.0)</f>
        <v>844</v>
      </c>
      <c r="BU198" s="3">
        <f>IFERROR(__xludf.DUMMYFUNCTION("""COMPUTED_VALUE"""),879.0)</f>
        <v>879</v>
      </c>
      <c r="BV198" s="3">
        <f>IFERROR(__xludf.DUMMYFUNCTION("""COMPUTED_VALUE"""),926.0)</f>
        <v>926</v>
      </c>
      <c r="BW198" s="3">
        <f>IFERROR(__xludf.DUMMYFUNCTION("""COMPUTED_VALUE"""),1000.0)</f>
        <v>1000</v>
      </c>
      <c r="BX198" s="3">
        <f>IFERROR(__xludf.DUMMYFUNCTION("""COMPUTED_VALUE"""),1049.0)</f>
        <v>1049</v>
      </c>
      <c r="BY198" s="3">
        <f>IFERROR(__xludf.DUMMYFUNCTION("""COMPUTED_VALUE"""),1114.0)</f>
        <v>1114</v>
      </c>
      <c r="BZ198" s="3">
        <f>IFERROR(__xludf.DUMMYFUNCTION("""COMPUTED_VALUE"""),1189.0)</f>
        <v>1189</v>
      </c>
      <c r="CA198" s="3">
        <f>IFERROR(__xludf.DUMMYFUNCTION("""COMPUTED_VALUE"""),1309.0)</f>
        <v>1309</v>
      </c>
      <c r="CB198" s="3">
        <f>IFERROR(__xludf.DUMMYFUNCTION("""COMPUTED_VALUE"""),1375.0)</f>
        <v>1375</v>
      </c>
    </row>
    <row r="199">
      <c r="A199" s="3" t="str">
        <f>IFERROR(__xludf.DUMMYFUNCTION("""COMPUTED_VALUE"""),"")</f>
        <v/>
      </c>
      <c r="B199" s="3" t="str">
        <f>IFERROR(__xludf.DUMMYFUNCTION("""COMPUTED_VALUE"""),"Slovakia")</f>
        <v>Slovakia</v>
      </c>
      <c r="C199" s="3">
        <f>IFERROR(__xludf.DUMMYFUNCTION("""COMPUTED_VALUE"""),48.669)</f>
        <v>48.669</v>
      </c>
      <c r="D199" s="3">
        <f>IFERROR(__xludf.DUMMYFUNCTION("""COMPUTED_VALUE"""),19.699)</f>
        <v>19.699</v>
      </c>
      <c r="E199" s="3">
        <f>IFERROR(__xludf.DUMMYFUNCTION("""COMPUTED_VALUE"""),0.0)</f>
        <v>0</v>
      </c>
      <c r="F199" s="3">
        <f>IFERROR(__xludf.DUMMYFUNCTION("""COMPUTED_VALUE"""),0.0)</f>
        <v>0</v>
      </c>
      <c r="G199" s="3">
        <f>IFERROR(__xludf.DUMMYFUNCTION("""COMPUTED_VALUE"""),0.0)</f>
        <v>0</v>
      </c>
      <c r="H199" s="3">
        <f>IFERROR(__xludf.DUMMYFUNCTION("""COMPUTED_VALUE"""),0.0)</f>
        <v>0</v>
      </c>
      <c r="I199" s="3">
        <f>IFERROR(__xludf.DUMMYFUNCTION("""COMPUTED_VALUE"""),0.0)</f>
        <v>0</v>
      </c>
      <c r="J199" s="3">
        <f>IFERROR(__xludf.DUMMYFUNCTION("""COMPUTED_VALUE"""),0.0)</f>
        <v>0</v>
      </c>
      <c r="K199" s="3">
        <f>IFERROR(__xludf.DUMMYFUNCTION("""COMPUTED_VALUE"""),0.0)</f>
        <v>0</v>
      </c>
      <c r="L199" s="3">
        <f>IFERROR(__xludf.DUMMYFUNCTION("""COMPUTED_VALUE"""),0.0)</f>
        <v>0</v>
      </c>
      <c r="M199" s="3">
        <f>IFERROR(__xludf.DUMMYFUNCTION("""COMPUTED_VALUE"""),0.0)</f>
        <v>0</v>
      </c>
      <c r="N199" s="3">
        <f>IFERROR(__xludf.DUMMYFUNCTION("""COMPUTED_VALUE"""),0.0)</f>
        <v>0</v>
      </c>
      <c r="O199" s="3">
        <f>IFERROR(__xludf.DUMMYFUNCTION("""COMPUTED_VALUE"""),0.0)</f>
        <v>0</v>
      </c>
      <c r="P199" s="3">
        <f>IFERROR(__xludf.DUMMYFUNCTION("""COMPUTED_VALUE"""),0.0)</f>
        <v>0</v>
      </c>
      <c r="Q199" s="3">
        <f>IFERROR(__xludf.DUMMYFUNCTION("""COMPUTED_VALUE"""),0.0)</f>
        <v>0</v>
      </c>
      <c r="R199" s="3">
        <f>IFERROR(__xludf.DUMMYFUNCTION("""COMPUTED_VALUE"""),0.0)</f>
        <v>0</v>
      </c>
      <c r="S199" s="3">
        <f>IFERROR(__xludf.DUMMYFUNCTION("""COMPUTED_VALUE"""),0.0)</f>
        <v>0</v>
      </c>
      <c r="T199" s="3">
        <f>IFERROR(__xludf.DUMMYFUNCTION("""COMPUTED_VALUE"""),0.0)</f>
        <v>0</v>
      </c>
      <c r="U199" s="3">
        <f>IFERROR(__xludf.DUMMYFUNCTION("""COMPUTED_VALUE"""),0.0)</f>
        <v>0</v>
      </c>
      <c r="V199" s="3">
        <f>IFERROR(__xludf.DUMMYFUNCTION("""COMPUTED_VALUE"""),0.0)</f>
        <v>0</v>
      </c>
      <c r="W199" s="3">
        <f>IFERROR(__xludf.DUMMYFUNCTION("""COMPUTED_VALUE"""),0.0)</f>
        <v>0</v>
      </c>
      <c r="X199" s="3">
        <f>IFERROR(__xludf.DUMMYFUNCTION("""COMPUTED_VALUE"""),0.0)</f>
        <v>0</v>
      </c>
      <c r="Y199" s="3">
        <f>IFERROR(__xludf.DUMMYFUNCTION("""COMPUTED_VALUE"""),0.0)</f>
        <v>0</v>
      </c>
      <c r="Z199" s="3">
        <f>IFERROR(__xludf.DUMMYFUNCTION("""COMPUTED_VALUE"""),0.0)</f>
        <v>0</v>
      </c>
      <c r="AA199" s="3">
        <f>IFERROR(__xludf.DUMMYFUNCTION("""COMPUTED_VALUE"""),0.0)</f>
        <v>0</v>
      </c>
      <c r="AB199" s="3">
        <f>IFERROR(__xludf.DUMMYFUNCTION("""COMPUTED_VALUE"""),0.0)</f>
        <v>0</v>
      </c>
      <c r="AC199" s="3">
        <f>IFERROR(__xludf.DUMMYFUNCTION("""COMPUTED_VALUE"""),0.0)</f>
        <v>0</v>
      </c>
      <c r="AD199" s="3">
        <f>IFERROR(__xludf.DUMMYFUNCTION("""COMPUTED_VALUE"""),0.0)</f>
        <v>0</v>
      </c>
      <c r="AE199" s="3">
        <f>IFERROR(__xludf.DUMMYFUNCTION("""COMPUTED_VALUE"""),0.0)</f>
        <v>0</v>
      </c>
      <c r="AF199" s="3">
        <f>IFERROR(__xludf.DUMMYFUNCTION("""COMPUTED_VALUE"""),0.0)</f>
        <v>0</v>
      </c>
      <c r="AG199" s="3">
        <f>IFERROR(__xludf.DUMMYFUNCTION("""COMPUTED_VALUE"""),0.0)</f>
        <v>0</v>
      </c>
      <c r="AH199" s="3">
        <f>IFERROR(__xludf.DUMMYFUNCTION("""COMPUTED_VALUE"""),0.0)</f>
        <v>0</v>
      </c>
      <c r="AI199" s="3">
        <f>IFERROR(__xludf.DUMMYFUNCTION("""COMPUTED_VALUE"""),0.0)</f>
        <v>0</v>
      </c>
      <c r="AJ199" s="3">
        <f>IFERROR(__xludf.DUMMYFUNCTION("""COMPUTED_VALUE"""),0.0)</f>
        <v>0</v>
      </c>
      <c r="AK199" s="3">
        <f>IFERROR(__xludf.DUMMYFUNCTION("""COMPUTED_VALUE"""),0.0)</f>
        <v>0</v>
      </c>
      <c r="AL199" s="3">
        <f>IFERROR(__xludf.DUMMYFUNCTION("""COMPUTED_VALUE"""),0.0)</f>
        <v>0</v>
      </c>
      <c r="AM199" s="3">
        <f>IFERROR(__xludf.DUMMYFUNCTION("""COMPUTED_VALUE"""),0.0)</f>
        <v>0</v>
      </c>
      <c r="AN199" s="3">
        <f>IFERROR(__xludf.DUMMYFUNCTION("""COMPUTED_VALUE"""),0.0)</f>
        <v>0</v>
      </c>
      <c r="AO199" s="3">
        <f>IFERROR(__xludf.DUMMYFUNCTION("""COMPUTED_VALUE"""),0.0)</f>
        <v>0</v>
      </c>
      <c r="AP199" s="3">
        <f>IFERROR(__xludf.DUMMYFUNCTION("""COMPUTED_VALUE"""),0.0)</f>
        <v>0</v>
      </c>
      <c r="AQ199" s="3">
        <f>IFERROR(__xludf.DUMMYFUNCTION("""COMPUTED_VALUE"""),0.0)</f>
        <v>0</v>
      </c>
      <c r="AR199" s="3">
        <f>IFERROR(__xludf.DUMMYFUNCTION("""COMPUTED_VALUE"""),0.0)</f>
        <v>0</v>
      </c>
      <c r="AS199" s="3">
        <f>IFERROR(__xludf.DUMMYFUNCTION("""COMPUTED_VALUE"""),0.0)</f>
        <v>0</v>
      </c>
      <c r="AT199" s="3">
        <f>IFERROR(__xludf.DUMMYFUNCTION("""COMPUTED_VALUE"""),0.0)</f>
        <v>0</v>
      </c>
      <c r="AU199" s="3">
        <f>IFERROR(__xludf.DUMMYFUNCTION("""COMPUTED_VALUE"""),0.0)</f>
        <v>0</v>
      </c>
      <c r="AV199" s="3">
        <f>IFERROR(__xludf.DUMMYFUNCTION("""COMPUTED_VALUE"""),0.0)</f>
        <v>0</v>
      </c>
      <c r="AW199" s="3">
        <f>IFERROR(__xludf.DUMMYFUNCTION("""COMPUTED_VALUE"""),1.0)</f>
        <v>1</v>
      </c>
      <c r="AX199" s="3">
        <f>IFERROR(__xludf.DUMMYFUNCTION("""COMPUTED_VALUE"""),1.0)</f>
        <v>1</v>
      </c>
      <c r="AY199" s="3">
        <f>IFERROR(__xludf.DUMMYFUNCTION("""COMPUTED_VALUE"""),3.0)</f>
        <v>3</v>
      </c>
      <c r="AZ199" s="3">
        <f>IFERROR(__xludf.DUMMYFUNCTION("""COMPUTED_VALUE"""),3.0)</f>
        <v>3</v>
      </c>
      <c r="BA199" s="3">
        <f>IFERROR(__xludf.DUMMYFUNCTION("""COMPUTED_VALUE"""),7.0)</f>
        <v>7</v>
      </c>
      <c r="BB199" s="3">
        <f>IFERROR(__xludf.DUMMYFUNCTION("""COMPUTED_VALUE"""),10.0)</f>
        <v>10</v>
      </c>
      <c r="BC199" s="3">
        <f>IFERROR(__xludf.DUMMYFUNCTION("""COMPUTED_VALUE"""),16.0)</f>
        <v>16</v>
      </c>
      <c r="BD199" s="3">
        <f>IFERROR(__xludf.DUMMYFUNCTION("""COMPUTED_VALUE"""),32.0)</f>
        <v>32</v>
      </c>
      <c r="BE199" s="3">
        <f>IFERROR(__xludf.DUMMYFUNCTION("""COMPUTED_VALUE"""),44.0)</f>
        <v>44</v>
      </c>
      <c r="BF199" s="3">
        <f>IFERROR(__xludf.DUMMYFUNCTION("""COMPUTED_VALUE"""),54.0)</f>
        <v>54</v>
      </c>
      <c r="BG199" s="3">
        <f>IFERROR(__xludf.DUMMYFUNCTION("""COMPUTED_VALUE"""),63.0)</f>
        <v>63</v>
      </c>
      <c r="BH199" s="3">
        <f>IFERROR(__xludf.DUMMYFUNCTION("""COMPUTED_VALUE"""),72.0)</f>
        <v>72</v>
      </c>
      <c r="BI199" s="3">
        <f>IFERROR(__xludf.DUMMYFUNCTION("""COMPUTED_VALUE"""),105.0)</f>
        <v>105</v>
      </c>
      <c r="BJ199" s="3">
        <f>IFERROR(__xludf.DUMMYFUNCTION("""COMPUTED_VALUE"""),123.0)</f>
        <v>123</v>
      </c>
      <c r="BK199" s="3">
        <f>IFERROR(__xludf.DUMMYFUNCTION("""COMPUTED_VALUE"""),137.0)</f>
        <v>137</v>
      </c>
      <c r="BL199" s="3">
        <f>IFERROR(__xludf.DUMMYFUNCTION("""COMPUTED_VALUE"""),178.0)</f>
        <v>178</v>
      </c>
      <c r="BM199" s="3">
        <f>IFERROR(__xludf.DUMMYFUNCTION("""COMPUTED_VALUE"""),185.0)</f>
        <v>185</v>
      </c>
      <c r="BN199" s="3">
        <f>IFERROR(__xludf.DUMMYFUNCTION("""COMPUTED_VALUE"""),186.0)</f>
        <v>186</v>
      </c>
      <c r="BO199" s="3">
        <f>IFERROR(__xludf.DUMMYFUNCTION("""COMPUTED_VALUE"""),204.0)</f>
        <v>204</v>
      </c>
      <c r="BP199" s="3">
        <f>IFERROR(__xludf.DUMMYFUNCTION("""COMPUTED_VALUE"""),216.0)</f>
        <v>216</v>
      </c>
      <c r="BQ199" s="3">
        <f>IFERROR(__xludf.DUMMYFUNCTION("""COMPUTED_VALUE"""),226.0)</f>
        <v>226</v>
      </c>
      <c r="BR199" s="3">
        <f>IFERROR(__xludf.DUMMYFUNCTION("""COMPUTED_VALUE"""),269.0)</f>
        <v>269</v>
      </c>
      <c r="BS199" s="3">
        <f>IFERROR(__xludf.DUMMYFUNCTION("""COMPUTED_VALUE"""),292.0)</f>
        <v>292</v>
      </c>
      <c r="BT199" s="3">
        <f>IFERROR(__xludf.DUMMYFUNCTION("""COMPUTED_VALUE"""),314.0)</f>
        <v>314</v>
      </c>
      <c r="BU199" s="3">
        <f>IFERROR(__xludf.DUMMYFUNCTION("""COMPUTED_VALUE"""),336.0)</f>
        <v>336</v>
      </c>
      <c r="BV199" s="3">
        <f>IFERROR(__xludf.DUMMYFUNCTION("""COMPUTED_VALUE"""),363.0)</f>
        <v>363</v>
      </c>
      <c r="BW199" s="3">
        <f>IFERROR(__xludf.DUMMYFUNCTION("""COMPUTED_VALUE"""),400.0)</f>
        <v>400</v>
      </c>
      <c r="BX199" s="3">
        <f>IFERROR(__xludf.DUMMYFUNCTION("""COMPUTED_VALUE"""),426.0)</f>
        <v>426</v>
      </c>
      <c r="BY199" s="3">
        <f>IFERROR(__xludf.DUMMYFUNCTION("""COMPUTED_VALUE"""),450.0)</f>
        <v>450</v>
      </c>
      <c r="BZ199" s="3">
        <f>IFERROR(__xludf.DUMMYFUNCTION("""COMPUTED_VALUE"""),471.0)</f>
        <v>471</v>
      </c>
      <c r="CA199" s="3">
        <f>IFERROR(__xludf.DUMMYFUNCTION("""COMPUTED_VALUE"""),485.0)</f>
        <v>485</v>
      </c>
      <c r="CB199" s="3">
        <f>IFERROR(__xludf.DUMMYFUNCTION("""COMPUTED_VALUE"""),534.0)</f>
        <v>534</v>
      </c>
    </row>
    <row r="200">
      <c r="A200" s="3" t="str">
        <f>IFERROR(__xludf.DUMMYFUNCTION("""COMPUTED_VALUE"""),"")</f>
        <v/>
      </c>
      <c r="B200" s="3" t="str">
        <f>IFERROR(__xludf.DUMMYFUNCTION("""COMPUTED_VALUE"""),"Slovenia")</f>
        <v>Slovenia</v>
      </c>
      <c r="C200" s="3">
        <f>IFERROR(__xludf.DUMMYFUNCTION("""COMPUTED_VALUE"""),46.1512)</f>
        <v>46.1512</v>
      </c>
      <c r="D200" s="3">
        <f>IFERROR(__xludf.DUMMYFUNCTION("""COMPUTED_VALUE"""),14.9955)</f>
        <v>14.9955</v>
      </c>
      <c r="E200" s="3">
        <f>IFERROR(__xludf.DUMMYFUNCTION("""COMPUTED_VALUE"""),0.0)</f>
        <v>0</v>
      </c>
      <c r="F200" s="3">
        <f>IFERROR(__xludf.DUMMYFUNCTION("""COMPUTED_VALUE"""),0.0)</f>
        <v>0</v>
      </c>
      <c r="G200" s="3">
        <f>IFERROR(__xludf.DUMMYFUNCTION("""COMPUTED_VALUE"""),0.0)</f>
        <v>0</v>
      </c>
      <c r="H200" s="3">
        <f>IFERROR(__xludf.DUMMYFUNCTION("""COMPUTED_VALUE"""),0.0)</f>
        <v>0</v>
      </c>
      <c r="I200" s="3">
        <f>IFERROR(__xludf.DUMMYFUNCTION("""COMPUTED_VALUE"""),0.0)</f>
        <v>0</v>
      </c>
      <c r="J200" s="3">
        <f>IFERROR(__xludf.DUMMYFUNCTION("""COMPUTED_VALUE"""),0.0)</f>
        <v>0</v>
      </c>
      <c r="K200" s="3">
        <f>IFERROR(__xludf.DUMMYFUNCTION("""COMPUTED_VALUE"""),0.0)</f>
        <v>0</v>
      </c>
      <c r="L200" s="3">
        <f>IFERROR(__xludf.DUMMYFUNCTION("""COMPUTED_VALUE"""),0.0)</f>
        <v>0</v>
      </c>
      <c r="M200" s="3">
        <f>IFERROR(__xludf.DUMMYFUNCTION("""COMPUTED_VALUE"""),0.0)</f>
        <v>0</v>
      </c>
      <c r="N200" s="3">
        <f>IFERROR(__xludf.DUMMYFUNCTION("""COMPUTED_VALUE"""),0.0)</f>
        <v>0</v>
      </c>
      <c r="O200" s="3">
        <f>IFERROR(__xludf.DUMMYFUNCTION("""COMPUTED_VALUE"""),0.0)</f>
        <v>0</v>
      </c>
      <c r="P200" s="3">
        <f>IFERROR(__xludf.DUMMYFUNCTION("""COMPUTED_VALUE"""),0.0)</f>
        <v>0</v>
      </c>
      <c r="Q200" s="3">
        <f>IFERROR(__xludf.DUMMYFUNCTION("""COMPUTED_VALUE"""),0.0)</f>
        <v>0</v>
      </c>
      <c r="R200" s="3">
        <f>IFERROR(__xludf.DUMMYFUNCTION("""COMPUTED_VALUE"""),0.0)</f>
        <v>0</v>
      </c>
      <c r="S200" s="3">
        <f>IFERROR(__xludf.DUMMYFUNCTION("""COMPUTED_VALUE"""),0.0)</f>
        <v>0</v>
      </c>
      <c r="T200" s="3">
        <f>IFERROR(__xludf.DUMMYFUNCTION("""COMPUTED_VALUE"""),0.0)</f>
        <v>0</v>
      </c>
      <c r="U200" s="3">
        <f>IFERROR(__xludf.DUMMYFUNCTION("""COMPUTED_VALUE"""),0.0)</f>
        <v>0</v>
      </c>
      <c r="V200" s="3">
        <f>IFERROR(__xludf.DUMMYFUNCTION("""COMPUTED_VALUE"""),0.0)</f>
        <v>0</v>
      </c>
      <c r="W200" s="3">
        <f>IFERROR(__xludf.DUMMYFUNCTION("""COMPUTED_VALUE"""),0.0)</f>
        <v>0</v>
      </c>
      <c r="X200" s="3">
        <f>IFERROR(__xludf.DUMMYFUNCTION("""COMPUTED_VALUE"""),0.0)</f>
        <v>0</v>
      </c>
      <c r="Y200" s="3">
        <f>IFERROR(__xludf.DUMMYFUNCTION("""COMPUTED_VALUE"""),0.0)</f>
        <v>0</v>
      </c>
      <c r="Z200" s="3">
        <f>IFERROR(__xludf.DUMMYFUNCTION("""COMPUTED_VALUE"""),0.0)</f>
        <v>0</v>
      </c>
      <c r="AA200" s="3">
        <f>IFERROR(__xludf.DUMMYFUNCTION("""COMPUTED_VALUE"""),0.0)</f>
        <v>0</v>
      </c>
      <c r="AB200" s="3">
        <f>IFERROR(__xludf.DUMMYFUNCTION("""COMPUTED_VALUE"""),0.0)</f>
        <v>0</v>
      </c>
      <c r="AC200" s="3">
        <f>IFERROR(__xludf.DUMMYFUNCTION("""COMPUTED_VALUE"""),0.0)</f>
        <v>0</v>
      </c>
      <c r="AD200" s="3">
        <f>IFERROR(__xludf.DUMMYFUNCTION("""COMPUTED_VALUE"""),0.0)</f>
        <v>0</v>
      </c>
      <c r="AE200" s="3">
        <f>IFERROR(__xludf.DUMMYFUNCTION("""COMPUTED_VALUE"""),0.0)</f>
        <v>0</v>
      </c>
      <c r="AF200" s="3">
        <f>IFERROR(__xludf.DUMMYFUNCTION("""COMPUTED_VALUE"""),0.0)</f>
        <v>0</v>
      </c>
      <c r="AG200" s="3">
        <f>IFERROR(__xludf.DUMMYFUNCTION("""COMPUTED_VALUE"""),0.0)</f>
        <v>0</v>
      </c>
      <c r="AH200" s="3">
        <f>IFERROR(__xludf.DUMMYFUNCTION("""COMPUTED_VALUE"""),0.0)</f>
        <v>0</v>
      </c>
      <c r="AI200" s="3">
        <f>IFERROR(__xludf.DUMMYFUNCTION("""COMPUTED_VALUE"""),0.0)</f>
        <v>0</v>
      </c>
      <c r="AJ200" s="3">
        <f>IFERROR(__xludf.DUMMYFUNCTION("""COMPUTED_VALUE"""),0.0)</f>
        <v>0</v>
      </c>
      <c r="AK200" s="3">
        <f>IFERROR(__xludf.DUMMYFUNCTION("""COMPUTED_VALUE"""),0.0)</f>
        <v>0</v>
      </c>
      <c r="AL200" s="3">
        <f>IFERROR(__xludf.DUMMYFUNCTION("""COMPUTED_VALUE"""),0.0)</f>
        <v>0</v>
      </c>
      <c r="AM200" s="3">
        <f>IFERROR(__xludf.DUMMYFUNCTION("""COMPUTED_VALUE"""),0.0)</f>
        <v>0</v>
      </c>
      <c r="AN200" s="3">
        <f>IFERROR(__xludf.DUMMYFUNCTION("""COMPUTED_VALUE"""),0.0)</f>
        <v>0</v>
      </c>
      <c r="AO200" s="3">
        <f>IFERROR(__xludf.DUMMYFUNCTION("""COMPUTED_VALUE"""),0.0)</f>
        <v>0</v>
      </c>
      <c r="AP200" s="3">
        <f>IFERROR(__xludf.DUMMYFUNCTION("""COMPUTED_VALUE"""),0.0)</f>
        <v>0</v>
      </c>
      <c r="AQ200" s="3">
        <f>IFERROR(__xludf.DUMMYFUNCTION("""COMPUTED_VALUE"""),0.0)</f>
        <v>0</v>
      </c>
      <c r="AR200" s="3">
        <f>IFERROR(__xludf.DUMMYFUNCTION("""COMPUTED_VALUE"""),0.0)</f>
        <v>0</v>
      </c>
      <c r="AS200" s="3">
        <f>IFERROR(__xludf.DUMMYFUNCTION("""COMPUTED_VALUE"""),0.0)</f>
        <v>0</v>
      </c>
      <c r="AT200" s="3">
        <f>IFERROR(__xludf.DUMMYFUNCTION("""COMPUTED_VALUE"""),0.0)</f>
        <v>0</v>
      </c>
      <c r="AU200" s="3">
        <f>IFERROR(__xludf.DUMMYFUNCTION("""COMPUTED_VALUE"""),0.0)</f>
        <v>0</v>
      </c>
      <c r="AV200" s="3">
        <f>IFERROR(__xludf.DUMMYFUNCTION("""COMPUTED_VALUE"""),2.0)</f>
        <v>2</v>
      </c>
      <c r="AW200" s="3">
        <f>IFERROR(__xludf.DUMMYFUNCTION("""COMPUTED_VALUE"""),7.0)</f>
        <v>7</v>
      </c>
      <c r="AX200" s="3">
        <f>IFERROR(__xludf.DUMMYFUNCTION("""COMPUTED_VALUE"""),7.0)</f>
        <v>7</v>
      </c>
      <c r="AY200" s="3">
        <f>IFERROR(__xludf.DUMMYFUNCTION("""COMPUTED_VALUE"""),16.0)</f>
        <v>16</v>
      </c>
      <c r="AZ200" s="3">
        <f>IFERROR(__xludf.DUMMYFUNCTION("""COMPUTED_VALUE"""),16.0)</f>
        <v>16</v>
      </c>
      <c r="BA200" s="3">
        <f>IFERROR(__xludf.DUMMYFUNCTION("""COMPUTED_VALUE"""),31.0)</f>
        <v>31</v>
      </c>
      <c r="BB200" s="3">
        <f>IFERROR(__xludf.DUMMYFUNCTION("""COMPUTED_VALUE"""),57.0)</f>
        <v>57</v>
      </c>
      <c r="BC200" s="3">
        <f>IFERROR(__xludf.DUMMYFUNCTION("""COMPUTED_VALUE"""),89.0)</f>
        <v>89</v>
      </c>
      <c r="BD200" s="3">
        <f>IFERROR(__xludf.DUMMYFUNCTION("""COMPUTED_VALUE"""),141.0)</f>
        <v>141</v>
      </c>
      <c r="BE200" s="3">
        <f>IFERROR(__xludf.DUMMYFUNCTION("""COMPUTED_VALUE"""),181.0)</f>
        <v>181</v>
      </c>
      <c r="BF200" s="3">
        <f>IFERROR(__xludf.DUMMYFUNCTION("""COMPUTED_VALUE"""),219.0)</f>
        <v>219</v>
      </c>
      <c r="BG200" s="3">
        <f>IFERROR(__xludf.DUMMYFUNCTION("""COMPUTED_VALUE"""),253.0)</f>
        <v>253</v>
      </c>
      <c r="BH200" s="3">
        <f>IFERROR(__xludf.DUMMYFUNCTION("""COMPUTED_VALUE"""),275.0)</f>
        <v>275</v>
      </c>
      <c r="BI200" s="3">
        <f>IFERROR(__xludf.DUMMYFUNCTION("""COMPUTED_VALUE"""),275.0)</f>
        <v>275</v>
      </c>
      <c r="BJ200" s="3">
        <f>IFERROR(__xludf.DUMMYFUNCTION("""COMPUTED_VALUE"""),286.0)</f>
        <v>286</v>
      </c>
      <c r="BK200" s="3">
        <f>IFERROR(__xludf.DUMMYFUNCTION("""COMPUTED_VALUE"""),341.0)</f>
        <v>341</v>
      </c>
      <c r="BL200" s="3">
        <f>IFERROR(__xludf.DUMMYFUNCTION("""COMPUTED_VALUE"""),383.0)</f>
        <v>383</v>
      </c>
      <c r="BM200" s="3">
        <f>IFERROR(__xludf.DUMMYFUNCTION("""COMPUTED_VALUE"""),414.0)</f>
        <v>414</v>
      </c>
      <c r="BN200" s="3">
        <f>IFERROR(__xludf.DUMMYFUNCTION("""COMPUTED_VALUE"""),442.0)</f>
        <v>442</v>
      </c>
      <c r="BO200" s="3">
        <f>IFERROR(__xludf.DUMMYFUNCTION("""COMPUTED_VALUE"""),480.0)</f>
        <v>480</v>
      </c>
      <c r="BP200" s="3">
        <f>IFERROR(__xludf.DUMMYFUNCTION("""COMPUTED_VALUE"""),528.0)</f>
        <v>528</v>
      </c>
      <c r="BQ200" s="3">
        <f>IFERROR(__xludf.DUMMYFUNCTION("""COMPUTED_VALUE"""),562.0)</f>
        <v>562</v>
      </c>
      <c r="BR200" s="3">
        <f>IFERROR(__xludf.DUMMYFUNCTION("""COMPUTED_VALUE"""),632.0)</f>
        <v>632</v>
      </c>
      <c r="BS200" s="3">
        <f>IFERROR(__xludf.DUMMYFUNCTION("""COMPUTED_VALUE"""),684.0)</f>
        <v>684</v>
      </c>
      <c r="BT200" s="3">
        <f>IFERROR(__xludf.DUMMYFUNCTION("""COMPUTED_VALUE"""),730.0)</f>
        <v>730</v>
      </c>
      <c r="BU200" s="3">
        <f>IFERROR(__xludf.DUMMYFUNCTION("""COMPUTED_VALUE"""),756.0)</f>
        <v>756</v>
      </c>
      <c r="BV200" s="3">
        <f>IFERROR(__xludf.DUMMYFUNCTION("""COMPUTED_VALUE"""),802.0)</f>
        <v>802</v>
      </c>
      <c r="BW200" s="3">
        <f>IFERROR(__xludf.DUMMYFUNCTION("""COMPUTED_VALUE"""),841.0)</f>
        <v>841</v>
      </c>
      <c r="BX200" s="3">
        <f>IFERROR(__xludf.DUMMYFUNCTION("""COMPUTED_VALUE"""),897.0)</f>
        <v>897</v>
      </c>
      <c r="BY200" s="3">
        <f>IFERROR(__xludf.DUMMYFUNCTION("""COMPUTED_VALUE"""),934.0)</f>
        <v>934</v>
      </c>
      <c r="BZ200" s="3">
        <f>IFERROR(__xludf.DUMMYFUNCTION("""COMPUTED_VALUE"""),977.0)</f>
        <v>977</v>
      </c>
      <c r="CA200" s="3">
        <f>IFERROR(__xludf.DUMMYFUNCTION("""COMPUTED_VALUE"""),997.0)</f>
        <v>997</v>
      </c>
      <c r="CB200" s="3">
        <f>IFERROR(__xludf.DUMMYFUNCTION("""COMPUTED_VALUE"""),1021.0)</f>
        <v>1021</v>
      </c>
    </row>
    <row r="201">
      <c r="A201" s="3" t="str">
        <f>IFERROR(__xludf.DUMMYFUNCTION("""COMPUTED_VALUE"""),"")</f>
        <v/>
      </c>
      <c r="B201" s="3" t="str">
        <f>IFERROR(__xludf.DUMMYFUNCTION("""COMPUTED_VALUE"""),"Somalia")</f>
        <v>Somalia</v>
      </c>
      <c r="C201" s="3">
        <f>IFERROR(__xludf.DUMMYFUNCTION("""COMPUTED_VALUE"""),5.1521)</f>
        <v>5.1521</v>
      </c>
      <c r="D201" s="3">
        <f>IFERROR(__xludf.DUMMYFUNCTION("""COMPUTED_VALUE"""),46.1996)</f>
        <v>46.1996</v>
      </c>
      <c r="E201" s="3">
        <f>IFERROR(__xludf.DUMMYFUNCTION("""COMPUTED_VALUE"""),0.0)</f>
        <v>0</v>
      </c>
      <c r="F201" s="3">
        <f>IFERROR(__xludf.DUMMYFUNCTION("""COMPUTED_VALUE"""),0.0)</f>
        <v>0</v>
      </c>
      <c r="G201" s="3">
        <f>IFERROR(__xludf.DUMMYFUNCTION("""COMPUTED_VALUE"""),0.0)</f>
        <v>0</v>
      </c>
      <c r="H201" s="3">
        <f>IFERROR(__xludf.DUMMYFUNCTION("""COMPUTED_VALUE"""),0.0)</f>
        <v>0</v>
      </c>
      <c r="I201" s="3">
        <f>IFERROR(__xludf.DUMMYFUNCTION("""COMPUTED_VALUE"""),0.0)</f>
        <v>0</v>
      </c>
      <c r="J201" s="3">
        <f>IFERROR(__xludf.DUMMYFUNCTION("""COMPUTED_VALUE"""),0.0)</f>
        <v>0</v>
      </c>
      <c r="K201" s="3">
        <f>IFERROR(__xludf.DUMMYFUNCTION("""COMPUTED_VALUE"""),0.0)</f>
        <v>0</v>
      </c>
      <c r="L201" s="3">
        <f>IFERROR(__xludf.DUMMYFUNCTION("""COMPUTED_VALUE"""),0.0)</f>
        <v>0</v>
      </c>
      <c r="M201" s="3">
        <f>IFERROR(__xludf.DUMMYFUNCTION("""COMPUTED_VALUE"""),0.0)</f>
        <v>0</v>
      </c>
      <c r="N201" s="3">
        <f>IFERROR(__xludf.DUMMYFUNCTION("""COMPUTED_VALUE"""),0.0)</f>
        <v>0</v>
      </c>
      <c r="O201" s="3">
        <f>IFERROR(__xludf.DUMMYFUNCTION("""COMPUTED_VALUE"""),0.0)</f>
        <v>0</v>
      </c>
      <c r="P201" s="3">
        <f>IFERROR(__xludf.DUMMYFUNCTION("""COMPUTED_VALUE"""),0.0)</f>
        <v>0</v>
      </c>
      <c r="Q201" s="3">
        <f>IFERROR(__xludf.DUMMYFUNCTION("""COMPUTED_VALUE"""),0.0)</f>
        <v>0</v>
      </c>
      <c r="R201" s="3">
        <f>IFERROR(__xludf.DUMMYFUNCTION("""COMPUTED_VALUE"""),0.0)</f>
        <v>0</v>
      </c>
      <c r="S201" s="3">
        <f>IFERROR(__xludf.DUMMYFUNCTION("""COMPUTED_VALUE"""),0.0)</f>
        <v>0</v>
      </c>
      <c r="T201" s="3">
        <f>IFERROR(__xludf.DUMMYFUNCTION("""COMPUTED_VALUE"""),0.0)</f>
        <v>0</v>
      </c>
      <c r="U201" s="3">
        <f>IFERROR(__xludf.DUMMYFUNCTION("""COMPUTED_VALUE"""),0.0)</f>
        <v>0</v>
      </c>
      <c r="V201" s="3">
        <f>IFERROR(__xludf.DUMMYFUNCTION("""COMPUTED_VALUE"""),0.0)</f>
        <v>0</v>
      </c>
      <c r="W201" s="3">
        <f>IFERROR(__xludf.DUMMYFUNCTION("""COMPUTED_VALUE"""),0.0)</f>
        <v>0</v>
      </c>
      <c r="X201" s="3">
        <f>IFERROR(__xludf.DUMMYFUNCTION("""COMPUTED_VALUE"""),0.0)</f>
        <v>0</v>
      </c>
      <c r="Y201" s="3">
        <f>IFERROR(__xludf.DUMMYFUNCTION("""COMPUTED_VALUE"""),0.0)</f>
        <v>0</v>
      </c>
      <c r="Z201" s="3">
        <f>IFERROR(__xludf.DUMMYFUNCTION("""COMPUTED_VALUE"""),0.0)</f>
        <v>0</v>
      </c>
      <c r="AA201" s="3">
        <f>IFERROR(__xludf.DUMMYFUNCTION("""COMPUTED_VALUE"""),0.0)</f>
        <v>0</v>
      </c>
      <c r="AB201" s="3">
        <f>IFERROR(__xludf.DUMMYFUNCTION("""COMPUTED_VALUE"""),0.0)</f>
        <v>0</v>
      </c>
      <c r="AC201" s="3">
        <f>IFERROR(__xludf.DUMMYFUNCTION("""COMPUTED_VALUE"""),0.0)</f>
        <v>0</v>
      </c>
      <c r="AD201" s="3">
        <f>IFERROR(__xludf.DUMMYFUNCTION("""COMPUTED_VALUE"""),0.0)</f>
        <v>0</v>
      </c>
      <c r="AE201" s="3">
        <f>IFERROR(__xludf.DUMMYFUNCTION("""COMPUTED_VALUE"""),0.0)</f>
        <v>0</v>
      </c>
      <c r="AF201" s="3">
        <f>IFERROR(__xludf.DUMMYFUNCTION("""COMPUTED_VALUE"""),0.0)</f>
        <v>0</v>
      </c>
      <c r="AG201" s="3">
        <f>IFERROR(__xludf.DUMMYFUNCTION("""COMPUTED_VALUE"""),0.0)</f>
        <v>0</v>
      </c>
      <c r="AH201" s="3">
        <f>IFERROR(__xludf.DUMMYFUNCTION("""COMPUTED_VALUE"""),0.0)</f>
        <v>0</v>
      </c>
      <c r="AI201" s="3">
        <f>IFERROR(__xludf.DUMMYFUNCTION("""COMPUTED_VALUE"""),0.0)</f>
        <v>0</v>
      </c>
      <c r="AJ201" s="3">
        <f>IFERROR(__xludf.DUMMYFUNCTION("""COMPUTED_VALUE"""),0.0)</f>
        <v>0</v>
      </c>
      <c r="AK201" s="3">
        <f>IFERROR(__xludf.DUMMYFUNCTION("""COMPUTED_VALUE"""),0.0)</f>
        <v>0</v>
      </c>
      <c r="AL201" s="3">
        <f>IFERROR(__xludf.DUMMYFUNCTION("""COMPUTED_VALUE"""),0.0)</f>
        <v>0</v>
      </c>
      <c r="AM201" s="3">
        <f>IFERROR(__xludf.DUMMYFUNCTION("""COMPUTED_VALUE"""),0.0)</f>
        <v>0</v>
      </c>
      <c r="AN201" s="3">
        <f>IFERROR(__xludf.DUMMYFUNCTION("""COMPUTED_VALUE"""),0.0)</f>
        <v>0</v>
      </c>
      <c r="AO201" s="3">
        <f>IFERROR(__xludf.DUMMYFUNCTION("""COMPUTED_VALUE"""),0.0)</f>
        <v>0</v>
      </c>
      <c r="AP201" s="3">
        <f>IFERROR(__xludf.DUMMYFUNCTION("""COMPUTED_VALUE"""),0.0)</f>
        <v>0</v>
      </c>
      <c r="AQ201" s="3">
        <f>IFERROR(__xludf.DUMMYFUNCTION("""COMPUTED_VALUE"""),0.0)</f>
        <v>0</v>
      </c>
      <c r="AR201" s="3">
        <f>IFERROR(__xludf.DUMMYFUNCTION("""COMPUTED_VALUE"""),0.0)</f>
        <v>0</v>
      </c>
      <c r="AS201" s="3">
        <f>IFERROR(__xludf.DUMMYFUNCTION("""COMPUTED_VALUE"""),0.0)</f>
        <v>0</v>
      </c>
      <c r="AT201" s="3">
        <f>IFERROR(__xludf.DUMMYFUNCTION("""COMPUTED_VALUE"""),0.0)</f>
        <v>0</v>
      </c>
      <c r="AU201" s="3">
        <f>IFERROR(__xludf.DUMMYFUNCTION("""COMPUTED_VALUE"""),0.0)</f>
        <v>0</v>
      </c>
      <c r="AV201" s="3">
        <f>IFERROR(__xludf.DUMMYFUNCTION("""COMPUTED_VALUE"""),0.0)</f>
        <v>0</v>
      </c>
      <c r="AW201" s="3">
        <f>IFERROR(__xludf.DUMMYFUNCTION("""COMPUTED_VALUE"""),0.0)</f>
        <v>0</v>
      </c>
      <c r="AX201" s="3">
        <f>IFERROR(__xludf.DUMMYFUNCTION("""COMPUTED_VALUE"""),0.0)</f>
        <v>0</v>
      </c>
      <c r="AY201" s="3">
        <f>IFERROR(__xludf.DUMMYFUNCTION("""COMPUTED_VALUE"""),0.0)</f>
        <v>0</v>
      </c>
      <c r="AZ201" s="3">
        <f>IFERROR(__xludf.DUMMYFUNCTION("""COMPUTED_VALUE"""),0.0)</f>
        <v>0</v>
      </c>
      <c r="BA201" s="3">
        <f>IFERROR(__xludf.DUMMYFUNCTION("""COMPUTED_VALUE"""),0.0)</f>
        <v>0</v>
      </c>
      <c r="BB201" s="3">
        <f>IFERROR(__xludf.DUMMYFUNCTION("""COMPUTED_VALUE"""),0.0)</f>
        <v>0</v>
      </c>
      <c r="BC201" s="3">
        <f>IFERROR(__xludf.DUMMYFUNCTION("""COMPUTED_VALUE"""),0.0)</f>
        <v>0</v>
      </c>
      <c r="BD201" s="3">
        <f>IFERROR(__xludf.DUMMYFUNCTION("""COMPUTED_VALUE"""),0.0)</f>
        <v>0</v>
      </c>
      <c r="BE201" s="3">
        <f>IFERROR(__xludf.DUMMYFUNCTION("""COMPUTED_VALUE"""),0.0)</f>
        <v>0</v>
      </c>
      <c r="BF201" s="3">
        <f>IFERROR(__xludf.DUMMYFUNCTION("""COMPUTED_VALUE"""),0.0)</f>
        <v>0</v>
      </c>
      <c r="BG201" s="3">
        <f>IFERROR(__xludf.DUMMYFUNCTION("""COMPUTED_VALUE"""),1.0)</f>
        <v>1</v>
      </c>
      <c r="BH201" s="3">
        <f>IFERROR(__xludf.DUMMYFUNCTION("""COMPUTED_VALUE"""),1.0)</f>
        <v>1</v>
      </c>
      <c r="BI201" s="3">
        <f>IFERROR(__xludf.DUMMYFUNCTION("""COMPUTED_VALUE"""),1.0)</f>
        <v>1</v>
      </c>
      <c r="BJ201" s="3">
        <f>IFERROR(__xludf.DUMMYFUNCTION("""COMPUTED_VALUE"""),1.0)</f>
        <v>1</v>
      </c>
      <c r="BK201" s="3">
        <f>IFERROR(__xludf.DUMMYFUNCTION("""COMPUTED_VALUE"""),1.0)</f>
        <v>1</v>
      </c>
      <c r="BL201" s="3">
        <f>IFERROR(__xludf.DUMMYFUNCTION("""COMPUTED_VALUE"""),1.0)</f>
        <v>1</v>
      </c>
      <c r="BM201" s="3">
        <f>IFERROR(__xludf.DUMMYFUNCTION("""COMPUTED_VALUE"""),1.0)</f>
        <v>1</v>
      </c>
      <c r="BN201" s="3">
        <f>IFERROR(__xludf.DUMMYFUNCTION("""COMPUTED_VALUE"""),1.0)</f>
        <v>1</v>
      </c>
      <c r="BO201" s="3">
        <f>IFERROR(__xludf.DUMMYFUNCTION("""COMPUTED_VALUE"""),1.0)</f>
        <v>1</v>
      </c>
      <c r="BP201" s="3">
        <f>IFERROR(__xludf.DUMMYFUNCTION("""COMPUTED_VALUE"""),1.0)</f>
        <v>1</v>
      </c>
      <c r="BQ201" s="3">
        <f>IFERROR(__xludf.DUMMYFUNCTION("""COMPUTED_VALUE"""),2.0)</f>
        <v>2</v>
      </c>
      <c r="BR201" s="3">
        <f>IFERROR(__xludf.DUMMYFUNCTION("""COMPUTED_VALUE"""),3.0)</f>
        <v>3</v>
      </c>
      <c r="BS201" s="3">
        <f>IFERROR(__xludf.DUMMYFUNCTION("""COMPUTED_VALUE"""),3.0)</f>
        <v>3</v>
      </c>
      <c r="BT201" s="3">
        <f>IFERROR(__xludf.DUMMYFUNCTION("""COMPUTED_VALUE"""),3.0)</f>
        <v>3</v>
      </c>
      <c r="BU201" s="3">
        <f>IFERROR(__xludf.DUMMYFUNCTION("""COMPUTED_VALUE"""),3.0)</f>
        <v>3</v>
      </c>
      <c r="BV201" s="3">
        <f>IFERROR(__xludf.DUMMYFUNCTION("""COMPUTED_VALUE"""),5.0)</f>
        <v>5</v>
      </c>
      <c r="BW201" s="3">
        <f>IFERROR(__xludf.DUMMYFUNCTION("""COMPUTED_VALUE"""),5.0)</f>
        <v>5</v>
      </c>
      <c r="BX201" s="3">
        <f>IFERROR(__xludf.DUMMYFUNCTION("""COMPUTED_VALUE"""),5.0)</f>
        <v>5</v>
      </c>
      <c r="BY201" s="3">
        <f>IFERROR(__xludf.DUMMYFUNCTION("""COMPUTED_VALUE"""),7.0)</f>
        <v>7</v>
      </c>
      <c r="BZ201" s="3">
        <f>IFERROR(__xludf.DUMMYFUNCTION("""COMPUTED_VALUE"""),7.0)</f>
        <v>7</v>
      </c>
      <c r="CA201" s="3">
        <f>IFERROR(__xludf.DUMMYFUNCTION("""COMPUTED_VALUE"""),7.0)</f>
        <v>7</v>
      </c>
      <c r="CB201" s="3">
        <f>IFERROR(__xludf.DUMMYFUNCTION("""COMPUTED_VALUE"""),7.0)</f>
        <v>7</v>
      </c>
    </row>
    <row r="202">
      <c r="A202" s="3" t="str">
        <f>IFERROR(__xludf.DUMMYFUNCTION("""COMPUTED_VALUE"""),"")</f>
        <v/>
      </c>
      <c r="B202" s="3" t="str">
        <f>IFERROR(__xludf.DUMMYFUNCTION("""COMPUTED_VALUE"""),"South Africa")</f>
        <v>South Africa</v>
      </c>
      <c r="C202" s="3">
        <f>IFERROR(__xludf.DUMMYFUNCTION("""COMPUTED_VALUE"""),-30.5595)</f>
        <v>-30.5595</v>
      </c>
      <c r="D202" s="3">
        <f>IFERROR(__xludf.DUMMYFUNCTION("""COMPUTED_VALUE"""),22.9375)</f>
        <v>22.9375</v>
      </c>
      <c r="E202" s="3">
        <f>IFERROR(__xludf.DUMMYFUNCTION("""COMPUTED_VALUE"""),0.0)</f>
        <v>0</v>
      </c>
      <c r="F202" s="3">
        <f>IFERROR(__xludf.DUMMYFUNCTION("""COMPUTED_VALUE"""),0.0)</f>
        <v>0</v>
      </c>
      <c r="G202" s="3">
        <f>IFERROR(__xludf.DUMMYFUNCTION("""COMPUTED_VALUE"""),0.0)</f>
        <v>0</v>
      </c>
      <c r="H202" s="3">
        <f>IFERROR(__xludf.DUMMYFUNCTION("""COMPUTED_VALUE"""),0.0)</f>
        <v>0</v>
      </c>
      <c r="I202" s="3">
        <f>IFERROR(__xludf.DUMMYFUNCTION("""COMPUTED_VALUE"""),0.0)</f>
        <v>0</v>
      </c>
      <c r="J202" s="3">
        <f>IFERROR(__xludf.DUMMYFUNCTION("""COMPUTED_VALUE"""),0.0)</f>
        <v>0</v>
      </c>
      <c r="K202" s="3">
        <f>IFERROR(__xludf.DUMMYFUNCTION("""COMPUTED_VALUE"""),0.0)</f>
        <v>0</v>
      </c>
      <c r="L202" s="3">
        <f>IFERROR(__xludf.DUMMYFUNCTION("""COMPUTED_VALUE"""),0.0)</f>
        <v>0</v>
      </c>
      <c r="M202" s="3">
        <f>IFERROR(__xludf.DUMMYFUNCTION("""COMPUTED_VALUE"""),0.0)</f>
        <v>0</v>
      </c>
      <c r="N202" s="3">
        <f>IFERROR(__xludf.DUMMYFUNCTION("""COMPUTED_VALUE"""),0.0)</f>
        <v>0</v>
      </c>
      <c r="O202" s="3">
        <f>IFERROR(__xludf.DUMMYFUNCTION("""COMPUTED_VALUE"""),0.0)</f>
        <v>0</v>
      </c>
      <c r="P202" s="3">
        <f>IFERROR(__xludf.DUMMYFUNCTION("""COMPUTED_VALUE"""),0.0)</f>
        <v>0</v>
      </c>
      <c r="Q202" s="3">
        <f>IFERROR(__xludf.DUMMYFUNCTION("""COMPUTED_VALUE"""),0.0)</f>
        <v>0</v>
      </c>
      <c r="R202" s="3">
        <f>IFERROR(__xludf.DUMMYFUNCTION("""COMPUTED_VALUE"""),0.0)</f>
        <v>0</v>
      </c>
      <c r="S202" s="3">
        <f>IFERROR(__xludf.DUMMYFUNCTION("""COMPUTED_VALUE"""),0.0)</f>
        <v>0</v>
      </c>
      <c r="T202" s="3">
        <f>IFERROR(__xludf.DUMMYFUNCTION("""COMPUTED_VALUE"""),0.0)</f>
        <v>0</v>
      </c>
      <c r="U202" s="3">
        <f>IFERROR(__xludf.DUMMYFUNCTION("""COMPUTED_VALUE"""),0.0)</f>
        <v>0</v>
      </c>
      <c r="V202" s="3">
        <f>IFERROR(__xludf.DUMMYFUNCTION("""COMPUTED_VALUE"""),0.0)</f>
        <v>0</v>
      </c>
      <c r="W202" s="3">
        <f>IFERROR(__xludf.DUMMYFUNCTION("""COMPUTED_VALUE"""),0.0)</f>
        <v>0</v>
      </c>
      <c r="X202" s="3">
        <f>IFERROR(__xludf.DUMMYFUNCTION("""COMPUTED_VALUE"""),0.0)</f>
        <v>0</v>
      </c>
      <c r="Y202" s="3">
        <f>IFERROR(__xludf.DUMMYFUNCTION("""COMPUTED_VALUE"""),0.0)</f>
        <v>0</v>
      </c>
      <c r="Z202" s="3">
        <f>IFERROR(__xludf.DUMMYFUNCTION("""COMPUTED_VALUE"""),0.0)</f>
        <v>0</v>
      </c>
      <c r="AA202" s="3">
        <f>IFERROR(__xludf.DUMMYFUNCTION("""COMPUTED_VALUE"""),0.0)</f>
        <v>0</v>
      </c>
      <c r="AB202" s="3">
        <f>IFERROR(__xludf.DUMMYFUNCTION("""COMPUTED_VALUE"""),0.0)</f>
        <v>0</v>
      </c>
      <c r="AC202" s="3">
        <f>IFERROR(__xludf.DUMMYFUNCTION("""COMPUTED_VALUE"""),0.0)</f>
        <v>0</v>
      </c>
      <c r="AD202" s="3">
        <f>IFERROR(__xludf.DUMMYFUNCTION("""COMPUTED_VALUE"""),0.0)</f>
        <v>0</v>
      </c>
      <c r="AE202" s="3">
        <f>IFERROR(__xludf.DUMMYFUNCTION("""COMPUTED_VALUE"""),0.0)</f>
        <v>0</v>
      </c>
      <c r="AF202" s="3">
        <f>IFERROR(__xludf.DUMMYFUNCTION("""COMPUTED_VALUE"""),0.0)</f>
        <v>0</v>
      </c>
      <c r="AG202" s="3">
        <f>IFERROR(__xludf.DUMMYFUNCTION("""COMPUTED_VALUE"""),0.0)</f>
        <v>0</v>
      </c>
      <c r="AH202" s="3">
        <f>IFERROR(__xludf.DUMMYFUNCTION("""COMPUTED_VALUE"""),0.0)</f>
        <v>0</v>
      </c>
      <c r="AI202" s="3">
        <f>IFERROR(__xludf.DUMMYFUNCTION("""COMPUTED_VALUE"""),0.0)</f>
        <v>0</v>
      </c>
      <c r="AJ202" s="3">
        <f>IFERROR(__xludf.DUMMYFUNCTION("""COMPUTED_VALUE"""),0.0)</f>
        <v>0</v>
      </c>
      <c r="AK202" s="3">
        <f>IFERROR(__xludf.DUMMYFUNCTION("""COMPUTED_VALUE"""),0.0)</f>
        <v>0</v>
      </c>
      <c r="AL202" s="3">
        <f>IFERROR(__xludf.DUMMYFUNCTION("""COMPUTED_VALUE"""),0.0)</f>
        <v>0</v>
      </c>
      <c r="AM202" s="3">
        <f>IFERROR(__xludf.DUMMYFUNCTION("""COMPUTED_VALUE"""),0.0)</f>
        <v>0</v>
      </c>
      <c r="AN202" s="3">
        <f>IFERROR(__xludf.DUMMYFUNCTION("""COMPUTED_VALUE"""),0.0)</f>
        <v>0</v>
      </c>
      <c r="AO202" s="3">
        <f>IFERROR(__xludf.DUMMYFUNCTION("""COMPUTED_VALUE"""),0.0)</f>
        <v>0</v>
      </c>
      <c r="AP202" s="3">
        <f>IFERROR(__xludf.DUMMYFUNCTION("""COMPUTED_VALUE"""),0.0)</f>
        <v>0</v>
      </c>
      <c r="AQ202" s="3">
        <f>IFERROR(__xludf.DUMMYFUNCTION("""COMPUTED_VALUE"""),0.0)</f>
        <v>0</v>
      </c>
      <c r="AR202" s="3">
        <f>IFERROR(__xludf.DUMMYFUNCTION("""COMPUTED_VALUE"""),0.0)</f>
        <v>0</v>
      </c>
      <c r="AS202" s="3">
        <f>IFERROR(__xludf.DUMMYFUNCTION("""COMPUTED_VALUE"""),0.0)</f>
        <v>0</v>
      </c>
      <c r="AT202" s="3">
        <f>IFERROR(__xludf.DUMMYFUNCTION("""COMPUTED_VALUE"""),0.0)</f>
        <v>0</v>
      </c>
      <c r="AU202" s="3">
        <f>IFERROR(__xludf.DUMMYFUNCTION("""COMPUTED_VALUE"""),0.0)</f>
        <v>0</v>
      </c>
      <c r="AV202" s="3">
        <f>IFERROR(__xludf.DUMMYFUNCTION("""COMPUTED_VALUE"""),1.0)</f>
        <v>1</v>
      </c>
      <c r="AW202" s="3">
        <f>IFERROR(__xludf.DUMMYFUNCTION("""COMPUTED_VALUE"""),1.0)</f>
        <v>1</v>
      </c>
      <c r="AX202" s="3">
        <f>IFERROR(__xludf.DUMMYFUNCTION("""COMPUTED_VALUE"""),1.0)</f>
        <v>1</v>
      </c>
      <c r="AY202" s="3">
        <f>IFERROR(__xludf.DUMMYFUNCTION("""COMPUTED_VALUE"""),3.0)</f>
        <v>3</v>
      </c>
      <c r="AZ202" s="3">
        <f>IFERROR(__xludf.DUMMYFUNCTION("""COMPUTED_VALUE"""),3.0)</f>
        <v>3</v>
      </c>
      <c r="BA202" s="3">
        <f>IFERROR(__xludf.DUMMYFUNCTION("""COMPUTED_VALUE"""),7.0)</f>
        <v>7</v>
      </c>
      <c r="BB202" s="3">
        <f>IFERROR(__xludf.DUMMYFUNCTION("""COMPUTED_VALUE"""),13.0)</f>
        <v>13</v>
      </c>
      <c r="BC202" s="3">
        <f>IFERROR(__xludf.DUMMYFUNCTION("""COMPUTED_VALUE"""),17.0)</f>
        <v>17</v>
      </c>
      <c r="BD202" s="3">
        <f>IFERROR(__xludf.DUMMYFUNCTION("""COMPUTED_VALUE"""),24.0)</f>
        <v>24</v>
      </c>
      <c r="BE202" s="3">
        <f>IFERROR(__xludf.DUMMYFUNCTION("""COMPUTED_VALUE"""),38.0)</f>
        <v>38</v>
      </c>
      <c r="BF202" s="3">
        <f>IFERROR(__xludf.DUMMYFUNCTION("""COMPUTED_VALUE"""),51.0)</f>
        <v>51</v>
      </c>
      <c r="BG202" s="3">
        <f>IFERROR(__xludf.DUMMYFUNCTION("""COMPUTED_VALUE"""),62.0)</f>
        <v>62</v>
      </c>
      <c r="BH202" s="3">
        <f>IFERROR(__xludf.DUMMYFUNCTION("""COMPUTED_VALUE"""),62.0)</f>
        <v>62</v>
      </c>
      <c r="BI202" s="3">
        <f>IFERROR(__xludf.DUMMYFUNCTION("""COMPUTED_VALUE"""),116.0)</f>
        <v>116</v>
      </c>
      <c r="BJ202" s="3">
        <f>IFERROR(__xludf.DUMMYFUNCTION("""COMPUTED_VALUE"""),150.0)</f>
        <v>150</v>
      </c>
      <c r="BK202" s="3">
        <f>IFERROR(__xludf.DUMMYFUNCTION("""COMPUTED_VALUE"""),202.0)</f>
        <v>202</v>
      </c>
      <c r="BL202" s="3">
        <f>IFERROR(__xludf.DUMMYFUNCTION("""COMPUTED_VALUE"""),240.0)</f>
        <v>240</v>
      </c>
      <c r="BM202" s="3">
        <f>IFERROR(__xludf.DUMMYFUNCTION("""COMPUTED_VALUE"""),274.0)</f>
        <v>274</v>
      </c>
      <c r="BN202" s="3">
        <f>IFERROR(__xludf.DUMMYFUNCTION("""COMPUTED_VALUE"""),402.0)</f>
        <v>402</v>
      </c>
      <c r="BO202" s="3">
        <f>IFERROR(__xludf.DUMMYFUNCTION("""COMPUTED_VALUE"""),554.0)</f>
        <v>554</v>
      </c>
      <c r="BP202" s="3">
        <f>IFERROR(__xludf.DUMMYFUNCTION("""COMPUTED_VALUE"""),709.0)</f>
        <v>709</v>
      </c>
      <c r="BQ202" s="3">
        <f>IFERROR(__xludf.DUMMYFUNCTION("""COMPUTED_VALUE"""),927.0)</f>
        <v>927</v>
      </c>
      <c r="BR202" s="3">
        <f>IFERROR(__xludf.DUMMYFUNCTION("""COMPUTED_VALUE"""),1170.0)</f>
        <v>1170</v>
      </c>
      <c r="BS202" s="3">
        <f>IFERROR(__xludf.DUMMYFUNCTION("""COMPUTED_VALUE"""),1187.0)</f>
        <v>1187</v>
      </c>
      <c r="BT202" s="3">
        <f>IFERROR(__xludf.DUMMYFUNCTION("""COMPUTED_VALUE"""),1280.0)</f>
        <v>1280</v>
      </c>
      <c r="BU202" s="3">
        <f>IFERROR(__xludf.DUMMYFUNCTION("""COMPUTED_VALUE"""),1326.0)</f>
        <v>1326</v>
      </c>
      <c r="BV202" s="3">
        <f>IFERROR(__xludf.DUMMYFUNCTION("""COMPUTED_VALUE"""),1353.0)</f>
        <v>1353</v>
      </c>
      <c r="BW202" s="3">
        <f>IFERROR(__xludf.DUMMYFUNCTION("""COMPUTED_VALUE"""),1380.0)</f>
        <v>1380</v>
      </c>
      <c r="BX202" s="3">
        <f>IFERROR(__xludf.DUMMYFUNCTION("""COMPUTED_VALUE"""),1462.0)</f>
        <v>1462</v>
      </c>
      <c r="BY202" s="3">
        <f>IFERROR(__xludf.DUMMYFUNCTION("""COMPUTED_VALUE"""),1505.0)</f>
        <v>1505</v>
      </c>
      <c r="BZ202" s="3">
        <f>IFERROR(__xludf.DUMMYFUNCTION("""COMPUTED_VALUE"""),1585.0)</f>
        <v>1585</v>
      </c>
      <c r="CA202" s="3">
        <f>IFERROR(__xludf.DUMMYFUNCTION("""COMPUTED_VALUE"""),1655.0)</f>
        <v>1655</v>
      </c>
      <c r="CB202" s="3">
        <f>IFERROR(__xludf.DUMMYFUNCTION("""COMPUTED_VALUE"""),1686.0)</f>
        <v>1686</v>
      </c>
    </row>
    <row r="203">
      <c r="A203" s="3" t="str">
        <f>IFERROR(__xludf.DUMMYFUNCTION("""COMPUTED_VALUE"""),"")</f>
        <v/>
      </c>
      <c r="B203" s="3" t="str">
        <f>IFERROR(__xludf.DUMMYFUNCTION("""COMPUTED_VALUE"""),"Spain")</f>
        <v>Spain</v>
      </c>
      <c r="C203" s="3">
        <f>IFERROR(__xludf.DUMMYFUNCTION("""COMPUTED_VALUE"""),40.0)</f>
        <v>40</v>
      </c>
      <c r="D203" s="3">
        <f>IFERROR(__xludf.DUMMYFUNCTION("""COMPUTED_VALUE"""),-4.0)</f>
        <v>-4</v>
      </c>
      <c r="E203" s="3">
        <f>IFERROR(__xludf.DUMMYFUNCTION("""COMPUTED_VALUE"""),0.0)</f>
        <v>0</v>
      </c>
      <c r="F203" s="3">
        <f>IFERROR(__xludf.DUMMYFUNCTION("""COMPUTED_VALUE"""),0.0)</f>
        <v>0</v>
      </c>
      <c r="G203" s="3">
        <f>IFERROR(__xludf.DUMMYFUNCTION("""COMPUTED_VALUE"""),0.0)</f>
        <v>0</v>
      </c>
      <c r="H203" s="3">
        <f>IFERROR(__xludf.DUMMYFUNCTION("""COMPUTED_VALUE"""),0.0)</f>
        <v>0</v>
      </c>
      <c r="I203" s="3">
        <f>IFERROR(__xludf.DUMMYFUNCTION("""COMPUTED_VALUE"""),0.0)</f>
        <v>0</v>
      </c>
      <c r="J203" s="3">
        <f>IFERROR(__xludf.DUMMYFUNCTION("""COMPUTED_VALUE"""),0.0)</f>
        <v>0</v>
      </c>
      <c r="K203" s="3">
        <f>IFERROR(__xludf.DUMMYFUNCTION("""COMPUTED_VALUE"""),0.0)</f>
        <v>0</v>
      </c>
      <c r="L203" s="3">
        <f>IFERROR(__xludf.DUMMYFUNCTION("""COMPUTED_VALUE"""),0.0)</f>
        <v>0</v>
      </c>
      <c r="M203" s="3">
        <f>IFERROR(__xludf.DUMMYFUNCTION("""COMPUTED_VALUE"""),0.0)</f>
        <v>0</v>
      </c>
      <c r="N203" s="3">
        <f>IFERROR(__xludf.DUMMYFUNCTION("""COMPUTED_VALUE"""),0.0)</f>
        <v>0</v>
      </c>
      <c r="O203" s="3">
        <f>IFERROR(__xludf.DUMMYFUNCTION("""COMPUTED_VALUE"""),1.0)</f>
        <v>1</v>
      </c>
      <c r="P203" s="3">
        <f>IFERROR(__xludf.DUMMYFUNCTION("""COMPUTED_VALUE"""),1.0)</f>
        <v>1</v>
      </c>
      <c r="Q203" s="3">
        <f>IFERROR(__xludf.DUMMYFUNCTION("""COMPUTED_VALUE"""),1.0)</f>
        <v>1</v>
      </c>
      <c r="R203" s="3">
        <f>IFERROR(__xludf.DUMMYFUNCTION("""COMPUTED_VALUE"""),1.0)</f>
        <v>1</v>
      </c>
      <c r="S203" s="3">
        <f>IFERROR(__xludf.DUMMYFUNCTION("""COMPUTED_VALUE"""),1.0)</f>
        <v>1</v>
      </c>
      <c r="T203" s="3">
        <f>IFERROR(__xludf.DUMMYFUNCTION("""COMPUTED_VALUE"""),1.0)</f>
        <v>1</v>
      </c>
      <c r="U203" s="3">
        <f>IFERROR(__xludf.DUMMYFUNCTION("""COMPUTED_VALUE"""),1.0)</f>
        <v>1</v>
      </c>
      <c r="V203" s="3">
        <f>IFERROR(__xludf.DUMMYFUNCTION("""COMPUTED_VALUE"""),1.0)</f>
        <v>1</v>
      </c>
      <c r="W203" s="3">
        <f>IFERROR(__xludf.DUMMYFUNCTION("""COMPUTED_VALUE"""),2.0)</f>
        <v>2</v>
      </c>
      <c r="X203" s="3">
        <f>IFERROR(__xludf.DUMMYFUNCTION("""COMPUTED_VALUE"""),2.0)</f>
        <v>2</v>
      </c>
      <c r="Y203" s="3">
        <f>IFERROR(__xludf.DUMMYFUNCTION("""COMPUTED_VALUE"""),2.0)</f>
        <v>2</v>
      </c>
      <c r="Z203" s="3">
        <f>IFERROR(__xludf.DUMMYFUNCTION("""COMPUTED_VALUE"""),2.0)</f>
        <v>2</v>
      </c>
      <c r="AA203" s="3">
        <f>IFERROR(__xludf.DUMMYFUNCTION("""COMPUTED_VALUE"""),2.0)</f>
        <v>2</v>
      </c>
      <c r="AB203" s="3">
        <f>IFERROR(__xludf.DUMMYFUNCTION("""COMPUTED_VALUE"""),2.0)</f>
        <v>2</v>
      </c>
      <c r="AC203" s="3">
        <f>IFERROR(__xludf.DUMMYFUNCTION("""COMPUTED_VALUE"""),2.0)</f>
        <v>2</v>
      </c>
      <c r="AD203" s="3">
        <f>IFERROR(__xludf.DUMMYFUNCTION("""COMPUTED_VALUE"""),2.0)</f>
        <v>2</v>
      </c>
      <c r="AE203" s="3">
        <f>IFERROR(__xludf.DUMMYFUNCTION("""COMPUTED_VALUE"""),2.0)</f>
        <v>2</v>
      </c>
      <c r="AF203" s="3">
        <f>IFERROR(__xludf.DUMMYFUNCTION("""COMPUTED_VALUE"""),2.0)</f>
        <v>2</v>
      </c>
      <c r="AG203" s="3">
        <f>IFERROR(__xludf.DUMMYFUNCTION("""COMPUTED_VALUE"""),2.0)</f>
        <v>2</v>
      </c>
      <c r="AH203" s="3">
        <f>IFERROR(__xludf.DUMMYFUNCTION("""COMPUTED_VALUE"""),2.0)</f>
        <v>2</v>
      </c>
      <c r="AI203" s="3">
        <f>IFERROR(__xludf.DUMMYFUNCTION("""COMPUTED_VALUE"""),2.0)</f>
        <v>2</v>
      </c>
      <c r="AJ203" s="3">
        <f>IFERROR(__xludf.DUMMYFUNCTION("""COMPUTED_VALUE"""),2.0)</f>
        <v>2</v>
      </c>
      <c r="AK203" s="3">
        <f>IFERROR(__xludf.DUMMYFUNCTION("""COMPUTED_VALUE"""),2.0)</f>
        <v>2</v>
      </c>
      <c r="AL203" s="3">
        <f>IFERROR(__xludf.DUMMYFUNCTION("""COMPUTED_VALUE"""),2.0)</f>
        <v>2</v>
      </c>
      <c r="AM203" s="3">
        <f>IFERROR(__xludf.DUMMYFUNCTION("""COMPUTED_VALUE"""),6.0)</f>
        <v>6</v>
      </c>
      <c r="AN203" s="3">
        <f>IFERROR(__xludf.DUMMYFUNCTION("""COMPUTED_VALUE"""),13.0)</f>
        <v>13</v>
      </c>
      <c r="AO203" s="3">
        <f>IFERROR(__xludf.DUMMYFUNCTION("""COMPUTED_VALUE"""),15.0)</f>
        <v>15</v>
      </c>
      <c r="AP203" s="3">
        <f>IFERROR(__xludf.DUMMYFUNCTION("""COMPUTED_VALUE"""),32.0)</f>
        <v>32</v>
      </c>
      <c r="AQ203" s="3">
        <f>IFERROR(__xludf.DUMMYFUNCTION("""COMPUTED_VALUE"""),45.0)</f>
        <v>45</v>
      </c>
      <c r="AR203" s="3">
        <f>IFERROR(__xludf.DUMMYFUNCTION("""COMPUTED_VALUE"""),84.0)</f>
        <v>84</v>
      </c>
      <c r="AS203" s="3">
        <f>IFERROR(__xludf.DUMMYFUNCTION("""COMPUTED_VALUE"""),120.0)</f>
        <v>120</v>
      </c>
      <c r="AT203" s="3">
        <f>IFERROR(__xludf.DUMMYFUNCTION("""COMPUTED_VALUE"""),165.0)</f>
        <v>165</v>
      </c>
      <c r="AU203" s="3">
        <f>IFERROR(__xludf.DUMMYFUNCTION("""COMPUTED_VALUE"""),222.0)</f>
        <v>222</v>
      </c>
      <c r="AV203" s="3">
        <f>IFERROR(__xludf.DUMMYFUNCTION("""COMPUTED_VALUE"""),259.0)</f>
        <v>259</v>
      </c>
      <c r="AW203" s="3">
        <f>IFERROR(__xludf.DUMMYFUNCTION("""COMPUTED_VALUE"""),400.0)</f>
        <v>400</v>
      </c>
      <c r="AX203" s="3">
        <f>IFERROR(__xludf.DUMMYFUNCTION("""COMPUTED_VALUE"""),500.0)</f>
        <v>500</v>
      </c>
      <c r="AY203" s="3">
        <f>IFERROR(__xludf.DUMMYFUNCTION("""COMPUTED_VALUE"""),673.0)</f>
        <v>673</v>
      </c>
      <c r="AZ203" s="3">
        <f>IFERROR(__xludf.DUMMYFUNCTION("""COMPUTED_VALUE"""),1073.0)</f>
        <v>1073</v>
      </c>
      <c r="BA203" s="3">
        <f>IFERROR(__xludf.DUMMYFUNCTION("""COMPUTED_VALUE"""),1695.0)</f>
        <v>1695</v>
      </c>
      <c r="BB203" s="3">
        <f>IFERROR(__xludf.DUMMYFUNCTION("""COMPUTED_VALUE"""),2277.0)</f>
        <v>2277</v>
      </c>
      <c r="BC203" s="3">
        <f>IFERROR(__xludf.DUMMYFUNCTION("""COMPUTED_VALUE"""),2277.0)</f>
        <v>2277</v>
      </c>
      <c r="BD203" s="3">
        <f>IFERROR(__xludf.DUMMYFUNCTION("""COMPUTED_VALUE"""),5232.0)</f>
        <v>5232</v>
      </c>
      <c r="BE203" s="3">
        <f>IFERROR(__xludf.DUMMYFUNCTION("""COMPUTED_VALUE"""),6391.0)</f>
        <v>6391</v>
      </c>
      <c r="BF203" s="3">
        <f>IFERROR(__xludf.DUMMYFUNCTION("""COMPUTED_VALUE"""),7798.0)</f>
        <v>7798</v>
      </c>
      <c r="BG203" s="3">
        <f>IFERROR(__xludf.DUMMYFUNCTION("""COMPUTED_VALUE"""),9942.0)</f>
        <v>9942</v>
      </c>
      <c r="BH203" s="3">
        <f>IFERROR(__xludf.DUMMYFUNCTION("""COMPUTED_VALUE"""),11748.0)</f>
        <v>11748</v>
      </c>
      <c r="BI203" s="3">
        <f>IFERROR(__xludf.DUMMYFUNCTION("""COMPUTED_VALUE"""),13910.0)</f>
        <v>13910</v>
      </c>
      <c r="BJ203" s="3">
        <f>IFERROR(__xludf.DUMMYFUNCTION("""COMPUTED_VALUE"""),17963.0)</f>
        <v>17963</v>
      </c>
      <c r="BK203" s="3">
        <f>IFERROR(__xludf.DUMMYFUNCTION("""COMPUTED_VALUE"""),20410.0)</f>
        <v>20410</v>
      </c>
      <c r="BL203" s="3">
        <f>IFERROR(__xludf.DUMMYFUNCTION("""COMPUTED_VALUE"""),25374.0)</f>
        <v>25374</v>
      </c>
      <c r="BM203" s="3">
        <f>IFERROR(__xludf.DUMMYFUNCTION("""COMPUTED_VALUE"""),28768.0)</f>
        <v>28768</v>
      </c>
      <c r="BN203" s="3">
        <f>IFERROR(__xludf.DUMMYFUNCTION("""COMPUTED_VALUE"""),35136.0)</f>
        <v>35136</v>
      </c>
      <c r="BO203" s="3">
        <f>IFERROR(__xludf.DUMMYFUNCTION("""COMPUTED_VALUE"""),39885.0)</f>
        <v>39885</v>
      </c>
      <c r="BP203" s="3">
        <f>IFERROR(__xludf.DUMMYFUNCTION("""COMPUTED_VALUE"""),49515.0)</f>
        <v>49515</v>
      </c>
      <c r="BQ203" s="3">
        <f>IFERROR(__xludf.DUMMYFUNCTION("""COMPUTED_VALUE"""),57786.0)</f>
        <v>57786</v>
      </c>
      <c r="BR203" s="3">
        <f>IFERROR(__xludf.DUMMYFUNCTION("""COMPUTED_VALUE"""),65719.0)</f>
        <v>65719</v>
      </c>
      <c r="BS203" s="3">
        <f>IFERROR(__xludf.DUMMYFUNCTION("""COMPUTED_VALUE"""),73235.0)</f>
        <v>73235</v>
      </c>
      <c r="BT203" s="3">
        <f>IFERROR(__xludf.DUMMYFUNCTION("""COMPUTED_VALUE"""),80110.0)</f>
        <v>80110</v>
      </c>
      <c r="BU203" s="3">
        <f>IFERROR(__xludf.DUMMYFUNCTION("""COMPUTED_VALUE"""),87956.0)</f>
        <v>87956</v>
      </c>
      <c r="BV203" s="3">
        <f>IFERROR(__xludf.DUMMYFUNCTION("""COMPUTED_VALUE"""),95923.0)</f>
        <v>95923</v>
      </c>
      <c r="BW203" s="3">
        <f>IFERROR(__xludf.DUMMYFUNCTION("""COMPUTED_VALUE"""),104118.0)</f>
        <v>104118</v>
      </c>
      <c r="BX203" s="3">
        <f>IFERROR(__xludf.DUMMYFUNCTION("""COMPUTED_VALUE"""),112065.0)</f>
        <v>112065</v>
      </c>
      <c r="BY203" s="3">
        <f>IFERROR(__xludf.DUMMYFUNCTION("""COMPUTED_VALUE"""),119199.0)</f>
        <v>119199</v>
      </c>
      <c r="BZ203" s="3">
        <f>IFERROR(__xludf.DUMMYFUNCTION("""COMPUTED_VALUE"""),126168.0)</f>
        <v>126168</v>
      </c>
      <c r="CA203" s="3">
        <f>IFERROR(__xludf.DUMMYFUNCTION("""COMPUTED_VALUE"""),131646.0)</f>
        <v>131646</v>
      </c>
      <c r="CB203" s="3">
        <f>IFERROR(__xludf.DUMMYFUNCTION("""COMPUTED_VALUE"""),136675.0)</f>
        <v>136675</v>
      </c>
    </row>
    <row r="204">
      <c r="A204" s="3" t="str">
        <f>IFERROR(__xludf.DUMMYFUNCTION("""COMPUTED_VALUE"""),"")</f>
        <v/>
      </c>
      <c r="B204" s="3" t="str">
        <f>IFERROR(__xludf.DUMMYFUNCTION("""COMPUTED_VALUE"""),"Sri Lanka")</f>
        <v>Sri Lanka</v>
      </c>
      <c r="C204" s="3">
        <f>IFERROR(__xludf.DUMMYFUNCTION("""COMPUTED_VALUE"""),7.0)</f>
        <v>7</v>
      </c>
      <c r="D204" s="3">
        <f>IFERROR(__xludf.DUMMYFUNCTION("""COMPUTED_VALUE"""),81.0)</f>
        <v>81</v>
      </c>
      <c r="E204" s="3">
        <f>IFERROR(__xludf.DUMMYFUNCTION("""COMPUTED_VALUE"""),0.0)</f>
        <v>0</v>
      </c>
      <c r="F204" s="3">
        <f>IFERROR(__xludf.DUMMYFUNCTION("""COMPUTED_VALUE"""),0.0)</f>
        <v>0</v>
      </c>
      <c r="G204" s="3">
        <f>IFERROR(__xludf.DUMMYFUNCTION("""COMPUTED_VALUE"""),0.0)</f>
        <v>0</v>
      </c>
      <c r="H204" s="3">
        <f>IFERROR(__xludf.DUMMYFUNCTION("""COMPUTED_VALUE"""),0.0)</f>
        <v>0</v>
      </c>
      <c r="I204" s="3">
        <f>IFERROR(__xludf.DUMMYFUNCTION("""COMPUTED_VALUE"""),0.0)</f>
        <v>0</v>
      </c>
      <c r="J204" s="3">
        <f>IFERROR(__xludf.DUMMYFUNCTION("""COMPUTED_VALUE"""),1.0)</f>
        <v>1</v>
      </c>
      <c r="K204" s="3">
        <f>IFERROR(__xludf.DUMMYFUNCTION("""COMPUTED_VALUE"""),1.0)</f>
        <v>1</v>
      </c>
      <c r="L204" s="3">
        <f>IFERROR(__xludf.DUMMYFUNCTION("""COMPUTED_VALUE"""),1.0)</f>
        <v>1</v>
      </c>
      <c r="M204" s="3">
        <f>IFERROR(__xludf.DUMMYFUNCTION("""COMPUTED_VALUE"""),1.0)</f>
        <v>1</v>
      </c>
      <c r="N204" s="3">
        <f>IFERROR(__xludf.DUMMYFUNCTION("""COMPUTED_VALUE"""),1.0)</f>
        <v>1</v>
      </c>
      <c r="O204" s="3">
        <f>IFERROR(__xludf.DUMMYFUNCTION("""COMPUTED_VALUE"""),1.0)</f>
        <v>1</v>
      </c>
      <c r="P204" s="3">
        <f>IFERROR(__xludf.DUMMYFUNCTION("""COMPUTED_VALUE"""),1.0)</f>
        <v>1</v>
      </c>
      <c r="Q204" s="3">
        <f>IFERROR(__xludf.DUMMYFUNCTION("""COMPUTED_VALUE"""),1.0)</f>
        <v>1</v>
      </c>
      <c r="R204" s="3">
        <f>IFERROR(__xludf.DUMMYFUNCTION("""COMPUTED_VALUE"""),1.0)</f>
        <v>1</v>
      </c>
      <c r="S204" s="3">
        <f>IFERROR(__xludf.DUMMYFUNCTION("""COMPUTED_VALUE"""),1.0)</f>
        <v>1</v>
      </c>
      <c r="T204" s="3">
        <f>IFERROR(__xludf.DUMMYFUNCTION("""COMPUTED_VALUE"""),1.0)</f>
        <v>1</v>
      </c>
      <c r="U204" s="3">
        <f>IFERROR(__xludf.DUMMYFUNCTION("""COMPUTED_VALUE"""),1.0)</f>
        <v>1</v>
      </c>
      <c r="V204" s="3">
        <f>IFERROR(__xludf.DUMMYFUNCTION("""COMPUTED_VALUE"""),1.0)</f>
        <v>1</v>
      </c>
      <c r="W204" s="3">
        <f>IFERROR(__xludf.DUMMYFUNCTION("""COMPUTED_VALUE"""),1.0)</f>
        <v>1</v>
      </c>
      <c r="X204" s="3">
        <f>IFERROR(__xludf.DUMMYFUNCTION("""COMPUTED_VALUE"""),1.0)</f>
        <v>1</v>
      </c>
      <c r="Y204" s="3">
        <f>IFERROR(__xludf.DUMMYFUNCTION("""COMPUTED_VALUE"""),1.0)</f>
        <v>1</v>
      </c>
      <c r="Z204" s="3">
        <f>IFERROR(__xludf.DUMMYFUNCTION("""COMPUTED_VALUE"""),1.0)</f>
        <v>1</v>
      </c>
      <c r="AA204" s="3">
        <f>IFERROR(__xludf.DUMMYFUNCTION("""COMPUTED_VALUE"""),1.0)</f>
        <v>1</v>
      </c>
      <c r="AB204" s="3">
        <f>IFERROR(__xludf.DUMMYFUNCTION("""COMPUTED_VALUE"""),1.0)</f>
        <v>1</v>
      </c>
      <c r="AC204" s="3">
        <f>IFERROR(__xludf.DUMMYFUNCTION("""COMPUTED_VALUE"""),1.0)</f>
        <v>1</v>
      </c>
      <c r="AD204" s="3">
        <f>IFERROR(__xludf.DUMMYFUNCTION("""COMPUTED_VALUE"""),1.0)</f>
        <v>1</v>
      </c>
      <c r="AE204" s="3">
        <f>IFERROR(__xludf.DUMMYFUNCTION("""COMPUTED_VALUE"""),1.0)</f>
        <v>1</v>
      </c>
      <c r="AF204" s="3">
        <f>IFERROR(__xludf.DUMMYFUNCTION("""COMPUTED_VALUE"""),1.0)</f>
        <v>1</v>
      </c>
      <c r="AG204" s="3">
        <f>IFERROR(__xludf.DUMMYFUNCTION("""COMPUTED_VALUE"""),1.0)</f>
        <v>1</v>
      </c>
      <c r="AH204" s="3">
        <f>IFERROR(__xludf.DUMMYFUNCTION("""COMPUTED_VALUE"""),1.0)</f>
        <v>1</v>
      </c>
      <c r="AI204" s="3">
        <f>IFERROR(__xludf.DUMMYFUNCTION("""COMPUTED_VALUE"""),1.0)</f>
        <v>1</v>
      </c>
      <c r="AJ204" s="3">
        <f>IFERROR(__xludf.DUMMYFUNCTION("""COMPUTED_VALUE"""),1.0)</f>
        <v>1</v>
      </c>
      <c r="AK204" s="3">
        <f>IFERROR(__xludf.DUMMYFUNCTION("""COMPUTED_VALUE"""),1.0)</f>
        <v>1</v>
      </c>
      <c r="AL204" s="3">
        <f>IFERROR(__xludf.DUMMYFUNCTION("""COMPUTED_VALUE"""),1.0)</f>
        <v>1</v>
      </c>
      <c r="AM204" s="3">
        <f>IFERROR(__xludf.DUMMYFUNCTION("""COMPUTED_VALUE"""),1.0)</f>
        <v>1</v>
      </c>
      <c r="AN204" s="3">
        <f>IFERROR(__xludf.DUMMYFUNCTION("""COMPUTED_VALUE"""),1.0)</f>
        <v>1</v>
      </c>
      <c r="AO204" s="3">
        <f>IFERROR(__xludf.DUMMYFUNCTION("""COMPUTED_VALUE"""),1.0)</f>
        <v>1</v>
      </c>
      <c r="AP204" s="3">
        <f>IFERROR(__xludf.DUMMYFUNCTION("""COMPUTED_VALUE"""),1.0)</f>
        <v>1</v>
      </c>
      <c r="AQ204" s="3">
        <f>IFERROR(__xludf.DUMMYFUNCTION("""COMPUTED_VALUE"""),1.0)</f>
        <v>1</v>
      </c>
      <c r="AR204" s="3">
        <f>IFERROR(__xludf.DUMMYFUNCTION("""COMPUTED_VALUE"""),1.0)</f>
        <v>1</v>
      </c>
      <c r="AS204" s="3">
        <f>IFERROR(__xludf.DUMMYFUNCTION("""COMPUTED_VALUE"""),1.0)</f>
        <v>1</v>
      </c>
      <c r="AT204" s="3">
        <f>IFERROR(__xludf.DUMMYFUNCTION("""COMPUTED_VALUE"""),1.0)</f>
        <v>1</v>
      </c>
      <c r="AU204" s="3">
        <f>IFERROR(__xludf.DUMMYFUNCTION("""COMPUTED_VALUE"""),1.0)</f>
        <v>1</v>
      </c>
      <c r="AV204" s="3">
        <f>IFERROR(__xludf.DUMMYFUNCTION("""COMPUTED_VALUE"""),1.0)</f>
        <v>1</v>
      </c>
      <c r="AW204" s="3">
        <f>IFERROR(__xludf.DUMMYFUNCTION("""COMPUTED_VALUE"""),1.0)</f>
        <v>1</v>
      </c>
      <c r="AX204" s="3">
        <f>IFERROR(__xludf.DUMMYFUNCTION("""COMPUTED_VALUE"""),1.0)</f>
        <v>1</v>
      </c>
      <c r="AY204" s="3">
        <f>IFERROR(__xludf.DUMMYFUNCTION("""COMPUTED_VALUE"""),1.0)</f>
        <v>1</v>
      </c>
      <c r="AZ204" s="3">
        <f>IFERROR(__xludf.DUMMYFUNCTION("""COMPUTED_VALUE"""),1.0)</f>
        <v>1</v>
      </c>
      <c r="BA204" s="3">
        <f>IFERROR(__xludf.DUMMYFUNCTION("""COMPUTED_VALUE"""),1.0)</f>
        <v>1</v>
      </c>
      <c r="BB204" s="3">
        <f>IFERROR(__xludf.DUMMYFUNCTION("""COMPUTED_VALUE"""),2.0)</f>
        <v>2</v>
      </c>
      <c r="BC204" s="3">
        <f>IFERROR(__xludf.DUMMYFUNCTION("""COMPUTED_VALUE"""),2.0)</f>
        <v>2</v>
      </c>
      <c r="BD204" s="3">
        <f>IFERROR(__xludf.DUMMYFUNCTION("""COMPUTED_VALUE"""),6.0)</f>
        <v>6</v>
      </c>
      <c r="BE204" s="3">
        <f>IFERROR(__xludf.DUMMYFUNCTION("""COMPUTED_VALUE"""),10.0)</f>
        <v>10</v>
      </c>
      <c r="BF204" s="3">
        <f>IFERROR(__xludf.DUMMYFUNCTION("""COMPUTED_VALUE"""),18.0)</f>
        <v>18</v>
      </c>
      <c r="BG204" s="3">
        <f>IFERROR(__xludf.DUMMYFUNCTION("""COMPUTED_VALUE"""),28.0)</f>
        <v>28</v>
      </c>
      <c r="BH204" s="3">
        <f>IFERROR(__xludf.DUMMYFUNCTION("""COMPUTED_VALUE"""),44.0)</f>
        <v>44</v>
      </c>
      <c r="BI204" s="3">
        <f>IFERROR(__xludf.DUMMYFUNCTION("""COMPUTED_VALUE"""),51.0)</f>
        <v>51</v>
      </c>
      <c r="BJ204" s="3">
        <f>IFERROR(__xludf.DUMMYFUNCTION("""COMPUTED_VALUE"""),60.0)</f>
        <v>60</v>
      </c>
      <c r="BK204" s="3">
        <f>IFERROR(__xludf.DUMMYFUNCTION("""COMPUTED_VALUE"""),73.0)</f>
        <v>73</v>
      </c>
      <c r="BL204" s="3">
        <f>IFERROR(__xludf.DUMMYFUNCTION("""COMPUTED_VALUE"""),77.0)</f>
        <v>77</v>
      </c>
      <c r="BM204" s="3">
        <f>IFERROR(__xludf.DUMMYFUNCTION("""COMPUTED_VALUE"""),82.0)</f>
        <v>82</v>
      </c>
      <c r="BN204" s="3">
        <f>IFERROR(__xludf.DUMMYFUNCTION("""COMPUTED_VALUE"""),97.0)</f>
        <v>97</v>
      </c>
      <c r="BO204" s="3">
        <f>IFERROR(__xludf.DUMMYFUNCTION("""COMPUTED_VALUE"""),102.0)</f>
        <v>102</v>
      </c>
      <c r="BP204" s="3">
        <f>IFERROR(__xludf.DUMMYFUNCTION("""COMPUTED_VALUE"""),102.0)</f>
        <v>102</v>
      </c>
      <c r="BQ204" s="3">
        <f>IFERROR(__xludf.DUMMYFUNCTION("""COMPUTED_VALUE"""),106.0)</f>
        <v>106</v>
      </c>
      <c r="BR204" s="3">
        <f>IFERROR(__xludf.DUMMYFUNCTION("""COMPUTED_VALUE"""),106.0)</f>
        <v>106</v>
      </c>
      <c r="BS204" s="3">
        <f>IFERROR(__xludf.DUMMYFUNCTION("""COMPUTED_VALUE"""),113.0)</f>
        <v>113</v>
      </c>
      <c r="BT204" s="3">
        <f>IFERROR(__xludf.DUMMYFUNCTION("""COMPUTED_VALUE"""),117.0)</f>
        <v>117</v>
      </c>
      <c r="BU204" s="3">
        <f>IFERROR(__xludf.DUMMYFUNCTION("""COMPUTED_VALUE"""),122.0)</f>
        <v>122</v>
      </c>
      <c r="BV204" s="3">
        <f>IFERROR(__xludf.DUMMYFUNCTION("""COMPUTED_VALUE"""),143.0)</f>
        <v>143</v>
      </c>
      <c r="BW204" s="3">
        <f>IFERROR(__xludf.DUMMYFUNCTION("""COMPUTED_VALUE"""),146.0)</f>
        <v>146</v>
      </c>
      <c r="BX204" s="3">
        <f>IFERROR(__xludf.DUMMYFUNCTION("""COMPUTED_VALUE"""),151.0)</f>
        <v>151</v>
      </c>
      <c r="BY204" s="3">
        <f>IFERROR(__xludf.DUMMYFUNCTION("""COMPUTED_VALUE"""),159.0)</f>
        <v>159</v>
      </c>
      <c r="BZ204" s="3">
        <f>IFERROR(__xludf.DUMMYFUNCTION("""COMPUTED_VALUE"""),166.0)</f>
        <v>166</v>
      </c>
      <c r="CA204" s="3">
        <f>IFERROR(__xludf.DUMMYFUNCTION("""COMPUTED_VALUE"""),176.0)</f>
        <v>176</v>
      </c>
      <c r="CB204" s="3">
        <f>IFERROR(__xludf.DUMMYFUNCTION("""COMPUTED_VALUE"""),178.0)</f>
        <v>178</v>
      </c>
    </row>
    <row r="205">
      <c r="A205" s="3" t="str">
        <f>IFERROR(__xludf.DUMMYFUNCTION("""COMPUTED_VALUE"""),"")</f>
        <v/>
      </c>
      <c r="B205" s="3" t="str">
        <f>IFERROR(__xludf.DUMMYFUNCTION("""COMPUTED_VALUE"""),"Sudan")</f>
        <v>Sudan</v>
      </c>
      <c r="C205" s="3">
        <f>IFERROR(__xludf.DUMMYFUNCTION("""COMPUTED_VALUE"""),12.8628)</f>
        <v>12.8628</v>
      </c>
      <c r="D205" s="3">
        <f>IFERROR(__xludf.DUMMYFUNCTION("""COMPUTED_VALUE"""),30.2176)</f>
        <v>30.2176</v>
      </c>
      <c r="E205" s="3">
        <f>IFERROR(__xludf.DUMMYFUNCTION("""COMPUTED_VALUE"""),0.0)</f>
        <v>0</v>
      </c>
      <c r="F205" s="3">
        <f>IFERROR(__xludf.DUMMYFUNCTION("""COMPUTED_VALUE"""),0.0)</f>
        <v>0</v>
      </c>
      <c r="G205" s="3">
        <f>IFERROR(__xludf.DUMMYFUNCTION("""COMPUTED_VALUE"""),0.0)</f>
        <v>0</v>
      </c>
      <c r="H205" s="3">
        <f>IFERROR(__xludf.DUMMYFUNCTION("""COMPUTED_VALUE"""),0.0)</f>
        <v>0</v>
      </c>
      <c r="I205" s="3">
        <f>IFERROR(__xludf.DUMMYFUNCTION("""COMPUTED_VALUE"""),0.0)</f>
        <v>0</v>
      </c>
      <c r="J205" s="3">
        <f>IFERROR(__xludf.DUMMYFUNCTION("""COMPUTED_VALUE"""),0.0)</f>
        <v>0</v>
      </c>
      <c r="K205" s="3">
        <f>IFERROR(__xludf.DUMMYFUNCTION("""COMPUTED_VALUE"""),0.0)</f>
        <v>0</v>
      </c>
      <c r="L205" s="3">
        <f>IFERROR(__xludf.DUMMYFUNCTION("""COMPUTED_VALUE"""),0.0)</f>
        <v>0</v>
      </c>
      <c r="M205" s="3">
        <f>IFERROR(__xludf.DUMMYFUNCTION("""COMPUTED_VALUE"""),0.0)</f>
        <v>0</v>
      </c>
      <c r="N205" s="3">
        <f>IFERROR(__xludf.DUMMYFUNCTION("""COMPUTED_VALUE"""),0.0)</f>
        <v>0</v>
      </c>
      <c r="O205" s="3">
        <f>IFERROR(__xludf.DUMMYFUNCTION("""COMPUTED_VALUE"""),0.0)</f>
        <v>0</v>
      </c>
      <c r="P205" s="3">
        <f>IFERROR(__xludf.DUMMYFUNCTION("""COMPUTED_VALUE"""),0.0)</f>
        <v>0</v>
      </c>
      <c r="Q205" s="3">
        <f>IFERROR(__xludf.DUMMYFUNCTION("""COMPUTED_VALUE"""),0.0)</f>
        <v>0</v>
      </c>
      <c r="R205" s="3">
        <f>IFERROR(__xludf.DUMMYFUNCTION("""COMPUTED_VALUE"""),0.0)</f>
        <v>0</v>
      </c>
      <c r="S205" s="3">
        <f>IFERROR(__xludf.DUMMYFUNCTION("""COMPUTED_VALUE"""),0.0)</f>
        <v>0</v>
      </c>
      <c r="T205" s="3">
        <f>IFERROR(__xludf.DUMMYFUNCTION("""COMPUTED_VALUE"""),0.0)</f>
        <v>0</v>
      </c>
      <c r="U205" s="3">
        <f>IFERROR(__xludf.DUMMYFUNCTION("""COMPUTED_VALUE"""),0.0)</f>
        <v>0</v>
      </c>
      <c r="V205" s="3">
        <f>IFERROR(__xludf.DUMMYFUNCTION("""COMPUTED_VALUE"""),0.0)</f>
        <v>0</v>
      </c>
      <c r="W205" s="3">
        <f>IFERROR(__xludf.DUMMYFUNCTION("""COMPUTED_VALUE"""),0.0)</f>
        <v>0</v>
      </c>
      <c r="X205" s="3">
        <f>IFERROR(__xludf.DUMMYFUNCTION("""COMPUTED_VALUE"""),0.0)</f>
        <v>0</v>
      </c>
      <c r="Y205" s="3">
        <f>IFERROR(__xludf.DUMMYFUNCTION("""COMPUTED_VALUE"""),0.0)</f>
        <v>0</v>
      </c>
      <c r="Z205" s="3">
        <f>IFERROR(__xludf.DUMMYFUNCTION("""COMPUTED_VALUE"""),0.0)</f>
        <v>0</v>
      </c>
      <c r="AA205" s="3">
        <f>IFERROR(__xludf.DUMMYFUNCTION("""COMPUTED_VALUE"""),0.0)</f>
        <v>0</v>
      </c>
      <c r="AB205" s="3">
        <f>IFERROR(__xludf.DUMMYFUNCTION("""COMPUTED_VALUE"""),0.0)</f>
        <v>0</v>
      </c>
      <c r="AC205" s="3">
        <f>IFERROR(__xludf.DUMMYFUNCTION("""COMPUTED_VALUE"""),0.0)</f>
        <v>0</v>
      </c>
      <c r="AD205" s="3">
        <f>IFERROR(__xludf.DUMMYFUNCTION("""COMPUTED_VALUE"""),0.0)</f>
        <v>0</v>
      </c>
      <c r="AE205" s="3">
        <f>IFERROR(__xludf.DUMMYFUNCTION("""COMPUTED_VALUE"""),0.0)</f>
        <v>0</v>
      </c>
      <c r="AF205" s="3">
        <f>IFERROR(__xludf.DUMMYFUNCTION("""COMPUTED_VALUE"""),0.0)</f>
        <v>0</v>
      </c>
      <c r="AG205" s="3">
        <f>IFERROR(__xludf.DUMMYFUNCTION("""COMPUTED_VALUE"""),0.0)</f>
        <v>0</v>
      </c>
      <c r="AH205" s="3">
        <f>IFERROR(__xludf.DUMMYFUNCTION("""COMPUTED_VALUE"""),0.0)</f>
        <v>0</v>
      </c>
      <c r="AI205" s="3">
        <f>IFERROR(__xludf.DUMMYFUNCTION("""COMPUTED_VALUE"""),0.0)</f>
        <v>0</v>
      </c>
      <c r="AJ205" s="3">
        <f>IFERROR(__xludf.DUMMYFUNCTION("""COMPUTED_VALUE"""),0.0)</f>
        <v>0</v>
      </c>
      <c r="AK205" s="3">
        <f>IFERROR(__xludf.DUMMYFUNCTION("""COMPUTED_VALUE"""),0.0)</f>
        <v>0</v>
      </c>
      <c r="AL205" s="3">
        <f>IFERROR(__xludf.DUMMYFUNCTION("""COMPUTED_VALUE"""),0.0)</f>
        <v>0</v>
      </c>
      <c r="AM205" s="3">
        <f>IFERROR(__xludf.DUMMYFUNCTION("""COMPUTED_VALUE"""),0.0)</f>
        <v>0</v>
      </c>
      <c r="AN205" s="3">
        <f>IFERROR(__xludf.DUMMYFUNCTION("""COMPUTED_VALUE"""),0.0)</f>
        <v>0</v>
      </c>
      <c r="AO205" s="3">
        <f>IFERROR(__xludf.DUMMYFUNCTION("""COMPUTED_VALUE"""),0.0)</f>
        <v>0</v>
      </c>
      <c r="AP205" s="3">
        <f>IFERROR(__xludf.DUMMYFUNCTION("""COMPUTED_VALUE"""),0.0)</f>
        <v>0</v>
      </c>
      <c r="AQ205" s="3">
        <f>IFERROR(__xludf.DUMMYFUNCTION("""COMPUTED_VALUE"""),0.0)</f>
        <v>0</v>
      </c>
      <c r="AR205" s="3">
        <f>IFERROR(__xludf.DUMMYFUNCTION("""COMPUTED_VALUE"""),0.0)</f>
        <v>0</v>
      </c>
      <c r="AS205" s="3">
        <f>IFERROR(__xludf.DUMMYFUNCTION("""COMPUTED_VALUE"""),0.0)</f>
        <v>0</v>
      </c>
      <c r="AT205" s="3">
        <f>IFERROR(__xludf.DUMMYFUNCTION("""COMPUTED_VALUE"""),0.0)</f>
        <v>0</v>
      </c>
      <c r="AU205" s="3">
        <f>IFERROR(__xludf.DUMMYFUNCTION("""COMPUTED_VALUE"""),0.0)</f>
        <v>0</v>
      </c>
      <c r="AV205" s="3">
        <f>IFERROR(__xludf.DUMMYFUNCTION("""COMPUTED_VALUE"""),0.0)</f>
        <v>0</v>
      </c>
      <c r="AW205" s="3">
        <f>IFERROR(__xludf.DUMMYFUNCTION("""COMPUTED_VALUE"""),0.0)</f>
        <v>0</v>
      </c>
      <c r="AX205" s="3">
        <f>IFERROR(__xludf.DUMMYFUNCTION("""COMPUTED_VALUE"""),0.0)</f>
        <v>0</v>
      </c>
      <c r="AY205" s="3">
        <f>IFERROR(__xludf.DUMMYFUNCTION("""COMPUTED_VALUE"""),0.0)</f>
        <v>0</v>
      </c>
      <c r="AZ205" s="3">
        <f>IFERROR(__xludf.DUMMYFUNCTION("""COMPUTED_VALUE"""),0.0)</f>
        <v>0</v>
      </c>
      <c r="BA205" s="3">
        <f>IFERROR(__xludf.DUMMYFUNCTION("""COMPUTED_VALUE"""),0.0)</f>
        <v>0</v>
      </c>
      <c r="BB205" s="3">
        <f>IFERROR(__xludf.DUMMYFUNCTION("""COMPUTED_VALUE"""),0.0)</f>
        <v>0</v>
      </c>
      <c r="BC205" s="3">
        <f>IFERROR(__xludf.DUMMYFUNCTION("""COMPUTED_VALUE"""),0.0)</f>
        <v>0</v>
      </c>
      <c r="BD205" s="3">
        <f>IFERROR(__xludf.DUMMYFUNCTION("""COMPUTED_VALUE"""),1.0)</f>
        <v>1</v>
      </c>
      <c r="BE205" s="3">
        <f>IFERROR(__xludf.DUMMYFUNCTION("""COMPUTED_VALUE"""),1.0)</f>
        <v>1</v>
      </c>
      <c r="BF205" s="3">
        <f>IFERROR(__xludf.DUMMYFUNCTION("""COMPUTED_VALUE"""),1.0)</f>
        <v>1</v>
      </c>
      <c r="BG205" s="3">
        <f>IFERROR(__xludf.DUMMYFUNCTION("""COMPUTED_VALUE"""),1.0)</f>
        <v>1</v>
      </c>
      <c r="BH205" s="3">
        <f>IFERROR(__xludf.DUMMYFUNCTION("""COMPUTED_VALUE"""),1.0)</f>
        <v>1</v>
      </c>
      <c r="BI205" s="3">
        <f>IFERROR(__xludf.DUMMYFUNCTION("""COMPUTED_VALUE"""),2.0)</f>
        <v>2</v>
      </c>
      <c r="BJ205" s="3">
        <f>IFERROR(__xludf.DUMMYFUNCTION("""COMPUTED_VALUE"""),2.0)</f>
        <v>2</v>
      </c>
      <c r="BK205" s="3">
        <f>IFERROR(__xludf.DUMMYFUNCTION("""COMPUTED_VALUE"""),2.0)</f>
        <v>2</v>
      </c>
      <c r="BL205" s="3">
        <f>IFERROR(__xludf.DUMMYFUNCTION("""COMPUTED_VALUE"""),2.0)</f>
        <v>2</v>
      </c>
      <c r="BM205" s="3">
        <f>IFERROR(__xludf.DUMMYFUNCTION("""COMPUTED_VALUE"""),2.0)</f>
        <v>2</v>
      </c>
      <c r="BN205" s="3">
        <f>IFERROR(__xludf.DUMMYFUNCTION("""COMPUTED_VALUE"""),2.0)</f>
        <v>2</v>
      </c>
      <c r="BO205" s="3">
        <f>IFERROR(__xludf.DUMMYFUNCTION("""COMPUTED_VALUE"""),3.0)</f>
        <v>3</v>
      </c>
      <c r="BP205" s="3">
        <f>IFERROR(__xludf.DUMMYFUNCTION("""COMPUTED_VALUE"""),3.0)</f>
        <v>3</v>
      </c>
      <c r="BQ205" s="3">
        <f>IFERROR(__xludf.DUMMYFUNCTION("""COMPUTED_VALUE"""),3.0)</f>
        <v>3</v>
      </c>
      <c r="BR205" s="3">
        <f>IFERROR(__xludf.DUMMYFUNCTION("""COMPUTED_VALUE"""),3.0)</f>
        <v>3</v>
      </c>
      <c r="BS205" s="3">
        <f>IFERROR(__xludf.DUMMYFUNCTION("""COMPUTED_VALUE"""),5.0)</f>
        <v>5</v>
      </c>
      <c r="BT205" s="3">
        <f>IFERROR(__xludf.DUMMYFUNCTION("""COMPUTED_VALUE"""),6.0)</f>
        <v>6</v>
      </c>
      <c r="BU205" s="3">
        <f>IFERROR(__xludf.DUMMYFUNCTION("""COMPUTED_VALUE"""),6.0)</f>
        <v>6</v>
      </c>
      <c r="BV205" s="3">
        <f>IFERROR(__xludf.DUMMYFUNCTION("""COMPUTED_VALUE"""),7.0)</f>
        <v>7</v>
      </c>
      <c r="BW205" s="3">
        <f>IFERROR(__xludf.DUMMYFUNCTION("""COMPUTED_VALUE"""),7.0)</f>
        <v>7</v>
      </c>
      <c r="BX205" s="3">
        <f>IFERROR(__xludf.DUMMYFUNCTION("""COMPUTED_VALUE"""),8.0)</f>
        <v>8</v>
      </c>
      <c r="BY205" s="3">
        <f>IFERROR(__xludf.DUMMYFUNCTION("""COMPUTED_VALUE"""),10.0)</f>
        <v>10</v>
      </c>
      <c r="BZ205" s="3">
        <f>IFERROR(__xludf.DUMMYFUNCTION("""COMPUTED_VALUE"""),10.0)</f>
        <v>10</v>
      </c>
      <c r="CA205" s="3">
        <f>IFERROR(__xludf.DUMMYFUNCTION("""COMPUTED_VALUE"""),12.0)</f>
        <v>12</v>
      </c>
      <c r="CB205" s="3">
        <f>IFERROR(__xludf.DUMMYFUNCTION("""COMPUTED_VALUE"""),12.0)</f>
        <v>12</v>
      </c>
    </row>
    <row r="206">
      <c r="A206" s="3" t="str">
        <f>IFERROR(__xludf.DUMMYFUNCTION("""COMPUTED_VALUE"""),"")</f>
        <v/>
      </c>
      <c r="B206" s="3" t="str">
        <f>IFERROR(__xludf.DUMMYFUNCTION("""COMPUTED_VALUE"""),"Suriname")</f>
        <v>Suriname</v>
      </c>
      <c r="C206" s="3">
        <f>IFERROR(__xludf.DUMMYFUNCTION("""COMPUTED_VALUE"""),3.9193)</f>
        <v>3.9193</v>
      </c>
      <c r="D206" s="3">
        <f>IFERROR(__xludf.DUMMYFUNCTION("""COMPUTED_VALUE"""),-56.0278)</f>
        <v>-56.0278</v>
      </c>
      <c r="E206" s="3">
        <f>IFERROR(__xludf.DUMMYFUNCTION("""COMPUTED_VALUE"""),0.0)</f>
        <v>0</v>
      </c>
      <c r="F206" s="3">
        <f>IFERROR(__xludf.DUMMYFUNCTION("""COMPUTED_VALUE"""),0.0)</f>
        <v>0</v>
      </c>
      <c r="G206" s="3">
        <f>IFERROR(__xludf.DUMMYFUNCTION("""COMPUTED_VALUE"""),0.0)</f>
        <v>0</v>
      </c>
      <c r="H206" s="3">
        <f>IFERROR(__xludf.DUMMYFUNCTION("""COMPUTED_VALUE"""),0.0)</f>
        <v>0</v>
      </c>
      <c r="I206" s="3">
        <f>IFERROR(__xludf.DUMMYFUNCTION("""COMPUTED_VALUE"""),0.0)</f>
        <v>0</v>
      </c>
      <c r="J206" s="3">
        <f>IFERROR(__xludf.DUMMYFUNCTION("""COMPUTED_VALUE"""),0.0)</f>
        <v>0</v>
      </c>
      <c r="K206" s="3">
        <f>IFERROR(__xludf.DUMMYFUNCTION("""COMPUTED_VALUE"""),0.0)</f>
        <v>0</v>
      </c>
      <c r="L206" s="3">
        <f>IFERROR(__xludf.DUMMYFUNCTION("""COMPUTED_VALUE"""),0.0)</f>
        <v>0</v>
      </c>
      <c r="M206" s="3">
        <f>IFERROR(__xludf.DUMMYFUNCTION("""COMPUTED_VALUE"""),0.0)</f>
        <v>0</v>
      </c>
      <c r="N206" s="3">
        <f>IFERROR(__xludf.DUMMYFUNCTION("""COMPUTED_VALUE"""),0.0)</f>
        <v>0</v>
      </c>
      <c r="O206" s="3">
        <f>IFERROR(__xludf.DUMMYFUNCTION("""COMPUTED_VALUE"""),0.0)</f>
        <v>0</v>
      </c>
      <c r="P206" s="3">
        <f>IFERROR(__xludf.DUMMYFUNCTION("""COMPUTED_VALUE"""),0.0)</f>
        <v>0</v>
      </c>
      <c r="Q206" s="3">
        <f>IFERROR(__xludf.DUMMYFUNCTION("""COMPUTED_VALUE"""),0.0)</f>
        <v>0</v>
      </c>
      <c r="R206" s="3">
        <f>IFERROR(__xludf.DUMMYFUNCTION("""COMPUTED_VALUE"""),0.0)</f>
        <v>0</v>
      </c>
      <c r="S206" s="3">
        <f>IFERROR(__xludf.DUMMYFUNCTION("""COMPUTED_VALUE"""),0.0)</f>
        <v>0</v>
      </c>
      <c r="T206" s="3">
        <f>IFERROR(__xludf.DUMMYFUNCTION("""COMPUTED_VALUE"""),0.0)</f>
        <v>0</v>
      </c>
      <c r="U206" s="3">
        <f>IFERROR(__xludf.DUMMYFUNCTION("""COMPUTED_VALUE"""),0.0)</f>
        <v>0</v>
      </c>
      <c r="V206" s="3">
        <f>IFERROR(__xludf.DUMMYFUNCTION("""COMPUTED_VALUE"""),0.0)</f>
        <v>0</v>
      </c>
      <c r="W206" s="3">
        <f>IFERROR(__xludf.DUMMYFUNCTION("""COMPUTED_VALUE"""),0.0)</f>
        <v>0</v>
      </c>
      <c r="X206" s="3">
        <f>IFERROR(__xludf.DUMMYFUNCTION("""COMPUTED_VALUE"""),0.0)</f>
        <v>0</v>
      </c>
      <c r="Y206" s="3">
        <f>IFERROR(__xludf.DUMMYFUNCTION("""COMPUTED_VALUE"""),0.0)</f>
        <v>0</v>
      </c>
      <c r="Z206" s="3">
        <f>IFERROR(__xludf.DUMMYFUNCTION("""COMPUTED_VALUE"""),0.0)</f>
        <v>0</v>
      </c>
      <c r="AA206" s="3">
        <f>IFERROR(__xludf.DUMMYFUNCTION("""COMPUTED_VALUE"""),0.0)</f>
        <v>0</v>
      </c>
      <c r="AB206" s="3">
        <f>IFERROR(__xludf.DUMMYFUNCTION("""COMPUTED_VALUE"""),0.0)</f>
        <v>0</v>
      </c>
      <c r="AC206" s="3">
        <f>IFERROR(__xludf.DUMMYFUNCTION("""COMPUTED_VALUE"""),0.0)</f>
        <v>0</v>
      </c>
      <c r="AD206" s="3">
        <f>IFERROR(__xludf.DUMMYFUNCTION("""COMPUTED_VALUE"""),0.0)</f>
        <v>0</v>
      </c>
      <c r="AE206" s="3">
        <f>IFERROR(__xludf.DUMMYFUNCTION("""COMPUTED_VALUE"""),0.0)</f>
        <v>0</v>
      </c>
      <c r="AF206" s="3">
        <f>IFERROR(__xludf.DUMMYFUNCTION("""COMPUTED_VALUE"""),0.0)</f>
        <v>0</v>
      </c>
      <c r="AG206" s="3">
        <f>IFERROR(__xludf.DUMMYFUNCTION("""COMPUTED_VALUE"""),0.0)</f>
        <v>0</v>
      </c>
      <c r="AH206" s="3">
        <f>IFERROR(__xludf.DUMMYFUNCTION("""COMPUTED_VALUE"""),0.0)</f>
        <v>0</v>
      </c>
      <c r="AI206" s="3">
        <f>IFERROR(__xludf.DUMMYFUNCTION("""COMPUTED_VALUE"""),0.0)</f>
        <v>0</v>
      </c>
      <c r="AJ206" s="3">
        <f>IFERROR(__xludf.DUMMYFUNCTION("""COMPUTED_VALUE"""),0.0)</f>
        <v>0</v>
      </c>
      <c r="AK206" s="3">
        <f>IFERROR(__xludf.DUMMYFUNCTION("""COMPUTED_VALUE"""),0.0)</f>
        <v>0</v>
      </c>
      <c r="AL206" s="3">
        <f>IFERROR(__xludf.DUMMYFUNCTION("""COMPUTED_VALUE"""),0.0)</f>
        <v>0</v>
      </c>
      <c r="AM206" s="3">
        <f>IFERROR(__xludf.DUMMYFUNCTION("""COMPUTED_VALUE"""),0.0)</f>
        <v>0</v>
      </c>
      <c r="AN206" s="3">
        <f>IFERROR(__xludf.DUMMYFUNCTION("""COMPUTED_VALUE"""),0.0)</f>
        <v>0</v>
      </c>
      <c r="AO206" s="3">
        <f>IFERROR(__xludf.DUMMYFUNCTION("""COMPUTED_VALUE"""),0.0)</f>
        <v>0</v>
      </c>
      <c r="AP206" s="3">
        <f>IFERROR(__xludf.DUMMYFUNCTION("""COMPUTED_VALUE"""),0.0)</f>
        <v>0</v>
      </c>
      <c r="AQ206" s="3">
        <f>IFERROR(__xludf.DUMMYFUNCTION("""COMPUTED_VALUE"""),0.0)</f>
        <v>0</v>
      </c>
      <c r="AR206" s="3">
        <f>IFERROR(__xludf.DUMMYFUNCTION("""COMPUTED_VALUE"""),0.0)</f>
        <v>0</v>
      </c>
      <c r="AS206" s="3">
        <f>IFERROR(__xludf.DUMMYFUNCTION("""COMPUTED_VALUE"""),0.0)</f>
        <v>0</v>
      </c>
      <c r="AT206" s="3">
        <f>IFERROR(__xludf.DUMMYFUNCTION("""COMPUTED_VALUE"""),0.0)</f>
        <v>0</v>
      </c>
      <c r="AU206" s="3">
        <f>IFERROR(__xludf.DUMMYFUNCTION("""COMPUTED_VALUE"""),0.0)</f>
        <v>0</v>
      </c>
      <c r="AV206" s="3">
        <f>IFERROR(__xludf.DUMMYFUNCTION("""COMPUTED_VALUE"""),0.0)</f>
        <v>0</v>
      </c>
      <c r="AW206" s="3">
        <f>IFERROR(__xludf.DUMMYFUNCTION("""COMPUTED_VALUE"""),0.0)</f>
        <v>0</v>
      </c>
      <c r="AX206" s="3">
        <f>IFERROR(__xludf.DUMMYFUNCTION("""COMPUTED_VALUE"""),0.0)</f>
        <v>0</v>
      </c>
      <c r="AY206" s="3">
        <f>IFERROR(__xludf.DUMMYFUNCTION("""COMPUTED_VALUE"""),0.0)</f>
        <v>0</v>
      </c>
      <c r="AZ206" s="3">
        <f>IFERROR(__xludf.DUMMYFUNCTION("""COMPUTED_VALUE"""),0.0)</f>
        <v>0</v>
      </c>
      <c r="BA206" s="3">
        <f>IFERROR(__xludf.DUMMYFUNCTION("""COMPUTED_VALUE"""),0.0)</f>
        <v>0</v>
      </c>
      <c r="BB206" s="3">
        <f>IFERROR(__xludf.DUMMYFUNCTION("""COMPUTED_VALUE"""),0.0)</f>
        <v>0</v>
      </c>
      <c r="BC206" s="3">
        <f>IFERROR(__xludf.DUMMYFUNCTION("""COMPUTED_VALUE"""),0.0)</f>
        <v>0</v>
      </c>
      <c r="BD206" s="3">
        <f>IFERROR(__xludf.DUMMYFUNCTION("""COMPUTED_VALUE"""),0.0)</f>
        <v>0</v>
      </c>
      <c r="BE206" s="3">
        <f>IFERROR(__xludf.DUMMYFUNCTION("""COMPUTED_VALUE"""),1.0)</f>
        <v>1</v>
      </c>
      <c r="BF206" s="3">
        <f>IFERROR(__xludf.DUMMYFUNCTION("""COMPUTED_VALUE"""),1.0)</f>
        <v>1</v>
      </c>
      <c r="BG206" s="3">
        <f>IFERROR(__xludf.DUMMYFUNCTION("""COMPUTED_VALUE"""),1.0)</f>
        <v>1</v>
      </c>
      <c r="BH206" s="3">
        <f>IFERROR(__xludf.DUMMYFUNCTION("""COMPUTED_VALUE"""),1.0)</f>
        <v>1</v>
      </c>
      <c r="BI206" s="3">
        <f>IFERROR(__xludf.DUMMYFUNCTION("""COMPUTED_VALUE"""),1.0)</f>
        <v>1</v>
      </c>
      <c r="BJ206" s="3">
        <f>IFERROR(__xludf.DUMMYFUNCTION("""COMPUTED_VALUE"""),1.0)</f>
        <v>1</v>
      </c>
      <c r="BK206" s="3">
        <f>IFERROR(__xludf.DUMMYFUNCTION("""COMPUTED_VALUE"""),4.0)</f>
        <v>4</v>
      </c>
      <c r="BL206" s="3">
        <f>IFERROR(__xludf.DUMMYFUNCTION("""COMPUTED_VALUE"""),4.0)</f>
        <v>4</v>
      </c>
      <c r="BM206" s="3">
        <f>IFERROR(__xludf.DUMMYFUNCTION("""COMPUTED_VALUE"""),5.0)</f>
        <v>5</v>
      </c>
      <c r="BN206" s="3">
        <f>IFERROR(__xludf.DUMMYFUNCTION("""COMPUTED_VALUE"""),5.0)</f>
        <v>5</v>
      </c>
      <c r="BO206" s="3">
        <f>IFERROR(__xludf.DUMMYFUNCTION("""COMPUTED_VALUE"""),7.0)</f>
        <v>7</v>
      </c>
      <c r="BP206" s="3">
        <f>IFERROR(__xludf.DUMMYFUNCTION("""COMPUTED_VALUE"""),8.0)</f>
        <v>8</v>
      </c>
      <c r="BQ206" s="3">
        <f>IFERROR(__xludf.DUMMYFUNCTION("""COMPUTED_VALUE"""),8.0)</f>
        <v>8</v>
      </c>
      <c r="BR206" s="3">
        <f>IFERROR(__xludf.DUMMYFUNCTION("""COMPUTED_VALUE"""),8.0)</f>
        <v>8</v>
      </c>
      <c r="BS206" s="3">
        <f>IFERROR(__xludf.DUMMYFUNCTION("""COMPUTED_VALUE"""),8.0)</f>
        <v>8</v>
      </c>
      <c r="BT206" s="3">
        <f>IFERROR(__xludf.DUMMYFUNCTION("""COMPUTED_VALUE"""),8.0)</f>
        <v>8</v>
      </c>
      <c r="BU206" s="3">
        <f>IFERROR(__xludf.DUMMYFUNCTION("""COMPUTED_VALUE"""),8.0)</f>
        <v>8</v>
      </c>
      <c r="BV206" s="3">
        <f>IFERROR(__xludf.DUMMYFUNCTION("""COMPUTED_VALUE"""),9.0)</f>
        <v>9</v>
      </c>
      <c r="BW206" s="3">
        <f>IFERROR(__xludf.DUMMYFUNCTION("""COMPUTED_VALUE"""),10.0)</f>
        <v>10</v>
      </c>
      <c r="BX206" s="3">
        <f>IFERROR(__xludf.DUMMYFUNCTION("""COMPUTED_VALUE"""),10.0)</f>
        <v>10</v>
      </c>
      <c r="BY206" s="3">
        <f>IFERROR(__xludf.DUMMYFUNCTION("""COMPUTED_VALUE"""),10.0)</f>
        <v>10</v>
      </c>
      <c r="BZ206" s="3">
        <f>IFERROR(__xludf.DUMMYFUNCTION("""COMPUTED_VALUE"""),10.0)</f>
        <v>10</v>
      </c>
      <c r="CA206" s="3">
        <f>IFERROR(__xludf.DUMMYFUNCTION("""COMPUTED_VALUE"""),10.0)</f>
        <v>10</v>
      </c>
      <c r="CB206" s="3">
        <f>IFERROR(__xludf.DUMMYFUNCTION("""COMPUTED_VALUE"""),10.0)</f>
        <v>10</v>
      </c>
    </row>
    <row r="207">
      <c r="A207" s="3" t="str">
        <f>IFERROR(__xludf.DUMMYFUNCTION("""COMPUTED_VALUE"""),"")</f>
        <v/>
      </c>
      <c r="B207" s="3" t="str">
        <f>IFERROR(__xludf.DUMMYFUNCTION("""COMPUTED_VALUE"""),"Sweden")</f>
        <v>Sweden</v>
      </c>
      <c r="C207" s="3">
        <f>IFERROR(__xludf.DUMMYFUNCTION("""COMPUTED_VALUE"""),63.0)</f>
        <v>63</v>
      </c>
      <c r="D207" s="3">
        <f>IFERROR(__xludf.DUMMYFUNCTION("""COMPUTED_VALUE"""),16.0)</f>
        <v>16</v>
      </c>
      <c r="E207" s="3">
        <f>IFERROR(__xludf.DUMMYFUNCTION("""COMPUTED_VALUE"""),0.0)</f>
        <v>0</v>
      </c>
      <c r="F207" s="3">
        <f>IFERROR(__xludf.DUMMYFUNCTION("""COMPUTED_VALUE"""),0.0)</f>
        <v>0</v>
      </c>
      <c r="G207" s="3">
        <f>IFERROR(__xludf.DUMMYFUNCTION("""COMPUTED_VALUE"""),0.0)</f>
        <v>0</v>
      </c>
      <c r="H207" s="3">
        <f>IFERROR(__xludf.DUMMYFUNCTION("""COMPUTED_VALUE"""),0.0)</f>
        <v>0</v>
      </c>
      <c r="I207" s="3">
        <f>IFERROR(__xludf.DUMMYFUNCTION("""COMPUTED_VALUE"""),0.0)</f>
        <v>0</v>
      </c>
      <c r="J207" s="3">
        <f>IFERROR(__xludf.DUMMYFUNCTION("""COMPUTED_VALUE"""),0.0)</f>
        <v>0</v>
      </c>
      <c r="K207" s="3">
        <f>IFERROR(__xludf.DUMMYFUNCTION("""COMPUTED_VALUE"""),0.0)</f>
        <v>0</v>
      </c>
      <c r="L207" s="3">
        <f>IFERROR(__xludf.DUMMYFUNCTION("""COMPUTED_VALUE"""),0.0)</f>
        <v>0</v>
      </c>
      <c r="M207" s="3">
        <f>IFERROR(__xludf.DUMMYFUNCTION("""COMPUTED_VALUE"""),0.0)</f>
        <v>0</v>
      </c>
      <c r="N207" s="3">
        <f>IFERROR(__xludf.DUMMYFUNCTION("""COMPUTED_VALUE"""),1.0)</f>
        <v>1</v>
      </c>
      <c r="O207" s="3">
        <f>IFERROR(__xludf.DUMMYFUNCTION("""COMPUTED_VALUE"""),1.0)</f>
        <v>1</v>
      </c>
      <c r="P207" s="3">
        <f>IFERROR(__xludf.DUMMYFUNCTION("""COMPUTED_VALUE"""),1.0)</f>
        <v>1</v>
      </c>
      <c r="Q207" s="3">
        <f>IFERROR(__xludf.DUMMYFUNCTION("""COMPUTED_VALUE"""),1.0)</f>
        <v>1</v>
      </c>
      <c r="R207" s="3">
        <f>IFERROR(__xludf.DUMMYFUNCTION("""COMPUTED_VALUE"""),1.0)</f>
        <v>1</v>
      </c>
      <c r="S207" s="3">
        <f>IFERROR(__xludf.DUMMYFUNCTION("""COMPUTED_VALUE"""),1.0)</f>
        <v>1</v>
      </c>
      <c r="T207" s="3">
        <f>IFERROR(__xludf.DUMMYFUNCTION("""COMPUTED_VALUE"""),1.0)</f>
        <v>1</v>
      </c>
      <c r="U207" s="3">
        <f>IFERROR(__xludf.DUMMYFUNCTION("""COMPUTED_VALUE"""),1.0)</f>
        <v>1</v>
      </c>
      <c r="V207" s="3">
        <f>IFERROR(__xludf.DUMMYFUNCTION("""COMPUTED_VALUE"""),1.0)</f>
        <v>1</v>
      </c>
      <c r="W207" s="3">
        <f>IFERROR(__xludf.DUMMYFUNCTION("""COMPUTED_VALUE"""),1.0)</f>
        <v>1</v>
      </c>
      <c r="X207" s="3">
        <f>IFERROR(__xludf.DUMMYFUNCTION("""COMPUTED_VALUE"""),1.0)</f>
        <v>1</v>
      </c>
      <c r="Y207" s="3">
        <f>IFERROR(__xludf.DUMMYFUNCTION("""COMPUTED_VALUE"""),1.0)</f>
        <v>1</v>
      </c>
      <c r="Z207" s="3">
        <f>IFERROR(__xludf.DUMMYFUNCTION("""COMPUTED_VALUE"""),1.0)</f>
        <v>1</v>
      </c>
      <c r="AA207" s="3">
        <f>IFERROR(__xludf.DUMMYFUNCTION("""COMPUTED_VALUE"""),1.0)</f>
        <v>1</v>
      </c>
      <c r="AB207" s="3">
        <f>IFERROR(__xludf.DUMMYFUNCTION("""COMPUTED_VALUE"""),1.0)</f>
        <v>1</v>
      </c>
      <c r="AC207" s="3">
        <f>IFERROR(__xludf.DUMMYFUNCTION("""COMPUTED_VALUE"""),1.0)</f>
        <v>1</v>
      </c>
      <c r="AD207" s="3">
        <f>IFERROR(__xludf.DUMMYFUNCTION("""COMPUTED_VALUE"""),1.0)</f>
        <v>1</v>
      </c>
      <c r="AE207" s="3">
        <f>IFERROR(__xludf.DUMMYFUNCTION("""COMPUTED_VALUE"""),1.0)</f>
        <v>1</v>
      </c>
      <c r="AF207" s="3">
        <f>IFERROR(__xludf.DUMMYFUNCTION("""COMPUTED_VALUE"""),1.0)</f>
        <v>1</v>
      </c>
      <c r="AG207" s="3">
        <f>IFERROR(__xludf.DUMMYFUNCTION("""COMPUTED_VALUE"""),1.0)</f>
        <v>1</v>
      </c>
      <c r="AH207" s="3">
        <f>IFERROR(__xludf.DUMMYFUNCTION("""COMPUTED_VALUE"""),1.0)</f>
        <v>1</v>
      </c>
      <c r="AI207" s="3">
        <f>IFERROR(__xludf.DUMMYFUNCTION("""COMPUTED_VALUE"""),1.0)</f>
        <v>1</v>
      </c>
      <c r="AJ207" s="3">
        <f>IFERROR(__xludf.DUMMYFUNCTION("""COMPUTED_VALUE"""),1.0)</f>
        <v>1</v>
      </c>
      <c r="AK207" s="3">
        <f>IFERROR(__xludf.DUMMYFUNCTION("""COMPUTED_VALUE"""),1.0)</f>
        <v>1</v>
      </c>
      <c r="AL207" s="3">
        <f>IFERROR(__xludf.DUMMYFUNCTION("""COMPUTED_VALUE"""),1.0)</f>
        <v>1</v>
      </c>
      <c r="AM207" s="3">
        <f>IFERROR(__xludf.DUMMYFUNCTION("""COMPUTED_VALUE"""),1.0)</f>
        <v>1</v>
      </c>
      <c r="AN207" s="3">
        <f>IFERROR(__xludf.DUMMYFUNCTION("""COMPUTED_VALUE"""),2.0)</f>
        <v>2</v>
      </c>
      <c r="AO207" s="3">
        <f>IFERROR(__xludf.DUMMYFUNCTION("""COMPUTED_VALUE"""),7.0)</f>
        <v>7</v>
      </c>
      <c r="AP207" s="3">
        <f>IFERROR(__xludf.DUMMYFUNCTION("""COMPUTED_VALUE"""),7.0)</f>
        <v>7</v>
      </c>
      <c r="AQ207" s="3">
        <f>IFERROR(__xludf.DUMMYFUNCTION("""COMPUTED_VALUE"""),12.0)</f>
        <v>12</v>
      </c>
      <c r="AR207" s="3">
        <f>IFERROR(__xludf.DUMMYFUNCTION("""COMPUTED_VALUE"""),14.0)</f>
        <v>14</v>
      </c>
      <c r="AS207" s="3">
        <f>IFERROR(__xludf.DUMMYFUNCTION("""COMPUTED_VALUE"""),15.0)</f>
        <v>15</v>
      </c>
      <c r="AT207" s="3">
        <f>IFERROR(__xludf.DUMMYFUNCTION("""COMPUTED_VALUE"""),21.0)</f>
        <v>21</v>
      </c>
      <c r="AU207" s="3">
        <f>IFERROR(__xludf.DUMMYFUNCTION("""COMPUTED_VALUE"""),35.0)</f>
        <v>35</v>
      </c>
      <c r="AV207" s="3">
        <f>IFERROR(__xludf.DUMMYFUNCTION("""COMPUTED_VALUE"""),94.0)</f>
        <v>94</v>
      </c>
      <c r="AW207" s="3">
        <f>IFERROR(__xludf.DUMMYFUNCTION("""COMPUTED_VALUE"""),101.0)</f>
        <v>101</v>
      </c>
      <c r="AX207" s="3">
        <f>IFERROR(__xludf.DUMMYFUNCTION("""COMPUTED_VALUE"""),161.0)</f>
        <v>161</v>
      </c>
      <c r="AY207" s="3">
        <f>IFERROR(__xludf.DUMMYFUNCTION("""COMPUTED_VALUE"""),203.0)</f>
        <v>203</v>
      </c>
      <c r="AZ207" s="3">
        <f>IFERROR(__xludf.DUMMYFUNCTION("""COMPUTED_VALUE"""),248.0)</f>
        <v>248</v>
      </c>
      <c r="BA207" s="3">
        <f>IFERROR(__xludf.DUMMYFUNCTION("""COMPUTED_VALUE"""),355.0)</f>
        <v>355</v>
      </c>
      <c r="BB207" s="3">
        <f>IFERROR(__xludf.DUMMYFUNCTION("""COMPUTED_VALUE"""),500.0)</f>
        <v>500</v>
      </c>
      <c r="BC207" s="3">
        <f>IFERROR(__xludf.DUMMYFUNCTION("""COMPUTED_VALUE"""),599.0)</f>
        <v>599</v>
      </c>
      <c r="BD207" s="3">
        <f>IFERROR(__xludf.DUMMYFUNCTION("""COMPUTED_VALUE"""),814.0)</f>
        <v>814</v>
      </c>
      <c r="BE207" s="3">
        <f>IFERROR(__xludf.DUMMYFUNCTION("""COMPUTED_VALUE"""),961.0)</f>
        <v>961</v>
      </c>
      <c r="BF207" s="3">
        <f>IFERROR(__xludf.DUMMYFUNCTION("""COMPUTED_VALUE"""),1022.0)</f>
        <v>1022</v>
      </c>
      <c r="BG207" s="3">
        <f>IFERROR(__xludf.DUMMYFUNCTION("""COMPUTED_VALUE"""),1103.0)</f>
        <v>1103</v>
      </c>
      <c r="BH207" s="3">
        <f>IFERROR(__xludf.DUMMYFUNCTION("""COMPUTED_VALUE"""),1190.0)</f>
        <v>1190</v>
      </c>
      <c r="BI207" s="3">
        <f>IFERROR(__xludf.DUMMYFUNCTION("""COMPUTED_VALUE"""),1279.0)</f>
        <v>1279</v>
      </c>
      <c r="BJ207" s="3">
        <f>IFERROR(__xludf.DUMMYFUNCTION("""COMPUTED_VALUE"""),1439.0)</f>
        <v>1439</v>
      </c>
      <c r="BK207" s="3">
        <f>IFERROR(__xludf.DUMMYFUNCTION("""COMPUTED_VALUE"""),1639.0)</f>
        <v>1639</v>
      </c>
      <c r="BL207" s="3">
        <f>IFERROR(__xludf.DUMMYFUNCTION("""COMPUTED_VALUE"""),1763.0)</f>
        <v>1763</v>
      </c>
      <c r="BM207" s="3">
        <f>IFERROR(__xludf.DUMMYFUNCTION("""COMPUTED_VALUE"""),1934.0)</f>
        <v>1934</v>
      </c>
      <c r="BN207" s="3">
        <f>IFERROR(__xludf.DUMMYFUNCTION("""COMPUTED_VALUE"""),2046.0)</f>
        <v>2046</v>
      </c>
      <c r="BO207" s="3">
        <f>IFERROR(__xludf.DUMMYFUNCTION("""COMPUTED_VALUE"""),2286.0)</f>
        <v>2286</v>
      </c>
      <c r="BP207" s="3">
        <f>IFERROR(__xludf.DUMMYFUNCTION("""COMPUTED_VALUE"""),2526.0)</f>
        <v>2526</v>
      </c>
      <c r="BQ207" s="3">
        <f>IFERROR(__xludf.DUMMYFUNCTION("""COMPUTED_VALUE"""),2840.0)</f>
        <v>2840</v>
      </c>
      <c r="BR207" s="3">
        <f>IFERROR(__xludf.DUMMYFUNCTION("""COMPUTED_VALUE"""),3069.0)</f>
        <v>3069</v>
      </c>
      <c r="BS207" s="3">
        <f>IFERROR(__xludf.DUMMYFUNCTION("""COMPUTED_VALUE"""),3447.0)</f>
        <v>3447</v>
      </c>
      <c r="BT207" s="3">
        <f>IFERROR(__xludf.DUMMYFUNCTION("""COMPUTED_VALUE"""),3700.0)</f>
        <v>3700</v>
      </c>
      <c r="BU207" s="3">
        <f>IFERROR(__xludf.DUMMYFUNCTION("""COMPUTED_VALUE"""),4028.0)</f>
        <v>4028</v>
      </c>
      <c r="BV207" s="3">
        <f>IFERROR(__xludf.DUMMYFUNCTION("""COMPUTED_VALUE"""),4435.0)</f>
        <v>4435</v>
      </c>
      <c r="BW207" s="3">
        <f>IFERROR(__xludf.DUMMYFUNCTION("""COMPUTED_VALUE"""),4947.0)</f>
        <v>4947</v>
      </c>
      <c r="BX207" s="3">
        <f>IFERROR(__xludf.DUMMYFUNCTION("""COMPUTED_VALUE"""),5568.0)</f>
        <v>5568</v>
      </c>
      <c r="BY207" s="3">
        <f>IFERROR(__xludf.DUMMYFUNCTION("""COMPUTED_VALUE"""),6131.0)</f>
        <v>6131</v>
      </c>
      <c r="BZ207" s="3">
        <f>IFERROR(__xludf.DUMMYFUNCTION("""COMPUTED_VALUE"""),6443.0)</f>
        <v>6443</v>
      </c>
      <c r="CA207" s="3">
        <f>IFERROR(__xludf.DUMMYFUNCTION("""COMPUTED_VALUE"""),6830.0)</f>
        <v>6830</v>
      </c>
      <c r="CB207" s="3">
        <f>IFERROR(__xludf.DUMMYFUNCTION("""COMPUTED_VALUE"""),7206.0)</f>
        <v>7206</v>
      </c>
    </row>
    <row r="208">
      <c r="A208" s="3" t="str">
        <f>IFERROR(__xludf.DUMMYFUNCTION("""COMPUTED_VALUE"""),"")</f>
        <v/>
      </c>
      <c r="B208" s="3" t="str">
        <f>IFERROR(__xludf.DUMMYFUNCTION("""COMPUTED_VALUE"""),"Switzerland")</f>
        <v>Switzerland</v>
      </c>
      <c r="C208" s="3">
        <f>IFERROR(__xludf.DUMMYFUNCTION("""COMPUTED_VALUE"""),46.8182)</f>
        <v>46.8182</v>
      </c>
      <c r="D208" s="3">
        <f>IFERROR(__xludf.DUMMYFUNCTION("""COMPUTED_VALUE"""),8.2275)</f>
        <v>8.2275</v>
      </c>
      <c r="E208" s="3">
        <f>IFERROR(__xludf.DUMMYFUNCTION("""COMPUTED_VALUE"""),0.0)</f>
        <v>0</v>
      </c>
      <c r="F208" s="3">
        <f>IFERROR(__xludf.DUMMYFUNCTION("""COMPUTED_VALUE"""),0.0)</f>
        <v>0</v>
      </c>
      <c r="G208" s="3">
        <f>IFERROR(__xludf.DUMMYFUNCTION("""COMPUTED_VALUE"""),0.0)</f>
        <v>0</v>
      </c>
      <c r="H208" s="3">
        <f>IFERROR(__xludf.DUMMYFUNCTION("""COMPUTED_VALUE"""),0.0)</f>
        <v>0</v>
      </c>
      <c r="I208" s="3">
        <f>IFERROR(__xludf.DUMMYFUNCTION("""COMPUTED_VALUE"""),0.0)</f>
        <v>0</v>
      </c>
      <c r="J208" s="3">
        <f>IFERROR(__xludf.DUMMYFUNCTION("""COMPUTED_VALUE"""),0.0)</f>
        <v>0</v>
      </c>
      <c r="K208" s="3">
        <f>IFERROR(__xludf.DUMMYFUNCTION("""COMPUTED_VALUE"""),0.0)</f>
        <v>0</v>
      </c>
      <c r="L208" s="3">
        <f>IFERROR(__xludf.DUMMYFUNCTION("""COMPUTED_VALUE"""),0.0)</f>
        <v>0</v>
      </c>
      <c r="M208" s="3">
        <f>IFERROR(__xludf.DUMMYFUNCTION("""COMPUTED_VALUE"""),0.0)</f>
        <v>0</v>
      </c>
      <c r="N208" s="3">
        <f>IFERROR(__xludf.DUMMYFUNCTION("""COMPUTED_VALUE"""),0.0)</f>
        <v>0</v>
      </c>
      <c r="O208" s="3">
        <f>IFERROR(__xludf.DUMMYFUNCTION("""COMPUTED_VALUE"""),0.0)</f>
        <v>0</v>
      </c>
      <c r="P208" s="3">
        <f>IFERROR(__xludf.DUMMYFUNCTION("""COMPUTED_VALUE"""),0.0)</f>
        <v>0</v>
      </c>
      <c r="Q208" s="3">
        <f>IFERROR(__xludf.DUMMYFUNCTION("""COMPUTED_VALUE"""),0.0)</f>
        <v>0</v>
      </c>
      <c r="R208" s="3">
        <f>IFERROR(__xludf.DUMMYFUNCTION("""COMPUTED_VALUE"""),0.0)</f>
        <v>0</v>
      </c>
      <c r="S208" s="3">
        <f>IFERROR(__xludf.DUMMYFUNCTION("""COMPUTED_VALUE"""),0.0)</f>
        <v>0</v>
      </c>
      <c r="T208" s="3">
        <f>IFERROR(__xludf.DUMMYFUNCTION("""COMPUTED_VALUE"""),0.0)</f>
        <v>0</v>
      </c>
      <c r="U208" s="3">
        <f>IFERROR(__xludf.DUMMYFUNCTION("""COMPUTED_VALUE"""),0.0)</f>
        <v>0</v>
      </c>
      <c r="V208" s="3">
        <f>IFERROR(__xludf.DUMMYFUNCTION("""COMPUTED_VALUE"""),0.0)</f>
        <v>0</v>
      </c>
      <c r="W208" s="3">
        <f>IFERROR(__xludf.DUMMYFUNCTION("""COMPUTED_VALUE"""),0.0)</f>
        <v>0</v>
      </c>
      <c r="X208" s="3">
        <f>IFERROR(__xludf.DUMMYFUNCTION("""COMPUTED_VALUE"""),0.0)</f>
        <v>0</v>
      </c>
      <c r="Y208" s="3">
        <f>IFERROR(__xludf.DUMMYFUNCTION("""COMPUTED_VALUE"""),0.0)</f>
        <v>0</v>
      </c>
      <c r="Z208" s="3">
        <f>IFERROR(__xludf.DUMMYFUNCTION("""COMPUTED_VALUE"""),0.0)</f>
        <v>0</v>
      </c>
      <c r="AA208" s="3">
        <f>IFERROR(__xludf.DUMMYFUNCTION("""COMPUTED_VALUE"""),0.0)</f>
        <v>0</v>
      </c>
      <c r="AB208" s="3">
        <f>IFERROR(__xludf.DUMMYFUNCTION("""COMPUTED_VALUE"""),0.0)</f>
        <v>0</v>
      </c>
      <c r="AC208" s="3">
        <f>IFERROR(__xludf.DUMMYFUNCTION("""COMPUTED_VALUE"""),0.0)</f>
        <v>0</v>
      </c>
      <c r="AD208" s="3">
        <f>IFERROR(__xludf.DUMMYFUNCTION("""COMPUTED_VALUE"""),0.0)</f>
        <v>0</v>
      </c>
      <c r="AE208" s="3">
        <f>IFERROR(__xludf.DUMMYFUNCTION("""COMPUTED_VALUE"""),0.0)</f>
        <v>0</v>
      </c>
      <c r="AF208" s="3">
        <f>IFERROR(__xludf.DUMMYFUNCTION("""COMPUTED_VALUE"""),0.0)</f>
        <v>0</v>
      </c>
      <c r="AG208" s="3">
        <f>IFERROR(__xludf.DUMMYFUNCTION("""COMPUTED_VALUE"""),0.0)</f>
        <v>0</v>
      </c>
      <c r="AH208" s="3">
        <f>IFERROR(__xludf.DUMMYFUNCTION("""COMPUTED_VALUE"""),0.0)</f>
        <v>0</v>
      </c>
      <c r="AI208" s="3">
        <f>IFERROR(__xludf.DUMMYFUNCTION("""COMPUTED_VALUE"""),0.0)</f>
        <v>0</v>
      </c>
      <c r="AJ208" s="3">
        <f>IFERROR(__xludf.DUMMYFUNCTION("""COMPUTED_VALUE"""),0.0)</f>
        <v>0</v>
      </c>
      <c r="AK208" s="3">
        <f>IFERROR(__xludf.DUMMYFUNCTION("""COMPUTED_VALUE"""),0.0)</f>
        <v>0</v>
      </c>
      <c r="AL208" s="3">
        <f>IFERROR(__xludf.DUMMYFUNCTION("""COMPUTED_VALUE"""),0.0)</f>
        <v>0</v>
      </c>
      <c r="AM208" s="3">
        <f>IFERROR(__xludf.DUMMYFUNCTION("""COMPUTED_VALUE"""),1.0)</f>
        <v>1</v>
      </c>
      <c r="AN208" s="3">
        <f>IFERROR(__xludf.DUMMYFUNCTION("""COMPUTED_VALUE"""),1.0)</f>
        <v>1</v>
      </c>
      <c r="AO208" s="3">
        <f>IFERROR(__xludf.DUMMYFUNCTION("""COMPUTED_VALUE"""),8.0)</f>
        <v>8</v>
      </c>
      <c r="AP208" s="3">
        <f>IFERROR(__xludf.DUMMYFUNCTION("""COMPUTED_VALUE"""),8.0)</f>
        <v>8</v>
      </c>
      <c r="AQ208" s="3">
        <f>IFERROR(__xludf.DUMMYFUNCTION("""COMPUTED_VALUE"""),18.0)</f>
        <v>18</v>
      </c>
      <c r="AR208" s="3">
        <f>IFERROR(__xludf.DUMMYFUNCTION("""COMPUTED_VALUE"""),27.0)</f>
        <v>27</v>
      </c>
      <c r="AS208" s="3">
        <f>IFERROR(__xludf.DUMMYFUNCTION("""COMPUTED_VALUE"""),42.0)</f>
        <v>42</v>
      </c>
      <c r="AT208" s="3">
        <f>IFERROR(__xludf.DUMMYFUNCTION("""COMPUTED_VALUE"""),56.0)</f>
        <v>56</v>
      </c>
      <c r="AU208" s="3">
        <f>IFERROR(__xludf.DUMMYFUNCTION("""COMPUTED_VALUE"""),90.0)</f>
        <v>90</v>
      </c>
      <c r="AV208" s="3">
        <f>IFERROR(__xludf.DUMMYFUNCTION("""COMPUTED_VALUE"""),114.0)</f>
        <v>114</v>
      </c>
      <c r="AW208" s="3">
        <f>IFERROR(__xludf.DUMMYFUNCTION("""COMPUTED_VALUE"""),214.0)</f>
        <v>214</v>
      </c>
      <c r="AX208" s="3">
        <f>IFERROR(__xludf.DUMMYFUNCTION("""COMPUTED_VALUE"""),268.0)</f>
        <v>268</v>
      </c>
      <c r="AY208" s="3">
        <f>IFERROR(__xludf.DUMMYFUNCTION("""COMPUTED_VALUE"""),337.0)</f>
        <v>337</v>
      </c>
      <c r="AZ208" s="3">
        <f>IFERROR(__xludf.DUMMYFUNCTION("""COMPUTED_VALUE"""),374.0)</f>
        <v>374</v>
      </c>
      <c r="BA208" s="3">
        <f>IFERROR(__xludf.DUMMYFUNCTION("""COMPUTED_VALUE"""),491.0)</f>
        <v>491</v>
      </c>
      <c r="BB208" s="3">
        <f>IFERROR(__xludf.DUMMYFUNCTION("""COMPUTED_VALUE"""),652.0)</f>
        <v>652</v>
      </c>
      <c r="BC208" s="3">
        <f>IFERROR(__xludf.DUMMYFUNCTION("""COMPUTED_VALUE"""),652.0)</f>
        <v>652</v>
      </c>
      <c r="BD208" s="3">
        <f>IFERROR(__xludf.DUMMYFUNCTION("""COMPUTED_VALUE"""),1139.0)</f>
        <v>1139</v>
      </c>
      <c r="BE208" s="3">
        <f>IFERROR(__xludf.DUMMYFUNCTION("""COMPUTED_VALUE"""),1359.0)</f>
        <v>1359</v>
      </c>
      <c r="BF208" s="3">
        <f>IFERROR(__xludf.DUMMYFUNCTION("""COMPUTED_VALUE"""),2200.0)</f>
        <v>2200</v>
      </c>
      <c r="BG208" s="3">
        <f>IFERROR(__xludf.DUMMYFUNCTION("""COMPUTED_VALUE"""),2200.0)</f>
        <v>2200</v>
      </c>
      <c r="BH208" s="3">
        <f>IFERROR(__xludf.DUMMYFUNCTION("""COMPUTED_VALUE"""),2700.0)</f>
        <v>2700</v>
      </c>
      <c r="BI208" s="3">
        <f>IFERROR(__xludf.DUMMYFUNCTION("""COMPUTED_VALUE"""),3028.0)</f>
        <v>3028</v>
      </c>
      <c r="BJ208" s="3">
        <f>IFERROR(__xludf.DUMMYFUNCTION("""COMPUTED_VALUE"""),4075.0)</f>
        <v>4075</v>
      </c>
      <c r="BK208" s="3">
        <f>IFERROR(__xludf.DUMMYFUNCTION("""COMPUTED_VALUE"""),5294.0)</f>
        <v>5294</v>
      </c>
      <c r="BL208" s="3">
        <f>IFERROR(__xludf.DUMMYFUNCTION("""COMPUTED_VALUE"""),6575.0)</f>
        <v>6575</v>
      </c>
      <c r="BM208" s="3">
        <f>IFERROR(__xludf.DUMMYFUNCTION("""COMPUTED_VALUE"""),7474.0)</f>
        <v>7474</v>
      </c>
      <c r="BN208" s="3">
        <f>IFERROR(__xludf.DUMMYFUNCTION("""COMPUTED_VALUE"""),8795.0)</f>
        <v>8795</v>
      </c>
      <c r="BO208" s="3">
        <f>IFERROR(__xludf.DUMMYFUNCTION("""COMPUTED_VALUE"""),9877.0)</f>
        <v>9877</v>
      </c>
      <c r="BP208" s="3">
        <f>IFERROR(__xludf.DUMMYFUNCTION("""COMPUTED_VALUE"""),10897.0)</f>
        <v>10897</v>
      </c>
      <c r="BQ208" s="3">
        <f>IFERROR(__xludf.DUMMYFUNCTION("""COMPUTED_VALUE"""),11811.0)</f>
        <v>11811</v>
      </c>
      <c r="BR208" s="3">
        <f>IFERROR(__xludf.DUMMYFUNCTION("""COMPUTED_VALUE"""),12928.0)</f>
        <v>12928</v>
      </c>
      <c r="BS208" s="3">
        <f>IFERROR(__xludf.DUMMYFUNCTION("""COMPUTED_VALUE"""),14076.0)</f>
        <v>14076</v>
      </c>
      <c r="BT208" s="3">
        <f>IFERROR(__xludf.DUMMYFUNCTION("""COMPUTED_VALUE"""),14829.0)</f>
        <v>14829</v>
      </c>
      <c r="BU208" s="3">
        <f>IFERROR(__xludf.DUMMYFUNCTION("""COMPUTED_VALUE"""),15922.0)</f>
        <v>15922</v>
      </c>
      <c r="BV208" s="3">
        <f>IFERROR(__xludf.DUMMYFUNCTION("""COMPUTED_VALUE"""),16605.0)</f>
        <v>16605</v>
      </c>
      <c r="BW208" s="3">
        <f>IFERROR(__xludf.DUMMYFUNCTION("""COMPUTED_VALUE"""),17768.0)</f>
        <v>17768</v>
      </c>
      <c r="BX208" s="3">
        <f>IFERROR(__xludf.DUMMYFUNCTION("""COMPUTED_VALUE"""),18827.0)</f>
        <v>18827</v>
      </c>
      <c r="BY208" s="3">
        <f>IFERROR(__xludf.DUMMYFUNCTION("""COMPUTED_VALUE"""),19606.0)</f>
        <v>19606</v>
      </c>
      <c r="BZ208" s="3">
        <f>IFERROR(__xludf.DUMMYFUNCTION("""COMPUTED_VALUE"""),20505.0)</f>
        <v>20505</v>
      </c>
      <c r="CA208" s="3">
        <f>IFERROR(__xludf.DUMMYFUNCTION("""COMPUTED_VALUE"""),21100.0)</f>
        <v>21100</v>
      </c>
      <c r="CB208" s="3">
        <f>IFERROR(__xludf.DUMMYFUNCTION("""COMPUTED_VALUE"""),21657.0)</f>
        <v>21657</v>
      </c>
    </row>
    <row r="209">
      <c r="A209" s="3" t="str">
        <f>IFERROR(__xludf.DUMMYFUNCTION("""COMPUTED_VALUE"""),"")</f>
        <v/>
      </c>
      <c r="B209" s="3" t="str">
        <f>IFERROR(__xludf.DUMMYFUNCTION("""COMPUTED_VALUE"""),"Taiwan*")</f>
        <v>Taiwan*</v>
      </c>
      <c r="C209" s="3">
        <f>IFERROR(__xludf.DUMMYFUNCTION("""COMPUTED_VALUE"""),23.7)</f>
        <v>23.7</v>
      </c>
      <c r="D209" s="3">
        <f>IFERROR(__xludf.DUMMYFUNCTION("""COMPUTED_VALUE"""),121.0)</f>
        <v>121</v>
      </c>
      <c r="E209" s="3">
        <f>IFERROR(__xludf.DUMMYFUNCTION("""COMPUTED_VALUE"""),1.0)</f>
        <v>1</v>
      </c>
      <c r="F209" s="3">
        <f>IFERROR(__xludf.DUMMYFUNCTION("""COMPUTED_VALUE"""),1.0)</f>
        <v>1</v>
      </c>
      <c r="G209" s="3">
        <f>IFERROR(__xludf.DUMMYFUNCTION("""COMPUTED_VALUE"""),3.0)</f>
        <v>3</v>
      </c>
      <c r="H209" s="3">
        <f>IFERROR(__xludf.DUMMYFUNCTION("""COMPUTED_VALUE"""),3.0)</f>
        <v>3</v>
      </c>
      <c r="I209" s="3">
        <f>IFERROR(__xludf.DUMMYFUNCTION("""COMPUTED_VALUE"""),4.0)</f>
        <v>4</v>
      </c>
      <c r="J209" s="3">
        <f>IFERROR(__xludf.DUMMYFUNCTION("""COMPUTED_VALUE"""),5.0)</f>
        <v>5</v>
      </c>
      <c r="K209" s="3">
        <f>IFERROR(__xludf.DUMMYFUNCTION("""COMPUTED_VALUE"""),8.0)</f>
        <v>8</v>
      </c>
      <c r="L209" s="3">
        <f>IFERROR(__xludf.DUMMYFUNCTION("""COMPUTED_VALUE"""),8.0)</f>
        <v>8</v>
      </c>
      <c r="M209" s="3">
        <f>IFERROR(__xludf.DUMMYFUNCTION("""COMPUTED_VALUE"""),9.0)</f>
        <v>9</v>
      </c>
      <c r="N209" s="3">
        <f>IFERROR(__xludf.DUMMYFUNCTION("""COMPUTED_VALUE"""),10.0)</f>
        <v>10</v>
      </c>
      <c r="O209" s="3">
        <f>IFERROR(__xludf.DUMMYFUNCTION("""COMPUTED_VALUE"""),10.0)</f>
        <v>10</v>
      </c>
      <c r="P209" s="3">
        <f>IFERROR(__xludf.DUMMYFUNCTION("""COMPUTED_VALUE"""),10.0)</f>
        <v>10</v>
      </c>
      <c r="Q209" s="3">
        <f>IFERROR(__xludf.DUMMYFUNCTION("""COMPUTED_VALUE"""),10.0)</f>
        <v>10</v>
      </c>
      <c r="R209" s="3">
        <f>IFERROR(__xludf.DUMMYFUNCTION("""COMPUTED_VALUE"""),11.0)</f>
        <v>11</v>
      </c>
      <c r="S209" s="3">
        <f>IFERROR(__xludf.DUMMYFUNCTION("""COMPUTED_VALUE"""),11.0)</f>
        <v>11</v>
      </c>
      <c r="T209" s="3">
        <f>IFERROR(__xludf.DUMMYFUNCTION("""COMPUTED_VALUE"""),16.0)</f>
        <v>16</v>
      </c>
      <c r="U209" s="3">
        <f>IFERROR(__xludf.DUMMYFUNCTION("""COMPUTED_VALUE"""),16.0)</f>
        <v>16</v>
      </c>
      <c r="V209" s="3">
        <f>IFERROR(__xludf.DUMMYFUNCTION("""COMPUTED_VALUE"""),17.0)</f>
        <v>17</v>
      </c>
      <c r="W209" s="3">
        <f>IFERROR(__xludf.DUMMYFUNCTION("""COMPUTED_VALUE"""),18.0)</f>
        <v>18</v>
      </c>
      <c r="X209" s="3">
        <f>IFERROR(__xludf.DUMMYFUNCTION("""COMPUTED_VALUE"""),18.0)</f>
        <v>18</v>
      </c>
      <c r="Y209" s="3">
        <f>IFERROR(__xludf.DUMMYFUNCTION("""COMPUTED_VALUE"""),18.0)</f>
        <v>18</v>
      </c>
      <c r="Z209" s="3">
        <f>IFERROR(__xludf.DUMMYFUNCTION("""COMPUTED_VALUE"""),18.0)</f>
        <v>18</v>
      </c>
      <c r="AA209" s="3">
        <f>IFERROR(__xludf.DUMMYFUNCTION("""COMPUTED_VALUE"""),18.0)</f>
        <v>18</v>
      </c>
      <c r="AB209" s="3">
        <f>IFERROR(__xludf.DUMMYFUNCTION("""COMPUTED_VALUE"""),18.0)</f>
        <v>18</v>
      </c>
      <c r="AC209" s="3">
        <f>IFERROR(__xludf.DUMMYFUNCTION("""COMPUTED_VALUE"""),18.0)</f>
        <v>18</v>
      </c>
      <c r="AD209" s="3">
        <f>IFERROR(__xludf.DUMMYFUNCTION("""COMPUTED_VALUE"""),20.0)</f>
        <v>20</v>
      </c>
      <c r="AE209" s="3">
        <f>IFERROR(__xludf.DUMMYFUNCTION("""COMPUTED_VALUE"""),22.0)</f>
        <v>22</v>
      </c>
      <c r="AF209" s="3">
        <f>IFERROR(__xludf.DUMMYFUNCTION("""COMPUTED_VALUE"""),22.0)</f>
        <v>22</v>
      </c>
      <c r="AG209" s="3">
        <f>IFERROR(__xludf.DUMMYFUNCTION("""COMPUTED_VALUE"""),23.0)</f>
        <v>23</v>
      </c>
      <c r="AH209" s="3">
        <f>IFERROR(__xludf.DUMMYFUNCTION("""COMPUTED_VALUE"""),24.0)</f>
        <v>24</v>
      </c>
      <c r="AI209" s="3">
        <f>IFERROR(__xludf.DUMMYFUNCTION("""COMPUTED_VALUE"""),26.0)</f>
        <v>26</v>
      </c>
      <c r="AJ209" s="3">
        <f>IFERROR(__xludf.DUMMYFUNCTION("""COMPUTED_VALUE"""),26.0)</f>
        <v>26</v>
      </c>
      <c r="AK209" s="3">
        <f>IFERROR(__xludf.DUMMYFUNCTION("""COMPUTED_VALUE"""),28.0)</f>
        <v>28</v>
      </c>
      <c r="AL209" s="3">
        <f>IFERROR(__xludf.DUMMYFUNCTION("""COMPUTED_VALUE"""),30.0)</f>
        <v>30</v>
      </c>
      <c r="AM209" s="3">
        <f>IFERROR(__xludf.DUMMYFUNCTION("""COMPUTED_VALUE"""),31.0)</f>
        <v>31</v>
      </c>
      <c r="AN209" s="3">
        <f>IFERROR(__xludf.DUMMYFUNCTION("""COMPUTED_VALUE"""),32.0)</f>
        <v>32</v>
      </c>
      <c r="AO209" s="3">
        <f>IFERROR(__xludf.DUMMYFUNCTION("""COMPUTED_VALUE"""),32.0)</f>
        <v>32</v>
      </c>
      <c r="AP209" s="3">
        <f>IFERROR(__xludf.DUMMYFUNCTION("""COMPUTED_VALUE"""),34.0)</f>
        <v>34</v>
      </c>
      <c r="AQ209" s="3">
        <f>IFERROR(__xludf.DUMMYFUNCTION("""COMPUTED_VALUE"""),39.0)</f>
        <v>39</v>
      </c>
      <c r="AR209" s="3">
        <f>IFERROR(__xludf.DUMMYFUNCTION("""COMPUTED_VALUE"""),40.0)</f>
        <v>40</v>
      </c>
      <c r="AS209" s="3">
        <f>IFERROR(__xludf.DUMMYFUNCTION("""COMPUTED_VALUE"""),41.0)</f>
        <v>41</v>
      </c>
      <c r="AT209" s="3">
        <f>IFERROR(__xludf.DUMMYFUNCTION("""COMPUTED_VALUE"""),42.0)</f>
        <v>42</v>
      </c>
      <c r="AU209" s="3">
        <f>IFERROR(__xludf.DUMMYFUNCTION("""COMPUTED_VALUE"""),42.0)</f>
        <v>42</v>
      </c>
      <c r="AV209" s="3">
        <f>IFERROR(__xludf.DUMMYFUNCTION("""COMPUTED_VALUE"""),44.0)</f>
        <v>44</v>
      </c>
      <c r="AW209" s="3">
        <f>IFERROR(__xludf.DUMMYFUNCTION("""COMPUTED_VALUE"""),45.0)</f>
        <v>45</v>
      </c>
      <c r="AX209" s="3">
        <f>IFERROR(__xludf.DUMMYFUNCTION("""COMPUTED_VALUE"""),45.0)</f>
        <v>45</v>
      </c>
      <c r="AY209" s="3">
        <f>IFERROR(__xludf.DUMMYFUNCTION("""COMPUTED_VALUE"""),45.0)</f>
        <v>45</v>
      </c>
      <c r="AZ209" s="3">
        <f>IFERROR(__xludf.DUMMYFUNCTION("""COMPUTED_VALUE"""),45.0)</f>
        <v>45</v>
      </c>
      <c r="BA209" s="3">
        <f>IFERROR(__xludf.DUMMYFUNCTION("""COMPUTED_VALUE"""),47.0)</f>
        <v>47</v>
      </c>
      <c r="BB209" s="3">
        <f>IFERROR(__xludf.DUMMYFUNCTION("""COMPUTED_VALUE"""),48.0)</f>
        <v>48</v>
      </c>
      <c r="BC209" s="3">
        <f>IFERROR(__xludf.DUMMYFUNCTION("""COMPUTED_VALUE"""),49.0)</f>
        <v>49</v>
      </c>
      <c r="BD209" s="3">
        <f>IFERROR(__xludf.DUMMYFUNCTION("""COMPUTED_VALUE"""),50.0)</f>
        <v>50</v>
      </c>
      <c r="BE209" s="3">
        <f>IFERROR(__xludf.DUMMYFUNCTION("""COMPUTED_VALUE"""),53.0)</f>
        <v>53</v>
      </c>
      <c r="BF209" s="3">
        <f>IFERROR(__xludf.DUMMYFUNCTION("""COMPUTED_VALUE"""),59.0)</f>
        <v>59</v>
      </c>
      <c r="BG209" s="3">
        <f>IFERROR(__xludf.DUMMYFUNCTION("""COMPUTED_VALUE"""),67.0)</f>
        <v>67</v>
      </c>
      <c r="BH209" s="3">
        <f>IFERROR(__xludf.DUMMYFUNCTION("""COMPUTED_VALUE"""),77.0)</f>
        <v>77</v>
      </c>
      <c r="BI209" s="3">
        <f>IFERROR(__xludf.DUMMYFUNCTION("""COMPUTED_VALUE"""),100.0)</f>
        <v>100</v>
      </c>
      <c r="BJ209" s="3">
        <f>IFERROR(__xludf.DUMMYFUNCTION("""COMPUTED_VALUE"""),108.0)</f>
        <v>108</v>
      </c>
      <c r="BK209" s="3">
        <f>IFERROR(__xludf.DUMMYFUNCTION("""COMPUTED_VALUE"""),135.0)</f>
        <v>135</v>
      </c>
      <c r="BL209" s="3">
        <f>IFERROR(__xludf.DUMMYFUNCTION("""COMPUTED_VALUE"""),153.0)</f>
        <v>153</v>
      </c>
      <c r="BM209" s="3">
        <f>IFERROR(__xludf.DUMMYFUNCTION("""COMPUTED_VALUE"""),169.0)</f>
        <v>169</v>
      </c>
      <c r="BN209" s="3">
        <f>IFERROR(__xludf.DUMMYFUNCTION("""COMPUTED_VALUE"""),195.0)</f>
        <v>195</v>
      </c>
      <c r="BO209" s="3">
        <f>IFERROR(__xludf.DUMMYFUNCTION("""COMPUTED_VALUE"""),215.0)</f>
        <v>215</v>
      </c>
      <c r="BP209" s="3">
        <f>IFERROR(__xludf.DUMMYFUNCTION("""COMPUTED_VALUE"""),235.0)</f>
        <v>235</v>
      </c>
      <c r="BQ209" s="3">
        <f>IFERROR(__xludf.DUMMYFUNCTION("""COMPUTED_VALUE"""),252.0)</f>
        <v>252</v>
      </c>
      <c r="BR209" s="3">
        <f>IFERROR(__xludf.DUMMYFUNCTION("""COMPUTED_VALUE"""),267.0)</f>
        <v>267</v>
      </c>
      <c r="BS209" s="3">
        <f>IFERROR(__xludf.DUMMYFUNCTION("""COMPUTED_VALUE"""),283.0)</f>
        <v>283</v>
      </c>
      <c r="BT209" s="3">
        <f>IFERROR(__xludf.DUMMYFUNCTION("""COMPUTED_VALUE"""),298.0)</f>
        <v>298</v>
      </c>
      <c r="BU209" s="3">
        <f>IFERROR(__xludf.DUMMYFUNCTION("""COMPUTED_VALUE"""),306.0)</f>
        <v>306</v>
      </c>
      <c r="BV209" s="3">
        <f>IFERROR(__xludf.DUMMYFUNCTION("""COMPUTED_VALUE"""),322.0)</f>
        <v>322</v>
      </c>
      <c r="BW209" s="3">
        <f>IFERROR(__xludf.DUMMYFUNCTION("""COMPUTED_VALUE"""),329.0)</f>
        <v>329</v>
      </c>
      <c r="BX209" s="3">
        <f>IFERROR(__xludf.DUMMYFUNCTION("""COMPUTED_VALUE"""),339.0)</f>
        <v>339</v>
      </c>
      <c r="BY209" s="3">
        <f>IFERROR(__xludf.DUMMYFUNCTION("""COMPUTED_VALUE"""),348.0)</f>
        <v>348</v>
      </c>
      <c r="BZ209" s="3">
        <f>IFERROR(__xludf.DUMMYFUNCTION("""COMPUTED_VALUE"""),355.0)</f>
        <v>355</v>
      </c>
      <c r="CA209" s="3">
        <f>IFERROR(__xludf.DUMMYFUNCTION("""COMPUTED_VALUE"""),363.0)</f>
        <v>363</v>
      </c>
      <c r="CB209" s="3">
        <f>IFERROR(__xludf.DUMMYFUNCTION("""COMPUTED_VALUE"""),373.0)</f>
        <v>373</v>
      </c>
    </row>
    <row r="210">
      <c r="A210" s="3" t="str">
        <f>IFERROR(__xludf.DUMMYFUNCTION("""COMPUTED_VALUE"""),"")</f>
        <v/>
      </c>
      <c r="B210" s="3" t="str">
        <f>IFERROR(__xludf.DUMMYFUNCTION("""COMPUTED_VALUE"""),"Tanzania")</f>
        <v>Tanzania</v>
      </c>
      <c r="C210" s="3">
        <f>IFERROR(__xludf.DUMMYFUNCTION("""COMPUTED_VALUE"""),-6.369)</f>
        <v>-6.369</v>
      </c>
      <c r="D210" s="3">
        <f>IFERROR(__xludf.DUMMYFUNCTION("""COMPUTED_VALUE"""),34.8888)</f>
        <v>34.8888</v>
      </c>
      <c r="E210" s="3">
        <f>IFERROR(__xludf.DUMMYFUNCTION("""COMPUTED_VALUE"""),0.0)</f>
        <v>0</v>
      </c>
      <c r="F210" s="3">
        <f>IFERROR(__xludf.DUMMYFUNCTION("""COMPUTED_VALUE"""),0.0)</f>
        <v>0</v>
      </c>
      <c r="G210" s="3">
        <f>IFERROR(__xludf.DUMMYFUNCTION("""COMPUTED_VALUE"""),0.0)</f>
        <v>0</v>
      </c>
      <c r="H210" s="3">
        <f>IFERROR(__xludf.DUMMYFUNCTION("""COMPUTED_VALUE"""),0.0)</f>
        <v>0</v>
      </c>
      <c r="I210" s="3">
        <f>IFERROR(__xludf.DUMMYFUNCTION("""COMPUTED_VALUE"""),0.0)</f>
        <v>0</v>
      </c>
      <c r="J210" s="3">
        <f>IFERROR(__xludf.DUMMYFUNCTION("""COMPUTED_VALUE"""),0.0)</f>
        <v>0</v>
      </c>
      <c r="K210" s="3">
        <f>IFERROR(__xludf.DUMMYFUNCTION("""COMPUTED_VALUE"""),0.0)</f>
        <v>0</v>
      </c>
      <c r="L210" s="3">
        <f>IFERROR(__xludf.DUMMYFUNCTION("""COMPUTED_VALUE"""),0.0)</f>
        <v>0</v>
      </c>
      <c r="M210" s="3">
        <f>IFERROR(__xludf.DUMMYFUNCTION("""COMPUTED_VALUE"""),0.0)</f>
        <v>0</v>
      </c>
      <c r="N210" s="3">
        <f>IFERROR(__xludf.DUMMYFUNCTION("""COMPUTED_VALUE"""),0.0)</f>
        <v>0</v>
      </c>
      <c r="O210" s="3">
        <f>IFERROR(__xludf.DUMMYFUNCTION("""COMPUTED_VALUE"""),0.0)</f>
        <v>0</v>
      </c>
      <c r="P210" s="3">
        <f>IFERROR(__xludf.DUMMYFUNCTION("""COMPUTED_VALUE"""),0.0)</f>
        <v>0</v>
      </c>
      <c r="Q210" s="3">
        <f>IFERROR(__xludf.DUMMYFUNCTION("""COMPUTED_VALUE"""),0.0)</f>
        <v>0</v>
      </c>
      <c r="R210" s="3">
        <f>IFERROR(__xludf.DUMMYFUNCTION("""COMPUTED_VALUE"""),0.0)</f>
        <v>0</v>
      </c>
      <c r="S210" s="3">
        <f>IFERROR(__xludf.DUMMYFUNCTION("""COMPUTED_VALUE"""),0.0)</f>
        <v>0</v>
      </c>
      <c r="T210" s="3">
        <f>IFERROR(__xludf.DUMMYFUNCTION("""COMPUTED_VALUE"""),0.0)</f>
        <v>0</v>
      </c>
      <c r="U210" s="3">
        <f>IFERROR(__xludf.DUMMYFUNCTION("""COMPUTED_VALUE"""),0.0)</f>
        <v>0</v>
      </c>
      <c r="V210" s="3">
        <f>IFERROR(__xludf.DUMMYFUNCTION("""COMPUTED_VALUE"""),0.0)</f>
        <v>0</v>
      </c>
      <c r="W210" s="3">
        <f>IFERROR(__xludf.DUMMYFUNCTION("""COMPUTED_VALUE"""),0.0)</f>
        <v>0</v>
      </c>
      <c r="X210" s="3">
        <f>IFERROR(__xludf.DUMMYFUNCTION("""COMPUTED_VALUE"""),0.0)</f>
        <v>0</v>
      </c>
      <c r="Y210" s="3">
        <f>IFERROR(__xludf.DUMMYFUNCTION("""COMPUTED_VALUE"""),0.0)</f>
        <v>0</v>
      </c>
      <c r="Z210" s="3">
        <f>IFERROR(__xludf.DUMMYFUNCTION("""COMPUTED_VALUE"""),0.0)</f>
        <v>0</v>
      </c>
      <c r="AA210" s="3">
        <f>IFERROR(__xludf.DUMMYFUNCTION("""COMPUTED_VALUE"""),0.0)</f>
        <v>0</v>
      </c>
      <c r="AB210" s="3">
        <f>IFERROR(__xludf.DUMMYFUNCTION("""COMPUTED_VALUE"""),0.0)</f>
        <v>0</v>
      </c>
      <c r="AC210" s="3">
        <f>IFERROR(__xludf.DUMMYFUNCTION("""COMPUTED_VALUE"""),0.0)</f>
        <v>0</v>
      </c>
      <c r="AD210" s="3">
        <f>IFERROR(__xludf.DUMMYFUNCTION("""COMPUTED_VALUE"""),0.0)</f>
        <v>0</v>
      </c>
      <c r="AE210" s="3">
        <f>IFERROR(__xludf.DUMMYFUNCTION("""COMPUTED_VALUE"""),0.0)</f>
        <v>0</v>
      </c>
      <c r="AF210" s="3">
        <f>IFERROR(__xludf.DUMMYFUNCTION("""COMPUTED_VALUE"""),0.0)</f>
        <v>0</v>
      </c>
      <c r="AG210" s="3">
        <f>IFERROR(__xludf.DUMMYFUNCTION("""COMPUTED_VALUE"""),0.0)</f>
        <v>0</v>
      </c>
      <c r="AH210" s="3">
        <f>IFERROR(__xludf.DUMMYFUNCTION("""COMPUTED_VALUE"""),0.0)</f>
        <v>0</v>
      </c>
      <c r="AI210" s="3">
        <f>IFERROR(__xludf.DUMMYFUNCTION("""COMPUTED_VALUE"""),0.0)</f>
        <v>0</v>
      </c>
      <c r="AJ210" s="3">
        <f>IFERROR(__xludf.DUMMYFUNCTION("""COMPUTED_VALUE"""),0.0)</f>
        <v>0</v>
      </c>
      <c r="AK210" s="3">
        <f>IFERROR(__xludf.DUMMYFUNCTION("""COMPUTED_VALUE"""),0.0)</f>
        <v>0</v>
      </c>
      <c r="AL210" s="3">
        <f>IFERROR(__xludf.DUMMYFUNCTION("""COMPUTED_VALUE"""),0.0)</f>
        <v>0</v>
      </c>
      <c r="AM210" s="3">
        <f>IFERROR(__xludf.DUMMYFUNCTION("""COMPUTED_VALUE"""),0.0)</f>
        <v>0</v>
      </c>
      <c r="AN210" s="3">
        <f>IFERROR(__xludf.DUMMYFUNCTION("""COMPUTED_VALUE"""),0.0)</f>
        <v>0</v>
      </c>
      <c r="AO210" s="3">
        <f>IFERROR(__xludf.DUMMYFUNCTION("""COMPUTED_VALUE"""),0.0)</f>
        <v>0</v>
      </c>
      <c r="AP210" s="3">
        <f>IFERROR(__xludf.DUMMYFUNCTION("""COMPUTED_VALUE"""),0.0)</f>
        <v>0</v>
      </c>
      <c r="AQ210" s="3">
        <f>IFERROR(__xludf.DUMMYFUNCTION("""COMPUTED_VALUE"""),0.0)</f>
        <v>0</v>
      </c>
      <c r="AR210" s="3">
        <f>IFERROR(__xludf.DUMMYFUNCTION("""COMPUTED_VALUE"""),0.0)</f>
        <v>0</v>
      </c>
      <c r="AS210" s="3">
        <f>IFERROR(__xludf.DUMMYFUNCTION("""COMPUTED_VALUE"""),0.0)</f>
        <v>0</v>
      </c>
      <c r="AT210" s="3">
        <f>IFERROR(__xludf.DUMMYFUNCTION("""COMPUTED_VALUE"""),0.0)</f>
        <v>0</v>
      </c>
      <c r="AU210" s="3">
        <f>IFERROR(__xludf.DUMMYFUNCTION("""COMPUTED_VALUE"""),0.0)</f>
        <v>0</v>
      </c>
      <c r="AV210" s="3">
        <f>IFERROR(__xludf.DUMMYFUNCTION("""COMPUTED_VALUE"""),0.0)</f>
        <v>0</v>
      </c>
      <c r="AW210" s="3">
        <f>IFERROR(__xludf.DUMMYFUNCTION("""COMPUTED_VALUE"""),0.0)</f>
        <v>0</v>
      </c>
      <c r="AX210" s="3">
        <f>IFERROR(__xludf.DUMMYFUNCTION("""COMPUTED_VALUE"""),0.0)</f>
        <v>0</v>
      </c>
      <c r="AY210" s="3">
        <f>IFERROR(__xludf.DUMMYFUNCTION("""COMPUTED_VALUE"""),0.0)</f>
        <v>0</v>
      </c>
      <c r="AZ210" s="3">
        <f>IFERROR(__xludf.DUMMYFUNCTION("""COMPUTED_VALUE"""),0.0)</f>
        <v>0</v>
      </c>
      <c r="BA210" s="3">
        <f>IFERROR(__xludf.DUMMYFUNCTION("""COMPUTED_VALUE"""),0.0)</f>
        <v>0</v>
      </c>
      <c r="BB210" s="3">
        <f>IFERROR(__xludf.DUMMYFUNCTION("""COMPUTED_VALUE"""),0.0)</f>
        <v>0</v>
      </c>
      <c r="BC210" s="3">
        <f>IFERROR(__xludf.DUMMYFUNCTION("""COMPUTED_VALUE"""),0.0)</f>
        <v>0</v>
      </c>
      <c r="BD210" s="3">
        <f>IFERROR(__xludf.DUMMYFUNCTION("""COMPUTED_VALUE"""),0.0)</f>
        <v>0</v>
      </c>
      <c r="BE210" s="3">
        <f>IFERROR(__xludf.DUMMYFUNCTION("""COMPUTED_VALUE"""),0.0)</f>
        <v>0</v>
      </c>
      <c r="BF210" s="3">
        <f>IFERROR(__xludf.DUMMYFUNCTION("""COMPUTED_VALUE"""),0.0)</f>
        <v>0</v>
      </c>
      <c r="BG210" s="3">
        <f>IFERROR(__xludf.DUMMYFUNCTION("""COMPUTED_VALUE"""),1.0)</f>
        <v>1</v>
      </c>
      <c r="BH210" s="3">
        <f>IFERROR(__xludf.DUMMYFUNCTION("""COMPUTED_VALUE"""),1.0)</f>
        <v>1</v>
      </c>
      <c r="BI210" s="3">
        <f>IFERROR(__xludf.DUMMYFUNCTION("""COMPUTED_VALUE"""),3.0)</f>
        <v>3</v>
      </c>
      <c r="BJ210" s="3">
        <f>IFERROR(__xludf.DUMMYFUNCTION("""COMPUTED_VALUE"""),6.0)</f>
        <v>6</v>
      </c>
      <c r="BK210" s="3">
        <f>IFERROR(__xludf.DUMMYFUNCTION("""COMPUTED_VALUE"""),6.0)</f>
        <v>6</v>
      </c>
      <c r="BL210" s="3">
        <f>IFERROR(__xludf.DUMMYFUNCTION("""COMPUTED_VALUE"""),6.0)</f>
        <v>6</v>
      </c>
      <c r="BM210" s="3">
        <f>IFERROR(__xludf.DUMMYFUNCTION("""COMPUTED_VALUE"""),12.0)</f>
        <v>12</v>
      </c>
      <c r="BN210" s="3">
        <f>IFERROR(__xludf.DUMMYFUNCTION("""COMPUTED_VALUE"""),12.0)</f>
        <v>12</v>
      </c>
      <c r="BO210" s="3">
        <f>IFERROR(__xludf.DUMMYFUNCTION("""COMPUTED_VALUE"""),12.0)</f>
        <v>12</v>
      </c>
      <c r="BP210" s="3">
        <f>IFERROR(__xludf.DUMMYFUNCTION("""COMPUTED_VALUE"""),12.0)</f>
        <v>12</v>
      </c>
      <c r="BQ210" s="3">
        <f>IFERROR(__xludf.DUMMYFUNCTION("""COMPUTED_VALUE"""),13.0)</f>
        <v>13</v>
      </c>
      <c r="BR210" s="3">
        <f>IFERROR(__xludf.DUMMYFUNCTION("""COMPUTED_VALUE"""),13.0)</f>
        <v>13</v>
      </c>
      <c r="BS210" s="3">
        <f>IFERROR(__xludf.DUMMYFUNCTION("""COMPUTED_VALUE"""),14.0)</f>
        <v>14</v>
      </c>
      <c r="BT210" s="3">
        <f>IFERROR(__xludf.DUMMYFUNCTION("""COMPUTED_VALUE"""),14.0)</f>
        <v>14</v>
      </c>
      <c r="BU210" s="3">
        <f>IFERROR(__xludf.DUMMYFUNCTION("""COMPUTED_VALUE"""),19.0)</f>
        <v>19</v>
      </c>
      <c r="BV210" s="3">
        <f>IFERROR(__xludf.DUMMYFUNCTION("""COMPUTED_VALUE"""),19.0)</f>
        <v>19</v>
      </c>
      <c r="BW210" s="3">
        <f>IFERROR(__xludf.DUMMYFUNCTION("""COMPUTED_VALUE"""),20.0)</f>
        <v>20</v>
      </c>
      <c r="BX210" s="3">
        <f>IFERROR(__xludf.DUMMYFUNCTION("""COMPUTED_VALUE"""),20.0)</f>
        <v>20</v>
      </c>
      <c r="BY210" s="3">
        <f>IFERROR(__xludf.DUMMYFUNCTION("""COMPUTED_VALUE"""),20.0)</f>
        <v>20</v>
      </c>
      <c r="BZ210" s="3">
        <f>IFERROR(__xludf.DUMMYFUNCTION("""COMPUTED_VALUE"""),20.0)</f>
        <v>20</v>
      </c>
      <c r="CA210" s="3">
        <f>IFERROR(__xludf.DUMMYFUNCTION("""COMPUTED_VALUE"""),22.0)</f>
        <v>22</v>
      </c>
      <c r="CB210" s="3">
        <f>IFERROR(__xludf.DUMMYFUNCTION("""COMPUTED_VALUE"""),24.0)</f>
        <v>24</v>
      </c>
    </row>
    <row r="211">
      <c r="A211" s="3" t="str">
        <f>IFERROR(__xludf.DUMMYFUNCTION("""COMPUTED_VALUE"""),"")</f>
        <v/>
      </c>
      <c r="B211" s="3" t="str">
        <f>IFERROR(__xludf.DUMMYFUNCTION("""COMPUTED_VALUE"""),"Thailand")</f>
        <v>Thailand</v>
      </c>
      <c r="C211" s="3">
        <f>IFERROR(__xludf.DUMMYFUNCTION("""COMPUTED_VALUE"""),15.0)</f>
        <v>15</v>
      </c>
      <c r="D211" s="3">
        <f>IFERROR(__xludf.DUMMYFUNCTION("""COMPUTED_VALUE"""),101.0)</f>
        <v>101</v>
      </c>
      <c r="E211" s="3">
        <f>IFERROR(__xludf.DUMMYFUNCTION("""COMPUTED_VALUE"""),2.0)</f>
        <v>2</v>
      </c>
      <c r="F211" s="3">
        <f>IFERROR(__xludf.DUMMYFUNCTION("""COMPUTED_VALUE"""),3.0)</f>
        <v>3</v>
      </c>
      <c r="G211" s="3">
        <f>IFERROR(__xludf.DUMMYFUNCTION("""COMPUTED_VALUE"""),5.0)</f>
        <v>5</v>
      </c>
      <c r="H211" s="3">
        <f>IFERROR(__xludf.DUMMYFUNCTION("""COMPUTED_VALUE"""),7.0)</f>
        <v>7</v>
      </c>
      <c r="I211" s="3">
        <f>IFERROR(__xludf.DUMMYFUNCTION("""COMPUTED_VALUE"""),8.0)</f>
        <v>8</v>
      </c>
      <c r="J211" s="3">
        <f>IFERROR(__xludf.DUMMYFUNCTION("""COMPUTED_VALUE"""),8.0)</f>
        <v>8</v>
      </c>
      <c r="K211" s="3">
        <f>IFERROR(__xludf.DUMMYFUNCTION("""COMPUTED_VALUE"""),14.0)</f>
        <v>14</v>
      </c>
      <c r="L211" s="3">
        <f>IFERROR(__xludf.DUMMYFUNCTION("""COMPUTED_VALUE"""),14.0)</f>
        <v>14</v>
      </c>
      <c r="M211" s="3">
        <f>IFERROR(__xludf.DUMMYFUNCTION("""COMPUTED_VALUE"""),14.0)</f>
        <v>14</v>
      </c>
      <c r="N211" s="3">
        <f>IFERROR(__xludf.DUMMYFUNCTION("""COMPUTED_VALUE"""),19.0)</f>
        <v>19</v>
      </c>
      <c r="O211" s="3">
        <f>IFERROR(__xludf.DUMMYFUNCTION("""COMPUTED_VALUE"""),19.0)</f>
        <v>19</v>
      </c>
      <c r="P211" s="3">
        <f>IFERROR(__xludf.DUMMYFUNCTION("""COMPUTED_VALUE"""),19.0)</f>
        <v>19</v>
      </c>
      <c r="Q211" s="3">
        <f>IFERROR(__xludf.DUMMYFUNCTION("""COMPUTED_VALUE"""),19.0)</f>
        <v>19</v>
      </c>
      <c r="R211" s="3">
        <f>IFERROR(__xludf.DUMMYFUNCTION("""COMPUTED_VALUE"""),25.0)</f>
        <v>25</v>
      </c>
      <c r="S211" s="3">
        <f>IFERROR(__xludf.DUMMYFUNCTION("""COMPUTED_VALUE"""),25.0)</f>
        <v>25</v>
      </c>
      <c r="T211" s="3">
        <f>IFERROR(__xludf.DUMMYFUNCTION("""COMPUTED_VALUE"""),25.0)</f>
        <v>25</v>
      </c>
      <c r="U211" s="3">
        <f>IFERROR(__xludf.DUMMYFUNCTION("""COMPUTED_VALUE"""),25.0)</f>
        <v>25</v>
      </c>
      <c r="V211" s="3">
        <f>IFERROR(__xludf.DUMMYFUNCTION("""COMPUTED_VALUE"""),32.0)</f>
        <v>32</v>
      </c>
      <c r="W211" s="3">
        <f>IFERROR(__xludf.DUMMYFUNCTION("""COMPUTED_VALUE"""),32.0)</f>
        <v>32</v>
      </c>
      <c r="X211" s="3">
        <f>IFERROR(__xludf.DUMMYFUNCTION("""COMPUTED_VALUE"""),32.0)</f>
        <v>32</v>
      </c>
      <c r="Y211" s="3">
        <f>IFERROR(__xludf.DUMMYFUNCTION("""COMPUTED_VALUE"""),33.0)</f>
        <v>33</v>
      </c>
      <c r="Z211" s="3">
        <f>IFERROR(__xludf.DUMMYFUNCTION("""COMPUTED_VALUE"""),33.0)</f>
        <v>33</v>
      </c>
      <c r="AA211" s="3">
        <f>IFERROR(__xludf.DUMMYFUNCTION("""COMPUTED_VALUE"""),33.0)</f>
        <v>33</v>
      </c>
      <c r="AB211" s="3">
        <f>IFERROR(__xludf.DUMMYFUNCTION("""COMPUTED_VALUE"""),33.0)</f>
        <v>33</v>
      </c>
      <c r="AC211" s="3">
        <f>IFERROR(__xludf.DUMMYFUNCTION("""COMPUTED_VALUE"""),33.0)</f>
        <v>33</v>
      </c>
      <c r="AD211" s="3">
        <f>IFERROR(__xludf.DUMMYFUNCTION("""COMPUTED_VALUE"""),34.0)</f>
        <v>34</v>
      </c>
      <c r="AE211" s="3">
        <f>IFERROR(__xludf.DUMMYFUNCTION("""COMPUTED_VALUE"""),35.0)</f>
        <v>35</v>
      </c>
      <c r="AF211" s="3">
        <f>IFERROR(__xludf.DUMMYFUNCTION("""COMPUTED_VALUE"""),35.0)</f>
        <v>35</v>
      </c>
      <c r="AG211" s="3">
        <f>IFERROR(__xludf.DUMMYFUNCTION("""COMPUTED_VALUE"""),35.0)</f>
        <v>35</v>
      </c>
      <c r="AH211" s="3">
        <f>IFERROR(__xludf.DUMMYFUNCTION("""COMPUTED_VALUE"""),35.0)</f>
        <v>35</v>
      </c>
      <c r="AI211" s="3">
        <f>IFERROR(__xludf.DUMMYFUNCTION("""COMPUTED_VALUE"""),35.0)</f>
        <v>35</v>
      </c>
      <c r="AJ211" s="3">
        <f>IFERROR(__xludf.DUMMYFUNCTION("""COMPUTED_VALUE"""),35.0)</f>
        <v>35</v>
      </c>
      <c r="AK211" s="3">
        <f>IFERROR(__xludf.DUMMYFUNCTION("""COMPUTED_VALUE"""),35.0)</f>
        <v>35</v>
      </c>
      <c r="AL211" s="3">
        <f>IFERROR(__xludf.DUMMYFUNCTION("""COMPUTED_VALUE"""),35.0)</f>
        <v>35</v>
      </c>
      <c r="AM211" s="3">
        <f>IFERROR(__xludf.DUMMYFUNCTION("""COMPUTED_VALUE"""),37.0)</f>
        <v>37</v>
      </c>
      <c r="AN211" s="3">
        <f>IFERROR(__xludf.DUMMYFUNCTION("""COMPUTED_VALUE"""),40.0)</f>
        <v>40</v>
      </c>
      <c r="AO211" s="3">
        <f>IFERROR(__xludf.DUMMYFUNCTION("""COMPUTED_VALUE"""),40.0)</f>
        <v>40</v>
      </c>
      <c r="AP211" s="3">
        <f>IFERROR(__xludf.DUMMYFUNCTION("""COMPUTED_VALUE"""),41.0)</f>
        <v>41</v>
      </c>
      <c r="AQ211" s="3">
        <f>IFERROR(__xludf.DUMMYFUNCTION("""COMPUTED_VALUE"""),42.0)</f>
        <v>42</v>
      </c>
      <c r="AR211" s="3">
        <f>IFERROR(__xludf.DUMMYFUNCTION("""COMPUTED_VALUE"""),42.0)</f>
        <v>42</v>
      </c>
      <c r="AS211" s="3">
        <f>IFERROR(__xludf.DUMMYFUNCTION("""COMPUTED_VALUE"""),43.0)</f>
        <v>43</v>
      </c>
      <c r="AT211" s="3">
        <f>IFERROR(__xludf.DUMMYFUNCTION("""COMPUTED_VALUE"""),43.0)</f>
        <v>43</v>
      </c>
      <c r="AU211" s="3">
        <f>IFERROR(__xludf.DUMMYFUNCTION("""COMPUTED_VALUE"""),43.0)</f>
        <v>43</v>
      </c>
      <c r="AV211" s="3">
        <f>IFERROR(__xludf.DUMMYFUNCTION("""COMPUTED_VALUE"""),47.0)</f>
        <v>47</v>
      </c>
      <c r="AW211" s="3">
        <f>IFERROR(__xludf.DUMMYFUNCTION("""COMPUTED_VALUE"""),48.0)</f>
        <v>48</v>
      </c>
      <c r="AX211" s="3">
        <f>IFERROR(__xludf.DUMMYFUNCTION("""COMPUTED_VALUE"""),50.0)</f>
        <v>50</v>
      </c>
      <c r="AY211" s="3">
        <f>IFERROR(__xludf.DUMMYFUNCTION("""COMPUTED_VALUE"""),50.0)</f>
        <v>50</v>
      </c>
      <c r="AZ211" s="3">
        <f>IFERROR(__xludf.DUMMYFUNCTION("""COMPUTED_VALUE"""),50.0)</f>
        <v>50</v>
      </c>
      <c r="BA211" s="3">
        <f>IFERROR(__xludf.DUMMYFUNCTION("""COMPUTED_VALUE"""),53.0)</f>
        <v>53</v>
      </c>
      <c r="BB211" s="3">
        <f>IFERROR(__xludf.DUMMYFUNCTION("""COMPUTED_VALUE"""),59.0)</f>
        <v>59</v>
      </c>
      <c r="BC211" s="3">
        <f>IFERROR(__xludf.DUMMYFUNCTION("""COMPUTED_VALUE"""),70.0)</f>
        <v>70</v>
      </c>
      <c r="BD211" s="3">
        <f>IFERROR(__xludf.DUMMYFUNCTION("""COMPUTED_VALUE"""),75.0)</f>
        <v>75</v>
      </c>
      <c r="BE211" s="3">
        <f>IFERROR(__xludf.DUMMYFUNCTION("""COMPUTED_VALUE"""),82.0)</f>
        <v>82</v>
      </c>
      <c r="BF211" s="3">
        <f>IFERROR(__xludf.DUMMYFUNCTION("""COMPUTED_VALUE"""),114.0)</f>
        <v>114</v>
      </c>
      <c r="BG211" s="3">
        <f>IFERROR(__xludf.DUMMYFUNCTION("""COMPUTED_VALUE"""),147.0)</f>
        <v>147</v>
      </c>
      <c r="BH211" s="3">
        <f>IFERROR(__xludf.DUMMYFUNCTION("""COMPUTED_VALUE"""),177.0)</f>
        <v>177</v>
      </c>
      <c r="BI211" s="3">
        <f>IFERROR(__xludf.DUMMYFUNCTION("""COMPUTED_VALUE"""),212.0)</f>
        <v>212</v>
      </c>
      <c r="BJ211" s="3">
        <f>IFERROR(__xludf.DUMMYFUNCTION("""COMPUTED_VALUE"""),272.0)</f>
        <v>272</v>
      </c>
      <c r="BK211" s="3">
        <f>IFERROR(__xludf.DUMMYFUNCTION("""COMPUTED_VALUE"""),322.0)</f>
        <v>322</v>
      </c>
      <c r="BL211" s="3">
        <f>IFERROR(__xludf.DUMMYFUNCTION("""COMPUTED_VALUE"""),411.0)</f>
        <v>411</v>
      </c>
      <c r="BM211" s="3">
        <f>IFERROR(__xludf.DUMMYFUNCTION("""COMPUTED_VALUE"""),599.0)</f>
        <v>599</v>
      </c>
      <c r="BN211" s="3">
        <f>IFERROR(__xludf.DUMMYFUNCTION("""COMPUTED_VALUE"""),721.0)</f>
        <v>721</v>
      </c>
      <c r="BO211" s="3">
        <f>IFERROR(__xludf.DUMMYFUNCTION("""COMPUTED_VALUE"""),827.0)</f>
        <v>827</v>
      </c>
      <c r="BP211" s="3">
        <f>IFERROR(__xludf.DUMMYFUNCTION("""COMPUTED_VALUE"""),934.0)</f>
        <v>934</v>
      </c>
      <c r="BQ211" s="3">
        <f>IFERROR(__xludf.DUMMYFUNCTION("""COMPUTED_VALUE"""),1045.0)</f>
        <v>1045</v>
      </c>
      <c r="BR211" s="3">
        <f>IFERROR(__xludf.DUMMYFUNCTION("""COMPUTED_VALUE"""),1136.0)</f>
        <v>1136</v>
      </c>
      <c r="BS211" s="3">
        <f>IFERROR(__xludf.DUMMYFUNCTION("""COMPUTED_VALUE"""),1245.0)</f>
        <v>1245</v>
      </c>
      <c r="BT211" s="3">
        <f>IFERROR(__xludf.DUMMYFUNCTION("""COMPUTED_VALUE"""),1388.0)</f>
        <v>1388</v>
      </c>
      <c r="BU211" s="3">
        <f>IFERROR(__xludf.DUMMYFUNCTION("""COMPUTED_VALUE"""),1524.0)</f>
        <v>1524</v>
      </c>
      <c r="BV211" s="3">
        <f>IFERROR(__xludf.DUMMYFUNCTION("""COMPUTED_VALUE"""),1651.0)</f>
        <v>1651</v>
      </c>
      <c r="BW211" s="3">
        <f>IFERROR(__xludf.DUMMYFUNCTION("""COMPUTED_VALUE"""),1771.0)</f>
        <v>1771</v>
      </c>
      <c r="BX211" s="3">
        <f>IFERROR(__xludf.DUMMYFUNCTION("""COMPUTED_VALUE"""),1875.0)</f>
        <v>1875</v>
      </c>
      <c r="BY211" s="3">
        <f>IFERROR(__xludf.DUMMYFUNCTION("""COMPUTED_VALUE"""),1978.0)</f>
        <v>1978</v>
      </c>
      <c r="BZ211" s="3">
        <f>IFERROR(__xludf.DUMMYFUNCTION("""COMPUTED_VALUE"""),2067.0)</f>
        <v>2067</v>
      </c>
      <c r="CA211" s="3">
        <f>IFERROR(__xludf.DUMMYFUNCTION("""COMPUTED_VALUE"""),2169.0)</f>
        <v>2169</v>
      </c>
      <c r="CB211" s="3">
        <f>IFERROR(__xludf.DUMMYFUNCTION("""COMPUTED_VALUE"""),2220.0)</f>
        <v>2220</v>
      </c>
    </row>
    <row r="212">
      <c r="A212" s="3" t="str">
        <f>IFERROR(__xludf.DUMMYFUNCTION("""COMPUTED_VALUE"""),"")</f>
        <v/>
      </c>
      <c r="B212" s="3" t="str">
        <f>IFERROR(__xludf.DUMMYFUNCTION("""COMPUTED_VALUE"""),"Togo")</f>
        <v>Togo</v>
      </c>
      <c r="C212" s="3">
        <f>IFERROR(__xludf.DUMMYFUNCTION("""COMPUTED_VALUE"""),8.6195)</f>
        <v>8.6195</v>
      </c>
      <c r="D212" s="3">
        <f>IFERROR(__xludf.DUMMYFUNCTION("""COMPUTED_VALUE"""),0.8248)</f>
        <v>0.8248</v>
      </c>
      <c r="E212" s="3">
        <f>IFERROR(__xludf.DUMMYFUNCTION("""COMPUTED_VALUE"""),0.0)</f>
        <v>0</v>
      </c>
      <c r="F212" s="3">
        <f>IFERROR(__xludf.DUMMYFUNCTION("""COMPUTED_VALUE"""),0.0)</f>
        <v>0</v>
      </c>
      <c r="G212" s="3">
        <f>IFERROR(__xludf.DUMMYFUNCTION("""COMPUTED_VALUE"""),0.0)</f>
        <v>0</v>
      </c>
      <c r="H212" s="3">
        <f>IFERROR(__xludf.DUMMYFUNCTION("""COMPUTED_VALUE"""),0.0)</f>
        <v>0</v>
      </c>
      <c r="I212" s="3">
        <f>IFERROR(__xludf.DUMMYFUNCTION("""COMPUTED_VALUE"""),0.0)</f>
        <v>0</v>
      </c>
      <c r="J212" s="3">
        <f>IFERROR(__xludf.DUMMYFUNCTION("""COMPUTED_VALUE"""),0.0)</f>
        <v>0</v>
      </c>
      <c r="K212" s="3">
        <f>IFERROR(__xludf.DUMMYFUNCTION("""COMPUTED_VALUE"""),0.0)</f>
        <v>0</v>
      </c>
      <c r="L212" s="3">
        <f>IFERROR(__xludf.DUMMYFUNCTION("""COMPUTED_VALUE"""),0.0)</f>
        <v>0</v>
      </c>
      <c r="M212" s="3">
        <f>IFERROR(__xludf.DUMMYFUNCTION("""COMPUTED_VALUE"""),0.0)</f>
        <v>0</v>
      </c>
      <c r="N212" s="3">
        <f>IFERROR(__xludf.DUMMYFUNCTION("""COMPUTED_VALUE"""),0.0)</f>
        <v>0</v>
      </c>
      <c r="O212" s="3">
        <f>IFERROR(__xludf.DUMMYFUNCTION("""COMPUTED_VALUE"""),0.0)</f>
        <v>0</v>
      </c>
      <c r="P212" s="3">
        <f>IFERROR(__xludf.DUMMYFUNCTION("""COMPUTED_VALUE"""),0.0)</f>
        <v>0</v>
      </c>
      <c r="Q212" s="3">
        <f>IFERROR(__xludf.DUMMYFUNCTION("""COMPUTED_VALUE"""),0.0)</f>
        <v>0</v>
      </c>
      <c r="R212" s="3">
        <f>IFERROR(__xludf.DUMMYFUNCTION("""COMPUTED_VALUE"""),0.0)</f>
        <v>0</v>
      </c>
      <c r="S212" s="3">
        <f>IFERROR(__xludf.DUMMYFUNCTION("""COMPUTED_VALUE"""),0.0)</f>
        <v>0</v>
      </c>
      <c r="T212" s="3">
        <f>IFERROR(__xludf.DUMMYFUNCTION("""COMPUTED_VALUE"""),0.0)</f>
        <v>0</v>
      </c>
      <c r="U212" s="3">
        <f>IFERROR(__xludf.DUMMYFUNCTION("""COMPUTED_VALUE"""),0.0)</f>
        <v>0</v>
      </c>
      <c r="V212" s="3">
        <f>IFERROR(__xludf.DUMMYFUNCTION("""COMPUTED_VALUE"""),0.0)</f>
        <v>0</v>
      </c>
      <c r="W212" s="3">
        <f>IFERROR(__xludf.DUMMYFUNCTION("""COMPUTED_VALUE"""),0.0)</f>
        <v>0</v>
      </c>
      <c r="X212" s="3">
        <f>IFERROR(__xludf.DUMMYFUNCTION("""COMPUTED_VALUE"""),0.0)</f>
        <v>0</v>
      </c>
      <c r="Y212" s="3">
        <f>IFERROR(__xludf.DUMMYFUNCTION("""COMPUTED_VALUE"""),0.0)</f>
        <v>0</v>
      </c>
      <c r="Z212" s="3">
        <f>IFERROR(__xludf.DUMMYFUNCTION("""COMPUTED_VALUE"""),0.0)</f>
        <v>0</v>
      </c>
      <c r="AA212" s="3">
        <f>IFERROR(__xludf.DUMMYFUNCTION("""COMPUTED_VALUE"""),0.0)</f>
        <v>0</v>
      </c>
      <c r="AB212" s="3">
        <f>IFERROR(__xludf.DUMMYFUNCTION("""COMPUTED_VALUE"""),0.0)</f>
        <v>0</v>
      </c>
      <c r="AC212" s="3">
        <f>IFERROR(__xludf.DUMMYFUNCTION("""COMPUTED_VALUE"""),0.0)</f>
        <v>0</v>
      </c>
      <c r="AD212" s="3">
        <f>IFERROR(__xludf.DUMMYFUNCTION("""COMPUTED_VALUE"""),0.0)</f>
        <v>0</v>
      </c>
      <c r="AE212" s="3">
        <f>IFERROR(__xludf.DUMMYFUNCTION("""COMPUTED_VALUE"""),0.0)</f>
        <v>0</v>
      </c>
      <c r="AF212" s="3">
        <f>IFERROR(__xludf.DUMMYFUNCTION("""COMPUTED_VALUE"""),0.0)</f>
        <v>0</v>
      </c>
      <c r="AG212" s="3">
        <f>IFERROR(__xludf.DUMMYFUNCTION("""COMPUTED_VALUE"""),0.0)</f>
        <v>0</v>
      </c>
      <c r="AH212" s="3">
        <f>IFERROR(__xludf.DUMMYFUNCTION("""COMPUTED_VALUE"""),0.0)</f>
        <v>0</v>
      </c>
      <c r="AI212" s="3">
        <f>IFERROR(__xludf.DUMMYFUNCTION("""COMPUTED_VALUE"""),0.0)</f>
        <v>0</v>
      </c>
      <c r="AJ212" s="3">
        <f>IFERROR(__xludf.DUMMYFUNCTION("""COMPUTED_VALUE"""),0.0)</f>
        <v>0</v>
      </c>
      <c r="AK212" s="3">
        <f>IFERROR(__xludf.DUMMYFUNCTION("""COMPUTED_VALUE"""),0.0)</f>
        <v>0</v>
      </c>
      <c r="AL212" s="3">
        <f>IFERROR(__xludf.DUMMYFUNCTION("""COMPUTED_VALUE"""),0.0)</f>
        <v>0</v>
      </c>
      <c r="AM212" s="3">
        <f>IFERROR(__xludf.DUMMYFUNCTION("""COMPUTED_VALUE"""),0.0)</f>
        <v>0</v>
      </c>
      <c r="AN212" s="3">
        <f>IFERROR(__xludf.DUMMYFUNCTION("""COMPUTED_VALUE"""),0.0)</f>
        <v>0</v>
      </c>
      <c r="AO212" s="3">
        <f>IFERROR(__xludf.DUMMYFUNCTION("""COMPUTED_VALUE"""),0.0)</f>
        <v>0</v>
      </c>
      <c r="AP212" s="3">
        <f>IFERROR(__xludf.DUMMYFUNCTION("""COMPUTED_VALUE"""),0.0)</f>
        <v>0</v>
      </c>
      <c r="AQ212" s="3">
        <f>IFERROR(__xludf.DUMMYFUNCTION("""COMPUTED_VALUE"""),0.0)</f>
        <v>0</v>
      </c>
      <c r="AR212" s="3">
        <f>IFERROR(__xludf.DUMMYFUNCTION("""COMPUTED_VALUE"""),0.0)</f>
        <v>0</v>
      </c>
      <c r="AS212" s="3">
        <f>IFERROR(__xludf.DUMMYFUNCTION("""COMPUTED_VALUE"""),0.0)</f>
        <v>0</v>
      </c>
      <c r="AT212" s="3">
        <f>IFERROR(__xludf.DUMMYFUNCTION("""COMPUTED_VALUE"""),0.0)</f>
        <v>0</v>
      </c>
      <c r="AU212" s="3">
        <f>IFERROR(__xludf.DUMMYFUNCTION("""COMPUTED_VALUE"""),0.0)</f>
        <v>0</v>
      </c>
      <c r="AV212" s="3">
        <f>IFERROR(__xludf.DUMMYFUNCTION("""COMPUTED_VALUE"""),0.0)</f>
        <v>0</v>
      </c>
      <c r="AW212" s="3">
        <f>IFERROR(__xludf.DUMMYFUNCTION("""COMPUTED_VALUE"""),1.0)</f>
        <v>1</v>
      </c>
      <c r="AX212" s="3">
        <f>IFERROR(__xludf.DUMMYFUNCTION("""COMPUTED_VALUE"""),1.0)</f>
        <v>1</v>
      </c>
      <c r="AY212" s="3">
        <f>IFERROR(__xludf.DUMMYFUNCTION("""COMPUTED_VALUE"""),1.0)</f>
        <v>1</v>
      </c>
      <c r="AZ212" s="3">
        <f>IFERROR(__xludf.DUMMYFUNCTION("""COMPUTED_VALUE"""),1.0)</f>
        <v>1</v>
      </c>
      <c r="BA212" s="3">
        <f>IFERROR(__xludf.DUMMYFUNCTION("""COMPUTED_VALUE"""),1.0)</f>
        <v>1</v>
      </c>
      <c r="BB212" s="3">
        <f>IFERROR(__xludf.DUMMYFUNCTION("""COMPUTED_VALUE"""),1.0)</f>
        <v>1</v>
      </c>
      <c r="BC212" s="3">
        <f>IFERROR(__xludf.DUMMYFUNCTION("""COMPUTED_VALUE"""),1.0)</f>
        <v>1</v>
      </c>
      <c r="BD212" s="3">
        <f>IFERROR(__xludf.DUMMYFUNCTION("""COMPUTED_VALUE"""),1.0)</f>
        <v>1</v>
      </c>
      <c r="BE212" s="3">
        <f>IFERROR(__xludf.DUMMYFUNCTION("""COMPUTED_VALUE"""),1.0)</f>
        <v>1</v>
      </c>
      <c r="BF212" s="3">
        <f>IFERROR(__xludf.DUMMYFUNCTION("""COMPUTED_VALUE"""),1.0)</f>
        <v>1</v>
      </c>
      <c r="BG212" s="3">
        <f>IFERROR(__xludf.DUMMYFUNCTION("""COMPUTED_VALUE"""),1.0)</f>
        <v>1</v>
      </c>
      <c r="BH212" s="3">
        <f>IFERROR(__xludf.DUMMYFUNCTION("""COMPUTED_VALUE"""),1.0)</f>
        <v>1</v>
      </c>
      <c r="BI212" s="3">
        <f>IFERROR(__xludf.DUMMYFUNCTION("""COMPUTED_VALUE"""),1.0)</f>
        <v>1</v>
      </c>
      <c r="BJ212" s="3">
        <f>IFERROR(__xludf.DUMMYFUNCTION("""COMPUTED_VALUE"""),1.0)</f>
        <v>1</v>
      </c>
      <c r="BK212" s="3">
        <f>IFERROR(__xludf.DUMMYFUNCTION("""COMPUTED_VALUE"""),9.0)</f>
        <v>9</v>
      </c>
      <c r="BL212" s="3">
        <f>IFERROR(__xludf.DUMMYFUNCTION("""COMPUTED_VALUE"""),16.0)</f>
        <v>16</v>
      </c>
      <c r="BM212" s="3">
        <f>IFERROR(__xludf.DUMMYFUNCTION("""COMPUTED_VALUE"""),16.0)</f>
        <v>16</v>
      </c>
      <c r="BN212" s="3">
        <f>IFERROR(__xludf.DUMMYFUNCTION("""COMPUTED_VALUE"""),18.0)</f>
        <v>18</v>
      </c>
      <c r="BO212" s="3">
        <f>IFERROR(__xludf.DUMMYFUNCTION("""COMPUTED_VALUE"""),20.0)</f>
        <v>20</v>
      </c>
      <c r="BP212" s="3">
        <f>IFERROR(__xludf.DUMMYFUNCTION("""COMPUTED_VALUE"""),23.0)</f>
        <v>23</v>
      </c>
      <c r="BQ212" s="3">
        <f>IFERROR(__xludf.DUMMYFUNCTION("""COMPUTED_VALUE"""),23.0)</f>
        <v>23</v>
      </c>
      <c r="BR212" s="3">
        <f>IFERROR(__xludf.DUMMYFUNCTION("""COMPUTED_VALUE"""),25.0)</f>
        <v>25</v>
      </c>
      <c r="BS212" s="3">
        <f>IFERROR(__xludf.DUMMYFUNCTION("""COMPUTED_VALUE"""),25.0)</f>
        <v>25</v>
      </c>
      <c r="BT212" s="3">
        <f>IFERROR(__xludf.DUMMYFUNCTION("""COMPUTED_VALUE"""),25.0)</f>
        <v>25</v>
      </c>
      <c r="BU212" s="3">
        <f>IFERROR(__xludf.DUMMYFUNCTION("""COMPUTED_VALUE"""),30.0)</f>
        <v>30</v>
      </c>
      <c r="BV212" s="3">
        <f>IFERROR(__xludf.DUMMYFUNCTION("""COMPUTED_VALUE"""),34.0)</f>
        <v>34</v>
      </c>
      <c r="BW212" s="3">
        <f>IFERROR(__xludf.DUMMYFUNCTION("""COMPUTED_VALUE"""),36.0)</f>
        <v>36</v>
      </c>
      <c r="BX212" s="3">
        <f>IFERROR(__xludf.DUMMYFUNCTION("""COMPUTED_VALUE"""),39.0)</f>
        <v>39</v>
      </c>
      <c r="BY212" s="3">
        <f>IFERROR(__xludf.DUMMYFUNCTION("""COMPUTED_VALUE"""),40.0)</f>
        <v>40</v>
      </c>
      <c r="BZ212" s="3">
        <f>IFERROR(__xludf.DUMMYFUNCTION("""COMPUTED_VALUE"""),41.0)</f>
        <v>41</v>
      </c>
      <c r="CA212" s="3">
        <f>IFERROR(__xludf.DUMMYFUNCTION("""COMPUTED_VALUE"""),44.0)</f>
        <v>44</v>
      </c>
      <c r="CB212" s="3">
        <f>IFERROR(__xludf.DUMMYFUNCTION("""COMPUTED_VALUE"""),58.0)</f>
        <v>58</v>
      </c>
    </row>
    <row r="213">
      <c r="A213" s="3" t="str">
        <f>IFERROR(__xludf.DUMMYFUNCTION("""COMPUTED_VALUE"""),"")</f>
        <v/>
      </c>
      <c r="B213" s="3" t="str">
        <f>IFERROR(__xludf.DUMMYFUNCTION("""COMPUTED_VALUE"""),"Trinidad and Tobago")</f>
        <v>Trinidad and Tobago</v>
      </c>
      <c r="C213" s="3">
        <f>IFERROR(__xludf.DUMMYFUNCTION("""COMPUTED_VALUE"""),10.6918)</f>
        <v>10.6918</v>
      </c>
      <c r="D213" s="3">
        <f>IFERROR(__xludf.DUMMYFUNCTION("""COMPUTED_VALUE"""),-61.2225)</f>
        <v>-61.2225</v>
      </c>
      <c r="E213" s="3">
        <f>IFERROR(__xludf.DUMMYFUNCTION("""COMPUTED_VALUE"""),0.0)</f>
        <v>0</v>
      </c>
      <c r="F213" s="3">
        <f>IFERROR(__xludf.DUMMYFUNCTION("""COMPUTED_VALUE"""),0.0)</f>
        <v>0</v>
      </c>
      <c r="G213" s="3">
        <f>IFERROR(__xludf.DUMMYFUNCTION("""COMPUTED_VALUE"""),0.0)</f>
        <v>0</v>
      </c>
      <c r="H213" s="3">
        <f>IFERROR(__xludf.DUMMYFUNCTION("""COMPUTED_VALUE"""),0.0)</f>
        <v>0</v>
      </c>
      <c r="I213" s="3">
        <f>IFERROR(__xludf.DUMMYFUNCTION("""COMPUTED_VALUE"""),0.0)</f>
        <v>0</v>
      </c>
      <c r="J213" s="3">
        <f>IFERROR(__xludf.DUMMYFUNCTION("""COMPUTED_VALUE"""),0.0)</f>
        <v>0</v>
      </c>
      <c r="K213" s="3">
        <f>IFERROR(__xludf.DUMMYFUNCTION("""COMPUTED_VALUE"""),0.0)</f>
        <v>0</v>
      </c>
      <c r="L213" s="3">
        <f>IFERROR(__xludf.DUMMYFUNCTION("""COMPUTED_VALUE"""),0.0)</f>
        <v>0</v>
      </c>
      <c r="M213" s="3">
        <f>IFERROR(__xludf.DUMMYFUNCTION("""COMPUTED_VALUE"""),0.0)</f>
        <v>0</v>
      </c>
      <c r="N213" s="3">
        <f>IFERROR(__xludf.DUMMYFUNCTION("""COMPUTED_VALUE"""),0.0)</f>
        <v>0</v>
      </c>
      <c r="O213" s="3">
        <f>IFERROR(__xludf.DUMMYFUNCTION("""COMPUTED_VALUE"""),0.0)</f>
        <v>0</v>
      </c>
      <c r="P213" s="3">
        <f>IFERROR(__xludf.DUMMYFUNCTION("""COMPUTED_VALUE"""),0.0)</f>
        <v>0</v>
      </c>
      <c r="Q213" s="3">
        <f>IFERROR(__xludf.DUMMYFUNCTION("""COMPUTED_VALUE"""),0.0)</f>
        <v>0</v>
      </c>
      <c r="R213" s="3">
        <f>IFERROR(__xludf.DUMMYFUNCTION("""COMPUTED_VALUE"""),0.0)</f>
        <v>0</v>
      </c>
      <c r="S213" s="3">
        <f>IFERROR(__xludf.DUMMYFUNCTION("""COMPUTED_VALUE"""),0.0)</f>
        <v>0</v>
      </c>
      <c r="T213" s="3">
        <f>IFERROR(__xludf.DUMMYFUNCTION("""COMPUTED_VALUE"""),0.0)</f>
        <v>0</v>
      </c>
      <c r="U213" s="3">
        <f>IFERROR(__xludf.DUMMYFUNCTION("""COMPUTED_VALUE"""),0.0)</f>
        <v>0</v>
      </c>
      <c r="V213" s="3">
        <f>IFERROR(__xludf.DUMMYFUNCTION("""COMPUTED_VALUE"""),0.0)</f>
        <v>0</v>
      </c>
      <c r="W213" s="3">
        <f>IFERROR(__xludf.DUMMYFUNCTION("""COMPUTED_VALUE"""),0.0)</f>
        <v>0</v>
      </c>
      <c r="X213" s="3">
        <f>IFERROR(__xludf.DUMMYFUNCTION("""COMPUTED_VALUE"""),0.0)</f>
        <v>0</v>
      </c>
      <c r="Y213" s="3">
        <f>IFERROR(__xludf.DUMMYFUNCTION("""COMPUTED_VALUE"""),0.0)</f>
        <v>0</v>
      </c>
      <c r="Z213" s="3">
        <f>IFERROR(__xludf.DUMMYFUNCTION("""COMPUTED_VALUE"""),0.0)</f>
        <v>0</v>
      </c>
      <c r="AA213" s="3">
        <f>IFERROR(__xludf.DUMMYFUNCTION("""COMPUTED_VALUE"""),0.0)</f>
        <v>0</v>
      </c>
      <c r="AB213" s="3">
        <f>IFERROR(__xludf.DUMMYFUNCTION("""COMPUTED_VALUE"""),0.0)</f>
        <v>0</v>
      </c>
      <c r="AC213" s="3">
        <f>IFERROR(__xludf.DUMMYFUNCTION("""COMPUTED_VALUE"""),0.0)</f>
        <v>0</v>
      </c>
      <c r="AD213" s="3">
        <f>IFERROR(__xludf.DUMMYFUNCTION("""COMPUTED_VALUE"""),0.0)</f>
        <v>0</v>
      </c>
      <c r="AE213" s="3">
        <f>IFERROR(__xludf.DUMMYFUNCTION("""COMPUTED_VALUE"""),0.0)</f>
        <v>0</v>
      </c>
      <c r="AF213" s="3">
        <f>IFERROR(__xludf.DUMMYFUNCTION("""COMPUTED_VALUE"""),0.0)</f>
        <v>0</v>
      </c>
      <c r="AG213" s="3">
        <f>IFERROR(__xludf.DUMMYFUNCTION("""COMPUTED_VALUE"""),0.0)</f>
        <v>0</v>
      </c>
      <c r="AH213" s="3">
        <f>IFERROR(__xludf.DUMMYFUNCTION("""COMPUTED_VALUE"""),0.0)</f>
        <v>0</v>
      </c>
      <c r="AI213" s="3">
        <f>IFERROR(__xludf.DUMMYFUNCTION("""COMPUTED_VALUE"""),0.0)</f>
        <v>0</v>
      </c>
      <c r="AJ213" s="3">
        <f>IFERROR(__xludf.DUMMYFUNCTION("""COMPUTED_VALUE"""),0.0)</f>
        <v>0</v>
      </c>
      <c r="AK213" s="3">
        <f>IFERROR(__xludf.DUMMYFUNCTION("""COMPUTED_VALUE"""),0.0)</f>
        <v>0</v>
      </c>
      <c r="AL213" s="3">
        <f>IFERROR(__xludf.DUMMYFUNCTION("""COMPUTED_VALUE"""),0.0)</f>
        <v>0</v>
      </c>
      <c r="AM213" s="3">
        <f>IFERROR(__xludf.DUMMYFUNCTION("""COMPUTED_VALUE"""),0.0)</f>
        <v>0</v>
      </c>
      <c r="AN213" s="3">
        <f>IFERROR(__xludf.DUMMYFUNCTION("""COMPUTED_VALUE"""),0.0)</f>
        <v>0</v>
      </c>
      <c r="AO213" s="3">
        <f>IFERROR(__xludf.DUMMYFUNCTION("""COMPUTED_VALUE"""),0.0)</f>
        <v>0</v>
      </c>
      <c r="AP213" s="3">
        <f>IFERROR(__xludf.DUMMYFUNCTION("""COMPUTED_VALUE"""),0.0)</f>
        <v>0</v>
      </c>
      <c r="AQ213" s="3">
        <f>IFERROR(__xludf.DUMMYFUNCTION("""COMPUTED_VALUE"""),0.0)</f>
        <v>0</v>
      </c>
      <c r="AR213" s="3">
        <f>IFERROR(__xludf.DUMMYFUNCTION("""COMPUTED_VALUE"""),0.0)</f>
        <v>0</v>
      </c>
      <c r="AS213" s="3">
        <f>IFERROR(__xludf.DUMMYFUNCTION("""COMPUTED_VALUE"""),0.0)</f>
        <v>0</v>
      </c>
      <c r="AT213" s="3">
        <f>IFERROR(__xludf.DUMMYFUNCTION("""COMPUTED_VALUE"""),0.0)</f>
        <v>0</v>
      </c>
      <c r="AU213" s="3">
        <f>IFERROR(__xludf.DUMMYFUNCTION("""COMPUTED_VALUE"""),0.0)</f>
        <v>0</v>
      </c>
      <c r="AV213" s="3">
        <f>IFERROR(__xludf.DUMMYFUNCTION("""COMPUTED_VALUE"""),0.0)</f>
        <v>0</v>
      </c>
      <c r="AW213" s="3">
        <f>IFERROR(__xludf.DUMMYFUNCTION("""COMPUTED_VALUE"""),0.0)</f>
        <v>0</v>
      </c>
      <c r="AX213" s="3">
        <f>IFERROR(__xludf.DUMMYFUNCTION("""COMPUTED_VALUE"""),0.0)</f>
        <v>0</v>
      </c>
      <c r="AY213" s="3">
        <f>IFERROR(__xludf.DUMMYFUNCTION("""COMPUTED_VALUE"""),0.0)</f>
        <v>0</v>
      </c>
      <c r="AZ213" s="3">
        <f>IFERROR(__xludf.DUMMYFUNCTION("""COMPUTED_VALUE"""),0.0)</f>
        <v>0</v>
      </c>
      <c r="BA213" s="3">
        <f>IFERROR(__xludf.DUMMYFUNCTION("""COMPUTED_VALUE"""),0.0)</f>
        <v>0</v>
      </c>
      <c r="BB213" s="3">
        <f>IFERROR(__xludf.DUMMYFUNCTION("""COMPUTED_VALUE"""),0.0)</f>
        <v>0</v>
      </c>
      <c r="BC213" s="3">
        <f>IFERROR(__xludf.DUMMYFUNCTION("""COMPUTED_VALUE"""),0.0)</f>
        <v>0</v>
      </c>
      <c r="BD213" s="3">
        <f>IFERROR(__xludf.DUMMYFUNCTION("""COMPUTED_VALUE"""),0.0)</f>
        <v>0</v>
      </c>
      <c r="BE213" s="3">
        <f>IFERROR(__xludf.DUMMYFUNCTION("""COMPUTED_VALUE"""),2.0)</f>
        <v>2</v>
      </c>
      <c r="BF213" s="3">
        <f>IFERROR(__xludf.DUMMYFUNCTION("""COMPUTED_VALUE"""),2.0)</f>
        <v>2</v>
      </c>
      <c r="BG213" s="3">
        <f>IFERROR(__xludf.DUMMYFUNCTION("""COMPUTED_VALUE"""),4.0)</f>
        <v>4</v>
      </c>
      <c r="BH213" s="3">
        <f>IFERROR(__xludf.DUMMYFUNCTION("""COMPUTED_VALUE"""),5.0)</f>
        <v>5</v>
      </c>
      <c r="BI213" s="3">
        <f>IFERROR(__xludf.DUMMYFUNCTION("""COMPUTED_VALUE"""),7.0)</f>
        <v>7</v>
      </c>
      <c r="BJ213" s="3">
        <f>IFERROR(__xludf.DUMMYFUNCTION("""COMPUTED_VALUE"""),9.0)</f>
        <v>9</v>
      </c>
      <c r="BK213" s="3">
        <f>IFERROR(__xludf.DUMMYFUNCTION("""COMPUTED_VALUE"""),9.0)</f>
        <v>9</v>
      </c>
      <c r="BL213" s="3">
        <f>IFERROR(__xludf.DUMMYFUNCTION("""COMPUTED_VALUE"""),49.0)</f>
        <v>49</v>
      </c>
      <c r="BM213" s="3">
        <f>IFERROR(__xludf.DUMMYFUNCTION("""COMPUTED_VALUE"""),50.0)</f>
        <v>50</v>
      </c>
      <c r="BN213" s="3">
        <f>IFERROR(__xludf.DUMMYFUNCTION("""COMPUTED_VALUE"""),51.0)</f>
        <v>51</v>
      </c>
      <c r="BO213" s="3">
        <f>IFERROR(__xludf.DUMMYFUNCTION("""COMPUTED_VALUE"""),57.0)</f>
        <v>57</v>
      </c>
      <c r="BP213" s="3">
        <f>IFERROR(__xludf.DUMMYFUNCTION("""COMPUTED_VALUE"""),60.0)</f>
        <v>60</v>
      </c>
      <c r="BQ213" s="3">
        <f>IFERROR(__xludf.DUMMYFUNCTION("""COMPUTED_VALUE"""),65.0)</f>
        <v>65</v>
      </c>
      <c r="BR213" s="3">
        <f>IFERROR(__xludf.DUMMYFUNCTION("""COMPUTED_VALUE"""),66.0)</f>
        <v>66</v>
      </c>
      <c r="BS213" s="3">
        <f>IFERROR(__xludf.DUMMYFUNCTION("""COMPUTED_VALUE"""),74.0)</f>
        <v>74</v>
      </c>
      <c r="BT213" s="3">
        <f>IFERROR(__xludf.DUMMYFUNCTION("""COMPUTED_VALUE"""),78.0)</f>
        <v>78</v>
      </c>
      <c r="BU213" s="3">
        <f>IFERROR(__xludf.DUMMYFUNCTION("""COMPUTED_VALUE"""),82.0)</f>
        <v>82</v>
      </c>
      <c r="BV213" s="3">
        <f>IFERROR(__xludf.DUMMYFUNCTION("""COMPUTED_VALUE"""),87.0)</f>
        <v>87</v>
      </c>
      <c r="BW213" s="3">
        <f>IFERROR(__xludf.DUMMYFUNCTION("""COMPUTED_VALUE"""),90.0)</f>
        <v>90</v>
      </c>
      <c r="BX213" s="3">
        <f>IFERROR(__xludf.DUMMYFUNCTION("""COMPUTED_VALUE"""),94.0)</f>
        <v>94</v>
      </c>
      <c r="BY213" s="3">
        <f>IFERROR(__xludf.DUMMYFUNCTION("""COMPUTED_VALUE"""),98.0)</f>
        <v>98</v>
      </c>
      <c r="BZ213" s="3">
        <f>IFERROR(__xludf.DUMMYFUNCTION("""COMPUTED_VALUE"""),103.0)</f>
        <v>103</v>
      </c>
      <c r="CA213" s="3">
        <f>IFERROR(__xludf.DUMMYFUNCTION("""COMPUTED_VALUE"""),104.0)</f>
        <v>104</v>
      </c>
      <c r="CB213" s="3">
        <f>IFERROR(__xludf.DUMMYFUNCTION("""COMPUTED_VALUE"""),105.0)</f>
        <v>105</v>
      </c>
    </row>
    <row r="214">
      <c r="A214" s="3" t="str">
        <f>IFERROR(__xludf.DUMMYFUNCTION("""COMPUTED_VALUE"""),"")</f>
        <v/>
      </c>
      <c r="B214" s="3" t="str">
        <f>IFERROR(__xludf.DUMMYFUNCTION("""COMPUTED_VALUE"""),"Tunisia")</f>
        <v>Tunisia</v>
      </c>
      <c r="C214" s="3">
        <f>IFERROR(__xludf.DUMMYFUNCTION("""COMPUTED_VALUE"""),34.0)</f>
        <v>34</v>
      </c>
      <c r="D214" s="3">
        <f>IFERROR(__xludf.DUMMYFUNCTION("""COMPUTED_VALUE"""),9.0)</f>
        <v>9</v>
      </c>
      <c r="E214" s="3">
        <f>IFERROR(__xludf.DUMMYFUNCTION("""COMPUTED_VALUE"""),0.0)</f>
        <v>0</v>
      </c>
      <c r="F214" s="3">
        <f>IFERROR(__xludf.DUMMYFUNCTION("""COMPUTED_VALUE"""),0.0)</f>
        <v>0</v>
      </c>
      <c r="G214" s="3">
        <f>IFERROR(__xludf.DUMMYFUNCTION("""COMPUTED_VALUE"""),0.0)</f>
        <v>0</v>
      </c>
      <c r="H214" s="3">
        <f>IFERROR(__xludf.DUMMYFUNCTION("""COMPUTED_VALUE"""),0.0)</f>
        <v>0</v>
      </c>
      <c r="I214" s="3">
        <f>IFERROR(__xludf.DUMMYFUNCTION("""COMPUTED_VALUE"""),0.0)</f>
        <v>0</v>
      </c>
      <c r="J214" s="3">
        <f>IFERROR(__xludf.DUMMYFUNCTION("""COMPUTED_VALUE"""),0.0)</f>
        <v>0</v>
      </c>
      <c r="K214" s="3">
        <f>IFERROR(__xludf.DUMMYFUNCTION("""COMPUTED_VALUE"""),0.0)</f>
        <v>0</v>
      </c>
      <c r="L214" s="3">
        <f>IFERROR(__xludf.DUMMYFUNCTION("""COMPUTED_VALUE"""),0.0)</f>
        <v>0</v>
      </c>
      <c r="M214" s="3">
        <f>IFERROR(__xludf.DUMMYFUNCTION("""COMPUTED_VALUE"""),0.0)</f>
        <v>0</v>
      </c>
      <c r="N214" s="3">
        <f>IFERROR(__xludf.DUMMYFUNCTION("""COMPUTED_VALUE"""),0.0)</f>
        <v>0</v>
      </c>
      <c r="O214" s="3">
        <f>IFERROR(__xludf.DUMMYFUNCTION("""COMPUTED_VALUE"""),0.0)</f>
        <v>0</v>
      </c>
      <c r="P214" s="3">
        <f>IFERROR(__xludf.DUMMYFUNCTION("""COMPUTED_VALUE"""),0.0)</f>
        <v>0</v>
      </c>
      <c r="Q214" s="3">
        <f>IFERROR(__xludf.DUMMYFUNCTION("""COMPUTED_VALUE"""),0.0)</f>
        <v>0</v>
      </c>
      <c r="R214" s="3">
        <f>IFERROR(__xludf.DUMMYFUNCTION("""COMPUTED_VALUE"""),0.0)</f>
        <v>0</v>
      </c>
      <c r="S214" s="3">
        <f>IFERROR(__xludf.DUMMYFUNCTION("""COMPUTED_VALUE"""),0.0)</f>
        <v>0</v>
      </c>
      <c r="T214" s="3">
        <f>IFERROR(__xludf.DUMMYFUNCTION("""COMPUTED_VALUE"""),0.0)</f>
        <v>0</v>
      </c>
      <c r="U214" s="3">
        <f>IFERROR(__xludf.DUMMYFUNCTION("""COMPUTED_VALUE"""),0.0)</f>
        <v>0</v>
      </c>
      <c r="V214" s="3">
        <f>IFERROR(__xludf.DUMMYFUNCTION("""COMPUTED_VALUE"""),0.0)</f>
        <v>0</v>
      </c>
      <c r="W214" s="3">
        <f>IFERROR(__xludf.DUMMYFUNCTION("""COMPUTED_VALUE"""),0.0)</f>
        <v>0</v>
      </c>
      <c r="X214" s="3">
        <f>IFERROR(__xludf.DUMMYFUNCTION("""COMPUTED_VALUE"""),0.0)</f>
        <v>0</v>
      </c>
      <c r="Y214" s="3">
        <f>IFERROR(__xludf.DUMMYFUNCTION("""COMPUTED_VALUE"""),0.0)</f>
        <v>0</v>
      </c>
      <c r="Z214" s="3">
        <f>IFERROR(__xludf.DUMMYFUNCTION("""COMPUTED_VALUE"""),0.0)</f>
        <v>0</v>
      </c>
      <c r="AA214" s="3">
        <f>IFERROR(__xludf.DUMMYFUNCTION("""COMPUTED_VALUE"""),0.0)</f>
        <v>0</v>
      </c>
      <c r="AB214" s="3">
        <f>IFERROR(__xludf.DUMMYFUNCTION("""COMPUTED_VALUE"""),0.0)</f>
        <v>0</v>
      </c>
      <c r="AC214" s="3">
        <f>IFERROR(__xludf.DUMMYFUNCTION("""COMPUTED_VALUE"""),0.0)</f>
        <v>0</v>
      </c>
      <c r="AD214" s="3">
        <f>IFERROR(__xludf.DUMMYFUNCTION("""COMPUTED_VALUE"""),0.0)</f>
        <v>0</v>
      </c>
      <c r="AE214" s="3">
        <f>IFERROR(__xludf.DUMMYFUNCTION("""COMPUTED_VALUE"""),0.0)</f>
        <v>0</v>
      </c>
      <c r="AF214" s="3">
        <f>IFERROR(__xludf.DUMMYFUNCTION("""COMPUTED_VALUE"""),0.0)</f>
        <v>0</v>
      </c>
      <c r="AG214" s="3">
        <f>IFERROR(__xludf.DUMMYFUNCTION("""COMPUTED_VALUE"""),0.0)</f>
        <v>0</v>
      </c>
      <c r="AH214" s="3">
        <f>IFERROR(__xludf.DUMMYFUNCTION("""COMPUTED_VALUE"""),0.0)</f>
        <v>0</v>
      </c>
      <c r="AI214" s="3">
        <f>IFERROR(__xludf.DUMMYFUNCTION("""COMPUTED_VALUE"""),0.0)</f>
        <v>0</v>
      </c>
      <c r="AJ214" s="3">
        <f>IFERROR(__xludf.DUMMYFUNCTION("""COMPUTED_VALUE"""),0.0)</f>
        <v>0</v>
      </c>
      <c r="AK214" s="3">
        <f>IFERROR(__xludf.DUMMYFUNCTION("""COMPUTED_VALUE"""),0.0)</f>
        <v>0</v>
      </c>
      <c r="AL214" s="3">
        <f>IFERROR(__xludf.DUMMYFUNCTION("""COMPUTED_VALUE"""),0.0)</f>
        <v>0</v>
      </c>
      <c r="AM214" s="3">
        <f>IFERROR(__xludf.DUMMYFUNCTION("""COMPUTED_VALUE"""),0.0)</f>
        <v>0</v>
      </c>
      <c r="AN214" s="3">
        <f>IFERROR(__xludf.DUMMYFUNCTION("""COMPUTED_VALUE"""),0.0)</f>
        <v>0</v>
      </c>
      <c r="AO214" s="3">
        <f>IFERROR(__xludf.DUMMYFUNCTION("""COMPUTED_VALUE"""),0.0)</f>
        <v>0</v>
      </c>
      <c r="AP214" s="3">
        <f>IFERROR(__xludf.DUMMYFUNCTION("""COMPUTED_VALUE"""),0.0)</f>
        <v>0</v>
      </c>
      <c r="AQ214" s="3">
        <f>IFERROR(__xludf.DUMMYFUNCTION("""COMPUTED_VALUE"""),0.0)</f>
        <v>0</v>
      </c>
      <c r="AR214" s="3">
        <f>IFERROR(__xludf.DUMMYFUNCTION("""COMPUTED_VALUE"""),0.0)</f>
        <v>0</v>
      </c>
      <c r="AS214" s="3">
        <f>IFERROR(__xludf.DUMMYFUNCTION("""COMPUTED_VALUE"""),0.0)</f>
        <v>0</v>
      </c>
      <c r="AT214" s="3">
        <f>IFERROR(__xludf.DUMMYFUNCTION("""COMPUTED_VALUE"""),0.0)</f>
        <v>0</v>
      </c>
      <c r="AU214" s="3">
        <f>IFERROR(__xludf.DUMMYFUNCTION("""COMPUTED_VALUE"""),1.0)</f>
        <v>1</v>
      </c>
      <c r="AV214" s="3">
        <f>IFERROR(__xludf.DUMMYFUNCTION("""COMPUTED_VALUE"""),1.0)</f>
        <v>1</v>
      </c>
      <c r="AW214" s="3">
        <f>IFERROR(__xludf.DUMMYFUNCTION("""COMPUTED_VALUE"""),1.0)</f>
        <v>1</v>
      </c>
      <c r="AX214" s="3">
        <f>IFERROR(__xludf.DUMMYFUNCTION("""COMPUTED_VALUE"""),1.0)</f>
        <v>1</v>
      </c>
      <c r="AY214" s="3">
        <f>IFERROR(__xludf.DUMMYFUNCTION("""COMPUTED_VALUE"""),2.0)</f>
        <v>2</v>
      </c>
      <c r="AZ214" s="3">
        <f>IFERROR(__xludf.DUMMYFUNCTION("""COMPUTED_VALUE"""),2.0)</f>
        <v>2</v>
      </c>
      <c r="BA214" s="3">
        <f>IFERROR(__xludf.DUMMYFUNCTION("""COMPUTED_VALUE"""),5.0)</f>
        <v>5</v>
      </c>
      <c r="BB214" s="3">
        <f>IFERROR(__xludf.DUMMYFUNCTION("""COMPUTED_VALUE"""),7.0)</f>
        <v>7</v>
      </c>
      <c r="BC214" s="3">
        <f>IFERROR(__xludf.DUMMYFUNCTION("""COMPUTED_VALUE"""),7.0)</f>
        <v>7</v>
      </c>
      <c r="BD214" s="3">
        <f>IFERROR(__xludf.DUMMYFUNCTION("""COMPUTED_VALUE"""),16.0)</f>
        <v>16</v>
      </c>
      <c r="BE214" s="3">
        <f>IFERROR(__xludf.DUMMYFUNCTION("""COMPUTED_VALUE"""),18.0)</f>
        <v>18</v>
      </c>
      <c r="BF214" s="3">
        <f>IFERROR(__xludf.DUMMYFUNCTION("""COMPUTED_VALUE"""),18.0)</f>
        <v>18</v>
      </c>
      <c r="BG214" s="3">
        <f>IFERROR(__xludf.DUMMYFUNCTION("""COMPUTED_VALUE"""),20.0)</f>
        <v>20</v>
      </c>
      <c r="BH214" s="3">
        <f>IFERROR(__xludf.DUMMYFUNCTION("""COMPUTED_VALUE"""),24.0)</f>
        <v>24</v>
      </c>
      <c r="BI214" s="3">
        <f>IFERROR(__xludf.DUMMYFUNCTION("""COMPUTED_VALUE"""),29.0)</f>
        <v>29</v>
      </c>
      <c r="BJ214" s="3">
        <f>IFERROR(__xludf.DUMMYFUNCTION("""COMPUTED_VALUE"""),39.0)</f>
        <v>39</v>
      </c>
      <c r="BK214" s="3">
        <f>IFERROR(__xludf.DUMMYFUNCTION("""COMPUTED_VALUE"""),54.0)</f>
        <v>54</v>
      </c>
      <c r="BL214" s="3">
        <f>IFERROR(__xludf.DUMMYFUNCTION("""COMPUTED_VALUE"""),60.0)</f>
        <v>60</v>
      </c>
      <c r="BM214" s="3">
        <f>IFERROR(__xludf.DUMMYFUNCTION("""COMPUTED_VALUE"""),75.0)</f>
        <v>75</v>
      </c>
      <c r="BN214" s="3">
        <f>IFERROR(__xludf.DUMMYFUNCTION("""COMPUTED_VALUE"""),89.0)</f>
        <v>89</v>
      </c>
      <c r="BO214" s="3">
        <f>IFERROR(__xludf.DUMMYFUNCTION("""COMPUTED_VALUE"""),114.0)</f>
        <v>114</v>
      </c>
      <c r="BP214" s="3">
        <f>IFERROR(__xludf.DUMMYFUNCTION("""COMPUTED_VALUE"""),173.0)</f>
        <v>173</v>
      </c>
      <c r="BQ214" s="3">
        <f>IFERROR(__xludf.DUMMYFUNCTION("""COMPUTED_VALUE"""),197.0)</f>
        <v>197</v>
      </c>
      <c r="BR214" s="3">
        <f>IFERROR(__xludf.DUMMYFUNCTION("""COMPUTED_VALUE"""),227.0)</f>
        <v>227</v>
      </c>
      <c r="BS214" s="3">
        <f>IFERROR(__xludf.DUMMYFUNCTION("""COMPUTED_VALUE"""),278.0)</f>
        <v>278</v>
      </c>
      <c r="BT214" s="3">
        <f>IFERROR(__xludf.DUMMYFUNCTION("""COMPUTED_VALUE"""),312.0)</f>
        <v>312</v>
      </c>
      <c r="BU214" s="3">
        <f>IFERROR(__xludf.DUMMYFUNCTION("""COMPUTED_VALUE"""),312.0)</f>
        <v>312</v>
      </c>
      <c r="BV214" s="3">
        <f>IFERROR(__xludf.DUMMYFUNCTION("""COMPUTED_VALUE"""),394.0)</f>
        <v>394</v>
      </c>
      <c r="BW214" s="3">
        <f>IFERROR(__xludf.DUMMYFUNCTION("""COMPUTED_VALUE"""),423.0)</f>
        <v>423</v>
      </c>
      <c r="BX214" s="3">
        <f>IFERROR(__xludf.DUMMYFUNCTION("""COMPUTED_VALUE"""),455.0)</f>
        <v>455</v>
      </c>
      <c r="BY214" s="3">
        <f>IFERROR(__xludf.DUMMYFUNCTION("""COMPUTED_VALUE"""),495.0)</f>
        <v>495</v>
      </c>
      <c r="BZ214" s="3">
        <f>IFERROR(__xludf.DUMMYFUNCTION("""COMPUTED_VALUE"""),553.0)</f>
        <v>553</v>
      </c>
      <c r="CA214" s="3">
        <f>IFERROR(__xludf.DUMMYFUNCTION("""COMPUTED_VALUE"""),574.0)</f>
        <v>574</v>
      </c>
      <c r="CB214" s="3">
        <f>IFERROR(__xludf.DUMMYFUNCTION("""COMPUTED_VALUE"""),596.0)</f>
        <v>596</v>
      </c>
    </row>
    <row r="215">
      <c r="A215" s="3" t="str">
        <f>IFERROR(__xludf.DUMMYFUNCTION("""COMPUTED_VALUE"""),"")</f>
        <v/>
      </c>
      <c r="B215" s="3" t="str">
        <f>IFERROR(__xludf.DUMMYFUNCTION("""COMPUTED_VALUE"""),"Turkey")</f>
        <v>Turkey</v>
      </c>
      <c r="C215" s="3">
        <f>IFERROR(__xludf.DUMMYFUNCTION("""COMPUTED_VALUE"""),38.9637)</f>
        <v>38.9637</v>
      </c>
      <c r="D215" s="3">
        <f>IFERROR(__xludf.DUMMYFUNCTION("""COMPUTED_VALUE"""),35.2433)</f>
        <v>35.2433</v>
      </c>
      <c r="E215" s="3">
        <f>IFERROR(__xludf.DUMMYFUNCTION("""COMPUTED_VALUE"""),0.0)</f>
        <v>0</v>
      </c>
      <c r="F215" s="3">
        <f>IFERROR(__xludf.DUMMYFUNCTION("""COMPUTED_VALUE"""),0.0)</f>
        <v>0</v>
      </c>
      <c r="G215" s="3">
        <f>IFERROR(__xludf.DUMMYFUNCTION("""COMPUTED_VALUE"""),0.0)</f>
        <v>0</v>
      </c>
      <c r="H215" s="3">
        <f>IFERROR(__xludf.DUMMYFUNCTION("""COMPUTED_VALUE"""),0.0)</f>
        <v>0</v>
      </c>
      <c r="I215" s="3">
        <f>IFERROR(__xludf.DUMMYFUNCTION("""COMPUTED_VALUE"""),0.0)</f>
        <v>0</v>
      </c>
      <c r="J215" s="3">
        <f>IFERROR(__xludf.DUMMYFUNCTION("""COMPUTED_VALUE"""),0.0)</f>
        <v>0</v>
      </c>
      <c r="K215" s="3">
        <f>IFERROR(__xludf.DUMMYFUNCTION("""COMPUTED_VALUE"""),0.0)</f>
        <v>0</v>
      </c>
      <c r="L215" s="3">
        <f>IFERROR(__xludf.DUMMYFUNCTION("""COMPUTED_VALUE"""),0.0)</f>
        <v>0</v>
      </c>
      <c r="M215" s="3">
        <f>IFERROR(__xludf.DUMMYFUNCTION("""COMPUTED_VALUE"""),0.0)</f>
        <v>0</v>
      </c>
      <c r="N215" s="3">
        <f>IFERROR(__xludf.DUMMYFUNCTION("""COMPUTED_VALUE"""),0.0)</f>
        <v>0</v>
      </c>
      <c r="O215" s="3">
        <f>IFERROR(__xludf.DUMMYFUNCTION("""COMPUTED_VALUE"""),0.0)</f>
        <v>0</v>
      </c>
      <c r="P215" s="3">
        <f>IFERROR(__xludf.DUMMYFUNCTION("""COMPUTED_VALUE"""),0.0)</f>
        <v>0</v>
      </c>
      <c r="Q215" s="3">
        <f>IFERROR(__xludf.DUMMYFUNCTION("""COMPUTED_VALUE"""),0.0)</f>
        <v>0</v>
      </c>
      <c r="R215" s="3">
        <f>IFERROR(__xludf.DUMMYFUNCTION("""COMPUTED_VALUE"""),0.0)</f>
        <v>0</v>
      </c>
      <c r="S215" s="3">
        <f>IFERROR(__xludf.DUMMYFUNCTION("""COMPUTED_VALUE"""),0.0)</f>
        <v>0</v>
      </c>
      <c r="T215" s="3">
        <f>IFERROR(__xludf.DUMMYFUNCTION("""COMPUTED_VALUE"""),0.0)</f>
        <v>0</v>
      </c>
      <c r="U215" s="3">
        <f>IFERROR(__xludf.DUMMYFUNCTION("""COMPUTED_VALUE"""),0.0)</f>
        <v>0</v>
      </c>
      <c r="V215" s="3">
        <f>IFERROR(__xludf.DUMMYFUNCTION("""COMPUTED_VALUE"""),0.0)</f>
        <v>0</v>
      </c>
      <c r="W215" s="3">
        <f>IFERROR(__xludf.DUMMYFUNCTION("""COMPUTED_VALUE"""),0.0)</f>
        <v>0</v>
      </c>
      <c r="X215" s="3">
        <f>IFERROR(__xludf.DUMMYFUNCTION("""COMPUTED_VALUE"""),0.0)</f>
        <v>0</v>
      </c>
      <c r="Y215" s="3">
        <f>IFERROR(__xludf.DUMMYFUNCTION("""COMPUTED_VALUE"""),0.0)</f>
        <v>0</v>
      </c>
      <c r="Z215" s="3">
        <f>IFERROR(__xludf.DUMMYFUNCTION("""COMPUTED_VALUE"""),0.0)</f>
        <v>0</v>
      </c>
      <c r="AA215" s="3">
        <f>IFERROR(__xludf.DUMMYFUNCTION("""COMPUTED_VALUE"""),0.0)</f>
        <v>0</v>
      </c>
      <c r="AB215" s="3">
        <f>IFERROR(__xludf.DUMMYFUNCTION("""COMPUTED_VALUE"""),0.0)</f>
        <v>0</v>
      </c>
      <c r="AC215" s="3">
        <f>IFERROR(__xludf.DUMMYFUNCTION("""COMPUTED_VALUE"""),0.0)</f>
        <v>0</v>
      </c>
      <c r="AD215" s="3">
        <f>IFERROR(__xludf.DUMMYFUNCTION("""COMPUTED_VALUE"""),0.0)</f>
        <v>0</v>
      </c>
      <c r="AE215" s="3">
        <f>IFERROR(__xludf.DUMMYFUNCTION("""COMPUTED_VALUE"""),0.0)</f>
        <v>0</v>
      </c>
      <c r="AF215" s="3">
        <f>IFERROR(__xludf.DUMMYFUNCTION("""COMPUTED_VALUE"""),0.0)</f>
        <v>0</v>
      </c>
      <c r="AG215" s="3">
        <f>IFERROR(__xludf.DUMMYFUNCTION("""COMPUTED_VALUE"""),0.0)</f>
        <v>0</v>
      </c>
      <c r="AH215" s="3">
        <f>IFERROR(__xludf.DUMMYFUNCTION("""COMPUTED_VALUE"""),0.0)</f>
        <v>0</v>
      </c>
      <c r="AI215" s="3">
        <f>IFERROR(__xludf.DUMMYFUNCTION("""COMPUTED_VALUE"""),0.0)</f>
        <v>0</v>
      </c>
      <c r="AJ215" s="3">
        <f>IFERROR(__xludf.DUMMYFUNCTION("""COMPUTED_VALUE"""),0.0)</f>
        <v>0</v>
      </c>
      <c r="AK215" s="3">
        <f>IFERROR(__xludf.DUMMYFUNCTION("""COMPUTED_VALUE"""),0.0)</f>
        <v>0</v>
      </c>
      <c r="AL215" s="3">
        <f>IFERROR(__xludf.DUMMYFUNCTION("""COMPUTED_VALUE"""),0.0)</f>
        <v>0</v>
      </c>
      <c r="AM215" s="3">
        <f>IFERROR(__xludf.DUMMYFUNCTION("""COMPUTED_VALUE"""),0.0)</f>
        <v>0</v>
      </c>
      <c r="AN215" s="3">
        <f>IFERROR(__xludf.DUMMYFUNCTION("""COMPUTED_VALUE"""),0.0)</f>
        <v>0</v>
      </c>
      <c r="AO215" s="3">
        <f>IFERROR(__xludf.DUMMYFUNCTION("""COMPUTED_VALUE"""),0.0)</f>
        <v>0</v>
      </c>
      <c r="AP215" s="3">
        <f>IFERROR(__xludf.DUMMYFUNCTION("""COMPUTED_VALUE"""),0.0)</f>
        <v>0</v>
      </c>
      <c r="AQ215" s="3">
        <f>IFERROR(__xludf.DUMMYFUNCTION("""COMPUTED_VALUE"""),0.0)</f>
        <v>0</v>
      </c>
      <c r="AR215" s="3">
        <f>IFERROR(__xludf.DUMMYFUNCTION("""COMPUTED_VALUE"""),0.0)</f>
        <v>0</v>
      </c>
      <c r="AS215" s="3">
        <f>IFERROR(__xludf.DUMMYFUNCTION("""COMPUTED_VALUE"""),0.0)</f>
        <v>0</v>
      </c>
      <c r="AT215" s="3">
        <f>IFERROR(__xludf.DUMMYFUNCTION("""COMPUTED_VALUE"""),0.0)</f>
        <v>0</v>
      </c>
      <c r="AU215" s="3">
        <f>IFERROR(__xludf.DUMMYFUNCTION("""COMPUTED_VALUE"""),0.0)</f>
        <v>0</v>
      </c>
      <c r="AV215" s="3">
        <f>IFERROR(__xludf.DUMMYFUNCTION("""COMPUTED_VALUE"""),0.0)</f>
        <v>0</v>
      </c>
      <c r="AW215" s="3">
        <f>IFERROR(__xludf.DUMMYFUNCTION("""COMPUTED_VALUE"""),0.0)</f>
        <v>0</v>
      </c>
      <c r="AX215" s="3">
        <f>IFERROR(__xludf.DUMMYFUNCTION("""COMPUTED_VALUE"""),0.0)</f>
        <v>0</v>
      </c>
      <c r="AY215" s="3">
        <f>IFERROR(__xludf.DUMMYFUNCTION("""COMPUTED_VALUE"""),0.0)</f>
        <v>0</v>
      </c>
      <c r="AZ215" s="3">
        <f>IFERROR(__xludf.DUMMYFUNCTION("""COMPUTED_VALUE"""),0.0)</f>
        <v>0</v>
      </c>
      <c r="BA215" s="3">
        <f>IFERROR(__xludf.DUMMYFUNCTION("""COMPUTED_VALUE"""),0.0)</f>
        <v>0</v>
      </c>
      <c r="BB215" s="3">
        <f>IFERROR(__xludf.DUMMYFUNCTION("""COMPUTED_VALUE"""),1.0)</f>
        <v>1</v>
      </c>
      <c r="BC215" s="3">
        <f>IFERROR(__xludf.DUMMYFUNCTION("""COMPUTED_VALUE"""),1.0)</f>
        <v>1</v>
      </c>
      <c r="BD215" s="3">
        <f>IFERROR(__xludf.DUMMYFUNCTION("""COMPUTED_VALUE"""),5.0)</f>
        <v>5</v>
      </c>
      <c r="BE215" s="3">
        <f>IFERROR(__xludf.DUMMYFUNCTION("""COMPUTED_VALUE"""),5.0)</f>
        <v>5</v>
      </c>
      <c r="BF215" s="3">
        <f>IFERROR(__xludf.DUMMYFUNCTION("""COMPUTED_VALUE"""),6.0)</f>
        <v>6</v>
      </c>
      <c r="BG215" s="3">
        <f>IFERROR(__xludf.DUMMYFUNCTION("""COMPUTED_VALUE"""),18.0)</f>
        <v>18</v>
      </c>
      <c r="BH215" s="3">
        <f>IFERROR(__xludf.DUMMYFUNCTION("""COMPUTED_VALUE"""),47.0)</f>
        <v>47</v>
      </c>
      <c r="BI215" s="3">
        <f>IFERROR(__xludf.DUMMYFUNCTION("""COMPUTED_VALUE"""),98.0)</f>
        <v>98</v>
      </c>
      <c r="BJ215" s="3">
        <f>IFERROR(__xludf.DUMMYFUNCTION("""COMPUTED_VALUE"""),192.0)</f>
        <v>192</v>
      </c>
      <c r="BK215" s="3">
        <f>IFERROR(__xludf.DUMMYFUNCTION("""COMPUTED_VALUE"""),359.0)</f>
        <v>359</v>
      </c>
      <c r="BL215" s="3">
        <f>IFERROR(__xludf.DUMMYFUNCTION("""COMPUTED_VALUE"""),670.0)</f>
        <v>670</v>
      </c>
      <c r="BM215" s="3">
        <f>IFERROR(__xludf.DUMMYFUNCTION("""COMPUTED_VALUE"""),1236.0)</f>
        <v>1236</v>
      </c>
      <c r="BN215" s="3">
        <f>IFERROR(__xludf.DUMMYFUNCTION("""COMPUTED_VALUE"""),1529.0)</f>
        <v>1529</v>
      </c>
      <c r="BO215" s="3">
        <f>IFERROR(__xludf.DUMMYFUNCTION("""COMPUTED_VALUE"""),1872.0)</f>
        <v>1872</v>
      </c>
      <c r="BP215" s="3">
        <f>IFERROR(__xludf.DUMMYFUNCTION("""COMPUTED_VALUE"""),2433.0)</f>
        <v>2433</v>
      </c>
      <c r="BQ215" s="3">
        <f>IFERROR(__xludf.DUMMYFUNCTION("""COMPUTED_VALUE"""),3629.0)</f>
        <v>3629</v>
      </c>
      <c r="BR215" s="3">
        <f>IFERROR(__xludf.DUMMYFUNCTION("""COMPUTED_VALUE"""),5698.0)</f>
        <v>5698</v>
      </c>
      <c r="BS215" s="3">
        <f>IFERROR(__xludf.DUMMYFUNCTION("""COMPUTED_VALUE"""),7402.0)</f>
        <v>7402</v>
      </c>
      <c r="BT215" s="3">
        <f>IFERROR(__xludf.DUMMYFUNCTION("""COMPUTED_VALUE"""),9217.0)</f>
        <v>9217</v>
      </c>
      <c r="BU215" s="3">
        <f>IFERROR(__xludf.DUMMYFUNCTION("""COMPUTED_VALUE"""),10827.0)</f>
        <v>10827</v>
      </c>
      <c r="BV215" s="3">
        <f>IFERROR(__xludf.DUMMYFUNCTION("""COMPUTED_VALUE"""),13531.0)</f>
        <v>13531</v>
      </c>
      <c r="BW215" s="3">
        <f>IFERROR(__xludf.DUMMYFUNCTION("""COMPUTED_VALUE"""),15679.0)</f>
        <v>15679</v>
      </c>
      <c r="BX215" s="3">
        <f>IFERROR(__xludf.DUMMYFUNCTION("""COMPUTED_VALUE"""),18135.0)</f>
        <v>18135</v>
      </c>
      <c r="BY215" s="3">
        <f>IFERROR(__xludf.DUMMYFUNCTION("""COMPUTED_VALUE"""),20921.0)</f>
        <v>20921</v>
      </c>
      <c r="BZ215" s="3">
        <f>IFERROR(__xludf.DUMMYFUNCTION("""COMPUTED_VALUE"""),23934.0)</f>
        <v>23934</v>
      </c>
      <c r="CA215" s="3">
        <f>IFERROR(__xludf.DUMMYFUNCTION("""COMPUTED_VALUE"""),27069.0)</f>
        <v>27069</v>
      </c>
      <c r="CB215" s="3">
        <f>IFERROR(__xludf.DUMMYFUNCTION("""COMPUTED_VALUE"""),30217.0)</f>
        <v>30217</v>
      </c>
    </row>
    <row r="216">
      <c r="A216" s="3" t="str">
        <f>IFERROR(__xludf.DUMMYFUNCTION("""COMPUTED_VALUE"""),"")</f>
        <v/>
      </c>
      <c r="B216" s="3" t="str">
        <f>IFERROR(__xludf.DUMMYFUNCTION("""COMPUTED_VALUE"""),"Uganda")</f>
        <v>Uganda</v>
      </c>
      <c r="C216" s="3">
        <f>IFERROR(__xludf.DUMMYFUNCTION("""COMPUTED_VALUE"""),1.0)</f>
        <v>1</v>
      </c>
      <c r="D216" s="3">
        <f>IFERROR(__xludf.DUMMYFUNCTION("""COMPUTED_VALUE"""),32.0)</f>
        <v>32</v>
      </c>
      <c r="E216" s="3">
        <f>IFERROR(__xludf.DUMMYFUNCTION("""COMPUTED_VALUE"""),0.0)</f>
        <v>0</v>
      </c>
      <c r="F216" s="3">
        <f>IFERROR(__xludf.DUMMYFUNCTION("""COMPUTED_VALUE"""),0.0)</f>
        <v>0</v>
      </c>
      <c r="G216" s="3">
        <f>IFERROR(__xludf.DUMMYFUNCTION("""COMPUTED_VALUE"""),0.0)</f>
        <v>0</v>
      </c>
      <c r="H216" s="3">
        <f>IFERROR(__xludf.DUMMYFUNCTION("""COMPUTED_VALUE"""),0.0)</f>
        <v>0</v>
      </c>
      <c r="I216" s="3">
        <f>IFERROR(__xludf.DUMMYFUNCTION("""COMPUTED_VALUE"""),0.0)</f>
        <v>0</v>
      </c>
      <c r="J216" s="3">
        <f>IFERROR(__xludf.DUMMYFUNCTION("""COMPUTED_VALUE"""),0.0)</f>
        <v>0</v>
      </c>
      <c r="K216" s="3">
        <f>IFERROR(__xludf.DUMMYFUNCTION("""COMPUTED_VALUE"""),0.0)</f>
        <v>0</v>
      </c>
      <c r="L216" s="3">
        <f>IFERROR(__xludf.DUMMYFUNCTION("""COMPUTED_VALUE"""),0.0)</f>
        <v>0</v>
      </c>
      <c r="M216" s="3">
        <f>IFERROR(__xludf.DUMMYFUNCTION("""COMPUTED_VALUE"""),0.0)</f>
        <v>0</v>
      </c>
      <c r="N216" s="3">
        <f>IFERROR(__xludf.DUMMYFUNCTION("""COMPUTED_VALUE"""),0.0)</f>
        <v>0</v>
      </c>
      <c r="O216" s="3">
        <f>IFERROR(__xludf.DUMMYFUNCTION("""COMPUTED_VALUE"""),0.0)</f>
        <v>0</v>
      </c>
      <c r="P216" s="3">
        <f>IFERROR(__xludf.DUMMYFUNCTION("""COMPUTED_VALUE"""),0.0)</f>
        <v>0</v>
      </c>
      <c r="Q216" s="3">
        <f>IFERROR(__xludf.DUMMYFUNCTION("""COMPUTED_VALUE"""),0.0)</f>
        <v>0</v>
      </c>
      <c r="R216" s="3">
        <f>IFERROR(__xludf.DUMMYFUNCTION("""COMPUTED_VALUE"""),0.0)</f>
        <v>0</v>
      </c>
      <c r="S216" s="3">
        <f>IFERROR(__xludf.DUMMYFUNCTION("""COMPUTED_VALUE"""),0.0)</f>
        <v>0</v>
      </c>
      <c r="T216" s="3">
        <f>IFERROR(__xludf.DUMMYFUNCTION("""COMPUTED_VALUE"""),0.0)</f>
        <v>0</v>
      </c>
      <c r="U216" s="3">
        <f>IFERROR(__xludf.DUMMYFUNCTION("""COMPUTED_VALUE"""),0.0)</f>
        <v>0</v>
      </c>
      <c r="V216" s="3">
        <f>IFERROR(__xludf.DUMMYFUNCTION("""COMPUTED_VALUE"""),0.0)</f>
        <v>0</v>
      </c>
      <c r="W216" s="3">
        <f>IFERROR(__xludf.DUMMYFUNCTION("""COMPUTED_VALUE"""),0.0)</f>
        <v>0</v>
      </c>
      <c r="X216" s="3">
        <f>IFERROR(__xludf.DUMMYFUNCTION("""COMPUTED_VALUE"""),0.0)</f>
        <v>0</v>
      </c>
      <c r="Y216" s="3">
        <f>IFERROR(__xludf.DUMMYFUNCTION("""COMPUTED_VALUE"""),0.0)</f>
        <v>0</v>
      </c>
      <c r="Z216" s="3">
        <f>IFERROR(__xludf.DUMMYFUNCTION("""COMPUTED_VALUE"""),0.0)</f>
        <v>0</v>
      </c>
      <c r="AA216" s="3">
        <f>IFERROR(__xludf.DUMMYFUNCTION("""COMPUTED_VALUE"""),0.0)</f>
        <v>0</v>
      </c>
      <c r="AB216" s="3">
        <f>IFERROR(__xludf.DUMMYFUNCTION("""COMPUTED_VALUE"""),0.0)</f>
        <v>0</v>
      </c>
      <c r="AC216" s="3">
        <f>IFERROR(__xludf.DUMMYFUNCTION("""COMPUTED_VALUE"""),0.0)</f>
        <v>0</v>
      </c>
      <c r="AD216" s="3">
        <f>IFERROR(__xludf.DUMMYFUNCTION("""COMPUTED_VALUE"""),0.0)</f>
        <v>0</v>
      </c>
      <c r="AE216" s="3">
        <f>IFERROR(__xludf.DUMMYFUNCTION("""COMPUTED_VALUE"""),0.0)</f>
        <v>0</v>
      </c>
      <c r="AF216" s="3">
        <f>IFERROR(__xludf.DUMMYFUNCTION("""COMPUTED_VALUE"""),0.0)</f>
        <v>0</v>
      </c>
      <c r="AG216" s="3">
        <f>IFERROR(__xludf.DUMMYFUNCTION("""COMPUTED_VALUE"""),0.0)</f>
        <v>0</v>
      </c>
      <c r="AH216" s="3">
        <f>IFERROR(__xludf.DUMMYFUNCTION("""COMPUTED_VALUE"""),0.0)</f>
        <v>0</v>
      </c>
      <c r="AI216" s="3">
        <f>IFERROR(__xludf.DUMMYFUNCTION("""COMPUTED_VALUE"""),0.0)</f>
        <v>0</v>
      </c>
      <c r="AJ216" s="3">
        <f>IFERROR(__xludf.DUMMYFUNCTION("""COMPUTED_VALUE"""),0.0)</f>
        <v>0</v>
      </c>
      <c r="AK216" s="3">
        <f>IFERROR(__xludf.DUMMYFUNCTION("""COMPUTED_VALUE"""),0.0)</f>
        <v>0</v>
      </c>
      <c r="AL216" s="3">
        <f>IFERROR(__xludf.DUMMYFUNCTION("""COMPUTED_VALUE"""),0.0)</f>
        <v>0</v>
      </c>
      <c r="AM216" s="3">
        <f>IFERROR(__xludf.DUMMYFUNCTION("""COMPUTED_VALUE"""),0.0)</f>
        <v>0</v>
      </c>
      <c r="AN216" s="3">
        <f>IFERROR(__xludf.DUMMYFUNCTION("""COMPUTED_VALUE"""),0.0)</f>
        <v>0</v>
      </c>
      <c r="AO216" s="3">
        <f>IFERROR(__xludf.DUMMYFUNCTION("""COMPUTED_VALUE"""),0.0)</f>
        <v>0</v>
      </c>
      <c r="AP216" s="3">
        <f>IFERROR(__xludf.DUMMYFUNCTION("""COMPUTED_VALUE"""),0.0)</f>
        <v>0</v>
      </c>
      <c r="AQ216" s="3">
        <f>IFERROR(__xludf.DUMMYFUNCTION("""COMPUTED_VALUE"""),0.0)</f>
        <v>0</v>
      </c>
      <c r="AR216" s="3">
        <f>IFERROR(__xludf.DUMMYFUNCTION("""COMPUTED_VALUE"""),0.0)</f>
        <v>0</v>
      </c>
      <c r="AS216" s="3">
        <f>IFERROR(__xludf.DUMMYFUNCTION("""COMPUTED_VALUE"""),0.0)</f>
        <v>0</v>
      </c>
      <c r="AT216" s="3">
        <f>IFERROR(__xludf.DUMMYFUNCTION("""COMPUTED_VALUE"""),0.0)</f>
        <v>0</v>
      </c>
      <c r="AU216" s="3">
        <f>IFERROR(__xludf.DUMMYFUNCTION("""COMPUTED_VALUE"""),0.0)</f>
        <v>0</v>
      </c>
      <c r="AV216" s="3">
        <f>IFERROR(__xludf.DUMMYFUNCTION("""COMPUTED_VALUE"""),0.0)</f>
        <v>0</v>
      </c>
      <c r="AW216" s="3">
        <f>IFERROR(__xludf.DUMMYFUNCTION("""COMPUTED_VALUE"""),0.0)</f>
        <v>0</v>
      </c>
      <c r="AX216" s="3">
        <f>IFERROR(__xludf.DUMMYFUNCTION("""COMPUTED_VALUE"""),0.0)</f>
        <v>0</v>
      </c>
      <c r="AY216" s="3">
        <f>IFERROR(__xludf.DUMMYFUNCTION("""COMPUTED_VALUE"""),0.0)</f>
        <v>0</v>
      </c>
      <c r="AZ216" s="3">
        <f>IFERROR(__xludf.DUMMYFUNCTION("""COMPUTED_VALUE"""),0.0)</f>
        <v>0</v>
      </c>
      <c r="BA216" s="3">
        <f>IFERROR(__xludf.DUMMYFUNCTION("""COMPUTED_VALUE"""),0.0)</f>
        <v>0</v>
      </c>
      <c r="BB216" s="3">
        <f>IFERROR(__xludf.DUMMYFUNCTION("""COMPUTED_VALUE"""),0.0)</f>
        <v>0</v>
      </c>
      <c r="BC216" s="3">
        <f>IFERROR(__xludf.DUMMYFUNCTION("""COMPUTED_VALUE"""),0.0)</f>
        <v>0</v>
      </c>
      <c r="BD216" s="3">
        <f>IFERROR(__xludf.DUMMYFUNCTION("""COMPUTED_VALUE"""),0.0)</f>
        <v>0</v>
      </c>
      <c r="BE216" s="3">
        <f>IFERROR(__xludf.DUMMYFUNCTION("""COMPUTED_VALUE"""),0.0)</f>
        <v>0</v>
      </c>
      <c r="BF216" s="3">
        <f>IFERROR(__xludf.DUMMYFUNCTION("""COMPUTED_VALUE"""),0.0)</f>
        <v>0</v>
      </c>
      <c r="BG216" s="3">
        <f>IFERROR(__xludf.DUMMYFUNCTION("""COMPUTED_VALUE"""),0.0)</f>
        <v>0</v>
      </c>
      <c r="BH216" s="3">
        <f>IFERROR(__xludf.DUMMYFUNCTION("""COMPUTED_VALUE"""),0.0)</f>
        <v>0</v>
      </c>
      <c r="BI216" s="3">
        <f>IFERROR(__xludf.DUMMYFUNCTION("""COMPUTED_VALUE"""),0.0)</f>
        <v>0</v>
      </c>
      <c r="BJ216" s="3">
        <f>IFERROR(__xludf.DUMMYFUNCTION("""COMPUTED_VALUE"""),0.0)</f>
        <v>0</v>
      </c>
      <c r="BK216" s="3">
        <f>IFERROR(__xludf.DUMMYFUNCTION("""COMPUTED_VALUE"""),0.0)</f>
        <v>0</v>
      </c>
      <c r="BL216" s="3">
        <f>IFERROR(__xludf.DUMMYFUNCTION("""COMPUTED_VALUE"""),1.0)</f>
        <v>1</v>
      </c>
      <c r="BM216" s="3">
        <f>IFERROR(__xludf.DUMMYFUNCTION("""COMPUTED_VALUE"""),1.0)</f>
        <v>1</v>
      </c>
      <c r="BN216" s="3">
        <f>IFERROR(__xludf.DUMMYFUNCTION("""COMPUTED_VALUE"""),9.0)</f>
        <v>9</v>
      </c>
      <c r="BO216" s="3">
        <f>IFERROR(__xludf.DUMMYFUNCTION("""COMPUTED_VALUE"""),9.0)</f>
        <v>9</v>
      </c>
      <c r="BP216" s="3">
        <f>IFERROR(__xludf.DUMMYFUNCTION("""COMPUTED_VALUE"""),14.0)</f>
        <v>14</v>
      </c>
      <c r="BQ216" s="3">
        <f>IFERROR(__xludf.DUMMYFUNCTION("""COMPUTED_VALUE"""),14.0)</f>
        <v>14</v>
      </c>
      <c r="BR216" s="3">
        <f>IFERROR(__xludf.DUMMYFUNCTION("""COMPUTED_VALUE"""),23.0)</f>
        <v>23</v>
      </c>
      <c r="BS216" s="3">
        <f>IFERROR(__xludf.DUMMYFUNCTION("""COMPUTED_VALUE"""),30.0)</f>
        <v>30</v>
      </c>
      <c r="BT216" s="3">
        <f>IFERROR(__xludf.DUMMYFUNCTION("""COMPUTED_VALUE"""),33.0)</f>
        <v>33</v>
      </c>
      <c r="BU216" s="3">
        <f>IFERROR(__xludf.DUMMYFUNCTION("""COMPUTED_VALUE"""),33.0)</f>
        <v>33</v>
      </c>
      <c r="BV216" s="3">
        <f>IFERROR(__xludf.DUMMYFUNCTION("""COMPUTED_VALUE"""),44.0)</f>
        <v>44</v>
      </c>
      <c r="BW216" s="3">
        <f>IFERROR(__xludf.DUMMYFUNCTION("""COMPUTED_VALUE"""),44.0)</f>
        <v>44</v>
      </c>
      <c r="BX216" s="3">
        <f>IFERROR(__xludf.DUMMYFUNCTION("""COMPUTED_VALUE"""),45.0)</f>
        <v>45</v>
      </c>
      <c r="BY216" s="3">
        <f>IFERROR(__xludf.DUMMYFUNCTION("""COMPUTED_VALUE"""),48.0)</f>
        <v>48</v>
      </c>
      <c r="BZ216" s="3">
        <f>IFERROR(__xludf.DUMMYFUNCTION("""COMPUTED_VALUE"""),48.0)</f>
        <v>48</v>
      </c>
      <c r="CA216" s="3">
        <f>IFERROR(__xludf.DUMMYFUNCTION("""COMPUTED_VALUE"""),52.0)</f>
        <v>52</v>
      </c>
      <c r="CB216" s="3">
        <f>IFERROR(__xludf.DUMMYFUNCTION("""COMPUTED_VALUE"""),52.0)</f>
        <v>52</v>
      </c>
    </row>
    <row r="217">
      <c r="A217" s="3" t="str">
        <f>IFERROR(__xludf.DUMMYFUNCTION("""COMPUTED_VALUE"""),"")</f>
        <v/>
      </c>
      <c r="B217" s="3" t="str">
        <f>IFERROR(__xludf.DUMMYFUNCTION("""COMPUTED_VALUE"""),"Ukraine")</f>
        <v>Ukraine</v>
      </c>
      <c r="C217" s="3">
        <f>IFERROR(__xludf.DUMMYFUNCTION("""COMPUTED_VALUE"""),48.3794)</f>
        <v>48.3794</v>
      </c>
      <c r="D217" s="3">
        <f>IFERROR(__xludf.DUMMYFUNCTION("""COMPUTED_VALUE"""),31.1656)</f>
        <v>31.1656</v>
      </c>
      <c r="E217" s="3">
        <f>IFERROR(__xludf.DUMMYFUNCTION("""COMPUTED_VALUE"""),0.0)</f>
        <v>0</v>
      </c>
      <c r="F217" s="3">
        <f>IFERROR(__xludf.DUMMYFUNCTION("""COMPUTED_VALUE"""),0.0)</f>
        <v>0</v>
      </c>
      <c r="G217" s="3">
        <f>IFERROR(__xludf.DUMMYFUNCTION("""COMPUTED_VALUE"""),0.0)</f>
        <v>0</v>
      </c>
      <c r="H217" s="3">
        <f>IFERROR(__xludf.DUMMYFUNCTION("""COMPUTED_VALUE"""),0.0)</f>
        <v>0</v>
      </c>
      <c r="I217" s="3">
        <f>IFERROR(__xludf.DUMMYFUNCTION("""COMPUTED_VALUE"""),0.0)</f>
        <v>0</v>
      </c>
      <c r="J217" s="3">
        <f>IFERROR(__xludf.DUMMYFUNCTION("""COMPUTED_VALUE"""),0.0)</f>
        <v>0</v>
      </c>
      <c r="K217" s="3">
        <f>IFERROR(__xludf.DUMMYFUNCTION("""COMPUTED_VALUE"""),0.0)</f>
        <v>0</v>
      </c>
      <c r="L217" s="3">
        <f>IFERROR(__xludf.DUMMYFUNCTION("""COMPUTED_VALUE"""),0.0)</f>
        <v>0</v>
      </c>
      <c r="M217" s="3">
        <f>IFERROR(__xludf.DUMMYFUNCTION("""COMPUTED_VALUE"""),0.0)</f>
        <v>0</v>
      </c>
      <c r="N217" s="3">
        <f>IFERROR(__xludf.DUMMYFUNCTION("""COMPUTED_VALUE"""),0.0)</f>
        <v>0</v>
      </c>
      <c r="O217" s="3">
        <f>IFERROR(__xludf.DUMMYFUNCTION("""COMPUTED_VALUE"""),0.0)</f>
        <v>0</v>
      </c>
      <c r="P217" s="3">
        <f>IFERROR(__xludf.DUMMYFUNCTION("""COMPUTED_VALUE"""),0.0)</f>
        <v>0</v>
      </c>
      <c r="Q217" s="3">
        <f>IFERROR(__xludf.DUMMYFUNCTION("""COMPUTED_VALUE"""),0.0)</f>
        <v>0</v>
      </c>
      <c r="R217" s="3">
        <f>IFERROR(__xludf.DUMMYFUNCTION("""COMPUTED_VALUE"""),0.0)</f>
        <v>0</v>
      </c>
      <c r="S217" s="3">
        <f>IFERROR(__xludf.DUMMYFUNCTION("""COMPUTED_VALUE"""),0.0)</f>
        <v>0</v>
      </c>
      <c r="T217" s="3">
        <f>IFERROR(__xludf.DUMMYFUNCTION("""COMPUTED_VALUE"""),0.0)</f>
        <v>0</v>
      </c>
      <c r="U217" s="3">
        <f>IFERROR(__xludf.DUMMYFUNCTION("""COMPUTED_VALUE"""),0.0)</f>
        <v>0</v>
      </c>
      <c r="V217" s="3">
        <f>IFERROR(__xludf.DUMMYFUNCTION("""COMPUTED_VALUE"""),0.0)</f>
        <v>0</v>
      </c>
      <c r="W217" s="3">
        <f>IFERROR(__xludf.DUMMYFUNCTION("""COMPUTED_VALUE"""),0.0)</f>
        <v>0</v>
      </c>
      <c r="X217" s="3">
        <f>IFERROR(__xludf.DUMMYFUNCTION("""COMPUTED_VALUE"""),0.0)</f>
        <v>0</v>
      </c>
      <c r="Y217" s="3">
        <f>IFERROR(__xludf.DUMMYFUNCTION("""COMPUTED_VALUE"""),0.0)</f>
        <v>0</v>
      </c>
      <c r="Z217" s="3">
        <f>IFERROR(__xludf.DUMMYFUNCTION("""COMPUTED_VALUE"""),0.0)</f>
        <v>0</v>
      </c>
      <c r="AA217" s="3">
        <f>IFERROR(__xludf.DUMMYFUNCTION("""COMPUTED_VALUE"""),0.0)</f>
        <v>0</v>
      </c>
      <c r="AB217" s="3">
        <f>IFERROR(__xludf.DUMMYFUNCTION("""COMPUTED_VALUE"""),0.0)</f>
        <v>0</v>
      </c>
      <c r="AC217" s="3">
        <f>IFERROR(__xludf.DUMMYFUNCTION("""COMPUTED_VALUE"""),0.0)</f>
        <v>0</v>
      </c>
      <c r="AD217" s="3">
        <f>IFERROR(__xludf.DUMMYFUNCTION("""COMPUTED_VALUE"""),0.0)</f>
        <v>0</v>
      </c>
      <c r="AE217" s="3">
        <f>IFERROR(__xludf.DUMMYFUNCTION("""COMPUTED_VALUE"""),0.0)</f>
        <v>0</v>
      </c>
      <c r="AF217" s="3">
        <f>IFERROR(__xludf.DUMMYFUNCTION("""COMPUTED_VALUE"""),0.0)</f>
        <v>0</v>
      </c>
      <c r="AG217" s="3">
        <f>IFERROR(__xludf.DUMMYFUNCTION("""COMPUTED_VALUE"""),0.0)</f>
        <v>0</v>
      </c>
      <c r="AH217" s="3">
        <f>IFERROR(__xludf.DUMMYFUNCTION("""COMPUTED_VALUE"""),0.0)</f>
        <v>0</v>
      </c>
      <c r="AI217" s="3">
        <f>IFERROR(__xludf.DUMMYFUNCTION("""COMPUTED_VALUE"""),0.0)</f>
        <v>0</v>
      </c>
      <c r="AJ217" s="3">
        <f>IFERROR(__xludf.DUMMYFUNCTION("""COMPUTED_VALUE"""),0.0)</f>
        <v>0</v>
      </c>
      <c r="AK217" s="3">
        <f>IFERROR(__xludf.DUMMYFUNCTION("""COMPUTED_VALUE"""),0.0)</f>
        <v>0</v>
      </c>
      <c r="AL217" s="3">
        <f>IFERROR(__xludf.DUMMYFUNCTION("""COMPUTED_VALUE"""),0.0)</f>
        <v>0</v>
      </c>
      <c r="AM217" s="3">
        <f>IFERROR(__xludf.DUMMYFUNCTION("""COMPUTED_VALUE"""),0.0)</f>
        <v>0</v>
      </c>
      <c r="AN217" s="3">
        <f>IFERROR(__xludf.DUMMYFUNCTION("""COMPUTED_VALUE"""),0.0)</f>
        <v>0</v>
      </c>
      <c r="AO217" s="3">
        <f>IFERROR(__xludf.DUMMYFUNCTION("""COMPUTED_VALUE"""),0.0)</f>
        <v>0</v>
      </c>
      <c r="AP217" s="3">
        <f>IFERROR(__xludf.DUMMYFUNCTION("""COMPUTED_VALUE"""),0.0)</f>
        <v>0</v>
      </c>
      <c r="AQ217" s="3">
        <f>IFERROR(__xludf.DUMMYFUNCTION("""COMPUTED_VALUE"""),0.0)</f>
        <v>0</v>
      </c>
      <c r="AR217" s="3">
        <f>IFERROR(__xludf.DUMMYFUNCTION("""COMPUTED_VALUE"""),0.0)</f>
        <v>0</v>
      </c>
      <c r="AS217" s="3">
        <f>IFERROR(__xludf.DUMMYFUNCTION("""COMPUTED_VALUE"""),0.0)</f>
        <v>0</v>
      </c>
      <c r="AT217" s="3">
        <f>IFERROR(__xludf.DUMMYFUNCTION("""COMPUTED_VALUE"""),1.0)</f>
        <v>1</v>
      </c>
      <c r="AU217" s="3">
        <f>IFERROR(__xludf.DUMMYFUNCTION("""COMPUTED_VALUE"""),1.0)</f>
        <v>1</v>
      </c>
      <c r="AV217" s="3">
        <f>IFERROR(__xludf.DUMMYFUNCTION("""COMPUTED_VALUE"""),1.0)</f>
        <v>1</v>
      </c>
      <c r="AW217" s="3">
        <f>IFERROR(__xludf.DUMMYFUNCTION("""COMPUTED_VALUE"""),1.0)</f>
        <v>1</v>
      </c>
      <c r="AX217" s="3">
        <f>IFERROR(__xludf.DUMMYFUNCTION("""COMPUTED_VALUE"""),1.0)</f>
        <v>1</v>
      </c>
      <c r="AY217" s="3">
        <f>IFERROR(__xludf.DUMMYFUNCTION("""COMPUTED_VALUE"""),1.0)</f>
        <v>1</v>
      </c>
      <c r="AZ217" s="3">
        <f>IFERROR(__xludf.DUMMYFUNCTION("""COMPUTED_VALUE"""),1.0)</f>
        <v>1</v>
      </c>
      <c r="BA217" s="3">
        <f>IFERROR(__xludf.DUMMYFUNCTION("""COMPUTED_VALUE"""),1.0)</f>
        <v>1</v>
      </c>
      <c r="BB217" s="3">
        <f>IFERROR(__xludf.DUMMYFUNCTION("""COMPUTED_VALUE"""),1.0)</f>
        <v>1</v>
      </c>
      <c r="BC217" s="3">
        <f>IFERROR(__xludf.DUMMYFUNCTION("""COMPUTED_VALUE"""),1.0)</f>
        <v>1</v>
      </c>
      <c r="BD217" s="3">
        <f>IFERROR(__xludf.DUMMYFUNCTION("""COMPUTED_VALUE"""),3.0)</f>
        <v>3</v>
      </c>
      <c r="BE217" s="3">
        <f>IFERROR(__xludf.DUMMYFUNCTION("""COMPUTED_VALUE"""),3.0)</f>
        <v>3</v>
      </c>
      <c r="BF217" s="3">
        <f>IFERROR(__xludf.DUMMYFUNCTION("""COMPUTED_VALUE"""),3.0)</f>
        <v>3</v>
      </c>
      <c r="BG217" s="3">
        <f>IFERROR(__xludf.DUMMYFUNCTION("""COMPUTED_VALUE"""),7.0)</f>
        <v>7</v>
      </c>
      <c r="BH217" s="3">
        <f>IFERROR(__xludf.DUMMYFUNCTION("""COMPUTED_VALUE"""),14.0)</f>
        <v>14</v>
      </c>
      <c r="BI217" s="3">
        <f>IFERROR(__xludf.DUMMYFUNCTION("""COMPUTED_VALUE"""),14.0)</f>
        <v>14</v>
      </c>
      <c r="BJ217" s="3">
        <f>IFERROR(__xludf.DUMMYFUNCTION("""COMPUTED_VALUE"""),16.0)</f>
        <v>16</v>
      </c>
      <c r="BK217" s="3">
        <f>IFERROR(__xludf.DUMMYFUNCTION("""COMPUTED_VALUE"""),29.0)</f>
        <v>29</v>
      </c>
      <c r="BL217" s="3">
        <f>IFERROR(__xludf.DUMMYFUNCTION("""COMPUTED_VALUE"""),47.0)</f>
        <v>47</v>
      </c>
      <c r="BM217" s="3">
        <f>IFERROR(__xludf.DUMMYFUNCTION("""COMPUTED_VALUE"""),73.0)</f>
        <v>73</v>
      </c>
      <c r="BN217" s="3">
        <f>IFERROR(__xludf.DUMMYFUNCTION("""COMPUTED_VALUE"""),73.0)</f>
        <v>73</v>
      </c>
      <c r="BO217" s="3">
        <f>IFERROR(__xludf.DUMMYFUNCTION("""COMPUTED_VALUE"""),97.0)</f>
        <v>97</v>
      </c>
      <c r="BP217" s="3">
        <f>IFERROR(__xludf.DUMMYFUNCTION("""COMPUTED_VALUE"""),145.0)</f>
        <v>145</v>
      </c>
      <c r="BQ217" s="3">
        <f>IFERROR(__xludf.DUMMYFUNCTION("""COMPUTED_VALUE"""),196.0)</f>
        <v>196</v>
      </c>
      <c r="BR217" s="3">
        <f>IFERROR(__xludf.DUMMYFUNCTION("""COMPUTED_VALUE"""),310.0)</f>
        <v>310</v>
      </c>
      <c r="BS217" s="3">
        <f>IFERROR(__xludf.DUMMYFUNCTION("""COMPUTED_VALUE"""),356.0)</f>
        <v>356</v>
      </c>
      <c r="BT217" s="3">
        <f>IFERROR(__xludf.DUMMYFUNCTION("""COMPUTED_VALUE"""),475.0)</f>
        <v>475</v>
      </c>
      <c r="BU217" s="3">
        <f>IFERROR(__xludf.DUMMYFUNCTION("""COMPUTED_VALUE"""),548.0)</f>
        <v>548</v>
      </c>
      <c r="BV217" s="3">
        <f>IFERROR(__xludf.DUMMYFUNCTION("""COMPUTED_VALUE"""),645.0)</f>
        <v>645</v>
      </c>
      <c r="BW217" s="3">
        <f>IFERROR(__xludf.DUMMYFUNCTION("""COMPUTED_VALUE"""),794.0)</f>
        <v>794</v>
      </c>
      <c r="BX217" s="3">
        <f>IFERROR(__xludf.DUMMYFUNCTION("""COMPUTED_VALUE"""),897.0)</f>
        <v>897</v>
      </c>
      <c r="BY217" s="3">
        <f>IFERROR(__xludf.DUMMYFUNCTION("""COMPUTED_VALUE"""),1072.0)</f>
        <v>1072</v>
      </c>
      <c r="BZ217" s="3">
        <f>IFERROR(__xludf.DUMMYFUNCTION("""COMPUTED_VALUE"""),1225.0)</f>
        <v>1225</v>
      </c>
      <c r="CA217" s="3">
        <f>IFERROR(__xludf.DUMMYFUNCTION("""COMPUTED_VALUE"""),1308.0)</f>
        <v>1308</v>
      </c>
      <c r="CB217" s="3">
        <f>IFERROR(__xludf.DUMMYFUNCTION("""COMPUTED_VALUE"""),1319.0)</f>
        <v>1319</v>
      </c>
    </row>
    <row r="218">
      <c r="A218" s="3" t="str">
        <f>IFERROR(__xludf.DUMMYFUNCTION("""COMPUTED_VALUE"""),"")</f>
        <v/>
      </c>
      <c r="B218" s="3" t="str">
        <f>IFERROR(__xludf.DUMMYFUNCTION("""COMPUTED_VALUE"""),"United Arab Emirates")</f>
        <v>United Arab Emirates</v>
      </c>
      <c r="C218" s="3">
        <f>IFERROR(__xludf.DUMMYFUNCTION("""COMPUTED_VALUE"""),24.0)</f>
        <v>24</v>
      </c>
      <c r="D218" s="3">
        <f>IFERROR(__xludf.DUMMYFUNCTION("""COMPUTED_VALUE"""),54.0)</f>
        <v>54</v>
      </c>
      <c r="E218" s="3">
        <f>IFERROR(__xludf.DUMMYFUNCTION("""COMPUTED_VALUE"""),0.0)</f>
        <v>0</v>
      </c>
      <c r="F218" s="3">
        <f>IFERROR(__xludf.DUMMYFUNCTION("""COMPUTED_VALUE"""),0.0)</f>
        <v>0</v>
      </c>
      <c r="G218" s="3">
        <f>IFERROR(__xludf.DUMMYFUNCTION("""COMPUTED_VALUE"""),0.0)</f>
        <v>0</v>
      </c>
      <c r="H218" s="3">
        <f>IFERROR(__xludf.DUMMYFUNCTION("""COMPUTED_VALUE"""),0.0)</f>
        <v>0</v>
      </c>
      <c r="I218" s="3">
        <f>IFERROR(__xludf.DUMMYFUNCTION("""COMPUTED_VALUE"""),0.0)</f>
        <v>0</v>
      </c>
      <c r="J218" s="3">
        <f>IFERROR(__xludf.DUMMYFUNCTION("""COMPUTED_VALUE"""),0.0)</f>
        <v>0</v>
      </c>
      <c r="K218" s="3">
        <f>IFERROR(__xludf.DUMMYFUNCTION("""COMPUTED_VALUE"""),0.0)</f>
        <v>0</v>
      </c>
      <c r="L218" s="3">
        <f>IFERROR(__xludf.DUMMYFUNCTION("""COMPUTED_VALUE"""),4.0)</f>
        <v>4</v>
      </c>
      <c r="M218" s="3">
        <f>IFERROR(__xludf.DUMMYFUNCTION("""COMPUTED_VALUE"""),4.0)</f>
        <v>4</v>
      </c>
      <c r="N218" s="3">
        <f>IFERROR(__xludf.DUMMYFUNCTION("""COMPUTED_VALUE"""),4.0)</f>
        <v>4</v>
      </c>
      <c r="O218" s="3">
        <f>IFERROR(__xludf.DUMMYFUNCTION("""COMPUTED_VALUE"""),4.0)</f>
        <v>4</v>
      </c>
      <c r="P218" s="3">
        <f>IFERROR(__xludf.DUMMYFUNCTION("""COMPUTED_VALUE"""),5.0)</f>
        <v>5</v>
      </c>
      <c r="Q218" s="3">
        <f>IFERROR(__xludf.DUMMYFUNCTION("""COMPUTED_VALUE"""),5.0)</f>
        <v>5</v>
      </c>
      <c r="R218" s="3">
        <f>IFERROR(__xludf.DUMMYFUNCTION("""COMPUTED_VALUE"""),5.0)</f>
        <v>5</v>
      </c>
      <c r="S218" s="3">
        <f>IFERROR(__xludf.DUMMYFUNCTION("""COMPUTED_VALUE"""),5.0)</f>
        <v>5</v>
      </c>
      <c r="T218" s="3">
        <f>IFERROR(__xludf.DUMMYFUNCTION("""COMPUTED_VALUE"""),5.0)</f>
        <v>5</v>
      </c>
      <c r="U218" s="3">
        <f>IFERROR(__xludf.DUMMYFUNCTION("""COMPUTED_VALUE"""),5.0)</f>
        <v>5</v>
      </c>
      <c r="V218" s="3">
        <f>IFERROR(__xludf.DUMMYFUNCTION("""COMPUTED_VALUE"""),7.0)</f>
        <v>7</v>
      </c>
      <c r="W218" s="3">
        <f>IFERROR(__xludf.DUMMYFUNCTION("""COMPUTED_VALUE"""),7.0)</f>
        <v>7</v>
      </c>
      <c r="X218" s="3">
        <f>IFERROR(__xludf.DUMMYFUNCTION("""COMPUTED_VALUE"""),8.0)</f>
        <v>8</v>
      </c>
      <c r="Y218" s="3">
        <f>IFERROR(__xludf.DUMMYFUNCTION("""COMPUTED_VALUE"""),8.0)</f>
        <v>8</v>
      </c>
      <c r="Z218" s="3">
        <f>IFERROR(__xludf.DUMMYFUNCTION("""COMPUTED_VALUE"""),8.0)</f>
        <v>8</v>
      </c>
      <c r="AA218" s="3">
        <f>IFERROR(__xludf.DUMMYFUNCTION("""COMPUTED_VALUE"""),8.0)</f>
        <v>8</v>
      </c>
      <c r="AB218" s="3">
        <f>IFERROR(__xludf.DUMMYFUNCTION("""COMPUTED_VALUE"""),8.0)</f>
        <v>8</v>
      </c>
      <c r="AC218" s="3">
        <f>IFERROR(__xludf.DUMMYFUNCTION("""COMPUTED_VALUE"""),8.0)</f>
        <v>8</v>
      </c>
      <c r="AD218" s="3">
        <f>IFERROR(__xludf.DUMMYFUNCTION("""COMPUTED_VALUE"""),9.0)</f>
        <v>9</v>
      </c>
      <c r="AE218" s="3">
        <f>IFERROR(__xludf.DUMMYFUNCTION("""COMPUTED_VALUE"""),9.0)</f>
        <v>9</v>
      </c>
      <c r="AF218" s="3">
        <f>IFERROR(__xludf.DUMMYFUNCTION("""COMPUTED_VALUE"""),9.0)</f>
        <v>9</v>
      </c>
      <c r="AG218" s="3">
        <f>IFERROR(__xludf.DUMMYFUNCTION("""COMPUTED_VALUE"""),9.0)</f>
        <v>9</v>
      </c>
      <c r="AH218" s="3">
        <f>IFERROR(__xludf.DUMMYFUNCTION("""COMPUTED_VALUE"""),9.0)</f>
        <v>9</v>
      </c>
      <c r="AI218" s="3">
        <f>IFERROR(__xludf.DUMMYFUNCTION("""COMPUTED_VALUE"""),9.0)</f>
        <v>9</v>
      </c>
      <c r="AJ218" s="3">
        <f>IFERROR(__xludf.DUMMYFUNCTION("""COMPUTED_VALUE"""),13.0)</f>
        <v>13</v>
      </c>
      <c r="AK218" s="3">
        <f>IFERROR(__xludf.DUMMYFUNCTION("""COMPUTED_VALUE"""),13.0)</f>
        <v>13</v>
      </c>
      <c r="AL218" s="3">
        <f>IFERROR(__xludf.DUMMYFUNCTION("""COMPUTED_VALUE"""),13.0)</f>
        <v>13</v>
      </c>
      <c r="AM218" s="3">
        <f>IFERROR(__xludf.DUMMYFUNCTION("""COMPUTED_VALUE"""),13.0)</f>
        <v>13</v>
      </c>
      <c r="AN218" s="3">
        <f>IFERROR(__xludf.DUMMYFUNCTION("""COMPUTED_VALUE"""),13.0)</f>
        <v>13</v>
      </c>
      <c r="AO218" s="3">
        <f>IFERROR(__xludf.DUMMYFUNCTION("""COMPUTED_VALUE"""),13.0)</f>
        <v>13</v>
      </c>
      <c r="AP218" s="3">
        <f>IFERROR(__xludf.DUMMYFUNCTION("""COMPUTED_VALUE"""),19.0)</f>
        <v>19</v>
      </c>
      <c r="AQ218" s="3">
        <f>IFERROR(__xludf.DUMMYFUNCTION("""COMPUTED_VALUE"""),21.0)</f>
        <v>21</v>
      </c>
      <c r="AR218" s="3">
        <f>IFERROR(__xludf.DUMMYFUNCTION("""COMPUTED_VALUE"""),21.0)</f>
        <v>21</v>
      </c>
      <c r="AS218" s="3">
        <f>IFERROR(__xludf.DUMMYFUNCTION("""COMPUTED_VALUE"""),21.0)</f>
        <v>21</v>
      </c>
      <c r="AT218" s="3">
        <f>IFERROR(__xludf.DUMMYFUNCTION("""COMPUTED_VALUE"""),27.0)</f>
        <v>27</v>
      </c>
      <c r="AU218" s="3">
        <f>IFERROR(__xludf.DUMMYFUNCTION("""COMPUTED_VALUE"""),27.0)</f>
        <v>27</v>
      </c>
      <c r="AV218" s="3">
        <f>IFERROR(__xludf.DUMMYFUNCTION("""COMPUTED_VALUE"""),29.0)</f>
        <v>29</v>
      </c>
      <c r="AW218" s="3">
        <f>IFERROR(__xludf.DUMMYFUNCTION("""COMPUTED_VALUE"""),29.0)</f>
        <v>29</v>
      </c>
      <c r="AX218" s="3">
        <f>IFERROR(__xludf.DUMMYFUNCTION("""COMPUTED_VALUE"""),45.0)</f>
        <v>45</v>
      </c>
      <c r="AY218" s="3">
        <f>IFERROR(__xludf.DUMMYFUNCTION("""COMPUTED_VALUE"""),45.0)</f>
        <v>45</v>
      </c>
      <c r="AZ218" s="3">
        <f>IFERROR(__xludf.DUMMYFUNCTION("""COMPUTED_VALUE"""),45.0)</f>
        <v>45</v>
      </c>
      <c r="BA218" s="3">
        <f>IFERROR(__xludf.DUMMYFUNCTION("""COMPUTED_VALUE"""),74.0)</f>
        <v>74</v>
      </c>
      <c r="BB218" s="3">
        <f>IFERROR(__xludf.DUMMYFUNCTION("""COMPUTED_VALUE"""),74.0)</f>
        <v>74</v>
      </c>
      <c r="BC218" s="3">
        <f>IFERROR(__xludf.DUMMYFUNCTION("""COMPUTED_VALUE"""),85.0)</f>
        <v>85</v>
      </c>
      <c r="BD218" s="3">
        <f>IFERROR(__xludf.DUMMYFUNCTION("""COMPUTED_VALUE"""),85.0)</f>
        <v>85</v>
      </c>
      <c r="BE218" s="3">
        <f>IFERROR(__xludf.DUMMYFUNCTION("""COMPUTED_VALUE"""),85.0)</f>
        <v>85</v>
      </c>
      <c r="BF218" s="3">
        <f>IFERROR(__xludf.DUMMYFUNCTION("""COMPUTED_VALUE"""),98.0)</f>
        <v>98</v>
      </c>
      <c r="BG218" s="3">
        <f>IFERROR(__xludf.DUMMYFUNCTION("""COMPUTED_VALUE"""),98.0)</f>
        <v>98</v>
      </c>
      <c r="BH218" s="3">
        <f>IFERROR(__xludf.DUMMYFUNCTION("""COMPUTED_VALUE"""),98.0)</f>
        <v>98</v>
      </c>
      <c r="BI218" s="3">
        <f>IFERROR(__xludf.DUMMYFUNCTION("""COMPUTED_VALUE"""),113.0)</f>
        <v>113</v>
      </c>
      <c r="BJ218" s="3">
        <f>IFERROR(__xludf.DUMMYFUNCTION("""COMPUTED_VALUE"""),140.0)</f>
        <v>140</v>
      </c>
      <c r="BK218" s="3">
        <f>IFERROR(__xludf.DUMMYFUNCTION("""COMPUTED_VALUE"""),140.0)</f>
        <v>140</v>
      </c>
      <c r="BL218" s="3">
        <f>IFERROR(__xludf.DUMMYFUNCTION("""COMPUTED_VALUE"""),153.0)</f>
        <v>153</v>
      </c>
      <c r="BM218" s="3">
        <f>IFERROR(__xludf.DUMMYFUNCTION("""COMPUTED_VALUE"""),153.0)</f>
        <v>153</v>
      </c>
      <c r="BN218" s="3">
        <f>IFERROR(__xludf.DUMMYFUNCTION("""COMPUTED_VALUE"""),198.0)</f>
        <v>198</v>
      </c>
      <c r="BO218" s="3">
        <f>IFERROR(__xludf.DUMMYFUNCTION("""COMPUTED_VALUE"""),248.0)</f>
        <v>248</v>
      </c>
      <c r="BP218" s="3">
        <f>IFERROR(__xludf.DUMMYFUNCTION("""COMPUTED_VALUE"""),333.0)</f>
        <v>333</v>
      </c>
      <c r="BQ218" s="3">
        <f>IFERROR(__xludf.DUMMYFUNCTION("""COMPUTED_VALUE"""),333.0)</f>
        <v>333</v>
      </c>
      <c r="BR218" s="3">
        <f>IFERROR(__xludf.DUMMYFUNCTION("""COMPUTED_VALUE"""),405.0)</f>
        <v>405</v>
      </c>
      <c r="BS218" s="3">
        <f>IFERROR(__xludf.DUMMYFUNCTION("""COMPUTED_VALUE"""),468.0)</f>
        <v>468</v>
      </c>
      <c r="BT218" s="3">
        <f>IFERROR(__xludf.DUMMYFUNCTION("""COMPUTED_VALUE"""),570.0)</f>
        <v>570</v>
      </c>
      <c r="BU218" s="3">
        <f>IFERROR(__xludf.DUMMYFUNCTION("""COMPUTED_VALUE"""),611.0)</f>
        <v>611</v>
      </c>
      <c r="BV218" s="3">
        <f>IFERROR(__xludf.DUMMYFUNCTION("""COMPUTED_VALUE"""),664.0)</f>
        <v>664</v>
      </c>
      <c r="BW218" s="3">
        <f>IFERROR(__xludf.DUMMYFUNCTION("""COMPUTED_VALUE"""),814.0)</f>
        <v>814</v>
      </c>
      <c r="BX218" s="3">
        <f>IFERROR(__xludf.DUMMYFUNCTION("""COMPUTED_VALUE"""),1024.0)</f>
        <v>1024</v>
      </c>
      <c r="BY218" s="3">
        <f>IFERROR(__xludf.DUMMYFUNCTION("""COMPUTED_VALUE"""),1264.0)</f>
        <v>1264</v>
      </c>
      <c r="BZ218" s="3">
        <f>IFERROR(__xludf.DUMMYFUNCTION("""COMPUTED_VALUE"""),1505.0)</f>
        <v>1505</v>
      </c>
      <c r="CA218" s="3">
        <f>IFERROR(__xludf.DUMMYFUNCTION("""COMPUTED_VALUE"""),1799.0)</f>
        <v>1799</v>
      </c>
      <c r="CB218" s="3">
        <f>IFERROR(__xludf.DUMMYFUNCTION("""COMPUTED_VALUE"""),2076.0)</f>
        <v>2076</v>
      </c>
    </row>
    <row r="219">
      <c r="A219" s="3" t="str">
        <f>IFERROR(__xludf.DUMMYFUNCTION("""COMPUTED_VALUE"""),"Bermuda")</f>
        <v>Bermuda</v>
      </c>
      <c r="B219" s="3" t="str">
        <f>IFERROR(__xludf.DUMMYFUNCTION("""COMPUTED_VALUE"""),"United Kingdom")</f>
        <v>United Kingdom</v>
      </c>
      <c r="C219" s="3">
        <f>IFERROR(__xludf.DUMMYFUNCTION("""COMPUTED_VALUE"""),32.3078)</f>
        <v>32.3078</v>
      </c>
      <c r="D219" s="3">
        <f>IFERROR(__xludf.DUMMYFUNCTION("""COMPUTED_VALUE"""),-64.7505)</f>
        <v>-64.7505</v>
      </c>
      <c r="E219" s="3">
        <f>IFERROR(__xludf.DUMMYFUNCTION("""COMPUTED_VALUE"""),0.0)</f>
        <v>0</v>
      </c>
      <c r="F219" s="3">
        <f>IFERROR(__xludf.DUMMYFUNCTION("""COMPUTED_VALUE"""),0.0)</f>
        <v>0</v>
      </c>
      <c r="G219" s="3">
        <f>IFERROR(__xludf.DUMMYFUNCTION("""COMPUTED_VALUE"""),0.0)</f>
        <v>0</v>
      </c>
      <c r="H219" s="3">
        <f>IFERROR(__xludf.DUMMYFUNCTION("""COMPUTED_VALUE"""),0.0)</f>
        <v>0</v>
      </c>
      <c r="I219" s="3">
        <f>IFERROR(__xludf.DUMMYFUNCTION("""COMPUTED_VALUE"""),0.0)</f>
        <v>0</v>
      </c>
      <c r="J219" s="3">
        <f>IFERROR(__xludf.DUMMYFUNCTION("""COMPUTED_VALUE"""),0.0)</f>
        <v>0</v>
      </c>
      <c r="K219" s="3">
        <f>IFERROR(__xludf.DUMMYFUNCTION("""COMPUTED_VALUE"""),0.0)</f>
        <v>0</v>
      </c>
      <c r="L219" s="3">
        <f>IFERROR(__xludf.DUMMYFUNCTION("""COMPUTED_VALUE"""),0.0)</f>
        <v>0</v>
      </c>
      <c r="M219" s="3">
        <f>IFERROR(__xludf.DUMMYFUNCTION("""COMPUTED_VALUE"""),0.0)</f>
        <v>0</v>
      </c>
      <c r="N219" s="3">
        <f>IFERROR(__xludf.DUMMYFUNCTION("""COMPUTED_VALUE"""),0.0)</f>
        <v>0</v>
      </c>
      <c r="O219" s="3">
        <f>IFERROR(__xludf.DUMMYFUNCTION("""COMPUTED_VALUE"""),0.0)</f>
        <v>0</v>
      </c>
      <c r="P219" s="3">
        <f>IFERROR(__xludf.DUMMYFUNCTION("""COMPUTED_VALUE"""),0.0)</f>
        <v>0</v>
      </c>
      <c r="Q219" s="3">
        <f>IFERROR(__xludf.DUMMYFUNCTION("""COMPUTED_VALUE"""),0.0)</f>
        <v>0</v>
      </c>
      <c r="R219" s="3">
        <f>IFERROR(__xludf.DUMMYFUNCTION("""COMPUTED_VALUE"""),0.0)</f>
        <v>0</v>
      </c>
      <c r="S219" s="3">
        <f>IFERROR(__xludf.DUMMYFUNCTION("""COMPUTED_VALUE"""),0.0)</f>
        <v>0</v>
      </c>
      <c r="T219" s="3">
        <f>IFERROR(__xludf.DUMMYFUNCTION("""COMPUTED_VALUE"""),0.0)</f>
        <v>0</v>
      </c>
      <c r="U219" s="3">
        <f>IFERROR(__xludf.DUMMYFUNCTION("""COMPUTED_VALUE"""),0.0)</f>
        <v>0</v>
      </c>
      <c r="V219" s="3">
        <f>IFERROR(__xludf.DUMMYFUNCTION("""COMPUTED_VALUE"""),0.0)</f>
        <v>0</v>
      </c>
      <c r="W219" s="3">
        <f>IFERROR(__xludf.DUMMYFUNCTION("""COMPUTED_VALUE"""),0.0)</f>
        <v>0</v>
      </c>
      <c r="X219" s="3">
        <f>IFERROR(__xludf.DUMMYFUNCTION("""COMPUTED_VALUE"""),0.0)</f>
        <v>0</v>
      </c>
      <c r="Y219" s="3">
        <f>IFERROR(__xludf.DUMMYFUNCTION("""COMPUTED_VALUE"""),0.0)</f>
        <v>0</v>
      </c>
      <c r="Z219" s="3">
        <f>IFERROR(__xludf.DUMMYFUNCTION("""COMPUTED_VALUE"""),0.0)</f>
        <v>0</v>
      </c>
      <c r="AA219" s="3">
        <f>IFERROR(__xludf.DUMMYFUNCTION("""COMPUTED_VALUE"""),0.0)</f>
        <v>0</v>
      </c>
      <c r="AB219" s="3">
        <f>IFERROR(__xludf.DUMMYFUNCTION("""COMPUTED_VALUE"""),0.0)</f>
        <v>0</v>
      </c>
      <c r="AC219" s="3">
        <f>IFERROR(__xludf.DUMMYFUNCTION("""COMPUTED_VALUE"""),0.0)</f>
        <v>0</v>
      </c>
      <c r="AD219" s="3">
        <f>IFERROR(__xludf.DUMMYFUNCTION("""COMPUTED_VALUE"""),0.0)</f>
        <v>0</v>
      </c>
      <c r="AE219" s="3">
        <f>IFERROR(__xludf.DUMMYFUNCTION("""COMPUTED_VALUE"""),0.0)</f>
        <v>0</v>
      </c>
      <c r="AF219" s="3">
        <f>IFERROR(__xludf.DUMMYFUNCTION("""COMPUTED_VALUE"""),0.0)</f>
        <v>0</v>
      </c>
      <c r="AG219" s="3">
        <f>IFERROR(__xludf.DUMMYFUNCTION("""COMPUTED_VALUE"""),0.0)</f>
        <v>0</v>
      </c>
      <c r="AH219" s="3">
        <f>IFERROR(__xludf.DUMMYFUNCTION("""COMPUTED_VALUE"""),0.0)</f>
        <v>0</v>
      </c>
      <c r="AI219" s="3">
        <f>IFERROR(__xludf.DUMMYFUNCTION("""COMPUTED_VALUE"""),0.0)</f>
        <v>0</v>
      </c>
      <c r="AJ219" s="3">
        <f>IFERROR(__xludf.DUMMYFUNCTION("""COMPUTED_VALUE"""),0.0)</f>
        <v>0</v>
      </c>
      <c r="AK219" s="3">
        <f>IFERROR(__xludf.DUMMYFUNCTION("""COMPUTED_VALUE"""),0.0)</f>
        <v>0</v>
      </c>
      <c r="AL219" s="3">
        <f>IFERROR(__xludf.DUMMYFUNCTION("""COMPUTED_VALUE"""),0.0)</f>
        <v>0</v>
      </c>
      <c r="AM219" s="3">
        <f>IFERROR(__xludf.DUMMYFUNCTION("""COMPUTED_VALUE"""),0.0)</f>
        <v>0</v>
      </c>
      <c r="AN219" s="3">
        <f>IFERROR(__xludf.DUMMYFUNCTION("""COMPUTED_VALUE"""),0.0)</f>
        <v>0</v>
      </c>
      <c r="AO219" s="3">
        <f>IFERROR(__xludf.DUMMYFUNCTION("""COMPUTED_VALUE"""),0.0)</f>
        <v>0</v>
      </c>
      <c r="AP219" s="3">
        <f>IFERROR(__xludf.DUMMYFUNCTION("""COMPUTED_VALUE"""),0.0)</f>
        <v>0</v>
      </c>
      <c r="AQ219" s="3">
        <f>IFERROR(__xludf.DUMMYFUNCTION("""COMPUTED_VALUE"""),0.0)</f>
        <v>0</v>
      </c>
      <c r="AR219" s="3">
        <f>IFERROR(__xludf.DUMMYFUNCTION("""COMPUTED_VALUE"""),0.0)</f>
        <v>0</v>
      </c>
      <c r="AS219" s="3">
        <f>IFERROR(__xludf.DUMMYFUNCTION("""COMPUTED_VALUE"""),0.0)</f>
        <v>0</v>
      </c>
      <c r="AT219" s="3">
        <f>IFERROR(__xludf.DUMMYFUNCTION("""COMPUTED_VALUE"""),0.0)</f>
        <v>0</v>
      </c>
      <c r="AU219" s="3">
        <f>IFERROR(__xludf.DUMMYFUNCTION("""COMPUTED_VALUE"""),0.0)</f>
        <v>0</v>
      </c>
      <c r="AV219" s="3">
        <f>IFERROR(__xludf.DUMMYFUNCTION("""COMPUTED_VALUE"""),0.0)</f>
        <v>0</v>
      </c>
      <c r="AW219" s="3">
        <f>IFERROR(__xludf.DUMMYFUNCTION("""COMPUTED_VALUE"""),0.0)</f>
        <v>0</v>
      </c>
      <c r="AX219" s="3">
        <f>IFERROR(__xludf.DUMMYFUNCTION("""COMPUTED_VALUE"""),0.0)</f>
        <v>0</v>
      </c>
      <c r="AY219" s="3">
        <f>IFERROR(__xludf.DUMMYFUNCTION("""COMPUTED_VALUE"""),0.0)</f>
        <v>0</v>
      </c>
      <c r="AZ219" s="3">
        <f>IFERROR(__xludf.DUMMYFUNCTION("""COMPUTED_VALUE"""),0.0)</f>
        <v>0</v>
      </c>
      <c r="BA219" s="3">
        <f>IFERROR(__xludf.DUMMYFUNCTION("""COMPUTED_VALUE"""),0.0)</f>
        <v>0</v>
      </c>
      <c r="BB219" s="3">
        <f>IFERROR(__xludf.DUMMYFUNCTION("""COMPUTED_VALUE"""),0.0)</f>
        <v>0</v>
      </c>
      <c r="BC219" s="3">
        <f>IFERROR(__xludf.DUMMYFUNCTION("""COMPUTED_VALUE"""),0.0)</f>
        <v>0</v>
      </c>
      <c r="BD219" s="3">
        <f>IFERROR(__xludf.DUMMYFUNCTION("""COMPUTED_VALUE"""),0.0)</f>
        <v>0</v>
      </c>
      <c r="BE219" s="3">
        <f>IFERROR(__xludf.DUMMYFUNCTION("""COMPUTED_VALUE"""),0.0)</f>
        <v>0</v>
      </c>
      <c r="BF219" s="3">
        <f>IFERROR(__xludf.DUMMYFUNCTION("""COMPUTED_VALUE"""),0.0)</f>
        <v>0</v>
      </c>
      <c r="BG219" s="3">
        <f>IFERROR(__xludf.DUMMYFUNCTION("""COMPUTED_VALUE"""),0.0)</f>
        <v>0</v>
      </c>
      <c r="BH219" s="3">
        <f>IFERROR(__xludf.DUMMYFUNCTION("""COMPUTED_VALUE"""),0.0)</f>
        <v>0</v>
      </c>
      <c r="BI219" s="3">
        <f>IFERROR(__xludf.DUMMYFUNCTION("""COMPUTED_VALUE"""),0.0)</f>
        <v>0</v>
      </c>
      <c r="BJ219" s="3">
        <f>IFERROR(__xludf.DUMMYFUNCTION("""COMPUTED_VALUE"""),2.0)</f>
        <v>2</v>
      </c>
      <c r="BK219" s="3">
        <f>IFERROR(__xludf.DUMMYFUNCTION("""COMPUTED_VALUE"""),2.0)</f>
        <v>2</v>
      </c>
      <c r="BL219" s="3">
        <f>IFERROR(__xludf.DUMMYFUNCTION("""COMPUTED_VALUE"""),2.0)</f>
        <v>2</v>
      </c>
      <c r="BM219" s="3">
        <f>IFERROR(__xludf.DUMMYFUNCTION("""COMPUTED_VALUE"""),6.0)</f>
        <v>6</v>
      </c>
      <c r="BN219" s="3">
        <f>IFERROR(__xludf.DUMMYFUNCTION("""COMPUTED_VALUE"""),6.0)</f>
        <v>6</v>
      </c>
      <c r="BO219" s="3">
        <f>IFERROR(__xludf.DUMMYFUNCTION("""COMPUTED_VALUE"""),6.0)</f>
        <v>6</v>
      </c>
      <c r="BP219" s="3">
        <f>IFERROR(__xludf.DUMMYFUNCTION("""COMPUTED_VALUE"""),7.0)</f>
        <v>7</v>
      </c>
      <c r="BQ219" s="3">
        <f>IFERROR(__xludf.DUMMYFUNCTION("""COMPUTED_VALUE"""),15.0)</f>
        <v>15</v>
      </c>
      <c r="BR219" s="3">
        <f>IFERROR(__xludf.DUMMYFUNCTION("""COMPUTED_VALUE"""),17.0)</f>
        <v>17</v>
      </c>
      <c r="BS219" s="3">
        <f>IFERROR(__xludf.DUMMYFUNCTION("""COMPUTED_VALUE"""),17.0)</f>
        <v>17</v>
      </c>
      <c r="BT219" s="3">
        <f>IFERROR(__xludf.DUMMYFUNCTION("""COMPUTED_VALUE"""),22.0)</f>
        <v>22</v>
      </c>
      <c r="BU219" s="3">
        <f>IFERROR(__xludf.DUMMYFUNCTION("""COMPUTED_VALUE"""),27.0)</f>
        <v>27</v>
      </c>
      <c r="BV219" s="3">
        <f>IFERROR(__xludf.DUMMYFUNCTION("""COMPUTED_VALUE"""),32.0)</f>
        <v>32</v>
      </c>
      <c r="BW219" s="3">
        <f>IFERROR(__xludf.DUMMYFUNCTION("""COMPUTED_VALUE"""),32.0)</f>
        <v>32</v>
      </c>
      <c r="BX219" s="3">
        <f>IFERROR(__xludf.DUMMYFUNCTION("""COMPUTED_VALUE"""),35.0)</f>
        <v>35</v>
      </c>
      <c r="BY219" s="3">
        <f>IFERROR(__xludf.DUMMYFUNCTION("""COMPUTED_VALUE"""),35.0)</f>
        <v>35</v>
      </c>
      <c r="BZ219" s="3">
        <f>IFERROR(__xludf.DUMMYFUNCTION("""COMPUTED_VALUE"""),35.0)</f>
        <v>35</v>
      </c>
      <c r="CA219" s="3">
        <f>IFERROR(__xludf.DUMMYFUNCTION("""COMPUTED_VALUE"""),37.0)</f>
        <v>37</v>
      </c>
      <c r="CB219" s="3">
        <f>IFERROR(__xludf.DUMMYFUNCTION("""COMPUTED_VALUE"""),39.0)</f>
        <v>39</v>
      </c>
    </row>
    <row r="220">
      <c r="A220" s="3" t="str">
        <f>IFERROR(__xludf.DUMMYFUNCTION("""COMPUTED_VALUE"""),"Cayman Islands")</f>
        <v>Cayman Islands</v>
      </c>
      <c r="B220" s="3" t="str">
        <f>IFERROR(__xludf.DUMMYFUNCTION("""COMPUTED_VALUE"""),"United Kingdom")</f>
        <v>United Kingdom</v>
      </c>
      <c r="C220" s="3">
        <f>IFERROR(__xludf.DUMMYFUNCTION("""COMPUTED_VALUE"""),19.3133)</f>
        <v>19.3133</v>
      </c>
      <c r="D220" s="3">
        <f>IFERROR(__xludf.DUMMYFUNCTION("""COMPUTED_VALUE"""),-81.2546)</f>
        <v>-81.2546</v>
      </c>
      <c r="E220" s="3">
        <f>IFERROR(__xludf.DUMMYFUNCTION("""COMPUTED_VALUE"""),0.0)</f>
        <v>0</v>
      </c>
      <c r="F220" s="3">
        <f>IFERROR(__xludf.DUMMYFUNCTION("""COMPUTED_VALUE"""),0.0)</f>
        <v>0</v>
      </c>
      <c r="G220" s="3">
        <f>IFERROR(__xludf.DUMMYFUNCTION("""COMPUTED_VALUE"""),0.0)</f>
        <v>0</v>
      </c>
      <c r="H220" s="3">
        <f>IFERROR(__xludf.DUMMYFUNCTION("""COMPUTED_VALUE"""),0.0)</f>
        <v>0</v>
      </c>
      <c r="I220" s="3">
        <f>IFERROR(__xludf.DUMMYFUNCTION("""COMPUTED_VALUE"""),0.0)</f>
        <v>0</v>
      </c>
      <c r="J220" s="3">
        <f>IFERROR(__xludf.DUMMYFUNCTION("""COMPUTED_VALUE"""),0.0)</f>
        <v>0</v>
      </c>
      <c r="K220" s="3">
        <f>IFERROR(__xludf.DUMMYFUNCTION("""COMPUTED_VALUE"""),0.0)</f>
        <v>0</v>
      </c>
      <c r="L220" s="3">
        <f>IFERROR(__xludf.DUMMYFUNCTION("""COMPUTED_VALUE"""),0.0)</f>
        <v>0</v>
      </c>
      <c r="M220" s="3">
        <f>IFERROR(__xludf.DUMMYFUNCTION("""COMPUTED_VALUE"""),0.0)</f>
        <v>0</v>
      </c>
      <c r="N220" s="3">
        <f>IFERROR(__xludf.DUMMYFUNCTION("""COMPUTED_VALUE"""),0.0)</f>
        <v>0</v>
      </c>
      <c r="O220" s="3">
        <f>IFERROR(__xludf.DUMMYFUNCTION("""COMPUTED_VALUE"""),0.0)</f>
        <v>0</v>
      </c>
      <c r="P220" s="3">
        <f>IFERROR(__xludf.DUMMYFUNCTION("""COMPUTED_VALUE"""),0.0)</f>
        <v>0</v>
      </c>
      <c r="Q220" s="3">
        <f>IFERROR(__xludf.DUMMYFUNCTION("""COMPUTED_VALUE"""),0.0)</f>
        <v>0</v>
      </c>
      <c r="R220" s="3">
        <f>IFERROR(__xludf.DUMMYFUNCTION("""COMPUTED_VALUE"""),0.0)</f>
        <v>0</v>
      </c>
      <c r="S220" s="3">
        <f>IFERROR(__xludf.DUMMYFUNCTION("""COMPUTED_VALUE"""),0.0)</f>
        <v>0</v>
      </c>
      <c r="T220" s="3">
        <f>IFERROR(__xludf.DUMMYFUNCTION("""COMPUTED_VALUE"""),0.0)</f>
        <v>0</v>
      </c>
      <c r="U220" s="3">
        <f>IFERROR(__xludf.DUMMYFUNCTION("""COMPUTED_VALUE"""),0.0)</f>
        <v>0</v>
      </c>
      <c r="V220" s="3">
        <f>IFERROR(__xludf.DUMMYFUNCTION("""COMPUTED_VALUE"""),0.0)</f>
        <v>0</v>
      </c>
      <c r="W220" s="3">
        <f>IFERROR(__xludf.DUMMYFUNCTION("""COMPUTED_VALUE"""),0.0)</f>
        <v>0</v>
      </c>
      <c r="X220" s="3">
        <f>IFERROR(__xludf.DUMMYFUNCTION("""COMPUTED_VALUE"""),0.0)</f>
        <v>0</v>
      </c>
      <c r="Y220" s="3">
        <f>IFERROR(__xludf.DUMMYFUNCTION("""COMPUTED_VALUE"""),0.0)</f>
        <v>0</v>
      </c>
      <c r="Z220" s="3">
        <f>IFERROR(__xludf.DUMMYFUNCTION("""COMPUTED_VALUE"""),0.0)</f>
        <v>0</v>
      </c>
      <c r="AA220" s="3">
        <f>IFERROR(__xludf.DUMMYFUNCTION("""COMPUTED_VALUE"""),0.0)</f>
        <v>0</v>
      </c>
      <c r="AB220" s="3">
        <f>IFERROR(__xludf.DUMMYFUNCTION("""COMPUTED_VALUE"""),0.0)</f>
        <v>0</v>
      </c>
      <c r="AC220" s="3">
        <f>IFERROR(__xludf.DUMMYFUNCTION("""COMPUTED_VALUE"""),0.0)</f>
        <v>0</v>
      </c>
      <c r="AD220" s="3">
        <f>IFERROR(__xludf.DUMMYFUNCTION("""COMPUTED_VALUE"""),0.0)</f>
        <v>0</v>
      </c>
      <c r="AE220" s="3">
        <f>IFERROR(__xludf.DUMMYFUNCTION("""COMPUTED_VALUE"""),0.0)</f>
        <v>0</v>
      </c>
      <c r="AF220" s="3">
        <f>IFERROR(__xludf.DUMMYFUNCTION("""COMPUTED_VALUE"""),0.0)</f>
        <v>0</v>
      </c>
      <c r="AG220" s="3">
        <f>IFERROR(__xludf.DUMMYFUNCTION("""COMPUTED_VALUE"""),0.0)</f>
        <v>0</v>
      </c>
      <c r="AH220" s="3">
        <f>IFERROR(__xludf.DUMMYFUNCTION("""COMPUTED_VALUE"""),0.0)</f>
        <v>0</v>
      </c>
      <c r="AI220" s="3">
        <f>IFERROR(__xludf.DUMMYFUNCTION("""COMPUTED_VALUE"""),0.0)</f>
        <v>0</v>
      </c>
      <c r="AJ220" s="3">
        <f>IFERROR(__xludf.DUMMYFUNCTION("""COMPUTED_VALUE"""),0.0)</f>
        <v>0</v>
      </c>
      <c r="AK220" s="3">
        <f>IFERROR(__xludf.DUMMYFUNCTION("""COMPUTED_VALUE"""),0.0)</f>
        <v>0</v>
      </c>
      <c r="AL220" s="3">
        <f>IFERROR(__xludf.DUMMYFUNCTION("""COMPUTED_VALUE"""),0.0)</f>
        <v>0</v>
      </c>
      <c r="AM220" s="3">
        <f>IFERROR(__xludf.DUMMYFUNCTION("""COMPUTED_VALUE"""),0.0)</f>
        <v>0</v>
      </c>
      <c r="AN220" s="3">
        <f>IFERROR(__xludf.DUMMYFUNCTION("""COMPUTED_VALUE"""),0.0)</f>
        <v>0</v>
      </c>
      <c r="AO220" s="3">
        <f>IFERROR(__xludf.DUMMYFUNCTION("""COMPUTED_VALUE"""),0.0)</f>
        <v>0</v>
      </c>
      <c r="AP220" s="3">
        <f>IFERROR(__xludf.DUMMYFUNCTION("""COMPUTED_VALUE"""),0.0)</f>
        <v>0</v>
      </c>
      <c r="AQ220" s="3">
        <f>IFERROR(__xludf.DUMMYFUNCTION("""COMPUTED_VALUE"""),0.0)</f>
        <v>0</v>
      </c>
      <c r="AR220" s="3">
        <f>IFERROR(__xludf.DUMMYFUNCTION("""COMPUTED_VALUE"""),0.0)</f>
        <v>0</v>
      </c>
      <c r="AS220" s="3">
        <f>IFERROR(__xludf.DUMMYFUNCTION("""COMPUTED_VALUE"""),0.0)</f>
        <v>0</v>
      </c>
      <c r="AT220" s="3">
        <f>IFERROR(__xludf.DUMMYFUNCTION("""COMPUTED_VALUE"""),0.0)</f>
        <v>0</v>
      </c>
      <c r="AU220" s="3">
        <f>IFERROR(__xludf.DUMMYFUNCTION("""COMPUTED_VALUE"""),0.0)</f>
        <v>0</v>
      </c>
      <c r="AV220" s="3">
        <f>IFERROR(__xludf.DUMMYFUNCTION("""COMPUTED_VALUE"""),0.0)</f>
        <v>0</v>
      </c>
      <c r="AW220" s="3">
        <f>IFERROR(__xludf.DUMMYFUNCTION("""COMPUTED_VALUE"""),0.0)</f>
        <v>0</v>
      </c>
      <c r="AX220" s="3">
        <f>IFERROR(__xludf.DUMMYFUNCTION("""COMPUTED_VALUE"""),0.0)</f>
        <v>0</v>
      </c>
      <c r="AY220" s="3">
        <f>IFERROR(__xludf.DUMMYFUNCTION("""COMPUTED_VALUE"""),0.0)</f>
        <v>0</v>
      </c>
      <c r="AZ220" s="3">
        <f>IFERROR(__xludf.DUMMYFUNCTION("""COMPUTED_VALUE"""),0.0)</f>
        <v>0</v>
      </c>
      <c r="BA220" s="3">
        <f>IFERROR(__xludf.DUMMYFUNCTION("""COMPUTED_VALUE"""),0.0)</f>
        <v>0</v>
      </c>
      <c r="BB220" s="3">
        <f>IFERROR(__xludf.DUMMYFUNCTION("""COMPUTED_VALUE"""),0.0)</f>
        <v>0</v>
      </c>
      <c r="BC220" s="3">
        <f>IFERROR(__xludf.DUMMYFUNCTION("""COMPUTED_VALUE"""),0.0)</f>
        <v>0</v>
      </c>
      <c r="BD220" s="3">
        <f>IFERROR(__xludf.DUMMYFUNCTION("""COMPUTED_VALUE"""),1.0)</f>
        <v>1</v>
      </c>
      <c r="BE220" s="3">
        <f>IFERROR(__xludf.DUMMYFUNCTION("""COMPUTED_VALUE"""),1.0)</f>
        <v>1</v>
      </c>
      <c r="BF220" s="3">
        <f>IFERROR(__xludf.DUMMYFUNCTION("""COMPUTED_VALUE"""),1.0)</f>
        <v>1</v>
      </c>
      <c r="BG220" s="3">
        <f>IFERROR(__xludf.DUMMYFUNCTION("""COMPUTED_VALUE"""),1.0)</f>
        <v>1</v>
      </c>
      <c r="BH220" s="3">
        <f>IFERROR(__xludf.DUMMYFUNCTION("""COMPUTED_VALUE"""),1.0)</f>
        <v>1</v>
      </c>
      <c r="BI220" s="3">
        <f>IFERROR(__xludf.DUMMYFUNCTION("""COMPUTED_VALUE"""),1.0)</f>
        <v>1</v>
      </c>
      <c r="BJ220" s="3">
        <f>IFERROR(__xludf.DUMMYFUNCTION("""COMPUTED_VALUE"""),3.0)</f>
        <v>3</v>
      </c>
      <c r="BK220" s="3">
        <f>IFERROR(__xludf.DUMMYFUNCTION("""COMPUTED_VALUE"""),3.0)</f>
        <v>3</v>
      </c>
      <c r="BL220" s="3">
        <f>IFERROR(__xludf.DUMMYFUNCTION("""COMPUTED_VALUE"""),3.0)</f>
        <v>3</v>
      </c>
      <c r="BM220" s="3">
        <f>IFERROR(__xludf.DUMMYFUNCTION("""COMPUTED_VALUE"""),3.0)</f>
        <v>3</v>
      </c>
      <c r="BN220" s="3">
        <f>IFERROR(__xludf.DUMMYFUNCTION("""COMPUTED_VALUE"""),5.0)</f>
        <v>5</v>
      </c>
      <c r="BO220" s="3">
        <f>IFERROR(__xludf.DUMMYFUNCTION("""COMPUTED_VALUE"""),6.0)</f>
        <v>6</v>
      </c>
      <c r="BP220" s="3">
        <f>IFERROR(__xludf.DUMMYFUNCTION("""COMPUTED_VALUE"""),8.0)</f>
        <v>8</v>
      </c>
      <c r="BQ220" s="3">
        <f>IFERROR(__xludf.DUMMYFUNCTION("""COMPUTED_VALUE"""),8.0)</f>
        <v>8</v>
      </c>
      <c r="BR220" s="3">
        <f>IFERROR(__xludf.DUMMYFUNCTION("""COMPUTED_VALUE"""),8.0)</f>
        <v>8</v>
      </c>
      <c r="BS220" s="3">
        <f>IFERROR(__xludf.DUMMYFUNCTION("""COMPUTED_VALUE"""),8.0)</f>
        <v>8</v>
      </c>
      <c r="BT220" s="3">
        <f>IFERROR(__xludf.DUMMYFUNCTION("""COMPUTED_VALUE"""),8.0)</f>
        <v>8</v>
      </c>
      <c r="BU220" s="3">
        <f>IFERROR(__xludf.DUMMYFUNCTION("""COMPUTED_VALUE"""),12.0)</f>
        <v>12</v>
      </c>
      <c r="BV220" s="3">
        <f>IFERROR(__xludf.DUMMYFUNCTION("""COMPUTED_VALUE"""),14.0)</f>
        <v>14</v>
      </c>
      <c r="BW220" s="3">
        <f>IFERROR(__xludf.DUMMYFUNCTION("""COMPUTED_VALUE"""),22.0)</f>
        <v>22</v>
      </c>
      <c r="BX220" s="3">
        <f>IFERROR(__xludf.DUMMYFUNCTION("""COMPUTED_VALUE"""),28.0)</f>
        <v>28</v>
      </c>
      <c r="BY220" s="3">
        <f>IFERROR(__xludf.DUMMYFUNCTION("""COMPUTED_VALUE"""),28.0)</f>
        <v>28</v>
      </c>
      <c r="BZ220" s="3">
        <f>IFERROR(__xludf.DUMMYFUNCTION("""COMPUTED_VALUE"""),35.0)</f>
        <v>35</v>
      </c>
      <c r="CA220" s="3">
        <f>IFERROR(__xludf.DUMMYFUNCTION("""COMPUTED_VALUE"""),35.0)</f>
        <v>35</v>
      </c>
      <c r="CB220" s="3">
        <f>IFERROR(__xludf.DUMMYFUNCTION("""COMPUTED_VALUE"""),39.0)</f>
        <v>39</v>
      </c>
    </row>
    <row r="221">
      <c r="A221" s="3" t="str">
        <f>IFERROR(__xludf.DUMMYFUNCTION("""COMPUTED_VALUE"""),"Channel Islands")</f>
        <v>Channel Islands</v>
      </c>
      <c r="B221" s="3" t="str">
        <f>IFERROR(__xludf.DUMMYFUNCTION("""COMPUTED_VALUE"""),"United Kingdom")</f>
        <v>United Kingdom</v>
      </c>
      <c r="C221" s="3">
        <f>IFERROR(__xludf.DUMMYFUNCTION("""COMPUTED_VALUE"""),49.3723)</f>
        <v>49.3723</v>
      </c>
      <c r="D221" s="3">
        <f>IFERROR(__xludf.DUMMYFUNCTION("""COMPUTED_VALUE"""),-2.3644)</f>
        <v>-2.3644</v>
      </c>
      <c r="E221" s="3">
        <f>IFERROR(__xludf.DUMMYFUNCTION("""COMPUTED_VALUE"""),0.0)</f>
        <v>0</v>
      </c>
      <c r="F221" s="3">
        <f>IFERROR(__xludf.DUMMYFUNCTION("""COMPUTED_VALUE"""),0.0)</f>
        <v>0</v>
      </c>
      <c r="G221" s="3">
        <f>IFERROR(__xludf.DUMMYFUNCTION("""COMPUTED_VALUE"""),0.0)</f>
        <v>0</v>
      </c>
      <c r="H221" s="3">
        <f>IFERROR(__xludf.DUMMYFUNCTION("""COMPUTED_VALUE"""),0.0)</f>
        <v>0</v>
      </c>
      <c r="I221" s="3">
        <f>IFERROR(__xludf.DUMMYFUNCTION("""COMPUTED_VALUE"""),0.0)</f>
        <v>0</v>
      </c>
      <c r="J221" s="3">
        <f>IFERROR(__xludf.DUMMYFUNCTION("""COMPUTED_VALUE"""),0.0)</f>
        <v>0</v>
      </c>
      <c r="K221" s="3">
        <f>IFERROR(__xludf.DUMMYFUNCTION("""COMPUTED_VALUE"""),0.0)</f>
        <v>0</v>
      </c>
      <c r="L221" s="3">
        <f>IFERROR(__xludf.DUMMYFUNCTION("""COMPUTED_VALUE"""),0.0)</f>
        <v>0</v>
      </c>
      <c r="M221" s="3">
        <f>IFERROR(__xludf.DUMMYFUNCTION("""COMPUTED_VALUE"""),0.0)</f>
        <v>0</v>
      </c>
      <c r="N221" s="3">
        <f>IFERROR(__xludf.DUMMYFUNCTION("""COMPUTED_VALUE"""),0.0)</f>
        <v>0</v>
      </c>
      <c r="O221" s="3">
        <f>IFERROR(__xludf.DUMMYFUNCTION("""COMPUTED_VALUE"""),0.0)</f>
        <v>0</v>
      </c>
      <c r="P221" s="3">
        <f>IFERROR(__xludf.DUMMYFUNCTION("""COMPUTED_VALUE"""),0.0)</f>
        <v>0</v>
      </c>
      <c r="Q221" s="3">
        <f>IFERROR(__xludf.DUMMYFUNCTION("""COMPUTED_VALUE"""),0.0)</f>
        <v>0</v>
      </c>
      <c r="R221" s="3">
        <f>IFERROR(__xludf.DUMMYFUNCTION("""COMPUTED_VALUE"""),0.0)</f>
        <v>0</v>
      </c>
      <c r="S221" s="3">
        <f>IFERROR(__xludf.DUMMYFUNCTION("""COMPUTED_VALUE"""),0.0)</f>
        <v>0</v>
      </c>
      <c r="T221" s="3">
        <f>IFERROR(__xludf.DUMMYFUNCTION("""COMPUTED_VALUE"""),0.0)</f>
        <v>0</v>
      </c>
      <c r="U221" s="3">
        <f>IFERROR(__xludf.DUMMYFUNCTION("""COMPUTED_VALUE"""),0.0)</f>
        <v>0</v>
      </c>
      <c r="V221" s="3">
        <f>IFERROR(__xludf.DUMMYFUNCTION("""COMPUTED_VALUE"""),0.0)</f>
        <v>0</v>
      </c>
      <c r="W221" s="3">
        <f>IFERROR(__xludf.DUMMYFUNCTION("""COMPUTED_VALUE"""),0.0)</f>
        <v>0</v>
      </c>
      <c r="X221" s="3">
        <f>IFERROR(__xludf.DUMMYFUNCTION("""COMPUTED_VALUE"""),0.0)</f>
        <v>0</v>
      </c>
      <c r="Y221" s="3">
        <f>IFERROR(__xludf.DUMMYFUNCTION("""COMPUTED_VALUE"""),0.0)</f>
        <v>0</v>
      </c>
      <c r="Z221" s="3">
        <f>IFERROR(__xludf.DUMMYFUNCTION("""COMPUTED_VALUE"""),0.0)</f>
        <v>0</v>
      </c>
      <c r="AA221" s="3">
        <f>IFERROR(__xludf.DUMMYFUNCTION("""COMPUTED_VALUE"""),0.0)</f>
        <v>0</v>
      </c>
      <c r="AB221" s="3">
        <f>IFERROR(__xludf.DUMMYFUNCTION("""COMPUTED_VALUE"""),0.0)</f>
        <v>0</v>
      </c>
      <c r="AC221" s="3">
        <f>IFERROR(__xludf.DUMMYFUNCTION("""COMPUTED_VALUE"""),0.0)</f>
        <v>0</v>
      </c>
      <c r="AD221" s="3">
        <f>IFERROR(__xludf.DUMMYFUNCTION("""COMPUTED_VALUE"""),0.0)</f>
        <v>0</v>
      </c>
      <c r="AE221" s="3">
        <f>IFERROR(__xludf.DUMMYFUNCTION("""COMPUTED_VALUE"""),0.0)</f>
        <v>0</v>
      </c>
      <c r="AF221" s="3">
        <f>IFERROR(__xludf.DUMMYFUNCTION("""COMPUTED_VALUE"""),0.0)</f>
        <v>0</v>
      </c>
      <c r="AG221" s="3">
        <f>IFERROR(__xludf.DUMMYFUNCTION("""COMPUTED_VALUE"""),0.0)</f>
        <v>0</v>
      </c>
      <c r="AH221" s="3">
        <f>IFERROR(__xludf.DUMMYFUNCTION("""COMPUTED_VALUE"""),0.0)</f>
        <v>0</v>
      </c>
      <c r="AI221" s="3">
        <f>IFERROR(__xludf.DUMMYFUNCTION("""COMPUTED_VALUE"""),0.0)</f>
        <v>0</v>
      </c>
      <c r="AJ221" s="3">
        <f>IFERROR(__xludf.DUMMYFUNCTION("""COMPUTED_VALUE"""),0.0)</f>
        <v>0</v>
      </c>
      <c r="AK221" s="3">
        <f>IFERROR(__xludf.DUMMYFUNCTION("""COMPUTED_VALUE"""),0.0)</f>
        <v>0</v>
      </c>
      <c r="AL221" s="3">
        <f>IFERROR(__xludf.DUMMYFUNCTION("""COMPUTED_VALUE"""),0.0)</f>
        <v>0</v>
      </c>
      <c r="AM221" s="3">
        <f>IFERROR(__xludf.DUMMYFUNCTION("""COMPUTED_VALUE"""),0.0)</f>
        <v>0</v>
      </c>
      <c r="AN221" s="3">
        <f>IFERROR(__xludf.DUMMYFUNCTION("""COMPUTED_VALUE"""),0.0)</f>
        <v>0</v>
      </c>
      <c r="AO221" s="3">
        <f>IFERROR(__xludf.DUMMYFUNCTION("""COMPUTED_VALUE"""),0.0)</f>
        <v>0</v>
      </c>
      <c r="AP221" s="3">
        <f>IFERROR(__xludf.DUMMYFUNCTION("""COMPUTED_VALUE"""),0.0)</f>
        <v>0</v>
      </c>
      <c r="AQ221" s="3">
        <f>IFERROR(__xludf.DUMMYFUNCTION("""COMPUTED_VALUE"""),0.0)</f>
        <v>0</v>
      </c>
      <c r="AR221" s="3">
        <f>IFERROR(__xludf.DUMMYFUNCTION("""COMPUTED_VALUE"""),0.0)</f>
        <v>0</v>
      </c>
      <c r="AS221" s="3">
        <f>IFERROR(__xludf.DUMMYFUNCTION("""COMPUTED_VALUE"""),0.0)</f>
        <v>0</v>
      </c>
      <c r="AT221" s="3">
        <f>IFERROR(__xludf.DUMMYFUNCTION("""COMPUTED_VALUE"""),0.0)</f>
        <v>0</v>
      </c>
      <c r="AU221" s="3">
        <f>IFERROR(__xludf.DUMMYFUNCTION("""COMPUTED_VALUE"""),0.0)</f>
        <v>0</v>
      </c>
      <c r="AV221" s="3">
        <f>IFERROR(__xludf.DUMMYFUNCTION("""COMPUTED_VALUE"""),0.0)</f>
        <v>0</v>
      </c>
      <c r="AW221" s="3">
        <f>IFERROR(__xludf.DUMMYFUNCTION("""COMPUTED_VALUE"""),0.0)</f>
        <v>0</v>
      </c>
      <c r="AX221" s="3">
        <f>IFERROR(__xludf.DUMMYFUNCTION("""COMPUTED_VALUE"""),0.0)</f>
        <v>0</v>
      </c>
      <c r="AY221" s="3">
        <f>IFERROR(__xludf.DUMMYFUNCTION("""COMPUTED_VALUE"""),0.0)</f>
        <v>0</v>
      </c>
      <c r="AZ221" s="3">
        <f>IFERROR(__xludf.DUMMYFUNCTION("""COMPUTED_VALUE"""),0.0)</f>
        <v>0</v>
      </c>
      <c r="BA221" s="3">
        <f>IFERROR(__xludf.DUMMYFUNCTION("""COMPUTED_VALUE"""),1.0)</f>
        <v>1</v>
      </c>
      <c r="BB221" s="3">
        <f>IFERROR(__xludf.DUMMYFUNCTION("""COMPUTED_VALUE"""),2.0)</f>
        <v>2</v>
      </c>
      <c r="BC221" s="3">
        <f>IFERROR(__xludf.DUMMYFUNCTION("""COMPUTED_VALUE"""),2.0)</f>
        <v>2</v>
      </c>
      <c r="BD221" s="3">
        <f>IFERROR(__xludf.DUMMYFUNCTION("""COMPUTED_VALUE"""),2.0)</f>
        <v>2</v>
      </c>
      <c r="BE221" s="3">
        <f>IFERROR(__xludf.DUMMYFUNCTION("""COMPUTED_VALUE"""),2.0)</f>
        <v>2</v>
      </c>
      <c r="BF221" s="3">
        <f>IFERROR(__xludf.DUMMYFUNCTION("""COMPUTED_VALUE"""),3.0)</f>
        <v>3</v>
      </c>
      <c r="BG221" s="3">
        <f>IFERROR(__xludf.DUMMYFUNCTION("""COMPUTED_VALUE"""),6.0)</f>
        <v>6</v>
      </c>
      <c r="BH221" s="3">
        <f>IFERROR(__xludf.DUMMYFUNCTION("""COMPUTED_VALUE"""),6.0)</f>
        <v>6</v>
      </c>
      <c r="BI221" s="3">
        <f>IFERROR(__xludf.DUMMYFUNCTION("""COMPUTED_VALUE"""),6.0)</f>
        <v>6</v>
      </c>
      <c r="BJ221" s="3">
        <f>IFERROR(__xludf.DUMMYFUNCTION("""COMPUTED_VALUE"""),11.0)</f>
        <v>11</v>
      </c>
      <c r="BK221" s="3">
        <f>IFERROR(__xludf.DUMMYFUNCTION("""COMPUTED_VALUE"""),14.0)</f>
        <v>14</v>
      </c>
      <c r="BL221" s="3">
        <f>IFERROR(__xludf.DUMMYFUNCTION("""COMPUTED_VALUE"""),32.0)</f>
        <v>32</v>
      </c>
      <c r="BM221" s="3">
        <f>IFERROR(__xludf.DUMMYFUNCTION("""COMPUTED_VALUE"""),32.0)</f>
        <v>32</v>
      </c>
      <c r="BN221" s="3">
        <f>IFERROR(__xludf.DUMMYFUNCTION("""COMPUTED_VALUE"""),36.0)</f>
        <v>36</v>
      </c>
      <c r="BO221" s="3">
        <f>IFERROR(__xludf.DUMMYFUNCTION("""COMPUTED_VALUE"""),36.0)</f>
        <v>36</v>
      </c>
      <c r="BP221" s="3">
        <f>IFERROR(__xludf.DUMMYFUNCTION("""COMPUTED_VALUE"""),46.0)</f>
        <v>46</v>
      </c>
      <c r="BQ221" s="3">
        <f>IFERROR(__xludf.DUMMYFUNCTION("""COMPUTED_VALUE"""),66.0)</f>
        <v>66</v>
      </c>
      <c r="BR221" s="3">
        <f>IFERROR(__xludf.DUMMYFUNCTION("""COMPUTED_VALUE"""),88.0)</f>
        <v>88</v>
      </c>
      <c r="BS221" s="3">
        <f>IFERROR(__xludf.DUMMYFUNCTION("""COMPUTED_VALUE"""),97.0)</f>
        <v>97</v>
      </c>
      <c r="BT221" s="3">
        <f>IFERROR(__xludf.DUMMYFUNCTION("""COMPUTED_VALUE"""),108.0)</f>
        <v>108</v>
      </c>
      <c r="BU221" s="3">
        <f>IFERROR(__xludf.DUMMYFUNCTION("""COMPUTED_VALUE"""),141.0)</f>
        <v>141</v>
      </c>
      <c r="BV221" s="3">
        <f>IFERROR(__xludf.DUMMYFUNCTION("""COMPUTED_VALUE"""),141.0)</f>
        <v>141</v>
      </c>
      <c r="BW221" s="3">
        <f>IFERROR(__xludf.DUMMYFUNCTION("""COMPUTED_VALUE"""),172.0)</f>
        <v>172</v>
      </c>
      <c r="BX221" s="3">
        <f>IFERROR(__xludf.DUMMYFUNCTION("""COMPUTED_VALUE"""),193.0)</f>
        <v>193</v>
      </c>
      <c r="BY221" s="3">
        <f>IFERROR(__xludf.DUMMYFUNCTION("""COMPUTED_VALUE"""),232.0)</f>
        <v>232</v>
      </c>
      <c r="BZ221" s="3">
        <f>IFERROR(__xludf.DUMMYFUNCTION("""COMPUTED_VALUE"""),262.0)</f>
        <v>262</v>
      </c>
      <c r="CA221" s="3">
        <f>IFERROR(__xludf.DUMMYFUNCTION("""COMPUTED_VALUE"""),309.0)</f>
        <v>309</v>
      </c>
      <c r="CB221" s="3">
        <f>IFERROR(__xludf.DUMMYFUNCTION("""COMPUTED_VALUE"""),323.0)</f>
        <v>323</v>
      </c>
    </row>
    <row r="222">
      <c r="A222" s="3" t="str">
        <f>IFERROR(__xludf.DUMMYFUNCTION("""COMPUTED_VALUE"""),"Gibraltar")</f>
        <v>Gibraltar</v>
      </c>
      <c r="B222" s="3" t="str">
        <f>IFERROR(__xludf.DUMMYFUNCTION("""COMPUTED_VALUE"""),"United Kingdom")</f>
        <v>United Kingdom</v>
      </c>
      <c r="C222" s="3">
        <f>IFERROR(__xludf.DUMMYFUNCTION("""COMPUTED_VALUE"""),36.1408)</f>
        <v>36.1408</v>
      </c>
      <c r="D222" s="3">
        <f>IFERROR(__xludf.DUMMYFUNCTION("""COMPUTED_VALUE"""),-5.3536)</f>
        <v>-5.3536</v>
      </c>
      <c r="E222" s="3">
        <f>IFERROR(__xludf.DUMMYFUNCTION("""COMPUTED_VALUE"""),0.0)</f>
        <v>0</v>
      </c>
      <c r="F222" s="3">
        <f>IFERROR(__xludf.DUMMYFUNCTION("""COMPUTED_VALUE"""),0.0)</f>
        <v>0</v>
      </c>
      <c r="G222" s="3">
        <f>IFERROR(__xludf.DUMMYFUNCTION("""COMPUTED_VALUE"""),0.0)</f>
        <v>0</v>
      </c>
      <c r="H222" s="3">
        <f>IFERROR(__xludf.DUMMYFUNCTION("""COMPUTED_VALUE"""),0.0)</f>
        <v>0</v>
      </c>
      <c r="I222" s="3">
        <f>IFERROR(__xludf.DUMMYFUNCTION("""COMPUTED_VALUE"""),0.0)</f>
        <v>0</v>
      </c>
      <c r="J222" s="3">
        <f>IFERROR(__xludf.DUMMYFUNCTION("""COMPUTED_VALUE"""),0.0)</f>
        <v>0</v>
      </c>
      <c r="K222" s="3">
        <f>IFERROR(__xludf.DUMMYFUNCTION("""COMPUTED_VALUE"""),0.0)</f>
        <v>0</v>
      </c>
      <c r="L222" s="3">
        <f>IFERROR(__xludf.DUMMYFUNCTION("""COMPUTED_VALUE"""),0.0)</f>
        <v>0</v>
      </c>
      <c r="M222" s="3">
        <f>IFERROR(__xludf.DUMMYFUNCTION("""COMPUTED_VALUE"""),0.0)</f>
        <v>0</v>
      </c>
      <c r="N222" s="3">
        <f>IFERROR(__xludf.DUMMYFUNCTION("""COMPUTED_VALUE"""),0.0)</f>
        <v>0</v>
      </c>
      <c r="O222" s="3">
        <f>IFERROR(__xludf.DUMMYFUNCTION("""COMPUTED_VALUE"""),0.0)</f>
        <v>0</v>
      </c>
      <c r="P222" s="3">
        <f>IFERROR(__xludf.DUMMYFUNCTION("""COMPUTED_VALUE"""),0.0)</f>
        <v>0</v>
      </c>
      <c r="Q222" s="3">
        <f>IFERROR(__xludf.DUMMYFUNCTION("""COMPUTED_VALUE"""),0.0)</f>
        <v>0</v>
      </c>
      <c r="R222" s="3">
        <f>IFERROR(__xludf.DUMMYFUNCTION("""COMPUTED_VALUE"""),0.0)</f>
        <v>0</v>
      </c>
      <c r="S222" s="3">
        <f>IFERROR(__xludf.DUMMYFUNCTION("""COMPUTED_VALUE"""),0.0)</f>
        <v>0</v>
      </c>
      <c r="T222" s="3">
        <f>IFERROR(__xludf.DUMMYFUNCTION("""COMPUTED_VALUE"""),0.0)</f>
        <v>0</v>
      </c>
      <c r="U222" s="3">
        <f>IFERROR(__xludf.DUMMYFUNCTION("""COMPUTED_VALUE"""),0.0)</f>
        <v>0</v>
      </c>
      <c r="V222" s="3">
        <f>IFERROR(__xludf.DUMMYFUNCTION("""COMPUTED_VALUE"""),0.0)</f>
        <v>0</v>
      </c>
      <c r="W222" s="3">
        <f>IFERROR(__xludf.DUMMYFUNCTION("""COMPUTED_VALUE"""),0.0)</f>
        <v>0</v>
      </c>
      <c r="X222" s="3">
        <f>IFERROR(__xludf.DUMMYFUNCTION("""COMPUTED_VALUE"""),0.0)</f>
        <v>0</v>
      </c>
      <c r="Y222" s="3">
        <f>IFERROR(__xludf.DUMMYFUNCTION("""COMPUTED_VALUE"""),0.0)</f>
        <v>0</v>
      </c>
      <c r="Z222" s="3">
        <f>IFERROR(__xludf.DUMMYFUNCTION("""COMPUTED_VALUE"""),0.0)</f>
        <v>0</v>
      </c>
      <c r="AA222" s="3">
        <f>IFERROR(__xludf.DUMMYFUNCTION("""COMPUTED_VALUE"""),0.0)</f>
        <v>0</v>
      </c>
      <c r="AB222" s="3">
        <f>IFERROR(__xludf.DUMMYFUNCTION("""COMPUTED_VALUE"""),0.0)</f>
        <v>0</v>
      </c>
      <c r="AC222" s="3">
        <f>IFERROR(__xludf.DUMMYFUNCTION("""COMPUTED_VALUE"""),0.0)</f>
        <v>0</v>
      </c>
      <c r="AD222" s="3">
        <f>IFERROR(__xludf.DUMMYFUNCTION("""COMPUTED_VALUE"""),0.0)</f>
        <v>0</v>
      </c>
      <c r="AE222" s="3">
        <f>IFERROR(__xludf.DUMMYFUNCTION("""COMPUTED_VALUE"""),0.0)</f>
        <v>0</v>
      </c>
      <c r="AF222" s="3">
        <f>IFERROR(__xludf.DUMMYFUNCTION("""COMPUTED_VALUE"""),0.0)</f>
        <v>0</v>
      </c>
      <c r="AG222" s="3">
        <f>IFERROR(__xludf.DUMMYFUNCTION("""COMPUTED_VALUE"""),0.0)</f>
        <v>0</v>
      </c>
      <c r="AH222" s="3">
        <f>IFERROR(__xludf.DUMMYFUNCTION("""COMPUTED_VALUE"""),0.0)</f>
        <v>0</v>
      </c>
      <c r="AI222" s="3">
        <f>IFERROR(__xludf.DUMMYFUNCTION("""COMPUTED_VALUE"""),0.0)</f>
        <v>0</v>
      </c>
      <c r="AJ222" s="3">
        <f>IFERROR(__xludf.DUMMYFUNCTION("""COMPUTED_VALUE"""),0.0)</f>
        <v>0</v>
      </c>
      <c r="AK222" s="3">
        <f>IFERROR(__xludf.DUMMYFUNCTION("""COMPUTED_VALUE"""),0.0)</f>
        <v>0</v>
      </c>
      <c r="AL222" s="3">
        <f>IFERROR(__xludf.DUMMYFUNCTION("""COMPUTED_VALUE"""),0.0)</f>
        <v>0</v>
      </c>
      <c r="AM222" s="3">
        <f>IFERROR(__xludf.DUMMYFUNCTION("""COMPUTED_VALUE"""),0.0)</f>
        <v>0</v>
      </c>
      <c r="AN222" s="3">
        <f>IFERROR(__xludf.DUMMYFUNCTION("""COMPUTED_VALUE"""),0.0)</f>
        <v>0</v>
      </c>
      <c r="AO222" s="3">
        <f>IFERROR(__xludf.DUMMYFUNCTION("""COMPUTED_VALUE"""),0.0)</f>
        <v>0</v>
      </c>
      <c r="AP222" s="3">
        <f>IFERROR(__xludf.DUMMYFUNCTION("""COMPUTED_VALUE"""),0.0)</f>
        <v>0</v>
      </c>
      <c r="AQ222" s="3">
        <f>IFERROR(__xludf.DUMMYFUNCTION("""COMPUTED_VALUE"""),0.0)</f>
        <v>0</v>
      </c>
      <c r="AR222" s="3">
        <f>IFERROR(__xludf.DUMMYFUNCTION("""COMPUTED_VALUE"""),0.0)</f>
        <v>0</v>
      </c>
      <c r="AS222" s="3">
        <f>IFERROR(__xludf.DUMMYFUNCTION("""COMPUTED_VALUE"""),0.0)</f>
        <v>0</v>
      </c>
      <c r="AT222" s="3">
        <f>IFERROR(__xludf.DUMMYFUNCTION("""COMPUTED_VALUE"""),0.0)</f>
        <v>0</v>
      </c>
      <c r="AU222" s="3">
        <f>IFERROR(__xludf.DUMMYFUNCTION("""COMPUTED_VALUE"""),1.0)</f>
        <v>1</v>
      </c>
      <c r="AV222" s="3">
        <f>IFERROR(__xludf.DUMMYFUNCTION("""COMPUTED_VALUE"""),1.0)</f>
        <v>1</v>
      </c>
      <c r="AW222" s="3">
        <f>IFERROR(__xludf.DUMMYFUNCTION("""COMPUTED_VALUE"""),1.0)</f>
        <v>1</v>
      </c>
      <c r="AX222" s="3">
        <f>IFERROR(__xludf.DUMMYFUNCTION("""COMPUTED_VALUE"""),1.0)</f>
        <v>1</v>
      </c>
      <c r="AY222" s="3">
        <f>IFERROR(__xludf.DUMMYFUNCTION("""COMPUTED_VALUE"""),1.0)</f>
        <v>1</v>
      </c>
      <c r="AZ222" s="3">
        <f>IFERROR(__xludf.DUMMYFUNCTION("""COMPUTED_VALUE"""),1.0)</f>
        <v>1</v>
      </c>
      <c r="BA222" s="3">
        <f>IFERROR(__xludf.DUMMYFUNCTION("""COMPUTED_VALUE"""),1.0)</f>
        <v>1</v>
      </c>
      <c r="BB222" s="3">
        <f>IFERROR(__xludf.DUMMYFUNCTION("""COMPUTED_VALUE"""),1.0)</f>
        <v>1</v>
      </c>
      <c r="BC222" s="3">
        <f>IFERROR(__xludf.DUMMYFUNCTION("""COMPUTED_VALUE"""),1.0)</f>
        <v>1</v>
      </c>
      <c r="BD222" s="3">
        <f>IFERROR(__xludf.DUMMYFUNCTION("""COMPUTED_VALUE"""),1.0)</f>
        <v>1</v>
      </c>
      <c r="BE222" s="3">
        <f>IFERROR(__xludf.DUMMYFUNCTION("""COMPUTED_VALUE"""),1.0)</f>
        <v>1</v>
      </c>
      <c r="BF222" s="3">
        <f>IFERROR(__xludf.DUMMYFUNCTION("""COMPUTED_VALUE"""),1.0)</f>
        <v>1</v>
      </c>
      <c r="BG222" s="3">
        <f>IFERROR(__xludf.DUMMYFUNCTION("""COMPUTED_VALUE"""),1.0)</f>
        <v>1</v>
      </c>
      <c r="BH222" s="3">
        <f>IFERROR(__xludf.DUMMYFUNCTION("""COMPUTED_VALUE"""),3.0)</f>
        <v>3</v>
      </c>
      <c r="BI222" s="3">
        <f>IFERROR(__xludf.DUMMYFUNCTION("""COMPUTED_VALUE"""),8.0)</f>
        <v>8</v>
      </c>
      <c r="BJ222" s="3">
        <f>IFERROR(__xludf.DUMMYFUNCTION("""COMPUTED_VALUE"""),10.0)</f>
        <v>10</v>
      </c>
      <c r="BK222" s="3">
        <f>IFERROR(__xludf.DUMMYFUNCTION("""COMPUTED_VALUE"""),10.0)</f>
        <v>10</v>
      </c>
      <c r="BL222" s="3">
        <f>IFERROR(__xludf.DUMMYFUNCTION("""COMPUTED_VALUE"""),10.0)</f>
        <v>10</v>
      </c>
      <c r="BM222" s="3">
        <f>IFERROR(__xludf.DUMMYFUNCTION("""COMPUTED_VALUE"""),15.0)</f>
        <v>15</v>
      </c>
      <c r="BN222" s="3">
        <f>IFERROR(__xludf.DUMMYFUNCTION("""COMPUTED_VALUE"""),15.0)</f>
        <v>15</v>
      </c>
      <c r="BO222" s="3">
        <f>IFERROR(__xludf.DUMMYFUNCTION("""COMPUTED_VALUE"""),15.0)</f>
        <v>15</v>
      </c>
      <c r="BP222" s="3">
        <f>IFERROR(__xludf.DUMMYFUNCTION("""COMPUTED_VALUE"""),26.0)</f>
        <v>26</v>
      </c>
      <c r="BQ222" s="3">
        <f>IFERROR(__xludf.DUMMYFUNCTION("""COMPUTED_VALUE"""),35.0)</f>
        <v>35</v>
      </c>
      <c r="BR222" s="3">
        <f>IFERROR(__xludf.DUMMYFUNCTION("""COMPUTED_VALUE"""),55.0)</f>
        <v>55</v>
      </c>
      <c r="BS222" s="3">
        <f>IFERROR(__xludf.DUMMYFUNCTION("""COMPUTED_VALUE"""),56.0)</f>
        <v>56</v>
      </c>
      <c r="BT222" s="3">
        <f>IFERROR(__xludf.DUMMYFUNCTION("""COMPUTED_VALUE"""),65.0)</f>
        <v>65</v>
      </c>
      <c r="BU222" s="3">
        <f>IFERROR(__xludf.DUMMYFUNCTION("""COMPUTED_VALUE"""),69.0)</f>
        <v>69</v>
      </c>
      <c r="BV222" s="3">
        <f>IFERROR(__xludf.DUMMYFUNCTION("""COMPUTED_VALUE"""),69.0)</f>
        <v>69</v>
      </c>
      <c r="BW222" s="3">
        <f>IFERROR(__xludf.DUMMYFUNCTION("""COMPUTED_VALUE"""),81.0)</f>
        <v>81</v>
      </c>
      <c r="BX222" s="3">
        <f>IFERROR(__xludf.DUMMYFUNCTION("""COMPUTED_VALUE"""),88.0)</f>
        <v>88</v>
      </c>
      <c r="BY222" s="3">
        <f>IFERROR(__xludf.DUMMYFUNCTION("""COMPUTED_VALUE"""),95.0)</f>
        <v>95</v>
      </c>
      <c r="BZ222" s="3">
        <f>IFERROR(__xludf.DUMMYFUNCTION("""COMPUTED_VALUE"""),98.0)</f>
        <v>98</v>
      </c>
      <c r="CA222" s="3">
        <f>IFERROR(__xludf.DUMMYFUNCTION("""COMPUTED_VALUE"""),103.0)</f>
        <v>103</v>
      </c>
      <c r="CB222" s="3">
        <f>IFERROR(__xludf.DUMMYFUNCTION("""COMPUTED_VALUE"""),109.0)</f>
        <v>109</v>
      </c>
    </row>
    <row r="223">
      <c r="A223" s="3" t="str">
        <f>IFERROR(__xludf.DUMMYFUNCTION("""COMPUTED_VALUE"""),"Isle of Man")</f>
        <v>Isle of Man</v>
      </c>
      <c r="B223" s="3" t="str">
        <f>IFERROR(__xludf.DUMMYFUNCTION("""COMPUTED_VALUE"""),"United Kingdom")</f>
        <v>United Kingdom</v>
      </c>
      <c r="C223" s="3">
        <f>IFERROR(__xludf.DUMMYFUNCTION("""COMPUTED_VALUE"""),54.2361)</f>
        <v>54.2361</v>
      </c>
      <c r="D223" s="3">
        <f>IFERROR(__xludf.DUMMYFUNCTION("""COMPUTED_VALUE"""),-4.5481)</f>
        <v>-4.5481</v>
      </c>
      <c r="E223" s="3">
        <f>IFERROR(__xludf.DUMMYFUNCTION("""COMPUTED_VALUE"""),0.0)</f>
        <v>0</v>
      </c>
      <c r="F223" s="3">
        <f>IFERROR(__xludf.DUMMYFUNCTION("""COMPUTED_VALUE"""),0.0)</f>
        <v>0</v>
      </c>
      <c r="G223" s="3">
        <f>IFERROR(__xludf.DUMMYFUNCTION("""COMPUTED_VALUE"""),0.0)</f>
        <v>0</v>
      </c>
      <c r="H223" s="3">
        <f>IFERROR(__xludf.DUMMYFUNCTION("""COMPUTED_VALUE"""),0.0)</f>
        <v>0</v>
      </c>
      <c r="I223" s="3">
        <f>IFERROR(__xludf.DUMMYFUNCTION("""COMPUTED_VALUE"""),0.0)</f>
        <v>0</v>
      </c>
      <c r="J223" s="3">
        <f>IFERROR(__xludf.DUMMYFUNCTION("""COMPUTED_VALUE"""),0.0)</f>
        <v>0</v>
      </c>
      <c r="K223" s="3">
        <f>IFERROR(__xludf.DUMMYFUNCTION("""COMPUTED_VALUE"""),0.0)</f>
        <v>0</v>
      </c>
      <c r="L223" s="3">
        <f>IFERROR(__xludf.DUMMYFUNCTION("""COMPUTED_VALUE"""),0.0)</f>
        <v>0</v>
      </c>
      <c r="M223" s="3">
        <f>IFERROR(__xludf.DUMMYFUNCTION("""COMPUTED_VALUE"""),0.0)</f>
        <v>0</v>
      </c>
      <c r="N223" s="3">
        <f>IFERROR(__xludf.DUMMYFUNCTION("""COMPUTED_VALUE"""),0.0)</f>
        <v>0</v>
      </c>
      <c r="O223" s="3">
        <f>IFERROR(__xludf.DUMMYFUNCTION("""COMPUTED_VALUE"""),0.0)</f>
        <v>0</v>
      </c>
      <c r="P223" s="3">
        <f>IFERROR(__xludf.DUMMYFUNCTION("""COMPUTED_VALUE"""),0.0)</f>
        <v>0</v>
      </c>
      <c r="Q223" s="3">
        <f>IFERROR(__xludf.DUMMYFUNCTION("""COMPUTED_VALUE"""),0.0)</f>
        <v>0</v>
      </c>
      <c r="R223" s="3">
        <f>IFERROR(__xludf.DUMMYFUNCTION("""COMPUTED_VALUE"""),0.0)</f>
        <v>0</v>
      </c>
      <c r="S223" s="3">
        <f>IFERROR(__xludf.DUMMYFUNCTION("""COMPUTED_VALUE"""),0.0)</f>
        <v>0</v>
      </c>
      <c r="T223" s="3">
        <f>IFERROR(__xludf.DUMMYFUNCTION("""COMPUTED_VALUE"""),0.0)</f>
        <v>0</v>
      </c>
      <c r="U223" s="3">
        <f>IFERROR(__xludf.DUMMYFUNCTION("""COMPUTED_VALUE"""),0.0)</f>
        <v>0</v>
      </c>
      <c r="V223" s="3">
        <f>IFERROR(__xludf.DUMMYFUNCTION("""COMPUTED_VALUE"""),0.0)</f>
        <v>0</v>
      </c>
      <c r="W223" s="3">
        <f>IFERROR(__xludf.DUMMYFUNCTION("""COMPUTED_VALUE"""),0.0)</f>
        <v>0</v>
      </c>
      <c r="X223" s="3">
        <f>IFERROR(__xludf.DUMMYFUNCTION("""COMPUTED_VALUE"""),0.0)</f>
        <v>0</v>
      </c>
      <c r="Y223" s="3">
        <f>IFERROR(__xludf.DUMMYFUNCTION("""COMPUTED_VALUE"""),0.0)</f>
        <v>0</v>
      </c>
      <c r="Z223" s="3">
        <f>IFERROR(__xludf.DUMMYFUNCTION("""COMPUTED_VALUE"""),0.0)</f>
        <v>0</v>
      </c>
      <c r="AA223" s="3">
        <f>IFERROR(__xludf.DUMMYFUNCTION("""COMPUTED_VALUE"""),0.0)</f>
        <v>0</v>
      </c>
      <c r="AB223" s="3">
        <f>IFERROR(__xludf.DUMMYFUNCTION("""COMPUTED_VALUE"""),0.0)</f>
        <v>0</v>
      </c>
      <c r="AC223" s="3">
        <f>IFERROR(__xludf.DUMMYFUNCTION("""COMPUTED_VALUE"""),0.0)</f>
        <v>0</v>
      </c>
      <c r="AD223" s="3">
        <f>IFERROR(__xludf.DUMMYFUNCTION("""COMPUTED_VALUE"""),0.0)</f>
        <v>0</v>
      </c>
      <c r="AE223" s="3">
        <f>IFERROR(__xludf.DUMMYFUNCTION("""COMPUTED_VALUE"""),0.0)</f>
        <v>0</v>
      </c>
      <c r="AF223" s="3">
        <f>IFERROR(__xludf.DUMMYFUNCTION("""COMPUTED_VALUE"""),0.0)</f>
        <v>0</v>
      </c>
      <c r="AG223" s="3">
        <f>IFERROR(__xludf.DUMMYFUNCTION("""COMPUTED_VALUE"""),0.0)</f>
        <v>0</v>
      </c>
      <c r="AH223" s="3">
        <f>IFERROR(__xludf.DUMMYFUNCTION("""COMPUTED_VALUE"""),0.0)</f>
        <v>0</v>
      </c>
      <c r="AI223" s="3">
        <f>IFERROR(__xludf.DUMMYFUNCTION("""COMPUTED_VALUE"""),0.0)</f>
        <v>0</v>
      </c>
      <c r="AJ223" s="3">
        <f>IFERROR(__xludf.DUMMYFUNCTION("""COMPUTED_VALUE"""),0.0)</f>
        <v>0</v>
      </c>
      <c r="AK223" s="3">
        <f>IFERROR(__xludf.DUMMYFUNCTION("""COMPUTED_VALUE"""),0.0)</f>
        <v>0</v>
      </c>
      <c r="AL223" s="3">
        <f>IFERROR(__xludf.DUMMYFUNCTION("""COMPUTED_VALUE"""),0.0)</f>
        <v>0</v>
      </c>
      <c r="AM223" s="3">
        <f>IFERROR(__xludf.DUMMYFUNCTION("""COMPUTED_VALUE"""),0.0)</f>
        <v>0</v>
      </c>
      <c r="AN223" s="3">
        <f>IFERROR(__xludf.DUMMYFUNCTION("""COMPUTED_VALUE"""),0.0)</f>
        <v>0</v>
      </c>
      <c r="AO223" s="3">
        <f>IFERROR(__xludf.DUMMYFUNCTION("""COMPUTED_VALUE"""),0.0)</f>
        <v>0</v>
      </c>
      <c r="AP223" s="3">
        <f>IFERROR(__xludf.DUMMYFUNCTION("""COMPUTED_VALUE"""),0.0)</f>
        <v>0</v>
      </c>
      <c r="AQ223" s="3">
        <f>IFERROR(__xludf.DUMMYFUNCTION("""COMPUTED_VALUE"""),0.0)</f>
        <v>0</v>
      </c>
      <c r="AR223" s="3">
        <f>IFERROR(__xludf.DUMMYFUNCTION("""COMPUTED_VALUE"""),0.0)</f>
        <v>0</v>
      </c>
      <c r="AS223" s="3">
        <f>IFERROR(__xludf.DUMMYFUNCTION("""COMPUTED_VALUE"""),0.0)</f>
        <v>0</v>
      </c>
      <c r="AT223" s="3">
        <f>IFERROR(__xludf.DUMMYFUNCTION("""COMPUTED_VALUE"""),0.0)</f>
        <v>0</v>
      </c>
      <c r="AU223" s="3">
        <f>IFERROR(__xludf.DUMMYFUNCTION("""COMPUTED_VALUE"""),0.0)</f>
        <v>0</v>
      </c>
      <c r="AV223" s="3">
        <f>IFERROR(__xludf.DUMMYFUNCTION("""COMPUTED_VALUE"""),0.0)</f>
        <v>0</v>
      </c>
      <c r="AW223" s="3">
        <f>IFERROR(__xludf.DUMMYFUNCTION("""COMPUTED_VALUE"""),0.0)</f>
        <v>0</v>
      </c>
      <c r="AX223" s="3">
        <f>IFERROR(__xludf.DUMMYFUNCTION("""COMPUTED_VALUE"""),0.0)</f>
        <v>0</v>
      </c>
      <c r="AY223" s="3">
        <f>IFERROR(__xludf.DUMMYFUNCTION("""COMPUTED_VALUE"""),0.0)</f>
        <v>0</v>
      </c>
      <c r="AZ223" s="3">
        <f>IFERROR(__xludf.DUMMYFUNCTION("""COMPUTED_VALUE"""),0.0)</f>
        <v>0</v>
      </c>
      <c r="BA223" s="3">
        <f>IFERROR(__xludf.DUMMYFUNCTION("""COMPUTED_VALUE"""),0.0)</f>
        <v>0</v>
      </c>
      <c r="BB223" s="3">
        <f>IFERROR(__xludf.DUMMYFUNCTION("""COMPUTED_VALUE"""),0.0)</f>
        <v>0</v>
      </c>
      <c r="BC223" s="3">
        <f>IFERROR(__xludf.DUMMYFUNCTION("""COMPUTED_VALUE"""),0.0)</f>
        <v>0</v>
      </c>
      <c r="BD223" s="3">
        <f>IFERROR(__xludf.DUMMYFUNCTION("""COMPUTED_VALUE"""),0.0)</f>
        <v>0</v>
      </c>
      <c r="BE223" s="3">
        <f>IFERROR(__xludf.DUMMYFUNCTION("""COMPUTED_VALUE"""),0.0)</f>
        <v>0</v>
      </c>
      <c r="BF223" s="3">
        <f>IFERROR(__xludf.DUMMYFUNCTION("""COMPUTED_VALUE"""),0.0)</f>
        <v>0</v>
      </c>
      <c r="BG223" s="3">
        <f>IFERROR(__xludf.DUMMYFUNCTION("""COMPUTED_VALUE"""),0.0)</f>
        <v>0</v>
      </c>
      <c r="BH223" s="3">
        <f>IFERROR(__xludf.DUMMYFUNCTION("""COMPUTED_VALUE"""),0.0)</f>
        <v>0</v>
      </c>
      <c r="BI223" s="3">
        <f>IFERROR(__xludf.DUMMYFUNCTION("""COMPUTED_VALUE"""),0.0)</f>
        <v>0</v>
      </c>
      <c r="BJ223" s="3">
        <f>IFERROR(__xludf.DUMMYFUNCTION("""COMPUTED_VALUE"""),0.0)</f>
        <v>0</v>
      </c>
      <c r="BK223" s="3">
        <f>IFERROR(__xludf.DUMMYFUNCTION("""COMPUTED_VALUE"""),1.0)</f>
        <v>1</v>
      </c>
      <c r="BL223" s="3">
        <f>IFERROR(__xludf.DUMMYFUNCTION("""COMPUTED_VALUE"""),1.0)</f>
        <v>1</v>
      </c>
      <c r="BM223" s="3">
        <f>IFERROR(__xludf.DUMMYFUNCTION("""COMPUTED_VALUE"""),5.0)</f>
        <v>5</v>
      </c>
      <c r="BN223" s="3">
        <f>IFERROR(__xludf.DUMMYFUNCTION("""COMPUTED_VALUE"""),13.0)</f>
        <v>13</v>
      </c>
      <c r="BO223" s="3">
        <f>IFERROR(__xludf.DUMMYFUNCTION("""COMPUTED_VALUE"""),23.0)</f>
        <v>23</v>
      </c>
      <c r="BP223" s="3">
        <f>IFERROR(__xludf.DUMMYFUNCTION("""COMPUTED_VALUE"""),23.0)</f>
        <v>23</v>
      </c>
      <c r="BQ223" s="3">
        <f>IFERROR(__xludf.DUMMYFUNCTION("""COMPUTED_VALUE"""),25.0)</f>
        <v>25</v>
      </c>
      <c r="BR223" s="3">
        <f>IFERROR(__xludf.DUMMYFUNCTION("""COMPUTED_VALUE"""),29.0)</f>
        <v>29</v>
      </c>
      <c r="BS223" s="3">
        <f>IFERROR(__xludf.DUMMYFUNCTION("""COMPUTED_VALUE"""),32.0)</f>
        <v>32</v>
      </c>
      <c r="BT223" s="3">
        <f>IFERROR(__xludf.DUMMYFUNCTION("""COMPUTED_VALUE"""),42.0)</f>
        <v>42</v>
      </c>
      <c r="BU223" s="3">
        <f>IFERROR(__xludf.DUMMYFUNCTION("""COMPUTED_VALUE"""),49.0)</f>
        <v>49</v>
      </c>
      <c r="BV223" s="3">
        <f>IFERROR(__xludf.DUMMYFUNCTION("""COMPUTED_VALUE"""),60.0)</f>
        <v>60</v>
      </c>
      <c r="BW223" s="3">
        <f>IFERROR(__xludf.DUMMYFUNCTION("""COMPUTED_VALUE"""),68.0)</f>
        <v>68</v>
      </c>
      <c r="BX223" s="3">
        <f>IFERROR(__xludf.DUMMYFUNCTION("""COMPUTED_VALUE"""),95.0)</f>
        <v>95</v>
      </c>
      <c r="BY223" s="3">
        <f>IFERROR(__xludf.DUMMYFUNCTION("""COMPUTED_VALUE"""),114.0)</f>
        <v>114</v>
      </c>
      <c r="BZ223" s="3">
        <f>IFERROR(__xludf.DUMMYFUNCTION("""COMPUTED_VALUE"""),126.0)</f>
        <v>126</v>
      </c>
      <c r="CA223" s="3">
        <f>IFERROR(__xludf.DUMMYFUNCTION("""COMPUTED_VALUE"""),127.0)</f>
        <v>127</v>
      </c>
      <c r="CB223" s="3">
        <f>IFERROR(__xludf.DUMMYFUNCTION("""COMPUTED_VALUE"""),139.0)</f>
        <v>139</v>
      </c>
    </row>
    <row r="224">
      <c r="A224" s="3" t="str">
        <f>IFERROR(__xludf.DUMMYFUNCTION("""COMPUTED_VALUE"""),"Montserrat")</f>
        <v>Montserrat</v>
      </c>
      <c r="B224" s="3" t="str">
        <f>IFERROR(__xludf.DUMMYFUNCTION("""COMPUTED_VALUE"""),"United Kingdom")</f>
        <v>United Kingdom</v>
      </c>
      <c r="C224" s="3">
        <f>IFERROR(__xludf.DUMMYFUNCTION("""COMPUTED_VALUE"""),16.7425)</f>
        <v>16.7425</v>
      </c>
      <c r="D224" s="3">
        <f>IFERROR(__xludf.DUMMYFUNCTION("""COMPUTED_VALUE"""),-62.1874)</f>
        <v>-62.1874</v>
      </c>
      <c r="E224" s="3">
        <f>IFERROR(__xludf.DUMMYFUNCTION("""COMPUTED_VALUE"""),0.0)</f>
        <v>0</v>
      </c>
      <c r="F224" s="3">
        <f>IFERROR(__xludf.DUMMYFUNCTION("""COMPUTED_VALUE"""),0.0)</f>
        <v>0</v>
      </c>
      <c r="G224" s="3">
        <f>IFERROR(__xludf.DUMMYFUNCTION("""COMPUTED_VALUE"""),0.0)</f>
        <v>0</v>
      </c>
      <c r="H224" s="3">
        <f>IFERROR(__xludf.DUMMYFUNCTION("""COMPUTED_VALUE"""),0.0)</f>
        <v>0</v>
      </c>
      <c r="I224" s="3">
        <f>IFERROR(__xludf.DUMMYFUNCTION("""COMPUTED_VALUE"""),0.0)</f>
        <v>0</v>
      </c>
      <c r="J224" s="3">
        <f>IFERROR(__xludf.DUMMYFUNCTION("""COMPUTED_VALUE"""),0.0)</f>
        <v>0</v>
      </c>
      <c r="K224" s="3">
        <f>IFERROR(__xludf.DUMMYFUNCTION("""COMPUTED_VALUE"""),0.0)</f>
        <v>0</v>
      </c>
      <c r="L224" s="3">
        <f>IFERROR(__xludf.DUMMYFUNCTION("""COMPUTED_VALUE"""),0.0)</f>
        <v>0</v>
      </c>
      <c r="M224" s="3">
        <f>IFERROR(__xludf.DUMMYFUNCTION("""COMPUTED_VALUE"""),0.0)</f>
        <v>0</v>
      </c>
      <c r="N224" s="3">
        <f>IFERROR(__xludf.DUMMYFUNCTION("""COMPUTED_VALUE"""),0.0)</f>
        <v>0</v>
      </c>
      <c r="O224" s="3">
        <f>IFERROR(__xludf.DUMMYFUNCTION("""COMPUTED_VALUE"""),0.0)</f>
        <v>0</v>
      </c>
      <c r="P224" s="3">
        <f>IFERROR(__xludf.DUMMYFUNCTION("""COMPUTED_VALUE"""),0.0)</f>
        <v>0</v>
      </c>
      <c r="Q224" s="3">
        <f>IFERROR(__xludf.DUMMYFUNCTION("""COMPUTED_VALUE"""),0.0)</f>
        <v>0</v>
      </c>
      <c r="R224" s="3">
        <f>IFERROR(__xludf.DUMMYFUNCTION("""COMPUTED_VALUE"""),0.0)</f>
        <v>0</v>
      </c>
      <c r="S224" s="3">
        <f>IFERROR(__xludf.DUMMYFUNCTION("""COMPUTED_VALUE"""),0.0)</f>
        <v>0</v>
      </c>
      <c r="T224" s="3">
        <f>IFERROR(__xludf.DUMMYFUNCTION("""COMPUTED_VALUE"""),0.0)</f>
        <v>0</v>
      </c>
      <c r="U224" s="3">
        <f>IFERROR(__xludf.DUMMYFUNCTION("""COMPUTED_VALUE"""),0.0)</f>
        <v>0</v>
      </c>
      <c r="V224" s="3">
        <f>IFERROR(__xludf.DUMMYFUNCTION("""COMPUTED_VALUE"""),0.0)</f>
        <v>0</v>
      </c>
      <c r="W224" s="3">
        <f>IFERROR(__xludf.DUMMYFUNCTION("""COMPUTED_VALUE"""),0.0)</f>
        <v>0</v>
      </c>
      <c r="X224" s="3">
        <f>IFERROR(__xludf.DUMMYFUNCTION("""COMPUTED_VALUE"""),0.0)</f>
        <v>0</v>
      </c>
      <c r="Y224" s="3">
        <f>IFERROR(__xludf.DUMMYFUNCTION("""COMPUTED_VALUE"""),0.0)</f>
        <v>0</v>
      </c>
      <c r="Z224" s="3">
        <f>IFERROR(__xludf.DUMMYFUNCTION("""COMPUTED_VALUE"""),0.0)</f>
        <v>0</v>
      </c>
      <c r="AA224" s="3">
        <f>IFERROR(__xludf.DUMMYFUNCTION("""COMPUTED_VALUE"""),0.0)</f>
        <v>0</v>
      </c>
      <c r="AB224" s="3">
        <f>IFERROR(__xludf.DUMMYFUNCTION("""COMPUTED_VALUE"""),0.0)</f>
        <v>0</v>
      </c>
      <c r="AC224" s="3">
        <f>IFERROR(__xludf.DUMMYFUNCTION("""COMPUTED_VALUE"""),0.0)</f>
        <v>0</v>
      </c>
      <c r="AD224" s="3">
        <f>IFERROR(__xludf.DUMMYFUNCTION("""COMPUTED_VALUE"""),0.0)</f>
        <v>0</v>
      </c>
      <c r="AE224" s="3">
        <f>IFERROR(__xludf.DUMMYFUNCTION("""COMPUTED_VALUE"""),0.0)</f>
        <v>0</v>
      </c>
      <c r="AF224" s="3">
        <f>IFERROR(__xludf.DUMMYFUNCTION("""COMPUTED_VALUE"""),0.0)</f>
        <v>0</v>
      </c>
      <c r="AG224" s="3">
        <f>IFERROR(__xludf.DUMMYFUNCTION("""COMPUTED_VALUE"""),0.0)</f>
        <v>0</v>
      </c>
      <c r="AH224" s="3">
        <f>IFERROR(__xludf.DUMMYFUNCTION("""COMPUTED_VALUE"""),0.0)</f>
        <v>0</v>
      </c>
      <c r="AI224" s="3">
        <f>IFERROR(__xludf.DUMMYFUNCTION("""COMPUTED_VALUE"""),0.0)</f>
        <v>0</v>
      </c>
      <c r="AJ224" s="3">
        <f>IFERROR(__xludf.DUMMYFUNCTION("""COMPUTED_VALUE"""),0.0)</f>
        <v>0</v>
      </c>
      <c r="AK224" s="3">
        <f>IFERROR(__xludf.DUMMYFUNCTION("""COMPUTED_VALUE"""),0.0)</f>
        <v>0</v>
      </c>
      <c r="AL224" s="3">
        <f>IFERROR(__xludf.DUMMYFUNCTION("""COMPUTED_VALUE"""),0.0)</f>
        <v>0</v>
      </c>
      <c r="AM224" s="3">
        <f>IFERROR(__xludf.DUMMYFUNCTION("""COMPUTED_VALUE"""),0.0)</f>
        <v>0</v>
      </c>
      <c r="AN224" s="3">
        <f>IFERROR(__xludf.DUMMYFUNCTION("""COMPUTED_VALUE"""),0.0)</f>
        <v>0</v>
      </c>
      <c r="AO224" s="3">
        <f>IFERROR(__xludf.DUMMYFUNCTION("""COMPUTED_VALUE"""),0.0)</f>
        <v>0</v>
      </c>
      <c r="AP224" s="3">
        <f>IFERROR(__xludf.DUMMYFUNCTION("""COMPUTED_VALUE"""),0.0)</f>
        <v>0</v>
      </c>
      <c r="AQ224" s="3">
        <f>IFERROR(__xludf.DUMMYFUNCTION("""COMPUTED_VALUE"""),0.0)</f>
        <v>0</v>
      </c>
      <c r="AR224" s="3">
        <f>IFERROR(__xludf.DUMMYFUNCTION("""COMPUTED_VALUE"""),0.0)</f>
        <v>0</v>
      </c>
      <c r="AS224" s="3">
        <f>IFERROR(__xludf.DUMMYFUNCTION("""COMPUTED_VALUE"""),0.0)</f>
        <v>0</v>
      </c>
      <c r="AT224" s="3">
        <f>IFERROR(__xludf.DUMMYFUNCTION("""COMPUTED_VALUE"""),0.0)</f>
        <v>0</v>
      </c>
      <c r="AU224" s="3">
        <f>IFERROR(__xludf.DUMMYFUNCTION("""COMPUTED_VALUE"""),0.0)</f>
        <v>0</v>
      </c>
      <c r="AV224" s="3">
        <f>IFERROR(__xludf.DUMMYFUNCTION("""COMPUTED_VALUE"""),0.0)</f>
        <v>0</v>
      </c>
      <c r="AW224" s="3">
        <f>IFERROR(__xludf.DUMMYFUNCTION("""COMPUTED_VALUE"""),0.0)</f>
        <v>0</v>
      </c>
      <c r="AX224" s="3">
        <f>IFERROR(__xludf.DUMMYFUNCTION("""COMPUTED_VALUE"""),0.0)</f>
        <v>0</v>
      </c>
      <c r="AY224" s="3">
        <f>IFERROR(__xludf.DUMMYFUNCTION("""COMPUTED_VALUE"""),0.0)</f>
        <v>0</v>
      </c>
      <c r="AZ224" s="3">
        <f>IFERROR(__xludf.DUMMYFUNCTION("""COMPUTED_VALUE"""),0.0)</f>
        <v>0</v>
      </c>
      <c r="BA224" s="3">
        <f>IFERROR(__xludf.DUMMYFUNCTION("""COMPUTED_VALUE"""),0.0)</f>
        <v>0</v>
      </c>
      <c r="BB224" s="3">
        <f>IFERROR(__xludf.DUMMYFUNCTION("""COMPUTED_VALUE"""),0.0)</f>
        <v>0</v>
      </c>
      <c r="BC224" s="3">
        <f>IFERROR(__xludf.DUMMYFUNCTION("""COMPUTED_VALUE"""),0.0)</f>
        <v>0</v>
      </c>
      <c r="BD224" s="3">
        <f>IFERROR(__xludf.DUMMYFUNCTION("""COMPUTED_VALUE"""),0.0)</f>
        <v>0</v>
      </c>
      <c r="BE224" s="3">
        <f>IFERROR(__xludf.DUMMYFUNCTION("""COMPUTED_VALUE"""),0.0)</f>
        <v>0</v>
      </c>
      <c r="BF224" s="3">
        <f>IFERROR(__xludf.DUMMYFUNCTION("""COMPUTED_VALUE"""),0.0)</f>
        <v>0</v>
      </c>
      <c r="BG224" s="3">
        <f>IFERROR(__xludf.DUMMYFUNCTION("""COMPUTED_VALUE"""),0.0)</f>
        <v>0</v>
      </c>
      <c r="BH224" s="3">
        <f>IFERROR(__xludf.DUMMYFUNCTION("""COMPUTED_VALUE"""),0.0)</f>
        <v>0</v>
      </c>
      <c r="BI224" s="3">
        <f>IFERROR(__xludf.DUMMYFUNCTION("""COMPUTED_VALUE"""),1.0)</f>
        <v>1</v>
      </c>
      <c r="BJ224" s="3">
        <f>IFERROR(__xludf.DUMMYFUNCTION("""COMPUTED_VALUE"""),1.0)</f>
        <v>1</v>
      </c>
      <c r="BK224" s="3">
        <f>IFERROR(__xludf.DUMMYFUNCTION("""COMPUTED_VALUE"""),1.0)</f>
        <v>1</v>
      </c>
      <c r="BL224" s="3">
        <f>IFERROR(__xludf.DUMMYFUNCTION("""COMPUTED_VALUE"""),1.0)</f>
        <v>1</v>
      </c>
      <c r="BM224" s="3">
        <f>IFERROR(__xludf.DUMMYFUNCTION("""COMPUTED_VALUE"""),1.0)</f>
        <v>1</v>
      </c>
      <c r="BN224" s="3">
        <f>IFERROR(__xludf.DUMMYFUNCTION("""COMPUTED_VALUE"""),1.0)</f>
        <v>1</v>
      </c>
      <c r="BO224" s="3">
        <f>IFERROR(__xludf.DUMMYFUNCTION("""COMPUTED_VALUE"""),1.0)</f>
        <v>1</v>
      </c>
      <c r="BP224" s="3">
        <f>IFERROR(__xludf.DUMMYFUNCTION("""COMPUTED_VALUE"""),1.0)</f>
        <v>1</v>
      </c>
      <c r="BQ224" s="3">
        <f>IFERROR(__xludf.DUMMYFUNCTION("""COMPUTED_VALUE"""),5.0)</f>
        <v>5</v>
      </c>
      <c r="BR224" s="3">
        <f>IFERROR(__xludf.DUMMYFUNCTION("""COMPUTED_VALUE"""),5.0)</f>
        <v>5</v>
      </c>
      <c r="BS224" s="3">
        <f>IFERROR(__xludf.DUMMYFUNCTION("""COMPUTED_VALUE"""),5.0)</f>
        <v>5</v>
      </c>
      <c r="BT224" s="3">
        <f>IFERROR(__xludf.DUMMYFUNCTION("""COMPUTED_VALUE"""),5.0)</f>
        <v>5</v>
      </c>
      <c r="BU224" s="3">
        <f>IFERROR(__xludf.DUMMYFUNCTION("""COMPUTED_VALUE"""),5.0)</f>
        <v>5</v>
      </c>
      <c r="BV224" s="3">
        <f>IFERROR(__xludf.DUMMYFUNCTION("""COMPUTED_VALUE"""),5.0)</f>
        <v>5</v>
      </c>
      <c r="BW224" s="3">
        <f>IFERROR(__xludf.DUMMYFUNCTION("""COMPUTED_VALUE"""),5.0)</f>
        <v>5</v>
      </c>
      <c r="BX224" s="3">
        <f>IFERROR(__xludf.DUMMYFUNCTION("""COMPUTED_VALUE"""),5.0)</f>
        <v>5</v>
      </c>
      <c r="BY224" s="3">
        <f>IFERROR(__xludf.DUMMYFUNCTION("""COMPUTED_VALUE"""),6.0)</f>
        <v>6</v>
      </c>
      <c r="BZ224" s="3">
        <f>IFERROR(__xludf.DUMMYFUNCTION("""COMPUTED_VALUE"""),6.0)</f>
        <v>6</v>
      </c>
      <c r="CA224" s="3">
        <f>IFERROR(__xludf.DUMMYFUNCTION("""COMPUTED_VALUE"""),6.0)</f>
        <v>6</v>
      </c>
      <c r="CB224" s="3">
        <f>IFERROR(__xludf.DUMMYFUNCTION("""COMPUTED_VALUE"""),6.0)</f>
        <v>6</v>
      </c>
    </row>
    <row r="225">
      <c r="A225" s="3" t="str">
        <f>IFERROR(__xludf.DUMMYFUNCTION("""COMPUTED_VALUE"""),"")</f>
        <v/>
      </c>
      <c r="B225" s="3" t="str">
        <f>IFERROR(__xludf.DUMMYFUNCTION("""COMPUTED_VALUE"""),"United Kingdom")</f>
        <v>United Kingdom</v>
      </c>
      <c r="C225" s="3">
        <f>IFERROR(__xludf.DUMMYFUNCTION("""COMPUTED_VALUE"""),55.3781)</f>
        <v>55.3781</v>
      </c>
      <c r="D225" s="3">
        <f>IFERROR(__xludf.DUMMYFUNCTION("""COMPUTED_VALUE"""),-3.436)</f>
        <v>-3.436</v>
      </c>
      <c r="E225" s="3">
        <f>IFERROR(__xludf.DUMMYFUNCTION("""COMPUTED_VALUE"""),0.0)</f>
        <v>0</v>
      </c>
      <c r="F225" s="3">
        <f>IFERROR(__xludf.DUMMYFUNCTION("""COMPUTED_VALUE"""),0.0)</f>
        <v>0</v>
      </c>
      <c r="G225" s="3">
        <f>IFERROR(__xludf.DUMMYFUNCTION("""COMPUTED_VALUE"""),0.0)</f>
        <v>0</v>
      </c>
      <c r="H225" s="3">
        <f>IFERROR(__xludf.DUMMYFUNCTION("""COMPUTED_VALUE"""),0.0)</f>
        <v>0</v>
      </c>
      <c r="I225" s="3">
        <f>IFERROR(__xludf.DUMMYFUNCTION("""COMPUTED_VALUE"""),0.0)</f>
        <v>0</v>
      </c>
      <c r="J225" s="3">
        <f>IFERROR(__xludf.DUMMYFUNCTION("""COMPUTED_VALUE"""),0.0)</f>
        <v>0</v>
      </c>
      <c r="K225" s="3">
        <f>IFERROR(__xludf.DUMMYFUNCTION("""COMPUTED_VALUE"""),0.0)</f>
        <v>0</v>
      </c>
      <c r="L225" s="3">
        <f>IFERROR(__xludf.DUMMYFUNCTION("""COMPUTED_VALUE"""),0.0)</f>
        <v>0</v>
      </c>
      <c r="M225" s="3">
        <f>IFERROR(__xludf.DUMMYFUNCTION("""COMPUTED_VALUE"""),0.0)</f>
        <v>0</v>
      </c>
      <c r="N225" s="3">
        <f>IFERROR(__xludf.DUMMYFUNCTION("""COMPUTED_VALUE"""),2.0)</f>
        <v>2</v>
      </c>
      <c r="O225" s="3">
        <f>IFERROR(__xludf.DUMMYFUNCTION("""COMPUTED_VALUE"""),2.0)</f>
        <v>2</v>
      </c>
      <c r="P225" s="3">
        <f>IFERROR(__xludf.DUMMYFUNCTION("""COMPUTED_VALUE"""),2.0)</f>
        <v>2</v>
      </c>
      <c r="Q225" s="3">
        <f>IFERROR(__xludf.DUMMYFUNCTION("""COMPUTED_VALUE"""),2.0)</f>
        <v>2</v>
      </c>
      <c r="R225" s="3">
        <f>IFERROR(__xludf.DUMMYFUNCTION("""COMPUTED_VALUE"""),2.0)</f>
        <v>2</v>
      </c>
      <c r="S225" s="3">
        <f>IFERROR(__xludf.DUMMYFUNCTION("""COMPUTED_VALUE"""),2.0)</f>
        <v>2</v>
      </c>
      <c r="T225" s="3">
        <f>IFERROR(__xludf.DUMMYFUNCTION("""COMPUTED_VALUE"""),2.0)</f>
        <v>2</v>
      </c>
      <c r="U225" s="3">
        <f>IFERROR(__xludf.DUMMYFUNCTION("""COMPUTED_VALUE"""),3.0)</f>
        <v>3</v>
      </c>
      <c r="V225" s="3">
        <f>IFERROR(__xludf.DUMMYFUNCTION("""COMPUTED_VALUE"""),3.0)</f>
        <v>3</v>
      </c>
      <c r="W225" s="3">
        <f>IFERROR(__xludf.DUMMYFUNCTION("""COMPUTED_VALUE"""),3.0)</f>
        <v>3</v>
      </c>
      <c r="X225" s="3">
        <f>IFERROR(__xludf.DUMMYFUNCTION("""COMPUTED_VALUE"""),8.0)</f>
        <v>8</v>
      </c>
      <c r="Y225" s="3">
        <f>IFERROR(__xludf.DUMMYFUNCTION("""COMPUTED_VALUE"""),8.0)</f>
        <v>8</v>
      </c>
      <c r="Z225" s="3">
        <f>IFERROR(__xludf.DUMMYFUNCTION("""COMPUTED_VALUE"""),9.0)</f>
        <v>9</v>
      </c>
      <c r="AA225" s="3">
        <f>IFERROR(__xludf.DUMMYFUNCTION("""COMPUTED_VALUE"""),9.0)</f>
        <v>9</v>
      </c>
      <c r="AB225" s="3">
        <f>IFERROR(__xludf.DUMMYFUNCTION("""COMPUTED_VALUE"""),9.0)</f>
        <v>9</v>
      </c>
      <c r="AC225" s="3">
        <f>IFERROR(__xludf.DUMMYFUNCTION("""COMPUTED_VALUE"""),9.0)</f>
        <v>9</v>
      </c>
      <c r="AD225" s="3">
        <f>IFERROR(__xludf.DUMMYFUNCTION("""COMPUTED_VALUE"""),9.0)</f>
        <v>9</v>
      </c>
      <c r="AE225" s="3">
        <f>IFERROR(__xludf.DUMMYFUNCTION("""COMPUTED_VALUE"""),9.0)</f>
        <v>9</v>
      </c>
      <c r="AF225" s="3">
        <f>IFERROR(__xludf.DUMMYFUNCTION("""COMPUTED_VALUE"""),9.0)</f>
        <v>9</v>
      </c>
      <c r="AG225" s="3">
        <f>IFERROR(__xludf.DUMMYFUNCTION("""COMPUTED_VALUE"""),9.0)</f>
        <v>9</v>
      </c>
      <c r="AH225" s="3">
        <f>IFERROR(__xludf.DUMMYFUNCTION("""COMPUTED_VALUE"""),9.0)</f>
        <v>9</v>
      </c>
      <c r="AI225" s="3">
        <f>IFERROR(__xludf.DUMMYFUNCTION("""COMPUTED_VALUE"""),9.0)</f>
        <v>9</v>
      </c>
      <c r="AJ225" s="3">
        <f>IFERROR(__xludf.DUMMYFUNCTION("""COMPUTED_VALUE"""),9.0)</f>
        <v>9</v>
      </c>
      <c r="AK225" s="3">
        <f>IFERROR(__xludf.DUMMYFUNCTION("""COMPUTED_VALUE"""),9.0)</f>
        <v>9</v>
      </c>
      <c r="AL225" s="3">
        <f>IFERROR(__xludf.DUMMYFUNCTION("""COMPUTED_VALUE"""),13.0)</f>
        <v>13</v>
      </c>
      <c r="AM225" s="3">
        <f>IFERROR(__xludf.DUMMYFUNCTION("""COMPUTED_VALUE"""),13.0)</f>
        <v>13</v>
      </c>
      <c r="AN225" s="3">
        <f>IFERROR(__xludf.DUMMYFUNCTION("""COMPUTED_VALUE"""),13.0)</f>
        <v>13</v>
      </c>
      <c r="AO225" s="3">
        <f>IFERROR(__xludf.DUMMYFUNCTION("""COMPUTED_VALUE"""),15.0)</f>
        <v>15</v>
      </c>
      <c r="AP225" s="3">
        <f>IFERROR(__xludf.DUMMYFUNCTION("""COMPUTED_VALUE"""),20.0)</f>
        <v>20</v>
      </c>
      <c r="AQ225" s="3">
        <f>IFERROR(__xludf.DUMMYFUNCTION("""COMPUTED_VALUE"""),23.0)</f>
        <v>23</v>
      </c>
      <c r="AR225" s="3">
        <f>IFERROR(__xludf.DUMMYFUNCTION("""COMPUTED_VALUE"""),36.0)</f>
        <v>36</v>
      </c>
      <c r="AS225" s="3">
        <f>IFERROR(__xludf.DUMMYFUNCTION("""COMPUTED_VALUE"""),40.0)</f>
        <v>40</v>
      </c>
      <c r="AT225" s="3">
        <f>IFERROR(__xludf.DUMMYFUNCTION("""COMPUTED_VALUE"""),51.0)</f>
        <v>51</v>
      </c>
      <c r="AU225" s="3">
        <f>IFERROR(__xludf.DUMMYFUNCTION("""COMPUTED_VALUE"""),85.0)</f>
        <v>85</v>
      </c>
      <c r="AV225" s="3">
        <f>IFERROR(__xludf.DUMMYFUNCTION("""COMPUTED_VALUE"""),115.0)</f>
        <v>115</v>
      </c>
      <c r="AW225" s="3">
        <f>IFERROR(__xludf.DUMMYFUNCTION("""COMPUTED_VALUE"""),163.0)</f>
        <v>163</v>
      </c>
      <c r="AX225" s="3">
        <f>IFERROR(__xludf.DUMMYFUNCTION("""COMPUTED_VALUE"""),206.0)</f>
        <v>206</v>
      </c>
      <c r="AY225" s="3">
        <f>IFERROR(__xludf.DUMMYFUNCTION("""COMPUTED_VALUE"""),273.0)</f>
        <v>273</v>
      </c>
      <c r="AZ225" s="3">
        <f>IFERROR(__xludf.DUMMYFUNCTION("""COMPUTED_VALUE"""),321.0)</f>
        <v>321</v>
      </c>
      <c r="BA225" s="3">
        <f>IFERROR(__xludf.DUMMYFUNCTION("""COMPUTED_VALUE"""),382.0)</f>
        <v>382</v>
      </c>
      <c r="BB225" s="3">
        <f>IFERROR(__xludf.DUMMYFUNCTION("""COMPUTED_VALUE"""),456.0)</f>
        <v>456</v>
      </c>
      <c r="BC225" s="3">
        <f>IFERROR(__xludf.DUMMYFUNCTION("""COMPUTED_VALUE"""),456.0)</f>
        <v>456</v>
      </c>
      <c r="BD225" s="3">
        <f>IFERROR(__xludf.DUMMYFUNCTION("""COMPUTED_VALUE"""),798.0)</f>
        <v>798</v>
      </c>
      <c r="BE225" s="3">
        <f>IFERROR(__xludf.DUMMYFUNCTION("""COMPUTED_VALUE"""),1140.0)</f>
        <v>1140</v>
      </c>
      <c r="BF225" s="3">
        <f>IFERROR(__xludf.DUMMYFUNCTION("""COMPUTED_VALUE"""),1140.0)</f>
        <v>1140</v>
      </c>
      <c r="BG225" s="3">
        <f>IFERROR(__xludf.DUMMYFUNCTION("""COMPUTED_VALUE"""),1543.0)</f>
        <v>1543</v>
      </c>
      <c r="BH225" s="3">
        <f>IFERROR(__xludf.DUMMYFUNCTION("""COMPUTED_VALUE"""),1950.0)</f>
        <v>1950</v>
      </c>
      <c r="BI225" s="3">
        <f>IFERROR(__xludf.DUMMYFUNCTION("""COMPUTED_VALUE"""),2626.0)</f>
        <v>2626</v>
      </c>
      <c r="BJ225" s="3">
        <f>IFERROR(__xludf.DUMMYFUNCTION("""COMPUTED_VALUE"""),2689.0)</f>
        <v>2689</v>
      </c>
      <c r="BK225" s="3">
        <f>IFERROR(__xludf.DUMMYFUNCTION("""COMPUTED_VALUE"""),3983.0)</f>
        <v>3983</v>
      </c>
      <c r="BL225" s="3">
        <f>IFERROR(__xludf.DUMMYFUNCTION("""COMPUTED_VALUE"""),5018.0)</f>
        <v>5018</v>
      </c>
      <c r="BM225" s="3">
        <f>IFERROR(__xludf.DUMMYFUNCTION("""COMPUTED_VALUE"""),5683.0)</f>
        <v>5683</v>
      </c>
      <c r="BN225" s="3">
        <f>IFERROR(__xludf.DUMMYFUNCTION("""COMPUTED_VALUE"""),6650.0)</f>
        <v>6650</v>
      </c>
      <c r="BO225" s="3">
        <f>IFERROR(__xludf.DUMMYFUNCTION("""COMPUTED_VALUE"""),8077.0)</f>
        <v>8077</v>
      </c>
      <c r="BP225" s="3">
        <f>IFERROR(__xludf.DUMMYFUNCTION("""COMPUTED_VALUE"""),9529.0)</f>
        <v>9529</v>
      </c>
      <c r="BQ225" s="3">
        <f>IFERROR(__xludf.DUMMYFUNCTION("""COMPUTED_VALUE"""),11658.0)</f>
        <v>11658</v>
      </c>
      <c r="BR225" s="3">
        <f>IFERROR(__xludf.DUMMYFUNCTION("""COMPUTED_VALUE"""),14543.0)</f>
        <v>14543</v>
      </c>
      <c r="BS225" s="3">
        <f>IFERROR(__xludf.DUMMYFUNCTION("""COMPUTED_VALUE"""),17089.0)</f>
        <v>17089</v>
      </c>
      <c r="BT225" s="3">
        <f>IFERROR(__xludf.DUMMYFUNCTION("""COMPUTED_VALUE"""),19522.0)</f>
        <v>19522</v>
      </c>
      <c r="BU225" s="3">
        <f>IFERROR(__xludf.DUMMYFUNCTION("""COMPUTED_VALUE"""),22141.0)</f>
        <v>22141</v>
      </c>
      <c r="BV225" s="3">
        <f>IFERROR(__xludf.DUMMYFUNCTION("""COMPUTED_VALUE"""),25150.0)</f>
        <v>25150</v>
      </c>
      <c r="BW225" s="3">
        <f>IFERROR(__xludf.DUMMYFUNCTION("""COMPUTED_VALUE"""),29474.0)</f>
        <v>29474</v>
      </c>
      <c r="BX225" s="3">
        <f>IFERROR(__xludf.DUMMYFUNCTION("""COMPUTED_VALUE"""),33718.0)</f>
        <v>33718</v>
      </c>
      <c r="BY225" s="3">
        <f>IFERROR(__xludf.DUMMYFUNCTION("""COMPUTED_VALUE"""),38168.0)</f>
        <v>38168</v>
      </c>
      <c r="BZ225" s="3">
        <f>IFERROR(__xludf.DUMMYFUNCTION("""COMPUTED_VALUE"""),41903.0)</f>
        <v>41903</v>
      </c>
      <c r="CA225" s="3">
        <f>IFERROR(__xludf.DUMMYFUNCTION("""COMPUTED_VALUE"""),47806.0)</f>
        <v>47806</v>
      </c>
      <c r="CB225" s="3">
        <f>IFERROR(__xludf.DUMMYFUNCTION("""COMPUTED_VALUE"""),51608.0)</f>
        <v>51608</v>
      </c>
    </row>
    <row r="226">
      <c r="A226" s="3" t="str">
        <f>IFERROR(__xludf.DUMMYFUNCTION("""COMPUTED_VALUE"""),"")</f>
        <v/>
      </c>
      <c r="B226" s="3" t="str">
        <f>IFERROR(__xludf.DUMMYFUNCTION("""COMPUTED_VALUE"""),"Uruguay")</f>
        <v>Uruguay</v>
      </c>
      <c r="C226" s="3">
        <f>IFERROR(__xludf.DUMMYFUNCTION("""COMPUTED_VALUE"""),-32.5228)</f>
        <v>-32.5228</v>
      </c>
      <c r="D226" s="3">
        <f>IFERROR(__xludf.DUMMYFUNCTION("""COMPUTED_VALUE"""),-55.7658)</f>
        <v>-55.7658</v>
      </c>
      <c r="E226" s="3">
        <f>IFERROR(__xludf.DUMMYFUNCTION("""COMPUTED_VALUE"""),0.0)</f>
        <v>0</v>
      </c>
      <c r="F226" s="3">
        <f>IFERROR(__xludf.DUMMYFUNCTION("""COMPUTED_VALUE"""),0.0)</f>
        <v>0</v>
      </c>
      <c r="G226" s="3">
        <f>IFERROR(__xludf.DUMMYFUNCTION("""COMPUTED_VALUE"""),0.0)</f>
        <v>0</v>
      </c>
      <c r="H226" s="3">
        <f>IFERROR(__xludf.DUMMYFUNCTION("""COMPUTED_VALUE"""),0.0)</f>
        <v>0</v>
      </c>
      <c r="I226" s="3">
        <f>IFERROR(__xludf.DUMMYFUNCTION("""COMPUTED_VALUE"""),0.0)</f>
        <v>0</v>
      </c>
      <c r="J226" s="3">
        <f>IFERROR(__xludf.DUMMYFUNCTION("""COMPUTED_VALUE"""),0.0)</f>
        <v>0</v>
      </c>
      <c r="K226" s="3">
        <f>IFERROR(__xludf.DUMMYFUNCTION("""COMPUTED_VALUE"""),0.0)</f>
        <v>0</v>
      </c>
      <c r="L226" s="3">
        <f>IFERROR(__xludf.DUMMYFUNCTION("""COMPUTED_VALUE"""),0.0)</f>
        <v>0</v>
      </c>
      <c r="M226" s="3">
        <f>IFERROR(__xludf.DUMMYFUNCTION("""COMPUTED_VALUE"""),0.0)</f>
        <v>0</v>
      </c>
      <c r="N226" s="3">
        <f>IFERROR(__xludf.DUMMYFUNCTION("""COMPUTED_VALUE"""),0.0)</f>
        <v>0</v>
      </c>
      <c r="O226" s="3">
        <f>IFERROR(__xludf.DUMMYFUNCTION("""COMPUTED_VALUE"""),0.0)</f>
        <v>0</v>
      </c>
      <c r="P226" s="3">
        <f>IFERROR(__xludf.DUMMYFUNCTION("""COMPUTED_VALUE"""),0.0)</f>
        <v>0</v>
      </c>
      <c r="Q226" s="3">
        <f>IFERROR(__xludf.DUMMYFUNCTION("""COMPUTED_VALUE"""),0.0)</f>
        <v>0</v>
      </c>
      <c r="R226" s="3">
        <f>IFERROR(__xludf.DUMMYFUNCTION("""COMPUTED_VALUE"""),0.0)</f>
        <v>0</v>
      </c>
      <c r="S226" s="3">
        <f>IFERROR(__xludf.DUMMYFUNCTION("""COMPUTED_VALUE"""),0.0)</f>
        <v>0</v>
      </c>
      <c r="T226" s="3">
        <f>IFERROR(__xludf.DUMMYFUNCTION("""COMPUTED_VALUE"""),0.0)</f>
        <v>0</v>
      </c>
      <c r="U226" s="3">
        <f>IFERROR(__xludf.DUMMYFUNCTION("""COMPUTED_VALUE"""),0.0)</f>
        <v>0</v>
      </c>
      <c r="V226" s="3">
        <f>IFERROR(__xludf.DUMMYFUNCTION("""COMPUTED_VALUE"""),0.0)</f>
        <v>0</v>
      </c>
      <c r="W226" s="3">
        <f>IFERROR(__xludf.DUMMYFUNCTION("""COMPUTED_VALUE"""),0.0)</f>
        <v>0</v>
      </c>
      <c r="X226" s="3">
        <f>IFERROR(__xludf.DUMMYFUNCTION("""COMPUTED_VALUE"""),0.0)</f>
        <v>0</v>
      </c>
      <c r="Y226" s="3">
        <f>IFERROR(__xludf.DUMMYFUNCTION("""COMPUTED_VALUE"""),0.0)</f>
        <v>0</v>
      </c>
      <c r="Z226" s="3">
        <f>IFERROR(__xludf.DUMMYFUNCTION("""COMPUTED_VALUE"""),0.0)</f>
        <v>0</v>
      </c>
      <c r="AA226" s="3">
        <f>IFERROR(__xludf.DUMMYFUNCTION("""COMPUTED_VALUE"""),0.0)</f>
        <v>0</v>
      </c>
      <c r="AB226" s="3">
        <f>IFERROR(__xludf.DUMMYFUNCTION("""COMPUTED_VALUE"""),0.0)</f>
        <v>0</v>
      </c>
      <c r="AC226" s="3">
        <f>IFERROR(__xludf.DUMMYFUNCTION("""COMPUTED_VALUE"""),0.0)</f>
        <v>0</v>
      </c>
      <c r="AD226" s="3">
        <f>IFERROR(__xludf.DUMMYFUNCTION("""COMPUTED_VALUE"""),0.0)</f>
        <v>0</v>
      </c>
      <c r="AE226" s="3">
        <f>IFERROR(__xludf.DUMMYFUNCTION("""COMPUTED_VALUE"""),0.0)</f>
        <v>0</v>
      </c>
      <c r="AF226" s="3">
        <f>IFERROR(__xludf.DUMMYFUNCTION("""COMPUTED_VALUE"""),0.0)</f>
        <v>0</v>
      </c>
      <c r="AG226" s="3">
        <f>IFERROR(__xludf.DUMMYFUNCTION("""COMPUTED_VALUE"""),0.0)</f>
        <v>0</v>
      </c>
      <c r="AH226" s="3">
        <f>IFERROR(__xludf.DUMMYFUNCTION("""COMPUTED_VALUE"""),0.0)</f>
        <v>0</v>
      </c>
      <c r="AI226" s="3">
        <f>IFERROR(__xludf.DUMMYFUNCTION("""COMPUTED_VALUE"""),0.0)</f>
        <v>0</v>
      </c>
      <c r="AJ226" s="3">
        <f>IFERROR(__xludf.DUMMYFUNCTION("""COMPUTED_VALUE"""),0.0)</f>
        <v>0</v>
      </c>
      <c r="AK226" s="3">
        <f>IFERROR(__xludf.DUMMYFUNCTION("""COMPUTED_VALUE"""),0.0)</f>
        <v>0</v>
      </c>
      <c r="AL226" s="3">
        <f>IFERROR(__xludf.DUMMYFUNCTION("""COMPUTED_VALUE"""),0.0)</f>
        <v>0</v>
      </c>
      <c r="AM226" s="3">
        <f>IFERROR(__xludf.DUMMYFUNCTION("""COMPUTED_VALUE"""),0.0)</f>
        <v>0</v>
      </c>
      <c r="AN226" s="3">
        <f>IFERROR(__xludf.DUMMYFUNCTION("""COMPUTED_VALUE"""),0.0)</f>
        <v>0</v>
      </c>
      <c r="AO226" s="3">
        <f>IFERROR(__xludf.DUMMYFUNCTION("""COMPUTED_VALUE"""),0.0)</f>
        <v>0</v>
      </c>
      <c r="AP226" s="3">
        <f>IFERROR(__xludf.DUMMYFUNCTION("""COMPUTED_VALUE"""),0.0)</f>
        <v>0</v>
      </c>
      <c r="AQ226" s="3">
        <f>IFERROR(__xludf.DUMMYFUNCTION("""COMPUTED_VALUE"""),0.0)</f>
        <v>0</v>
      </c>
      <c r="AR226" s="3">
        <f>IFERROR(__xludf.DUMMYFUNCTION("""COMPUTED_VALUE"""),0.0)</f>
        <v>0</v>
      </c>
      <c r="AS226" s="3">
        <f>IFERROR(__xludf.DUMMYFUNCTION("""COMPUTED_VALUE"""),0.0)</f>
        <v>0</v>
      </c>
      <c r="AT226" s="3">
        <f>IFERROR(__xludf.DUMMYFUNCTION("""COMPUTED_VALUE"""),0.0)</f>
        <v>0</v>
      </c>
      <c r="AU226" s="3">
        <f>IFERROR(__xludf.DUMMYFUNCTION("""COMPUTED_VALUE"""),0.0)</f>
        <v>0</v>
      </c>
      <c r="AV226" s="3">
        <f>IFERROR(__xludf.DUMMYFUNCTION("""COMPUTED_VALUE"""),0.0)</f>
        <v>0</v>
      </c>
      <c r="AW226" s="3">
        <f>IFERROR(__xludf.DUMMYFUNCTION("""COMPUTED_VALUE"""),0.0)</f>
        <v>0</v>
      </c>
      <c r="AX226" s="3">
        <f>IFERROR(__xludf.DUMMYFUNCTION("""COMPUTED_VALUE"""),0.0)</f>
        <v>0</v>
      </c>
      <c r="AY226" s="3">
        <f>IFERROR(__xludf.DUMMYFUNCTION("""COMPUTED_VALUE"""),0.0)</f>
        <v>0</v>
      </c>
      <c r="AZ226" s="3">
        <f>IFERROR(__xludf.DUMMYFUNCTION("""COMPUTED_VALUE"""),0.0)</f>
        <v>0</v>
      </c>
      <c r="BA226" s="3">
        <f>IFERROR(__xludf.DUMMYFUNCTION("""COMPUTED_VALUE"""),0.0)</f>
        <v>0</v>
      </c>
      <c r="BB226" s="3">
        <f>IFERROR(__xludf.DUMMYFUNCTION("""COMPUTED_VALUE"""),0.0)</f>
        <v>0</v>
      </c>
      <c r="BC226" s="3">
        <f>IFERROR(__xludf.DUMMYFUNCTION("""COMPUTED_VALUE"""),0.0)</f>
        <v>0</v>
      </c>
      <c r="BD226" s="3">
        <f>IFERROR(__xludf.DUMMYFUNCTION("""COMPUTED_VALUE"""),0.0)</f>
        <v>0</v>
      </c>
      <c r="BE226" s="3">
        <f>IFERROR(__xludf.DUMMYFUNCTION("""COMPUTED_VALUE"""),4.0)</f>
        <v>4</v>
      </c>
      <c r="BF226" s="3">
        <f>IFERROR(__xludf.DUMMYFUNCTION("""COMPUTED_VALUE"""),4.0)</f>
        <v>4</v>
      </c>
      <c r="BG226" s="3">
        <f>IFERROR(__xludf.DUMMYFUNCTION("""COMPUTED_VALUE"""),8.0)</f>
        <v>8</v>
      </c>
      <c r="BH226" s="3">
        <f>IFERROR(__xludf.DUMMYFUNCTION("""COMPUTED_VALUE"""),29.0)</f>
        <v>29</v>
      </c>
      <c r="BI226" s="3">
        <f>IFERROR(__xludf.DUMMYFUNCTION("""COMPUTED_VALUE"""),50.0)</f>
        <v>50</v>
      </c>
      <c r="BJ226" s="3">
        <f>IFERROR(__xludf.DUMMYFUNCTION("""COMPUTED_VALUE"""),79.0)</f>
        <v>79</v>
      </c>
      <c r="BK226" s="3">
        <f>IFERROR(__xludf.DUMMYFUNCTION("""COMPUTED_VALUE"""),94.0)</f>
        <v>94</v>
      </c>
      <c r="BL226" s="3">
        <f>IFERROR(__xludf.DUMMYFUNCTION("""COMPUTED_VALUE"""),110.0)</f>
        <v>110</v>
      </c>
      <c r="BM226" s="3">
        <f>IFERROR(__xludf.DUMMYFUNCTION("""COMPUTED_VALUE"""),158.0)</f>
        <v>158</v>
      </c>
      <c r="BN226" s="3">
        <f>IFERROR(__xludf.DUMMYFUNCTION("""COMPUTED_VALUE"""),162.0)</f>
        <v>162</v>
      </c>
      <c r="BO226" s="3">
        <f>IFERROR(__xludf.DUMMYFUNCTION("""COMPUTED_VALUE"""),162.0)</f>
        <v>162</v>
      </c>
      <c r="BP226" s="3">
        <f>IFERROR(__xludf.DUMMYFUNCTION("""COMPUTED_VALUE"""),189.0)</f>
        <v>189</v>
      </c>
      <c r="BQ226" s="3">
        <f>IFERROR(__xludf.DUMMYFUNCTION("""COMPUTED_VALUE"""),217.0)</f>
        <v>217</v>
      </c>
      <c r="BR226" s="3">
        <f>IFERROR(__xludf.DUMMYFUNCTION("""COMPUTED_VALUE"""),238.0)</f>
        <v>238</v>
      </c>
      <c r="BS226" s="3">
        <f>IFERROR(__xludf.DUMMYFUNCTION("""COMPUTED_VALUE"""),274.0)</f>
        <v>274</v>
      </c>
      <c r="BT226" s="3">
        <f>IFERROR(__xludf.DUMMYFUNCTION("""COMPUTED_VALUE"""),304.0)</f>
        <v>304</v>
      </c>
      <c r="BU226" s="3">
        <f>IFERROR(__xludf.DUMMYFUNCTION("""COMPUTED_VALUE"""),310.0)</f>
        <v>310</v>
      </c>
      <c r="BV226" s="3">
        <f>IFERROR(__xludf.DUMMYFUNCTION("""COMPUTED_VALUE"""),338.0)</f>
        <v>338</v>
      </c>
      <c r="BW226" s="3">
        <f>IFERROR(__xludf.DUMMYFUNCTION("""COMPUTED_VALUE"""),338.0)</f>
        <v>338</v>
      </c>
      <c r="BX226" s="3">
        <f>IFERROR(__xludf.DUMMYFUNCTION("""COMPUTED_VALUE"""),350.0)</f>
        <v>350</v>
      </c>
      <c r="BY226" s="3">
        <f>IFERROR(__xludf.DUMMYFUNCTION("""COMPUTED_VALUE"""),369.0)</f>
        <v>369</v>
      </c>
      <c r="BZ226" s="3">
        <f>IFERROR(__xludf.DUMMYFUNCTION("""COMPUTED_VALUE"""),400.0)</f>
        <v>400</v>
      </c>
      <c r="CA226" s="3">
        <f>IFERROR(__xludf.DUMMYFUNCTION("""COMPUTED_VALUE"""),400.0)</f>
        <v>400</v>
      </c>
      <c r="CB226" s="3">
        <f>IFERROR(__xludf.DUMMYFUNCTION("""COMPUTED_VALUE"""),406.0)</f>
        <v>406</v>
      </c>
    </row>
    <row r="227">
      <c r="A227" s="3" t="str">
        <f>IFERROR(__xludf.DUMMYFUNCTION("""COMPUTED_VALUE"""),"")</f>
        <v/>
      </c>
      <c r="B227" s="3" t="str">
        <f>IFERROR(__xludf.DUMMYFUNCTION("""COMPUTED_VALUE"""),"US")</f>
        <v>US</v>
      </c>
      <c r="C227" s="3">
        <f>IFERROR(__xludf.DUMMYFUNCTION("""COMPUTED_VALUE"""),37.0902)</f>
        <v>37.0902</v>
      </c>
      <c r="D227" s="3">
        <f>IFERROR(__xludf.DUMMYFUNCTION("""COMPUTED_VALUE"""),-95.7129)</f>
        <v>-95.7129</v>
      </c>
      <c r="E227" s="3">
        <f>IFERROR(__xludf.DUMMYFUNCTION("""COMPUTED_VALUE"""),1.0)</f>
        <v>1</v>
      </c>
      <c r="F227" s="3">
        <f>IFERROR(__xludf.DUMMYFUNCTION("""COMPUTED_VALUE"""),1.0)</f>
        <v>1</v>
      </c>
      <c r="G227" s="3">
        <f>IFERROR(__xludf.DUMMYFUNCTION("""COMPUTED_VALUE"""),2.0)</f>
        <v>2</v>
      </c>
      <c r="H227" s="3">
        <f>IFERROR(__xludf.DUMMYFUNCTION("""COMPUTED_VALUE"""),2.0)</f>
        <v>2</v>
      </c>
      <c r="I227" s="3">
        <f>IFERROR(__xludf.DUMMYFUNCTION("""COMPUTED_VALUE"""),5.0)</f>
        <v>5</v>
      </c>
      <c r="J227" s="3">
        <f>IFERROR(__xludf.DUMMYFUNCTION("""COMPUTED_VALUE"""),5.0)</f>
        <v>5</v>
      </c>
      <c r="K227" s="3">
        <f>IFERROR(__xludf.DUMMYFUNCTION("""COMPUTED_VALUE"""),5.0)</f>
        <v>5</v>
      </c>
      <c r="L227" s="3">
        <f>IFERROR(__xludf.DUMMYFUNCTION("""COMPUTED_VALUE"""),5.0)</f>
        <v>5</v>
      </c>
      <c r="M227" s="3">
        <f>IFERROR(__xludf.DUMMYFUNCTION("""COMPUTED_VALUE"""),5.0)</f>
        <v>5</v>
      </c>
      <c r="N227" s="3">
        <f>IFERROR(__xludf.DUMMYFUNCTION("""COMPUTED_VALUE"""),7.0)</f>
        <v>7</v>
      </c>
      <c r="O227" s="3">
        <f>IFERROR(__xludf.DUMMYFUNCTION("""COMPUTED_VALUE"""),8.0)</f>
        <v>8</v>
      </c>
      <c r="P227" s="3">
        <f>IFERROR(__xludf.DUMMYFUNCTION("""COMPUTED_VALUE"""),8.0)</f>
        <v>8</v>
      </c>
      <c r="Q227" s="3">
        <f>IFERROR(__xludf.DUMMYFUNCTION("""COMPUTED_VALUE"""),11.0)</f>
        <v>11</v>
      </c>
      <c r="R227" s="3">
        <f>IFERROR(__xludf.DUMMYFUNCTION("""COMPUTED_VALUE"""),11.0)</f>
        <v>11</v>
      </c>
      <c r="S227" s="3">
        <f>IFERROR(__xludf.DUMMYFUNCTION("""COMPUTED_VALUE"""),11.0)</f>
        <v>11</v>
      </c>
      <c r="T227" s="3">
        <f>IFERROR(__xludf.DUMMYFUNCTION("""COMPUTED_VALUE"""),11.0)</f>
        <v>11</v>
      </c>
      <c r="U227" s="3">
        <f>IFERROR(__xludf.DUMMYFUNCTION("""COMPUTED_VALUE"""),11.0)</f>
        <v>11</v>
      </c>
      <c r="V227" s="3">
        <f>IFERROR(__xludf.DUMMYFUNCTION("""COMPUTED_VALUE"""),11.0)</f>
        <v>11</v>
      </c>
      <c r="W227" s="3">
        <f>IFERROR(__xludf.DUMMYFUNCTION("""COMPUTED_VALUE"""),11.0)</f>
        <v>11</v>
      </c>
      <c r="X227" s="3">
        <f>IFERROR(__xludf.DUMMYFUNCTION("""COMPUTED_VALUE"""),11.0)</f>
        <v>11</v>
      </c>
      <c r="Y227" s="3">
        <f>IFERROR(__xludf.DUMMYFUNCTION("""COMPUTED_VALUE"""),12.0)</f>
        <v>12</v>
      </c>
      <c r="Z227" s="3">
        <f>IFERROR(__xludf.DUMMYFUNCTION("""COMPUTED_VALUE"""),12.0)</f>
        <v>12</v>
      </c>
      <c r="AA227" s="3">
        <f>IFERROR(__xludf.DUMMYFUNCTION("""COMPUTED_VALUE"""),13.0)</f>
        <v>13</v>
      </c>
      <c r="AB227" s="3">
        <f>IFERROR(__xludf.DUMMYFUNCTION("""COMPUTED_VALUE"""),13.0)</f>
        <v>13</v>
      </c>
      <c r="AC227" s="3">
        <f>IFERROR(__xludf.DUMMYFUNCTION("""COMPUTED_VALUE"""),13.0)</f>
        <v>13</v>
      </c>
      <c r="AD227" s="3">
        <f>IFERROR(__xludf.DUMMYFUNCTION("""COMPUTED_VALUE"""),13.0)</f>
        <v>13</v>
      </c>
      <c r="AE227" s="3">
        <f>IFERROR(__xludf.DUMMYFUNCTION("""COMPUTED_VALUE"""),13.0)</f>
        <v>13</v>
      </c>
      <c r="AF227" s="3">
        <f>IFERROR(__xludf.DUMMYFUNCTION("""COMPUTED_VALUE"""),13.0)</f>
        <v>13</v>
      </c>
      <c r="AG227" s="3">
        <f>IFERROR(__xludf.DUMMYFUNCTION("""COMPUTED_VALUE"""),13.0)</f>
        <v>13</v>
      </c>
      <c r="AH227" s="3">
        <f>IFERROR(__xludf.DUMMYFUNCTION("""COMPUTED_VALUE"""),13.0)</f>
        <v>13</v>
      </c>
      <c r="AI227" s="3">
        <f>IFERROR(__xludf.DUMMYFUNCTION("""COMPUTED_VALUE"""),15.0)</f>
        <v>15</v>
      </c>
      <c r="AJ227" s="3">
        <f>IFERROR(__xludf.DUMMYFUNCTION("""COMPUTED_VALUE"""),15.0)</f>
        <v>15</v>
      </c>
      <c r="AK227" s="3">
        <f>IFERROR(__xludf.DUMMYFUNCTION("""COMPUTED_VALUE"""),15.0)</f>
        <v>15</v>
      </c>
      <c r="AL227" s="3">
        <f>IFERROR(__xludf.DUMMYFUNCTION("""COMPUTED_VALUE"""),51.0)</f>
        <v>51</v>
      </c>
      <c r="AM227" s="3">
        <f>IFERROR(__xludf.DUMMYFUNCTION("""COMPUTED_VALUE"""),51.0)</f>
        <v>51</v>
      </c>
      <c r="AN227" s="3">
        <f>IFERROR(__xludf.DUMMYFUNCTION("""COMPUTED_VALUE"""),57.0)</f>
        <v>57</v>
      </c>
      <c r="AO227" s="3">
        <f>IFERROR(__xludf.DUMMYFUNCTION("""COMPUTED_VALUE"""),58.0)</f>
        <v>58</v>
      </c>
      <c r="AP227" s="3">
        <f>IFERROR(__xludf.DUMMYFUNCTION("""COMPUTED_VALUE"""),60.0)</f>
        <v>60</v>
      </c>
      <c r="AQ227" s="3">
        <f>IFERROR(__xludf.DUMMYFUNCTION("""COMPUTED_VALUE"""),68.0)</f>
        <v>68</v>
      </c>
      <c r="AR227" s="3">
        <f>IFERROR(__xludf.DUMMYFUNCTION("""COMPUTED_VALUE"""),74.0)</f>
        <v>74</v>
      </c>
      <c r="AS227" s="3">
        <f>IFERROR(__xludf.DUMMYFUNCTION("""COMPUTED_VALUE"""),98.0)</f>
        <v>98</v>
      </c>
      <c r="AT227" s="3">
        <f>IFERROR(__xludf.DUMMYFUNCTION("""COMPUTED_VALUE"""),118.0)</f>
        <v>118</v>
      </c>
      <c r="AU227" s="3">
        <f>IFERROR(__xludf.DUMMYFUNCTION("""COMPUTED_VALUE"""),149.0)</f>
        <v>149</v>
      </c>
      <c r="AV227" s="3">
        <f>IFERROR(__xludf.DUMMYFUNCTION("""COMPUTED_VALUE"""),217.0)</f>
        <v>217</v>
      </c>
      <c r="AW227" s="3">
        <f>IFERROR(__xludf.DUMMYFUNCTION("""COMPUTED_VALUE"""),262.0)</f>
        <v>262</v>
      </c>
      <c r="AX227" s="3">
        <f>IFERROR(__xludf.DUMMYFUNCTION("""COMPUTED_VALUE"""),402.0)</f>
        <v>402</v>
      </c>
      <c r="AY227" s="3">
        <f>IFERROR(__xludf.DUMMYFUNCTION("""COMPUTED_VALUE"""),518.0)</f>
        <v>518</v>
      </c>
      <c r="AZ227" s="3">
        <f>IFERROR(__xludf.DUMMYFUNCTION("""COMPUTED_VALUE"""),583.0)</f>
        <v>583</v>
      </c>
      <c r="BA227" s="3">
        <f>IFERROR(__xludf.DUMMYFUNCTION("""COMPUTED_VALUE"""),959.0)</f>
        <v>959</v>
      </c>
      <c r="BB227" s="3">
        <f>IFERROR(__xludf.DUMMYFUNCTION("""COMPUTED_VALUE"""),1281.0)</f>
        <v>1281</v>
      </c>
      <c r="BC227" s="3">
        <f>IFERROR(__xludf.DUMMYFUNCTION("""COMPUTED_VALUE"""),1663.0)</f>
        <v>1663</v>
      </c>
      <c r="BD227" s="3">
        <f>IFERROR(__xludf.DUMMYFUNCTION("""COMPUTED_VALUE"""),2179.0)</f>
        <v>2179</v>
      </c>
      <c r="BE227" s="3">
        <f>IFERROR(__xludf.DUMMYFUNCTION("""COMPUTED_VALUE"""),2727.0)</f>
        <v>2727</v>
      </c>
      <c r="BF227" s="3">
        <f>IFERROR(__xludf.DUMMYFUNCTION("""COMPUTED_VALUE"""),3499.0)</f>
        <v>3499</v>
      </c>
      <c r="BG227" s="3">
        <f>IFERROR(__xludf.DUMMYFUNCTION("""COMPUTED_VALUE"""),4632.0)</f>
        <v>4632</v>
      </c>
      <c r="BH227" s="3">
        <f>IFERROR(__xludf.DUMMYFUNCTION("""COMPUTED_VALUE"""),6421.0)</f>
        <v>6421</v>
      </c>
      <c r="BI227" s="3">
        <f>IFERROR(__xludf.DUMMYFUNCTION("""COMPUTED_VALUE"""),7783.0)</f>
        <v>7783</v>
      </c>
      <c r="BJ227" s="3">
        <f>IFERROR(__xludf.DUMMYFUNCTION("""COMPUTED_VALUE"""),13677.0)</f>
        <v>13677</v>
      </c>
      <c r="BK227" s="3">
        <f>IFERROR(__xludf.DUMMYFUNCTION("""COMPUTED_VALUE"""),19100.0)</f>
        <v>19100</v>
      </c>
      <c r="BL227" s="3">
        <f>IFERROR(__xludf.DUMMYFUNCTION("""COMPUTED_VALUE"""),25489.0)</f>
        <v>25489</v>
      </c>
      <c r="BM227" s="3">
        <f>IFERROR(__xludf.DUMMYFUNCTION("""COMPUTED_VALUE"""),33276.0)</f>
        <v>33276</v>
      </c>
      <c r="BN227" s="3">
        <f>IFERROR(__xludf.DUMMYFUNCTION("""COMPUTED_VALUE"""),43847.0)</f>
        <v>43847</v>
      </c>
      <c r="BO227" s="3">
        <f>IFERROR(__xludf.DUMMYFUNCTION("""COMPUTED_VALUE"""),53740.0)</f>
        <v>53740</v>
      </c>
      <c r="BP227" s="3">
        <f>IFERROR(__xludf.DUMMYFUNCTION("""COMPUTED_VALUE"""),65778.0)</f>
        <v>65778</v>
      </c>
      <c r="BQ227" s="3">
        <f>IFERROR(__xludf.DUMMYFUNCTION("""COMPUTED_VALUE"""),83836.0)</f>
        <v>83836</v>
      </c>
      <c r="BR227" s="3">
        <f>IFERROR(__xludf.DUMMYFUNCTION("""COMPUTED_VALUE"""),101657.0)</f>
        <v>101657</v>
      </c>
      <c r="BS227" s="3">
        <f>IFERROR(__xludf.DUMMYFUNCTION("""COMPUTED_VALUE"""),121478.0)</f>
        <v>121478</v>
      </c>
      <c r="BT227" s="3">
        <f>IFERROR(__xludf.DUMMYFUNCTION("""COMPUTED_VALUE"""),140886.0)</f>
        <v>140886</v>
      </c>
      <c r="BU227" s="3">
        <f>IFERROR(__xludf.DUMMYFUNCTION("""COMPUTED_VALUE"""),161807.0)</f>
        <v>161807</v>
      </c>
      <c r="BV227" s="3">
        <f>IFERROR(__xludf.DUMMYFUNCTION("""COMPUTED_VALUE"""),188172.0)</f>
        <v>188172</v>
      </c>
      <c r="BW227" s="3">
        <f>IFERROR(__xludf.DUMMYFUNCTION("""COMPUTED_VALUE"""),213372.0)</f>
        <v>213372</v>
      </c>
      <c r="BX227" s="3">
        <f>IFERROR(__xludf.DUMMYFUNCTION("""COMPUTED_VALUE"""),243453.0)</f>
        <v>243453</v>
      </c>
      <c r="BY227" s="3">
        <f>IFERROR(__xludf.DUMMYFUNCTION("""COMPUTED_VALUE"""),275586.0)</f>
        <v>275586</v>
      </c>
      <c r="BZ227" s="3">
        <f>IFERROR(__xludf.DUMMYFUNCTION("""COMPUTED_VALUE"""),308850.0)</f>
        <v>308850</v>
      </c>
      <c r="CA227" s="3">
        <f>IFERROR(__xludf.DUMMYFUNCTION("""COMPUTED_VALUE"""),337072.0)</f>
        <v>337072</v>
      </c>
      <c r="CB227" s="3">
        <f>IFERROR(__xludf.DUMMYFUNCTION("""COMPUTED_VALUE"""),366614.0)</f>
        <v>366614</v>
      </c>
    </row>
    <row r="228">
      <c r="A228" s="3" t="str">
        <f>IFERROR(__xludf.DUMMYFUNCTION("""COMPUTED_VALUE"""),"")</f>
        <v/>
      </c>
      <c r="B228" s="3" t="str">
        <f>IFERROR(__xludf.DUMMYFUNCTION("""COMPUTED_VALUE"""),"Uzbekistan")</f>
        <v>Uzbekistan</v>
      </c>
      <c r="C228" s="3">
        <f>IFERROR(__xludf.DUMMYFUNCTION("""COMPUTED_VALUE"""),41.3775)</f>
        <v>41.3775</v>
      </c>
      <c r="D228" s="3">
        <f>IFERROR(__xludf.DUMMYFUNCTION("""COMPUTED_VALUE"""),64.5853)</f>
        <v>64.5853</v>
      </c>
      <c r="E228" s="3">
        <f>IFERROR(__xludf.DUMMYFUNCTION("""COMPUTED_VALUE"""),0.0)</f>
        <v>0</v>
      </c>
      <c r="F228" s="3">
        <f>IFERROR(__xludf.DUMMYFUNCTION("""COMPUTED_VALUE"""),0.0)</f>
        <v>0</v>
      </c>
      <c r="G228" s="3">
        <f>IFERROR(__xludf.DUMMYFUNCTION("""COMPUTED_VALUE"""),0.0)</f>
        <v>0</v>
      </c>
      <c r="H228" s="3">
        <f>IFERROR(__xludf.DUMMYFUNCTION("""COMPUTED_VALUE"""),0.0)</f>
        <v>0</v>
      </c>
      <c r="I228" s="3">
        <f>IFERROR(__xludf.DUMMYFUNCTION("""COMPUTED_VALUE"""),0.0)</f>
        <v>0</v>
      </c>
      <c r="J228" s="3">
        <f>IFERROR(__xludf.DUMMYFUNCTION("""COMPUTED_VALUE"""),0.0)</f>
        <v>0</v>
      </c>
      <c r="K228" s="3">
        <f>IFERROR(__xludf.DUMMYFUNCTION("""COMPUTED_VALUE"""),0.0)</f>
        <v>0</v>
      </c>
      <c r="L228" s="3">
        <f>IFERROR(__xludf.DUMMYFUNCTION("""COMPUTED_VALUE"""),0.0)</f>
        <v>0</v>
      </c>
      <c r="M228" s="3">
        <f>IFERROR(__xludf.DUMMYFUNCTION("""COMPUTED_VALUE"""),0.0)</f>
        <v>0</v>
      </c>
      <c r="N228" s="3">
        <f>IFERROR(__xludf.DUMMYFUNCTION("""COMPUTED_VALUE"""),0.0)</f>
        <v>0</v>
      </c>
      <c r="O228" s="3">
        <f>IFERROR(__xludf.DUMMYFUNCTION("""COMPUTED_VALUE"""),0.0)</f>
        <v>0</v>
      </c>
      <c r="P228" s="3">
        <f>IFERROR(__xludf.DUMMYFUNCTION("""COMPUTED_VALUE"""),0.0)</f>
        <v>0</v>
      </c>
      <c r="Q228" s="3">
        <f>IFERROR(__xludf.DUMMYFUNCTION("""COMPUTED_VALUE"""),0.0)</f>
        <v>0</v>
      </c>
      <c r="R228" s="3">
        <f>IFERROR(__xludf.DUMMYFUNCTION("""COMPUTED_VALUE"""),0.0)</f>
        <v>0</v>
      </c>
      <c r="S228" s="3">
        <f>IFERROR(__xludf.DUMMYFUNCTION("""COMPUTED_VALUE"""),0.0)</f>
        <v>0</v>
      </c>
      <c r="T228" s="3">
        <f>IFERROR(__xludf.DUMMYFUNCTION("""COMPUTED_VALUE"""),0.0)</f>
        <v>0</v>
      </c>
      <c r="U228" s="3">
        <f>IFERROR(__xludf.DUMMYFUNCTION("""COMPUTED_VALUE"""),0.0)</f>
        <v>0</v>
      </c>
      <c r="V228" s="3">
        <f>IFERROR(__xludf.DUMMYFUNCTION("""COMPUTED_VALUE"""),0.0)</f>
        <v>0</v>
      </c>
      <c r="W228" s="3">
        <f>IFERROR(__xludf.DUMMYFUNCTION("""COMPUTED_VALUE"""),0.0)</f>
        <v>0</v>
      </c>
      <c r="X228" s="3">
        <f>IFERROR(__xludf.DUMMYFUNCTION("""COMPUTED_VALUE"""),0.0)</f>
        <v>0</v>
      </c>
      <c r="Y228" s="3">
        <f>IFERROR(__xludf.DUMMYFUNCTION("""COMPUTED_VALUE"""),0.0)</f>
        <v>0</v>
      </c>
      <c r="Z228" s="3">
        <f>IFERROR(__xludf.DUMMYFUNCTION("""COMPUTED_VALUE"""),0.0)</f>
        <v>0</v>
      </c>
      <c r="AA228" s="3">
        <f>IFERROR(__xludf.DUMMYFUNCTION("""COMPUTED_VALUE"""),0.0)</f>
        <v>0</v>
      </c>
      <c r="AB228" s="3">
        <f>IFERROR(__xludf.DUMMYFUNCTION("""COMPUTED_VALUE"""),0.0)</f>
        <v>0</v>
      </c>
      <c r="AC228" s="3">
        <f>IFERROR(__xludf.DUMMYFUNCTION("""COMPUTED_VALUE"""),0.0)</f>
        <v>0</v>
      </c>
      <c r="AD228" s="3">
        <f>IFERROR(__xludf.DUMMYFUNCTION("""COMPUTED_VALUE"""),0.0)</f>
        <v>0</v>
      </c>
      <c r="AE228" s="3">
        <f>IFERROR(__xludf.DUMMYFUNCTION("""COMPUTED_VALUE"""),0.0)</f>
        <v>0</v>
      </c>
      <c r="AF228" s="3">
        <f>IFERROR(__xludf.DUMMYFUNCTION("""COMPUTED_VALUE"""),0.0)</f>
        <v>0</v>
      </c>
      <c r="AG228" s="3">
        <f>IFERROR(__xludf.DUMMYFUNCTION("""COMPUTED_VALUE"""),0.0)</f>
        <v>0</v>
      </c>
      <c r="AH228" s="3">
        <f>IFERROR(__xludf.DUMMYFUNCTION("""COMPUTED_VALUE"""),0.0)</f>
        <v>0</v>
      </c>
      <c r="AI228" s="3">
        <f>IFERROR(__xludf.DUMMYFUNCTION("""COMPUTED_VALUE"""),0.0)</f>
        <v>0</v>
      </c>
      <c r="AJ228" s="3">
        <f>IFERROR(__xludf.DUMMYFUNCTION("""COMPUTED_VALUE"""),0.0)</f>
        <v>0</v>
      </c>
      <c r="AK228" s="3">
        <f>IFERROR(__xludf.DUMMYFUNCTION("""COMPUTED_VALUE"""),0.0)</f>
        <v>0</v>
      </c>
      <c r="AL228" s="3">
        <f>IFERROR(__xludf.DUMMYFUNCTION("""COMPUTED_VALUE"""),0.0)</f>
        <v>0</v>
      </c>
      <c r="AM228" s="3">
        <f>IFERROR(__xludf.DUMMYFUNCTION("""COMPUTED_VALUE"""),0.0)</f>
        <v>0</v>
      </c>
      <c r="AN228" s="3">
        <f>IFERROR(__xludf.DUMMYFUNCTION("""COMPUTED_VALUE"""),0.0)</f>
        <v>0</v>
      </c>
      <c r="AO228" s="3">
        <f>IFERROR(__xludf.DUMMYFUNCTION("""COMPUTED_VALUE"""),0.0)</f>
        <v>0</v>
      </c>
      <c r="AP228" s="3">
        <f>IFERROR(__xludf.DUMMYFUNCTION("""COMPUTED_VALUE"""),0.0)</f>
        <v>0</v>
      </c>
      <c r="AQ228" s="3">
        <f>IFERROR(__xludf.DUMMYFUNCTION("""COMPUTED_VALUE"""),0.0)</f>
        <v>0</v>
      </c>
      <c r="AR228" s="3">
        <f>IFERROR(__xludf.DUMMYFUNCTION("""COMPUTED_VALUE"""),0.0)</f>
        <v>0</v>
      </c>
      <c r="AS228" s="3">
        <f>IFERROR(__xludf.DUMMYFUNCTION("""COMPUTED_VALUE"""),0.0)</f>
        <v>0</v>
      </c>
      <c r="AT228" s="3">
        <f>IFERROR(__xludf.DUMMYFUNCTION("""COMPUTED_VALUE"""),0.0)</f>
        <v>0</v>
      </c>
      <c r="AU228" s="3">
        <f>IFERROR(__xludf.DUMMYFUNCTION("""COMPUTED_VALUE"""),0.0)</f>
        <v>0</v>
      </c>
      <c r="AV228" s="3">
        <f>IFERROR(__xludf.DUMMYFUNCTION("""COMPUTED_VALUE"""),0.0)</f>
        <v>0</v>
      </c>
      <c r="AW228" s="3">
        <f>IFERROR(__xludf.DUMMYFUNCTION("""COMPUTED_VALUE"""),0.0)</f>
        <v>0</v>
      </c>
      <c r="AX228" s="3">
        <f>IFERROR(__xludf.DUMMYFUNCTION("""COMPUTED_VALUE"""),0.0)</f>
        <v>0</v>
      </c>
      <c r="AY228" s="3">
        <f>IFERROR(__xludf.DUMMYFUNCTION("""COMPUTED_VALUE"""),0.0)</f>
        <v>0</v>
      </c>
      <c r="AZ228" s="3">
        <f>IFERROR(__xludf.DUMMYFUNCTION("""COMPUTED_VALUE"""),0.0)</f>
        <v>0</v>
      </c>
      <c r="BA228" s="3">
        <f>IFERROR(__xludf.DUMMYFUNCTION("""COMPUTED_VALUE"""),0.0)</f>
        <v>0</v>
      </c>
      <c r="BB228" s="3">
        <f>IFERROR(__xludf.DUMMYFUNCTION("""COMPUTED_VALUE"""),0.0)</f>
        <v>0</v>
      </c>
      <c r="BC228" s="3">
        <f>IFERROR(__xludf.DUMMYFUNCTION("""COMPUTED_VALUE"""),0.0)</f>
        <v>0</v>
      </c>
      <c r="BD228" s="3">
        <f>IFERROR(__xludf.DUMMYFUNCTION("""COMPUTED_VALUE"""),0.0)</f>
        <v>0</v>
      </c>
      <c r="BE228" s="3">
        <f>IFERROR(__xludf.DUMMYFUNCTION("""COMPUTED_VALUE"""),0.0)</f>
        <v>0</v>
      </c>
      <c r="BF228" s="3">
        <f>IFERROR(__xludf.DUMMYFUNCTION("""COMPUTED_VALUE"""),1.0)</f>
        <v>1</v>
      </c>
      <c r="BG228" s="3">
        <f>IFERROR(__xludf.DUMMYFUNCTION("""COMPUTED_VALUE"""),6.0)</f>
        <v>6</v>
      </c>
      <c r="BH228" s="3">
        <f>IFERROR(__xludf.DUMMYFUNCTION("""COMPUTED_VALUE"""),10.0)</f>
        <v>10</v>
      </c>
      <c r="BI228" s="3">
        <f>IFERROR(__xludf.DUMMYFUNCTION("""COMPUTED_VALUE"""),15.0)</f>
        <v>15</v>
      </c>
      <c r="BJ228" s="3">
        <f>IFERROR(__xludf.DUMMYFUNCTION("""COMPUTED_VALUE"""),23.0)</f>
        <v>23</v>
      </c>
      <c r="BK228" s="3">
        <f>IFERROR(__xludf.DUMMYFUNCTION("""COMPUTED_VALUE"""),33.0)</f>
        <v>33</v>
      </c>
      <c r="BL228" s="3">
        <f>IFERROR(__xludf.DUMMYFUNCTION("""COMPUTED_VALUE"""),43.0)</f>
        <v>43</v>
      </c>
      <c r="BM228" s="3">
        <f>IFERROR(__xludf.DUMMYFUNCTION("""COMPUTED_VALUE"""),43.0)</f>
        <v>43</v>
      </c>
      <c r="BN228" s="3">
        <f>IFERROR(__xludf.DUMMYFUNCTION("""COMPUTED_VALUE"""),46.0)</f>
        <v>46</v>
      </c>
      <c r="BO228" s="3">
        <f>IFERROR(__xludf.DUMMYFUNCTION("""COMPUTED_VALUE"""),50.0)</f>
        <v>50</v>
      </c>
      <c r="BP228" s="3">
        <f>IFERROR(__xludf.DUMMYFUNCTION("""COMPUTED_VALUE"""),60.0)</f>
        <v>60</v>
      </c>
      <c r="BQ228" s="3">
        <f>IFERROR(__xludf.DUMMYFUNCTION("""COMPUTED_VALUE"""),75.0)</f>
        <v>75</v>
      </c>
      <c r="BR228" s="3">
        <f>IFERROR(__xludf.DUMMYFUNCTION("""COMPUTED_VALUE"""),88.0)</f>
        <v>88</v>
      </c>
      <c r="BS228" s="3">
        <f>IFERROR(__xludf.DUMMYFUNCTION("""COMPUTED_VALUE"""),104.0)</f>
        <v>104</v>
      </c>
      <c r="BT228" s="3">
        <f>IFERROR(__xludf.DUMMYFUNCTION("""COMPUTED_VALUE"""),144.0)</f>
        <v>144</v>
      </c>
      <c r="BU228" s="3">
        <f>IFERROR(__xludf.DUMMYFUNCTION("""COMPUTED_VALUE"""),149.0)</f>
        <v>149</v>
      </c>
      <c r="BV228" s="3">
        <f>IFERROR(__xludf.DUMMYFUNCTION("""COMPUTED_VALUE"""),172.0)</f>
        <v>172</v>
      </c>
      <c r="BW228" s="3">
        <f>IFERROR(__xludf.DUMMYFUNCTION("""COMPUTED_VALUE"""),181.0)</f>
        <v>181</v>
      </c>
      <c r="BX228" s="3">
        <f>IFERROR(__xludf.DUMMYFUNCTION("""COMPUTED_VALUE"""),205.0)</f>
        <v>205</v>
      </c>
      <c r="BY228" s="3">
        <f>IFERROR(__xludf.DUMMYFUNCTION("""COMPUTED_VALUE"""),227.0)</f>
        <v>227</v>
      </c>
      <c r="BZ228" s="3">
        <f>IFERROR(__xludf.DUMMYFUNCTION("""COMPUTED_VALUE"""),266.0)</f>
        <v>266</v>
      </c>
      <c r="CA228" s="3">
        <f>IFERROR(__xludf.DUMMYFUNCTION("""COMPUTED_VALUE"""),342.0)</f>
        <v>342</v>
      </c>
      <c r="CB228" s="3">
        <f>IFERROR(__xludf.DUMMYFUNCTION("""COMPUTED_VALUE"""),457.0)</f>
        <v>457</v>
      </c>
    </row>
    <row r="229">
      <c r="A229" s="3" t="str">
        <f>IFERROR(__xludf.DUMMYFUNCTION("""COMPUTED_VALUE"""),"")</f>
        <v/>
      </c>
      <c r="B229" s="3" t="str">
        <f>IFERROR(__xludf.DUMMYFUNCTION("""COMPUTED_VALUE"""),"Venezuela")</f>
        <v>Venezuela</v>
      </c>
      <c r="C229" s="3">
        <f>IFERROR(__xludf.DUMMYFUNCTION("""COMPUTED_VALUE"""),6.4238)</f>
        <v>6.4238</v>
      </c>
      <c r="D229" s="3">
        <f>IFERROR(__xludf.DUMMYFUNCTION("""COMPUTED_VALUE"""),-66.5897)</f>
        <v>-66.5897</v>
      </c>
      <c r="E229" s="3">
        <f>IFERROR(__xludf.DUMMYFUNCTION("""COMPUTED_VALUE"""),0.0)</f>
        <v>0</v>
      </c>
      <c r="F229" s="3">
        <f>IFERROR(__xludf.DUMMYFUNCTION("""COMPUTED_VALUE"""),0.0)</f>
        <v>0</v>
      </c>
      <c r="G229" s="3">
        <f>IFERROR(__xludf.DUMMYFUNCTION("""COMPUTED_VALUE"""),0.0)</f>
        <v>0</v>
      </c>
      <c r="H229" s="3">
        <f>IFERROR(__xludf.DUMMYFUNCTION("""COMPUTED_VALUE"""),0.0)</f>
        <v>0</v>
      </c>
      <c r="I229" s="3">
        <f>IFERROR(__xludf.DUMMYFUNCTION("""COMPUTED_VALUE"""),0.0)</f>
        <v>0</v>
      </c>
      <c r="J229" s="3">
        <f>IFERROR(__xludf.DUMMYFUNCTION("""COMPUTED_VALUE"""),0.0)</f>
        <v>0</v>
      </c>
      <c r="K229" s="3">
        <f>IFERROR(__xludf.DUMMYFUNCTION("""COMPUTED_VALUE"""),0.0)</f>
        <v>0</v>
      </c>
      <c r="L229" s="3">
        <f>IFERROR(__xludf.DUMMYFUNCTION("""COMPUTED_VALUE"""),0.0)</f>
        <v>0</v>
      </c>
      <c r="M229" s="3">
        <f>IFERROR(__xludf.DUMMYFUNCTION("""COMPUTED_VALUE"""),0.0)</f>
        <v>0</v>
      </c>
      <c r="N229" s="3">
        <f>IFERROR(__xludf.DUMMYFUNCTION("""COMPUTED_VALUE"""),0.0)</f>
        <v>0</v>
      </c>
      <c r="O229" s="3">
        <f>IFERROR(__xludf.DUMMYFUNCTION("""COMPUTED_VALUE"""),0.0)</f>
        <v>0</v>
      </c>
      <c r="P229" s="3">
        <f>IFERROR(__xludf.DUMMYFUNCTION("""COMPUTED_VALUE"""),0.0)</f>
        <v>0</v>
      </c>
      <c r="Q229" s="3">
        <f>IFERROR(__xludf.DUMMYFUNCTION("""COMPUTED_VALUE"""),0.0)</f>
        <v>0</v>
      </c>
      <c r="R229" s="3">
        <f>IFERROR(__xludf.DUMMYFUNCTION("""COMPUTED_VALUE"""),0.0)</f>
        <v>0</v>
      </c>
      <c r="S229" s="3">
        <f>IFERROR(__xludf.DUMMYFUNCTION("""COMPUTED_VALUE"""),0.0)</f>
        <v>0</v>
      </c>
      <c r="T229" s="3">
        <f>IFERROR(__xludf.DUMMYFUNCTION("""COMPUTED_VALUE"""),0.0)</f>
        <v>0</v>
      </c>
      <c r="U229" s="3">
        <f>IFERROR(__xludf.DUMMYFUNCTION("""COMPUTED_VALUE"""),0.0)</f>
        <v>0</v>
      </c>
      <c r="V229" s="3">
        <f>IFERROR(__xludf.DUMMYFUNCTION("""COMPUTED_VALUE"""),0.0)</f>
        <v>0</v>
      </c>
      <c r="W229" s="3">
        <f>IFERROR(__xludf.DUMMYFUNCTION("""COMPUTED_VALUE"""),0.0)</f>
        <v>0</v>
      </c>
      <c r="X229" s="3">
        <f>IFERROR(__xludf.DUMMYFUNCTION("""COMPUTED_VALUE"""),0.0)</f>
        <v>0</v>
      </c>
      <c r="Y229" s="3">
        <f>IFERROR(__xludf.DUMMYFUNCTION("""COMPUTED_VALUE"""),0.0)</f>
        <v>0</v>
      </c>
      <c r="Z229" s="3">
        <f>IFERROR(__xludf.DUMMYFUNCTION("""COMPUTED_VALUE"""),0.0)</f>
        <v>0</v>
      </c>
      <c r="AA229" s="3">
        <f>IFERROR(__xludf.DUMMYFUNCTION("""COMPUTED_VALUE"""),0.0)</f>
        <v>0</v>
      </c>
      <c r="AB229" s="3">
        <f>IFERROR(__xludf.DUMMYFUNCTION("""COMPUTED_VALUE"""),0.0)</f>
        <v>0</v>
      </c>
      <c r="AC229" s="3">
        <f>IFERROR(__xludf.DUMMYFUNCTION("""COMPUTED_VALUE"""),0.0)</f>
        <v>0</v>
      </c>
      <c r="AD229" s="3">
        <f>IFERROR(__xludf.DUMMYFUNCTION("""COMPUTED_VALUE"""),0.0)</f>
        <v>0</v>
      </c>
      <c r="AE229" s="3">
        <f>IFERROR(__xludf.DUMMYFUNCTION("""COMPUTED_VALUE"""),0.0)</f>
        <v>0</v>
      </c>
      <c r="AF229" s="3">
        <f>IFERROR(__xludf.DUMMYFUNCTION("""COMPUTED_VALUE"""),0.0)</f>
        <v>0</v>
      </c>
      <c r="AG229" s="3">
        <f>IFERROR(__xludf.DUMMYFUNCTION("""COMPUTED_VALUE"""),0.0)</f>
        <v>0</v>
      </c>
      <c r="AH229" s="3">
        <f>IFERROR(__xludf.DUMMYFUNCTION("""COMPUTED_VALUE"""),0.0)</f>
        <v>0</v>
      </c>
      <c r="AI229" s="3">
        <f>IFERROR(__xludf.DUMMYFUNCTION("""COMPUTED_VALUE"""),0.0)</f>
        <v>0</v>
      </c>
      <c r="AJ229" s="3">
        <f>IFERROR(__xludf.DUMMYFUNCTION("""COMPUTED_VALUE"""),0.0)</f>
        <v>0</v>
      </c>
      <c r="AK229" s="3">
        <f>IFERROR(__xludf.DUMMYFUNCTION("""COMPUTED_VALUE"""),0.0)</f>
        <v>0</v>
      </c>
      <c r="AL229" s="3">
        <f>IFERROR(__xludf.DUMMYFUNCTION("""COMPUTED_VALUE"""),0.0)</f>
        <v>0</v>
      </c>
      <c r="AM229" s="3">
        <f>IFERROR(__xludf.DUMMYFUNCTION("""COMPUTED_VALUE"""),0.0)</f>
        <v>0</v>
      </c>
      <c r="AN229" s="3">
        <f>IFERROR(__xludf.DUMMYFUNCTION("""COMPUTED_VALUE"""),0.0)</f>
        <v>0</v>
      </c>
      <c r="AO229" s="3">
        <f>IFERROR(__xludf.DUMMYFUNCTION("""COMPUTED_VALUE"""),0.0)</f>
        <v>0</v>
      </c>
      <c r="AP229" s="3">
        <f>IFERROR(__xludf.DUMMYFUNCTION("""COMPUTED_VALUE"""),0.0)</f>
        <v>0</v>
      </c>
      <c r="AQ229" s="3">
        <f>IFERROR(__xludf.DUMMYFUNCTION("""COMPUTED_VALUE"""),0.0)</f>
        <v>0</v>
      </c>
      <c r="AR229" s="3">
        <f>IFERROR(__xludf.DUMMYFUNCTION("""COMPUTED_VALUE"""),0.0)</f>
        <v>0</v>
      </c>
      <c r="AS229" s="3">
        <f>IFERROR(__xludf.DUMMYFUNCTION("""COMPUTED_VALUE"""),0.0)</f>
        <v>0</v>
      </c>
      <c r="AT229" s="3">
        <f>IFERROR(__xludf.DUMMYFUNCTION("""COMPUTED_VALUE"""),0.0)</f>
        <v>0</v>
      </c>
      <c r="AU229" s="3">
        <f>IFERROR(__xludf.DUMMYFUNCTION("""COMPUTED_VALUE"""),0.0)</f>
        <v>0</v>
      </c>
      <c r="AV229" s="3">
        <f>IFERROR(__xludf.DUMMYFUNCTION("""COMPUTED_VALUE"""),0.0)</f>
        <v>0</v>
      </c>
      <c r="AW229" s="3">
        <f>IFERROR(__xludf.DUMMYFUNCTION("""COMPUTED_VALUE"""),0.0)</f>
        <v>0</v>
      </c>
      <c r="AX229" s="3">
        <f>IFERROR(__xludf.DUMMYFUNCTION("""COMPUTED_VALUE"""),0.0)</f>
        <v>0</v>
      </c>
      <c r="AY229" s="3">
        <f>IFERROR(__xludf.DUMMYFUNCTION("""COMPUTED_VALUE"""),0.0)</f>
        <v>0</v>
      </c>
      <c r="AZ229" s="3">
        <f>IFERROR(__xludf.DUMMYFUNCTION("""COMPUTED_VALUE"""),0.0)</f>
        <v>0</v>
      </c>
      <c r="BA229" s="3">
        <f>IFERROR(__xludf.DUMMYFUNCTION("""COMPUTED_VALUE"""),0.0)</f>
        <v>0</v>
      </c>
      <c r="BB229" s="3">
        <f>IFERROR(__xludf.DUMMYFUNCTION("""COMPUTED_VALUE"""),0.0)</f>
        <v>0</v>
      </c>
      <c r="BC229" s="3">
        <f>IFERROR(__xludf.DUMMYFUNCTION("""COMPUTED_VALUE"""),0.0)</f>
        <v>0</v>
      </c>
      <c r="BD229" s="3">
        <f>IFERROR(__xludf.DUMMYFUNCTION("""COMPUTED_VALUE"""),0.0)</f>
        <v>0</v>
      </c>
      <c r="BE229" s="3">
        <f>IFERROR(__xludf.DUMMYFUNCTION("""COMPUTED_VALUE"""),2.0)</f>
        <v>2</v>
      </c>
      <c r="BF229" s="3">
        <f>IFERROR(__xludf.DUMMYFUNCTION("""COMPUTED_VALUE"""),10.0)</f>
        <v>10</v>
      </c>
      <c r="BG229" s="3">
        <f>IFERROR(__xludf.DUMMYFUNCTION("""COMPUTED_VALUE"""),17.0)</f>
        <v>17</v>
      </c>
      <c r="BH229" s="3">
        <f>IFERROR(__xludf.DUMMYFUNCTION("""COMPUTED_VALUE"""),33.0)</f>
        <v>33</v>
      </c>
      <c r="BI229" s="3">
        <f>IFERROR(__xludf.DUMMYFUNCTION("""COMPUTED_VALUE"""),36.0)</f>
        <v>36</v>
      </c>
      <c r="BJ229" s="3">
        <f>IFERROR(__xludf.DUMMYFUNCTION("""COMPUTED_VALUE"""),42.0)</f>
        <v>42</v>
      </c>
      <c r="BK229" s="3">
        <f>IFERROR(__xludf.DUMMYFUNCTION("""COMPUTED_VALUE"""),42.0)</f>
        <v>42</v>
      </c>
      <c r="BL229" s="3">
        <f>IFERROR(__xludf.DUMMYFUNCTION("""COMPUTED_VALUE"""),70.0)</f>
        <v>70</v>
      </c>
      <c r="BM229" s="3">
        <f>IFERROR(__xludf.DUMMYFUNCTION("""COMPUTED_VALUE"""),70.0)</f>
        <v>70</v>
      </c>
      <c r="BN229" s="3">
        <f>IFERROR(__xludf.DUMMYFUNCTION("""COMPUTED_VALUE"""),77.0)</f>
        <v>77</v>
      </c>
      <c r="BO229" s="3">
        <f>IFERROR(__xludf.DUMMYFUNCTION("""COMPUTED_VALUE"""),84.0)</f>
        <v>84</v>
      </c>
      <c r="BP229" s="3">
        <f>IFERROR(__xludf.DUMMYFUNCTION("""COMPUTED_VALUE"""),91.0)</f>
        <v>91</v>
      </c>
      <c r="BQ229" s="3">
        <f>IFERROR(__xludf.DUMMYFUNCTION("""COMPUTED_VALUE"""),107.0)</f>
        <v>107</v>
      </c>
      <c r="BR229" s="3">
        <f>IFERROR(__xludf.DUMMYFUNCTION("""COMPUTED_VALUE"""),107.0)</f>
        <v>107</v>
      </c>
      <c r="BS229" s="3">
        <f>IFERROR(__xludf.DUMMYFUNCTION("""COMPUTED_VALUE"""),119.0)</f>
        <v>119</v>
      </c>
      <c r="BT229" s="3">
        <f>IFERROR(__xludf.DUMMYFUNCTION("""COMPUTED_VALUE"""),119.0)</f>
        <v>119</v>
      </c>
      <c r="BU229" s="3">
        <f>IFERROR(__xludf.DUMMYFUNCTION("""COMPUTED_VALUE"""),135.0)</f>
        <v>135</v>
      </c>
      <c r="BV229" s="3">
        <f>IFERROR(__xludf.DUMMYFUNCTION("""COMPUTED_VALUE"""),135.0)</f>
        <v>135</v>
      </c>
      <c r="BW229" s="3">
        <f>IFERROR(__xludf.DUMMYFUNCTION("""COMPUTED_VALUE"""),143.0)</f>
        <v>143</v>
      </c>
      <c r="BX229" s="3">
        <f>IFERROR(__xludf.DUMMYFUNCTION("""COMPUTED_VALUE"""),146.0)</f>
        <v>146</v>
      </c>
      <c r="BY229" s="3">
        <f>IFERROR(__xludf.DUMMYFUNCTION("""COMPUTED_VALUE"""),153.0)</f>
        <v>153</v>
      </c>
      <c r="BZ229" s="3">
        <f>IFERROR(__xludf.DUMMYFUNCTION("""COMPUTED_VALUE"""),155.0)</f>
        <v>155</v>
      </c>
      <c r="CA229" s="3">
        <f>IFERROR(__xludf.DUMMYFUNCTION("""COMPUTED_VALUE"""),159.0)</f>
        <v>159</v>
      </c>
      <c r="CB229" s="3">
        <f>IFERROR(__xludf.DUMMYFUNCTION("""COMPUTED_VALUE"""),165.0)</f>
        <v>165</v>
      </c>
    </row>
    <row r="230">
      <c r="A230" s="3" t="str">
        <f>IFERROR(__xludf.DUMMYFUNCTION("""COMPUTED_VALUE"""),"")</f>
        <v/>
      </c>
      <c r="B230" s="3" t="str">
        <f>IFERROR(__xludf.DUMMYFUNCTION("""COMPUTED_VALUE"""),"Vietnam")</f>
        <v>Vietnam</v>
      </c>
      <c r="C230" s="3">
        <f>IFERROR(__xludf.DUMMYFUNCTION("""COMPUTED_VALUE"""),16.0)</f>
        <v>16</v>
      </c>
      <c r="D230" s="3">
        <f>IFERROR(__xludf.DUMMYFUNCTION("""COMPUTED_VALUE"""),108.0)</f>
        <v>108</v>
      </c>
      <c r="E230" s="3">
        <f>IFERROR(__xludf.DUMMYFUNCTION("""COMPUTED_VALUE"""),0.0)</f>
        <v>0</v>
      </c>
      <c r="F230" s="3">
        <f>IFERROR(__xludf.DUMMYFUNCTION("""COMPUTED_VALUE"""),2.0)</f>
        <v>2</v>
      </c>
      <c r="G230" s="3">
        <f>IFERROR(__xludf.DUMMYFUNCTION("""COMPUTED_VALUE"""),2.0)</f>
        <v>2</v>
      </c>
      <c r="H230" s="3">
        <f>IFERROR(__xludf.DUMMYFUNCTION("""COMPUTED_VALUE"""),2.0)</f>
        <v>2</v>
      </c>
      <c r="I230" s="3">
        <f>IFERROR(__xludf.DUMMYFUNCTION("""COMPUTED_VALUE"""),2.0)</f>
        <v>2</v>
      </c>
      <c r="J230" s="3">
        <f>IFERROR(__xludf.DUMMYFUNCTION("""COMPUTED_VALUE"""),2.0)</f>
        <v>2</v>
      </c>
      <c r="K230" s="3">
        <f>IFERROR(__xludf.DUMMYFUNCTION("""COMPUTED_VALUE"""),2.0)</f>
        <v>2</v>
      </c>
      <c r="L230" s="3">
        <f>IFERROR(__xludf.DUMMYFUNCTION("""COMPUTED_VALUE"""),2.0)</f>
        <v>2</v>
      </c>
      <c r="M230" s="3">
        <f>IFERROR(__xludf.DUMMYFUNCTION("""COMPUTED_VALUE"""),2.0)</f>
        <v>2</v>
      </c>
      <c r="N230" s="3">
        <f>IFERROR(__xludf.DUMMYFUNCTION("""COMPUTED_VALUE"""),2.0)</f>
        <v>2</v>
      </c>
      <c r="O230" s="3">
        <f>IFERROR(__xludf.DUMMYFUNCTION("""COMPUTED_VALUE"""),6.0)</f>
        <v>6</v>
      </c>
      <c r="P230" s="3">
        <f>IFERROR(__xludf.DUMMYFUNCTION("""COMPUTED_VALUE"""),6.0)</f>
        <v>6</v>
      </c>
      <c r="Q230" s="3">
        <f>IFERROR(__xludf.DUMMYFUNCTION("""COMPUTED_VALUE"""),8.0)</f>
        <v>8</v>
      </c>
      <c r="R230" s="3">
        <f>IFERROR(__xludf.DUMMYFUNCTION("""COMPUTED_VALUE"""),8.0)</f>
        <v>8</v>
      </c>
      <c r="S230" s="3">
        <f>IFERROR(__xludf.DUMMYFUNCTION("""COMPUTED_VALUE"""),8.0)</f>
        <v>8</v>
      </c>
      <c r="T230" s="3">
        <f>IFERROR(__xludf.DUMMYFUNCTION("""COMPUTED_VALUE"""),10.0)</f>
        <v>10</v>
      </c>
      <c r="U230" s="3">
        <f>IFERROR(__xludf.DUMMYFUNCTION("""COMPUTED_VALUE"""),10.0)</f>
        <v>10</v>
      </c>
      <c r="V230" s="3">
        <f>IFERROR(__xludf.DUMMYFUNCTION("""COMPUTED_VALUE"""),13.0)</f>
        <v>13</v>
      </c>
      <c r="W230" s="3">
        <f>IFERROR(__xludf.DUMMYFUNCTION("""COMPUTED_VALUE"""),13.0)</f>
        <v>13</v>
      </c>
      <c r="X230" s="3">
        <f>IFERROR(__xludf.DUMMYFUNCTION("""COMPUTED_VALUE"""),14.0)</f>
        <v>14</v>
      </c>
      <c r="Y230" s="3">
        <f>IFERROR(__xludf.DUMMYFUNCTION("""COMPUTED_VALUE"""),15.0)</f>
        <v>15</v>
      </c>
      <c r="Z230" s="3">
        <f>IFERROR(__xludf.DUMMYFUNCTION("""COMPUTED_VALUE"""),15.0)</f>
        <v>15</v>
      </c>
      <c r="AA230" s="3">
        <f>IFERROR(__xludf.DUMMYFUNCTION("""COMPUTED_VALUE"""),16.0)</f>
        <v>16</v>
      </c>
      <c r="AB230" s="3">
        <f>IFERROR(__xludf.DUMMYFUNCTION("""COMPUTED_VALUE"""),16.0)</f>
        <v>16</v>
      </c>
      <c r="AC230" s="3">
        <f>IFERROR(__xludf.DUMMYFUNCTION("""COMPUTED_VALUE"""),16.0)</f>
        <v>16</v>
      </c>
      <c r="AD230" s="3">
        <f>IFERROR(__xludf.DUMMYFUNCTION("""COMPUTED_VALUE"""),16.0)</f>
        <v>16</v>
      </c>
      <c r="AE230" s="3">
        <f>IFERROR(__xludf.DUMMYFUNCTION("""COMPUTED_VALUE"""),16.0)</f>
        <v>16</v>
      </c>
      <c r="AF230" s="3">
        <f>IFERROR(__xludf.DUMMYFUNCTION("""COMPUTED_VALUE"""),16.0)</f>
        <v>16</v>
      </c>
      <c r="AG230" s="3">
        <f>IFERROR(__xludf.DUMMYFUNCTION("""COMPUTED_VALUE"""),16.0)</f>
        <v>16</v>
      </c>
      <c r="AH230" s="3">
        <f>IFERROR(__xludf.DUMMYFUNCTION("""COMPUTED_VALUE"""),16.0)</f>
        <v>16</v>
      </c>
      <c r="AI230" s="3">
        <f>IFERROR(__xludf.DUMMYFUNCTION("""COMPUTED_VALUE"""),16.0)</f>
        <v>16</v>
      </c>
      <c r="AJ230" s="3">
        <f>IFERROR(__xludf.DUMMYFUNCTION("""COMPUTED_VALUE"""),16.0)</f>
        <v>16</v>
      </c>
      <c r="AK230" s="3">
        <f>IFERROR(__xludf.DUMMYFUNCTION("""COMPUTED_VALUE"""),16.0)</f>
        <v>16</v>
      </c>
      <c r="AL230" s="3">
        <f>IFERROR(__xludf.DUMMYFUNCTION("""COMPUTED_VALUE"""),16.0)</f>
        <v>16</v>
      </c>
      <c r="AM230" s="3">
        <f>IFERROR(__xludf.DUMMYFUNCTION("""COMPUTED_VALUE"""),16.0)</f>
        <v>16</v>
      </c>
      <c r="AN230" s="3">
        <f>IFERROR(__xludf.DUMMYFUNCTION("""COMPUTED_VALUE"""),16.0)</f>
        <v>16</v>
      </c>
      <c r="AO230" s="3">
        <f>IFERROR(__xludf.DUMMYFUNCTION("""COMPUTED_VALUE"""),16.0)</f>
        <v>16</v>
      </c>
      <c r="AP230" s="3">
        <f>IFERROR(__xludf.DUMMYFUNCTION("""COMPUTED_VALUE"""),16.0)</f>
        <v>16</v>
      </c>
      <c r="AQ230" s="3">
        <f>IFERROR(__xludf.DUMMYFUNCTION("""COMPUTED_VALUE"""),16.0)</f>
        <v>16</v>
      </c>
      <c r="AR230" s="3">
        <f>IFERROR(__xludf.DUMMYFUNCTION("""COMPUTED_VALUE"""),16.0)</f>
        <v>16</v>
      </c>
      <c r="AS230" s="3">
        <f>IFERROR(__xludf.DUMMYFUNCTION("""COMPUTED_VALUE"""),16.0)</f>
        <v>16</v>
      </c>
      <c r="AT230" s="3">
        <f>IFERROR(__xludf.DUMMYFUNCTION("""COMPUTED_VALUE"""),16.0)</f>
        <v>16</v>
      </c>
      <c r="AU230" s="3">
        <f>IFERROR(__xludf.DUMMYFUNCTION("""COMPUTED_VALUE"""),16.0)</f>
        <v>16</v>
      </c>
      <c r="AV230" s="3">
        <f>IFERROR(__xludf.DUMMYFUNCTION("""COMPUTED_VALUE"""),16.0)</f>
        <v>16</v>
      </c>
      <c r="AW230" s="3">
        <f>IFERROR(__xludf.DUMMYFUNCTION("""COMPUTED_VALUE"""),16.0)</f>
        <v>16</v>
      </c>
      <c r="AX230" s="3">
        <f>IFERROR(__xludf.DUMMYFUNCTION("""COMPUTED_VALUE"""),18.0)</f>
        <v>18</v>
      </c>
      <c r="AY230" s="3">
        <f>IFERROR(__xludf.DUMMYFUNCTION("""COMPUTED_VALUE"""),30.0)</f>
        <v>30</v>
      </c>
      <c r="AZ230" s="3">
        <f>IFERROR(__xludf.DUMMYFUNCTION("""COMPUTED_VALUE"""),30.0)</f>
        <v>30</v>
      </c>
      <c r="BA230" s="3">
        <f>IFERROR(__xludf.DUMMYFUNCTION("""COMPUTED_VALUE"""),31.0)</f>
        <v>31</v>
      </c>
      <c r="BB230" s="3">
        <f>IFERROR(__xludf.DUMMYFUNCTION("""COMPUTED_VALUE"""),38.0)</f>
        <v>38</v>
      </c>
      <c r="BC230" s="3">
        <f>IFERROR(__xludf.DUMMYFUNCTION("""COMPUTED_VALUE"""),39.0)</f>
        <v>39</v>
      </c>
      <c r="BD230" s="3">
        <f>IFERROR(__xludf.DUMMYFUNCTION("""COMPUTED_VALUE"""),47.0)</f>
        <v>47</v>
      </c>
      <c r="BE230" s="3">
        <f>IFERROR(__xludf.DUMMYFUNCTION("""COMPUTED_VALUE"""),53.0)</f>
        <v>53</v>
      </c>
      <c r="BF230" s="3">
        <f>IFERROR(__xludf.DUMMYFUNCTION("""COMPUTED_VALUE"""),56.0)</f>
        <v>56</v>
      </c>
      <c r="BG230" s="3">
        <f>IFERROR(__xludf.DUMMYFUNCTION("""COMPUTED_VALUE"""),61.0)</f>
        <v>61</v>
      </c>
      <c r="BH230" s="3">
        <f>IFERROR(__xludf.DUMMYFUNCTION("""COMPUTED_VALUE"""),66.0)</f>
        <v>66</v>
      </c>
      <c r="BI230" s="3">
        <f>IFERROR(__xludf.DUMMYFUNCTION("""COMPUTED_VALUE"""),75.0)</f>
        <v>75</v>
      </c>
      <c r="BJ230" s="3">
        <f>IFERROR(__xludf.DUMMYFUNCTION("""COMPUTED_VALUE"""),85.0)</f>
        <v>85</v>
      </c>
      <c r="BK230" s="3">
        <f>IFERROR(__xludf.DUMMYFUNCTION("""COMPUTED_VALUE"""),91.0)</f>
        <v>91</v>
      </c>
      <c r="BL230" s="3">
        <f>IFERROR(__xludf.DUMMYFUNCTION("""COMPUTED_VALUE"""),94.0)</f>
        <v>94</v>
      </c>
      <c r="BM230" s="3">
        <f>IFERROR(__xludf.DUMMYFUNCTION("""COMPUTED_VALUE"""),113.0)</f>
        <v>113</v>
      </c>
      <c r="BN230" s="3">
        <f>IFERROR(__xludf.DUMMYFUNCTION("""COMPUTED_VALUE"""),123.0)</f>
        <v>123</v>
      </c>
      <c r="BO230" s="3">
        <f>IFERROR(__xludf.DUMMYFUNCTION("""COMPUTED_VALUE"""),134.0)</f>
        <v>134</v>
      </c>
      <c r="BP230" s="3">
        <f>IFERROR(__xludf.DUMMYFUNCTION("""COMPUTED_VALUE"""),141.0)</f>
        <v>141</v>
      </c>
      <c r="BQ230" s="3">
        <f>IFERROR(__xludf.DUMMYFUNCTION("""COMPUTED_VALUE"""),153.0)</f>
        <v>153</v>
      </c>
      <c r="BR230" s="3">
        <f>IFERROR(__xludf.DUMMYFUNCTION("""COMPUTED_VALUE"""),163.0)</f>
        <v>163</v>
      </c>
      <c r="BS230" s="3">
        <f>IFERROR(__xludf.DUMMYFUNCTION("""COMPUTED_VALUE"""),174.0)</f>
        <v>174</v>
      </c>
      <c r="BT230" s="3">
        <f>IFERROR(__xludf.DUMMYFUNCTION("""COMPUTED_VALUE"""),188.0)</f>
        <v>188</v>
      </c>
      <c r="BU230" s="3">
        <f>IFERROR(__xludf.DUMMYFUNCTION("""COMPUTED_VALUE"""),203.0)</f>
        <v>203</v>
      </c>
      <c r="BV230" s="3">
        <f>IFERROR(__xludf.DUMMYFUNCTION("""COMPUTED_VALUE"""),212.0)</f>
        <v>212</v>
      </c>
      <c r="BW230" s="3">
        <f>IFERROR(__xludf.DUMMYFUNCTION("""COMPUTED_VALUE"""),218.0)</f>
        <v>218</v>
      </c>
      <c r="BX230" s="3">
        <f>IFERROR(__xludf.DUMMYFUNCTION("""COMPUTED_VALUE"""),233.0)</f>
        <v>233</v>
      </c>
      <c r="BY230" s="3">
        <f>IFERROR(__xludf.DUMMYFUNCTION("""COMPUTED_VALUE"""),237.0)</f>
        <v>237</v>
      </c>
      <c r="BZ230" s="3">
        <f>IFERROR(__xludf.DUMMYFUNCTION("""COMPUTED_VALUE"""),240.0)</f>
        <v>240</v>
      </c>
      <c r="CA230" s="3">
        <f>IFERROR(__xludf.DUMMYFUNCTION("""COMPUTED_VALUE"""),241.0)</f>
        <v>241</v>
      </c>
      <c r="CB230" s="3">
        <f>IFERROR(__xludf.DUMMYFUNCTION("""COMPUTED_VALUE"""),245.0)</f>
        <v>245</v>
      </c>
    </row>
    <row r="231">
      <c r="A231" s="3" t="str">
        <f>IFERROR(__xludf.DUMMYFUNCTION("""COMPUTED_VALUE"""),"")</f>
        <v/>
      </c>
      <c r="B231" s="3" t="str">
        <f>IFERROR(__xludf.DUMMYFUNCTION("""COMPUTED_VALUE"""),"Zambia")</f>
        <v>Zambia</v>
      </c>
      <c r="C231" s="3">
        <f>IFERROR(__xludf.DUMMYFUNCTION("""COMPUTED_VALUE"""),-15.4167)</f>
        <v>-15.4167</v>
      </c>
      <c r="D231" s="3">
        <f>IFERROR(__xludf.DUMMYFUNCTION("""COMPUTED_VALUE"""),28.2833)</f>
        <v>28.2833</v>
      </c>
      <c r="E231" s="3">
        <f>IFERROR(__xludf.DUMMYFUNCTION("""COMPUTED_VALUE"""),0.0)</f>
        <v>0</v>
      </c>
      <c r="F231" s="3">
        <f>IFERROR(__xludf.DUMMYFUNCTION("""COMPUTED_VALUE"""),0.0)</f>
        <v>0</v>
      </c>
      <c r="G231" s="3">
        <f>IFERROR(__xludf.DUMMYFUNCTION("""COMPUTED_VALUE"""),0.0)</f>
        <v>0</v>
      </c>
      <c r="H231" s="3">
        <f>IFERROR(__xludf.DUMMYFUNCTION("""COMPUTED_VALUE"""),0.0)</f>
        <v>0</v>
      </c>
      <c r="I231" s="3">
        <f>IFERROR(__xludf.DUMMYFUNCTION("""COMPUTED_VALUE"""),0.0)</f>
        <v>0</v>
      </c>
      <c r="J231" s="3">
        <f>IFERROR(__xludf.DUMMYFUNCTION("""COMPUTED_VALUE"""),0.0)</f>
        <v>0</v>
      </c>
      <c r="K231" s="3">
        <f>IFERROR(__xludf.DUMMYFUNCTION("""COMPUTED_VALUE"""),0.0)</f>
        <v>0</v>
      </c>
      <c r="L231" s="3">
        <f>IFERROR(__xludf.DUMMYFUNCTION("""COMPUTED_VALUE"""),0.0)</f>
        <v>0</v>
      </c>
      <c r="M231" s="3">
        <f>IFERROR(__xludf.DUMMYFUNCTION("""COMPUTED_VALUE"""),0.0)</f>
        <v>0</v>
      </c>
      <c r="N231" s="3">
        <f>IFERROR(__xludf.DUMMYFUNCTION("""COMPUTED_VALUE"""),0.0)</f>
        <v>0</v>
      </c>
      <c r="O231" s="3">
        <f>IFERROR(__xludf.DUMMYFUNCTION("""COMPUTED_VALUE"""),0.0)</f>
        <v>0</v>
      </c>
      <c r="P231" s="3">
        <f>IFERROR(__xludf.DUMMYFUNCTION("""COMPUTED_VALUE"""),0.0)</f>
        <v>0</v>
      </c>
      <c r="Q231" s="3">
        <f>IFERROR(__xludf.DUMMYFUNCTION("""COMPUTED_VALUE"""),0.0)</f>
        <v>0</v>
      </c>
      <c r="R231" s="3">
        <f>IFERROR(__xludf.DUMMYFUNCTION("""COMPUTED_VALUE"""),0.0)</f>
        <v>0</v>
      </c>
      <c r="S231" s="3">
        <f>IFERROR(__xludf.DUMMYFUNCTION("""COMPUTED_VALUE"""),0.0)</f>
        <v>0</v>
      </c>
      <c r="T231" s="3">
        <f>IFERROR(__xludf.DUMMYFUNCTION("""COMPUTED_VALUE"""),0.0)</f>
        <v>0</v>
      </c>
      <c r="U231" s="3">
        <f>IFERROR(__xludf.DUMMYFUNCTION("""COMPUTED_VALUE"""),0.0)</f>
        <v>0</v>
      </c>
      <c r="V231" s="3">
        <f>IFERROR(__xludf.DUMMYFUNCTION("""COMPUTED_VALUE"""),0.0)</f>
        <v>0</v>
      </c>
      <c r="W231" s="3">
        <f>IFERROR(__xludf.DUMMYFUNCTION("""COMPUTED_VALUE"""),0.0)</f>
        <v>0</v>
      </c>
      <c r="X231" s="3">
        <f>IFERROR(__xludf.DUMMYFUNCTION("""COMPUTED_VALUE"""),0.0)</f>
        <v>0</v>
      </c>
      <c r="Y231" s="3">
        <f>IFERROR(__xludf.DUMMYFUNCTION("""COMPUTED_VALUE"""),0.0)</f>
        <v>0</v>
      </c>
      <c r="Z231" s="3">
        <f>IFERROR(__xludf.DUMMYFUNCTION("""COMPUTED_VALUE"""),0.0)</f>
        <v>0</v>
      </c>
      <c r="AA231" s="3">
        <f>IFERROR(__xludf.DUMMYFUNCTION("""COMPUTED_VALUE"""),0.0)</f>
        <v>0</v>
      </c>
      <c r="AB231" s="3">
        <f>IFERROR(__xludf.DUMMYFUNCTION("""COMPUTED_VALUE"""),0.0)</f>
        <v>0</v>
      </c>
      <c r="AC231" s="3">
        <f>IFERROR(__xludf.DUMMYFUNCTION("""COMPUTED_VALUE"""),0.0)</f>
        <v>0</v>
      </c>
      <c r="AD231" s="3">
        <f>IFERROR(__xludf.DUMMYFUNCTION("""COMPUTED_VALUE"""),0.0)</f>
        <v>0</v>
      </c>
      <c r="AE231" s="3">
        <f>IFERROR(__xludf.DUMMYFUNCTION("""COMPUTED_VALUE"""),0.0)</f>
        <v>0</v>
      </c>
      <c r="AF231" s="3">
        <f>IFERROR(__xludf.DUMMYFUNCTION("""COMPUTED_VALUE"""),0.0)</f>
        <v>0</v>
      </c>
      <c r="AG231" s="3">
        <f>IFERROR(__xludf.DUMMYFUNCTION("""COMPUTED_VALUE"""),0.0)</f>
        <v>0</v>
      </c>
      <c r="AH231" s="3">
        <f>IFERROR(__xludf.DUMMYFUNCTION("""COMPUTED_VALUE"""),0.0)</f>
        <v>0</v>
      </c>
      <c r="AI231" s="3">
        <f>IFERROR(__xludf.DUMMYFUNCTION("""COMPUTED_VALUE"""),0.0)</f>
        <v>0</v>
      </c>
      <c r="AJ231" s="3">
        <f>IFERROR(__xludf.DUMMYFUNCTION("""COMPUTED_VALUE"""),0.0)</f>
        <v>0</v>
      </c>
      <c r="AK231" s="3">
        <f>IFERROR(__xludf.DUMMYFUNCTION("""COMPUTED_VALUE"""),0.0)</f>
        <v>0</v>
      </c>
      <c r="AL231" s="3">
        <f>IFERROR(__xludf.DUMMYFUNCTION("""COMPUTED_VALUE"""),0.0)</f>
        <v>0</v>
      </c>
      <c r="AM231" s="3">
        <f>IFERROR(__xludf.DUMMYFUNCTION("""COMPUTED_VALUE"""),0.0)</f>
        <v>0</v>
      </c>
      <c r="AN231" s="3">
        <f>IFERROR(__xludf.DUMMYFUNCTION("""COMPUTED_VALUE"""),0.0)</f>
        <v>0</v>
      </c>
      <c r="AO231" s="3">
        <f>IFERROR(__xludf.DUMMYFUNCTION("""COMPUTED_VALUE"""),0.0)</f>
        <v>0</v>
      </c>
      <c r="AP231" s="3">
        <f>IFERROR(__xludf.DUMMYFUNCTION("""COMPUTED_VALUE"""),0.0)</f>
        <v>0</v>
      </c>
      <c r="AQ231" s="3">
        <f>IFERROR(__xludf.DUMMYFUNCTION("""COMPUTED_VALUE"""),0.0)</f>
        <v>0</v>
      </c>
      <c r="AR231" s="3">
        <f>IFERROR(__xludf.DUMMYFUNCTION("""COMPUTED_VALUE"""),0.0)</f>
        <v>0</v>
      </c>
      <c r="AS231" s="3">
        <f>IFERROR(__xludf.DUMMYFUNCTION("""COMPUTED_VALUE"""),0.0)</f>
        <v>0</v>
      </c>
      <c r="AT231" s="3">
        <f>IFERROR(__xludf.DUMMYFUNCTION("""COMPUTED_VALUE"""),0.0)</f>
        <v>0</v>
      </c>
      <c r="AU231" s="3">
        <f>IFERROR(__xludf.DUMMYFUNCTION("""COMPUTED_VALUE"""),0.0)</f>
        <v>0</v>
      </c>
      <c r="AV231" s="3">
        <f>IFERROR(__xludf.DUMMYFUNCTION("""COMPUTED_VALUE"""),0.0)</f>
        <v>0</v>
      </c>
      <c r="AW231" s="3">
        <f>IFERROR(__xludf.DUMMYFUNCTION("""COMPUTED_VALUE"""),0.0)</f>
        <v>0</v>
      </c>
      <c r="AX231" s="3">
        <f>IFERROR(__xludf.DUMMYFUNCTION("""COMPUTED_VALUE"""),0.0)</f>
        <v>0</v>
      </c>
      <c r="AY231" s="3">
        <f>IFERROR(__xludf.DUMMYFUNCTION("""COMPUTED_VALUE"""),0.0)</f>
        <v>0</v>
      </c>
      <c r="AZ231" s="3">
        <f>IFERROR(__xludf.DUMMYFUNCTION("""COMPUTED_VALUE"""),0.0)</f>
        <v>0</v>
      </c>
      <c r="BA231" s="3">
        <f>IFERROR(__xludf.DUMMYFUNCTION("""COMPUTED_VALUE"""),0.0)</f>
        <v>0</v>
      </c>
      <c r="BB231" s="3">
        <f>IFERROR(__xludf.DUMMYFUNCTION("""COMPUTED_VALUE"""),0.0)</f>
        <v>0</v>
      </c>
      <c r="BC231" s="3">
        <f>IFERROR(__xludf.DUMMYFUNCTION("""COMPUTED_VALUE"""),0.0)</f>
        <v>0</v>
      </c>
      <c r="BD231" s="3">
        <f>IFERROR(__xludf.DUMMYFUNCTION("""COMPUTED_VALUE"""),0.0)</f>
        <v>0</v>
      </c>
      <c r="BE231" s="3">
        <f>IFERROR(__xludf.DUMMYFUNCTION("""COMPUTED_VALUE"""),0.0)</f>
        <v>0</v>
      </c>
      <c r="BF231" s="3">
        <f>IFERROR(__xludf.DUMMYFUNCTION("""COMPUTED_VALUE"""),0.0)</f>
        <v>0</v>
      </c>
      <c r="BG231" s="3">
        <f>IFERROR(__xludf.DUMMYFUNCTION("""COMPUTED_VALUE"""),0.0)</f>
        <v>0</v>
      </c>
      <c r="BH231" s="3">
        <f>IFERROR(__xludf.DUMMYFUNCTION("""COMPUTED_VALUE"""),0.0)</f>
        <v>0</v>
      </c>
      <c r="BI231" s="3">
        <f>IFERROR(__xludf.DUMMYFUNCTION("""COMPUTED_VALUE"""),2.0)</f>
        <v>2</v>
      </c>
      <c r="BJ231" s="3">
        <f>IFERROR(__xludf.DUMMYFUNCTION("""COMPUTED_VALUE"""),2.0)</f>
        <v>2</v>
      </c>
      <c r="BK231" s="3">
        <f>IFERROR(__xludf.DUMMYFUNCTION("""COMPUTED_VALUE"""),2.0)</f>
        <v>2</v>
      </c>
      <c r="BL231" s="3">
        <f>IFERROR(__xludf.DUMMYFUNCTION("""COMPUTED_VALUE"""),2.0)</f>
        <v>2</v>
      </c>
      <c r="BM231" s="3">
        <f>IFERROR(__xludf.DUMMYFUNCTION("""COMPUTED_VALUE"""),3.0)</f>
        <v>3</v>
      </c>
      <c r="BN231" s="3">
        <f>IFERROR(__xludf.DUMMYFUNCTION("""COMPUTED_VALUE"""),3.0)</f>
        <v>3</v>
      </c>
      <c r="BO231" s="3">
        <f>IFERROR(__xludf.DUMMYFUNCTION("""COMPUTED_VALUE"""),3.0)</f>
        <v>3</v>
      </c>
      <c r="BP231" s="3">
        <f>IFERROR(__xludf.DUMMYFUNCTION("""COMPUTED_VALUE"""),12.0)</f>
        <v>12</v>
      </c>
      <c r="BQ231" s="3">
        <f>IFERROR(__xludf.DUMMYFUNCTION("""COMPUTED_VALUE"""),16.0)</f>
        <v>16</v>
      </c>
      <c r="BR231" s="3">
        <f>IFERROR(__xludf.DUMMYFUNCTION("""COMPUTED_VALUE"""),22.0)</f>
        <v>22</v>
      </c>
      <c r="BS231" s="3">
        <f>IFERROR(__xludf.DUMMYFUNCTION("""COMPUTED_VALUE"""),28.0)</f>
        <v>28</v>
      </c>
      <c r="BT231" s="3">
        <f>IFERROR(__xludf.DUMMYFUNCTION("""COMPUTED_VALUE"""),29.0)</f>
        <v>29</v>
      </c>
      <c r="BU231" s="3">
        <f>IFERROR(__xludf.DUMMYFUNCTION("""COMPUTED_VALUE"""),35.0)</f>
        <v>35</v>
      </c>
      <c r="BV231" s="3">
        <f>IFERROR(__xludf.DUMMYFUNCTION("""COMPUTED_VALUE"""),35.0)</f>
        <v>35</v>
      </c>
      <c r="BW231" s="3">
        <f>IFERROR(__xludf.DUMMYFUNCTION("""COMPUTED_VALUE"""),36.0)</f>
        <v>36</v>
      </c>
      <c r="BX231" s="3">
        <f>IFERROR(__xludf.DUMMYFUNCTION("""COMPUTED_VALUE"""),39.0)</f>
        <v>39</v>
      </c>
      <c r="BY231" s="3">
        <f>IFERROR(__xludf.DUMMYFUNCTION("""COMPUTED_VALUE"""),39.0)</f>
        <v>39</v>
      </c>
      <c r="BZ231" s="3">
        <f>IFERROR(__xludf.DUMMYFUNCTION("""COMPUTED_VALUE"""),39.0)</f>
        <v>39</v>
      </c>
      <c r="CA231" s="3">
        <f>IFERROR(__xludf.DUMMYFUNCTION("""COMPUTED_VALUE"""),39.0)</f>
        <v>39</v>
      </c>
      <c r="CB231" s="3">
        <f>IFERROR(__xludf.DUMMYFUNCTION("""COMPUTED_VALUE"""),39.0)</f>
        <v>39</v>
      </c>
    </row>
    <row r="232">
      <c r="A232" s="3" t="str">
        <f>IFERROR(__xludf.DUMMYFUNCTION("""COMPUTED_VALUE"""),"")</f>
        <v/>
      </c>
      <c r="B232" s="3" t="str">
        <f>IFERROR(__xludf.DUMMYFUNCTION("""COMPUTED_VALUE"""),"Zimbabwe")</f>
        <v>Zimbabwe</v>
      </c>
      <c r="C232" s="3">
        <f>IFERROR(__xludf.DUMMYFUNCTION("""COMPUTED_VALUE"""),-20.0)</f>
        <v>-20</v>
      </c>
      <c r="D232" s="3">
        <f>IFERROR(__xludf.DUMMYFUNCTION("""COMPUTED_VALUE"""),30.0)</f>
        <v>30</v>
      </c>
      <c r="E232" s="3">
        <f>IFERROR(__xludf.DUMMYFUNCTION("""COMPUTED_VALUE"""),0.0)</f>
        <v>0</v>
      </c>
      <c r="F232" s="3">
        <f>IFERROR(__xludf.DUMMYFUNCTION("""COMPUTED_VALUE"""),0.0)</f>
        <v>0</v>
      </c>
      <c r="G232" s="3">
        <f>IFERROR(__xludf.DUMMYFUNCTION("""COMPUTED_VALUE"""),0.0)</f>
        <v>0</v>
      </c>
      <c r="H232" s="3">
        <f>IFERROR(__xludf.DUMMYFUNCTION("""COMPUTED_VALUE"""),0.0)</f>
        <v>0</v>
      </c>
      <c r="I232" s="3">
        <f>IFERROR(__xludf.DUMMYFUNCTION("""COMPUTED_VALUE"""),0.0)</f>
        <v>0</v>
      </c>
      <c r="J232" s="3">
        <f>IFERROR(__xludf.DUMMYFUNCTION("""COMPUTED_VALUE"""),0.0)</f>
        <v>0</v>
      </c>
      <c r="K232" s="3">
        <f>IFERROR(__xludf.DUMMYFUNCTION("""COMPUTED_VALUE"""),0.0)</f>
        <v>0</v>
      </c>
      <c r="L232" s="3">
        <f>IFERROR(__xludf.DUMMYFUNCTION("""COMPUTED_VALUE"""),0.0)</f>
        <v>0</v>
      </c>
      <c r="M232" s="3">
        <f>IFERROR(__xludf.DUMMYFUNCTION("""COMPUTED_VALUE"""),0.0)</f>
        <v>0</v>
      </c>
      <c r="N232" s="3">
        <f>IFERROR(__xludf.DUMMYFUNCTION("""COMPUTED_VALUE"""),0.0)</f>
        <v>0</v>
      </c>
      <c r="O232" s="3">
        <f>IFERROR(__xludf.DUMMYFUNCTION("""COMPUTED_VALUE"""),0.0)</f>
        <v>0</v>
      </c>
      <c r="P232" s="3">
        <f>IFERROR(__xludf.DUMMYFUNCTION("""COMPUTED_VALUE"""),0.0)</f>
        <v>0</v>
      </c>
      <c r="Q232" s="3">
        <f>IFERROR(__xludf.DUMMYFUNCTION("""COMPUTED_VALUE"""),0.0)</f>
        <v>0</v>
      </c>
      <c r="R232" s="3">
        <f>IFERROR(__xludf.DUMMYFUNCTION("""COMPUTED_VALUE"""),0.0)</f>
        <v>0</v>
      </c>
      <c r="S232" s="3">
        <f>IFERROR(__xludf.DUMMYFUNCTION("""COMPUTED_VALUE"""),0.0)</f>
        <v>0</v>
      </c>
      <c r="T232" s="3">
        <f>IFERROR(__xludf.DUMMYFUNCTION("""COMPUTED_VALUE"""),0.0)</f>
        <v>0</v>
      </c>
      <c r="U232" s="3">
        <f>IFERROR(__xludf.DUMMYFUNCTION("""COMPUTED_VALUE"""),0.0)</f>
        <v>0</v>
      </c>
      <c r="V232" s="3">
        <f>IFERROR(__xludf.DUMMYFUNCTION("""COMPUTED_VALUE"""),0.0)</f>
        <v>0</v>
      </c>
      <c r="W232" s="3">
        <f>IFERROR(__xludf.DUMMYFUNCTION("""COMPUTED_VALUE"""),0.0)</f>
        <v>0</v>
      </c>
      <c r="X232" s="3">
        <f>IFERROR(__xludf.DUMMYFUNCTION("""COMPUTED_VALUE"""),0.0)</f>
        <v>0</v>
      </c>
      <c r="Y232" s="3">
        <f>IFERROR(__xludf.DUMMYFUNCTION("""COMPUTED_VALUE"""),0.0)</f>
        <v>0</v>
      </c>
      <c r="Z232" s="3">
        <f>IFERROR(__xludf.DUMMYFUNCTION("""COMPUTED_VALUE"""),0.0)</f>
        <v>0</v>
      </c>
      <c r="AA232" s="3">
        <f>IFERROR(__xludf.DUMMYFUNCTION("""COMPUTED_VALUE"""),0.0)</f>
        <v>0</v>
      </c>
      <c r="AB232" s="3">
        <f>IFERROR(__xludf.DUMMYFUNCTION("""COMPUTED_VALUE"""),0.0)</f>
        <v>0</v>
      </c>
      <c r="AC232" s="3">
        <f>IFERROR(__xludf.DUMMYFUNCTION("""COMPUTED_VALUE"""),0.0)</f>
        <v>0</v>
      </c>
      <c r="AD232" s="3">
        <f>IFERROR(__xludf.DUMMYFUNCTION("""COMPUTED_VALUE"""),0.0)</f>
        <v>0</v>
      </c>
      <c r="AE232" s="3">
        <f>IFERROR(__xludf.DUMMYFUNCTION("""COMPUTED_VALUE"""),0.0)</f>
        <v>0</v>
      </c>
      <c r="AF232" s="3">
        <f>IFERROR(__xludf.DUMMYFUNCTION("""COMPUTED_VALUE"""),0.0)</f>
        <v>0</v>
      </c>
      <c r="AG232" s="3">
        <f>IFERROR(__xludf.DUMMYFUNCTION("""COMPUTED_VALUE"""),0.0)</f>
        <v>0</v>
      </c>
      <c r="AH232" s="3">
        <f>IFERROR(__xludf.DUMMYFUNCTION("""COMPUTED_VALUE"""),0.0)</f>
        <v>0</v>
      </c>
      <c r="AI232" s="3">
        <f>IFERROR(__xludf.DUMMYFUNCTION("""COMPUTED_VALUE"""),0.0)</f>
        <v>0</v>
      </c>
      <c r="AJ232" s="3">
        <f>IFERROR(__xludf.DUMMYFUNCTION("""COMPUTED_VALUE"""),0.0)</f>
        <v>0</v>
      </c>
      <c r="AK232" s="3">
        <f>IFERROR(__xludf.DUMMYFUNCTION("""COMPUTED_VALUE"""),0.0)</f>
        <v>0</v>
      </c>
      <c r="AL232" s="3">
        <f>IFERROR(__xludf.DUMMYFUNCTION("""COMPUTED_VALUE"""),0.0)</f>
        <v>0</v>
      </c>
      <c r="AM232" s="3">
        <f>IFERROR(__xludf.DUMMYFUNCTION("""COMPUTED_VALUE"""),0.0)</f>
        <v>0</v>
      </c>
      <c r="AN232" s="3">
        <f>IFERROR(__xludf.DUMMYFUNCTION("""COMPUTED_VALUE"""),0.0)</f>
        <v>0</v>
      </c>
      <c r="AO232" s="3">
        <f>IFERROR(__xludf.DUMMYFUNCTION("""COMPUTED_VALUE"""),0.0)</f>
        <v>0</v>
      </c>
      <c r="AP232" s="3">
        <f>IFERROR(__xludf.DUMMYFUNCTION("""COMPUTED_VALUE"""),0.0)</f>
        <v>0</v>
      </c>
      <c r="AQ232" s="3">
        <f>IFERROR(__xludf.DUMMYFUNCTION("""COMPUTED_VALUE"""),0.0)</f>
        <v>0</v>
      </c>
      <c r="AR232" s="3">
        <f>IFERROR(__xludf.DUMMYFUNCTION("""COMPUTED_VALUE"""),0.0)</f>
        <v>0</v>
      </c>
      <c r="AS232" s="3">
        <f>IFERROR(__xludf.DUMMYFUNCTION("""COMPUTED_VALUE"""),0.0)</f>
        <v>0</v>
      </c>
      <c r="AT232" s="3">
        <f>IFERROR(__xludf.DUMMYFUNCTION("""COMPUTED_VALUE"""),0.0)</f>
        <v>0</v>
      </c>
      <c r="AU232" s="3">
        <f>IFERROR(__xludf.DUMMYFUNCTION("""COMPUTED_VALUE"""),0.0)</f>
        <v>0</v>
      </c>
      <c r="AV232" s="3">
        <f>IFERROR(__xludf.DUMMYFUNCTION("""COMPUTED_VALUE"""),0.0)</f>
        <v>0</v>
      </c>
      <c r="AW232" s="3">
        <f>IFERROR(__xludf.DUMMYFUNCTION("""COMPUTED_VALUE"""),0.0)</f>
        <v>0</v>
      </c>
      <c r="AX232" s="3">
        <f>IFERROR(__xludf.DUMMYFUNCTION("""COMPUTED_VALUE"""),0.0)</f>
        <v>0</v>
      </c>
      <c r="AY232" s="3">
        <f>IFERROR(__xludf.DUMMYFUNCTION("""COMPUTED_VALUE"""),0.0)</f>
        <v>0</v>
      </c>
      <c r="AZ232" s="3">
        <f>IFERROR(__xludf.DUMMYFUNCTION("""COMPUTED_VALUE"""),0.0)</f>
        <v>0</v>
      </c>
      <c r="BA232" s="3">
        <f>IFERROR(__xludf.DUMMYFUNCTION("""COMPUTED_VALUE"""),0.0)</f>
        <v>0</v>
      </c>
      <c r="BB232" s="3">
        <f>IFERROR(__xludf.DUMMYFUNCTION("""COMPUTED_VALUE"""),0.0)</f>
        <v>0</v>
      </c>
      <c r="BC232" s="3">
        <f>IFERROR(__xludf.DUMMYFUNCTION("""COMPUTED_VALUE"""),0.0)</f>
        <v>0</v>
      </c>
      <c r="BD232" s="3">
        <f>IFERROR(__xludf.DUMMYFUNCTION("""COMPUTED_VALUE"""),0.0)</f>
        <v>0</v>
      </c>
      <c r="BE232" s="3">
        <f>IFERROR(__xludf.DUMMYFUNCTION("""COMPUTED_VALUE"""),0.0)</f>
        <v>0</v>
      </c>
      <c r="BF232" s="3">
        <f>IFERROR(__xludf.DUMMYFUNCTION("""COMPUTED_VALUE"""),0.0)</f>
        <v>0</v>
      </c>
      <c r="BG232" s="3">
        <f>IFERROR(__xludf.DUMMYFUNCTION("""COMPUTED_VALUE"""),0.0)</f>
        <v>0</v>
      </c>
      <c r="BH232" s="3">
        <f>IFERROR(__xludf.DUMMYFUNCTION("""COMPUTED_VALUE"""),0.0)</f>
        <v>0</v>
      </c>
      <c r="BI232" s="3">
        <f>IFERROR(__xludf.DUMMYFUNCTION("""COMPUTED_VALUE"""),0.0)</f>
        <v>0</v>
      </c>
      <c r="BJ232" s="3">
        <f>IFERROR(__xludf.DUMMYFUNCTION("""COMPUTED_VALUE"""),0.0)</f>
        <v>0</v>
      </c>
      <c r="BK232" s="3">
        <f>IFERROR(__xludf.DUMMYFUNCTION("""COMPUTED_VALUE"""),1.0)</f>
        <v>1</v>
      </c>
      <c r="BL232" s="3">
        <f>IFERROR(__xludf.DUMMYFUNCTION("""COMPUTED_VALUE"""),3.0)</f>
        <v>3</v>
      </c>
      <c r="BM232" s="3">
        <f>IFERROR(__xludf.DUMMYFUNCTION("""COMPUTED_VALUE"""),3.0)</f>
        <v>3</v>
      </c>
      <c r="BN232" s="3">
        <f>IFERROR(__xludf.DUMMYFUNCTION("""COMPUTED_VALUE"""),3.0)</f>
        <v>3</v>
      </c>
      <c r="BO232" s="3">
        <f>IFERROR(__xludf.DUMMYFUNCTION("""COMPUTED_VALUE"""),3.0)</f>
        <v>3</v>
      </c>
      <c r="BP232" s="3">
        <f>IFERROR(__xludf.DUMMYFUNCTION("""COMPUTED_VALUE"""),3.0)</f>
        <v>3</v>
      </c>
      <c r="BQ232" s="3">
        <f>IFERROR(__xludf.DUMMYFUNCTION("""COMPUTED_VALUE"""),3.0)</f>
        <v>3</v>
      </c>
      <c r="BR232" s="3">
        <f>IFERROR(__xludf.DUMMYFUNCTION("""COMPUTED_VALUE"""),5.0)</f>
        <v>5</v>
      </c>
      <c r="BS232" s="3">
        <f>IFERROR(__xludf.DUMMYFUNCTION("""COMPUTED_VALUE"""),7.0)</f>
        <v>7</v>
      </c>
      <c r="BT232" s="3">
        <f>IFERROR(__xludf.DUMMYFUNCTION("""COMPUTED_VALUE"""),7.0)</f>
        <v>7</v>
      </c>
      <c r="BU232" s="3">
        <f>IFERROR(__xludf.DUMMYFUNCTION("""COMPUTED_VALUE"""),7.0)</f>
        <v>7</v>
      </c>
      <c r="BV232" s="3">
        <f>IFERROR(__xludf.DUMMYFUNCTION("""COMPUTED_VALUE"""),8.0)</f>
        <v>8</v>
      </c>
      <c r="BW232" s="3">
        <f>IFERROR(__xludf.DUMMYFUNCTION("""COMPUTED_VALUE"""),8.0)</f>
        <v>8</v>
      </c>
      <c r="BX232" s="3">
        <f>IFERROR(__xludf.DUMMYFUNCTION("""COMPUTED_VALUE"""),9.0)</f>
        <v>9</v>
      </c>
      <c r="BY232" s="3">
        <f>IFERROR(__xludf.DUMMYFUNCTION("""COMPUTED_VALUE"""),9.0)</f>
        <v>9</v>
      </c>
      <c r="BZ232" s="3">
        <f>IFERROR(__xludf.DUMMYFUNCTION("""COMPUTED_VALUE"""),9.0)</f>
        <v>9</v>
      </c>
      <c r="CA232" s="3">
        <f>IFERROR(__xludf.DUMMYFUNCTION("""COMPUTED_VALUE"""),9.0)</f>
        <v>9</v>
      </c>
      <c r="CB232" s="3">
        <f>IFERROR(__xludf.DUMMYFUNCTION("""COMPUTED_VALUE"""),10.0)</f>
        <v>10</v>
      </c>
    </row>
    <row r="233">
      <c r="A233" s="3" t="str">
        <f>IFERROR(__xludf.DUMMYFUNCTION("""COMPUTED_VALUE"""),"Diamond Princess")</f>
        <v>Diamond Princess</v>
      </c>
      <c r="B233" s="3" t="str">
        <f>IFERROR(__xludf.DUMMYFUNCTION("""COMPUTED_VALUE"""),"Canada")</f>
        <v>Canada</v>
      </c>
      <c r="C233" s="3">
        <f>IFERROR(__xludf.DUMMYFUNCTION("""COMPUTED_VALUE"""),0.0)</f>
        <v>0</v>
      </c>
      <c r="D233" s="3">
        <f>IFERROR(__xludf.DUMMYFUNCTION("""COMPUTED_VALUE"""),0.0)</f>
        <v>0</v>
      </c>
      <c r="E233" s="3">
        <f>IFERROR(__xludf.DUMMYFUNCTION("""COMPUTED_VALUE"""),0.0)</f>
        <v>0</v>
      </c>
      <c r="F233" s="3">
        <f>IFERROR(__xludf.DUMMYFUNCTION("""COMPUTED_VALUE"""),0.0)</f>
        <v>0</v>
      </c>
      <c r="G233" s="3">
        <f>IFERROR(__xludf.DUMMYFUNCTION("""COMPUTED_VALUE"""),0.0)</f>
        <v>0</v>
      </c>
      <c r="H233" s="3">
        <f>IFERROR(__xludf.DUMMYFUNCTION("""COMPUTED_VALUE"""),0.0)</f>
        <v>0</v>
      </c>
      <c r="I233" s="3">
        <f>IFERROR(__xludf.DUMMYFUNCTION("""COMPUTED_VALUE"""),0.0)</f>
        <v>0</v>
      </c>
      <c r="J233" s="3">
        <f>IFERROR(__xludf.DUMMYFUNCTION("""COMPUTED_VALUE"""),0.0)</f>
        <v>0</v>
      </c>
      <c r="K233" s="3">
        <f>IFERROR(__xludf.DUMMYFUNCTION("""COMPUTED_VALUE"""),0.0)</f>
        <v>0</v>
      </c>
      <c r="L233" s="3">
        <f>IFERROR(__xludf.DUMMYFUNCTION("""COMPUTED_VALUE"""),0.0)</f>
        <v>0</v>
      </c>
      <c r="M233" s="3">
        <f>IFERROR(__xludf.DUMMYFUNCTION("""COMPUTED_VALUE"""),0.0)</f>
        <v>0</v>
      </c>
      <c r="N233" s="3">
        <f>IFERROR(__xludf.DUMMYFUNCTION("""COMPUTED_VALUE"""),0.0)</f>
        <v>0</v>
      </c>
      <c r="O233" s="3">
        <f>IFERROR(__xludf.DUMMYFUNCTION("""COMPUTED_VALUE"""),0.0)</f>
        <v>0</v>
      </c>
      <c r="P233" s="3">
        <f>IFERROR(__xludf.DUMMYFUNCTION("""COMPUTED_VALUE"""),0.0)</f>
        <v>0</v>
      </c>
      <c r="Q233" s="3">
        <f>IFERROR(__xludf.DUMMYFUNCTION("""COMPUTED_VALUE"""),0.0)</f>
        <v>0</v>
      </c>
      <c r="R233" s="3">
        <f>IFERROR(__xludf.DUMMYFUNCTION("""COMPUTED_VALUE"""),0.0)</f>
        <v>0</v>
      </c>
      <c r="S233" s="3">
        <f>IFERROR(__xludf.DUMMYFUNCTION("""COMPUTED_VALUE"""),0.0)</f>
        <v>0</v>
      </c>
      <c r="T233" s="3">
        <f>IFERROR(__xludf.DUMMYFUNCTION("""COMPUTED_VALUE"""),0.0)</f>
        <v>0</v>
      </c>
      <c r="U233" s="3">
        <f>IFERROR(__xludf.DUMMYFUNCTION("""COMPUTED_VALUE"""),0.0)</f>
        <v>0</v>
      </c>
      <c r="V233" s="3">
        <f>IFERROR(__xludf.DUMMYFUNCTION("""COMPUTED_VALUE"""),0.0)</f>
        <v>0</v>
      </c>
      <c r="W233" s="3">
        <f>IFERROR(__xludf.DUMMYFUNCTION("""COMPUTED_VALUE"""),0.0)</f>
        <v>0</v>
      </c>
      <c r="X233" s="3">
        <f>IFERROR(__xludf.DUMMYFUNCTION("""COMPUTED_VALUE"""),0.0)</f>
        <v>0</v>
      </c>
      <c r="Y233" s="3">
        <f>IFERROR(__xludf.DUMMYFUNCTION("""COMPUTED_VALUE"""),0.0)</f>
        <v>0</v>
      </c>
      <c r="Z233" s="3">
        <f>IFERROR(__xludf.DUMMYFUNCTION("""COMPUTED_VALUE"""),0.0)</f>
        <v>0</v>
      </c>
      <c r="AA233" s="3">
        <f>IFERROR(__xludf.DUMMYFUNCTION("""COMPUTED_VALUE"""),0.0)</f>
        <v>0</v>
      </c>
      <c r="AB233" s="3">
        <f>IFERROR(__xludf.DUMMYFUNCTION("""COMPUTED_VALUE"""),0.0)</f>
        <v>0</v>
      </c>
      <c r="AC233" s="3">
        <f>IFERROR(__xludf.DUMMYFUNCTION("""COMPUTED_VALUE"""),0.0)</f>
        <v>0</v>
      </c>
      <c r="AD233" s="3">
        <f>IFERROR(__xludf.DUMMYFUNCTION("""COMPUTED_VALUE"""),0.0)</f>
        <v>0</v>
      </c>
      <c r="AE233" s="3">
        <f>IFERROR(__xludf.DUMMYFUNCTION("""COMPUTED_VALUE"""),0.0)</f>
        <v>0</v>
      </c>
      <c r="AF233" s="3">
        <f>IFERROR(__xludf.DUMMYFUNCTION("""COMPUTED_VALUE"""),0.0)</f>
        <v>0</v>
      </c>
      <c r="AG233" s="3">
        <f>IFERROR(__xludf.DUMMYFUNCTION("""COMPUTED_VALUE"""),0.0)</f>
        <v>0</v>
      </c>
      <c r="AH233" s="3">
        <f>IFERROR(__xludf.DUMMYFUNCTION("""COMPUTED_VALUE"""),0.0)</f>
        <v>0</v>
      </c>
      <c r="AI233" s="3">
        <f>IFERROR(__xludf.DUMMYFUNCTION("""COMPUTED_VALUE"""),0.0)</f>
        <v>0</v>
      </c>
      <c r="AJ233" s="3">
        <f>IFERROR(__xludf.DUMMYFUNCTION("""COMPUTED_VALUE"""),0.0)</f>
        <v>0</v>
      </c>
      <c r="AK233" s="3">
        <f>IFERROR(__xludf.DUMMYFUNCTION("""COMPUTED_VALUE"""),0.0)</f>
        <v>0</v>
      </c>
      <c r="AL233" s="3">
        <f>IFERROR(__xludf.DUMMYFUNCTION("""COMPUTED_VALUE"""),0.0)</f>
        <v>0</v>
      </c>
      <c r="AM233" s="3">
        <f>IFERROR(__xludf.DUMMYFUNCTION("""COMPUTED_VALUE"""),0.0)</f>
        <v>0</v>
      </c>
      <c r="AN233" s="3">
        <f>IFERROR(__xludf.DUMMYFUNCTION("""COMPUTED_VALUE"""),0.0)</f>
        <v>0</v>
      </c>
      <c r="AO233" s="3">
        <f>IFERROR(__xludf.DUMMYFUNCTION("""COMPUTED_VALUE"""),0.0)</f>
        <v>0</v>
      </c>
      <c r="AP233" s="3">
        <f>IFERROR(__xludf.DUMMYFUNCTION("""COMPUTED_VALUE"""),0.0)</f>
        <v>0</v>
      </c>
      <c r="AQ233" s="3">
        <f>IFERROR(__xludf.DUMMYFUNCTION("""COMPUTED_VALUE"""),0.0)</f>
        <v>0</v>
      </c>
      <c r="AR233" s="3">
        <f>IFERROR(__xludf.DUMMYFUNCTION("""COMPUTED_VALUE"""),0.0)</f>
        <v>0</v>
      </c>
      <c r="AS233" s="3">
        <f>IFERROR(__xludf.DUMMYFUNCTION("""COMPUTED_VALUE"""),0.0)</f>
        <v>0</v>
      </c>
      <c r="AT233" s="3">
        <f>IFERROR(__xludf.DUMMYFUNCTION("""COMPUTED_VALUE"""),0.0)</f>
        <v>0</v>
      </c>
      <c r="AU233" s="3">
        <f>IFERROR(__xludf.DUMMYFUNCTION("""COMPUTED_VALUE"""),0.0)</f>
        <v>0</v>
      </c>
      <c r="AV233" s="3">
        <f>IFERROR(__xludf.DUMMYFUNCTION("""COMPUTED_VALUE"""),0.0)</f>
        <v>0</v>
      </c>
      <c r="AW233" s="3">
        <f>IFERROR(__xludf.DUMMYFUNCTION("""COMPUTED_VALUE"""),0.0)</f>
        <v>0</v>
      </c>
      <c r="AX233" s="3">
        <f>IFERROR(__xludf.DUMMYFUNCTION("""COMPUTED_VALUE"""),0.0)</f>
        <v>0</v>
      </c>
      <c r="AY233" s="3">
        <f>IFERROR(__xludf.DUMMYFUNCTION("""COMPUTED_VALUE"""),0.0)</f>
        <v>0</v>
      </c>
      <c r="AZ233" s="3">
        <f>IFERROR(__xludf.DUMMYFUNCTION("""COMPUTED_VALUE"""),0.0)</f>
        <v>0</v>
      </c>
      <c r="BA233" s="3">
        <f>IFERROR(__xludf.DUMMYFUNCTION("""COMPUTED_VALUE"""),0.0)</f>
        <v>0</v>
      </c>
      <c r="BB233" s="3">
        <f>IFERROR(__xludf.DUMMYFUNCTION("""COMPUTED_VALUE"""),0.0)</f>
        <v>0</v>
      </c>
      <c r="BC233" s="3">
        <f>IFERROR(__xludf.DUMMYFUNCTION("""COMPUTED_VALUE"""),0.0)</f>
        <v>0</v>
      </c>
      <c r="BD233" s="3">
        <f>IFERROR(__xludf.DUMMYFUNCTION("""COMPUTED_VALUE"""),0.0)</f>
        <v>0</v>
      </c>
      <c r="BE233" s="3">
        <f>IFERROR(__xludf.DUMMYFUNCTION("""COMPUTED_VALUE"""),0.0)</f>
        <v>0</v>
      </c>
      <c r="BF233" s="3">
        <f>IFERROR(__xludf.DUMMYFUNCTION("""COMPUTED_VALUE"""),0.0)</f>
        <v>0</v>
      </c>
      <c r="BG233" s="3">
        <f>IFERROR(__xludf.DUMMYFUNCTION("""COMPUTED_VALUE"""),0.0)</f>
        <v>0</v>
      </c>
      <c r="BH233" s="3">
        <f>IFERROR(__xludf.DUMMYFUNCTION("""COMPUTED_VALUE"""),0.0)</f>
        <v>0</v>
      </c>
      <c r="BI233" s="3">
        <f>IFERROR(__xludf.DUMMYFUNCTION("""COMPUTED_VALUE"""),0.0)</f>
        <v>0</v>
      </c>
      <c r="BJ233" s="3">
        <f>IFERROR(__xludf.DUMMYFUNCTION("""COMPUTED_VALUE"""),0.0)</f>
        <v>0</v>
      </c>
      <c r="BK233" s="3">
        <f>IFERROR(__xludf.DUMMYFUNCTION("""COMPUTED_VALUE"""),0.0)</f>
        <v>0</v>
      </c>
      <c r="BL233" s="3">
        <f>IFERROR(__xludf.DUMMYFUNCTION("""COMPUTED_VALUE"""),0.0)</f>
        <v>0</v>
      </c>
      <c r="BM233" s="3">
        <f>IFERROR(__xludf.DUMMYFUNCTION("""COMPUTED_VALUE"""),0.0)</f>
        <v>0</v>
      </c>
      <c r="BN233" s="3">
        <f>IFERROR(__xludf.DUMMYFUNCTION("""COMPUTED_VALUE"""),0.0)</f>
        <v>0</v>
      </c>
      <c r="BO233" s="3">
        <f>IFERROR(__xludf.DUMMYFUNCTION("""COMPUTED_VALUE"""),0.0)</f>
        <v>0</v>
      </c>
      <c r="BP233" s="3">
        <f>IFERROR(__xludf.DUMMYFUNCTION("""COMPUTED_VALUE"""),0.0)</f>
        <v>0</v>
      </c>
      <c r="BQ233" s="3">
        <f>IFERROR(__xludf.DUMMYFUNCTION("""COMPUTED_VALUE"""),0.0)</f>
        <v>0</v>
      </c>
      <c r="BR233" s="3">
        <f>IFERROR(__xludf.DUMMYFUNCTION("""COMPUTED_VALUE"""),0.0)</f>
        <v>0</v>
      </c>
      <c r="BS233" s="3">
        <f>IFERROR(__xludf.DUMMYFUNCTION("""COMPUTED_VALUE"""),0.0)</f>
        <v>0</v>
      </c>
      <c r="BT233" s="3">
        <f>IFERROR(__xludf.DUMMYFUNCTION("""COMPUTED_VALUE"""),0.0)</f>
        <v>0</v>
      </c>
      <c r="BU233" s="3">
        <f>IFERROR(__xludf.DUMMYFUNCTION("""COMPUTED_VALUE"""),0.0)</f>
        <v>0</v>
      </c>
      <c r="BV233" s="3">
        <f>IFERROR(__xludf.DUMMYFUNCTION("""COMPUTED_VALUE"""),0.0)</f>
        <v>0</v>
      </c>
      <c r="BW233" s="3">
        <f>IFERROR(__xludf.DUMMYFUNCTION("""COMPUTED_VALUE"""),0.0)</f>
        <v>0</v>
      </c>
      <c r="BX233" s="3">
        <f>IFERROR(__xludf.DUMMYFUNCTION("""COMPUTED_VALUE"""),0.0)</f>
        <v>0</v>
      </c>
      <c r="BY233" s="3">
        <f>IFERROR(__xludf.DUMMYFUNCTION("""COMPUTED_VALUE"""),0.0)</f>
        <v>0</v>
      </c>
      <c r="BZ233" s="3">
        <f>IFERROR(__xludf.DUMMYFUNCTION("""COMPUTED_VALUE"""),0.0)</f>
        <v>0</v>
      </c>
      <c r="CA233" s="3">
        <f>IFERROR(__xludf.DUMMYFUNCTION("""COMPUTED_VALUE"""),0.0)</f>
        <v>0</v>
      </c>
      <c r="CB233" s="3">
        <f>IFERROR(__xludf.DUMMYFUNCTION("""COMPUTED_VALUE"""),0.0)</f>
        <v>0</v>
      </c>
    </row>
    <row r="234">
      <c r="A234" s="3" t="str">
        <f>IFERROR(__xludf.DUMMYFUNCTION("""COMPUTED_VALUE"""),"")</f>
        <v/>
      </c>
      <c r="B234" s="3" t="str">
        <f>IFERROR(__xludf.DUMMYFUNCTION("""COMPUTED_VALUE"""),"Dominica")</f>
        <v>Dominica</v>
      </c>
      <c r="C234" s="3">
        <f>IFERROR(__xludf.DUMMYFUNCTION("""COMPUTED_VALUE"""),15.415)</f>
        <v>15.415</v>
      </c>
      <c r="D234" s="3">
        <f>IFERROR(__xludf.DUMMYFUNCTION("""COMPUTED_VALUE"""),-61.371)</f>
        <v>-61.371</v>
      </c>
      <c r="E234" s="3">
        <f>IFERROR(__xludf.DUMMYFUNCTION("""COMPUTED_VALUE"""),0.0)</f>
        <v>0</v>
      </c>
      <c r="F234" s="3">
        <f>IFERROR(__xludf.DUMMYFUNCTION("""COMPUTED_VALUE"""),0.0)</f>
        <v>0</v>
      </c>
      <c r="G234" s="3">
        <f>IFERROR(__xludf.DUMMYFUNCTION("""COMPUTED_VALUE"""),0.0)</f>
        <v>0</v>
      </c>
      <c r="H234" s="3">
        <f>IFERROR(__xludf.DUMMYFUNCTION("""COMPUTED_VALUE"""),0.0)</f>
        <v>0</v>
      </c>
      <c r="I234" s="3">
        <f>IFERROR(__xludf.DUMMYFUNCTION("""COMPUTED_VALUE"""),0.0)</f>
        <v>0</v>
      </c>
      <c r="J234" s="3">
        <f>IFERROR(__xludf.DUMMYFUNCTION("""COMPUTED_VALUE"""),0.0)</f>
        <v>0</v>
      </c>
      <c r="K234" s="3">
        <f>IFERROR(__xludf.DUMMYFUNCTION("""COMPUTED_VALUE"""),0.0)</f>
        <v>0</v>
      </c>
      <c r="L234" s="3">
        <f>IFERROR(__xludf.DUMMYFUNCTION("""COMPUTED_VALUE"""),0.0)</f>
        <v>0</v>
      </c>
      <c r="M234" s="3">
        <f>IFERROR(__xludf.DUMMYFUNCTION("""COMPUTED_VALUE"""),0.0)</f>
        <v>0</v>
      </c>
      <c r="N234" s="3">
        <f>IFERROR(__xludf.DUMMYFUNCTION("""COMPUTED_VALUE"""),0.0)</f>
        <v>0</v>
      </c>
      <c r="O234" s="3">
        <f>IFERROR(__xludf.DUMMYFUNCTION("""COMPUTED_VALUE"""),0.0)</f>
        <v>0</v>
      </c>
      <c r="P234" s="3">
        <f>IFERROR(__xludf.DUMMYFUNCTION("""COMPUTED_VALUE"""),0.0)</f>
        <v>0</v>
      </c>
      <c r="Q234" s="3">
        <f>IFERROR(__xludf.DUMMYFUNCTION("""COMPUTED_VALUE"""),0.0)</f>
        <v>0</v>
      </c>
      <c r="R234" s="3">
        <f>IFERROR(__xludf.DUMMYFUNCTION("""COMPUTED_VALUE"""),0.0)</f>
        <v>0</v>
      </c>
      <c r="S234" s="3">
        <f>IFERROR(__xludf.DUMMYFUNCTION("""COMPUTED_VALUE"""),0.0)</f>
        <v>0</v>
      </c>
      <c r="T234" s="3">
        <f>IFERROR(__xludf.DUMMYFUNCTION("""COMPUTED_VALUE"""),0.0)</f>
        <v>0</v>
      </c>
      <c r="U234" s="3">
        <f>IFERROR(__xludf.DUMMYFUNCTION("""COMPUTED_VALUE"""),0.0)</f>
        <v>0</v>
      </c>
      <c r="V234" s="3">
        <f>IFERROR(__xludf.DUMMYFUNCTION("""COMPUTED_VALUE"""),0.0)</f>
        <v>0</v>
      </c>
      <c r="W234" s="3">
        <f>IFERROR(__xludf.DUMMYFUNCTION("""COMPUTED_VALUE"""),0.0)</f>
        <v>0</v>
      </c>
      <c r="X234" s="3">
        <f>IFERROR(__xludf.DUMMYFUNCTION("""COMPUTED_VALUE"""),0.0)</f>
        <v>0</v>
      </c>
      <c r="Y234" s="3">
        <f>IFERROR(__xludf.DUMMYFUNCTION("""COMPUTED_VALUE"""),0.0)</f>
        <v>0</v>
      </c>
      <c r="Z234" s="3">
        <f>IFERROR(__xludf.DUMMYFUNCTION("""COMPUTED_VALUE"""),0.0)</f>
        <v>0</v>
      </c>
      <c r="AA234" s="3">
        <f>IFERROR(__xludf.DUMMYFUNCTION("""COMPUTED_VALUE"""),0.0)</f>
        <v>0</v>
      </c>
      <c r="AB234" s="3">
        <f>IFERROR(__xludf.DUMMYFUNCTION("""COMPUTED_VALUE"""),0.0)</f>
        <v>0</v>
      </c>
      <c r="AC234" s="3">
        <f>IFERROR(__xludf.DUMMYFUNCTION("""COMPUTED_VALUE"""),0.0)</f>
        <v>0</v>
      </c>
      <c r="AD234" s="3">
        <f>IFERROR(__xludf.DUMMYFUNCTION("""COMPUTED_VALUE"""),0.0)</f>
        <v>0</v>
      </c>
      <c r="AE234" s="3">
        <f>IFERROR(__xludf.DUMMYFUNCTION("""COMPUTED_VALUE"""),0.0)</f>
        <v>0</v>
      </c>
      <c r="AF234" s="3">
        <f>IFERROR(__xludf.DUMMYFUNCTION("""COMPUTED_VALUE"""),0.0)</f>
        <v>0</v>
      </c>
      <c r="AG234" s="3">
        <f>IFERROR(__xludf.DUMMYFUNCTION("""COMPUTED_VALUE"""),0.0)</f>
        <v>0</v>
      </c>
      <c r="AH234" s="3">
        <f>IFERROR(__xludf.DUMMYFUNCTION("""COMPUTED_VALUE"""),0.0)</f>
        <v>0</v>
      </c>
      <c r="AI234" s="3">
        <f>IFERROR(__xludf.DUMMYFUNCTION("""COMPUTED_VALUE"""),0.0)</f>
        <v>0</v>
      </c>
      <c r="AJ234" s="3">
        <f>IFERROR(__xludf.DUMMYFUNCTION("""COMPUTED_VALUE"""),0.0)</f>
        <v>0</v>
      </c>
      <c r="AK234" s="3">
        <f>IFERROR(__xludf.DUMMYFUNCTION("""COMPUTED_VALUE"""),0.0)</f>
        <v>0</v>
      </c>
      <c r="AL234" s="3">
        <f>IFERROR(__xludf.DUMMYFUNCTION("""COMPUTED_VALUE"""),0.0)</f>
        <v>0</v>
      </c>
      <c r="AM234" s="3">
        <f>IFERROR(__xludf.DUMMYFUNCTION("""COMPUTED_VALUE"""),0.0)</f>
        <v>0</v>
      </c>
      <c r="AN234" s="3">
        <f>IFERROR(__xludf.DUMMYFUNCTION("""COMPUTED_VALUE"""),0.0)</f>
        <v>0</v>
      </c>
      <c r="AO234" s="3">
        <f>IFERROR(__xludf.DUMMYFUNCTION("""COMPUTED_VALUE"""),0.0)</f>
        <v>0</v>
      </c>
      <c r="AP234" s="3">
        <f>IFERROR(__xludf.DUMMYFUNCTION("""COMPUTED_VALUE"""),0.0)</f>
        <v>0</v>
      </c>
      <c r="AQ234" s="3">
        <f>IFERROR(__xludf.DUMMYFUNCTION("""COMPUTED_VALUE"""),0.0)</f>
        <v>0</v>
      </c>
      <c r="AR234" s="3">
        <f>IFERROR(__xludf.DUMMYFUNCTION("""COMPUTED_VALUE"""),0.0)</f>
        <v>0</v>
      </c>
      <c r="AS234" s="3">
        <f>IFERROR(__xludf.DUMMYFUNCTION("""COMPUTED_VALUE"""),0.0)</f>
        <v>0</v>
      </c>
      <c r="AT234" s="3">
        <f>IFERROR(__xludf.DUMMYFUNCTION("""COMPUTED_VALUE"""),0.0)</f>
        <v>0</v>
      </c>
      <c r="AU234" s="3">
        <f>IFERROR(__xludf.DUMMYFUNCTION("""COMPUTED_VALUE"""),0.0)</f>
        <v>0</v>
      </c>
      <c r="AV234" s="3">
        <f>IFERROR(__xludf.DUMMYFUNCTION("""COMPUTED_VALUE"""),0.0)</f>
        <v>0</v>
      </c>
      <c r="AW234" s="3">
        <f>IFERROR(__xludf.DUMMYFUNCTION("""COMPUTED_VALUE"""),0.0)</f>
        <v>0</v>
      </c>
      <c r="AX234" s="3">
        <f>IFERROR(__xludf.DUMMYFUNCTION("""COMPUTED_VALUE"""),0.0)</f>
        <v>0</v>
      </c>
      <c r="AY234" s="3">
        <f>IFERROR(__xludf.DUMMYFUNCTION("""COMPUTED_VALUE"""),0.0)</f>
        <v>0</v>
      </c>
      <c r="AZ234" s="3">
        <f>IFERROR(__xludf.DUMMYFUNCTION("""COMPUTED_VALUE"""),0.0)</f>
        <v>0</v>
      </c>
      <c r="BA234" s="3">
        <f>IFERROR(__xludf.DUMMYFUNCTION("""COMPUTED_VALUE"""),0.0)</f>
        <v>0</v>
      </c>
      <c r="BB234" s="3">
        <f>IFERROR(__xludf.DUMMYFUNCTION("""COMPUTED_VALUE"""),0.0)</f>
        <v>0</v>
      </c>
      <c r="BC234" s="3">
        <f>IFERROR(__xludf.DUMMYFUNCTION("""COMPUTED_VALUE"""),0.0)</f>
        <v>0</v>
      </c>
      <c r="BD234" s="3">
        <f>IFERROR(__xludf.DUMMYFUNCTION("""COMPUTED_VALUE"""),0.0)</f>
        <v>0</v>
      </c>
      <c r="BE234" s="3">
        <f>IFERROR(__xludf.DUMMYFUNCTION("""COMPUTED_VALUE"""),0.0)</f>
        <v>0</v>
      </c>
      <c r="BF234" s="3">
        <f>IFERROR(__xludf.DUMMYFUNCTION("""COMPUTED_VALUE"""),0.0)</f>
        <v>0</v>
      </c>
      <c r="BG234" s="3">
        <f>IFERROR(__xludf.DUMMYFUNCTION("""COMPUTED_VALUE"""),0.0)</f>
        <v>0</v>
      </c>
      <c r="BH234" s="3">
        <f>IFERROR(__xludf.DUMMYFUNCTION("""COMPUTED_VALUE"""),0.0)</f>
        <v>0</v>
      </c>
      <c r="BI234" s="3">
        <f>IFERROR(__xludf.DUMMYFUNCTION("""COMPUTED_VALUE"""),0.0)</f>
        <v>0</v>
      </c>
      <c r="BJ234" s="3">
        <f>IFERROR(__xludf.DUMMYFUNCTION("""COMPUTED_VALUE"""),0.0)</f>
        <v>0</v>
      </c>
      <c r="BK234" s="3">
        <f>IFERROR(__xludf.DUMMYFUNCTION("""COMPUTED_VALUE"""),0.0)</f>
        <v>0</v>
      </c>
      <c r="BL234" s="3">
        <f>IFERROR(__xludf.DUMMYFUNCTION("""COMPUTED_VALUE"""),0.0)</f>
        <v>0</v>
      </c>
      <c r="BM234" s="3">
        <f>IFERROR(__xludf.DUMMYFUNCTION("""COMPUTED_VALUE"""),1.0)</f>
        <v>1</v>
      </c>
      <c r="BN234" s="3">
        <f>IFERROR(__xludf.DUMMYFUNCTION("""COMPUTED_VALUE"""),2.0)</f>
        <v>2</v>
      </c>
      <c r="BO234" s="3">
        <f>IFERROR(__xludf.DUMMYFUNCTION("""COMPUTED_VALUE"""),2.0)</f>
        <v>2</v>
      </c>
      <c r="BP234" s="3">
        <f>IFERROR(__xludf.DUMMYFUNCTION("""COMPUTED_VALUE"""),7.0)</f>
        <v>7</v>
      </c>
      <c r="BQ234" s="3">
        <f>IFERROR(__xludf.DUMMYFUNCTION("""COMPUTED_VALUE"""),11.0)</f>
        <v>11</v>
      </c>
      <c r="BR234" s="3">
        <f>IFERROR(__xludf.DUMMYFUNCTION("""COMPUTED_VALUE"""),11.0)</f>
        <v>11</v>
      </c>
      <c r="BS234" s="3">
        <f>IFERROR(__xludf.DUMMYFUNCTION("""COMPUTED_VALUE"""),11.0)</f>
        <v>11</v>
      </c>
      <c r="BT234" s="3">
        <f>IFERROR(__xludf.DUMMYFUNCTION("""COMPUTED_VALUE"""),11.0)</f>
        <v>11</v>
      </c>
      <c r="BU234" s="3">
        <f>IFERROR(__xludf.DUMMYFUNCTION("""COMPUTED_VALUE"""),11.0)</f>
        <v>11</v>
      </c>
      <c r="BV234" s="3">
        <f>IFERROR(__xludf.DUMMYFUNCTION("""COMPUTED_VALUE"""),12.0)</f>
        <v>12</v>
      </c>
      <c r="BW234" s="3">
        <f>IFERROR(__xludf.DUMMYFUNCTION("""COMPUTED_VALUE"""),12.0)</f>
        <v>12</v>
      </c>
      <c r="BX234" s="3">
        <f>IFERROR(__xludf.DUMMYFUNCTION("""COMPUTED_VALUE"""),12.0)</f>
        <v>12</v>
      </c>
      <c r="BY234" s="3">
        <f>IFERROR(__xludf.DUMMYFUNCTION("""COMPUTED_VALUE"""),12.0)</f>
        <v>12</v>
      </c>
      <c r="BZ234" s="3">
        <f>IFERROR(__xludf.DUMMYFUNCTION("""COMPUTED_VALUE"""),14.0)</f>
        <v>14</v>
      </c>
      <c r="CA234" s="3">
        <f>IFERROR(__xludf.DUMMYFUNCTION("""COMPUTED_VALUE"""),14.0)</f>
        <v>14</v>
      </c>
      <c r="CB234" s="3">
        <f>IFERROR(__xludf.DUMMYFUNCTION("""COMPUTED_VALUE"""),15.0)</f>
        <v>15</v>
      </c>
    </row>
    <row r="235">
      <c r="A235" s="3" t="str">
        <f>IFERROR(__xludf.DUMMYFUNCTION("""COMPUTED_VALUE"""),"")</f>
        <v/>
      </c>
      <c r="B235" s="3" t="str">
        <f>IFERROR(__xludf.DUMMYFUNCTION("""COMPUTED_VALUE"""),"Grenada")</f>
        <v>Grenada</v>
      </c>
      <c r="C235" s="3">
        <f>IFERROR(__xludf.DUMMYFUNCTION("""COMPUTED_VALUE"""),12.1165)</f>
        <v>12.1165</v>
      </c>
      <c r="D235" s="3">
        <f>IFERROR(__xludf.DUMMYFUNCTION("""COMPUTED_VALUE"""),-61.679)</f>
        <v>-61.679</v>
      </c>
      <c r="E235" s="3">
        <f>IFERROR(__xludf.DUMMYFUNCTION("""COMPUTED_VALUE"""),0.0)</f>
        <v>0</v>
      </c>
      <c r="F235" s="3">
        <f>IFERROR(__xludf.DUMMYFUNCTION("""COMPUTED_VALUE"""),0.0)</f>
        <v>0</v>
      </c>
      <c r="G235" s="3">
        <f>IFERROR(__xludf.DUMMYFUNCTION("""COMPUTED_VALUE"""),0.0)</f>
        <v>0</v>
      </c>
      <c r="H235" s="3">
        <f>IFERROR(__xludf.DUMMYFUNCTION("""COMPUTED_VALUE"""),0.0)</f>
        <v>0</v>
      </c>
      <c r="I235" s="3">
        <f>IFERROR(__xludf.DUMMYFUNCTION("""COMPUTED_VALUE"""),0.0)</f>
        <v>0</v>
      </c>
      <c r="J235" s="3">
        <f>IFERROR(__xludf.DUMMYFUNCTION("""COMPUTED_VALUE"""),0.0)</f>
        <v>0</v>
      </c>
      <c r="K235" s="3">
        <f>IFERROR(__xludf.DUMMYFUNCTION("""COMPUTED_VALUE"""),0.0)</f>
        <v>0</v>
      </c>
      <c r="L235" s="3">
        <f>IFERROR(__xludf.DUMMYFUNCTION("""COMPUTED_VALUE"""),0.0)</f>
        <v>0</v>
      </c>
      <c r="M235" s="3">
        <f>IFERROR(__xludf.DUMMYFUNCTION("""COMPUTED_VALUE"""),0.0)</f>
        <v>0</v>
      </c>
      <c r="N235" s="3">
        <f>IFERROR(__xludf.DUMMYFUNCTION("""COMPUTED_VALUE"""),0.0)</f>
        <v>0</v>
      </c>
      <c r="O235" s="3">
        <f>IFERROR(__xludf.DUMMYFUNCTION("""COMPUTED_VALUE"""),0.0)</f>
        <v>0</v>
      </c>
      <c r="P235" s="3">
        <f>IFERROR(__xludf.DUMMYFUNCTION("""COMPUTED_VALUE"""),0.0)</f>
        <v>0</v>
      </c>
      <c r="Q235" s="3">
        <f>IFERROR(__xludf.DUMMYFUNCTION("""COMPUTED_VALUE"""),0.0)</f>
        <v>0</v>
      </c>
      <c r="R235" s="3">
        <f>IFERROR(__xludf.DUMMYFUNCTION("""COMPUTED_VALUE"""),0.0)</f>
        <v>0</v>
      </c>
      <c r="S235" s="3">
        <f>IFERROR(__xludf.DUMMYFUNCTION("""COMPUTED_VALUE"""),0.0)</f>
        <v>0</v>
      </c>
      <c r="T235" s="3">
        <f>IFERROR(__xludf.DUMMYFUNCTION("""COMPUTED_VALUE"""),0.0)</f>
        <v>0</v>
      </c>
      <c r="U235" s="3">
        <f>IFERROR(__xludf.DUMMYFUNCTION("""COMPUTED_VALUE"""),0.0)</f>
        <v>0</v>
      </c>
      <c r="V235" s="3">
        <f>IFERROR(__xludf.DUMMYFUNCTION("""COMPUTED_VALUE"""),0.0)</f>
        <v>0</v>
      </c>
      <c r="W235" s="3">
        <f>IFERROR(__xludf.DUMMYFUNCTION("""COMPUTED_VALUE"""),0.0)</f>
        <v>0</v>
      </c>
      <c r="X235" s="3">
        <f>IFERROR(__xludf.DUMMYFUNCTION("""COMPUTED_VALUE"""),0.0)</f>
        <v>0</v>
      </c>
      <c r="Y235" s="3">
        <f>IFERROR(__xludf.DUMMYFUNCTION("""COMPUTED_VALUE"""),0.0)</f>
        <v>0</v>
      </c>
      <c r="Z235" s="3">
        <f>IFERROR(__xludf.DUMMYFUNCTION("""COMPUTED_VALUE"""),0.0)</f>
        <v>0</v>
      </c>
      <c r="AA235" s="3">
        <f>IFERROR(__xludf.DUMMYFUNCTION("""COMPUTED_VALUE"""),0.0)</f>
        <v>0</v>
      </c>
      <c r="AB235" s="3">
        <f>IFERROR(__xludf.DUMMYFUNCTION("""COMPUTED_VALUE"""),0.0)</f>
        <v>0</v>
      </c>
      <c r="AC235" s="3">
        <f>IFERROR(__xludf.DUMMYFUNCTION("""COMPUTED_VALUE"""),0.0)</f>
        <v>0</v>
      </c>
      <c r="AD235" s="3">
        <f>IFERROR(__xludf.DUMMYFUNCTION("""COMPUTED_VALUE"""),0.0)</f>
        <v>0</v>
      </c>
      <c r="AE235" s="3">
        <f>IFERROR(__xludf.DUMMYFUNCTION("""COMPUTED_VALUE"""),0.0)</f>
        <v>0</v>
      </c>
      <c r="AF235" s="3">
        <f>IFERROR(__xludf.DUMMYFUNCTION("""COMPUTED_VALUE"""),0.0)</f>
        <v>0</v>
      </c>
      <c r="AG235" s="3">
        <f>IFERROR(__xludf.DUMMYFUNCTION("""COMPUTED_VALUE"""),0.0)</f>
        <v>0</v>
      </c>
      <c r="AH235" s="3">
        <f>IFERROR(__xludf.DUMMYFUNCTION("""COMPUTED_VALUE"""),0.0)</f>
        <v>0</v>
      </c>
      <c r="AI235" s="3">
        <f>IFERROR(__xludf.DUMMYFUNCTION("""COMPUTED_VALUE"""),0.0)</f>
        <v>0</v>
      </c>
      <c r="AJ235" s="3">
        <f>IFERROR(__xludf.DUMMYFUNCTION("""COMPUTED_VALUE"""),0.0)</f>
        <v>0</v>
      </c>
      <c r="AK235" s="3">
        <f>IFERROR(__xludf.DUMMYFUNCTION("""COMPUTED_VALUE"""),0.0)</f>
        <v>0</v>
      </c>
      <c r="AL235" s="3">
        <f>IFERROR(__xludf.DUMMYFUNCTION("""COMPUTED_VALUE"""),0.0)</f>
        <v>0</v>
      </c>
      <c r="AM235" s="3">
        <f>IFERROR(__xludf.DUMMYFUNCTION("""COMPUTED_VALUE"""),0.0)</f>
        <v>0</v>
      </c>
      <c r="AN235" s="3">
        <f>IFERROR(__xludf.DUMMYFUNCTION("""COMPUTED_VALUE"""),0.0)</f>
        <v>0</v>
      </c>
      <c r="AO235" s="3">
        <f>IFERROR(__xludf.DUMMYFUNCTION("""COMPUTED_VALUE"""),0.0)</f>
        <v>0</v>
      </c>
      <c r="AP235" s="3">
        <f>IFERROR(__xludf.DUMMYFUNCTION("""COMPUTED_VALUE"""),0.0)</f>
        <v>0</v>
      </c>
      <c r="AQ235" s="3">
        <f>IFERROR(__xludf.DUMMYFUNCTION("""COMPUTED_VALUE"""),0.0)</f>
        <v>0</v>
      </c>
      <c r="AR235" s="3">
        <f>IFERROR(__xludf.DUMMYFUNCTION("""COMPUTED_VALUE"""),0.0)</f>
        <v>0</v>
      </c>
      <c r="AS235" s="3">
        <f>IFERROR(__xludf.DUMMYFUNCTION("""COMPUTED_VALUE"""),0.0)</f>
        <v>0</v>
      </c>
      <c r="AT235" s="3">
        <f>IFERROR(__xludf.DUMMYFUNCTION("""COMPUTED_VALUE"""),0.0)</f>
        <v>0</v>
      </c>
      <c r="AU235" s="3">
        <f>IFERROR(__xludf.DUMMYFUNCTION("""COMPUTED_VALUE"""),0.0)</f>
        <v>0</v>
      </c>
      <c r="AV235" s="3">
        <f>IFERROR(__xludf.DUMMYFUNCTION("""COMPUTED_VALUE"""),0.0)</f>
        <v>0</v>
      </c>
      <c r="AW235" s="3">
        <f>IFERROR(__xludf.DUMMYFUNCTION("""COMPUTED_VALUE"""),0.0)</f>
        <v>0</v>
      </c>
      <c r="AX235" s="3">
        <f>IFERROR(__xludf.DUMMYFUNCTION("""COMPUTED_VALUE"""),0.0)</f>
        <v>0</v>
      </c>
      <c r="AY235" s="3">
        <f>IFERROR(__xludf.DUMMYFUNCTION("""COMPUTED_VALUE"""),0.0)</f>
        <v>0</v>
      </c>
      <c r="AZ235" s="3">
        <f>IFERROR(__xludf.DUMMYFUNCTION("""COMPUTED_VALUE"""),0.0)</f>
        <v>0</v>
      </c>
      <c r="BA235" s="3">
        <f>IFERROR(__xludf.DUMMYFUNCTION("""COMPUTED_VALUE"""),0.0)</f>
        <v>0</v>
      </c>
      <c r="BB235" s="3">
        <f>IFERROR(__xludf.DUMMYFUNCTION("""COMPUTED_VALUE"""),0.0)</f>
        <v>0</v>
      </c>
      <c r="BC235" s="3">
        <f>IFERROR(__xludf.DUMMYFUNCTION("""COMPUTED_VALUE"""),0.0)</f>
        <v>0</v>
      </c>
      <c r="BD235" s="3">
        <f>IFERROR(__xludf.DUMMYFUNCTION("""COMPUTED_VALUE"""),0.0)</f>
        <v>0</v>
      </c>
      <c r="BE235" s="3">
        <f>IFERROR(__xludf.DUMMYFUNCTION("""COMPUTED_VALUE"""),0.0)</f>
        <v>0</v>
      </c>
      <c r="BF235" s="3">
        <f>IFERROR(__xludf.DUMMYFUNCTION("""COMPUTED_VALUE"""),0.0)</f>
        <v>0</v>
      </c>
      <c r="BG235" s="3">
        <f>IFERROR(__xludf.DUMMYFUNCTION("""COMPUTED_VALUE"""),0.0)</f>
        <v>0</v>
      </c>
      <c r="BH235" s="3">
        <f>IFERROR(__xludf.DUMMYFUNCTION("""COMPUTED_VALUE"""),0.0)</f>
        <v>0</v>
      </c>
      <c r="BI235" s="3">
        <f>IFERROR(__xludf.DUMMYFUNCTION("""COMPUTED_VALUE"""),0.0)</f>
        <v>0</v>
      </c>
      <c r="BJ235" s="3">
        <f>IFERROR(__xludf.DUMMYFUNCTION("""COMPUTED_VALUE"""),0.0)</f>
        <v>0</v>
      </c>
      <c r="BK235" s="3">
        <f>IFERROR(__xludf.DUMMYFUNCTION("""COMPUTED_VALUE"""),0.0)</f>
        <v>0</v>
      </c>
      <c r="BL235" s="3">
        <f>IFERROR(__xludf.DUMMYFUNCTION("""COMPUTED_VALUE"""),0.0)</f>
        <v>0</v>
      </c>
      <c r="BM235" s="3">
        <f>IFERROR(__xludf.DUMMYFUNCTION("""COMPUTED_VALUE"""),1.0)</f>
        <v>1</v>
      </c>
      <c r="BN235" s="3">
        <f>IFERROR(__xludf.DUMMYFUNCTION("""COMPUTED_VALUE"""),1.0)</f>
        <v>1</v>
      </c>
      <c r="BO235" s="3">
        <f>IFERROR(__xludf.DUMMYFUNCTION("""COMPUTED_VALUE"""),1.0)</f>
        <v>1</v>
      </c>
      <c r="BP235" s="3">
        <f>IFERROR(__xludf.DUMMYFUNCTION("""COMPUTED_VALUE"""),1.0)</f>
        <v>1</v>
      </c>
      <c r="BQ235" s="3">
        <f>IFERROR(__xludf.DUMMYFUNCTION("""COMPUTED_VALUE"""),7.0)</f>
        <v>7</v>
      </c>
      <c r="BR235" s="3">
        <f>IFERROR(__xludf.DUMMYFUNCTION("""COMPUTED_VALUE"""),7.0)</f>
        <v>7</v>
      </c>
      <c r="BS235" s="3">
        <f>IFERROR(__xludf.DUMMYFUNCTION("""COMPUTED_VALUE"""),7.0)</f>
        <v>7</v>
      </c>
      <c r="BT235" s="3">
        <f>IFERROR(__xludf.DUMMYFUNCTION("""COMPUTED_VALUE"""),9.0)</f>
        <v>9</v>
      </c>
      <c r="BU235" s="3">
        <f>IFERROR(__xludf.DUMMYFUNCTION("""COMPUTED_VALUE"""),9.0)</f>
        <v>9</v>
      </c>
      <c r="BV235" s="3">
        <f>IFERROR(__xludf.DUMMYFUNCTION("""COMPUTED_VALUE"""),9.0)</f>
        <v>9</v>
      </c>
      <c r="BW235" s="3">
        <f>IFERROR(__xludf.DUMMYFUNCTION("""COMPUTED_VALUE"""),9.0)</f>
        <v>9</v>
      </c>
      <c r="BX235" s="3">
        <f>IFERROR(__xludf.DUMMYFUNCTION("""COMPUTED_VALUE"""),10.0)</f>
        <v>10</v>
      </c>
      <c r="BY235" s="3">
        <f>IFERROR(__xludf.DUMMYFUNCTION("""COMPUTED_VALUE"""),12.0)</f>
        <v>12</v>
      </c>
      <c r="BZ235" s="3">
        <f>IFERROR(__xludf.DUMMYFUNCTION("""COMPUTED_VALUE"""),12.0)</f>
        <v>12</v>
      </c>
      <c r="CA235" s="3">
        <f>IFERROR(__xludf.DUMMYFUNCTION("""COMPUTED_VALUE"""),12.0)</f>
        <v>12</v>
      </c>
      <c r="CB235" s="3">
        <f>IFERROR(__xludf.DUMMYFUNCTION("""COMPUTED_VALUE"""),12.0)</f>
        <v>12</v>
      </c>
    </row>
    <row r="236">
      <c r="A236" s="3" t="str">
        <f>IFERROR(__xludf.DUMMYFUNCTION("""COMPUTED_VALUE"""),"")</f>
        <v/>
      </c>
      <c r="B236" s="3" t="str">
        <f>IFERROR(__xludf.DUMMYFUNCTION("""COMPUTED_VALUE"""),"Mozambique")</f>
        <v>Mozambique</v>
      </c>
      <c r="C236" s="3">
        <f>IFERROR(__xludf.DUMMYFUNCTION("""COMPUTED_VALUE"""),-18.665695)</f>
        <v>-18.665695</v>
      </c>
      <c r="D236" s="3">
        <f>IFERROR(__xludf.DUMMYFUNCTION("""COMPUTED_VALUE"""),35.529562)</f>
        <v>35.529562</v>
      </c>
      <c r="E236" s="3">
        <f>IFERROR(__xludf.DUMMYFUNCTION("""COMPUTED_VALUE"""),0.0)</f>
        <v>0</v>
      </c>
      <c r="F236" s="3">
        <f>IFERROR(__xludf.DUMMYFUNCTION("""COMPUTED_VALUE"""),0.0)</f>
        <v>0</v>
      </c>
      <c r="G236" s="3">
        <f>IFERROR(__xludf.DUMMYFUNCTION("""COMPUTED_VALUE"""),0.0)</f>
        <v>0</v>
      </c>
      <c r="H236" s="3">
        <f>IFERROR(__xludf.DUMMYFUNCTION("""COMPUTED_VALUE"""),0.0)</f>
        <v>0</v>
      </c>
      <c r="I236" s="3">
        <f>IFERROR(__xludf.DUMMYFUNCTION("""COMPUTED_VALUE"""),0.0)</f>
        <v>0</v>
      </c>
      <c r="J236" s="3">
        <f>IFERROR(__xludf.DUMMYFUNCTION("""COMPUTED_VALUE"""),0.0)</f>
        <v>0</v>
      </c>
      <c r="K236" s="3">
        <f>IFERROR(__xludf.DUMMYFUNCTION("""COMPUTED_VALUE"""),0.0)</f>
        <v>0</v>
      </c>
      <c r="L236" s="3">
        <f>IFERROR(__xludf.DUMMYFUNCTION("""COMPUTED_VALUE"""),0.0)</f>
        <v>0</v>
      </c>
      <c r="M236" s="3">
        <f>IFERROR(__xludf.DUMMYFUNCTION("""COMPUTED_VALUE"""),0.0)</f>
        <v>0</v>
      </c>
      <c r="N236" s="3">
        <f>IFERROR(__xludf.DUMMYFUNCTION("""COMPUTED_VALUE"""),0.0)</f>
        <v>0</v>
      </c>
      <c r="O236" s="3">
        <f>IFERROR(__xludf.DUMMYFUNCTION("""COMPUTED_VALUE"""),0.0)</f>
        <v>0</v>
      </c>
      <c r="P236" s="3">
        <f>IFERROR(__xludf.DUMMYFUNCTION("""COMPUTED_VALUE"""),0.0)</f>
        <v>0</v>
      </c>
      <c r="Q236" s="3">
        <f>IFERROR(__xludf.DUMMYFUNCTION("""COMPUTED_VALUE"""),0.0)</f>
        <v>0</v>
      </c>
      <c r="R236" s="3">
        <f>IFERROR(__xludf.DUMMYFUNCTION("""COMPUTED_VALUE"""),0.0)</f>
        <v>0</v>
      </c>
      <c r="S236" s="3">
        <f>IFERROR(__xludf.DUMMYFUNCTION("""COMPUTED_VALUE"""),0.0)</f>
        <v>0</v>
      </c>
      <c r="T236" s="3">
        <f>IFERROR(__xludf.DUMMYFUNCTION("""COMPUTED_VALUE"""),0.0)</f>
        <v>0</v>
      </c>
      <c r="U236" s="3">
        <f>IFERROR(__xludf.DUMMYFUNCTION("""COMPUTED_VALUE"""),0.0)</f>
        <v>0</v>
      </c>
      <c r="V236" s="3">
        <f>IFERROR(__xludf.DUMMYFUNCTION("""COMPUTED_VALUE"""),0.0)</f>
        <v>0</v>
      </c>
      <c r="W236" s="3">
        <f>IFERROR(__xludf.DUMMYFUNCTION("""COMPUTED_VALUE"""),0.0)</f>
        <v>0</v>
      </c>
      <c r="X236" s="3">
        <f>IFERROR(__xludf.DUMMYFUNCTION("""COMPUTED_VALUE"""),0.0)</f>
        <v>0</v>
      </c>
      <c r="Y236" s="3">
        <f>IFERROR(__xludf.DUMMYFUNCTION("""COMPUTED_VALUE"""),0.0)</f>
        <v>0</v>
      </c>
      <c r="Z236" s="3">
        <f>IFERROR(__xludf.DUMMYFUNCTION("""COMPUTED_VALUE"""),0.0)</f>
        <v>0</v>
      </c>
      <c r="AA236" s="3">
        <f>IFERROR(__xludf.DUMMYFUNCTION("""COMPUTED_VALUE"""),0.0)</f>
        <v>0</v>
      </c>
      <c r="AB236" s="3">
        <f>IFERROR(__xludf.DUMMYFUNCTION("""COMPUTED_VALUE"""),0.0)</f>
        <v>0</v>
      </c>
      <c r="AC236" s="3">
        <f>IFERROR(__xludf.DUMMYFUNCTION("""COMPUTED_VALUE"""),0.0)</f>
        <v>0</v>
      </c>
      <c r="AD236" s="3">
        <f>IFERROR(__xludf.DUMMYFUNCTION("""COMPUTED_VALUE"""),0.0)</f>
        <v>0</v>
      </c>
      <c r="AE236" s="3">
        <f>IFERROR(__xludf.DUMMYFUNCTION("""COMPUTED_VALUE"""),0.0)</f>
        <v>0</v>
      </c>
      <c r="AF236" s="3">
        <f>IFERROR(__xludf.DUMMYFUNCTION("""COMPUTED_VALUE"""),0.0)</f>
        <v>0</v>
      </c>
      <c r="AG236" s="3">
        <f>IFERROR(__xludf.DUMMYFUNCTION("""COMPUTED_VALUE"""),0.0)</f>
        <v>0</v>
      </c>
      <c r="AH236" s="3">
        <f>IFERROR(__xludf.DUMMYFUNCTION("""COMPUTED_VALUE"""),0.0)</f>
        <v>0</v>
      </c>
      <c r="AI236" s="3">
        <f>IFERROR(__xludf.DUMMYFUNCTION("""COMPUTED_VALUE"""),0.0)</f>
        <v>0</v>
      </c>
      <c r="AJ236" s="3">
        <f>IFERROR(__xludf.DUMMYFUNCTION("""COMPUTED_VALUE"""),0.0)</f>
        <v>0</v>
      </c>
      <c r="AK236" s="3">
        <f>IFERROR(__xludf.DUMMYFUNCTION("""COMPUTED_VALUE"""),0.0)</f>
        <v>0</v>
      </c>
      <c r="AL236" s="3">
        <f>IFERROR(__xludf.DUMMYFUNCTION("""COMPUTED_VALUE"""),0.0)</f>
        <v>0</v>
      </c>
      <c r="AM236" s="3">
        <f>IFERROR(__xludf.DUMMYFUNCTION("""COMPUTED_VALUE"""),0.0)</f>
        <v>0</v>
      </c>
      <c r="AN236" s="3">
        <f>IFERROR(__xludf.DUMMYFUNCTION("""COMPUTED_VALUE"""),0.0)</f>
        <v>0</v>
      </c>
      <c r="AO236" s="3">
        <f>IFERROR(__xludf.DUMMYFUNCTION("""COMPUTED_VALUE"""),0.0)</f>
        <v>0</v>
      </c>
      <c r="AP236" s="3">
        <f>IFERROR(__xludf.DUMMYFUNCTION("""COMPUTED_VALUE"""),0.0)</f>
        <v>0</v>
      </c>
      <c r="AQ236" s="3">
        <f>IFERROR(__xludf.DUMMYFUNCTION("""COMPUTED_VALUE"""),0.0)</f>
        <v>0</v>
      </c>
      <c r="AR236" s="3">
        <f>IFERROR(__xludf.DUMMYFUNCTION("""COMPUTED_VALUE"""),0.0)</f>
        <v>0</v>
      </c>
      <c r="AS236" s="3">
        <f>IFERROR(__xludf.DUMMYFUNCTION("""COMPUTED_VALUE"""),0.0)</f>
        <v>0</v>
      </c>
      <c r="AT236" s="3">
        <f>IFERROR(__xludf.DUMMYFUNCTION("""COMPUTED_VALUE"""),0.0)</f>
        <v>0</v>
      </c>
      <c r="AU236" s="3">
        <f>IFERROR(__xludf.DUMMYFUNCTION("""COMPUTED_VALUE"""),0.0)</f>
        <v>0</v>
      </c>
      <c r="AV236" s="3">
        <f>IFERROR(__xludf.DUMMYFUNCTION("""COMPUTED_VALUE"""),0.0)</f>
        <v>0</v>
      </c>
      <c r="AW236" s="3">
        <f>IFERROR(__xludf.DUMMYFUNCTION("""COMPUTED_VALUE"""),0.0)</f>
        <v>0</v>
      </c>
      <c r="AX236" s="3">
        <f>IFERROR(__xludf.DUMMYFUNCTION("""COMPUTED_VALUE"""),0.0)</f>
        <v>0</v>
      </c>
      <c r="AY236" s="3">
        <f>IFERROR(__xludf.DUMMYFUNCTION("""COMPUTED_VALUE"""),0.0)</f>
        <v>0</v>
      </c>
      <c r="AZ236" s="3">
        <f>IFERROR(__xludf.DUMMYFUNCTION("""COMPUTED_VALUE"""),0.0)</f>
        <v>0</v>
      </c>
      <c r="BA236" s="3">
        <f>IFERROR(__xludf.DUMMYFUNCTION("""COMPUTED_VALUE"""),0.0)</f>
        <v>0</v>
      </c>
      <c r="BB236" s="3">
        <f>IFERROR(__xludf.DUMMYFUNCTION("""COMPUTED_VALUE"""),0.0)</f>
        <v>0</v>
      </c>
      <c r="BC236" s="3">
        <f>IFERROR(__xludf.DUMMYFUNCTION("""COMPUTED_VALUE"""),0.0)</f>
        <v>0</v>
      </c>
      <c r="BD236" s="3">
        <f>IFERROR(__xludf.DUMMYFUNCTION("""COMPUTED_VALUE"""),0.0)</f>
        <v>0</v>
      </c>
      <c r="BE236" s="3">
        <f>IFERROR(__xludf.DUMMYFUNCTION("""COMPUTED_VALUE"""),0.0)</f>
        <v>0</v>
      </c>
      <c r="BF236" s="3">
        <f>IFERROR(__xludf.DUMMYFUNCTION("""COMPUTED_VALUE"""),0.0)</f>
        <v>0</v>
      </c>
      <c r="BG236" s="3">
        <f>IFERROR(__xludf.DUMMYFUNCTION("""COMPUTED_VALUE"""),0.0)</f>
        <v>0</v>
      </c>
      <c r="BH236" s="3">
        <f>IFERROR(__xludf.DUMMYFUNCTION("""COMPUTED_VALUE"""),0.0)</f>
        <v>0</v>
      </c>
      <c r="BI236" s="3">
        <f>IFERROR(__xludf.DUMMYFUNCTION("""COMPUTED_VALUE"""),0.0)</f>
        <v>0</v>
      </c>
      <c r="BJ236" s="3">
        <f>IFERROR(__xludf.DUMMYFUNCTION("""COMPUTED_VALUE"""),0.0)</f>
        <v>0</v>
      </c>
      <c r="BK236" s="3">
        <f>IFERROR(__xludf.DUMMYFUNCTION("""COMPUTED_VALUE"""),0.0)</f>
        <v>0</v>
      </c>
      <c r="BL236" s="3">
        <f>IFERROR(__xludf.DUMMYFUNCTION("""COMPUTED_VALUE"""),0.0)</f>
        <v>0</v>
      </c>
      <c r="BM236" s="3">
        <f>IFERROR(__xludf.DUMMYFUNCTION("""COMPUTED_VALUE"""),1.0)</f>
        <v>1</v>
      </c>
      <c r="BN236" s="3">
        <f>IFERROR(__xludf.DUMMYFUNCTION("""COMPUTED_VALUE"""),1.0)</f>
        <v>1</v>
      </c>
      <c r="BO236" s="3">
        <f>IFERROR(__xludf.DUMMYFUNCTION("""COMPUTED_VALUE"""),3.0)</f>
        <v>3</v>
      </c>
      <c r="BP236" s="3">
        <f>IFERROR(__xludf.DUMMYFUNCTION("""COMPUTED_VALUE"""),5.0)</f>
        <v>5</v>
      </c>
      <c r="BQ236" s="3">
        <f>IFERROR(__xludf.DUMMYFUNCTION("""COMPUTED_VALUE"""),7.0)</f>
        <v>7</v>
      </c>
      <c r="BR236" s="3">
        <f>IFERROR(__xludf.DUMMYFUNCTION("""COMPUTED_VALUE"""),7.0)</f>
        <v>7</v>
      </c>
      <c r="BS236" s="3">
        <f>IFERROR(__xludf.DUMMYFUNCTION("""COMPUTED_VALUE"""),8.0)</f>
        <v>8</v>
      </c>
      <c r="BT236" s="3">
        <f>IFERROR(__xludf.DUMMYFUNCTION("""COMPUTED_VALUE"""),8.0)</f>
        <v>8</v>
      </c>
      <c r="BU236" s="3">
        <f>IFERROR(__xludf.DUMMYFUNCTION("""COMPUTED_VALUE"""),8.0)</f>
        <v>8</v>
      </c>
      <c r="BV236" s="3">
        <f>IFERROR(__xludf.DUMMYFUNCTION("""COMPUTED_VALUE"""),8.0)</f>
        <v>8</v>
      </c>
      <c r="BW236" s="3">
        <f>IFERROR(__xludf.DUMMYFUNCTION("""COMPUTED_VALUE"""),10.0)</f>
        <v>10</v>
      </c>
      <c r="BX236" s="3">
        <f>IFERROR(__xludf.DUMMYFUNCTION("""COMPUTED_VALUE"""),10.0)</f>
        <v>10</v>
      </c>
      <c r="BY236" s="3">
        <f>IFERROR(__xludf.DUMMYFUNCTION("""COMPUTED_VALUE"""),10.0)</f>
        <v>10</v>
      </c>
      <c r="BZ236" s="3">
        <f>IFERROR(__xludf.DUMMYFUNCTION("""COMPUTED_VALUE"""),10.0)</f>
        <v>10</v>
      </c>
      <c r="CA236" s="3">
        <f>IFERROR(__xludf.DUMMYFUNCTION("""COMPUTED_VALUE"""),10.0)</f>
        <v>10</v>
      </c>
      <c r="CB236" s="3">
        <f>IFERROR(__xludf.DUMMYFUNCTION("""COMPUTED_VALUE"""),10.0)</f>
        <v>10</v>
      </c>
    </row>
    <row r="237">
      <c r="A237" s="3" t="str">
        <f>IFERROR(__xludf.DUMMYFUNCTION("""COMPUTED_VALUE"""),"")</f>
        <v/>
      </c>
      <c r="B237" s="3" t="str">
        <f>IFERROR(__xludf.DUMMYFUNCTION("""COMPUTED_VALUE"""),"Syria")</f>
        <v>Syria</v>
      </c>
      <c r="C237" s="3">
        <f>IFERROR(__xludf.DUMMYFUNCTION("""COMPUTED_VALUE"""),34.802075)</f>
        <v>34.802075</v>
      </c>
      <c r="D237" s="3">
        <f>IFERROR(__xludf.DUMMYFUNCTION("""COMPUTED_VALUE"""),38.996815)</f>
        <v>38.996815</v>
      </c>
      <c r="E237" s="3">
        <f>IFERROR(__xludf.DUMMYFUNCTION("""COMPUTED_VALUE"""),0.0)</f>
        <v>0</v>
      </c>
      <c r="F237" s="3">
        <f>IFERROR(__xludf.DUMMYFUNCTION("""COMPUTED_VALUE"""),0.0)</f>
        <v>0</v>
      </c>
      <c r="G237" s="3">
        <f>IFERROR(__xludf.DUMMYFUNCTION("""COMPUTED_VALUE"""),0.0)</f>
        <v>0</v>
      </c>
      <c r="H237" s="3">
        <f>IFERROR(__xludf.DUMMYFUNCTION("""COMPUTED_VALUE"""),0.0)</f>
        <v>0</v>
      </c>
      <c r="I237" s="3">
        <f>IFERROR(__xludf.DUMMYFUNCTION("""COMPUTED_VALUE"""),0.0)</f>
        <v>0</v>
      </c>
      <c r="J237" s="3">
        <f>IFERROR(__xludf.DUMMYFUNCTION("""COMPUTED_VALUE"""),0.0)</f>
        <v>0</v>
      </c>
      <c r="K237" s="3">
        <f>IFERROR(__xludf.DUMMYFUNCTION("""COMPUTED_VALUE"""),0.0)</f>
        <v>0</v>
      </c>
      <c r="L237" s="3">
        <f>IFERROR(__xludf.DUMMYFUNCTION("""COMPUTED_VALUE"""),0.0)</f>
        <v>0</v>
      </c>
      <c r="M237" s="3">
        <f>IFERROR(__xludf.DUMMYFUNCTION("""COMPUTED_VALUE"""),0.0)</f>
        <v>0</v>
      </c>
      <c r="N237" s="3">
        <f>IFERROR(__xludf.DUMMYFUNCTION("""COMPUTED_VALUE"""),0.0)</f>
        <v>0</v>
      </c>
      <c r="O237" s="3">
        <f>IFERROR(__xludf.DUMMYFUNCTION("""COMPUTED_VALUE"""),0.0)</f>
        <v>0</v>
      </c>
      <c r="P237" s="3">
        <f>IFERROR(__xludf.DUMMYFUNCTION("""COMPUTED_VALUE"""),0.0)</f>
        <v>0</v>
      </c>
      <c r="Q237" s="3">
        <f>IFERROR(__xludf.DUMMYFUNCTION("""COMPUTED_VALUE"""),0.0)</f>
        <v>0</v>
      </c>
      <c r="R237" s="3">
        <f>IFERROR(__xludf.DUMMYFUNCTION("""COMPUTED_VALUE"""),0.0)</f>
        <v>0</v>
      </c>
      <c r="S237" s="3">
        <f>IFERROR(__xludf.DUMMYFUNCTION("""COMPUTED_VALUE"""),0.0)</f>
        <v>0</v>
      </c>
      <c r="T237" s="3">
        <f>IFERROR(__xludf.DUMMYFUNCTION("""COMPUTED_VALUE"""),0.0)</f>
        <v>0</v>
      </c>
      <c r="U237" s="3">
        <f>IFERROR(__xludf.DUMMYFUNCTION("""COMPUTED_VALUE"""),0.0)</f>
        <v>0</v>
      </c>
      <c r="V237" s="3">
        <f>IFERROR(__xludf.DUMMYFUNCTION("""COMPUTED_VALUE"""),0.0)</f>
        <v>0</v>
      </c>
      <c r="W237" s="3">
        <f>IFERROR(__xludf.DUMMYFUNCTION("""COMPUTED_VALUE"""),0.0)</f>
        <v>0</v>
      </c>
      <c r="X237" s="3">
        <f>IFERROR(__xludf.DUMMYFUNCTION("""COMPUTED_VALUE"""),0.0)</f>
        <v>0</v>
      </c>
      <c r="Y237" s="3">
        <f>IFERROR(__xludf.DUMMYFUNCTION("""COMPUTED_VALUE"""),0.0)</f>
        <v>0</v>
      </c>
      <c r="Z237" s="3">
        <f>IFERROR(__xludf.DUMMYFUNCTION("""COMPUTED_VALUE"""),0.0)</f>
        <v>0</v>
      </c>
      <c r="AA237" s="3">
        <f>IFERROR(__xludf.DUMMYFUNCTION("""COMPUTED_VALUE"""),0.0)</f>
        <v>0</v>
      </c>
      <c r="AB237" s="3">
        <f>IFERROR(__xludf.DUMMYFUNCTION("""COMPUTED_VALUE"""),0.0)</f>
        <v>0</v>
      </c>
      <c r="AC237" s="3">
        <f>IFERROR(__xludf.DUMMYFUNCTION("""COMPUTED_VALUE"""),0.0)</f>
        <v>0</v>
      </c>
      <c r="AD237" s="3">
        <f>IFERROR(__xludf.DUMMYFUNCTION("""COMPUTED_VALUE"""),0.0)</f>
        <v>0</v>
      </c>
      <c r="AE237" s="3">
        <f>IFERROR(__xludf.DUMMYFUNCTION("""COMPUTED_VALUE"""),0.0)</f>
        <v>0</v>
      </c>
      <c r="AF237" s="3">
        <f>IFERROR(__xludf.DUMMYFUNCTION("""COMPUTED_VALUE"""),0.0)</f>
        <v>0</v>
      </c>
      <c r="AG237" s="3">
        <f>IFERROR(__xludf.DUMMYFUNCTION("""COMPUTED_VALUE"""),0.0)</f>
        <v>0</v>
      </c>
      <c r="AH237" s="3">
        <f>IFERROR(__xludf.DUMMYFUNCTION("""COMPUTED_VALUE"""),0.0)</f>
        <v>0</v>
      </c>
      <c r="AI237" s="3">
        <f>IFERROR(__xludf.DUMMYFUNCTION("""COMPUTED_VALUE"""),0.0)</f>
        <v>0</v>
      </c>
      <c r="AJ237" s="3">
        <f>IFERROR(__xludf.DUMMYFUNCTION("""COMPUTED_VALUE"""),0.0)</f>
        <v>0</v>
      </c>
      <c r="AK237" s="3">
        <f>IFERROR(__xludf.DUMMYFUNCTION("""COMPUTED_VALUE"""),0.0)</f>
        <v>0</v>
      </c>
      <c r="AL237" s="3">
        <f>IFERROR(__xludf.DUMMYFUNCTION("""COMPUTED_VALUE"""),0.0)</f>
        <v>0</v>
      </c>
      <c r="AM237" s="3">
        <f>IFERROR(__xludf.DUMMYFUNCTION("""COMPUTED_VALUE"""),0.0)</f>
        <v>0</v>
      </c>
      <c r="AN237" s="3">
        <f>IFERROR(__xludf.DUMMYFUNCTION("""COMPUTED_VALUE"""),0.0)</f>
        <v>0</v>
      </c>
      <c r="AO237" s="3">
        <f>IFERROR(__xludf.DUMMYFUNCTION("""COMPUTED_VALUE"""),0.0)</f>
        <v>0</v>
      </c>
      <c r="AP237" s="3">
        <f>IFERROR(__xludf.DUMMYFUNCTION("""COMPUTED_VALUE"""),0.0)</f>
        <v>0</v>
      </c>
      <c r="AQ237" s="3">
        <f>IFERROR(__xludf.DUMMYFUNCTION("""COMPUTED_VALUE"""),0.0)</f>
        <v>0</v>
      </c>
      <c r="AR237" s="3">
        <f>IFERROR(__xludf.DUMMYFUNCTION("""COMPUTED_VALUE"""),0.0)</f>
        <v>0</v>
      </c>
      <c r="AS237" s="3">
        <f>IFERROR(__xludf.DUMMYFUNCTION("""COMPUTED_VALUE"""),0.0)</f>
        <v>0</v>
      </c>
      <c r="AT237" s="3">
        <f>IFERROR(__xludf.DUMMYFUNCTION("""COMPUTED_VALUE"""),0.0)</f>
        <v>0</v>
      </c>
      <c r="AU237" s="3">
        <f>IFERROR(__xludf.DUMMYFUNCTION("""COMPUTED_VALUE"""),0.0)</f>
        <v>0</v>
      </c>
      <c r="AV237" s="3">
        <f>IFERROR(__xludf.DUMMYFUNCTION("""COMPUTED_VALUE"""),0.0)</f>
        <v>0</v>
      </c>
      <c r="AW237" s="3">
        <f>IFERROR(__xludf.DUMMYFUNCTION("""COMPUTED_VALUE"""),0.0)</f>
        <v>0</v>
      </c>
      <c r="AX237" s="3">
        <f>IFERROR(__xludf.DUMMYFUNCTION("""COMPUTED_VALUE"""),0.0)</f>
        <v>0</v>
      </c>
      <c r="AY237" s="3">
        <f>IFERROR(__xludf.DUMMYFUNCTION("""COMPUTED_VALUE"""),0.0)</f>
        <v>0</v>
      </c>
      <c r="AZ237" s="3">
        <f>IFERROR(__xludf.DUMMYFUNCTION("""COMPUTED_VALUE"""),0.0)</f>
        <v>0</v>
      </c>
      <c r="BA237" s="3">
        <f>IFERROR(__xludf.DUMMYFUNCTION("""COMPUTED_VALUE"""),0.0)</f>
        <v>0</v>
      </c>
      <c r="BB237" s="3">
        <f>IFERROR(__xludf.DUMMYFUNCTION("""COMPUTED_VALUE"""),0.0)</f>
        <v>0</v>
      </c>
      <c r="BC237" s="3">
        <f>IFERROR(__xludf.DUMMYFUNCTION("""COMPUTED_VALUE"""),0.0)</f>
        <v>0</v>
      </c>
      <c r="BD237" s="3">
        <f>IFERROR(__xludf.DUMMYFUNCTION("""COMPUTED_VALUE"""),0.0)</f>
        <v>0</v>
      </c>
      <c r="BE237" s="3">
        <f>IFERROR(__xludf.DUMMYFUNCTION("""COMPUTED_VALUE"""),0.0)</f>
        <v>0</v>
      </c>
      <c r="BF237" s="3">
        <f>IFERROR(__xludf.DUMMYFUNCTION("""COMPUTED_VALUE"""),0.0)</f>
        <v>0</v>
      </c>
      <c r="BG237" s="3">
        <f>IFERROR(__xludf.DUMMYFUNCTION("""COMPUTED_VALUE"""),0.0)</f>
        <v>0</v>
      </c>
      <c r="BH237" s="3">
        <f>IFERROR(__xludf.DUMMYFUNCTION("""COMPUTED_VALUE"""),0.0)</f>
        <v>0</v>
      </c>
      <c r="BI237" s="3">
        <f>IFERROR(__xludf.DUMMYFUNCTION("""COMPUTED_VALUE"""),0.0)</f>
        <v>0</v>
      </c>
      <c r="BJ237" s="3">
        <f>IFERROR(__xludf.DUMMYFUNCTION("""COMPUTED_VALUE"""),0.0)</f>
        <v>0</v>
      </c>
      <c r="BK237" s="3">
        <f>IFERROR(__xludf.DUMMYFUNCTION("""COMPUTED_VALUE"""),0.0)</f>
        <v>0</v>
      </c>
      <c r="BL237" s="3">
        <f>IFERROR(__xludf.DUMMYFUNCTION("""COMPUTED_VALUE"""),0.0)</f>
        <v>0</v>
      </c>
      <c r="BM237" s="3">
        <f>IFERROR(__xludf.DUMMYFUNCTION("""COMPUTED_VALUE"""),1.0)</f>
        <v>1</v>
      </c>
      <c r="BN237" s="3">
        <f>IFERROR(__xludf.DUMMYFUNCTION("""COMPUTED_VALUE"""),1.0)</f>
        <v>1</v>
      </c>
      <c r="BO237" s="3">
        <f>IFERROR(__xludf.DUMMYFUNCTION("""COMPUTED_VALUE"""),1.0)</f>
        <v>1</v>
      </c>
      <c r="BP237" s="3">
        <f>IFERROR(__xludf.DUMMYFUNCTION("""COMPUTED_VALUE"""),5.0)</f>
        <v>5</v>
      </c>
      <c r="BQ237" s="3">
        <f>IFERROR(__xludf.DUMMYFUNCTION("""COMPUTED_VALUE"""),5.0)</f>
        <v>5</v>
      </c>
      <c r="BR237" s="3">
        <f>IFERROR(__xludf.DUMMYFUNCTION("""COMPUTED_VALUE"""),5.0)</f>
        <v>5</v>
      </c>
      <c r="BS237" s="3">
        <f>IFERROR(__xludf.DUMMYFUNCTION("""COMPUTED_VALUE"""),5.0)</f>
        <v>5</v>
      </c>
      <c r="BT237" s="3">
        <f>IFERROR(__xludf.DUMMYFUNCTION("""COMPUTED_VALUE"""),9.0)</f>
        <v>9</v>
      </c>
      <c r="BU237" s="3">
        <f>IFERROR(__xludf.DUMMYFUNCTION("""COMPUTED_VALUE"""),10.0)</f>
        <v>10</v>
      </c>
      <c r="BV237" s="3">
        <f>IFERROR(__xludf.DUMMYFUNCTION("""COMPUTED_VALUE"""),10.0)</f>
        <v>10</v>
      </c>
      <c r="BW237" s="3">
        <f>IFERROR(__xludf.DUMMYFUNCTION("""COMPUTED_VALUE"""),10.0)</f>
        <v>10</v>
      </c>
      <c r="BX237" s="3">
        <f>IFERROR(__xludf.DUMMYFUNCTION("""COMPUTED_VALUE"""),16.0)</f>
        <v>16</v>
      </c>
      <c r="BY237" s="3">
        <f>IFERROR(__xludf.DUMMYFUNCTION("""COMPUTED_VALUE"""),16.0)</f>
        <v>16</v>
      </c>
      <c r="BZ237" s="3">
        <f>IFERROR(__xludf.DUMMYFUNCTION("""COMPUTED_VALUE"""),16.0)</f>
        <v>16</v>
      </c>
      <c r="CA237" s="3">
        <f>IFERROR(__xludf.DUMMYFUNCTION("""COMPUTED_VALUE"""),19.0)</f>
        <v>19</v>
      </c>
      <c r="CB237" s="3">
        <f>IFERROR(__xludf.DUMMYFUNCTION("""COMPUTED_VALUE"""),19.0)</f>
        <v>19</v>
      </c>
    </row>
    <row r="238">
      <c r="A238" s="3" t="str">
        <f>IFERROR(__xludf.DUMMYFUNCTION("""COMPUTED_VALUE"""),"")</f>
        <v/>
      </c>
      <c r="B238" s="3" t="str">
        <f>IFERROR(__xludf.DUMMYFUNCTION("""COMPUTED_VALUE"""),"Timor-Leste")</f>
        <v>Timor-Leste</v>
      </c>
      <c r="C238" s="3">
        <f>IFERROR(__xludf.DUMMYFUNCTION("""COMPUTED_VALUE"""),-8.874217)</f>
        <v>-8.874217</v>
      </c>
      <c r="D238" s="3">
        <f>IFERROR(__xludf.DUMMYFUNCTION("""COMPUTED_VALUE"""),125.727539)</f>
        <v>125.727539</v>
      </c>
      <c r="E238" s="3">
        <f>IFERROR(__xludf.DUMMYFUNCTION("""COMPUTED_VALUE"""),0.0)</f>
        <v>0</v>
      </c>
      <c r="F238" s="3">
        <f>IFERROR(__xludf.DUMMYFUNCTION("""COMPUTED_VALUE"""),0.0)</f>
        <v>0</v>
      </c>
      <c r="G238" s="3">
        <f>IFERROR(__xludf.DUMMYFUNCTION("""COMPUTED_VALUE"""),0.0)</f>
        <v>0</v>
      </c>
      <c r="H238" s="3">
        <f>IFERROR(__xludf.DUMMYFUNCTION("""COMPUTED_VALUE"""),0.0)</f>
        <v>0</v>
      </c>
      <c r="I238" s="3">
        <f>IFERROR(__xludf.DUMMYFUNCTION("""COMPUTED_VALUE"""),0.0)</f>
        <v>0</v>
      </c>
      <c r="J238" s="3">
        <f>IFERROR(__xludf.DUMMYFUNCTION("""COMPUTED_VALUE"""),0.0)</f>
        <v>0</v>
      </c>
      <c r="K238" s="3">
        <f>IFERROR(__xludf.DUMMYFUNCTION("""COMPUTED_VALUE"""),0.0)</f>
        <v>0</v>
      </c>
      <c r="L238" s="3">
        <f>IFERROR(__xludf.DUMMYFUNCTION("""COMPUTED_VALUE"""),0.0)</f>
        <v>0</v>
      </c>
      <c r="M238" s="3">
        <f>IFERROR(__xludf.DUMMYFUNCTION("""COMPUTED_VALUE"""),0.0)</f>
        <v>0</v>
      </c>
      <c r="N238" s="3">
        <f>IFERROR(__xludf.DUMMYFUNCTION("""COMPUTED_VALUE"""),0.0)</f>
        <v>0</v>
      </c>
      <c r="O238" s="3">
        <f>IFERROR(__xludf.DUMMYFUNCTION("""COMPUTED_VALUE"""),0.0)</f>
        <v>0</v>
      </c>
      <c r="P238" s="3">
        <f>IFERROR(__xludf.DUMMYFUNCTION("""COMPUTED_VALUE"""),0.0)</f>
        <v>0</v>
      </c>
      <c r="Q238" s="3">
        <f>IFERROR(__xludf.DUMMYFUNCTION("""COMPUTED_VALUE"""),0.0)</f>
        <v>0</v>
      </c>
      <c r="R238" s="3">
        <f>IFERROR(__xludf.DUMMYFUNCTION("""COMPUTED_VALUE"""),0.0)</f>
        <v>0</v>
      </c>
      <c r="S238" s="3">
        <f>IFERROR(__xludf.DUMMYFUNCTION("""COMPUTED_VALUE"""),0.0)</f>
        <v>0</v>
      </c>
      <c r="T238" s="3">
        <f>IFERROR(__xludf.DUMMYFUNCTION("""COMPUTED_VALUE"""),0.0)</f>
        <v>0</v>
      </c>
      <c r="U238" s="3">
        <f>IFERROR(__xludf.DUMMYFUNCTION("""COMPUTED_VALUE"""),0.0)</f>
        <v>0</v>
      </c>
      <c r="V238" s="3">
        <f>IFERROR(__xludf.DUMMYFUNCTION("""COMPUTED_VALUE"""),0.0)</f>
        <v>0</v>
      </c>
      <c r="W238" s="3">
        <f>IFERROR(__xludf.DUMMYFUNCTION("""COMPUTED_VALUE"""),0.0)</f>
        <v>0</v>
      </c>
      <c r="X238" s="3">
        <f>IFERROR(__xludf.DUMMYFUNCTION("""COMPUTED_VALUE"""),0.0)</f>
        <v>0</v>
      </c>
      <c r="Y238" s="3">
        <f>IFERROR(__xludf.DUMMYFUNCTION("""COMPUTED_VALUE"""),0.0)</f>
        <v>0</v>
      </c>
      <c r="Z238" s="3">
        <f>IFERROR(__xludf.DUMMYFUNCTION("""COMPUTED_VALUE"""),0.0)</f>
        <v>0</v>
      </c>
      <c r="AA238" s="3">
        <f>IFERROR(__xludf.DUMMYFUNCTION("""COMPUTED_VALUE"""),0.0)</f>
        <v>0</v>
      </c>
      <c r="AB238" s="3">
        <f>IFERROR(__xludf.DUMMYFUNCTION("""COMPUTED_VALUE"""),0.0)</f>
        <v>0</v>
      </c>
      <c r="AC238" s="3">
        <f>IFERROR(__xludf.DUMMYFUNCTION("""COMPUTED_VALUE"""),0.0)</f>
        <v>0</v>
      </c>
      <c r="AD238" s="3">
        <f>IFERROR(__xludf.DUMMYFUNCTION("""COMPUTED_VALUE"""),0.0)</f>
        <v>0</v>
      </c>
      <c r="AE238" s="3">
        <f>IFERROR(__xludf.DUMMYFUNCTION("""COMPUTED_VALUE"""),0.0)</f>
        <v>0</v>
      </c>
      <c r="AF238" s="3">
        <f>IFERROR(__xludf.DUMMYFUNCTION("""COMPUTED_VALUE"""),0.0)</f>
        <v>0</v>
      </c>
      <c r="AG238" s="3">
        <f>IFERROR(__xludf.DUMMYFUNCTION("""COMPUTED_VALUE"""),0.0)</f>
        <v>0</v>
      </c>
      <c r="AH238" s="3">
        <f>IFERROR(__xludf.DUMMYFUNCTION("""COMPUTED_VALUE"""),0.0)</f>
        <v>0</v>
      </c>
      <c r="AI238" s="3">
        <f>IFERROR(__xludf.DUMMYFUNCTION("""COMPUTED_VALUE"""),0.0)</f>
        <v>0</v>
      </c>
      <c r="AJ238" s="3">
        <f>IFERROR(__xludf.DUMMYFUNCTION("""COMPUTED_VALUE"""),0.0)</f>
        <v>0</v>
      </c>
      <c r="AK238" s="3">
        <f>IFERROR(__xludf.DUMMYFUNCTION("""COMPUTED_VALUE"""),0.0)</f>
        <v>0</v>
      </c>
      <c r="AL238" s="3">
        <f>IFERROR(__xludf.DUMMYFUNCTION("""COMPUTED_VALUE"""),0.0)</f>
        <v>0</v>
      </c>
      <c r="AM238" s="3">
        <f>IFERROR(__xludf.DUMMYFUNCTION("""COMPUTED_VALUE"""),0.0)</f>
        <v>0</v>
      </c>
      <c r="AN238" s="3">
        <f>IFERROR(__xludf.DUMMYFUNCTION("""COMPUTED_VALUE"""),0.0)</f>
        <v>0</v>
      </c>
      <c r="AO238" s="3">
        <f>IFERROR(__xludf.DUMMYFUNCTION("""COMPUTED_VALUE"""),0.0)</f>
        <v>0</v>
      </c>
      <c r="AP238" s="3">
        <f>IFERROR(__xludf.DUMMYFUNCTION("""COMPUTED_VALUE"""),0.0)</f>
        <v>0</v>
      </c>
      <c r="AQ238" s="3">
        <f>IFERROR(__xludf.DUMMYFUNCTION("""COMPUTED_VALUE"""),0.0)</f>
        <v>0</v>
      </c>
      <c r="AR238" s="3">
        <f>IFERROR(__xludf.DUMMYFUNCTION("""COMPUTED_VALUE"""),0.0)</f>
        <v>0</v>
      </c>
      <c r="AS238" s="3">
        <f>IFERROR(__xludf.DUMMYFUNCTION("""COMPUTED_VALUE"""),0.0)</f>
        <v>0</v>
      </c>
      <c r="AT238" s="3">
        <f>IFERROR(__xludf.DUMMYFUNCTION("""COMPUTED_VALUE"""),0.0)</f>
        <v>0</v>
      </c>
      <c r="AU238" s="3">
        <f>IFERROR(__xludf.DUMMYFUNCTION("""COMPUTED_VALUE"""),0.0)</f>
        <v>0</v>
      </c>
      <c r="AV238" s="3">
        <f>IFERROR(__xludf.DUMMYFUNCTION("""COMPUTED_VALUE"""),0.0)</f>
        <v>0</v>
      </c>
      <c r="AW238" s="3">
        <f>IFERROR(__xludf.DUMMYFUNCTION("""COMPUTED_VALUE"""),0.0)</f>
        <v>0</v>
      </c>
      <c r="AX238" s="3">
        <f>IFERROR(__xludf.DUMMYFUNCTION("""COMPUTED_VALUE"""),0.0)</f>
        <v>0</v>
      </c>
      <c r="AY238" s="3">
        <f>IFERROR(__xludf.DUMMYFUNCTION("""COMPUTED_VALUE"""),0.0)</f>
        <v>0</v>
      </c>
      <c r="AZ238" s="3">
        <f>IFERROR(__xludf.DUMMYFUNCTION("""COMPUTED_VALUE"""),0.0)</f>
        <v>0</v>
      </c>
      <c r="BA238" s="3">
        <f>IFERROR(__xludf.DUMMYFUNCTION("""COMPUTED_VALUE"""),0.0)</f>
        <v>0</v>
      </c>
      <c r="BB238" s="3">
        <f>IFERROR(__xludf.DUMMYFUNCTION("""COMPUTED_VALUE"""),0.0)</f>
        <v>0</v>
      </c>
      <c r="BC238" s="3">
        <f>IFERROR(__xludf.DUMMYFUNCTION("""COMPUTED_VALUE"""),0.0)</f>
        <v>0</v>
      </c>
      <c r="BD238" s="3">
        <f>IFERROR(__xludf.DUMMYFUNCTION("""COMPUTED_VALUE"""),0.0)</f>
        <v>0</v>
      </c>
      <c r="BE238" s="3">
        <f>IFERROR(__xludf.DUMMYFUNCTION("""COMPUTED_VALUE"""),0.0)</f>
        <v>0</v>
      </c>
      <c r="BF238" s="3">
        <f>IFERROR(__xludf.DUMMYFUNCTION("""COMPUTED_VALUE"""),0.0)</f>
        <v>0</v>
      </c>
      <c r="BG238" s="3">
        <f>IFERROR(__xludf.DUMMYFUNCTION("""COMPUTED_VALUE"""),0.0)</f>
        <v>0</v>
      </c>
      <c r="BH238" s="3">
        <f>IFERROR(__xludf.DUMMYFUNCTION("""COMPUTED_VALUE"""),0.0)</f>
        <v>0</v>
      </c>
      <c r="BI238" s="3">
        <f>IFERROR(__xludf.DUMMYFUNCTION("""COMPUTED_VALUE"""),0.0)</f>
        <v>0</v>
      </c>
      <c r="BJ238" s="3">
        <f>IFERROR(__xludf.DUMMYFUNCTION("""COMPUTED_VALUE"""),0.0)</f>
        <v>0</v>
      </c>
      <c r="BK238" s="3">
        <f>IFERROR(__xludf.DUMMYFUNCTION("""COMPUTED_VALUE"""),0.0)</f>
        <v>0</v>
      </c>
      <c r="BL238" s="3">
        <f>IFERROR(__xludf.DUMMYFUNCTION("""COMPUTED_VALUE"""),0.0)</f>
        <v>0</v>
      </c>
      <c r="BM238" s="3">
        <f>IFERROR(__xludf.DUMMYFUNCTION("""COMPUTED_VALUE"""),1.0)</f>
        <v>1</v>
      </c>
      <c r="BN238" s="3">
        <f>IFERROR(__xludf.DUMMYFUNCTION("""COMPUTED_VALUE"""),1.0)</f>
        <v>1</v>
      </c>
      <c r="BO238" s="3">
        <f>IFERROR(__xludf.DUMMYFUNCTION("""COMPUTED_VALUE"""),1.0)</f>
        <v>1</v>
      </c>
      <c r="BP238" s="3">
        <f>IFERROR(__xludf.DUMMYFUNCTION("""COMPUTED_VALUE"""),1.0)</f>
        <v>1</v>
      </c>
      <c r="BQ238" s="3">
        <f>IFERROR(__xludf.DUMMYFUNCTION("""COMPUTED_VALUE"""),1.0)</f>
        <v>1</v>
      </c>
      <c r="BR238" s="3">
        <f>IFERROR(__xludf.DUMMYFUNCTION("""COMPUTED_VALUE"""),1.0)</f>
        <v>1</v>
      </c>
      <c r="BS238" s="3">
        <f>IFERROR(__xludf.DUMMYFUNCTION("""COMPUTED_VALUE"""),1.0)</f>
        <v>1</v>
      </c>
      <c r="BT238" s="3">
        <f>IFERROR(__xludf.DUMMYFUNCTION("""COMPUTED_VALUE"""),1.0)</f>
        <v>1</v>
      </c>
      <c r="BU238" s="3">
        <f>IFERROR(__xludf.DUMMYFUNCTION("""COMPUTED_VALUE"""),1.0)</f>
        <v>1</v>
      </c>
      <c r="BV238" s="3">
        <f>IFERROR(__xludf.DUMMYFUNCTION("""COMPUTED_VALUE"""),1.0)</f>
        <v>1</v>
      </c>
      <c r="BW238" s="3">
        <f>IFERROR(__xludf.DUMMYFUNCTION("""COMPUTED_VALUE"""),1.0)</f>
        <v>1</v>
      </c>
      <c r="BX238" s="3">
        <f>IFERROR(__xludf.DUMMYFUNCTION("""COMPUTED_VALUE"""),1.0)</f>
        <v>1</v>
      </c>
      <c r="BY238" s="3">
        <f>IFERROR(__xludf.DUMMYFUNCTION("""COMPUTED_VALUE"""),1.0)</f>
        <v>1</v>
      </c>
      <c r="BZ238" s="3">
        <f>IFERROR(__xludf.DUMMYFUNCTION("""COMPUTED_VALUE"""),1.0)</f>
        <v>1</v>
      </c>
      <c r="CA238" s="3">
        <f>IFERROR(__xludf.DUMMYFUNCTION("""COMPUTED_VALUE"""),1.0)</f>
        <v>1</v>
      </c>
      <c r="CB238" s="3">
        <f>IFERROR(__xludf.DUMMYFUNCTION("""COMPUTED_VALUE"""),1.0)</f>
        <v>1</v>
      </c>
    </row>
    <row r="239">
      <c r="A239" s="3" t="str">
        <f>IFERROR(__xludf.DUMMYFUNCTION("""COMPUTED_VALUE"""),"")</f>
        <v/>
      </c>
      <c r="B239" s="3" t="str">
        <f>IFERROR(__xludf.DUMMYFUNCTION("""COMPUTED_VALUE"""),"Belize")</f>
        <v>Belize</v>
      </c>
      <c r="C239" s="3">
        <f>IFERROR(__xludf.DUMMYFUNCTION("""COMPUTED_VALUE"""),13.1939)</f>
        <v>13.1939</v>
      </c>
      <c r="D239" s="3">
        <f>IFERROR(__xludf.DUMMYFUNCTION("""COMPUTED_VALUE"""),-59.5432)</f>
        <v>-59.5432</v>
      </c>
      <c r="E239" s="3">
        <f>IFERROR(__xludf.DUMMYFUNCTION("""COMPUTED_VALUE"""),0.0)</f>
        <v>0</v>
      </c>
      <c r="F239" s="3">
        <f>IFERROR(__xludf.DUMMYFUNCTION("""COMPUTED_VALUE"""),0.0)</f>
        <v>0</v>
      </c>
      <c r="G239" s="3">
        <f>IFERROR(__xludf.DUMMYFUNCTION("""COMPUTED_VALUE"""),0.0)</f>
        <v>0</v>
      </c>
      <c r="H239" s="3">
        <f>IFERROR(__xludf.DUMMYFUNCTION("""COMPUTED_VALUE"""),0.0)</f>
        <v>0</v>
      </c>
      <c r="I239" s="3">
        <f>IFERROR(__xludf.DUMMYFUNCTION("""COMPUTED_VALUE"""),0.0)</f>
        <v>0</v>
      </c>
      <c r="J239" s="3">
        <f>IFERROR(__xludf.DUMMYFUNCTION("""COMPUTED_VALUE"""),0.0)</f>
        <v>0</v>
      </c>
      <c r="K239" s="3">
        <f>IFERROR(__xludf.DUMMYFUNCTION("""COMPUTED_VALUE"""),0.0)</f>
        <v>0</v>
      </c>
      <c r="L239" s="3">
        <f>IFERROR(__xludf.DUMMYFUNCTION("""COMPUTED_VALUE"""),0.0)</f>
        <v>0</v>
      </c>
      <c r="M239" s="3">
        <f>IFERROR(__xludf.DUMMYFUNCTION("""COMPUTED_VALUE"""),0.0)</f>
        <v>0</v>
      </c>
      <c r="N239" s="3">
        <f>IFERROR(__xludf.DUMMYFUNCTION("""COMPUTED_VALUE"""),0.0)</f>
        <v>0</v>
      </c>
      <c r="O239" s="3">
        <f>IFERROR(__xludf.DUMMYFUNCTION("""COMPUTED_VALUE"""),0.0)</f>
        <v>0</v>
      </c>
      <c r="P239" s="3">
        <f>IFERROR(__xludf.DUMMYFUNCTION("""COMPUTED_VALUE"""),0.0)</f>
        <v>0</v>
      </c>
      <c r="Q239" s="3">
        <f>IFERROR(__xludf.DUMMYFUNCTION("""COMPUTED_VALUE"""),0.0)</f>
        <v>0</v>
      </c>
      <c r="R239" s="3">
        <f>IFERROR(__xludf.DUMMYFUNCTION("""COMPUTED_VALUE"""),0.0)</f>
        <v>0</v>
      </c>
      <c r="S239" s="3">
        <f>IFERROR(__xludf.DUMMYFUNCTION("""COMPUTED_VALUE"""),0.0)</f>
        <v>0</v>
      </c>
      <c r="T239" s="3">
        <f>IFERROR(__xludf.DUMMYFUNCTION("""COMPUTED_VALUE"""),0.0)</f>
        <v>0</v>
      </c>
      <c r="U239" s="3">
        <f>IFERROR(__xludf.DUMMYFUNCTION("""COMPUTED_VALUE"""),0.0)</f>
        <v>0</v>
      </c>
      <c r="V239" s="3">
        <f>IFERROR(__xludf.DUMMYFUNCTION("""COMPUTED_VALUE"""),0.0)</f>
        <v>0</v>
      </c>
      <c r="W239" s="3">
        <f>IFERROR(__xludf.DUMMYFUNCTION("""COMPUTED_VALUE"""),0.0)</f>
        <v>0</v>
      </c>
      <c r="X239" s="3">
        <f>IFERROR(__xludf.DUMMYFUNCTION("""COMPUTED_VALUE"""),0.0)</f>
        <v>0</v>
      </c>
      <c r="Y239" s="3">
        <f>IFERROR(__xludf.DUMMYFUNCTION("""COMPUTED_VALUE"""),0.0)</f>
        <v>0</v>
      </c>
      <c r="Z239" s="3">
        <f>IFERROR(__xludf.DUMMYFUNCTION("""COMPUTED_VALUE"""),0.0)</f>
        <v>0</v>
      </c>
      <c r="AA239" s="3">
        <f>IFERROR(__xludf.DUMMYFUNCTION("""COMPUTED_VALUE"""),0.0)</f>
        <v>0</v>
      </c>
      <c r="AB239" s="3">
        <f>IFERROR(__xludf.DUMMYFUNCTION("""COMPUTED_VALUE"""),0.0)</f>
        <v>0</v>
      </c>
      <c r="AC239" s="3">
        <f>IFERROR(__xludf.DUMMYFUNCTION("""COMPUTED_VALUE"""),0.0)</f>
        <v>0</v>
      </c>
      <c r="AD239" s="3">
        <f>IFERROR(__xludf.DUMMYFUNCTION("""COMPUTED_VALUE"""),0.0)</f>
        <v>0</v>
      </c>
      <c r="AE239" s="3">
        <f>IFERROR(__xludf.DUMMYFUNCTION("""COMPUTED_VALUE"""),0.0)</f>
        <v>0</v>
      </c>
      <c r="AF239" s="3">
        <f>IFERROR(__xludf.DUMMYFUNCTION("""COMPUTED_VALUE"""),0.0)</f>
        <v>0</v>
      </c>
      <c r="AG239" s="3">
        <f>IFERROR(__xludf.DUMMYFUNCTION("""COMPUTED_VALUE"""),0.0)</f>
        <v>0</v>
      </c>
      <c r="AH239" s="3">
        <f>IFERROR(__xludf.DUMMYFUNCTION("""COMPUTED_VALUE"""),0.0)</f>
        <v>0</v>
      </c>
      <c r="AI239" s="3">
        <f>IFERROR(__xludf.DUMMYFUNCTION("""COMPUTED_VALUE"""),0.0)</f>
        <v>0</v>
      </c>
      <c r="AJ239" s="3">
        <f>IFERROR(__xludf.DUMMYFUNCTION("""COMPUTED_VALUE"""),0.0)</f>
        <v>0</v>
      </c>
      <c r="AK239" s="3">
        <f>IFERROR(__xludf.DUMMYFUNCTION("""COMPUTED_VALUE"""),0.0)</f>
        <v>0</v>
      </c>
      <c r="AL239" s="3">
        <f>IFERROR(__xludf.DUMMYFUNCTION("""COMPUTED_VALUE"""),0.0)</f>
        <v>0</v>
      </c>
      <c r="AM239" s="3">
        <f>IFERROR(__xludf.DUMMYFUNCTION("""COMPUTED_VALUE"""),0.0)</f>
        <v>0</v>
      </c>
      <c r="AN239" s="3">
        <f>IFERROR(__xludf.DUMMYFUNCTION("""COMPUTED_VALUE"""),0.0)</f>
        <v>0</v>
      </c>
      <c r="AO239" s="3">
        <f>IFERROR(__xludf.DUMMYFUNCTION("""COMPUTED_VALUE"""),0.0)</f>
        <v>0</v>
      </c>
      <c r="AP239" s="3">
        <f>IFERROR(__xludf.DUMMYFUNCTION("""COMPUTED_VALUE"""),0.0)</f>
        <v>0</v>
      </c>
      <c r="AQ239" s="3">
        <f>IFERROR(__xludf.DUMMYFUNCTION("""COMPUTED_VALUE"""),0.0)</f>
        <v>0</v>
      </c>
      <c r="AR239" s="3">
        <f>IFERROR(__xludf.DUMMYFUNCTION("""COMPUTED_VALUE"""),0.0)</f>
        <v>0</v>
      </c>
      <c r="AS239" s="3">
        <f>IFERROR(__xludf.DUMMYFUNCTION("""COMPUTED_VALUE"""),0.0)</f>
        <v>0</v>
      </c>
      <c r="AT239" s="3">
        <f>IFERROR(__xludf.DUMMYFUNCTION("""COMPUTED_VALUE"""),0.0)</f>
        <v>0</v>
      </c>
      <c r="AU239" s="3">
        <f>IFERROR(__xludf.DUMMYFUNCTION("""COMPUTED_VALUE"""),0.0)</f>
        <v>0</v>
      </c>
      <c r="AV239" s="3">
        <f>IFERROR(__xludf.DUMMYFUNCTION("""COMPUTED_VALUE"""),0.0)</f>
        <v>0</v>
      </c>
      <c r="AW239" s="3">
        <f>IFERROR(__xludf.DUMMYFUNCTION("""COMPUTED_VALUE"""),0.0)</f>
        <v>0</v>
      </c>
      <c r="AX239" s="3">
        <f>IFERROR(__xludf.DUMMYFUNCTION("""COMPUTED_VALUE"""),0.0)</f>
        <v>0</v>
      </c>
      <c r="AY239" s="3">
        <f>IFERROR(__xludf.DUMMYFUNCTION("""COMPUTED_VALUE"""),0.0)</f>
        <v>0</v>
      </c>
      <c r="AZ239" s="3">
        <f>IFERROR(__xludf.DUMMYFUNCTION("""COMPUTED_VALUE"""),0.0)</f>
        <v>0</v>
      </c>
      <c r="BA239" s="3">
        <f>IFERROR(__xludf.DUMMYFUNCTION("""COMPUTED_VALUE"""),0.0)</f>
        <v>0</v>
      </c>
      <c r="BB239" s="3">
        <f>IFERROR(__xludf.DUMMYFUNCTION("""COMPUTED_VALUE"""),0.0)</f>
        <v>0</v>
      </c>
      <c r="BC239" s="3">
        <f>IFERROR(__xludf.DUMMYFUNCTION("""COMPUTED_VALUE"""),0.0)</f>
        <v>0</v>
      </c>
      <c r="BD239" s="3">
        <f>IFERROR(__xludf.DUMMYFUNCTION("""COMPUTED_VALUE"""),0.0)</f>
        <v>0</v>
      </c>
      <c r="BE239" s="3">
        <f>IFERROR(__xludf.DUMMYFUNCTION("""COMPUTED_VALUE"""),0.0)</f>
        <v>0</v>
      </c>
      <c r="BF239" s="3">
        <f>IFERROR(__xludf.DUMMYFUNCTION("""COMPUTED_VALUE"""),0.0)</f>
        <v>0</v>
      </c>
      <c r="BG239" s="3">
        <f>IFERROR(__xludf.DUMMYFUNCTION("""COMPUTED_VALUE"""),0.0)</f>
        <v>0</v>
      </c>
      <c r="BH239" s="3">
        <f>IFERROR(__xludf.DUMMYFUNCTION("""COMPUTED_VALUE"""),0.0)</f>
        <v>0</v>
      </c>
      <c r="BI239" s="3">
        <f>IFERROR(__xludf.DUMMYFUNCTION("""COMPUTED_VALUE"""),0.0)</f>
        <v>0</v>
      </c>
      <c r="BJ239" s="3">
        <f>IFERROR(__xludf.DUMMYFUNCTION("""COMPUTED_VALUE"""),0.0)</f>
        <v>0</v>
      </c>
      <c r="BK239" s="3">
        <f>IFERROR(__xludf.DUMMYFUNCTION("""COMPUTED_VALUE"""),0.0)</f>
        <v>0</v>
      </c>
      <c r="BL239" s="3">
        <f>IFERROR(__xludf.DUMMYFUNCTION("""COMPUTED_VALUE"""),0.0)</f>
        <v>0</v>
      </c>
      <c r="BM239" s="3">
        <f>IFERROR(__xludf.DUMMYFUNCTION("""COMPUTED_VALUE"""),0.0)</f>
        <v>0</v>
      </c>
      <c r="BN239" s="3">
        <f>IFERROR(__xludf.DUMMYFUNCTION("""COMPUTED_VALUE"""),1.0)</f>
        <v>1</v>
      </c>
      <c r="BO239" s="3">
        <f>IFERROR(__xludf.DUMMYFUNCTION("""COMPUTED_VALUE"""),1.0)</f>
        <v>1</v>
      </c>
      <c r="BP239" s="3">
        <f>IFERROR(__xludf.DUMMYFUNCTION("""COMPUTED_VALUE"""),2.0)</f>
        <v>2</v>
      </c>
      <c r="BQ239" s="3">
        <f>IFERROR(__xludf.DUMMYFUNCTION("""COMPUTED_VALUE"""),2.0)</f>
        <v>2</v>
      </c>
      <c r="BR239" s="3">
        <f>IFERROR(__xludf.DUMMYFUNCTION("""COMPUTED_VALUE"""),2.0)</f>
        <v>2</v>
      </c>
      <c r="BS239" s="3">
        <f>IFERROR(__xludf.DUMMYFUNCTION("""COMPUTED_VALUE"""),2.0)</f>
        <v>2</v>
      </c>
      <c r="BT239" s="3">
        <f>IFERROR(__xludf.DUMMYFUNCTION("""COMPUTED_VALUE"""),2.0)</f>
        <v>2</v>
      </c>
      <c r="BU239" s="3">
        <f>IFERROR(__xludf.DUMMYFUNCTION("""COMPUTED_VALUE"""),3.0)</f>
        <v>3</v>
      </c>
      <c r="BV239" s="3">
        <f>IFERROR(__xludf.DUMMYFUNCTION("""COMPUTED_VALUE"""),3.0)</f>
        <v>3</v>
      </c>
      <c r="BW239" s="3">
        <f>IFERROR(__xludf.DUMMYFUNCTION("""COMPUTED_VALUE"""),3.0)</f>
        <v>3</v>
      </c>
      <c r="BX239" s="3">
        <f>IFERROR(__xludf.DUMMYFUNCTION("""COMPUTED_VALUE"""),3.0)</f>
        <v>3</v>
      </c>
      <c r="BY239" s="3">
        <f>IFERROR(__xludf.DUMMYFUNCTION("""COMPUTED_VALUE"""),4.0)</f>
        <v>4</v>
      </c>
      <c r="BZ239" s="3">
        <f>IFERROR(__xludf.DUMMYFUNCTION("""COMPUTED_VALUE"""),4.0)</f>
        <v>4</v>
      </c>
      <c r="CA239" s="3">
        <f>IFERROR(__xludf.DUMMYFUNCTION("""COMPUTED_VALUE"""),5.0)</f>
        <v>5</v>
      </c>
      <c r="CB239" s="3">
        <f>IFERROR(__xludf.DUMMYFUNCTION("""COMPUTED_VALUE"""),7.0)</f>
        <v>7</v>
      </c>
    </row>
    <row r="240">
      <c r="A240" s="3" t="str">
        <f>IFERROR(__xludf.DUMMYFUNCTION("""COMPUTED_VALUE"""),"Recovered")</f>
        <v>Recovered</v>
      </c>
      <c r="B240" s="3" t="str">
        <f>IFERROR(__xludf.DUMMYFUNCTION("""COMPUTED_VALUE"""),"Canada")</f>
        <v>Canada</v>
      </c>
      <c r="C240" s="3">
        <f>IFERROR(__xludf.DUMMYFUNCTION("""COMPUTED_VALUE"""),0.0)</f>
        <v>0</v>
      </c>
      <c r="D240" s="3">
        <f>IFERROR(__xludf.DUMMYFUNCTION("""COMPUTED_VALUE"""),0.0)</f>
        <v>0</v>
      </c>
      <c r="E240" s="3">
        <f>IFERROR(__xludf.DUMMYFUNCTION("""COMPUTED_VALUE"""),0.0)</f>
        <v>0</v>
      </c>
      <c r="F240" s="3">
        <f>IFERROR(__xludf.DUMMYFUNCTION("""COMPUTED_VALUE"""),0.0)</f>
        <v>0</v>
      </c>
      <c r="G240" s="3">
        <f>IFERROR(__xludf.DUMMYFUNCTION("""COMPUTED_VALUE"""),0.0)</f>
        <v>0</v>
      </c>
      <c r="H240" s="3">
        <f>IFERROR(__xludf.DUMMYFUNCTION("""COMPUTED_VALUE"""),0.0)</f>
        <v>0</v>
      </c>
      <c r="I240" s="3">
        <f>IFERROR(__xludf.DUMMYFUNCTION("""COMPUTED_VALUE"""),0.0)</f>
        <v>0</v>
      </c>
      <c r="J240" s="3">
        <f>IFERROR(__xludf.DUMMYFUNCTION("""COMPUTED_VALUE"""),0.0)</f>
        <v>0</v>
      </c>
      <c r="K240" s="3">
        <f>IFERROR(__xludf.DUMMYFUNCTION("""COMPUTED_VALUE"""),0.0)</f>
        <v>0</v>
      </c>
      <c r="L240" s="3">
        <f>IFERROR(__xludf.DUMMYFUNCTION("""COMPUTED_VALUE"""),0.0)</f>
        <v>0</v>
      </c>
      <c r="M240" s="3">
        <f>IFERROR(__xludf.DUMMYFUNCTION("""COMPUTED_VALUE"""),0.0)</f>
        <v>0</v>
      </c>
      <c r="N240" s="3">
        <f>IFERROR(__xludf.DUMMYFUNCTION("""COMPUTED_VALUE"""),0.0)</f>
        <v>0</v>
      </c>
      <c r="O240" s="3">
        <f>IFERROR(__xludf.DUMMYFUNCTION("""COMPUTED_VALUE"""),0.0)</f>
        <v>0</v>
      </c>
      <c r="P240" s="3">
        <f>IFERROR(__xludf.DUMMYFUNCTION("""COMPUTED_VALUE"""),0.0)</f>
        <v>0</v>
      </c>
      <c r="Q240" s="3">
        <f>IFERROR(__xludf.DUMMYFUNCTION("""COMPUTED_VALUE"""),0.0)</f>
        <v>0</v>
      </c>
      <c r="R240" s="3">
        <f>IFERROR(__xludf.DUMMYFUNCTION("""COMPUTED_VALUE"""),0.0)</f>
        <v>0</v>
      </c>
      <c r="S240" s="3">
        <f>IFERROR(__xludf.DUMMYFUNCTION("""COMPUTED_VALUE"""),0.0)</f>
        <v>0</v>
      </c>
      <c r="T240" s="3">
        <f>IFERROR(__xludf.DUMMYFUNCTION("""COMPUTED_VALUE"""),0.0)</f>
        <v>0</v>
      </c>
      <c r="U240" s="3">
        <f>IFERROR(__xludf.DUMMYFUNCTION("""COMPUTED_VALUE"""),0.0)</f>
        <v>0</v>
      </c>
      <c r="V240" s="3">
        <f>IFERROR(__xludf.DUMMYFUNCTION("""COMPUTED_VALUE"""),0.0)</f>
        <v>0</v>
      </c>
      <c r="W240" s="3">
        <f>IFERROR(__xludf.DUMMYFUNCTION("""COMPUTED_VALUE"""),0.0)</f>
        <v>0</v>
      </c>
      <c r="X240" s="3">
        <f>IFERROR(__xludf.DUMMYFUNCTION("""COMPUTED_VALUE"""),0.0)</f>
        <v>0</v>
      </c>
      <c r="Y240" s="3">
        <f>IFERROR(__xludf.DUMMYFUNCTION("""COMPUTED_VALUE"""),0.0)</f>
        <v>0</v>
      </c>
      <c r="Z240" s="3">
        <f>IFERROR(__xludf.DUMMYFUNCTION("""COMPUTED_VALUE"""),0.0)</f>
        <v>0</v>
      </c>
      <c r="AA240" s="3">
        <f>IFERROR(__xludf.DUMMYFUNCTION("""COMPUTED_VALUE"""),0.0)</f>
        <v>0</v>
      </c>
      <c r="AB240" s="3">
        <f>IFERROR(__xludf.DUMMYFUNCTION("""COMPUTED_VALUE"""),0.0)</f>
        <v>0</v>
      </c>
      <c r="AC240" s="3">
        <f>IFERROR(__xludf.DUMMYFUNCTION("""COMPUTED_VALUE"""),0.0)</f>
        <v>0</v>
      </c>
      <c r="AD240" s="3">
        <f>IFERROR(__xludf.DUMMYFUNCTION("""COMPUTED_VALUE"""),0.0)</f>
        <v>0</v>
      </c>
      <c r="AE240" s="3">
        <f>IFERROR(__xludf.DUMMYFUNCTION("""COMPUTED_VALUE"""),0.0)</f>
        <v>0</v>
      </c>
      <c r="AF240" s="3">
        <f>IFERROR(__xludf.DUMMYFUNCTION("""COMPUTED_VALUE"""),0.0)</f>
        <v>0</v>
      </c>
      <c r="AG240" s="3">
        <f>IFERROR(__xludf.DUMMYFUNCTION("""COMPUTED_VALUE"""),0.0)</f>
        <v>0</v>
      </c>
      <c r="AH240" s="3">
        <f>IFERROR(__xludf.DUMMYFUNCTION("""COMPUTED_VALUE"""),0.0)</f>
        <v>0</v>
      </c>
      <c r="AI240" s="3">
        <f>IFERROR(__xludf.DUMMYFUNCTION("""COMPUTED_VALUE"""),0.0)</f>
        <v>0</v>
      </c>
      <c r="AJ240" s="3">
        <f>IFERROR(__xludf.DUMMYFUNCTION("""COMPUTED_VALUE"""),0.0)</f>
        <v>0</v>
      </c>
      <c r="AK240" s="3">
        <f>IFERROR(__xludf.DUMMYFUNCTION("""COMPUTED_VALUE"""),0.0)</f>
        <v>0</v>
      </c>
      <c r="AL240" s="3">
        <f>IFERROR(__xludf.DUMMYFUNCTION("""COMPUTED_VALUE"""),0.0)</f>
        <v>0</v>
      </c>
      <c r="AM240" s="3">
        <f>IFERROR(__xludf.DUMMYFUNCTION("""COMPUTED_VALUE"""),0.0)</f>
        <v>0</v>
      </c>
      <c r="AN240" s="3">
        <f>IFERROR(__xludf.DUMMYFUNCTION("""COMPUTED_VALUE"""),0.0)</f>
        <v>0</v>
      </c>
      <c r="AO240" s="3">
        <f>IFERROR(__xludf.DUMMYFUNCTION("""COMPUTED_VALUE"""),0.0)</f>
        <v>0</v>
      </c>
      <c r="AP240" s="3">
        <f>IFERROR(__xludf.DUMMYFUNCTION("""COMPUTED_VALUE"""),0.0)</f>
        <v>0</v>
      </c>
      <c r="AQ240" s="3">
        <f>IFERROR(__xludf.DUMMYFUNCTION("""COMPUTED_VALUE"""),0.0)</f>
        <v>0</v>
      </c>
      <c r="AR240" s="3">
        <f>IFERROR(__xludf.DUMMYFUNCTION("""COMPUTED_VALUE"""),0.0)</f>
        <v>0</v>
      </c>
      <c r="AS240" s="3">
        <f>IFERROR(__xludf.DUMMYFUNCTION("""COMPUTED_VALUE"""),0.0)</f>
        <v>0</v>
      </c>
      <c r="AT240" s="3">
        <f>IFERROR(__xludf.DUMMYFUNCTION("""COMPUTED_VALUE"""),0.0)</f>
        <v>0</v>
      </c>
      <c r="AU240" s="3">
        <f>IFERROR(__xludf.DUMMYFUNCTION("""COMPUTED_VALUE"""),0.0)</f>
        <v>0</v>
      </c>
      <c r="AV240" s="3">
        <f>IFERROR(__xludf.DUMMYFUNCTION("""COMPUTED_VALUE"""),0.0)</f>
        <v>0</v>
      </c>
      <c r="AW240" s="3">
        <f>IFERROR(__xludf.DUMMYFUNCTION("""COMPUTED_VALUE"""),0.0)</f>
        <v>0</v>
      </c>
      <c r="AX240" s="3">
        <f>IFERROR(__xludf.DUMMYFUNCTION("""COMPUTED_VALUE"""),0.0)</f>
        <v>0</v>
      </c>
      <c r="AY240" s="3">
        <f>IFERROR(__xludf.DUMMYFUNCTION("""COMPUTED_VALUE"""),0.0)</f>
        <v>0</v>
      </c>
      <c r="AZ240" s="3">
        <f>IFERROR(__xludf.DUMMYFUNCTION("""COMPUTED_VALUE"""),0.0)</f>
        <v>0</v>
      </c>
      <c r="BA240" s="3">
        <f>IFERROR(__xludf.DUMMYFUNCTION("""COMPUTED_VALUE"""),0.0)</f>
        <v>0</v>
      </c>
      <c r="BB240" s="3">
        <f>IFERROR(__xludf.DUMMYFUNCTION("""COMPUTED_VALUE"""),0.0)</f>
        <v>0</v>
      </c>
      <c r="BC240" s="3">
        <f>IFERROR(__xludf.DUMMYFUNCTION("""COMPUTED_VALUE"""),0.0)</f>
        <v>0</v>
      </c>
      <c r="BD240" s="3">
        <f>IFERROR(__xludf.DUMMYFUNCTION("""COMPUTED_VALUE"""),0.0)</f>
        <v>0</v>
      </c>
      <c r="BE240" s="3">
        <f>IFERROR(__xludf.DUMMYFUNCTION("""COMPUTED_VALUE"""),0.0)</f>
        <v>0</v>
      </c>
      <c r="BF240" s="3">
        <f>IFERROR(__xludf.DUMMYFUNCTION("""COMPUTED_VALUE"""),0.0)</f>
        <v>0</v>
      </c>
      <c r="BG240" s="3">
        <f>IFERROR(__xludf.DUMMYFUNCTION("""COMPUTED_VALUE"""),0.0)</f>
        <v>0</v>
      </c>
      <c r="BH240" s="3">
        <f>IFERROR(__xludf.DUMMYFUNCTION("""COMPUTED_VALUE"""),0.0)</f>
        <v>0</v>
      </c>
      <c r="BI240" s="3">
        <f>IFERROR(__xludf.DUMMYFUNCTION("""COMPUTED_VALUE"""),0.0)</f>
        <v>0</v>
      </c>
      <c r="BJ240" s="3">
        <f>IFERROR(__xludf.DUMMYFUNCTION("""COMPUTED_VALUE"""),0.0)</f>
        <v>0</v>
      </c>
      <c r="BK240" s="3">
        <f>IFERROR(__xludf.DUMMYFUNCTION("""COMPUTED_VALUE"""),0.0)</f>
        <v>0</v>
      </c>
      <c r="BL240" s="3">
        <f>IFERROR(__xludf.DUMMYFUNCTION("""COMPUTED_VALUE"""),0.0)</f>
        <v>0</v>
      </c>
      <c r="BM240" s="3">
        <f>IFERROR(__xludf.DUMMYFUNCTION("""COMPUTED_VALUE"""),0.0)</f>
        <v>0</v>
      </c>
      <c r="BN240" s="3">
        <f>IFERROR(__xludf.DUMMYFUNCTION("""COMPUTED_VALUE"""),0.0)</f>
        <v>0</v>
      </c>
      <c r="BO240" s="3">
        <f>IFERROR(__xludf.DUMMYFUNCTION("""COMPUTED_VALUE"""),0.0)</f>
        <v>0</v>
      </c>
      <c r="BP240" s="3">
        <f>IFERROR(__xludf.DUMMYFUNCTION("""COMPUTED_VALUE"""),0.0)</f>
        <v>0</v>
      </c>
      <c r="BQ240" s="3">
        <f>IFERROR(__xludf.DUMMYFUNCTION("""COMPUTED_VALUE"""),0.0)</f>
        <v>0</v>
      </c>
      <c r="BR240" s="3">
        <f>IFERROR(__xludf.DUMMYFUNCTION("""COMPUTED_VALUE"""),0.0)</f>
        <v>0</v>
      </c>
      <c r="BS240" s="3">
        <f>IFERROR(__xludf.DUMMYFUNCTION("""COMPUTED_VALUE"""),0.0)</f>
        <v>0</v>
      </c>
      <c r="BT240" s="3">
        <f>IFERROR(__xludf.DUMMYFUNCTION("""COMPUTED_VALUE"""),0.0)</f>
        <v>0</v>
      </c>
      <c r="BU240" s="3">
        <f>IFERROR(__xludf.DUMMYFUNCTION("""COMPUTED_VALUE"""),0.0)</f>
        <v>0</v>
      </c>
      <c r="BV240" s="3">
        <f>IFERROR(__xludf.DUMMYFUNCTION("""COMPUTED_VALUE"""),0.0)</f>
        <v>0</v>
      </c>
      <c r="BW240" s="3">
        <f>IFERROR(__xludf.DUMMYFUNCTION("""COMPUTED_VALUE"""),0.0)</f>
        <v>0</v>
      </c>
      <c r="BX240" s="3">
        <f>IFERROR(__xludf.DUMMYFUNCTION("""COMPUTED_VALUE"""),0.0)</f>
        <v>0</v>
      </c>
      <c r="BY240" s="3">
        <f>IFERROR(__xludf.DUMMYFUNCTION("""COMPUTED_VALUE"""),0.0)</f>
        <v>0</v>
      </c>
      <c r="BZ240" s="3">
        <f>IFERROR(__xludf.DUMMYFUNCTION("""COMPUTED_VALUE"""),0.0)</f>
        <v>0</v>
      </c>
      <c r="CA240" s="3">
        <f>IFERROR(__xludf.DUMMYFUNCTION("""COMPUTED_VALUE"""),0.0)</f>
        <v>0</v>
      </c>
      <c r="CB240" s="3">
        <f>IFERROR(__xludf.DUMMYFUNCTION("""COMPUTED_VALUE"""),0.0)</f>
        <v>0</v>
      </c>
    </row>
    <row r="241">
      <c r="A241" s="3" t="str">
        <f>IFERROR(__xludf.DUMMYFUNCTION("""COMPUTED_VALUE"""),"")</f>
        <v/>
      </c>
      <c r="B241" s="3" t="str">
        <f>IFERROR(__xludf.DUMMYFUNCTION("""COMPUTED_VALUE"""),"Laos")</f>
        <v>Laos</v>
      </c>
      <c r="C241" s="3">
        <f>IFERROR(__xludf.DUMMYFUNCTION("""COMPUTED_VALUE"""),19.85627)</f>
        <v>19.85627</v>
      </c>
      <c r="D241" s="3">
        <f>IFERROR(__xludf.DUMMYFUNCTION("""COMPUTED_VALUE"""),102.495496)</f>
        <v>102.495496</v>
      </c>
      <c r="E241" s="3">
        <f>IFERROR(__xludf.DUMMYFUNCTION("""COMPUTED_VALUE"""),0.0)</f>
        <v>0</v>
      </c>
      <c r="F241" s="3">
        <f>IFERROR(__xludf.DUMMYFUNCTION("""COMPUTED_VALUE"""),0.0)</f>
        <v>0</v>
      </c>
      <c r="G241" s="3">
        <f>IFERROR(__xludf.DUMMYFUNCTION("""COMPUTED_VALUE"""),0.0)</f>
        <v>0</v>
      </c>
      <c r="H241" s="3">
        <f>IFERROR(__xludf.DUMMYFUNCTION("""COMPUTED_VALUE"""),0.0)</f>
        <v>0</v>
      </c>
      <c r="I241" s="3">
        <f>IFERROR(__xludf.DUMMYFUNCTION("""COMPUTED_VALUE"""),0.0)</f>
        <v>0</v>
      </c>
      <c r="J241" s="3">
        <f>IFERROR(__xludf.DUMMYFUNCTION("""COMPUTED_VALUE"""),0.0)</f>
        <v>0</v>
      </c>
      <c r="K241" s="3">
        <f>IFERROR(__xludf.DUMMYFUNCTION("""COMPUTED_VALUE"""),0.0)</f>
        <v>0</v>
      </c>
      <c r="L241" s="3">
        <f>IFERROR(__xludf.DUMMYFUNCTION("""COMPUTED_VALUE"""),0.0)</f>
        <v>0</v>
      </c>
      <c r="M241" s="3">
        <f>IFERROR(__xludf.DUMMYFUNCTION("""COMPUTED_VALUE"""),0.0)</f>
        <v>0</v>
      </c>
      <c r="N241" s="3">
        <f>IFERROR(__xludf.DUMMYFUNCTION("""COMPUTED_VALUE"""),0.0)</f>
        <v>0</v>
      </c>
      <c r="O241" s="3">
        <f>IFERROR(__xludf.DUMMYFUNCTION("""COMPUTED_VALUE"""),0.0)</f>
        <v>0</v>
      </c>
      <c r="P241" s="3">
        <f>IFERROR(__xludf.DUMMYFUNCTION("""COMPUTED_VALUE"""),0.0)</f>
        <v>0</v>
      </c>
      <c r="Q241" s="3">
        <f>IFERROR(__xludf.DUMMYFUNCTION("""COMPUTED_VALUE"""),0.0)</f>
        <v>0</v>
      </c>
      <c r="R241" s="3">
        <f>IFERROR(__xludf.DUMMYFUNCTION("""COMPUTED_VALUE"""),0.0)</f>
        <v>0</v>
      </c>
      <c r="S241" s="3">
        <f>IFERROR(__xludf.DUMMYFUNCTION("""COMPUTED_VALUE"""),0.0)</f>
        <v>0</v>
      </c>
      <c r="T241" s="3">
        <f>IFERROR(__xludf.DUMMYFUNCTION("""COMPUTED_VALUE"""),0.0)</f>
        <v>0</v>
      </c>
      <c r="U241" s="3">
        <f>IFERROR(__xludf.DUMMYFUNCTION("""COMPUTED_VALUE"""),0.0)</f>
        <v>0</v>
      </c>
      <c r="V241" s="3">
        <f>IFERROR(__xludf.DUMMYFUNCTION("""COMPUTED_VALUE"""),0.0)</f>
        <v>0</v>
      </c>
      <c r="W241" s="3">
        <f>IFERROR(__xludf.DUMMYFUNCTION("""COMPUTED_VALUE"""),0.0)</f>
        <v>0</v>
      </c>
      <c r="X241" s="3">
        <f>IFERROR(__xludf.DUMMYFUNCTION("""COMPUTED_VALUE"""),0.0)</f>
        <v>0</v>
      </c>
      <c r="Y241" s="3">
        <f>IFERROR(__xludf.DUMMYFUNCTION("""COMPUTED_VALUE"""),0.0)</f>
        <v>0</v>
      </c>
      <c r="Z241" s="3">
        <f>IFERROR(__xludf.DUMMYFUNCTION("""COMPUTED_VALUE"""),0.0)</f>
        <v>0</v>
      </c>
      <c r="AA241" s="3">
        <f>IFERROR(__xludf.DUMMYFUNCTION("""COMPUTED_VALUE"""),0.0)</f>
        <v>0</v>
      </c>
      <c r="AB241" s="3">
        <f>IFERROR(__xludf.DUMMYFUNCTION("""COMPUTED_VALUE"""),0.0)</f>
        <v>0</v>
      </c>
      <c r="AC241" s="3">
        <f>IFERROR(__xludf.DUMMYFUNCTION("""COMPUTED_VALUE"""),0.0)</f>
        <v>0</v>
      </c>
      <c r="AD241" s="3">
        <f>IFERROR(__xludf.DUMMYFUNCTION("""COMPUTED_VALUE"""),0.0)</f>
        <v>0</v>
      </c>
      <c r="AE241" s="3">
        <f>IFERROR(__xludf.DUMMYFUNCTION("""COMPUTED_VALUE"""),0.0)</f>
        <v>0</v>
      </c>
      <c r="AF241" s="3">
        <f>IFERROR(__xludf.DUMMYFUNCTION("""COMPUTED_VALUE"""),0.0)</f>
        <v>0</v>
      </c>
      <c r="AG241" s="3">
        <f>IFERROR(__xludf.DUMMYFUNCTION("""COMPUTED_VALUE"""),0.0)</f>
        <v>0</v>
      </c>
      <c r="AH241" s="3">
        <f>IFERROR(__xludf.DUMMYFUNCTION("""COMPUTED_VALUE"""),0.0)</f>
        <v>0</v>
      </c>
      <c r="AI241" s="3">
        <f>IFERROR(__xludf.DUMMYFUNCTION("""COMPUTED_VALUE"""),0.0)</f>
        <v>0</v>
      </c>
      <c r="AJ241" s="3">
        <f>IFERROR(__xludf.DUMMYFUNCTION("""COMPUTED_VALUE"""),0.0)</f>
        <v>0</v>
      </c>
      <c r="AK241" s="3">
        <f>IFERROR(__xludf.DUMMYFUNCTION("""COMPUTED_VALUE"""),0.0)</f>
        <v>0</v>
      </c>
      <c r="AL241" s="3">
        <f>IFERROR(__xludf.DUMMYFUNCTION("""COMPUTED_VALUE"""),0.0)</f>
        <v>0</v>
      </c>
      <c r="AM241" s="3">
        <f>IFERROR(__xludf.DUMMYFUNCTION("""COMPUTED_VALUE"""),0.0)</f>
        <v>0</v>
      </c>
      <c r="AN241" s="3">
        <f>IFERROR(__xludf.DUMMYFUNCTION("""COMPUTED_VALUE"""),0.0)</f>
        <v>0</v>
      </c>
      <c r="AO241" s="3">
        <f>IFERROR(__xludf.DUMMYFUNCTION("""COMPUTED_VALUE"""),0.0)</f>
        <v>0</v>
      </c>
      <c r="AP241" s="3">
        <f>IFERROR(__xludf.DUMMYFUNCTION("""COMPUTED_VALUE"""),0.0)</f>
        <v>0</v>
      </c>
      <c r="AQ241" s="3">
        <f>IFERROR(__xludf.DUMMYFUNCTION("""COMPUTED_VALUE"""),0.0)</f>
        <v>0</v>
      </c>
      <c r="AR241" s="3">
        <f>IFERROR(__xludf.DUMMYFUNCTION("""COMPUTED_VALUE"""),0.0)</f>
        <v>0</v>
      </c>
      <c r="AS241" s="3">
        <f>IFERROR(__xludf.DUMMYFUNCTION("""COMPUTED_VALUE"""),0.0)</f>
        <v>0</v>
      </c>
      <c r="AT241" s="3">
        <f>IFERROR(__xludf.DUMMYFUNCTION("""COMPUTED_VALUE"""),0.0)</f>
        <v>0</v>
      </c>
      <c r="AU241" s="3">
        <f>IFERROR(__xludf.DUMMYFUNCTION("""COMPUTED_VALUE"""),0.0)</f>
        <v>0</v>
      </c>
      <c r="AV241" s="3">
        <f>IFERROR(__xludf.DUMMYFUNCTION("""COMPUTED_VALUE"""),0.0)</f>
        <v>0</v>
      </c>
      <c r="AW241" s="3">
        <f>IFERROR(__xludf.DUMMYFUNCTION("""COMPUTED_VALUE"""),0.0)</f>
        <v>0</v>
      </c>
      <c r="AX241" s="3">
        <f>IFERROR(__xludf.DUMMYFUNCTION("""COMPUTED_VALUE"""),0.0)</f>
        <v>0</v>
      </c>
      <c r="AY241" s="3">
        <f>IFERROR(__xludf.DUMMYFUNCTION("""COMPUTED_VALUE"""),0.0)</f>
        <v>0</v>
      </c>
      <c r="AZ241" s="3">
        <f>IFERROR(__xludf.DUMMYFUNCTION("""COMPUTED_VALUE"""),0.0)</f>
        <v>0</v>
      </c>
      <c r="BA241" s="3">
        <f>IFERROR(__xludf.DUMMYFUNCTION("""COMPUTED_VALUE"""),0.0)</f>
        <v>0</v>
      </c>
      <c r="BB241" s="3">
        <f>IFERROR(__xludf.DUMMYFUNCTION("""COMPUTED_VALUE"""),0.0)</f>
        <v>0</v>
      </c>
      <c r="BC241" s="3">
        <f>IFERROR(__xludf.DUMMYFUNCTION("""COMPUTED_VALUE"""),0.0)</f>
        <v>0</v>
      </c>
      <c r="BD241" s="3">
        <f>IFERROR(__xludf.DUMMYFUNCTION("""COMPUTED_VALUE"""),0.0)</f>
        <v>0</v>
      </c>
      <c r="BE241" s="3">
        <f>IFERROR(__xludf.DUMMYFUNCTION("""COMPUTED_VALUE"""),0.0)</f>
        <v>0</v>
      </c>
      <c r="BF241" s="3">
        <f>IFERROR(__xludf.DUMMYFUNCTION("""COMPUTED_VALUE"""),0.0)</f>
        <v>0</v>
      </c>
      <c r="BG241" s="3">
        <f>IFERROR(__xludf.DUMMYFUNCTION("""COMPUTED_VALUE"""),0.0)</f>
        <v>0</v>
      </c>
      <c r="BH241" s="3">
        <f>IFERROR(__xludf.DUMMYFUNCTION("""COMPUTED_VALUE"""),0.0)</f>
        <v>0</v>
      </c>
      <c r="BI241" s="3">
        <f>IFERROR(__xludf.DUMMYFUNCTION("""COMPUTED_VALUE"""),0.0)</f>
        <v>0</v>
      </c>
      <c r="BJ241" s="3">
        <f>IFERROR(__xludf.DUMMYFUNCTION("""COMPUTED_VALUE"""),0.0)</f>
        <v>0</v>
      </c>
      <c r="BK241" s="3">
        <f>IFERROR(__xludf.DUMMYFUNCTION("""COMPUTED_VALUE"""),0.0)</f>
        <v>0</v>
      </c>
      <c r="BL241" s="3">
        <f>IFERROR(__xludf.DUMMYFUNCTION("""COMPUTED_VALUE"""),0.0)</f>
        <v>0</v>
      </c>
      <c r="BM241" s="3">
        <f>IFERROR(__xludf.DUMMYFUNCTION("""COMPUTED_VALUE"""),0.0)</f>
        <v>0</v>
      </c>
      <c r="BN241" s="3">
        <f>IFERROR(__xludf.DUMMYFUNCTION("""COMPUTED_VALUE"""),0.0)</f>
        <v>0</v>
      </c>
      <c r="BO241" s="3">
        <f>IFERROR(__xludf.DUMMYFUNCTION("""COMPUTED_VALUE"""),2.0)</f>
        <v>2</v>
      </c>
      <c r="BP241" s="3">
        <f>IFERROR(__xludf.DUMMYFUNCTION("""COMPUTED_VALUE"""),3.0)</f>
        <v>3</v>
      </c>
      <c r="BQ241" s="3">
        <f>IFERROR(__xludf.DUMMYFUNCTION("""COMPUTED_VALUE"""),6.0)</f>
        <v>6</v>
      </c>
      <c r="BR241" s="3">
        <f>IFERROR(__xludf.DUMMYFUNCTION("""COMPUTED_VALUE"""),6.0)</f>
        <v>6</v>
      </c>
      <c r="BS241" s="3">
        <f>IFERROR(__xludf.DUMMYFUNCTION("""COMPUTED_VALUE"""),8.0)</f>
        <v>8</v>
      </c>
      <c r="BT241" s="3">
        <f>IFERROR(__xludf.DUMMYFUNCTION("""COMPUTED_VALUE"""),8.0)</f>
        <v>8</v>
      </c>
      <c r="BU241" s="3">
        <f>IFERROR(__xludf.DUMMYFUNCTION("""COMPUTED_VALUE"""),8.0)</f>
        <v>8</v>
      </c>
      <c r="BV241" s="3">
        <f>IFERROR(__xludf.DUMMYFUNCTION("""COMPUTED_VALUE"""),9.0)</f>
        <v>9</v>
      </c>
      <c r="BW241" s="3">
        <f>IFERROR(__xludf.DUMMYFUNCTION("""COMPUTED_VALUE"""),10.0)</f>
        <v>10</v>
      </c>
      <c r="BX241" s="3">
        <f>IFERROR(__xludf.DUMMYFUNCTION("""COMPUTED_VALUE"""),10.0)</f>
        <v>10</v>
      </c>
      <c r="BY241" s="3">
        <f>IFERROR(__xludf.DUMMYFUNCTION("""COMPUTED_VALUE"""),10.0)</f>
        <v>10</v>
      </c>
      <c r="BZ241" s="3">
        <f>IFERROR(__xludf.DUMMYFUNCTION("""COMPUTED_VALUE"""),10.0)</f>
        <v>10</v>
      </c>
      <c r="CA241" s="3">
        <f>IFERROR(__xludf.DUMMYFUNCTION("""COMPUTED_VALUE"""),11.0)</f>
        <v>11</v>
      </c>
      <c r="CB241" s="3">
        <f>IFERROR(__xludf.DUMMYFUNCTION("""COMPUTED_VALUE"""),12.0)</f>
        <v>12</v>
      </c>
    </row>
    <row r="242">
      <c r="A242" s="3" t="str">
        <f>IFERROR(__xludf.DUMMYFUNCTION("""COMPUTED_VALUE"""),"")</f>
        <v/>
      </c>
      <c r="B242" s="3" t="str">
        <f>IFERROR(__xludf.DUMMYFUNCTION("""COMPUTED_VALUE"""),"Libya")</f>
        <v>Libya</v>
      </c>
      <c r="C242" s="3">
        <f>IFERROR(__xludf.DUMMYFUNCTION("""COMPUTED_VALUE"""),26.3351)</f>
        <v>26.3351</v>
      </c>
      <c r="D242" s="3">
        <f>IFERROR(__xludf.DUMMYFUNCTION("""COMPUTED_VALUE"""),17.228331)</f>
        <v>17.228331</v>
      </c>
      <c r="E242" s="3">
        <f>IFERROR(__xludf.DUMMYFUNCTION("""COMPUTED_VALUE"""),0.0)</f>
        <v>0</v>
      </c>
      <c r="F242" s="3">
        <f>IFERROR(__xludf.DUMMYFUNCTION("""COMPUTED_VALUE"""),0.0)</f>
        <v>0</v>
      </c>
      <c r="G242" s="3">
        <f>IFERROR(__xludf.DUMMYFUNCTION("""COMPUTED_VALUE"""),0.0)</f>
        <v>0</v>
      </c>
      <c r="H242" s="3">
        <f>IFERROR(__xludf.DUMMYFUNCTION("""COMPUTED_VALUE"""),0.0)</f>
        <v>0</v>
      </c>
      <c r="I242" s="3">
        <f>IFERROR(__xludf.DUMMYFUNCTION("""COMPUTED_VALUE"""),0.0)</f>
        <v>0</v>
      </c>
      <c r="J242" s="3">
        <f>IFERROR(__xludf.DUMMYFUNCTION("""COMPUTED_VALUE"""),0.0)</f>
        <v>0</v>
      </c>
      <c r="K242" s="3">
        <f>IFERROR(__xludf.DUMMYFUNCTION("""COMPUTED_VALUE"""),0.0)</f>
        <v>0</v>
      </c>
      <c r="L242" s="3">
        <f>IFERROR(__xludf.DUMMYFUNCTION("""COMPUTED_VALUE"""),0.0)</f>
        <v>0</v>
      </c>
      <c r="M242" s="3">
        <f>IFERROR(__xludf.DUMMYFUNCTION("""COMPUTED_VALUE"""),0.0)</f>
        <v>0</v>
      </c>
      <c r="N242" s="3">
        <f>IFERROR(__xludf.DUMMYFUNCTION("""COMPUTED_VALUE"""),0.0)</f>
        <v>0</v>
      </c>
      <c r="O242" s="3">
        <f>IFERROR(__xludf.DUMMYFUNCTION("""COMPUTED_VALUE"""),0.0)</f>
        <v>0</v>
      </c>
      <c r="P242" s="3">
        <f>IFERROR(__xludf.DUMMYFUNCTION("""COMPUTED_VALUE"""),0.0)</f>
        <v>0</v>
      </c>
      <c r="Q242" s="3">
        <f>IFERROR(__xludf.DUMMYFUNCTION("""COMPUTED_VALUE"""),0.0)</f>
        <v>0</v>
      </c>
      <c r="R242" s="3">
        <f>IFERROR(__xludf.DUMMYFUNCTION("""COMPUTED_VALUE"""),0.0)</f>
        <v>0</v>
      </c>
      <c r="S242" s="3">
        <f>IFERROR(__xludf.DUMMYFUNCTION("""COMPUTED_VALUE"""),0.0)</f>
        <v>0</v>
      </c>
      <c r="T242" s="3">
        <f>IFERROR(__xludf.DUMMYFUNCTION("""COMPUTED_VALUE"""),0.0)</f>
        <v>0</v>
      </c>
      <c r="U242" s="3">
        <f>IFERROR(__xludf.DUMMYFUNCTION("""COMPUTED_VALUE"""),0.0)</f>
        <v>0</v>
      </c>
      <c r="V242" s="3">
        <f>IFERROR(__xludf.DUMMYFUNCTION("""COMPUTED_VALUE"""),0.0)</f>
        <v>0</v>
      </c>
      <c r="W242" s="3">
        <f>IFERROR(__xludf.DUMMYFUNCTION("""COMPUTED_VALUE"""),0.0)</f>
        <v>0</v>
      </c>
      <c r="X242" s="3">
        <f>IFERROR(__xludf.DUMMYFUNCTION("""COMPUTED_VALUE"""),0.0)</f>
        <v>0</v>
      </c>
      <c r="Y242" s="3">
        <f>IFERROR(__xludf.DUMMYFUNCTION("""COMPUTED_VALUE"""),0.0)</f>
        <v>0</v>
      </c>
      <c r="Z242" s="3">
        <f>IFERROR(__xludf.DUMMYFUNCTION("""COMPUTED_VALUE"""),0.0)</f>
        <v>0</v>
      </c>
      <c r="AA242" s="3">
        <f>IFERROR(__xludf.DUMMYFUNCTION("""COMPUTED_VALUE"""),0.0)</f>
        <v>0</v>
      </c>
      <c r="AB242" s="3">
        <f>IFERROR(__xludf.DUMMYFUNCTION("""COMPUTED_VALUE"""),0.0)</f>
        <v>0</v>
      </c>
      <c r="AC242" s="3">
        <f>IFERROR(__xludf.DUMMYFUNCTION("""COMPUTED_VALUE"""),0.0)</f>
        <v>0</v>
      </c>
      <c r="AD242" s="3">
        <f>IFERROR(__xludf.DUMMYFUNCTION("""COMPUTED_VALUE"""),0.0)</f>
        <v>0</v>
      </c>
      <c r="AE242" s="3">
        <f>IFERROR(__xludf.DUMMYFUNCTION("""COMPUTED_VALUE"""),0.0)</f>
        <v>0</v>
      </c>
      <c r="AF242" s="3">
        <f>IFERROR(__xludf.DUMMYFUNCTION("""COMPUTED_VALUE"""),0.0)</f>
        <v>0</v>
      </c>
      <c r="AG242" s="3">
        <f>IFERROR(__xludf.DUMMYFUNCTION("""COMPUTED_VALUE"""),0.0)</f>
        <v>0</v>
      </c>
      <c r="AH242" s="3">
        <f>IFERROR(__xludf.DUMMYFUNCTION("""COMPUTED_VALUE"""),0.0)</f>
        <v>0</v>
      </c>
      <c r="AI242" s="3">
        <f>IFERROR(__xludf.DUMMYFUNCTION("""COMPUTED_VALUE"""),0.0)</f>
        <v>0</v>
      </c>
      <c r="AJ242" s="3">
        <f>IFERROR(__xludf.DUMMYFUNCTION("""COMPUTED_VALUE"""),0.0)</f>
        <v>0</v>
      </c>
      <c r="AK242" s="3">
        <f>IFERROR(__xludf.DUMMYFUNCTION("""COMPUTED_VALUE"""),0.0)</f>
        <v>0</v>
      </c>
      <c r="AL242" s="3">
        <f>IFERROR(__xludf.DUMMYFUNCTION("""COMPUTED_VALUE"""),0.0)</f>
        <v>0</v>
      </c>
      <c r="AM242" s="3">
        <f>IFERROR(__xludf.DUMMYFUNCTION("""COMPUTED_VALUE"""),0.0)</f>
        <v>0</v>
      </c>
      <c r="AN242" s="3">
        <f>IFERROR(__xludf.DUMMYFUNCTION("""COMPUTED_VALUE"""),0.0)</f>
        <v>0</v>
      </c>
      <c r="AO242" s="3">
        <f>IFERROR(__xludf.DUMMYFUNCTION("""COMPUTED_VALUE"""),0.0)</f>
        <v>0</v>
      </c>
      <c r="AP242" s="3">
        <f>IFERROR(__xludf.DUMMYFUNCTION("""COMPUTED_VALUE"""),0.0)</f>
        <v>0</v>
      </c>
      <c r="AQ242" s="3">
        <f>IFERROR(__xludf.DUMMYFUNCTION("""COMPUTED_VALUE"""),0.0)</f>
        <v>0</v>
      </c>
      <c r="AR242" s="3">
        <f>IFERROR(__xludf.DUMMYFUNCTION("""COMPUTED_VALUE"""),0.0)</f>
        <v>0</v>
      </c>
      <c r="AS242" s="3">
        <f>IFERROR(__xludf.DUMMYFUNCTION("""COMPUTED_VALUE"""),0.0)</f>
        <v>0</v>
      </c>
      <c r="AT242" s="3">
        <f>IFERROR(__xludf.DUMMYFUNCTION("""COMPUTED_VALUE"""),0.0)</f>
        <v>0</v>
      </c>
      <c r="AU242" s="3">
        <f>IFERROR(__xludf.DUMMYFUNCTION("""COMPUTED_VALUE"""),0.0)</f>
        <v>0</v>
      </c>
      <c r="AV242" s="3">
        <f>IFERROR(__xludf.DUMMYFUNCTION("""COMPUTED_VALUE"""),0.0)</f>
        <v>0</v>
      </c>
      <c r="AW242" s="3">
        <f>IFERROR(__xludf.DUMMYFUNCTION("""COMPUTED_VALUE"""),0.0)</f>
        <v>0</v>
      </c>
      <c r="AX242" s="3">
        <f>IFERROR(__xludf.DUMMYFUNCTION("""COMPUTED_VALUE"""),0.0)</f>
        <v>0</v>
      </c>
      <c r="AY242" s="3">
        <f>IFERROR(__xludf.DUMMYFUNCTION("""COMPUTED_VALUE"""),0.0)</f>
        <v>0</v>
      </c>
      <c r="AZ242" s="3">
        <f>IFERROR(__xludf.DUMMYFUNCTION("""COMPUTED_VALUE"""),0.0)</f>
        <v>0</v>
      </c>
      <c r="BA242" s="3">
        <f>IFERROR(__xludf.DUMMYFUNCTION("""COMPUTED_VALUE"""),0.0)</f>
        <v>0</v>
      </c>
      <c r="BB242" s="3">
        <f>IFERROR(__xludf.DUMMYFUNCTION("""COMPUTED_VALUE"""),0.0)</f>
        <v>0</v>
      </c>
      <c r="BC242" s="3">
        <f>IFERROR(__xludf.DUMMYFUNCTION("""COMPUTED_VALUE"""),0.0)</f>
        <v>0</v>
      </c>
      <c r="BD242" s="3">
        <f>IFERROR(__xludf.DUMMYFUNCTION("""COMPUTED_VALUE"""),0.0)</f>
        <v>0</v>
      </c>
      <c r="BE242" s="3">
        <f>IFERROR(__xludf.DUMMYFUNCTION("""COMPUTED_VALUE"""),0.0)</f>
        <v>0</v>
      </c>
      <c r="BF242" s="3">
        <f>IFERROR(__xludf.DUMMYFUNCTION("""COMPUTED_VALUE"""),0.0)</f>
        <v>0</v>
      </c>
      <c r="BG242" s="3">
        <f>IFERROR(__xludf.DUMMYFUNCTION("""COMPUTED_VALUE"""),0.0)</f>
        <v>0</v>
      </c>
      <c r="BH242" s="3">
        <f>IFERROR(__xludf.DUMMYFUNCTION("""COMPUTED_VALUE"""),0.0)</f>
        <v>0</v>
      </c>
      <c r="BI242" s="3">
        <f>IFERROR(__xludf.DUMMYFUNCTION("""COMPUTED_VALUE"""),0.0)</f>
        <v>0</v>
      </c>
      <c r="BJ242" s="3">
        <f>IFERROR(__xludf.DUMMYFUNCTION("""COMPUTED_VALUE"""),0.0)</f>
        <v>0</v>
      </c>
      <c r="BK242" s="3">
        <f>IFERROR(__xludf.DUMMYFUNCTION("""COMPUTED_VALUE"""),0.0)</f>
        <v>0</v>
      </c>
      <c r="BL242" s="3">
        <f>IFERROR(__xludf.DUMMYFUNCTION("""COMPUTED_VALUE"""),0.0)</f>
        <v>0</v>
      </c>
      <c r="BM242" s="3">
        <f>IFERROR(__xludf.DUMMYFUNCTION("""COMPUTED_VALUE"""),0.0)</f>
        <v>0</v>
      </c>
      <c r="BN242" s="3">
        <f>IFERROR(__xludf.DUMMYFUNCTION("""COMPUTED_VALUE"""),0.0)</f>
        <v>0</v>
      </c>
      <c r="BO242" s="3">
        <f>IFERROR(__xludf.DUMMYFUNCTION("""COMPUTED_VALUE"""),1.0)</f>
        <v>1</v>
      </c>
      <c r="BP242" s="3">
        <f>IFERROR(__xludf.DUMMYFUNCTION("""COMPUTED_VALUE"""),1.0)</f>
        <v>1</v>
      </c>
      <c r="BQ242" s="3">
        <f>IFERROR(__xludf.DUMMYFUNCTION("""COMPUTED_VALUE"""),1.0)</f>
        <v>1</v>
      </c>
      <c r="BR242" s="3">
        <f>IFERROR(__xludf.DUMMYFUNCTION("""COMPUTED_VALUE"""),1.0)</f>
        <v>1</v>
      </c>
      <c r="BS242" s="3">
        <f>IFERROR(__xludf.DUMMYFUNCTION("""COMPUTED_VALUE"""),3.0)</f>
        <v>3</v>
      </c>
      <c r="BT242" s="3">
        <f>IFERROR(__xludf.DUMMYFUNCTION("""COMPUTED_VALUE"""),8.0)</f>
        <v>8</v>
      </c>
      <c r="BU242" s="3">
        <f>IFERROR(__xludf.DUMMYFUNCTION("""COMPUTED_VALUE"""),8.0)</f>
        <v>8</v>
      </c>
      <c r="BV242" s="3">
        <f>IFERROR(__xludf.DUMMYFUNCTION("""COMPUTED_VALUE"""),10.0)</f>
        <v>10</v>
      </c>
      <c r="BW242" s="3">
        <f>IFERROR(__xludf.DUMMYFUNCTION("""COMPUTED_VALUE"""),10.0)</f>
        <v>10</v>
      </c>
      <c r="BX242" s="3">
        <f>IFERROR(__xludf.DUMMYFUNCTION("""COMPUTED_VALUE"""),11.0)</f>
        <v>11</v>
      </c>
      <c r="BY242" s="3">
        <f>IFERROR(__xludf.DUMMYFUNCTION("""COMPUTED_VALUE"""),11.0)</f>
        <v>11</v>
      </c>
      <c r="BZ242" s="3">
        <f>IFERROR(__xludf.DUMMYFUNCTION("""COMPUTED_VALUE"""),18.0)</f>
        <v>18</v>
      </c>
      <c r="CA242" s="3">
        <f>IFERROR(__xludf.DUMMYFUNCTION("""COMPUTED_VALUE"""),18.0)</f>
        <v>18</v>
      </c>
      <c r="CB242" s="3">
        <f>IFERROR(__xludf.DUMMYFUNCTION("""COMPUTED_VALUE"""),19.0)</f>
        <v>19</v>
      </c>
    </row>
    <row r="243">
      <c r="A243" s="3" t="str">
        <f>IFERROR(__xludf.DUMMYFUNCTION("""COMPUTED_VALUE"""),"")</f>
        <v/>
      </c>
      <c r="B243" s="3" t="str">
        <f>IFERROR(__xludf.DUMMYFUNCTION("""COMPUTED_VALUE"""),"West Bank and Gaza")</f>
        <v>West Bank and Gaza</v>
      </c>
      <c r="C243" s="3">
        <f>IFERROR(__xludf.DUMMYFUNCTION("""COMPUTED_VALUE"""),31.9522)</f>
        <v>31.9522</v>
      </c>
      <c r="D243" s="3">
        <f>IFERROR(__xludf.DUMMYFUNCTION("""COMPUTED_VALUE"""),35.2332)</f>
        <v>35.2332</v>
      </c>
      <c r="E243" s="3">
        <f>IFERROR(__xludf.DUMMYFUNCTION("""COMPUTED_VALUE"""),0.0)</f>
        <v>0</v>
      </c>
      <c r="F243" s="3">
        <f>IFERROR(__xludf.DUMMYFUNCTION("""COMPUTED_VALUE"""),0.0)</f>
        <v>0</v>
      </c>
      <c r="G243" s="3">
        <f>IFERROR(__xludf.DUMMYFUNCTION("""COMPUTED_VALUE"""),0.0)</f>
        <v>0</v>
      </c>
      <c r="H243" s="3">
        <f>IFERROR(__xludf.DUMMYFUNCTION("""COMPUTED_VALUE"""),0.0)</f>
        <v>0</v>
      </c>
      <c r="I243" s="3">
        <f>IFERROR(__xludf.DUMMYFUNCTION("""COMPUTED_VALUE"""),0.0)</f>
        <v>0</v>
      </c>
      <c r="J243" s="3">
        <f>IFERROR(__xludf.DUMMYFUNCTION("""COMPUTED_VALUE"""),0.0)</f>
        <v>0</v>
      </c>
      <c r="K243" s="3">
        <f>IFERROR(__xludf.DUMMYFUNCTION("""COMPUTED_VALUE"""),0.0)</f>
        <v>0</v>
      </c>
      <c r="L243" s="3">
        <f>IFERROR(__xludf.DUMMYFUNCTION("""COMPUTED_VALUE"""),0.0)</f>
        <v>0</v>
      </c>
      <c r="M243" s="3">
        <f>IFERROR(__xludf.DUMMYFUNCTION("""COMPUTED_VALUE"""),0.0)</f>
        <v>0</v>
      </c>
      <c r="N243" s="3">
        <f>IFERROR(__xludf.DUMMYFUNCTION("""COMPUTED_VALUE"""),0.0)</f>
        <v>0</v>
      </c>
      <c r="O243" s="3">
        <f>IFERROR(__xludf.DUMMYFUNCTION("""COMPUTED_VALUE"""),0.0)</f>
        <v>0</v>
      </c>
      <c r="P243" s="3">
        <f>IFERROR(__xludf.DUMMYFUNCTION("""COMPUTED_VALUE"""),0.0)</f>
        <v>0</v>
      </c>
      <c r="Q243" s="3">
        <f>IFERROR(__xludf.DUMMYFUNCTION("""COMPUTED_VALUE"""),0.0)</f>
        <v>0</v>
      </c>
      <c r="R243" s="3">
        <f>IFERROR(__xludf.DUMMYFUNCTION("""COMPUTED_VALUE"""),0.0)</f>
        <v>0</v>
      </c>
      <c r="S243" s="3">
        <f>IFERROR(__xludf.DUMMYFUNCTION("""COMPUTED_VALUE"""),0.0)</f>
        <v>0</v>
      </c>
      <c r="T243" s="3">
        <f>IFERROR(__xludf.DUMMYFUNCTION("""COMPUTED_VALUE"""),0.0)</f>
        <v>0</v>
      </c>
      <c r="U243" s="3">
        <f>IFERROR(__xludf.DUMMYFUNCTION("""COMPUTED_VALUE"""),0.0)</f>
        <v>0</v>
      </c>
      <c r="V243" s="3">
        <f>IFERROR(__xludf.DUMMYFUNCTION("""COMPUTED_VALUE"""),0.0)</f>
        <v>0</v>
      </c>
      <c r="W243" s="3">
        <f>IFERROR(__xludf.DUMMYFUNCTION("""COMPUTED_VALUE"""),0.0)</f>
        <v>0</v>
      </c>
      <c r="X243" s="3">
        <f>IFERROR(__xludf.DUMMYFUNCTION("""COMPUTED_VALUE"""),0.0)</f>
        <v>0</v>
      </c>
      <c r="Y243" s="3">
        <f>IFERROR(__xludf.DUMMYFUNCTION("""COMPUTED_VALUE"""),0.0)</f>
        <v>0</v>
      </c>
      <c r="Z243" s="3">
        <f>IFERROR(__xludf.DUMMYFUNCTION("""COMPUTED_VALUE"""),0.0)</f>
        <v>0</v>
      </c>
      <c r="AA243" s="3">
        <f>IFERROR(__xludf.DUMMYFUNCTION("""COMPUTED_VALUE"""),0.0)</f>
        <v>0</v>
      </c>
      <c r="AB243" s="3">
        <f>IFERROR(__xludf.DUMMYFUNCTION("""COMPUTED_VALUE"""),0.0)</f>
        <v>0</v>
      </c>
      <c r="AC243" s="3">
        <f>IFERROR(__xludf.DUMMYFUNCTION("""COMPUTED_VALUE"""),0.0)</f>
        <v>0</v>
      </c>
      <c r="AD243" s="3">
        <f>IFERROR(__xludf.DUMMYFUNCTION("""COMPUTED_VALUE"""),0.0)</f>
        <v>0</v>
      </c>
      <c r="AE243" s="3">
        <f>IFERROR(__xludf.DUMMYFUNCTION("""COMPUTED_VALUE"""),0.0)</f>
        <v>0</v>
      </c>
      <c r="AF243" s="3">
        <f>IFERROR(__xludf.DUMMYFUNCTION("""COMPUTED_VALUE"""),0.0)</f>
        <v>0</v>
      </c>
      <c r="AG243" s="3">
        <f>IFERROR(__xludf.DUMMYFUNCTION("""COMPUTED_VALUE"""),0.0)</f>
        <v>0</v>
      </c>
      <c r="AH243" s="3">
        <f>IFERROR(__xludf.DUMMYFUNCTION("""COMPUTED_VALUE"""),0.0)</f>
        <v>0</v>
      </c>
      <c r="AI243" s="3">
        <f>IFERROR(__xludf.DUMMYFUNCTION("""COMPUTED_VALUE"""),0.0)</f>
        <v>0</v>
      </c>
      <c r="AJ243" s="3">
        <f>IFERROR(__xludf.DUMMYFUNCTION("""COMPUTED_VALUE"""),0.0)</f>
        <v>0</v>
      </c>
      <c r="AK243" s="3">
        <f>IFERROR(__xludf.DUMMYFUNCTION("""COMPUTED_VALUE"""),0.0)</f>
        <v>0</v>
      </c>
      <c r="AL243" s="3">
        <f>IFERROR(__xludf.DUMMYFUNCTION("""COMPUTED_VALUE"""),0.0)</f>
        <v>0</v>
      </c>
      <c r="AM243" s="3">
        <f>IFERROR(__xludf.DUMMYFUNCTION("""COMPUTED_VALUE"""),0.0)</f>
        <v>0</v>
      </c>
      <c r="AN243" s="3">
        <f>IFERROR(__xludf.DUMMYFUNCTION("""COMPUTED_VALUE"""),0.0)</f>
        <v>0</v>
      </c>
      <c r="AO243" s="3">
        <f>IFERROR(__xludf.DUMMYFUNCTION("""COMPUTED_VALUE"""),0.0)</f>
        <v>0</v>
      </c>
      <c r="AP243" s="3">
        <f>IFERROR(__xludf.DUMMYFUNCTION("""COMPUTED_VALUE"""),0.0)</f>
        <v>0</v>
      </c>
      <c r="AQ243" s="3">
        <f>IFERROR(__xludf.DUMMYFUNCTION("""COMPUTED_VALUE"""),0.0)</f>
        <v>0</v>
      </c>
      <c r="AR243" s="3">
        <f>IFERROR(__xludf.DUMMYFUNCTION("""COMPUTED_VALUE"""),0.0)</f>
        <v>0</v>
      </c>
      <c r="AS243" s="3">
        <f>IFERROR(__xludf.DUMMYFUNCTION("""COMPUTED_VALUE"""),0.0)</f>
        <v>0</v>
      </c>
      <c r="AT243" s="3">
        <f>IFERROR(__xludf.DUMMYFUNCTION("""COMPUTED_VALUE"""),0.0)</f>
        <v>0</v>
      </c>
      <c r="AU243" s="3">
        <f>IFERROR(__xludf.DUMMYFUNCTION("""COMPUTED_VALUE"""),0.0)</f>
        <v>0</v>
      </c>
      <c r="AV243" s="3">
        <f>IFERROR(__xludf.DUMMYFUNCTION("""COMPUTED_VALUE"""),4.0)</f>
        <v>4</v>
      </c>
      <c r="AW243" s="3">
        <f>IFERROR(__xludf.DUMMYFUNCTION("""COMPUTED_VALUE"""),7.0)</f>
        <v>7</v>
      </c>
      <c r="AX243" s="3">
        <f>IFERROR(__xludf.DUMMYFUNCTION("""COMPUTED_VALUE"""),16.0)</f>
        <v>16</v>
      </c>
      <c r="AY243" s="3">
        <f>IFERROR(__xludf.DUMMYFUNCTION("""COMPUTED_VALUE"""),16.0)</f>
        <v>16</v>
      </c>
      <c r="AZ243" s="3">
        <f>IFERROR(__xludf.DUMMYFUNCTION("""COMPUTED_VALUE"""),19.0)</f>
        <v>19</v>
      </c>
      <c r="BA243" s="3">
        <f>IFERROR(__xludf.DUMMYFUNCTION("""COMPUTED_VALUE"""),26.0)</f>
        <v>26</v>
      </c>
      <c r="BB243" s="3">
        <f>IFERROR(__xludf.DUMMYFUNCTION("""COMPUTED_VALUE"""),30.0)</f>
        <v>30</v>
      </c>
      <c r="BC243" s="3">
        <f>IFERROR(__xludf.DUMMYFUNCTION("""COMPUTED_VALUE"""),30.0)</f>
        <v>30</v>
      </c>
      <c r="BD243" s="3">
        <f>IFERROR(__xludf.DUMMYFUNCTION("""COMPUTED_VALUE"""),31.0)</f>
        <v>31</v>
      </c>
      <c r="BE243" s="3">
        <f>IFERROR(__xludf.DUMMYFUNCTION("""COMPUTED_VALUE"""),35.0)</f>
        <v>35</v>
      </c>
      <c r="BF243" s="3">
        <f>IFERROR(__xludf.DUMMYFUNCTION("""COMPUTED_VALUE"""),38.0)</f>
        <v>38</v>
      </c>
      <c r="BG243" s="3">
        <f>IFERROR(__xludf.DUMMYFUNCTION("""COMPUTED_VALUE"""),38.0)</f>
        <v>38</v>
      </c>
      <c r="BH243" s="3">
        <f>IFERROR(__xludf.DUMMYFUNCTION("""COMPUTED_VALUE"""),39.0)</f>
        <v>39</v>
      </c>
      <c r="BI243" s="3">
        <f>IFERROR(__xludf.DUMMYFUNCTION("""COMPUTED_VALUE"""),41.0)</f>
        <v>41</v>
      </c>
      <c r="BJ243" s="3">
        <f>IFERROR(__xludf.DUMMYFUNCTION("""COMPUTED_VALUE"""),44.0)</f>
        <v>44</v>
      </c>
      <c r="BK243" s="3">
        <f>IFERROR(__xludf.DUMMYFUNCTION("""COMPUTED_VALUE"""),47.0)</f>
        <v>47</v>
      </c>
      <c r="BL243" s="3">
        <f>IFERROR(__xludf.DUMMYFUNCTION("""COMPUTED_VALUE"""),48.0)</f>
        <v>48</v>
      </c>
      <c r="BM243" s="3">
        <f>IFERROR(__xludf.DUMMYFUNCTION("""COMPUTED_VALUE"""),52.0)</f>
        <v>52</v>
      </c>
      <c r="BN243" s="3">
        <f>IFERROR(__xludf.DUMMYFUNCTION("""COMPUTED_VALUE"""),59.0)</f>
        <v>59</v>
      </c>
      <c r="BO243" s="3">
        <f>IFERROR(__xludf.DUMMYFUNCTION("""COMPUTED_VALUE"""),59.0)</f>
        <v>59</v>
      </c>
      <c r="BP243" s="3">
        <f>IFERROR(__xludf.DUMMYFUNCTION("""COMPUTED_VALUE"""),59.0)</f>
        <v>59</v>
      </c>
      <c r="BQ243" s="3">
        <f>IFERROR(__xludf.DUMMYFUNCTION("""COMPUTED_VALUE"""),84.0)</f>
        <v>84</v>
      </c>
      <c r="BR243" s="3">
        <f>IFERROR(__xludf.DUMMYFUNCTION("""COMPUTED_VALUE"""),91.0)</f>
        <v>91</v>
      </c>
      <c r="BS243" s="3">
        <f>IFERROR(__xludf.DUMMYFUNCTION("""COMPUTED_VALUE"""),98.0)</f>
        <v>98</v>
      </c>
      <c r="BT243" s="3">
        <f>IFERROR(__xludf.DUMMYFUNCTION("""COMPUTED_VALUE"""),109.0)</f>
        <v>109</v>
      </c>
      <c r="BU243" s="3">
        <f>IFERROR(__xludf.DUMMYFUNCTION("""COMPUTED_VALUE"""),116.0)</f>
        <v>116</v>
      </c>
      <c r="BV243" s="3">
        <f>IFERROR(__xludf.DUMMYFUNCTION("""COMPUTED_VALUE"""),119.0)</f>
        <v>119</v>
      </c>
      <c r="BW243" s="3">
        <f>IFERROR(__xludf.DUMMYFUNCTION("""COMPUTED_VALUE"""),134.0)</f>
        <v>134</v>
      </c>
      <c r="BX243" s="3">
        <f>IFERROR(__xludf.DUMMYFUNCTION("""COMPUTED_VALUE"""),161.0)</f>
        <v>161</v>
      </c>
      <c r="BY243" s="3">
        <f>IFERROR(__xludf.DUMMYFUNCTION("""COMPUTED_VALUE"""),194.0)</f>
        <v>194</v>
      </c>
      <c r="BZ243" s="3">
        <f>IFERROR(__xludf.DUMMYFUNCTION("""COMPUTED_VALUE"""),217.0)</f>
        <v>217</v>
      </c>
      <c r="CA243" s="3">
        <f>IFERROR(__xludf.DUMMYFUNCTION("""COMPUTED_VALUE"""),237.0)</f>
        <v>237</v>
      </c>
      <c r="CB243" s="3">
        <f>IFERROR(__xludf.DUMMYFUNCTION("""COMPUTED_VALUE"""),254.0)</f>
        <v>254</v>
      </c>
    </row>
    <row r="244">
      <c r="A244" s="3" t="str">
        <f>IFERROR(__xludf.DUMMYFUNCTION("""COMPUTED_VALUE"""),"")</f>
        <v/>
      </c>
      <c r="B244" s="3" t="str">
        <f>IFERROR(__xludf.DUMMYFUNCTION("""COMPUTED_VALUE"""),"Guinea-Bissau")</f>
        <v>Guinea-Bissau</v>
      </c>
      <c r="C244" s="3">
        <f>IFERROR(__xludf.DUMMYFUNCTION("""COMPUTED_VALUE"""),11.8037)</f>
        <v>11.8037</v>
      </c>
      <c r="D244" s="3">
        <f>IFERROR(__xludf.DUMMYFUNCTION("""COMPUTED_VALUE"""),-15.1804)</f>
        <v>-15.1804</v>
      </c>
      <c r="E244" s="3">
        <f>IFERROR(__xludf.DUMMYFUNCTION("""COMPUTED_VALUE"""),0.0)</f>
        <v>0</v>
      </c>
      <c r="F244" s="3">
        <f>IFERROR(__xludf.DUMMYFUNCTION("""COMPUTED_VALUE"""),0.0)</f>
        <v>0</v>
      </c>
      <c r="G244" s="3">
        <f>IFERROR(__xludf.DUMMYFUNCTION("""COMPUTED_VALUE"""),0.0)</f>
        <v>0</v>
      </c>
      <c r="H244" s="3">
        <f>IFERROR(__xludf.DUMMYFUNCTION("""COMPUTED_VALUE"""),0.0)</f>
        <v>0</v>
      </c>
      <c r="I244" s="3">
        <f>IFERROR(__xludf.DUMMYFUNCTION("""COMPUTED_VALUE"""),0.0)</f>
        <v>0</v>
      </c>
      <c r="J244" s="3">
        <f>IFERROR(__xludf.DUMMYFUNCTION("""COMPUTED_VALUE"""),0.0)</f>
        <v>0</v>
      </c>
      <c r="K244" s="3">
        <f>IFERROR(__xludf.DUMMYFUNCTION("""COMPUTED_VALUE"""),0.0)</f>
        <v>0</v>
      </c>
      <c r="L244" s="3">
        <f>IFERROR(__xludf.DUMMYFUNCTION("""COMPUTED_VALUE"""),0.0)</f>
        <v>0</v>
      </c>
      <c r="M244" s="3">
        <f>IFERROR(__xludf.DUMMYFUNCTION("""COMPUTED_VALUE"""),0.0)</f>
        <v>0</v>
      </c>
      <c r="N244" s="3">
        <f>IFERROR(__xludf.DUMMYFUNCTION("""COMPUTED_VALUE"""),0.0)</f>
        <v>0</v>
      </c>
      <c r="O244" s="3">
        <f>IFERROR(__xludf.DUMMYFUNCTION("""COMPUTED_VALUE"""),0.0)</f>
        <v>0</v>
      </c>
      <c r="P244" s="3">
        <f>IFERROR(__xludf.DUMMYFUNCTION("""COMPUTED_VALUE"""),0.0)</f>
        <v>0</v>
      </c>
      <c r="Q244" s="3">
        <f>IFERROR(__xludf.DUMMYFUNCTION("""COMPUTED_VALUE"""),0.0)</f>
        <v>0</v>
      </c>
      <c r="R244" s="3">
        <f>IFERROR(__xludf.DUMMYFUNCTION("""COMPUTED_VALUE"""),0.0)</f>
        <v>0</v>
      </c>
      <c r="S244" s="3">
        <f>IFERROR(__xludf.DUMMYFUNCTION("""COMPUTED_VALUE"""),0.0)</f>
        <v>0</v>
      </c>
      <c r="T244" s="3">
        <f>IFERROR(__xludf.DUMMYFUNCTION("""COMPUTED_VALUE"""),0.0)</f>
        <v>0</v>
      </c>
      <c r="U244" s="3">
        <f>IFERROR(__xludf.DUMMYFUNCTION("""COMPUTED_VALUE"""),0.0)</f>
        <v>0</v>
      </c>
      <c r="V244" s="3">
        <f>IFERROR(__xludf.DUMMYFUNCTION("""COMPUTED_VALUE"""),0.0)</f>
        <v>0</v>
      </c>
      <c r="W244" s="3">
        <f>IFERROR(__xludf.DUMMYFUNCTION("""COMPUTED_VALUE"""),0.0)</f>
        <v>0</v>
      </c>
      <c r="X244" s="3">
        <f>IFERROR(__xludf.DUMMYFUNCTION("""COMPUTED_VALUE"""),0.0)</f>
        <v>0</v>
      </c>
      <c r="Y244" s="3">
        <f>IFERROR(__xludf.DUMMYFUNCTION("""COMPUTED_VALUE"""),0.0)</f>
        <v>0</v>
      </c>
      <c r="Z244" s="3">
        <f>IFERROR(__xludf.DUMMYFUNCTION("""COMPUTED_VALUE"""),0.0)</f>
        <v>0</v>
      </c>
      <c r="AA244" s="3">
        <f>IFERROR(__xludf.DUMMYFUNCTION("""COMPUTED_VALUE"""),0.0)</f>
        <v>0</v>
      </c>
      <c r="AB244" s="3">
        <f>IFERROR(__xludf.DUMMYFUNCTION("""COMPUTED_VALUE"""),0.0)</f>
        <v>0</v>
      </c>
      <c r="AC244" s="3">
        <f>IFERROR(__xludf.DUMMYFUNCTION("""COMPUTED_VALUE"""),0.0)</f>
        <v>0</v>
      </c>
      <c r="AD244" s="3">
        <f>IFERROR(__xludf.DUMMYFUNCTION("""COMPUTED_VALUE"""),0.0)</f>
        <v>0</v>
      </c>
      <c r="AE244" s="3">
        <f>IFERROR(__xludf.DUMMYFUNCTION("""COMPUTED_VALUE"""),0.0)</f>
        <v>0</v>
      </c>
      <c r="AF244" s="3">
        <f>IFERROR(__xludf.DUMMYFUNCTION("""COMPUTED_VALUE"""),0.0)</f>
        <v>0</v>
      </c>
      <c r="AG244" s="3">
        <f>IFERROR(__xludf.DUMMYFUNCTION("""COMPUTED_VALUE"""),0.0)</f>
        <v>0</v>
      </c>
      <c r="AH244" s="3">
        <f>IFERROR(__xludf.DUMMYFUNCTION("""COMPUTED_VALUE"""),0.0)</f>
        <v>0</v>
      </c>
      <c r="AI244" s="3">
        <f>IFERROR(__xludf.DUMMYFUNCTION("""COMPUTED_VALUE"""),0.0)</f>
        <v>0</v>
      </c>
      <c r="AJ244" s="3">
        <f>IFERROR(__xludf.DUMMYFUNCTION("""COMPUTED_VALUE"""),0.0)</f>
        <v>0</v>
      </c>
      <c r="AK244" s="3">
        <f>IFERROR(__xludf.DUMMYFUNCTION("""COMPUTED_VALUE"""),0.0)</f>
        <v>0</v>
      </c>
      <c r="AL244" s="3">
        <f>IFERROR(__xludf.DUMMYFUNCTION("""COMPUTED_VALUE"""),0.0)</f>
        <v>0</v>
      </c>
      <c r="AM244" s="3">
        <f>IFERROR(__xludf.DUMMYFUNCTION("""COMPUTED_VALUE"""),0.0)</f>
        <v>0</v>
      </c>
      <c r="AN244" s="3">
        <f>IFERROR(__xludf.DUMMYFUNCTION("""COMPUTED_VALUE"""),0.0)</f>
        <v>0</v>
      </c>
      <c r="AO244" s="3">
        <f>IFERROR(__xludf.DUMMYFUNCTION("""COMPUTED_VALUE"""),0.0)</f>
        <v>0</v>
      </c>
      <c r="AP244" s="3">
        <f>IFERROR(__xludf.DUMMYFUNCTION("""COMPUTED_VALUE"""),0.0)</f>
        <v>0</v>
      </c>
      <c r="AQ244" s="3">
        <f>IFERROR(__xludf.DUMMYFUNCTION("""COMPUTED_VALUE"""),0.0)</f>
        <v>0</v>
      </c>
      <c r="AR244" s="3">
        <f>IFERROR(__xludf.DUMMYFUNCTION("""COMPUTED_VALUE"""),0.0)</f>
        <v>0</v>
      </c>
      <c r="AS244" s="3">
        <f>IFERROR(__xludf.DUMMYFUNCTION("""COMPUTED_VALUE"""),0.0)</f>
        <v>0</v>
      </c>
      <c r="AT244" s="3">
        <f>IFERROR(__xludf.DUMMYFUNCTION("""COMPUTED_VALUE"""),0.0)</f>
        <v>0</v>
      </c>
      <c r="AU244" s="3">
        <f>IFERROR(__xludf.DUMMYFUNCTION("""COMPUTED_VALUE"""),0.0)</f>
        <v>0</v>
      </c>
      <c r="AV244" s="3">
        <f>IFERROR(__xludf.DUMMYFUNCTION("""COMPUTED_VALUE"""),0.0)</f>
        <v>0</v>
      </c>
      <c r="AW244" s="3">
        <f>IFERROR(__xludf.DUMMYFUNCTION("""COMPUTED_VALUE"""),0.0)</f>
        <v>0</v>
      </c>
      <c r="AX244" s="3">
        <f>IFERROR(__xludf.DUMMYFUNCTION("""COMPUTED_VALUE"""),0.0)</f>
        <v>0</v>
      </c>
      <c r="AY244" s="3">
        <f>IFERROR(__xludf.DUMMYFUNCTION("""COMPUTED_VALUE"""),0.0)</f>
        <v>0</v>
      </c>
      <c r="AZ244" s="3">
        <f>IFERROR(__xludf.DUMMYFUNCTION("""COMPUTED_VALUE"""),0.0)</f>
        <v>0</v>
      </c>
      <c r="BA244" s="3">
        <f>IFERROR(__xludf.DUMMYFUNCTION("""COMPUTED_VALUE"""),0.0)</f>
        <v>0</v>
      </c>
      <c r="BB244" s="3">
        <f>IFERROR(__xludf.DUMMYFUNCTION("""COMPUTED_VALUE"""),0.0)</f>
        <v>0</v>
      </c>
      <c r="BC244" s="3">
        <f>IFERROR(__xludf.DUMMYFUNCTION("""COMPUTED_VALUE"""),0.0)</f>
        <v>0</v>
      </c>
      <c r="BD244" s="3">
        <f>IFERROR(__xludf.DUMMYFUNCTION("""COMPUTED_VALUE"""),0.0)</f>
        <v>0</v>
      </c>
      <c r="BE244" s="3">
        <f>IFERROR(__xludf.DUMMYFUNCTION("""COMPUTED_VALUE"""),0.0)</f>
        <v>0</v>
      </c>
      <c r="BF244" s="3">
        <f>IFERROR(__xludf.DUMMYFUNCTION("""COMPUTED_VALUE"""),0.0)</f>
        <v>0</v>
      </c>
      <c r="BG244" s="3">
        <f>IFERROR(__xludf.DUMMYFUNCTION("""COMPUTED_VALUE"""),0.0)</f>
        <v>0</v>
      </c>
      <c r="BH244" s="3">
        <f>IFERROR(__xludf.DUMMYFUNCTION("""COMPUTED_VALUE"""),0.0)</f>
        <v>0</v>
      </c>
      <c r="BI244" s="3">
        <f>IFERROR(__xludf.DUMMYFUNCTION("""COMPUTED_VALUE"""),0.0)</f>
        <v>0</v>
      </c>
      <c r="BJ244" s="3">
        <f>IFERROR(__xludf.DUMMYFUNCTION("""COMPUTED_VALUE"""),0.0)</f>
        <v>0</v>
      </c>
      <c r="BK244" s="3">
        <f>IFERROR(__xludf.DUMMYFUNCTION("""COMPUTED_VALUE"""),0.0)</f>
        <v>0</v>
      </c>
      <c r="BL244" s="3">
        <f>IFERROR(__xludf.DUMMYFUNCTION("""COMPUTED_VALUE"""),0.0)</f>
        <v>0</v>
      </c>
      <c r="BM244" s="3">
        <f>IFERROR(__xludf.DUMMYFUNCTION("""COMPUTED_VALUE"""),0.0)</f>
        <v>0</v>
      </c>
      <c r="BN244" s="3">
        <f>IFERROR(__xludf.DUMMYFUNCTION("""COMPUTED_VALUE"""),0.0)</f>
        <v>0</v>
      </c>
      <c r="BO244" s="3">
        <f>IFERROR(__xludf.DUMMYFUNCTION("""COMPUTED_VALUE"""),0.0)</f>
        <v>0</v>
      </c>
      <c r="BP244" s="3">
        <f>IFERROR(__xludf.DUMMYFUNCTION("""COMPUTED_VALUE"""),2.0)</f>
        <v>2</v>
      </c>
      <c r="BQ244" s="3">
        <f>IFERROR(__xludf.DUMMYFUNCTION("""COMPUTED_VALUE"""),2.0)</f>
        <v>2</v>
      </c>
      <c r="BR244" s="3">
        <f>IFERROR(__xludf.DUMMYFUNCTION("""COMPUTED_VALUE"""),2.0)</f>
        <v>2</v>
      </c>
      <c r="BS244" s="3">
        <f>IFERROR(__xludf.DUMMYFUNCTION("""COMPUTED_VALUE"""),2.0)</f>
        <v>2</v>
      </c>
      <c r="BT244" s="3">
        <f>IFERROR(__xludf.DUMMYFUNCTION("""COMPUTED_VALUE"""),2.0)</f>
        <v>2</v>
      </c>
      <c r="BU244" s="3">
        <f>IFERROR(__xludf.DUMMYFUNCTION("""COMPUTED_VALUE"""),8.0)</f>
        <v>8</v>
      </c>
      <c r="BV244" s="3">
        <f>IFERROR(__xludf.DUMMYFUNCTION("""COMPUTED_VALUE"""),8.0)</f>
        <v>8</v>
      </c>
      <c r="BW244" s="3">
        <f>IFERROR(__xludf.DUMMYFUNCTION("""COMPUTED_VALUE"""),9.0)</f>
        <v>9</v>
      </c>
      <c r="BX244" s="3">
        <f>IFERROR(__xludf.DUMMYFUNCTION("""COMPUTED_VALUE"""),9.0)</f>
        <v>9</v>
      </c>
      <c r="BY244" s="3">
        <f>IFERROR(__xludf.DUMMYFUNCTION("""COMPUTED_VALUE"""),15.0)</f>
        <v>15</v>
      </c>
      <c r="BZ244" s="3">
        <f>IFERROR(__xludf.DUMMYFUNCTION("""COMPUTED_VALUE"""),18.0)</f>
        <v>18</v>
      </c>
      <c r="CA244" s="3">
        <f>IFERROR(__xludf.DUMMYFUNCTION("""COMPUTED_VALUE"""),18.0)</f>
        <v>18</v>
      </c>
      <c r="CB244" s="3">
        <f>IFERROR(__xludf.DUMMYFUNCTION("""COMPUTED_VALUE"""),18.0)</f>
        <v>18</v>
      </c>
    </row>
    <row r="245">
      <c r="A245" s="3" t="str">
        <f>IFERROR(__xludf.DUMMYFUNCTION("""COMPUTED_VALUE"""),"")</f>
        <v/>
      </c>
      <c r="B245" s="3" t="str">
        <f>IFERROR(__xludf.DUMMYFUNCTION("""COMPUTED_VALUE"""),"Mali")</f>
        <v>Mali</v>
      </c>
      <c r="C245" s="3">
        <f>IFERROR(__xludf.DUMMYFUNCTION("""COMPUTED_VALUE"""),17.570692)</f>
        <v>17.570692</v>
      </c>
      <c r="D245" s="3">
        <f>IFERROR(__xludf.DUMMYFUNCTION("""COMPUTED_VALUE"""),-3.996166)</f>
        <v>-3.996166</v>
      </c>
      <c r="E245" s="3">
        <f>IFERROR(__xludf.DUMMYFUNCTION("""COMPUTED_VALUE"""),0.0)</f>
        <v>0</v>
      </c>
      <c r="F245" s="3">
        <f>IFERROR(__xludf.DUMMYFUNCTION("""COMPUTED_VALUE"""),0.0)</f>
        <v>0</v>
      </c>
      <c r="G245" s="3">
        <f>IFERROR(__xludf.DUMMYFUNCTION("""COMPUTED_VALUE"""),0.0)</f>
        <v>0</v>
      </c>
      <c r="H245" s="3">
        <f>IFERROR(__xludf.DUMMYFUNCTION("""COMPUTED_VALUE"""),0.0)</f>
        <v>0</v>
      </c>
      <c r="I245" s="3">
        <f>IFERROR(__xludf.DUMMYFUNCTION("""COMPUTED_VALUE"""),0.0)</f>
        <v>0</v>
      </c>
      <c r="J245" s="3">
        <f>IFERROR(__xludf.DUMMYFUNCTION("""COMPUTED_VALUE"""),0.0)</f>
        <v>0</v>
      </c>
      <c r="K245" s="3">
        <f>IFERROR(__xludf.DUMMYFUNCTION("""COMPUTED_VALUE"""),0.0)</f>
        <v>0</v>
      </c>
      <c r="L245" s="3">
        <f>IFERROR(__xludf.DUMMYFUNCTION("""COMPUTED_VALUE"""),0.0)</f>
        <v>0</v>
      </c>
      <c r="M245" s="3">
        <f>IFERROR(__xludf.DUMMYFUNCTION("""COMPUTED_VALUE"""),0.0)</f>
        <v>0</v>
      </c>
      <c r="N245" s="3">
        <f>IFERROR(__xludf.DUMMYFUNCTION("""COMPUTED_VALUE"""),0.0)</f>
        <v>0</v>
      </c>
      <c r="O245" s="3">
        <f>IFERROR(__xludf.DUMMYFUNCTION("""COMPUTED_VALUE"""),0.0)</f>
        <v>0</v>
      </c>
      <c r="P245" s="3">
        <f>IFERROR(__xludf.DUMMYFUNCTION("""COMPUTED_VALUE"""),0.0)</f>
        <v>0</v>
      </c>
      <c r="Q245" s="3">
        <f>IFERROR(__xludf.DUMMYFUNCTION("""COMPUTED_VALUE"""),0.0)</f>
        <v>0</v>
      </c>
      <c r="R245" s="3">
        <f>IFERROR(__xludf.DUMMYFUNCTION("""COMPUTED_VALUE"""),0.0)</f>
        <v>0</v>
      </c>
      <c r="S245" s="3">
        <f>IFERROR(__xludf.DUMMYFUNCTION("""COMPUTED_VALUE"""),0.0)</f>
        <v>0</v>
      </c>
      <c r="T245" s="3">
        <f>IFERROR(__xludf.DUMMYFUNCTION("""COMPUTED_VALUE"""),0.0)</f>
        <v>0</v>
      </c>
      <c r="U245" s="3">
        <f>IFERROR(__xludf.DUMMYFUNCTION("""COMPUTED_VALUE"""),0.0)</f>
        <v>0</v>
      </c>
      <c r="V245" s="3">
        <f>IFERROR(__xludf.DUMMYFUNCTION("""COMPUTED_VALUE"""),0.0)</f>
        <v>0</v>
      </c>
      <c r="W245" s="3">
        <f>IFERROR(__xludf.DUMMYFUNCTION("""COMPUTED_VALUE"""),0.0)</f>
        <v>0</v>
      </c>
      <c r="X245" s="3">
        <f>IFERROR(__xludf.DUMMYFUNCTION("""COMPUTED_VALUE"""),0.0)</f>
        <v>0</v>
      </c>
      <c r="Y245" s="3">
        <f>IFERROR(__xludf.DUMMYFUNCTION("""COMPUTED_VALUE"""),0.0)</f>
        <v>0</v>
      </c>
      <c r="Z245" s="3">
        <f>IFERROR(__xludf.DUMMYFUNCTION("""COMPUTED_VALUE"""),0.0)</f>
        <v>0</v>
      </c>
      <c r="AA245" s="3">
        <f>IFERROR(__xludf.DUMMYFUNCTION("""COMPUTED_VALUE"""),0.0)</f>
        <v>0</v>
      </c>
      <c r="AB245" s="3">
        <f>IFERROR(__xludf.DUMMYFUNCTION("""COMPUTED_VALUE"""),0.0)</f>
        <v>0</v>
      </c>
      <c r="AC245" s="3">
        <f>IFERROR(__xludf.DUMMYFUNCTION("""COMPUTED_VALUE"""),0.0)</f>
        <v>0</v>
      </c>
      <c r="AD245" s="3">
        <f>IFERROR(__xludf.DUMMYFUNCTION("""COMPUTED_VALUE"""),0.0)</f>
        <v>0</v>
      </c>
      <c r="AE245" s="3">
        <f>IFERROR(__xludf.DUMMYFUNCTION("""COMPUTED_VALUE"""),0.0)</f>
        <v>0</v>
      </c>
      <c r="AF245" s="3">
        <f>IFERROR(__xludf.DUMMYFUNCTION("""COMPUTED_VALUE"""),0.0)</f>
        <v>0</v>
      </c>
      <c r="AG245" s="3">
        <f>IFERROR(__xludf.DUMMYFUNCTION("""COMPUTED_VALUE"""),0.0)</f>
        <v>0</v>
      </c>
      <c r="AH245" s="3">
        <f>IFERROR(__xludf.DUMMYFUNCTION("""COMPUTED_VALUE"""),0.0)</f>
        <v>0</v>
      </c>
      <c r="AI245" s="3">
        <f>IFERROR(__xludf.DUMMYFUNCTION("""COMPUTED_VALUE"""),0.0)</f>
        <v>0</v>
      </c>
      <c r="AJ245" s="3">
        <f>IFERROR(__xludf.DUMMYFUNCTION("""COMPUTED_VALUE"""),0.0)</f>
        <v>0</v>
      </c>
      <c r="AK245" s="3">
        <f>IFERROR(__xludf.DUMMYFUNCTION("""COMPUTED_VALUE"""),0.0)</f>
        <v>0</v>
      </c>
      <c r="AL245" s="3">
        <f>IFERROR(__xludf.DUMMYFUNCTION("""COMPUTED_VALUE"""),0.0)</f>
        <v>0</v>
      </c>
      <c r="AM245" s="3">
        <f>IFERROR(__xludf.DUMMYFUNCTION("""COMPUTED_VALUE"""),0.0)</f>
        <v>0</v>
      </c>
      <c r="AN245" s="3">
        <f>IFERROR(__xludf.DUMMYFUNCTION("""COMPUTED_VALUE"""),0.0)</f>
        <v>0</v>
      </c>
      <c r="AO245" s="3">
        <f>IFERROR(__xludf.DUMMYFUNCTION("""COMPUTED_VALUE"""),0.0)</f>
        <v>0</v>
      </c>
      <c r="AP245" s="3">
        <f>IFERROR(__xludf.DUMMYFUNCTION("""COMPUTED_VALUE"""),0.0)</f>
        <v>0</v>
      </c>
      <c r="AQ245" s="3">
        <f>IFERROR(__xludf.DUMMYFUNCTION("""COMPUTED_VALUE"""),0.0)</f>
        <v>0</v>
      </c>
      <c r="AR245" s="3">
        <f>IFERROR(__xludf.DUMMYFUNCTION("""COMPUTED_VALUE"""),0.0)</f>
        <v>0</v>
      </c>
      <c r="AS245" s="3">
        <f>IFERROR(__xludf.DUMMYFUNCTION("""COMPUTED_VALUE"""),0.0)</f>
        <v>0</v>
      </c>
      <c r="AT245" s="3">
        <f>IFERROR(__xludf.DUMMYFUNCTION("""COMPUTED_VALUE"""),0.0)</f>
        <v>0</v>
      </c>
      <c r="AU245" s="3">
        <f>IFERROR(__xludf.DUMMYFUNCTION("""COMPUTED_VALUE"""),0.0)</f>
        <v>0</v>
      </c>
      <c r="AV245" s="3">
        <f>IFERROR(__xludf.DUMMYFUNCTION("""COMPUTED_VALUE"""),0.0)</f>
        <v>0</v>
      </c>
      <c r="AW245" s="3">
        <f>IFERROR(__xludf.DUMMYFUNCTION("""COMPUTED_VALUE"""),0.0)</f>
        <v>0</v>
      </c>
      <c r="AX245" s="3">
        <f>IFERROR(__xludf.DUMMYFUNCTION("""COMPUTED_VALUE"""),0.0)</f>
        <v>0</v>
      </c>
      <c r="AY245" s="3">
        <f>IFERROR(__xludf.DUMMYFUNCTION("""COMPUTED_VALUE"""),0.0)</f>
        <v>0</v>
      </c>
      <c r="AZ245" s="3">
        <f>IFERROR(__xludf.DUMMYFUNCTION("""COMPUTED_VALUE"""),0.0)</f>
        <v>0</v>
      </c>
      <c r="BA245" s="3">
        <f>IFERROR(__xludf.DUMMYFUNCTION("""COMPUTED_VALUE"""),0.0)</f>
        <v>0</v>
      </c>
      <c r="BB245" s="3">
        <f>IFERROR(__xludf.DUMMYFUNCTION("""COMPUTED_VALUE"""),0.0)</f>
        <v>0</v>
      </c>
      <c r="BC245" s="3">
        <f>IFERROR(__xludf.DUMMYFUNCTION("""COMPUTED_VALUE"""),0.0)</f>
        <v>0</v>
      </c>
      <c r="BD245" s="3">
        <f>IFERROR(__xludf.DUMMYFUNCTION("""COMPUTED_VALUE"""),0.0)</f>
        <v>0</v>
      </c>
      <c r="BE245" s="3">
        <f>IFERROR(__xludf.DUMMYFUNCTION("""COMPUTED_VALUE"""),0.0)</f>
        <v>0</v>
      </c>
      <c r="BF245" s="3">
        <f>IFERROR(__xludf.DUMMYFUNCTION("""COMPUTED_VALUE"""),0.0)</f>
        <v>0</v>
      </c>
      <c r="BG245" s="3">
        <f>IFERROR(__xludf.DUMMYFUNCTION("""COMPUTED_VALUE"""),0.0)</f>
        <v>0</v>
      </c>
      <c r="BH245" s="3">
        <f>IFERROR(__xludf.DUMMYFUNCTION("""COMPUTED_VALUE"""),0.0)</f>
        <v>0</v>
      </c>
      <c r="BI245" s="3">
        <f>IFERROR(__xludf.DUMMYFUNCTION("""COMPUTED_VALUE"""),0.0)</f>
        <v>0</v>
      </c>
      <c r="BJ245" s="3">
        <f>IFERROR(__xludf.DUMMYFUNCTION("""COMPUTED_VALUE"""),0.0)</f>
        <v>0</v>
      </c>
      <c r="BK245" s="3">
        <f>IFERROR(__xludf.DUMMYFUNCTION("""COMPUTED_VALUE"""),0.0)</f>
        <v>0</v>
      </c>
      <c r="BL245" s="3">
        <f>IFERROR(__xludf.DUMMYFUNCTION("""COMPUTED_VALUE"""),0.0)</f>
        <v>0</v>
      </c>
      <c r="BM245" s="3">
        <f>IFERROR(__xludf.DUMMYFUNCTION("""COMPUTED_VALUE"""),0.0)</f>
        <v>0</v>
      </c>
      <c r="BN245" s="3">
        <f>IFERROR(__xludf.DUMMYFUNCTION("""COMPUTED_VALUE"""),0.0)</f>
        <v>0</v>
      </c>
      <c r="BO245" s="3">
        <f>IFERROR(__xludf.DUMMYFUNCTION("""COMPUTED_VALUE"""),0.0)</f>
        <v>0</v>
      </c>
      <c r="BP245" s="3">
        <f>IFERROR(__xludf.DUMMYFUNCTION("""COMPUTED_VALUE"""),2.0)</f>
        <v>2</v>
      </c>
      <c r="BQ245" s="3">
        <f>IFERROR(__xludf.DUMMYFUNCTION("""COMPUTED_VALUE"""),4.0)</f>
        <v>4</v>
      </c>
      <c r="BR245" s="3">
        <f>IFERROR(__xludf.DUMMYFUNCTION("""COMPUTED_VALUE"""),11.0)</f>
        <v>11</v>
      </c>
      <c r="BS245" s="3">
        <f>IFERROR(__xludf.DUMMYFUNCTION("""COMPUTED_VALUE"""),18.0)</f>
        <v>18</v>
      </c>
      <c r="BT245" s="3">
        <f>IFERROR(__xludf.DUMMYFUNCTION("""COMPUTED_VALUE"""),18.0)</f>
        <v>18</v>
      </c>
      <c r="BU245" s="3">
        <f>IFERROR(__xludf.DUMMYFUNCTION("""COMPUTED_VALUE"""),25.0)</f>
        <v>25</v>
      </c>
      <c r="BV245" s="3">
        <f>IFERROR(__xludf.DUMMYFUNCTION("""COMPUTED_VALUE"""),28.0)</f>
        <v>28</v>
      </c>
      <c r="BW245" s="3">
        <f>IFERROR(__xludf.DUMMYFUNCTION("""COMPUTED_VALUE"""),31.0)</f>
        <v>31</v>
      </c>
      <c r="BX245" s="3">
        <f>IFERROR(__xludf.DUMMYFUNCTION("""COMPUTED_VALUE"""),36.0)</f>
        <v>36</v>
      </c>
      <c r="BY245" s="3">
        <f>IFERROR(__xludf.DUMMYFUNCTION("""COMPUTED_VALUE"""),39.0)</f>
        <v>39</v>
      </c>
      <c r="BZ245" s="3">
        <f>IFERROR(__xludf.DUMMYFUNCTION("""COMPUTED_VALUE"""),41.0)</f>
        <v>41</v>
      </c>
      <c r="CA245" s="3">
        <f>IFERROR(__xludf.DUMMYFUNCTION("""COMPUTED_VALUE"""),45.0)</f>
        <v>45</v>
      </c>
      <c r="CB245" s="3">
        <f>IFERROR(__xludf.DUMMYFUNCTION("""COMPUTED_VALUE"""),47.0)</f>
        <v>47</v>
      </c>
    </row>
    <row r="246">
      <c r="A246" s="3" t="str">
        <f>IFERROR(__xludf.DUMMYFUNCTION("""COMPUTED_VALUE"""),"")</f>
        <v/>
      </c>
      <c r="B246" s="3" t="str">
        <f>IFERROR(__xludf.DUMMYFUNCTION("""COMPUTED_VALUE"""),"Saint Kitts and Nevis")</f>
        <v>Saint Kitts and Nevis</v>
      </c>
      <c r="C246" s="3">
        <f>IFERROR(__xludf.DUMMYFUNCTION("""COMPUTED_VALUE"""),17.357822)</f>
        <v>17.357822</v>
      </c>
      <c r="D246" s="3">
        <f>IFERROR(__xludf.DUMMYFUNCTION("""COMPUTED_VALUE"""),-62.782998)</f>
        <v>-62.782998</v>
      </c>
      <c r="E246" s="3">
        <f>IFERROR(__xludf.DUMMYFUNCTION("""COMPUTED_VALUE"""),0.0)</f>
        <v>0</v>
      </c>
      <c r="F246" s="3">
        <f>IFERROR(__xludf.DUMMYFUNCTION("""COMPUTED_VALUE"""),0.0)</f>
        <v>0</v>
      </c>
      <c r="G246" s="3">
        <f>IFERROR(__xludf.DUMMYFUNCTION("""COMPUTED_VALUE"""),0.0)</f>
        <v>0</v>
      </c>
      <c r="H246" s="3">
        <f>IFERROR(__xludf.DUMMYFUNCTION("""COMPUTED_VALUE"""),0.0)</f>
        <v>0</v>
      </c>
      <c r="I246" s="3">
        <f>IFERROR(__xludf.DUMMYFUNCTION("""COMPUTED_VALUE"""),0.0)</f>
        <v>0</v>
      </c>
      <c r="J246" s="3">
        <f>IFERROR(__xludf.DUMMYFUNCTION("""COMPUTED_VALUE"""),0.0)</f>
        <v>0</v>
      </c>
      <c r="K246" s="3">
        <f>IFERROR(__xludf.DUMMYFUNCTION("""COMPUTED_VALUE"""),0.0)</f>
        <v>0</v>
      </c>
      <c r="L246" s="3">
        <f>IFERROR(__xludf.DUMMYFUNCTION("""COMPUTED_VALUE"""),0.0)</f>
        <v>0</v>
      </c>
      <c r="M246" s="3">
        <f>IFERROR(__xludf.DUMMYFUNCTION("""COMPUTED_VALUE"""),0.0)</f>
        <v>0</v>
      </c>
      <c r="N246" s="3">
        <f>IFERROR(__xludf.DUMMYFUNCTION("""COMPUTED_VALUE"""),0.0)</f>
        <v>0</v>
      </c>
      <c r="O246" s="3">
        <f>IFERROR(__xludf.DUMMYFUNCTION("""COMPUTED_VALUE"""),0.0)</f>
        <v>0</v>
      </c>
      <c r="P246" s="3">
        <f>IFERROR(__xludf.DUMMYFUNCTION("""COMPUTED_VALUE"""),0.0)</f>
        <v>0</v>
      </c>
      <c r="Q246" s="3">
        <f>IFERROR(__xludf.DUMMYFUNCTION("""COMPUTED_VALUE"""),0.0)</f>
        <v>0</v>
      </c>
      <c r="R246" s="3">
        <f>IFERROR(__xludf.DUMMYFUNCTION("""COMPUTED_VALUE"""),0.0)</f>
        <v>0</v>
      </c>
      <c r="S246" s="3">
        <f>IFERROR(__xludf.DUMMYFUNCTION("""COMPUTED_VALUE"""),0.0)</f>
        <v>0</v>
      </c>
      <c r="T246" s="3">
        <f>IFERROR(__xludf.DUMMYFUNCTION("""COMPUTED_VALUE"""),0.0)</f>
        <v>0</v>
      </c>
      <c r="U246" s="3">
        <f>IFERROR(__xludf.DUMMYFUNCTION("""COMPUTED_VALUE"""),0.0)</f>
        <v>0</v>
      </c>
      <c r="V246" s="3">
        <f>IFERROR(__xludf.DUMMYFUNCTION("""COMPUTED_VALUE"""),0.0)</f>
        <v>0</v>
      </c>
      <c r="W246" s="3">
        <f>IFERROR(__xludf.DUMMYFUNCTION("""COMPUTED_VALUE"""),0.0)</f>
        <v>0</v>
      </c>
      <c r="X246" s="3">
        <f>IFERROR(__xludf.DUMMYFUNCTION("""COMPUTED_VALUE"""),0.0)</f>
        <v>0</v>
      </c>
      <c r="Y246" s="3">
        <f>IFERROR(__xludf.DUMMYFUNCTION("""COMPUTED_VALUE"""),0.0)</f>
        <v>0</v>
      </c>
      <c r="Z246" s="3">
        <f>IFERROR(__xludf.DUMMYFUNCTION("""COMPUTED_VALUE"""),0.0)</f>
        <v>0</v>
      </c>
      <c r="AA246" s="3">
        <f>IFERROR(__xludf.DUMMYFUNCTION("""COMPUTED_VALUE"""),0.0)</f>
        <v>0</v>
      </c>
      <c r="AB246" s="3">
        <f>IFERROR(__xludf.DUMMYFUNCTION("""COMPUTED_VALUE"""),0.0)</f>
        <v>0</v>
      </c>
      <c r="AC246" s="3">
        <f>IFERROR(__xludf.DUMMYFUNCTION("""COMPUTED_VALUE"""),0.0)</f>
        <v>0</v>
      </c>
      <c r="AD246" s="3">
        <f>IFERROR(__xludf.DUMMYFUNCTION("""COMPUTED_VALUE"""),0.0)</f>
        <v>0</v>
      </c>
      <c r="AE246" s="3">
        <f>IFERROR(__xludf.DUMMYFUNCTION("""COMPUTED_VALUE"""),0.0)</f>
        <v>0</v>
      </c>
      <c r="AF246" s="3">
        <f>IFERROR(__xludf.DUMMYFUNCTION("""COMPUTED_VALUE"""),0.0)</f>
        <v>0</v>
      </c>
      <c r="AG246" s="3">
        <f>IFERROR(__xludf.DUMMYFUNCTION("""COMPUTED_VALUE"""),0.0)</f>
        <v>0</v>
      </c>
      <c r="AH246" s="3">
        <f>IFERROR(__xludf.DUMMYFUNCTION("""COMPUTED_VALUE"""),0.0)</f>
        <v>0</v>
      </c>
      <c r="AI246" s="3">
        <f>IFERROR(__xludf.DUMMYFUNCTION("""COMPUTED_VALUE"""),0.0)</f>
        <v>0</v>
      </c>
      <c r="AJ246" s="3">
        <f>IFERROR(__xludf.DUMMYFUNCTION("""COMPUTED_VALUE"""),0.0)</f>
        <v>0</v>
      </c>
      <c r="AK246" s="3">
        <f>IFERROR(__xludf.DUMMYFUNCTION("""COMPUTED_VALUE"""),0.0)</f>
        <v>0</v>
      </c>
      <c r="AL246" s="3">
        <f>IFERROR(__xludf.DUMMYFUNCTION("""COMPUTED_VALUE"""),0.0)</f>
        <v>0</v>
      </c>
      <c r="AM246" s="3">
        <f>IFERROR(__xludf.DUMMYFUNCTION("""COMPUTED_VALUE"""),0.0)</f>
        <v>0</v>
      </c>
      <c r="AN246" s="3">
        <f>IFERROR(__xludf.DUMMYFUNCTION("""COMPUTED_VALUE"""),0.0)</f>
        <v>0</v>
      </c>
      <c r="AO246" s="3">
        <f>IFERROR(__xludf.DUMMYFUNCTION("""COMPUTED_VALUE"""),0.0)</f>
        <v>0</v>
      </c>
      <c r="AP246" s="3">
        <f>IFERROR(__xludf.DUMMYFUNCTION("""COMPUTED_VALUE"""),0.0)</f>
        <v>0</v>
      </c>
      <c r="AQ246" s="3">
        <f>IFERROR(__xludf.DUMMYFUNCTION("""COMPUTED_VALUE"""),0.0)</f>
        <v>0</v>
      </c>
      <c r="AR246" s="3">
        <f>IFERROR(__xludf.DUMMYFUNCTION("""COMPUTED_VALUE"""),0.0)</f>
        <v>0</v>
      </c>
      <c r="AS246" s="3">
        <f>IFERROR(__xludf.DUMMYFUNCTION("""COMPUTED_VALUE"""),0.0)</f>
        <v>0</v>
      </c>
      <c r="AT246" s="3">
        <f>IFERROR(__xludf.DUMMYFUNCTION("""COMPUTED_VALUE"""),0.0)</f>
        <v>0</v>
      </c>
      <c r="AU246" s="3">
        <f>IFERROR(__xludf.DUMMYFUNCTION("""COMPUTED_VALUE"""),0.0)</f>
        <v>0</v>
      </c>
      <c r="AV246" s="3">
        <f>IFERROR(__xludf.DUMMYFUNCTION("""COMPUTED_VALUE"""),0.0)</f>
        <v>0</v>
      </c>
      <c r="AW246" s="3">
        <f>IFERROR(__xludf.DUMMYFUNCTION("""COMPUTED_VALUE"""),0.0)</f>
        <v>0</v>
      </c>
      <c r="AX246" s="3">
        <f>IFERROR(__xludf.DUMMYFUNCTION("""COMPUTED_VALUE"""),0.0)</f>
        <v>0</v>
      </c>
      <c r="AY246" s="3">
        <f>IFERROR(__xludf.DUMMYFUNCTION("""COMPUTED_VALUE"""),0.0)</f>
        <v>0</v>
      </c>
      <c r="AZ246" s="3">
        <f>IFERROR(__xludf.DUMMYFUNCTION("""COMPUTED_VALUE"""),0.0)</f>
        <v>0</v>
      </c>
      <c r="BA246" s="3">
        <f>IFERROR(__xludf.DUMMYFUNCTION("""COMPUTED_VALUE"""),0.0)</f>
        <v>0</v>
      </c>
      <c r="BB246" s="3">
        <f>IFERROR(__xludf.DUMMYFUNCTION("""COMPUTED_VALUE"""),0.0)</f>
        <v>0</v>
      </c>
      <c r="BC246" s="3">
        <f>IFERROR(__xludf.DUMMYFUNCTION("""COMPUTED_VALUE"""),0.0)</f>
        <v>0</v>
      </c>
      <c r="BD246" s="3">
        <f>IFERROR(__xludf.DUMMYFUNCTION("""COMPUTED_VALUE"""),0.0)</f>
        <v>0</v>
      </c>
      <c r="BE246" s="3">
        <f>IFERROR(__xludf.DUMMYFUNCTION("""COMPUTED_VALUE"""),0.0)</f>
        <v>0</v>
      </c>
      <c r="BF246" s="3">
        <f>IFERROR(__xludf.DUMMYFUNCTION("""COMPUTED_VALUE"""),0.0)</f>
        <v>0</v>
      </c>
      <c r="BG246" s="3">
        <f>IFERROR(__xludf.DUMMYFUNCTION("""COMPUTED_VALUE"""),0.0)</f>
        <v>0</v>
      </c>
      <c r="BH246" s="3">
        <f>IFERROR(__xludf.DUMMYFUNCTION("""COMPUTED_VALUE"""),0.0)</f>
        <v>0</v>
      </c>
      <c r="BI246" s="3">
        <f>IFERROR(__xludf.DUMMYFUNCTION("""COMPUTED_VALUE"""),0.0)</f>
        <v>0</v>
      </c>
      <c r="BJ246" s="3">
        <f>IFERROR(__xludf.DUMMYFUNCTION("""COMPUTED_VALUE"""),0.0)</f>
        <v>0</v>
      </c>
      <c r="BK246" s="3">
        <f>IFERROR(__xludf.DUMMYFUNCTION("""COMPUTED_VALUE"""),0.0)</f>
        <v>0</v>
      </c>
      <c r="BL246" s="3">
        <f>IFERROR(__xludf.DUMMYFUNCTION("""COMPUTED_VALUE"""),0.0)</f>
        <v>0</v>
      </c>
      <c r="BM246" s="3">
        <f>IFERROR(__xludf.DUMMYFUNCTION("""COMPUTED_VALUE"""),0.0)</f>
        <v>0</v>
      </c>
      <c r="BN246" s="3">
        <f>IFERROR(__xludf.DUMMYFUNCTION("""COMPUTED_VALUE"""),0.0)</f>
        <v>0</v>
      </c>
      <c r="BO246" s="3">
        <f>IFERROR(__xludf.DUMMYFUNCTION("""COMPUTED_VALUE"""),0.0)</f>
        <v>0</v>
      </c>
      <c r="BP246" s="3">
        <f>IFERROR(__xludf.DUMMYFUNCTION("""COMPUTED_VALUE"""),2.0)</f>
        <v>2</v>
      </c>
      <c r="BQ246" s="3">
        <f>IFERROR(__xludf.DUMMYFUNCTION("""COMPUTED_VALUE"""),2.0)</f>
        <v>2</v>
      </c>
      <c r="BR246" s="3">
        <f>IFERROR(__xludf.DUMMYFUNCTION("""COMPUTED_VALUE"""),2.0)</f>
        <v>2</v>
      </c>
      <c r="BS246" s="3">
        <f>IFERROR(__xludf.DUMMYFUNCTION("""COMPUTED_VALUE"""),2.0)</f>
        <v>2</v>
      </c>
      <c r="BT246" s="3">
        <f>IFERROR(__xludf.DUMMYFUNCTION("""COMPUTED_VALUE"""),2.0)</f>
        <v>2</v>
      </c>
      <c r="BU246" s="3">
        <f>IFERROR(__xludf.DUMMYFUNCTION("""COMPUTED_VALUE"""),7.0)</f>
        <v>7</v>
      </c>
      <c r="BV246" s="3">
        <f>IFERROR(__xludf.DUMMYFUNCTION("""COMPUTED_VALUE"""),8.0)</f>
        <v>8</v>
      </c>
      <c r="BW246" s="3">
        <f>IFERROR(__xludf.DUMMYFUNCTION("""COMPUTED_VALUE"""),8.0)</f>
        <v>8</v>
      </c>
      <c r="BX246" s="3">
        <f>IFERROR(__xludf.DUMMYFUNCTION("""COMPUTED_VALUE"""),9.0)</f>
        <v>9</v>
      </c>
      <c r="BY246" s="3">
        <f>IFERROR(__xludf.DUMMYFUNCTION("""COMPUTED_VALUE"""),9.0)</f>
        <v>9</v>
      </c>
      <c r="BZ246" s="3">
        <f>IFERROR(__xludf.DUMMYFUNCTION("""COMPUTED_VALUE"""),9.0)</f>
        <v>9</v>
      </c>
      <c r="CA246" s="3">
        <f>IFERROR(__xludf.DUMMYFUNCTION("""COMPUTED_VALUE"""),10.0)</f>
        <v>10</v>
      </c>
      <c r="CB246" s="3">
        <f>IFERROR(__xludf.DUMMYFUNCTION("""COMPUTED_VALUE"""),10.0)</f>
        <v>10</v>
      </c>
    </row>
    <row r="247">
      <c r="A247" s="3" t="str">
        <f>IFERROR(__xludf.DUMMYFUNCTION("""COMPUTED_VALUE"""),"Northwest Territories")</f>
        <v>Northwest Territories</v>
      </c>
      <c r="B247" s="3" t="str">
        <f>IFERROR(__xludf.DUMMYFUNCTION("""COMPUTED_VALUE"""),"Canada")</f>
        <v>Canada</v>
      </c>
      <c r="C247" s="3">
        <f>IFERROR(__xludf.DUMMYFUNCTION("""COMPUTED_VALUE"""),64.8255)</f>
        <v>64.8255</v>
      </c>
      <c r="D247" s="3">
        <f>IFERROR(__xludf.DUMMYFUNCTION("""COMPUTED_VALUE"""),-124.8457)</f>
        <v>-124.8457</v>
      </c>
      <c r="E247" s="3">
        <f>IFERROR(__xludf.DUMMYFUNCTION("""COMPUTED_VALUE"""),0.0)</f>
        <v>0</v>
      </c>
      <c r="F247" s="3">
        <f>IFERROR(__xludf.DUMMYFUNCTION("""COMPUTED_VALUE"""),0.0)</f>
        <v>0</v>
      </c>
      <c r="G247" s="3">
        <f>IFERROR(__xludf.DUMMYFUNCTION("""COMPUTED_VALUE"""),0.0)</f>
        <v>0</v>
      </c>
      <c r="H247" s="3">
        <f>IFERROR(__xludf.DUMMYFUNCTION("""COMPUTED_VALUE"""),0.0)</f>
        <v>0</v>
      </c>
      <c r="I247" s="3">
        <f>IFERROR(__xludf.DUMMYFUNCTION("""COMPUTED_VALUE"""),0.0)</f>
        <v>0</v>
      </c>
      <c r="J247" s="3">
        <f>IFERROR(__xludf.DUMMYFUNCTION("""COMPUTED_VALUE"""),0.0)</f>
        <v>0</v>
      </c>
      <c r="K247" s="3">
        <f>IFERROR(__xludf.DUMMYFUNCTION("""COMPUTED_VALUE"""),0.0)</f>
        <v>0</v>
      </c>
      <c r="L247" s="3">
        <f>IFERROR(__xludf.DUMMYFUNCTION("""COMPUTED_VALUE"""),0.0)</f>
        <v>0</v>
      </c>
      <c r="M247" s="3">
        <f>IFERROR(__xludf.DUMMYFUNCTION("""COMPUTED_VALUE"""),0.0)</f>
        <v>0</v>
      </c>
      <c r="N247" s="3">
        <f>IFERROR(__xludf.DUMMYFUNCTION("""COMPUTED_VALUE"""),0.0)</f>
        <v>0</v>
      </c>
      <c r="O247" s="3">
        <f>IFERROR(__xludf.DUMMYFUNCTION("""COMPUTED_VALUE"""),0.0)</f>
        <v>0</v>
      </c>
      <c r="P247" s="3">
        <f>IFERROR(__xludf.DUMMYFUNCTION("""COMPUTED_VALUE"""),0.0)</f>
        <v>0</v>
      </c>
      <c r="Q247" s="3">
        <f>IFERROR(__xludf.DUMMYFUNCTION("""COMPUTED_VALUE"""),0.0)</f>
        <v>0</v>
      </c>
      <c r="R247" s="3">
        <f>IFERROR(__xludf.DUMMYFUNCTION("""COMPUTED_VALUE"""),0.0)</f>
        <v>0</v>
      </c>
      <c r="S247" s="3">
        <f>IFERROR(__xludf.DUMMYFUNCTION("""COMPUTED_VALUE"""),0.0)</f>
        <v>0</v>
      </c>
      <c r="T247" s="3">
        <f>IFERROR(__xludf.DUMMYFUNCTION("""COMPUTED_VALUE"""),0.0)</f>
        <v>0</v>
      </c>
      <c r="U247" s="3">
        <f>IFERROR(__xludf.DUMMYFUNCTION("""COMPUTED_VALUE"""),0.0)</f>
        <v>0</v>
      </c>
      <c r="V247" s="3">
        <f>IFERROR(__xludf.DUMMYFUNCTION("""COMPUTED_VALUE"""),0.0)</f>
        <v>0</v>
      </c>
      <c r="W247" s="3">
        <f>IFERROR(__xludf.DUMMYFUNCTION("""COMPUTED_VALUE"""),0.0)</f>
        <v>0</v>
      </c>
      <c r="X247" s="3">
        <f>IFERROR(__xludf.DUMMYFUNCTION("""COMPUTED_VALUE"""),0.0)</f>
        <v>0</v>
      </c>
      <c r="Y247" s="3">
        <f>IFERROR(__xludf.DUMMYFUNCTION("""COMPUTED_VALUE"""),0.0)</f>
        <v>0</v>
      </c>
      <c r="Z247" s="3">
        <f>IFERROR(__xludf.DUMMYFUNCTION("""COMPUTED_VALUE"""),0.0)</f>
        <v>0</v>
      </c>
      <c r="AA247" s="3">
        <f>IFERROR(__xludf.DUMMYFUNCTION("""COMPUTED_VALUE"""),0.0)</f>
        <v>0</v>
      </c>
      <c r="AB247" s="3">
        <f>IFERROR(__xludf.DUMMYFUNCTION("""COMPUTED_VALUE"""),0.0)</f>
        <v>0</v>
      </c>
      <c r="AC247" s="3">
        <f>IFERROR(__xludf.DUMMYFUNCTION("""COMPUTED_VALUE"""),0.0)</f>
        <v>0</v>
      </c>
      <c r="AD247" s="3">
        <f>IFERROR(__xludf.DUMMYFUNCTION("""COMPUTED_VALUE"""),0.0)</f>
        <v>0</v>
      </c>
      <c r="AE247" s="3">
        <f>IFERROR(__xludf.DUMMYFUNCTION("""COMPUTED_VALUE"""),0.0)</f>
        <v>0</v>
      </c>
      <c r="AF247" s="3">
        <f>IFERROR(__xludf.DUMMYFUNCTION("""COMPUTED_VALUE"""),0.0)</f>
        <v>0</v>
      </c>
      <c r="AG247" s="3">
        <f>IFERROR(__xludf.DUMMYFUNCTION("""COMPUTED_VALUE"""),0.0)</f>
        <v>0</v>
      </c>
      <c r="AH247" s="3">
        <f>IFERROR(__xludf.DUMMYFUNCTION("""COMPUTED_VALUE"""),0.0)</f>
        <v>0</v>
      </c>
      <c r="AI247" s="3">
        <f>IFERROR(__xludf.DUMMYFUNCTION("""COMPUTED_VALUE"""),0.0)</f>
        <v>0</v>
      </c>
      <c r="AJ247" s="3">
        <f>IFERROR(__xludf.DUMMYFUNCTION("""COMPUTED_VALUE"""),0.0)</f>
        <v>0</v>
      </c>
      <c r="AK247" s="3">
        <f>IFERROR(__xludf.DUMMYFUNCTION("""COMPUTED_VALUE"""),0.0)</f>
        <v>0</v>
      </c>
      <c r="AL247" s="3">
        <f>IFERROR(__xludf.DUMMYFUNCTION("""COMPUTED_VALUE"""),0.0)</f>
        <v>0</v>
      </c>
      <c r="AM247" s="3">
        <f>IFERROR(__xludf.DUMMYFUNCTION("""COMPUTED_VALUE"""),0.0)</f>
        <v>0</v>
      </c>
      <c r="AN247" s="3">
        <f>IFERROR(__xludf.DUMMYFUNCTION("""COMPUTED_VALUE"""),0.0)</f>
        <v>0</v>
      </c>
      <c r="AO247" s="3">
        <f>IFERROR(__xludf.DUMMYFUNCTION("""COMPUTED_VALUE"""),0.0)</f>
        <v>0</v>
      </c>
      <c r="AP247" s="3">
        <f>IFERROR(__xludf.DUMMYFUNCTION("""COMPUTED_VALUE"""),0.0)</f>
        <v>0</v>
      </c>
      <c r="AQ247" s="3">
        <f>IFERROR(__xludf.DUMMYFUNCTION("""COMPUTED_VALUE"""),0.0)</f>
        <v>0</v>
      </c>
      <c r="AR247" s="3">
        <f>IFERROR(__xludf.DUMMYFUNCTION("""COMPUTED_VALUE"""),0.0)</f>
        <v>0</v>
      </c>
      <c r="AS247" s="3">
        <f>IFERROR(__xludf.DUMMYFUNCTION("""COMPUTED_VALUE"""),0.0)</f>
        <v>0</v>
      </c>
      <c r="AT247" s="3">
        <f>IFERROR(__xludf.DUMMYFUNCTION("""COMPUTED_VALUE"""),0.0)</f>
        <v>0</v>
      </c>
      <c r="AU247" s="3">
        <f>IFERROR(__xludf.DUMMYFUNCTION("""COMPUTED_VALUE"""),0.0)</f>
        <v>0</v>
      </c>
      <c r="AV247" s="3">
        <f>IFERROR(__xludf.DUMMYFUNCTION("""COMPUTED_VALUE"""),0.0)</f>
        <v>0</v>
      </c>
      <c r="AW247" s="3">
        <f>IFERROR(__xludf.DUMMYFUNCTION("""COMPUTED_VALUE"""),0.0)</f>
        <v>0</v>
      </c>
      <c r="AX247" s="3">
        <f>IFERROR(__xludf.DUMMYFUNCTION("""COMPUTED_VALUE"""),0.0)</f>
        <v>0</v>
      </c>
      <c r="AY247" s="3">
        <f>IFERROR(__xludf.DUMMYFUNCTION("""COMPUTED_VALUE"""),0.0)</f>
        <v>0</v>
      </c>
      <c r="AZ247" s="3">
        <f>IFERROR(__xludf.DUMMYFUNCTION("""COMPUTED_VALUE"""),0.0)</f>
        <v>0</v>
      </c>
      <c r="BA247" s="3">
        <f>IFERROR(__xludf.DUMMYFUNCTION("""COMPUTED_VALUE"""),0.0)</f>
        <v>0</v>
      </c>
      <c r="BB247" s="3">
        <f>IFERROR(__xludf.DUMMYFUNCTION("""COMPUTED_VALUE"""),0.0)</f>
        <v>0</v>
      </c>
      <c r="BC247" s="3">
        <f>IFERROR(__xludf.DUMMYFUNCTION("""COMPUTED_VALUE"""),0.0)</f>
        <v>0</v>
      </c>
      <c r="BD247" s="3">
        <f>IFERROR(__xludf.DUMMYFUNCTION("""COMPUTED_VALUE"""),0.0)</f>
        <v>0</v>
      </c>
      <c r="BE247" s="3">
        <f>IFERROR(__xludf.DUMMYFUNCTION("""COMPUTED_VALUE"""),0.0)</f>
        <v>0</v>
      </c>
      <c r="BF247" s="3">
        <f>IFERROR(__xludf.DUMMYFUNCTION("""COMPUTED_VALUE"""),0.0)</f>
        <v>0</v>
      </c>
      <c r="BG247" s="3">
        <f>IFERROR(__xludf.DUMMYFUNCTION("""COMPUTED_VALUE"""),0.0)</f>
        <v>0</v>
      </c>
      <c r="BH247" s="3">
        <f>IFERROR(__xludf.DUMMYFUNCTION("""COMPUTED_VALUE"""),0.0)</f>
        <v>0</v>
      </c>
      <c r="BI247" s="3">
        <f>IFERROR(__xludf.DUMMYFUNCTION("""COMPUTED_VALUE"""),0.0)</f>
        <v>0</v>
      </c>
      <c r="BJ247" s="3">
        <f>IFERROR(__xludf.DUMMYFUNCTION("""COMPUTED_VALUE"""),0.0)</f>
        <v>0</v>
      </c>
      <c r="BK247" s="3">
        <f>IFERROR(__xludf.DUMMYFUNCTION("""COMPUTED_VALUE"""),0.0)</f>
        <v>0</v>
      </c>
      <c r="BL247" s="3">
        <f>IFERROR(__xludf.DUMMYFUNCTION("""COMPUTED_VALUE"""),0.0)</f>
        <v>0</v>
      </c>
      <c r="BM247" s="3">
        <f>IFERROR(__xludf.DUMMYFUNCTION("""COMPUTED_VALUE"""),0.0)</f>
        <v>0</v>
      </c>
      <c r="BN247" s="3">
        <f>IFERROR(__xludf.DUMMYFUNCTION("""COMPUTED_VALUE"""),0.0)</f>
        <v>0</v>
      </c>
      <c r="BO247" s="3">
        <f>IFERROR(__xludf.DUMMYFUNCTION("""COMPUTED_VALUE"""),0.0)</f>
        <v>0</v>
      </c>
      <c r="BP247" s="3">
        <f>IFERROR(__xludf.DUMMYFUNCTION("""COMPUTED_VALUE"""),0.0)</f>
        <v>0</v>
      </c>
      <c r="BQ247" s="3">
        <f>IFERROR(__xludf.DUMMYFUNCTION("""COMPUTED_VALUE"""),1.0)</f>
        <v>1</v>
      </c>
      <c r="BR247" s="3">
        <f>IFERROR(__xludf.DUMMYFUNCTION("""COMPUTED_VALUE"""),1.0)</f>
        <v>1</v>
      </c>
      <c r="BS247" s="3">
        <f>IFERROR(__xludf.DUMMYFUNCTION("""COMPUTED_VALUE"""),1.0)</f>
        <v>1</v>
      </c>
      <c r="BT247" s="3">
        <f>IFERROR(__xludf.DUMMYFUNCTION("""COMPUTED_VALUE"""),1.0)</f>
        <v>1</v>
      </c>
      <c r="BU247" s="3">
        <f>IFERROR(__xludf.DUMMYFUNCTION("""COMPUTED_VALUE"""),1.0)</f>
        <v>1</v>
      </c>
      <c r="BV247" s="3">
        <f>IFERROR(__xludf.DUMMYFUNCTION("""COMPUTED_VALUE"""),1.0)</f>
        <v>1</v>
      </c>
      <c r="BW247" s="3">
        <f>IFERROR(__xludf.DUMMYFUNCTION("""COMPUTED_VALUE"""),2.0)</f>
        <v>2</v>
      </c>
      <c r="BX247" s="3">
        <f>IFERROR(__xludf.DUMMYFUNCTION("""COMPUTED_VALUE"""),2.0)</f>
        <v>2</v>
      </c>
      <c r="BY247" s="3">
        <f>IFERROR(__xludf.DUMMYFUNCTION("""COMPUTED_VALUE"""),2.0)</f>
        <v>2</v>
      </c>
      <c r="BZ247" s="3">
        <f>IFERROR(__xludf.DUMMYFUNCTION("""COMPUTED_VALUE"""),4.0)</f>
        <v>4</v>
      </c>
      <c r="CA247" s="3">
        <f>IFERROR(__xludf.DUMMYFUNCTION("""COMPUTED_VALUE"""),4.0)</f>
        <v>4</v>
      </c>
      <c r="CB247" s="3">
        <f>IFERROR(__xludf.DUMMYFUNCTION("""COMPUTED_VALUE"""),5.0)</f>
        <v>5</v>
      </c>
    </row>
    <row r="248">
      <c r="A248" s="3" t="str">
        <f>IFERROR(__xludf.DUMMYFUNCTION("""COMPUTED_VALUE"""),"Yukon")</f>
        <v>Yukon</v>
      </c>
      <c r="B248" s="3" t="str">
        <f>IFERROR(__xludf.DUMMYFUNCTION("""COMPUTED_VALUE"""),"Canada")</f>
        <v>Canada</v>
      </c>
      <c r="C248" s="3">
        <f>IFERROR(__xludf.DUMMYFUNCTION("""COMPUTED_VALUE"""),64.2823)</f>
        <v>64.2823</v>
      </c>
      <c r="D248" s="3">
        <f>IFERROR(__xludf.DUMMYFUNCTION("""COMPUTED_VALUE"""),-135.0)</f>
        <v>-135</v>
      </c>
      <c r="E248" s="3">
        <f>IFERROR(__xludf.DUMMYFUNCTION("""COMPUTED_VALUE"""),0.0)</f>
        <v>0</v>
      </c>
      <c r="F248" s="3">
        <f>IFERROR(__xludf.DUMMYFUNCTION("""COMPUTED_VALUE"""),0.0)</f>
        <v>0</v>
      </c>
      <c r="G248" s="3">
        <f>IFERROR(__xludf.DUMMYFUNCTION("""COMPUTED_VALUE"""),0.0)</f>
        <v>0</v>
      </c>
      <c r="H248" s="3">
        <f>IFERROR(__xludf.DUMMYFUNCTION("""COMPUTED_VALUE"""),0.0)</f>
        <v>0</v>
      </c>
      <c r="I248" s="3">
        <f>IFERROR(__xludf.DUMMYFUNCTION("""COMPUTED_VALUE"""),0.0)</f>
        <v>0</v>
      </c>
      <c r="J248" s="3">
        <f>IFERROR(__xludf.DUMMYFUNCTION("""COMPUTED_VALUE"""),0.0)</f>
        <v>0</v>
      </c>
      <c r="K248" s="3">
        <f>IFERROR(__xludf.DUMMYFUNCTION("""COMPUTED_VALUE"""),0.0)</f>
        <v>0</v>
      </c>
      <c r="L248" s="3">
        <f>IFERROR(__xludf.DUMMYFUNCTION("""COMPUTED_VALUE"""),0.0)</f>
        <v>0</v>
      </c>
      <c r="M248" s="3">
        <f>IFERROR(__xludf.DUMMYFUNCTION("""COMPUTED_VALUE"""),0.0)</f>
        <v>0</v>
      </c>
      <c r="N248" s="3">
        <f>IFERROR(__xludf.DUMMYFUNCTION("""COMPUTED_VALUE"""),0.0)</f>
        <v>0</v>
      </c>
      <c r="O248" s="3">
        <f>IFERROR(__xludf.DUMMYFUNCTION("""COMPUTED_VALUE"""),0.0)</f>
        <v>0</v>
      </c>
      <c r="P248" s="3">
        <f>IFERROR(__xludf.DUMMYFUNCTION("""COMPUTED_VALUE"""),0.0)</f>
        <v>0</v>
      </c>
      <c r="Q248" s="3">
        <f>IFERROR(__xludf.DUMMYFUNCTION("""COMPUTED_VALUE"""),0.0)</f>
        <v>0</v>
      </c>
      <c r="R248" s="3">
        <f>IFERROR(__xludf.DUMMYFUNCTION("""COMPUTED_VALUE"""),0.0)</f>
        <v>0</v>
      </c>
      <c r="S248" s="3">
        <f>IFERROR(__xludf.DUMMYFUNCTION("""COMPUTED_VALUE"""),0.0)</f>
        <v>0</v>
      </c>
      <c r="T248" s="3">
        <f>IFERROR(__xludf.DUMMYFUNCTION("""COMPUTED_VALUE"""),0.0)</f>
        <v>0</v>
      </c>
      <c r="U248" s="3">
        <f>IFERROR(__xludf.DUMMYFUNCTION("""COMPUTED_VALUE"""),0.0)</f>
        <v>0</v>
      </c>
      <c r="V248" s="3">
        <f>IFERROR(__xludf.DUMMYFUNCTION("""COMPUTED_VALUE"""),0.0)</f>
        <v>0</v>
      </c>
      <c r="W248" s="3">
        <f>IFERROR(__xludf.DUMMYFUNCTION("""COMPUTED_VALUE"""),0.0)</f>
        <v>0</v>
      </c>
      <c r="X248" s="3">
        <f>IFERROR(__xludf.DUMMYFUNCTION("""COMPUTED_VALUE"""),0.0)</f>
        <v>0</v>
      </c>
      <c r="Y248" s="3">
        <f>IFERROR(__xludf.DUMMYFUNCTION("""COMPUTED_VALUE"""),0.0)</f>
        <v>0</v>
      </c>
      <c r="Z248" s="3">
        <f>IFERROR(__xludf.DUMMYFUNCTION("""COMPUTED_VALUE"""),0.0)</f>
        <v>0</v>
      </c>
      <c r="AA248" s="3">
        <f>IFERROR(__xludf.DUMMYFUNCTION("""COMPUTED_VALUE"""),0.0)</f>
        <v>0</v>
      </c>
      <c r="AB248" s="3">
        <f>IFERROR(__xludf.DUMMYFUNCTION("""COMPUTED_VALUE"""),0.0)</f>
        <v>0</v>
      </c>
      <c r="AC248" s="3">
        <f>IFERROR(__xludf.DUMMYFUNCTION("""COMPUTED_VALUE"""),0.0)</f>
        <v>0</v>
      </c>
      <c r="AD248" s="3">
        <f>IFERROR(__xludf.DUMMYFUNCTION("""COMPUTED_VALUE"""),0.0)</f>
        <v>0</v>
      </c>
      <c r="AE248" s="3">
        <f>IFERROR(__xludf.DUMMYFUNCTION("""COMPUTED_VALUE"""),0.0)</f>
        <v>0</v>
      </c>
      <c r="AF248" s="3">
        <f>IFERROR(__xludf.DUMMYFUNCTION("""COMPUTED_VALUE"""),0.0)</f>
        <v>0</v>
      </c>
      <c r="AG248" s="3">
        <f>IFERROR(__xludf.DUMMYFUNCTION("""COMPUTED_VALUE"""),0.0)</f>
        <v>0</v>
      </c>
      <c r="AH248" s="3">
        <f>IFERROR(__xludf.DUMMYFUNCTION("""COMPUTED_VALUE"""),0.0)</f>
        <v>0</v>
      </c>
      <c r="AI248" s="3">
        <f>IFERROR(__xludf.DUMMYFUNCTION("""COMPUTED_VALUE"""),0.0)</f>
        <v>0</v>
      </c>
      <c r="AJ248" s="3">
        <f>IFERROR(__xludf.DUMMYFUNCTION("""COMPUTED_VALUE"""),0.0)</f>
        <v>0</v>
      </c>
      <c r="AK248" s="3">
        <f>IFERROR(__xludf.DUMMYFUNCTION("""COMPUTED_VALUE"""),0.0)</f>
        <v>0</v>
      </c>
      <c r="AL248" s="3">
        <f>IFERROR(__xludf.DUMMYFUNCTION("""COMPUTED_VALUE"""),0.0)</f>
        <v>0</v>
      </c>
      <c r="AM248" s="3">
        <f>IFERROR(__xludf.DUMMYFUNCTION("""COMPUTED_VALUE"""),0.0)</f>
        <v>0</v>
      </c>
      <c r="AN248" s="3">
        <f>IFERROR(__xludf.DUMMYFUNCTION("""COMPUTED_VALUE"""),0.0)</f>
        <v>0</v>
      </c>
      <c r="AO248" s="3">
        <f>IFERROR(__xludf.DUMMYFUNCTION("""COMPUTED_VALUE"""),0.0)</f>
        <v>0</v>
      </c>
      <c r="AP248" s="3">
        <f>IFERROR(__xludf.DUMMYFUNCTION("""COMPUTED_VALUE"""),0.0)</f>
        <v>0</v>
      </c>
      <c r="AQ248" s="3">
        <f>IFERROR(__xludf.DUMMYFUNCTION("""COMPUTED_VALUE"""),0.0)</f>
        <v>0</v>
      </c>
      <c r="AR248" s="3">
        <f>IFERROR(__xludf.DUMMYFUNCTION("""COMPUTED_VALUE"""),0.0)</f>
        <v>0</v>
      </c>
      <c r="AS248" s="3">
        <f>IFERROR(__xludf.DUMMYFUNCTION("""COMPUTED_VALUE"""),0.0)</f>
        <v>0</v>
      </c>
      <c r="AT248" s="3">
        <f>IFERROR(__xludf.DUMMYFUNCTION("""COMPUTED_VALUE"""),0.0)</f>
        <v>0</v>
      </c>
      <c r="AU248" s="3">
        <f>IFERROR(__xludf.DUMMYFUNCTION("""COMPUTED_VALUE"""),0.0)</f>
        <v>0</v>
      </c>
      <c r="AV248" s="3">
        <f>IFERROR(__xludf.DUMMYFUNCTION("""COMPUTED_VALUE"""),0.0)</f>
        <v>0</v>
      </c>
      <c r="AW248" s="3">
        <f>IFERROR(__xludf.DUMMYFUNCTION("""COMPUTED_VALUE"""),0.0)</f>
        <v>0</v>
      </c>
      <c r="AX248" s="3">
        <f>IFERROR(__xludf.DUMMYFUNCTION("""COMPUTED_VALUE"""),0.0)</f>
        <v>0</v>
      </c>
      <c r="AY248" s="3">
        <f>IFERROR(__xludf.DUMMYFUNCTION("""COMPUTED_VALUE"""),0.0)</f>
        <v>0</v>
      </c>
      <c r="AZ248" s="3">
        <f>IFERROR(__xludf.DUMMYFUNCTION("""COMPUTED_VALUE"""),0.0)</f>
        <v>0</v>
      </c>
      <c r="BA248" s="3">
        <f>IFERROR(__xludf.DUMMYFUNCTION("""COMPUTED_VALUE"""),0.0)</f>
        <v>0</v>
      </c>
      <c r="BB248" s="3">
        <f>IFERROR(__xludf.DUMMYFUNCTION("""COMPUTED_VALUE"""),0.0)</f>
        <v>0</v>
      </c>
      <c r="BC248" s="3">
        <f>IFERROR(__xludf.DUMMYFUNCTION("""COMPUTED_VALUE"""),0.0)</f>
        <v>0</v>
      </c>
      <c r="BD248" s="3">
        <f>IFERROR(__xludf.DUMMYFUNCTION("""COMPUTED_VALUE"""),0.0)</f>
        <v>0</v>
      </c>
      <c r="BE248" s="3">
        <f>IFERROR(__xludf.DUMMYFUNCTION("""COMPUTED_VALUE"""),0.0)</f>
        <v>0</v>
      </c>
      <c r="BF248" s="3">
        <f>IFERROR(__xludf.DUMMYFUNCTION("""COMPUTED_VALUE"""),0.0)</f>
        <v>0</v>
      </c>
      <c r="BG248" s="3">
        <f>IFERROR(__xludf.DUMMYFUNCTION("""COMPUTED_VALUE"""),0.0)</f>
        <v>0</v>
      </c>
      <c r="BH248" s="3">
        <f>IFERROR(__xludf.DUMMYFUNCTION("""COMPUTED_VALUE"""),0.0)</f>
        <v>0</v>
      </c>
      <c r="BI248" s="3">
        <f>IFERROR(__xludf.DUMMYFUNCTION("""COMPUTED_VALUE"""),0.0)</f>
        <v>0</v>
      </c>
      <c r="BJ248" s="3">
        <f>IFERROR(__xludf.DUMMYFUNCTION("""COMPUTED_VALUE"""),0.0)</f>
        <v>0</v>
      </c>
      <c r="BK248" s="3">
        <f>IFERROR(__xludf.DUMMYFUNCTION("""COMPUTED_VALUE"""),0.0)</f>
        <v>0</v>
      </c>
      <c r="BL248" s="3">
        <f>IFERROR(__xludf.DUMMYFUNCTION("""COMPUTED_VALUE"""),0.0)</f>
        <v>0</v>
      </c>
      <c r="BM248" s="3">
        <f>IFERROR(__xludf.DUMMYFUNCTION("""COMPUTED_VALUE"""),0.0)</f>
        <v>0</v>
      </c>
      <c r="BN248" s="3">
        <f>IFERROR(__xludf.DUMMYFUNCTION("""COMPUTED_VALUE"""),0.0)</f>
        <v>0</v>
      </c>
      <c r="BO248" s="3">
        <f>IFERROR(__xludf.DUMMYFUNCTION("""COMPUTED_VALUE"""),0.0)</f>
        <v>0</v>
      </c>
      <c r="BP248" s="3">
        <f>IFERROR(__xludf.DUMMYFUNCTION("""COMPUTED_VALUE"""),0.0)</f>
        <v>0</v>
      </c>
      <c r="BQ248" s="3">
        <f>IFERROR(__xludf.DUMMYFUNCTION("""COMPUTED_VALUE"""),3.0)</f>
        <v>3</v>
      </c>
      <c r="BR248" s="3">
        <f>IFERROR(__xludf.DUMMYFUNCTION("""COMPUTED_VALUE"""),3.0)</f>
        <v>3</v>
      </c>
      <c r="BS248" s="3">
        <f>IFERROR(__xludf.DUMMYFUNCTION("""COMPUTED_VALUE"""),4.0)</f>
        <v>4</v>
      </c>
      <c r="BT248" s="3">
        <f>IFERROR(__xludf.DUMMYFUNCTION("""COMPUTED_VALUE"""),4.0)</f>
        <v>4</v>
      </c>
      <c r="BU248" s="3">
        <f>IFERROR(__xludf.DUMMYFUNCTION("""COMPUTED_VALUE"""),4.0)</f>
        <v>4</v>
      </c>
      <c r="BV248" s="3">
        <f>IFERROR(__xludf.DUMMYFUNCTION("""COMPUTED_VALUE"""),5.0)</f>
        <v>5</v>
      </c>
      <c r="BW248" s="3">
        <f>IFERROR(__xludf.DUMMYFUNCTION("""COMPUTED_VALUE"""),5.0)</f>
        <v>5</v>
      </c>
      <c r="BX248" s="3">
        <f>IFERROR(__xludf.DUMMYFUNCTION("""COMPUTED_VALUE"""),6.0)</f>
        <v>6</v>
      </c>
      <c r="BY248" s="3">
        <f>IFERROR(__xludf.DUMMYFUNCTION("""COMPUTED_VALUE"""),6.0)</f>
        <v>6</v>
      </c>
      <c r="BZ248" s="3">
        <f>IFERROR(__xludf.DUMMYFUNCTION("""COMPUTED_VALUE"""),6.0)</f>
        <v>6</v>
      </c>
      <c r="CA248" s="3">
        <f>IFERROR(__xludf.DUMMYFUNCTION("""COMPUTED_VALUE"""),6.0)</f>
        <v>6</v>
      </c>
      <c r="CB248" s="3">
        <f>IFERROR(__xludf.DUMMYFUNCTION("""COMPUTED_VALUE"""),6.0)</f>
        <v>6</v>
      </c>
    </row>
    <row r="249">
      <c r="A249" s="3" t="str">
        <f>IFERROR(__xludf.DUMMYFUNCTION("""COMPUTED_VALUE"""),"")</f>
        <v/>
      </c>
      <c r="B249" s="3" t="str">
        <f>IFERROR(__xludf.DUMMYFUNCTION("""COMPUTED_VALUE"""),"Kosovo")</f>
        <v>Kosovo</v>
      </c>
      <c r="C249" s="3">
        <f>IFERROR(__xludf.DUMMYFUNCTION("""COMPUTED_VALUE"""),42.602636)</f>
        <v>42.602636</v>
      </c>
      <c r="D249" s="3">
        <f>IFERROR(__xludf.DUMMYFUNCTION("""COMPUTED_VALUE"""),20.902977)</f>
        <v>20.902977</v>
      </c>
      <c r="E249" s="3">
        <f>IFERROR(__xludf.DUMMYFUNCTION("""COMPUTED_VALUE"""),0.0)</f>
        <v>0</v>
      </c>
      <c r="F249" s="3">
        <f>IFERROR(__xludf.DUMMYFUNCTION("""COMPUTED_VALUE"""),0.0)</f>
        <v>0</v>
      </c>
      <c r="G249" s="3">
        <f>IFERROR(__xludf.DUMMYFUNCTION("""COMPUTED_VALUE"""),0.0)</f>
        <v>0</v>
      </c>
      <c r="H249" s="3">
        <f>IFERROR(__xludf.DUMMYFUNCTION("""COMPUTED_VALUE"""),0.0)</f>
        <v>0</v>
      </c>
      <c r="I249" s="3">
        <f>IFERROR(__xludf.DUMMYFUNCTION("""COMPUTED_VALUE"""),0.0)</f>
        <v>0</v>
      </c>
      <c r="J249" s="3">
        <f>IFERROR(__xludf.DUMMYFUNCTION("""COMPUTED_VALUE"""),0.0)</f>
        <v>0</v>
      </c>
      <c r="K249" s="3">
        <f>IFERROR(__xludf.DUMMYFUNCTION("""COMPUTED_VALUE"""),0.0)</f>
        <v>0</v>
      </c>
      <c r="L249" s="3">
        <f>IFERROR(__xludf.DUMMYFUNCTION("""COMPUTED_VALUE"""),0.0)</f>
        <v>0</v>
      </c>
      <c r="M249" s="3">
        <f>IFERROR(__xludf.DUMMYFUNCTION("""COMPUTED_VALUE"""),0.0)</f>
        <v>0</v>
      </c>
      <c r="N249" s="3">
        <f>IFERROR(__xludf.DUMMYFUNCTION("""COMPUTED_VALUE"""),0.0)</f>
        <v>0</v>
      </c>
      <c r="O249" s="3">
        <f>IFERROR(__xludf.DUMMYFUNCTION("""COMPUTED_VALUE"""),0.0)</f>
        <v>0</v>
      </c>
      <c r="P249" s="3">
        <f>IFERROR(__xludf.DUMMYFUNCTION("""COMPUTED_VALUE"""),0.0)</f>
        <v>0</v>
      </c>
      <c r="Q249" s="3">
        <f>IFERROR(__xludf.DUMMYFUNCTION("""COMPUTED_VALUE"""),0.0)</f>
        <v>0</v>
      </c>
      <c r="R249" s="3">
        <f>IFERROR(__xludf.DUMMYFUNCTION("""COMPUTED_VALUE"""),0.0)</f>
        <v>0</v>
      </c>
      <c r="S249" s="3">
        <f>IFERROR(__xludf.DUMMYFUNCTION("""COMPUTED_VALUE"""),0.0)</f>
        <v>0</v>
      </c>
      <c r="T249" s="3">
        <f>IFERROR(__xludf.DUMMYFUNCTION("""COMPUTED_VALUE"""),0.0)</f>
        <v>0</v>
      </c>
      <c r="U249" s="3">
        <f>IFERROR(__xludf.DUMMYFUNCTION("""COMPUTED_VALUE"""),0.0)</f>
        <v>0</v>
      </c>
      <c r="V249" s="3">
        <f>IFERROR(__xludf.DUMMYFUNCTION("""COMPUTED_VALUE"""),0.0)</f>
        <v>0</v>
      </c>
      <c r="W249" s="3">
        <f>IFERROR(__xludf.DUMMYFUNCTION("""COMPUTED_VALUE"""),0.0)</f>
        <v>0</v>
      </c>
      <c r="X249" s="3">
        <f>IFERROR(__xludf.DUMMYFUNCTION("""COMPUTED_VALUE"""),0.0)</f>
        <v>0</v>
      </c>
      <c r="Y249" s="3">
        <f>IFERROR(__xludf.DUMMYFUNCTION("""COMPUTED_VALUE"""),0.0)</f>
        <v>0</v>
      </c>
      <c r="Z249" s="3">
        <f>IFERROR(__xludf.DUMMYFUNCTION("""COMPUTED_VALUE"""),0.0)</f>
        <v>0</v>
      </c>
      <c r="AA249" s="3">
        <f>IFERROR(__xludf.DUMMYFUNCTION("""COMPUTED_VALUE"""),0.0)</f>
        <v>0</v>
      </c>
      <c r="AB249" s="3">
        <f>IFERROR(__xludf.DUMMYFUNCTION("""COMPUTED_VALUE"""),0.0)</f>
        <v>0</v>
      </c>
      <c r="AC249" s="3">
        <f>IFERROR(__xludf.DUMMYFUNCTION("""COMPUTED_VALUE"""),0.0)</f>
        <v>0</v>
      </c>
      <c r="AD249" s="3">
        <f>IFERROR(__xludf.DUMMYFUNCTION("""COMPUTED_VALUE"""),0.0)</f>
        <v>0</v>
      </c>
      <c r="AE249" s="3">
        <f>IFERROR(__xludf.DUMMYFUNCTION("""COMPUTED_VALUE"""),0.0)</f>
        <v>0</v>
      </c>
      <c r="AF249" s="3">
        <f>IFERROR(__xludf.DUMMYFUNCTION("""COMPUTED_VALUE"""),0.0)</f>
        <v>0</v>
      </c>
      <c r="AG249" s="3">
        <f>IFERROR(__xludf.DUMMYFUNCTION("""COMPUTED_VALUE"""),0.0)</f>
        <v>0</v>
      </c>
      <c r="AH249" s="3">
        <f>IFERROR(__xludf.DUMMYFUNCTION("""COMPUTED_VALUE"""),0.0)</f>
        <v>0</v>
      </c>
      <c r="AI249" s="3">
        <f>IFERROR(__xludf.DUMMYFUNCTION("""COMPUTED_VALUE"""),0.0)</f>
        <v>0</v>
      </c>
      <c r="AJ249" s="3">
        <f>IFERROR(__xludf.DUMMYFUNCTION("""COMPUTED_VALUE"""),0.0)</f>
        <v>0</v>
      </c>
      <c r="AK249" s="3">
        <f>IFERROR(__xludf.DUMMYFUNCTION("""COMPUTED_VALUE"""),0.0)</f>
        <v>0</v>
      </c>
      <c r="AL249" s="3">
        <f>IFERROR(__xludf.DUMMYFUNCTION("""COMPUTED_VALUE"""),0.0)</f>
        <v>0</v>
      </c>
      <c r="AM249" s="3">
        <f>IFERROR(__xludf.DUMMYFUNCTION("""COMPUTED_VALUE"""),0.0)</f>
        <v>0</v>
      </c>
      <c r="AN249" s="3">
        <f>IFERROR(__xludf.DUMMYFUNCTION("""COMPUTED_VALUE"""),0.0)</f>
        <v>0</v>
      </c>
      <c r="AO249" s="3">
        <f>IFERROR(__xludf.DUMMYFUNCTION("""COMPUTED_VALUE"""),0.0)</f>
        <v>0</v>
      </c>
      <c r="AP249" s="3">
        <f>IFERROR(__xludf.DUMMYFUNCTION("""COMPUTED_VALUE"""),0.0)</f>
        <v>0</v>
      </c>
      <c r="AQ249" s="3">
        <f>IFERROR(__xludf.DUMMYFUNCTION("""COMPUTED_VALUE"""),0.0)</f>
        <v>0</v>
      </c>
      <c r="AR249" s="3">
        <f>IFERROR(__xludf.DUMMYFUNCTION("""COMPUTED_VALUE"""),0.0)</f>
        <v>0</v>
      </c>
      <c r="AS249" s="3">
        <f>IFERROR(__xludf.DUMMYFUNCTION("""COMPUTED_VALUE"""),0.0)</f>
        <v>0</v>
      </c>
      <c r="AT249" s="3">
        <f>IFERROR(__xludf.DUMMYFUNCTION("""COMPUTED_VALUE"""),0.0)</f>
        <v>0</v>
      </c>
      <c r="AU249" s="3">
        <f>IFERROR(__xludf.DUMMYFUNCTION("""COMPUTED_VALUE"""),0.0)</f>
        <v>0</v>
      </c>
      <c r="AV249" s="3">
        <f>IFERROR(__xludf.DUMMYFUNCTION("""COMPUTED_VALUE"""),0.0)</f>
        <v>0</v>
      </c>
      <c r="AW249" s="3">
        <f>IFERROR(__xludf.DUMMYFUNCTION("""COMPUTED_VALUE"""),0.0)</f>
        <v>0</v>
      </c>
      <c r="AX249" s="3">
        <f>IFERROR(__xludf.DUMMYFUNCTION("""COMPUTED_VALUE"""),0.0)</f>
        <v>0</v>
      </c>
      <c r="AY249" s="3">
        <f>IFERROR(__xludf.DUMMYFUNCTION("""COMPUTED_VALUE"""),0.0)</f>
        <v>0</v>
      </c>
      <c r="AZ249" s="3">
        <f>IFERROR(__xludf.DUMMYFUNCTION("""COMPUTED_VALUE"""),0.0)</f>
        <v>0</v>
      </c>
      <c r="BA249" s="3">
        <f>IFERROR(__xludf.DUMMYFUNCTION("""COMPUTED_VALUE"""),0.0)</f>
        <v>0</v>
      </c>
      <c r="BB249" s="3">
        <f>IFERROR(__xludf.DUMMYFUNCTION("""COMPUTED_VALUE"""),0.0)</f>
        <v>0</v>
      </c>
      <c r="BC249" s="3">
        <f>IFERROR(__xludf.DUMMYFUNCTION("""COMPUTED_VALUE"""),0.0)</f>
        <v>0</v>
      </c>
      <c r="BD249" s="3">
        <f>IFERROR(__xludf.DUMMYFUNCTION("""COMPUTED_VALUE"""),0.0)</f>
        <v>0</v>
      </c>
      <c r="BE249" s="3">
        <f>IFERROR(__xludf.DUMMYFUNCTION("""COMPUTED_VALUE"""),0.0)</f>
        <v>0</v>
      </c>
      <c r="BF249" s="3">
        <f>IFERROR(__xludf.DUMMYFUNCTION("""COMPUTED_VALUE"""),0.0)</f>
        <v>0</v>
      </c>
      <c r="BG249" s="3">
        <f>IFERROR(__xludf.DUMMYFUNCTION("""COMPUTED_VALUE"""),0.0)</f>
        <v>0</v>
      </c>
      <c r="BH249" s="3">
        <f>IFERROR(__xludf.DUMMYFUNCTION("""COMPUTED_VALUE"""),0.0)</f>
        <v>0</v>
      </c>
      <c r="BI249" s="3">
        <f>IFERROR(__xludf.DUMMYFUNCTION("""COMPUTED_VALUE"""),0.0)</f>
        <v>0</v>
      </c>
      <c r="BJ249" s="3">
        <f>IFERROR(__xludf.DUMMYFUNCTION("""COMPUTED_VALUE"""),0.0)</f>
        <v>0</v>
      </c>
      <c r="BK249" s="3">
        <f>IFERROR(__xludf.DUMMYFUNCTION("""COMPUTED_VALUE"""),0.0)</f>
        <v>0</v>
      </c>
      <c r="BL249" s="3">
        <f>IFERROR(__xludf.DUMMYFUNCTION("""COMPUTED_VALUE"""),0.0)</f>
        <v>0</v>
      </c>
      <c r="BM249" s="3">
        <f>IFERROR(__xludf.DUMMYFUNCTION("""COMPUTED_VALUE"""),0.0)</f>
        <v>0</v>
      </c>
      <c r="BN249" s="3">
        <f>IFERROR(__xludf.DUMMYFUNCTION("""COMPUTED_VALUE"""),0.0)</f>
        <v>0</v>
      </c>
      <c r="BO249" s="3">
        <f>IFERROR(__xludf.DUMMYFUNCTION("""COMPUTED_VALUE"""),0.0)</f>
        <v>0</v>
      </c>
      <c r="BP249" s="3">
        <f>IFERROR(__xludf.DUMMYFUNCTION("""COMPUTED_VALUE"""),0.0)</f>
        <v>0</v>
      </c>
      <c r="BQ249" s="3">
        <f>IFERROR(__xludf.DUMMYFUNCTION("""COMPUTED_VALUE"""),71.0)</f>
        <v>71</v>
      </c>
      <c r="BR249" s="3">
        <f>IFERROR(__xludf.DUMMYFUNCTION("""COMPUTED_VALUE"""),86.0)</f>
        <v>86</v>
      </c>
      <c r="BS249" s="3">
        <f>IFERROR(__xludf.DUMMYFUNCTION("""COMPUTED_VALUE"""),91.0)</f>
        <v>91</v>
      </c>
      <c r="BT249" s="3">
        <f>IFERROR(__xludf.DUMMYFUNCTION("""COMPUTED_VALUE"""),94.0)</f>
        <v>94</v>
      </c>
      <c r="BU249" s="3">
        <f>IFERROR(__xludf.DUMMYFUNCTION("""COMPUTED_VALUE"""),94.0)</f>
        <v>94</v>
      </c>
      <c r="BV249" s="3">
        <f>IFERROR(__xludf.DUMMYFUNCTION("""COMPUTED_VALUE"""),112.0)</f>
        <v>112</v>
      </c>
      <c r="BW249" s="3">
        <f>IFERROR(__xludf.DUMMYFUNCTION("""COMPUTED_VALUE"""),125.0)</f>
        <v>125</v>
      </c>
      <c r="BX249" s="3">
        <f>IFERROR(__xludf.DUMMYFUNCTION("""COMPUTED_VALUE"""),125.0)</f>
        <v>125</v>
      </c>
      <c r="BY249" s="3">
        <f>IFERROR(__xludf.DUMMYFUNCTION("""COMPUTED_VALUE"""),126.0)</f>
        <v>126</v>
      </c>
      <c r="BZ249" s="3">
        <f>IFERROR(__xludf.DUMMYFUNCTION("""COMPUTED_VALUE"""),135.0)</f>
        <v>135</v>
      </c>
      <c r="CA249" s="3">
        <f>IFERROR(__xludf.DUMMYFUNCTION("""COMPUTED_VALUE"""),145.0)</f>
        <v>145</v>
      </c>
      <c r="CB249" s="3">
        <f>IFERROR(__xludf.DUMMYFUNCTION("""COMPUTED_VALUE"""),145.0)</f>
        <v>145</v>
      </c>
    </row>
    <row r="250">
      <c r="A250" s="3" t="str">
        <f>IFERROR(__xludf.DUMMYFUNCTION("""COMPUTED_VALUE"""),"")</f>
        <v/>
      </c>
      <c r="B250" s="3" t="str">
        <f>IFERROR(__xludf.DUMMYFUNCTION("""COMPUTED_VALUE"""),"Burma")</f>
        <v>Burma</v>
      </c>
      <c r="C250" s="3">
        <f>IFERROR(__xludf.DUMMYFUNCTION("""COMPUTED_VALUE"""),21.9162)</f>
        <v>21.9162</v>
      </c>
      <c r="D250" s="3">
        <f>IFERROR(__xludf.DUMMYFUNCTION("""COMPUTED_VALUE"""),95.956)</f>
        <v>95.956</v>
      </c>
      <c r="E250" s="3">
        <f>IFERROR(__xludf.DUMMYFUNCTION("""COMPUTED_VALUE"""),0.0)</f>
        <v>0</v>
      </c>
      <c r="F250" s="3">
        <f>IFERROR(__xludf.DUMMYFUNCTION("""COMPUTED_VALUE"""),0.0)</f>
        <v>0</v>
      </c>
      <c r="G250" s="3">
        <f>IFERROR(__xludf.DUMMYFUNCTION("""COMPUTED_VALUE"""),0.0)</f>
        <v>0</v>
      </c>
      <c r="H250" s="3">
        <f>IFERROR(__xludf.DUMMYFUNCTION("""COMPUTED_VALUE"""),0.0)</f>
        <v>0</v>
      </c>
      <c r="I250" s="3">
        <f>IFERROR(__xludf.DUMMYFUNCTION("""COMPUTED_VALUE"""),0.0)</f>
        <v>0</v>
      </c>
      <c r="J250" s="3">
        <f>IFERROR(__xludf.DUMMYFUNCTION("""COMPUTED_VALUE"""),0.0)</f>
        <v>0</v>
      </c>
      <c r="K250" s="3">
        <f>IFERROR(__xludf.DUMMYFUNCTION("""COMPUTED_VALUE"""),0.0)</f>
        <v>0</v>
      </c>
      <c r="L250" s="3">
        <f>IFERROR(__xludf.DUMMYFUNCTION("""COMPUTED_VALUE"""),0.0)</f>
        <v>0</v>
      </c>
      <c r="M250" s="3">
        <f>IFERROR(__xludf.DUMMYFUNCTION("""COMPUTED_VALUE"""),0.0)</f>
        <v>0</v>
      </c>
      <c r="N250" s="3">
        <f>IFERROR(__xludf.DUMMYFUNCTION("""COMPUTED_VALUE"""),0.0)</f>
        <v>0</v>
      </c>
      <c r="O250" s="3">
        <f>IFERROR(__xludf.DUMMYFUNCTION("""COMPUTED_VALUE"""),0.0)</f>
        <v>0</v>
      </c>
      <c r="P250" s="3">
        <f>IFERROR(__xludf.DUMMYFUNCTION("""COMPUTED_VALUE"""),0.0)</f>
        <v>0</v>
      </c>
      <c r="Q250" s="3">
        <f>IFERROR(__xludf.DUMMYFUNCTION("""COMPUTED_VALUE"""),0.0)</f>
        <v>0</v>
      </c>
      <c r="R250" s="3">
        <f>IFERROR(__xludf.DUMMYFUNCTION("""COMPUTED_VALUE"""),0.0)</f>
        <v>0</v>
      </c>
      <c r="S250" s="3">
        <f>IFERROR(__xludf.DUMMYFUNCTION("""COMPUTED_VALUE"""),0.0)</f>
        <v>0</v>
      </c>
      <c r="T250" s="3">
        <f>IFERROR(__xludf.DUMMYFUNCTION("""COMPUTED_VALUE"""),0.0)</f>
        <v>0</v>
      </c>
      <c r="U250" s="3">
        <f>IFERROR(__xludf.DUMMYFUNCTION("""COMPUTED_VALUE"""),0.0)</f>
        <v>0</v>
      </c>
      <c r="V250" s="3">
        <f>IFERROR(__xludf.DUMMYFUNCTION("""COMPUTED_VALUE"""),0.0)</f>
        <v>0</v>
      </c>
      <c r="W250" s="3">
        <f>IFERROR(__xludf.DUMMYFUNCTION("""COMPUTED_VALUE"""),0.0)</f>
        <v>0</v>
      </c>
      <c r="X250" s="3">
        <f>IFERROR(__xludf.DUMMYFUNCTION("""COMPUTED_VALUE"""),0.0)</f>
        <v>0</v>
      </c>
      <c r="Y250" s="3">
        <f>IFERROR(__xludf.DUMMYFUNCTION("""COMPUTED_VALUE"""),0.0)</f>
        <v>0</v>
      </c>
      <c r="Z250" s="3">
        <f>IFERROR(__xludf.DUMMYFUNCTION("""COMPUTED_VALUE"""),0.0)</f>
        <v>0</v>
      </c>
      <c r="AA250" s="3">
        <f>IFERROR(__xludf.DUMMYFUNCTION("""COMPUTED_VALUE"""),0.0)</f>
        <v>0</v>
      </c>
      <c r="AB250" s="3">
        <f>IFERROR(__xludf.DUMMYFUNCTION("""COMPUTED_VALUE"""),0.0)</f>
        <v>0</v>
      </c>
      <c r="AC250" s="3">
        <f>IFERROR(__xludf.DUMMYFUNCTION("""COMPUTED_VALUE"""),0.0)</f>
        <v>0</v>
      </c>
      <c r="AD250" s="3">
        <f>IFERROR(__xludf.DUMMYFUNCTION("""COMPUTED_VALUE"""),0.0)</f>
        <v>0</v>
      </c>
      <c r="AE250" s="3">
        <f>IFERROR(__xludf.DUMMYFUNCTION("""COMPUTED_VALUE"""),0.0)</f>
        <v>0</v>
      </c>
      <c r="AF250" s="3">
        <f>IFERROR(__xludf.DUMMYFUNCTION("""COMPUTED_VALUE"""),0.0)</f>
        <v>0</v>
      </c>
      <c r="AG250" s="3">
        <f>IFERROR(__xludf.DUMMYFUNCTION("""COMPUTED_VALUE"""),0.0)</f>
        <v>0</v>
      </c>
      <c r="AH250" s="3">
        <f>IFERROR(__xludf.DUMMYFUNCTION("""COMPUTED_VALUE"""),0.0)</f>
        <v>0</v>
      </c>
      <c r="AI250" s="3">
        <f>IFERROR(__xludf.DUMMYFUNCTION("""COMPUTED_VALUE"""),0.0)</f>
        <v>0</v>
      </c>
      <c r="AJ250" s="3">
        <f>IFERROR(__xludf.DUMMYFUNCTION("""COMPUTED_VALUE"""),0.0)</f>
        <v>0</v>
      </c>
      <c r="AK250" s="3">
        <f>IFERROR(__xludf.DUMMYFUNCTION("""COMPUTED_VALUE"""),0.0)</f>
        <v>0</v>
      </c>
      <c r="AL250" s="3">
        <f>IFERROR(__xludf.DUMMYFUNCTION("""COMPUTED_VALUE"""),0.0)</f>
        <v>0</v>
      </c>
      <c r="AM250" s="3">
        <f>IFERROR(__xludf.DUMMYFUNCTION("""COMPUTED_VALUE"""),0.0)</f>
        <v>0</v>
      </c>
      <c r="AN250" s="3">
        <f>IFERROR(__xludf.DUMMYFUNCTION("""COMPUTED_VALUE"""),0.0)</f>
        <v>0</v>
      </c>
      <c r="AO250" s="3">
        <f>IFERROR(__xludf.DUMMYFUNCTION("""COMPUTED_VALUE"""),0.0)</f>
        <v>0</v>
      </c>
      <c r="AP250" s="3">
        <f>IFERROR(__xludf.DUMMYFUNCTION("""COMPUTED_VALUE"""),0.0)</f>
        <v>0</v>
      </c>
      <c r="AQ250" s="3">
        <f>IFERROR(__xludf.DUMMYFUNCTION("""COMPUTED_VALUE"""),0.0)</f>
        <v>0</v>
      </c>
      <c r="AR250" s="3">
        <f>IFERROR(__xludf.DUMMYFUNCTION("""COMPUTED_VALUE"""),0.0)</f>
        <v>0</v>
      </c>
      <c r="AS250" s="3">
        <f>IFERROR(__xludf.DUMMYFUNCTION("""COMPUTED_VALUE"""),0.0)</f>
        <v>0</v>
      </c>
      <c r="AT250" s="3">
        <f>IFERROR(__xludf.DUMMYFUNCTION("""COMPUTED_VALUE"""),0.0)</f>
        <v>0</v>
      </c>
      <c r="AU250" s="3">
        <f>IFERROR(__xludf.DUMMYFUNCTION("""COMPUTED_VALUE"""),0.0)</f>
        <v>0</v>
      </c>
      <c r="AV250" s="3">
        <f>IFERROR(__xludf.DUMMYFUNCTION("""COMPUTED_VALUE"""),0.0)</f>
        <v>0</v>
      </c>
      <c r="AW250" s="3">
        <f>IFERROR(__xludf.DUMMYFUNCTION("""COMPUTED_VALUE"""),0.0)</f>
        <v>0</v>
      </c>
      <c r="AX250" s="3">
        <f>IFERROR(__xludf.DUMMYFUNCTION("""COMPUTED_VALUE"""),0.0)</f>
        <v>0</v>
      </c>
      <c r="AY250" s="3">
        <f>IFERROR(__xludf.DUMMYFUNCTION("""COMPUTED_VALUE"""),0.0)</f>
        <v>0</v>
      </c>
      <c r="AZ250" s="3">
        <f>IFERROR(__xludf.DUMMYFUNCTION("""COMPUTED_VALUE"""),0.0)</f>
        <v>0</v>
      </c>
      <c r="BA250" s="3">
        <f>IFERROR(__xludf.DUMMYFUNCTION("""COMPUTED_VALUE"""),0.0)</f>
        <v>0</v>
      </c>
      <c r="BB250" s="3">
        <f>IFERROR(__xludf.DUMMYFUNCTION("""COMPUTED_VALUE"""),0.0)</f>
        <v>0</v>
      </c>
      <c r="BC250" s="3">
        <f>IFERROR(__xludf.DUMMYFUNCTION("""COMPUTED_VALUE"""),0.0)</f>
        <v>0</v>
      </c>
      <c r="BD250" s="3">
        <f>IFERROR(__xludf.DUMMYFUNCTION("""COMPUTED_VALUE"""),0.0)</f>
        <v>0</v>
      </c>
      <c r="BE250" s="3">
        <f>IFERROR(__xludf.DUMMYFUNCTION("""COMPUTED_VALUE"""),0.0)</f>
        <v>0</v>
      </c>
      <c r="BF250" s="3">
        <f>IFERROR(__xludf.DUMMYFUNCTION("""COMPUTED_VALUE"""),0.0)</f>
        <v>0</v>
      </c>
      <c r="BG250" s="3">
        <f>IFERROR(__xludf.DUMMYFUNCTION("""COMPUTED_VALUE"""),0.0)</f>
        <v>0</v>
      </c>
      <c r="BH250" s="3">
        <f>IFERROR(__xludf.DUMMYFUNCTION("""COMPUTED_VALUE"""),0.0)</f>
        <v>0</v>
      </c>
      <c r="BI250" s="3">
        <f>IFERROR(__xludf.DUMMYFUNCTION("""COMPUTED_VALUE"""),0.0)</f>
        <v>0</v>
      </c>
      <c r="BJ250" s="3">
        <f>IFERROR(__xludf.DUMMYFUNCTION("""COMPUTED_VALUE"""),0.0)</f>
        <v>0</v>
      </c>
      <c r="BK250" s="3">
        <f>IFERROR(__xludf.DUMMYFUNCTION("""COMPUTED_VALUE"""),0.0)</f>
        <v>0</v>
      </c>
      <c r="BL250" s="3">
        <f>IFERROR(__xludf.DUMMYFUNCTION("""COMPUTED_VALUE"""),0.0)</f>
        <v>0</v>
      </c>
      <c r="BM250" s="3">
        <f>IFERROR(__xludf.DUMMYFUNCTION("""COMPUTED_VALUE"""),0.0)</f>
        <v>0</v>
      </c>
      <c r="BN250" s="3">
        <f>IFERROR(__xludf.DUMMYFUNCTION("""COMPUTED_VALUE"""),0.0)</f>
        <v>0</v>
      </c>
      <c r="BO250" s="3">
        <f>IFERROR(__xludf.DUMMYFUNCTION("""COMPUTED_VALUE"""),0.0)</f>
        <v>0</v>
      </c>
      <c r="BP250" s="3">
        <f>IFERROR(__xludf.DUMMYFUNCTION("""COMPUTED_VALUE"""),0.0)</f>
        <v>0</v>
      </c>
      <c r="BQ250" s="3">
        <f>IFERROR(__xludf.DUMMYFUNCTION("""COMPUTED_VALUE"""),0.0)</f>
        <v>0</v>
      </c>
      <c r="BR250" s="3">
        <f>IFERROR(__xludf.DUMMYFUNCTION("""COMPUTED_VALUE"""),8.0)</f>
        <v>8</v>
      </c>
      <c r="BS250" s="3">
        <f>IFERROR(__xludf.DUMMYFUNCTION("""COMPUTED_VALUE"""),8.0)</f>
        <v>8</v>
      </c>
      <c r="BT250" s="3">
        <f>IFERROR(__xludf.DUMMYFUNCTION("""COMPUTED_VALUE"""),10.0)</f>
        <v>10</v>
      </c>
      <c r="BU250" s="3">
        <f>IFERROR(__xludf.DUMMYFUNCTION("""COMPUTED_VALUE"""),14.0)</f>
        <v>14</v>
      </c>
      <c r="BV250" s="3">
        <f>IFERROR(__xludf.DUMMYFUNCTION("""COMPUTED_VALUE"""),15.0)</f>
        <v>15</v>
      </c>
      <c r="BW250" s="3">
        <f>IFERROR(__xludf.DUMMYFUNCTION("""COMPUTED_VALUE"""),15.0)</f>
        <v>15</v>
      </c>
      <c r="BX250" s="3">
        <f>IFERROR(__xludf.DUMMYFUNCTION("""COMPUTED_VALUE"""),20.0)</f>
        <v>20</v>
      </c>
      <c r="BY250" s="3">
        <f>IFERROR(__xludf.DUMMYFUNCTION("""COMPUTED_VALUE"""),20.0)</f>
        <v>20</v>
      </c>
      <c r="BZ250" s="3">
        <f>IFERROR(__xludf.DUMMYFUNCTION("""COMPUTED_VALUE"""),21.0)</f>
        <v>21</v>
      </c>
      <c r="CA250" s="3">
        <f>IFERROR(__xludf.DUMMYFUNCTION("""COMPUTED_VALUE"""),21.0)</f>
        <v>21</v>
      </c>
      <c r="CB250" s="3">
        <f>IFERROR(__xludf.DUMMYFUNCTION("""COMPUTED_VALUE"""),22.0)</f>
        <v>22</v>
      </c>
    </row>
    <row r="251">
      <c r="A251" s="3" t="str">
        <f>IFERROR(__xludf.DUMMYFUNCTION("""COMPUTED_VALUE"""),"Anguilla")</f>
        <v>Anguilla</v>
      </c>
      <c r="B251" s="3" t="str">
        <f>IFERROR(__xludf.DUMMYFUNCTION("""COMPUTED_VALUE"""),"United Kingdom")</f>
        <v>United Kingdom</v>
      </c>
      <c r="C251" s="3">
        <f>IFERROR(__xludf.DUMMYFUNCTION("""COMPUTED_VALUE"""),18.2206)</f>
        <v>18.2206</v>
      </c>
      <c r="D251" s="3">
        <f>IFERROR(__xludf.DUMMYFUNCTION("""COMPUTED_VALUE"""),-63.0686)</f>
        <v>-63.0686</v>
      </c>
      <c r="E251" s="3">
        <f>IFERROR(__xludf.DUMMYFUNCTION("""COMPUTED_VALUE"""),0.0)</f>
        <v>0</v>
      </c>
      <c r="F251" s="3">
        <f>IFERROR(__xludf.DUMMYFUNCTION("""COMPUTED_VALUE"""),0.0)</f>
        <v>0</v>
      </c>
      <c r="G251" s="3">
        <f>IFERROR(__xludf.DUMMYFUNCTION("""COMPUTED_VALUE"""),0.0)</f>
        <v>0</v>
      </c>
      <c r="H251" s="3">
        <f>IFERROR(__xludf.DUMMYFUNCTION("""COMPUTED_VALUE"""),0.0)</f>
        <v>0</v>
      </c>
      <c r="I251" s="3">
        <f>IFERROR(__xludf.DUMMYFUNCTION("""COMPUTED_VALUE"""),0.0)</f>
        <v>0</v>
      </c>
      <c r="J251" s="3">
        <f>IFERROR(__xludf.DUMMYFUNCTION("""COMPUTED_VALUE"""),0.0)</f>
        <v>0</v>
      </c>
      <c r="K251" s="3">
        <f>IFERROR(__xludf.DUMMYFUNCTION("""COMPUTED_VALUE"""),0.0)</f>
        <v>0</v>
      </c>
      <c r="L251" s="3">
        <f>IFERROR(__xludf.DUMMYFUNCTION("""COMPUTED_VALUE"""),0.0)</f>
        <v>0</v>
      </c>
      <c r="M251" s="3">
        <f>IFERROR(__xludf.DUMMYFUNCTION("""COMPUTED_VALUE"""),0.0)</f>
        <v>0</v>
      </c>
      <c r="N251" s="3">
        <f>IFERROR(__xludf.DUMMYFUNCTION("""COMPUTED_VALUE"""),0.0)</f>
        <v>0</v>
      </c>
      <c r="O251" s="3">
        <f>IFERROR(__xludf.DUMMYFUNCTION("""COMPUTED_VALUE"""),0.0)</f>
        <v>0</v>
      </c>
      <c r="P251" s="3">
        <f>IFERROR(__xludf.DUMMYFUNCTION("""COMPUTED_VALUE"""),0.0)</f>
        <v>0</v>
      </c>
      <c r="Q251" s="3">
        <f>IFERROR(__xludf.DUMMYFUNCTION("""COMPUTED_VALUE"""),0.0)</f>
        <v>0</v>
      </c>
      <c r="R251" s="3">
        <f>IFERROR(__xludf.DUMMYFUNCTION("""COMPUTED_VALUE"""),0.0)</f>
        <v>0</v>
      </c>
      <c r="S251" s="3">
        <f>IFERROR(__xludf.DUMMYFUNCTION("""COMPUTED_VALUE"""),0.0)</f>
        <v>0</v>
      </c>
      <c r="T251" s="3">
        <f>IFERROR(__xludf.DUMMYFUNCTION("""COMPUTED_VALUE"""),0.0)</f>
        <v>0</v>
      </c>
      <c r="U251" s="3">
        <f>IFERROR(__xludf.DUMMYFUNCTION("""COMPUTED_VALUE"""),0.0)</f>
        <v>0</v>
      </c>
      <c r="V251" s="3">
        <f>IFERROR(__xludf.DUMMYFUNCTION("""COMPUTED_VALUE"""),0.0)</f>
        <v>0</v>
      </c>
      <c r="W251" s="3">
        <f>IFERROR(__xludf.DUMMYFUNCTION("""COMPUTED_VALUE"""),0.0)</f>
        <v>0</v>
      </c>
      <c r="X251" s="3">
        <f>IFERROR(__xludf.DUMMYFUNCTION("""COMPUTED_VALUE"""),0.0)</f>
        <v>0</v>
      </c>
      <c r="Y251" s="3">
        <f>IFERROR(__xludf.DUMMYFUNCTION("""COMPUTED_VALUE"""),0.0)</f>
        <v>0</v>
      </c>
      <c r="Z251" s="3">
        <f>IFERROR(__xludf.DUMMYFUNCTION("""COMPUTED_VALUE"""),0.0)</f>
        <v>0</v>
      </c>
      <c r="AA251" s="3">
        <f>IFERROR(__xludf.DUMMYFUNCTION("""COMPUTED_VALUE"""),0.0)</f>
        <v>0</v>
      </c>
      <c r="AB251" s="3">
        <f>IFERROR(__xludf.DUMMYFUNCTION("""COMPUTED_VALUE"""),0.0)</f>
        <v>0</v>
      </c>
      <c r="AC251" s="3">
        <f>IFERROR(__xludf.DUMMYFUNCTION("""COMPUTED_VALUE"""),0.0)</f>
        <v>0</v>
      </c>
      <c r="AD251" s="3">
        <f>IFERROR(__xludf.DUMMYFUNCTION("""COMPUTED_VALUE"""),0.0)</f>
        <v>0</v>
      </c>
      <c r="AE251" s="3">
        <f>IFERROR(__xludf.DUMMYFUNCTION("""COMPUTED_VALUE"""),0.0)</f>
        <v>0</v>
      </c>
      <c r="AF251" s="3">
        <f>IFERROR(__xludf.DUMMYFUNCTION("""COMPUTED_VALUE"""),0.0)</f>
        <v>0</v>
      </c>
      <c r="AG251" s="3">
        <f>IFERROR(__xludf.DUMMYFUNCTION("""COMPUTED_VALUE"""),0.0)</f>
        <v>0</v>
      </c>
      <c r="AH251" s="3">
        <f>IFERROR(__xludf.DUMMYFUNCTION("""COMPUTED_VALUE"""),0.0)</f>
        <v>0</v>
      </c>
      <c r="AI251" s="3">
        <f>IFERROR(__xludf.DUMMYFUNCTION("""COMPUTED_VALUE"""),0.0)</f>
        <v>0</v>
      </c>
      <c r="AJ251" s="3">
        <f>IFERROR(__xludf.DUMMYFUNCTION("""COMPUTED_VALUE"""),0.0)</f>
        <v>0</v>
      </c>
      <c r="AK251" s="3">
        <f>IFERROR(__xludf.DUMMYFUNCTION("""COMPUTED_VALUE"""),0.0)</f>
        <v>0</v>
      </c>
      <c r="AL251" s="3">
        <f>IFERROR(__xludf.DUMMYFUNCTION("""COMPUTED_VALUE"""),0.0)</f>
        <v>0</v>
      </c>
      <c r="AM251" s="3">
        <f>IFERROR(__xludf.DUMMYFUNCTION("""COMPUTED_VALUE"""),0.0)</f>
        <v>0</v>
      </c>
      <c r="AN251" s="3">
        <f>IFERROR(__xludf.DUMMYFUNCTION("""COMPUTED_VALUE"""),0.0)</f>
        <v>0</v>
      </c>
      <c r="AO251" s="3">
        <f>IFERROR(__xludf.DUMMYFUNCTION("""COMPUTED_VALUE"""),0.0)</f>
        <v>0</v>
      </c>
      <c r="AP251" s="3">
        <f>IFERROR(__xludf.DUMMYFUNCTION("""COMPUTED_VALUE"""),0.0)</f>
        <v>0</v>
      </c>
      <c r="AQ251" s="3">
        <f>IFERROR(__xludf.DUMMYFUNCTION("""COMPUTED_VALUE"""),0.0)</f>
        <v>0</v>
      </c>
      <c r="AR251" s="3">
        <f>IFERROR(__xludf.DUMMYFUNCTION("""COMPUTED_VALUE"""),0.0)</f>
        <v>0</v>
      </c>
      <c r="AS251" s="3">
        <f>IFERROR(__xludf.DUMMYFUNCTION("""COMPUTED_VALUE"""),0.0)</f>
        <v>0</v>
      </c>
      <c r="AT251" s="3">
        <f>IFERROR(__xludf.DUMMYFUNCTION("""COMPUTED_VALUE"""),0.0)</f>
        <v>0</v>
      </c>
      <c r="AU251" s="3">
        <f>IFERROR(__xludf.DUMMYFUNCTION("""COMPUTED_VALUE"""),0.0)</f>
        <v>0</v>
      </c>
      <c r="AV251" s="3">
        <f>IFERROR(__xludf.DUMMYFUNCTION("""COMPUTED_VALUE"""),0.0)</f>
        <v>0</v>
      </c>
      <c r="AW251" s="3">
        <f>IFERROR(__xludf.DUMMYFUNCTION("""COMPUTED_VALUE"""),0.0)</f>
        <v>0</v>
      </c>
      <c r="AX251" s="3">
        <f>IFERROR(__xludf.DUMMYFUNCTION("""COMPUTED_VALUE"""),0.0)</f>
        <v>0</v>
      </c>
      <c r="AY251" s="3">
        <f>IFERROR(__xludf.DUMMYFUNCTION("""COMPUTED_VALUE"""),0.0)</f>
        <v>0</v>
      </c>
      <c r="AZ251" s="3">
        <f>IFERROR(__xludf.DUMMYFUNCTION("""COMPUTED_VALUE"""),0.0)</f>
        <v>0</v>
      </c>
      <c r="BA251" s="3">
        <f>IFERROR(__xludf.DUMMYFUNCTION("""COMPUTED_VALUE"""),0.0)</f>
        <v>0</v>
      </c>
      <c r="BB251" s="3">
        <f>IFERROR(__xludf.DUMMYFUNCTION("""COMPUTED_VALUE"""),0.0)</f>
        <v>0</v>
      </c>
      <c r="BC251" s="3">
        <f>IFERROR(__xludf.DUMMYFUNCTION("""COMPUTED_VALUE"""),0.0)</f>
        <v>0</v>
      </c>
      <c r="BD251" s="3">
        <f>IFERROR(__xludf.DUMMYFUNCTION("""COMPUTED_VALUE"""),0.0)</f>
        <v>0</v>
      </c>
      <c r="BE251" s="3">
        <f>IFERROR(__xludf.DUMMYFUNCTION("""COMPUTED_VALUE"""),0.0)</f>
        <v>0</v>
      </c>
      <c r="BF251" s="3">
        <f>IFERROR(__xludf.DUMMYFUNCTION("""COMPUTED_VALUE"""),0.0)</f>
        <v>0</v>
      </c>
      <c r="BG251" s="3">
        <f>IFERROR(__xludf.DUMMYFUNCTION("""COMPUTED_VALUE"""),0.0)</f>
        <v>0</v>
      </c>
      <c r="BH251" s="3">
        <f>IFERROR(__xludf.DUMMYFUNCTION("""COMPUTED_VALUE"""),0.0)</f>
        <v>0</v>
      </c>
      <c r="BI251" s="3">
        <f>IFERROR(__xludf.DUMMYFUNCTION("""COMPUTED_VALUE"""),0.0)</f>
        <v>0</v>
      </c>
      <c r="BJ251" s="3">
        <f>IFERROR(__xludf.DUMMYFUNCTION("""COMPUTED_VALUE"""),0.0)</f>
        <v>0</v>
      </c>
      <c r="BK251" s="3">
        <f>IFERROR(__xludf.DUMMYFUNCTION("""COMPUTED_VALUE"""),0.0)</f>
        <v>0</v>
      </c>
      <c r="BL251" s="3">
        <f>IFERROR(__xludf.DUMMYFUNCTION("""COMPUTED_VALUE"""),0.0)</f>
        <v>0</v>
      </c>
      <c r="BM251" s="3">
        <f>IFERROR(__xludf.DUMMYFUNCTION("""COMPUTED_VALUE"""),0.0)</f>
        <v>0</v>
      </c>
      <c r="BN251" s="3">
        <f>IFERROR(__xludf.DUMMYFUNCTION("""COMPUTED_VALUE"""),0.0)</f>
        <v>0</v>
      </c>
      <c r="BO251" s="3">
        <f>IFERROR(__xludf.DUMMYFUNCTION("""COMPUTED_VALUE"""),0.0)</f>
        <v>0</v>
      </c>
      <c r="BP251" s="3">
        <f>IFERROR(__xludf.DUMMYFUNCTION("""COMPUTED_VALUE"""),0.0)</f>
        <v>0</v>
      </c>
      <c r="BQ251" s="3">
        <f>IFERROR(__xludf.DUMMYFUNCTION("""COMPUTED_VALUE"""),0.0)</f>
        <v>0</v>
      </c>
      <c r="BR251" s="3">
        <f>IFERROR(__xludf.DUMMYFUNCTION("""COMPUTED_VALUE"""),0.0)</f>
        <v>0</v>
      </c>
      <c r="BS251" s="3">
        <f>IFERROR(__xludf.DUMMYFUNCTION("""COMPUTED_VALUE"""),2.0)</f>
        <v>2</v>
      </c>
      <c r="BT251" s="3">
        <f>IFERROR(__xludf.DUMMYFUNCTION("""COMPUTED_VALUE"""),2.0)</f>
        <v>2</v>
      </c>
      <c r="BU251" s="3">
        <f>IFERROR(__xludf.DUMMYFUNCTION("""COMPUTED_VALUE"""),2.0)</f>
        <v>2</v>
      </c>
      <c r="BV251" s="3">
        <f>IFERROR(__xludf.DUMMYFUNCTION("""COMPUTED_VALUE"""),2.0)</f>
        <v>2</v>
      </c>
      <c r="BW251" s="3">
        <f>IFERROR(__xludf.DUMMYFUNCTION("""COMPUTED_VALUE"""),2.0)</f>
        <v>2</v>
      </c>
      <c r="BX251" s="3">
        <f>IFERROR(__xludf.DUMMYFUNCTION("""COMPUTED_VALUE"""),3.0)</f>
        <v>3</v>
      </c>
      <c r="BY251" s="3">
        <f>IFERROR(__xludf.DUMMYFUNCTION("""COMPUTED_VALUE"""),3.0)</f>
        <v>3</v>
      </c>
      <c r="BZ251" s="3">
        <f>IFERROR(__xludf.DUMMYFUNCTION("""COMPUTED_VALUE"""),3.0)</f>
        <v>3</v>
      </c>
      <c r="CA251" s="3">
        <f>IFERROR(__xludf.DUMMYFUNCTION("""COMPUTED_VALUE"""),3.0)</f>
        <v>3</v>
      </c>
      <c r="CB251" s="3">
        <f>IFERROR(__xludf.DUMMYFUNCTION("""COMPUTED_VALUE"""),3.0)</f>
        <v>3</v>
      </c>
    </row>
    <row r="252">
      <c r="A252" s="3" t="str">
        <f>IFERROR(__xludf.DUMMYFUNCTION("""COMPUTED_VALUE"""),"British Virgin Islands")</f>
        <v>British Virgin Islands</v>
      </c>
      <c r="B252" s="3" t="str">
        <f>IFERROR(__xludf.DUMMYFUNCTION("""COMPUTED_VALUE"""),"United Kingdom")</f>
        <v>United Kingdom</v>
      </c>
      <c r="C252" s="3">
        <f>IFERROR(__xludf.DUMMYFUNCTION("""COMPUTED_VALUE"""),18.4207)</f>
        <v>18.4207</v>
      </c>
      <c r="D252" s="3">
        <f>IFERROR(__xludf.DUMMYFUNCTION("""COMPUTED_VALUE"""),-64.64)</f>
        <v>-64.64</v>
      </c>
      <c r="E252" s="3">
        <f>IFERROR(__xludf.DUMMYFUNCTION("""COMPUTED_VALUE"""),0.0)</f>
        <v>0</v>
      </c>
      <c r="F252" s="3">
        <f>IFERROR(__xludf.DUMMYFUNCTION("""COMPUTED_VALUE"""),0.0)</f>
        <v>0</v>
      </c>
      <c r="G252" s="3">
        <f>IFERROR(__xludf.DUMMYFUNCTION("""COMPUTED_VALUE"""),0.0)</f>
        <v>0</v>
      </c>
      <c r="H252" s="3">
        <f>IFERROR(__xludf.DUMMYFUNCTION("""COMPUTED_VALUE"""),0.0)</f>
        <v>0</v>
      </c>
      <c r="I252" s="3">
        <f>IFERROR(__xludf.DUMMYFUNCTION("""COMPUTED_VALUE"""),0.0)</f>
        <v>0</v>
      </c>
      <c r="J252" s="3">
        <f>IFERROR(__xludf.DUMMYFUNCTION("""COMPUTED_VALUE"""),0.0)</f>
        <v>0</v>
      </c>
      <c r="K252" s="3">
        <f>IFERROR(__xludf.DUMMYFUNCTION("""COMPUTED_VALUE"""),0.0)</f>
        <v>0</v>
      </c>
      <c r="L252" s="3">
        <f>IFERROR(__xludf.DUMMYFUNCTION("""COMPUTED_VALUE"""),0.0)</f>
        <v>0</v>
      </c>
      <c r="M252" s="3">
        <f>IFERROR(__xludf.DUMMYFUNCTION("""COMPUTED_VALUE"""),0.0)</f>
        <v>0</v>
      </c>
      <c r="N252" s="3">
        <f>IFERROR(__xludf.DUMMYFUNCTION("""COMPUTED_VALUE"""),0.0)</f>
        <v>0</v>
      </c>
      <c r="O252" s="3">
        <f>IFERROR(__xludf.DUMMYFUNCTION("""COMPUTED_VALUE"""),0.0)</f>
        <v>0</v>
      </c>
      <c r="P252" s="3">
        <f>IFERROR(__xludf.DUMMYFUNCTION("""COMPUTED_VALUE"""),0.0)</f>
        <v>0</v>
      </c>
      <c r="Q252" s="3">
        <f>IFERROR(__xludf.DUMMYFUNCTION("""COMPUTED_VALUE"""),0.0)</f>
        <v>0</v>
      </c>
      <c r="R252" s="3">
        <f>IFERROR(__xludf.DUMMYFUNCTION("""COMPUTED_VALUE"""),0.0)</f>
        <v>0</v>
      </c>
      <c r="S252" s="3">
        <f>IFERROR(__xludf.DUMMYFUNCTION("""COMPUTED_VALUE"""),0.0)</f>
        <v>0</v>
      </c>
      <c r="T252" s="3">
        <f>IFERROR(__xludf.DUMMYFUNCTION("""COMPUTED_VALUE"""),0.0)</f>
        <v>0</v>
      </c>
      <c r="U252" s="3">
        <f>IFERROR(__xludf.DUMMYFUNCTION("""COMPUTED_VALUE"""),0.0)</f>
        <v>0</v>
      </c>
      <c r="V252" s="3">
        <f>IFERROR(__xludf.DUMMYFUNCTION("""COMPUTED_VALUE"""),0.0)</f>
        <v>0</v>
      </c>
      <c r="W252" s="3">
        <f>IFERROR(__xludf.DUMMYFUNCTION("""COMPUTED_VALUE"""),0.0)</f>
        <v>0</v>
      </c>
      <c r="X252" s="3">
        <f>IFERROR(__xludf.DUMMYFUNCTION("""COMPUTED_VALUE"""),0.0)</f>
        <v>0</v>
      </c>
      <c r="Y252" s="3">
        <f>IFERROR(__xludf.DUMMYFUNCTION("""COMPUTED_VALUE"""),0.0)</f>
        <v>0</v>
      </c>
      <c r="Z252" s="3">
        <f>IFERROR(__xludf.DUMMYFUNCTION("""COMPUTED_VALUE"""),0.0)</f>
        <v>0</v>
      </c>
      <c r="AA252" s="3">
        <f>IFERROR(__xludf.DUMMYFUNCTION("""COMPUTED_VALUE"""),0.0)</f>
        <v>0</v>
      </c>
      <c r="AB252" s="3">
        <f>IFERROR(__xludf.DUMMYFUNCTION("""COMPUTED_VALUE"""),0.0)</f>
        <v>0</v>
      </c>
      <c r="AC252" s="3">
        <f>IFERROR(__xludf.DUMMYFUNCTION("""COMPUTED_VALUE"""),0.0)</f>
        <v>0</v>
      </c>
      <c r="AD252" s="3">
        <f>IFERROR(__xludf.DUMMYFUNCTION("""COMPUTED_VALUE"""),0.0)</f>
        <v>0</v>
      </c>
      <c r="AE252" s="3">
        <f>IFERROR(__xludf.DUMMYFUNCTION("""COMPUTED_VALUE"""),0.0)</f>
        <v>0</v>
      </c>
      <c r="AF252" s="3">
        <f>IFERROR(__xludf.DUMMYFUNCTION("""COMPUTED_VALUE"""),0.0)</f>
        <v>0</v>
      </c>
      <c r="AG252" s="3">
        <f>IFERROR(__xludf.DUMMYFUNCTION("""COMPUTED_VALUE"""),0.0)</f>
        <v>0</v>
      </c>
      <c r="AH252" s="3">
        <f>IFERROR(__xludf.DUMMYFUNCTION("""COMPUTED_VALUE"""),0.0)</f>
        <v>0</v>
      </c>
      <c r="AI252" s="3">
        <f>IFERROR(__xludf.DUMMYFUNCTION("""COMPUTED_VALUE"""),0.0)</f>
        <v>0</v>
      </c>
      <c r="AJ252" s="3">
        <f>IFERROR(__xludf.DUMMYFUNCTION("""COMPUTED_VALUE"""),0.0)</f>
        <v>0</v>
      </c>
      <c r="AK252" s="3">
        <f>IFERROR(__xludf.DUMMYFUNCTION("""COMPUTED_VALUE"""),0.0)</f>
        <v>0</v>
      </c>
      <c r="AL252" s="3">
        <f>IFERROR(__xludf.DUMMYFUNCTION("""COMPUTED_VALUE"""),0.0)</f>
        <v>0</v>
      </c>
      <c r="AM252" s="3">
        <f>IFERROR(__xludf.DUMMYFUNCTION("""COMPUTED_VALUE"""),0.0)</f>
        <v>0</v>
      </c>
      <c r="AN252" s="3">
        <f>IFERROR(__xludf.DUMMYFUNCTION("""COMPUTED_VALUE"""),0.0)</f>
        <v>0</v>
      </c>
      <c r="AO252" s="3">
        <f>IFERROR(__xludf.DUMMYFUNCTION("""COMPUTED_VALUE"""),0.0)</f>
        <v>0</v>
      </c>
      <c r="AP252" s="3">
        <f>IFERROR(__xludf.DUMMYFUNCTION("""COMPUTED_VALUE"""),0.0)</f>
        <v>0</v>
      </c>
      <c r="AQ252" s="3">
        <f>IFERROR(__xludf.DUMMYFUNCTION("""COMPUTED_VALUE"""),0.0)</f>
        <v>0</v>
      </c>
      <c r="AR252" s="3">
        <f>IFERROR(__xludf.DUMMYFUNCTION("""COMPUTED_VALUE"""),0.0)</f>
        <v>0</v>
      </c>
      <c r="AS252" s="3">
        <f>IFERROR(__xludf.DUMMYFUNCTION("""COMPUTED_VALUE"""),0.0)</f>
        <v>0</v>
      </c>
      <c r="AT252" s="3">
        <f>IFERROR(__xludf.DUMMYFUNCTION("""COMPUTED_VALUE"""),0.0)</f>
        <v>0</v>
      </c>
      <c r="AU252" s="3">
        <f>IFERROR(__xludf.DUMMYFUNCTION("""COMPUTED_VALUE"""),0.0)</f>
        <v>0</v>
      </c>
      <c r="AV252" s="3">
        <f>IFERROR(__xludf.DUMMYFUNCTION("""COMPUTED_VALUE"""),0.0)</f>
        <v>0</v>
      </c>
      <c r="AW252" s="3">
        <f>IFERROR(__xludf.DUMMYFUNCTION("""COMPUTED_VALUE"""),0.0)</f>
        <v>0</v>
      </c>
      <c r="AX252" s="3">
        <f>IFERROR(__xludf.DUMMYFUNCTION("""COMPUTED_VALUE"""),0.0)</f>
        <v>0</v>
      </c>
      <c r="AY252" s="3">
        <f>IFERROR(__xludf.DUMMYFUNCTION("""COMPUTED_VALUE"""),0.0)</f>
        <v>0</v>
      </c>
      <c r="AZ252" s="3">
        <f>IFERROR(__xludf.DUMMYFUNCTION("""COMPUTED_VALUE"""),0.0)</f>
        <v>0</v>
      </c>
      <c r="BA252" s="3">
        <f>IFERROR(__xludf.DUMMYFUNCTION("""COMPUTED_VALUE"""),0.0)</f>
        <v>0</v>
      </c>
      <c r="BB252" s="3">
        <f>IFERROR(__xludf.DUMMYFUNCTION("""COMPUTED_VALUE"""),0.0)</f>
        <v>0</v>
      </c>
      <c r="BC252" s="3">
        <f>IFERROR(__xludf.DUMMYFUNCTION("""COMPUTED_VALUE"""),0.0)</f>
        <v>0</v>
      </c>
      <c r="BD252" s="3">
        <f>IFERROR(__xludf.DUMMYFUNCTION("""COMPUTED_VALUE"""),0.0)</f>
        <v>0</v>
      </c>
      <c r="BE252" s="3">
        <f>IFERROR(__xludf.DUMMYFUNCTION("""COMPUTED_VALUE"""),0.0)</f>
        <v>0</v>
      </c>
      <c r="BF252" s="3">
        <f>IFERROR(__xludf.DUMMYFUNCTION("""COMPUTED_VALUE"""),0.0)</f>
        <v>0</v>
      </c>
      <c r="BG252" s="3">
        <f>IFERROR(__xludf.DUMMYFUNCTION("""COMPUTED_VALUE"""),0.0)</f>
        <v>0</v>
      </c>
      <c r="BH252" s="3">
        <f>IFERROR(__xludf.DUMMYFUNCTION("""COMPUTED_VALUE"""),0.0)</f>
        <v>0</v>
      </c>
      <c r="BI252" s="3">
        <f>IFERROR(__xludf.DUMMYFUNCTION("""COMPUTED_VALUE"""),0.0)</f>
        <v>0</v>
      </c>
      <c r="BJ252" s="3">
        <f>IFERROR(__xludf.DUMMYFUNCTION("""COMPUTED_VALUE"""),0.0)</f>
        <v>0</v>
      </c>
      <c r="BK252" s="3">
        <f>IFERROR(__xludf.DUMMYFUNCTION("""COMPUTED_VALUE"""),0.0)</f>
        <v>0</v>
      </c>
      <c r="BL252" s="3">
        <f>IFERROR(__xludf.DUMMYFUNCTION("""COMPUTED_VALUE"""),0.0)</f>
        <v>0</v>
      </c>
      <c r="BM252" s="3">
        <f>IFERROR(__xludf.DUMMYFUNCTION("""COMPUTED_VALUE"""),0.0)</f>
        <v>0</v>
      </c>
      <c r="BN252" s="3">
        <f>IFERROR(__xludf.DUMMYFUNCTION("""COMPUTED_VALUE"""),0.0)</f>
        <v>0</v>
      </c>
      <c r="BO252" s="3">
        <f>IFERROR(__xludf.DUMMYFUNCTION("""COMPUTED_VALUE"""),0.0)</f>
        <v>0</v>
      </c>
      <c r="BP252" s="3">
        <f>IFERROR(__xludf.DUMMYFUNCTION("""COMPUTED_VALUE"""),0.0)</f>
        <v>0</v>
      </c>
      <c r="BQ252" s="3">
        <f>IFERROR(__xludf.DUMMYFUNCTION("""COMPUTED_VALUE"""),0.0)</f>
        <v>0</v>
      </c>
      <c r="BR252" s="3">
        <f>IFERROR(__xludf.DUMMYFUNCTION("""COMPUTED_VALUE"""),0.0)</f>
        <v>0</v>
      </c>
      <c r="BS252" s="3">
        <f>IFERROR(__xludf.DUMMYFUNCTION("""COMPUTED_VALUE"""),2.0)</f>
        <v>2</v>
      </c>
      <c r="BT252" s="3">
        <f>IFERROR(__xludf.DUMMYFUNCTION("""COMPUTED_VALUE"""),2.0)</f>
        <v>2</v>
      </c>
      <c r="BU252" s="3">
        <f>IFERROR(__xludf.DUMMYFUNCTION("""COMPUTED_VALUE"""),2.0)</f>
        <v>2</v>
      </c>
      <c r="BV252" s="3">
        <f>IFERROR(__xludf.DUMMYFUNCTION("""COMPUTED_VALUE"""),3.0)</f>
        <v>3</v>
      </c>
      <c r="BW252" s="3">
        <f>IFERROR(__xludf.DUMMYFUNCTION("""COMPUTED_VALUE"""),3.0)</f>
        <v>3</v>
      </c>
      <c r="BX252" s="3">
        <f>IFERROR(__xludf.DUMMYFUNCTION("""COMPUTED_VALUE"""),3.0)</f>
        <v>3</v>
      </c>
      <c r="BY252" s="3">
        <f>IFERROR(__xludf.DUMMYFUNCTION("""COMPUTED_VALUE"""),3.0)</f>
        <v>3</v>
      </c>
      <c r="BZ252" s="3">
        <f>IFERROR(__xludf.DUMMYFUNCTION("""COMPUTED_VALUE"""),3.0)</f>
        <v>3</v>
      </c>
      <c r="CA252" s="3">
        <f>IFERROR(__xludf.DUMMYFUNCTION("""COMPUTED_VALUE"""),3.0)</f>
        <v>3</v>
      </c>
      <c r="CB252" s="3">
        <f>IFERROR(__xludf.DUMMYFUNCTION("""COMPUTED_VALUE"""),3.0)</f>
        <v>3</v>
      </c>
    </row>
    <row r="253">
      <c r="A253" s="3" t="str">
        <f>IFERROR(__xludf.DUMMYFUNCTION("""COMPUTED_VALUE"""),"Turks and Caicos Islands")</f>
        <v>Turks and Caicos Islands</v>
      </c>
      <c r="B253" s="3" t="str">
        <f>IFERROR(__xludf.DUMMYFUNCTION("""COMPUTED_VALUE"""),"United Kingdom")</f>
        <v>United Kingdom</v>
      </c>
      <c r="C253" s="3">
        <f>IFERROR(__xludf.DUMMYFUNCTION("""COMPUTED_VALUE"""),21.694)</f>
        <v>21.694</v>
      </c>
      <c r="D253" s="3">
        <f>IFERROR(__xludf.DUMMYFUNCTION("""COMPUTED_VALUE"""),-71.7979)</f>
        <v>-71.7979</v>
      </c>
      <c r="E253" s="3">
        <f>IFERROR(__xludf.DUMMYFUNCTION("""COMPUTED_VALUE"""),0.0)</f>
        <v>0</v>
      </c>
      <c r="F253" s="3">
        <f>IFERROR(__xludf.DUMMYFUNCTION("""COMPUTED_VALUE"""),0.0)</f>
        <v>0</v>
      </c>
      <c r="G253" s="3">
        <f>IFERROR(__xludf.DUMMYFUNCTION("""COMPUTED_VALUE"""),0.0)</f>
        <v>0</v>
      </c>
      <c r="H253" s="3">
        <f>IFERROR(__xludf.DUMMYFUNCTION("""COMPUTED_VALUE"""),0.0)</f>
        <v>0</v>
      </c>
      <c r="I253" s="3">
        <f>IFERROR(__xludf.DUMMYFUNCTION("""COMPUTED_VALUE"""),0.0)</f>
        <v>0</v>
      </c>
      <c r="J253" s="3">
        <f>IFERROR(__xludf.DUMMYFUNCTION("""COMPUTED_VALUE"""),0.0)</f>
        <v>0</v>
      </c>
      <c r="K253" s="3">
        <f>IFERROR(__xludf.DUMMYFUNCTION("""COMPUTED_VALUE"""),0.0)</f>
        <v>0</v>
      </c>
      <c r="L253" s="3">
        <f>IFERROR(__xludf.DUMMYFUNCTION("""COMPUTED_VALUE"""),0.0)</f>
        <v>0</v>
      </c>
      <c r="M253" s="3">
        <f>IFERROR(__xludf.DUMMYFUNCTION("""COMPUTED_VALUE"""),0.0)</f>
        <v>0</v>
      </c>
      <c r="N253" s="3">
        <f>IFERROR(__xludf.DUMMYFUNCTION("""COMPUTED_VALUE"""),0.0)</f>
        <v>0</v>
      </c>
      <c r="O253" s="3">
        <f>IFERROR(__xludf.DUMMYFUNCTION("""COMPUTED_VALUE"""),0.0)</f>
        <v>0</v>
      </c>
      <c r="P253" s="3">
        <f>IFERROR(__xludf.DUMMYFUNCTION("""COMPUTED_VALUE"""),0.0)</f>
        <v>0</v>
      </c>
      <c r="Q253" s="3">
        <f>IFERROR(__xludf.DUMMYFUNCTION("""COMPUTED_VALUE"""),0.0)</f>
        <v>0</v>
      </c>
      <c r="R253" s="3">
        <f>IFERROR(__xludf.DUMMYFUNCTION("""COMPUTED_VALUE"""),0.0)</f>
        <v>0</v>
      </c>
      <c r="S253" s="3">
        <f>IFERROR(__xludf.DUMMYFUNCTION("""COMPUTED_VALUE"""),0.0)</f>
        <v>0</v>
      </c>
      <c r="T253" s="3">
        <f>IFERROR(__xludf.DUMMYFUNCTION("""COMPUTED_VALUE"""),0.0)</f>
        <v>0</v>
      </c>
      <c r="U253" s="3">
        <f>IFERROR(__xludf.DUMMYFUNCTION("""COMPUTED_VALUE"""),0.0)</f>
        <v>0</v>
      </c>
      <c r="V253" s="3">
        <f>IFERROR(__xludf.DUMMYFUNCTION("""COMPUTED_VALUE"""),0.0)</f>
        <v>0</v>
      </c>
      <c r="W253" s="3">
        <f>IFERROR(__xludf.DUMMYFUNCTION("""COMPUTED_VALUE"""),0.0)</f>
        <v>0</v>
      </c>
      <c r="X253" s="3">
        <f>IFERROR(__xludf.DUMMYFUNCTION("""COMPUTED_VALUE"""),0.0)</f>
        <v>0</v>
      </c>
      <c r="Y253" s="3">
        <f>IFERROR(__xludf.DUMMYFUNCTION("""COMPUTED_VALUE"""),0.0)</f>
        <v>0</v>
      </c>
      <c r="Z253" s="3">
        <f>IFERROR(__xludf.DUMMYFUNCTION("""COMPUTED_VALUE"""),0.0)</f>
        <v>0</v>
      </c>
      <c r="AA253" s="3">
        <f>IFERROR(__xludf.DUMMYFUNCTION("""COMPUTED_VALUE"""),0.0)</f>
        <v>0</v>
      </c>
      <c r="AB253" s="3">
        <f>IFERROR(__xludf.DUMMYFUNCTION("""COMPUTED_VALUE"""),0.0)</f>
        <v>0</v>
      </c>
      <c r="AC253" s="3">
        <f>IFERROR(__xludf.DUMMYFUNCTION("""COMPUTED_VALUE"""),0.0)</f>
        <v>0</v>
      </c>
      <c r="AD253" s="3">
        <f>IFERROR(__xludf.DUMMYFUNCTION("""COMPUTED_VALUE"""),0.0)</f>
        <v>0</v>
      </c>
      <c r="AE253" s="3">
        <f>IFERROR(__xludf.DUMMYFUNCTION("""COMPUTED_VALUE"""),0.0)</f>
        <v>0</v>
      </c>
      <c r="AF253" s="3">
        <f>IFERROR(__xludf.DUMMYFUNCTION("""COMPUTED_VALUE"""),0.0)</f>
        <v>0</v>
      </c>
      <c r="AG253" s="3">
        <f>IFERROR(__xludf.DUMMYFUNCTION("""COMPUTED_VALUE"""),0.0)</f>
        <v>0</v>
      </c>
      <c r="AH253" s="3">
        <f>IFERROR(__xludf.DUMMYFUNCTION("""COMPUTED_VALUE"""),0.0)</f>
        <v>0</v>
      </c>
      <c r="AI253" s="3">
        <f>IFERROR(__xludf.DUMMYFUNCTION("""COMPUTED_VALUE"""),0.0)</f>
        <v>0</v>
      </c>
      <c r="AJ253" s="3">
        <f>IFERROR(__xludf.DUMMYFUNCTION("""COMPUTED_VALUE"""),0.0)</f>
        <v>0</v>
      </c>
      <c r="AK253" s="3">
        <f>IFERROR(__xludf.DUMMYFUNCTION("""COMPUTED_VALUE"""),0.0)</f>
        <v>0</v>
      </c>
      <c r="AL253" s="3">
        <f>IFERROR(__xludf.DUMMYFUNCTION("""COMPUTED_VALUE"""),0.0)</f>
        <v>0</v>
      </c>
      <c r="AM253" s="3">
        <f>IFERROR(__xludf.DUMMYFUNCTION("""COMPUTED_VALUE"""),0.0)</f>
        <v>0</v>
      </c>
      <c r="AN253" s="3">
        <f>IFERROR(__xludf.DUMMYFUNCTION("""COMPUTED_VALUE"""),0.0)</f>
        <v>0</v>
      </c>
      <c r="AO253" s="3">
        <f>IFERROR(__xludf.DUMMYFUNCTION("""COMPUTED_VALUE"""),0.0)</f>
        <v>0</v>
      </c>
      <c r="AP253" s="3">
        <f>IFERROR(__xludf.DUMMYFUNCTION("""COMPUTED_VALUE"""),0.0)</f>
        <v>0</v>
      </c>
      <c r="AQ253" s="3">
        <f>IFERROR(__xludf.DUMMYFUNCTION("""COMPUTED_VALUE"""),0.0)</f>
        <v>0</v>
      </c>
      <c r="AR253" s="3">
        <f>IFERROR(__xludf.DUMMYFUNCTION("""COMPUTED_VALUE"""),0.0)</f>
        <v>0</v>
      </c>
      <c r="AS253" s="3">
        <f>IFERROR(__xludf.DUMMYFUNCTION("""COMPUTED_VALUE"""),0.0)</f>
        <v>0</v>
      </c>
      <c r="AT253" s="3">
        <f>IFERROR(__xludf.DUMMYFUNCTION("""COMPUTED_VALUE"""),0.0)</f>
        <v>0</v>
      </c>
      <c r="AU253" s="3">
        <f>IFERROR(__xludf.DUMMYFUNCTION("""COMPUTED_VALUE"""),0.0)</f>
        <v>0</v>
      </c>
      <c r="AV253" s="3">
        <f>IFERROR(__xludf.DUMMYFUNCTION("""COMPUTED_VALUE"""),0.0)</f>
        <v>0</v>
      </c>
      <c r="AW253" s="3">
        <f>IFERROR(__xludf.DUMMYFUNCTION("""COMPUTED_VALUE"""),0.0)</f>
        <v>0</v>
      </c>
      <c r="AX253" s="3">
        <f>IFERROR(__xludf.DUMMYFUNCTION("""COMPUTED_VALUE"""),0.0)</f>
        <v>0</v>
      </c>
      <c r="AY253" s="3">
        <f>IFERROR(__xludf.DUMMYFUNCTION("""COMPUTED_VALUE"""),0.0)</f>
        <v>0</v>
      </c>
      <c r="AZ253" s="3">
        <f>IFERROR(__xludf.DUMMYFUNCTION("""COMPUTED_VALUE"""),0.0)</f>
        <v>0</v>
      </c>
      <c r="BA253" s="3">
        <f>IFERROR(__xludf.DUMMYFUNCTION("""COMPUTED_VALUE"""),0.0)</f>
        <v>0</v>
      </c>
      <c r="BB253" s="3">
        <f>IFERROR(__xludf.DUMMYFUNCTION("""COMPUTED_VALUE"""),0.0)</f>
        <v>0</v>
      </c>
      <c r="BC253" s="3">
        <f>IFERROR(__xludf.DUMMYFUNCTION("""COMPUTED_VALUE"""),0.0)</f>
        <v>0</v>
      </c>
      <c r="BD253" s="3">
        <f>IFERROR(__xludf.DUMMYFUNCTION("""COMPUTED_VALUE"""),0.0)</f>
        <v>0</v>
      </c>
      <c r="BE253" s="3">
        <f>IFERROR(__xludf.DUMMYFUNCTION("""COMPUTED_VALUE"""),0.0)</f>
        <v>0</v>
      </c>
      <c r="BF253" s="3">
        <f>IFERROR(__xludf.DUMMYFUNCTION("""COMPUTED_VALUE"""),0.0)</f>
        <v>0</v>
      </c>
      <c r="BG253" s="3">
        <f>IFERROR(__xludf.DUMMYFUNCTION("""COMPUTED_VALUE"""),0.0)</f>
        <v>0</v>
      </c>
      <c r="BH253" s="3">
        <f>IFERROR(__xludf.DUMMYFUNCTION("""COMPUTED_VALUE"""),0.0)</f>
        <v>0</v>
      </c>
      <c r="BI253" s="3">
        <f>IFERROR(__xludf.DUMMYFUNCTION("""COMPUTED_VALUE"""),0.0)</f>
        <v>0</v>
      </c>
      <c r="BJ253" s="3">
        <f>IFERROR(__xludf.DUMMYFUNCTION("""COMPUTED_VALUE"""),0.0)</f>
        <v>0</v>
      </c>
      <c r="BK253" s="3">
        <f>IFERROR(__xludf.DUMMYFUNCTION("""COMPUTED_VALUE"""),0.0)</f>
        <v>0</v>
      </c>
      <c r="BL253" s="3">
        <f>IFERROR(__xludf.DUMMYFUNCTION("""COMPUTED_VALUE"""),0.0)</f>
        <v>0</v>
      </c>
      <c r="BM253" s="3">
        <f>IFERROR(__xludf.DUMMYFUNCTION("""COMPUTED_VALUE"""),0.0)</f>
        <v>0</v>
      </c>
      <c r="BN253" s="3">
        <f>IFERROR(__xludf.DUMMYFUNCTION("""COMPUTED_VALUE"""),0.0)</f>
        <v>0</v>
      </c>
      <c r="BO253" s="3">
        <f>IFERROR(__xludf.DUMMYFUNCTION("""COMPUTED_VALUE"""),0.0)</f>
        <v>0</v>
      </c>
      <c r="BP253" s="3">
        <f>IFERROR(__xludf.DUMMYFUNCTION("""COMPUTED_VALUE"""),0.0)</f>
        <v>0</v>
      </c>
      <c r="BQ253" s="3">
        <f>IFERROR(__xludf.DUMMYFUNCTION("""COMPUTED_VALUE"""),0.0)</f>
        <v>0</v>
      </c>
      <c r="BR253" s="3">
        <f>IFERROR(__xludf.DUMMYFUNCTION("""COMPUTED_VALUE"""),0.0)</f>
        <v>0</v>
      </c>
      <c r="BS253" s="3">
        <f>IFERROR(__xludf.DUMMYFUNCTION("""COMPUTED_VALUE"""),4.0)</f>
        <v>4</v>
      </c>
      <c r="BT253" s="3">
        <f>IFERROR(__xludf.DUMMYFUNCTION("""COMPUTED_VALUE"""),4.0)</f>
        <v>4</v>
      </c>
      <c r="BU253" s="3">
        <f>IFERROR(__xludf.DUMMYFUNCTION("""COMPUTED_VALUE"""),5.0)</f>
        <v>5</v>
      </c>
      <c r="BV253" s="3">
        <f>IFERROR(__xludf.DUMMYFUNCTION("""COMPUTED_VALUE"""),5.0)</f>
        <v>5</v>
      </c>
      <c r="BW253" s="3">
        <f>IFERROR(__xludf.DUMMYFUNCTION("""COMPUTED_VALUE"""),6.0)</f>
        <v>6</v>
      </c>
      <c r="BX253" s="3">
        <f>IFERROR(__xludf.DUMMYFUNCTION("""COMPUTED_VALUE"""),5.0)</f>
        <v>5</v>
      </c>
      <c r="BY253" s="3">
        <f>IFERROR(__xludf.DUMMYFUNCTION("""COMPUTED_VALUE"""),5.0)</f>
        <v>5</v>
      </c>
      <c r="BZ253" s="3">
        <f>IFERROR(__xludf.DUMMYFUNCTION("""COMPUTED_VALUE"""),5.0)</f>
        <v>5</v>
      </c>
      <c r="CA253" s="3">
        <f>IFERROR(__xludf.DUMMYFUNCTION("""COMPUTED_VALUE"""),5.0)</f>
        <v>5</v>
      </c>
      <c r="CB253" s="3">
        <f>IFERROR(__xludf.DUMMYFUNCTION("""COMPUTED_VALUE"""),8.0)</f>
        <v>8</v>
      </c>
    </row>
    <row r="254">
      <c r="A254" s="3" t="str">
        <f>IFERROR(__xludf.DUMMYFUNCTION("""COMPUTED_VALUE"""),"")</f>
        <v/>
      </c>
      <c r="B254" s="3" t="str">
        <f>IFERROR(__xludf.DUMMYFUNCTION("""COMPUTED_VALUE"""),"MS Zaandam")</f>
        <v>MS Zaandam</v>
      </c>
      <c r="C254" s="3">
        <f>IFERROR(__xludf.DUMMYFUNCTION("""COMPUTED_VALUE"""),0.0)</f>
        <v>0</v>
      </c>
      <c r="D254" s="3">
        <f>IFERROR(__xludf.DUMMYFUNCTION("""COMPUTED_VALUE"""),0.0)</f>
        <v>0</v>
      </c>
      <c r="E254" s="3">
        <f>IFERROR(__xludf.DUMMYFUNCTION("""COMPUTED_VALUE"""),0.0)</f>
        <v>0</v>
      </c>
      <c r="F254" s="3">
        <f>IFERROR(__xludf.DUMMYFUNCTION("""COMPUTED_VALUE"""),0.0)</f>
        <v>0</v>
      </c>
      <c r="G254" s="3">
        <f>IFERROR(__xludf.DUMMYFUNCTION("""COMPUTED_VALUE"""),0.0)</f>
        <v>0</v>
      </c>
      <c r="H254" s="3">
        <f>IFERROR(__xludf.DUMMYFUNCTION("""COMPUTED_VALUE"""),0.0)</f>
        <v>0</v>
      </c>
      <c r="I254" s="3">
        <f>IFERROR(__xludf.DUMMYFUNCTION("""COMPUTED_VALUE"""),0.0)</f>
        <v>0</v>
      </c>
      <c r="J254" s="3">
        <f>IFERROR(__xludf.DUMMYFUNCTION("""COMPUTED_VALUE"""),0.0)</f>
        <v>0</v>
      </c>
      <c r="K254" s="3">
        <f>IFERROR(__xludf.DUMMYFUNCTION("""COMPUTED_VALUE"""),0.0)</f>
        <v>0</v>
      </c>
      <c r="L254" s="3">
        <f>IFERROR(__xludf.DUMMYFUNCTION("""COMPUTED_VALUE"""),0.0)</f>
        <v>0</v>
      </c>
      <c r="M254" s="3">
        <f>IFERROR(__xludf.DUMMYFUNCTION("""COMPUTED_VALUE"""),0.0)</f>
        <v>0</v>
      </c>
      <c r="N254" s="3">
        <f>IFERROR(__xludf.DUMMYFUNCTION("""COMPUTED_VALUE"""),0.0)</f>
        <v>0</v>
      </c>
      <c r="O254" s="3">
        <f>IFERROR(__xludf.DUMMYFUNCTION("""COMPUTED_VALUE"""),0.0)</f>
        <v>0</v>
      </c>
      <c r="P254" s="3">
        <f>IFERROR(__xludf.DUMMYFUNCTION("""COMPUTED_VALUE"""),0.0)</f>
        <v>0</v>
      </c>
      <c r="Q254" s="3">
        <f>IFERROR(__xludf.DUMMYFUNCTION("""COMPUTED_VALUE"""),0.0)</f>
        <v>0</v>
      </c>
      <c r="R254" s="3">
        <f>IFERROR(__xludf.DUMMYFUNCTION("""COMPUTED_VALUE"""),0.0)</f>
        <v>0</v>
      </c>
      <c r="S254" s="3">
        <f>IFERROR(__xludf.DUMMYFUNCTION("""COMPUTED_VALUE"""),0.0)</f>
        <v>0</v>
      </c>
      <c r="T254" s="3">
        <f>IFERROR(__xludf.DUMMYFUNCTION("""COMPUTED_VALUE"""),0.0)</f>
        <v>0</v>
      </c>
      <c r="U254" s="3">
        <f>IFERROR(__xludf.DUMMYFUNCTION("""COMPUTED_VALUE"""),0.0)</f>
        <v>0</v>
      </c>
      <c r="V254" s="3">
        <f>IFERROR(__xludf.DUMMYFUNCTION("""COMPUTED_VALUE"""),0.0)</f>
        <v>0</v>
      </c>
      <c r="W254" s="3">
        <f>IFERROR(__xludf.DUMMYFUNCTION("""COMPUTED_VALUE"""),0.0)</f>
        <v>0</v>
      </c>
      <c r="X254" s="3">
        <f>IFERROR(__xludf.DUMMYFUNCTION("""COMPUTED_VALUE"""),0.0)</f>
        <v>0</v>
      </c>
      <c r="Y254" s="3">
        <f>IFERROR(__xludf.DUMMYFUNCTION("""COMPUTED_VALUE"""),0.0)</f>
        <v>0</v>
      </c>
      <c r="Z254" s="3">
        <f>IFERROR(__xludf.DUMMYFUNCTION("""COMPUTED_VALUE"""),0.0)</f>
        <v>0</v>
      </c>
      <c r="AA254" s="3">
        <f>IFERROR(__xludf.DUMMYFUNCTION("""COMPUTED_VALUE"""),0.0)</f>
        <v>0</v>
      </c>
      <c r="AB254" s="3">
        <f>IFERROR(__xludf.DUMMYFUNCTION("""COMPUTED_VALUE"""),0.0)</f>
        <v>0</v>
      </c>
      <c r="AC254" s="3">
        <f>IFERROR(__xludf.DUMMYFUNCTION("""COMPUTED_VALUE"""),0.0)</f>
        <v>0</v>
      </c>
      <c r="AD254" s="3">
        <f>IFERROR(__xludf.DUMMYFUNCTION("""COMPUTED_VALUE"""),0.0)</f>
        <v>0</v>
      </c>
      <c r="AE254" s="3">
        <f>IFERROR(__xludf.DUMMYFUNCTION("""COMPUTED_VALUE"""),0.0)</f>
        <v>0</v>
      </c>
      <c r="AF254" s="3">
        <f>IFERROR(__xludf.DUMMYFUNCTION("""COMPUTED_VALUE"""),0.0)</f>
        <v>0</v>
      </c>
      <c r="AG254" s="3">
        <f>IFERROR(__xludf.DUMMYFUNCTION("""COMPUTED_VALUE"""),0.0)</f>
        <v>0</v>
      </c>
      <c r="AH254" s="3">
        <f>IFERROR(__xludf.DUMMYFUNCTION("""COMPUTED_VALUE"""),0.0)</f>
        <v>0</v>
      </c>
      <c r="AI254" s="3">
        <f>IFERROR(__xludf.DUMMYFUNCTION("""COMPUTED_VALUE"""),0.0)</f>
        <v>0</v>
      </c>
      <c r="AJ254" s="3">
        <f>IFERROR(__xludf.DUMMYFUNCTION("""COMPUTED_VALUE"""),0.0)</f>
        <v>0</v>
      </c>
      <c r="AK254" s="3">
        <f>IFERROR(__xludf.DUMMYFUNCTION("""COMPUTED_VALUE"""),0.0)</f>
        <v>0</v>
      </c>
      <c r="AL254" s="3">
        <f>IFERROR(__xludf.DUMMYFUNCTION("""COMPUTED_VALUE"""),0.0)</f>
        <v>0</v>
      </c>
      <c r="AM254" s="3">
        <f>IFERROR(__xludf.DUMMYFUNCTION("""COMPUTED_VALUE"""),0.0)</f>
        <v>0</v>
      </c>
      <c r="AN254" s="3">
        <f>IFERROR(__xludf.DUMMYFUNCTION("""COMPUTED_VALUE"""),0.0)</f>
        <v>0</v>
      </c>
      <c r="AO254" s="3">
        <f>IFERROR(__xludf.DUMMYFUNCTION("""COMPUTED_VALUE"""),0.0)</f>
        <v>0</v>
      </c>
      <c r="AP254" s="3">
        <f>IFERROR(__xludf.DUMMYFUNCTION("""COMPUTED_VALUE"""),0.0)</f>
        <v>0</v>
      </c>
      <c r="AQ254" s="3">
        <f>IFERROR(__xludf.DUMMYFUNCTION("""COMPUTED_VALUE"""),0.0)</f>
        <v>0</v>
      </c>
      <c r="AR254" s="3">
        <f>IFERROR(__xludf.DUMMYFUNCTION("""COMPUTED_VALUE"""),0.0)</f>
        <v>0</v>
      </c>
      <c r="AS254" s="3">
        <f>IFERROR(__xludf.DUMMYFUNCTION("""COMPUTED_VALUE"""),0.0)</f>
        <v>0</v>
      </c>
      <c r="AT254" s="3">
        <f>IFERROR(__xludf.DUMMYFUNCTION("""COMPUTED_VALUE"""),0.0)</f>
        <v>0</v>
      </c>
      <c r="AU254" s="3">
        <f>IFERROR(__xludf.DUMMYFUNCTION("""COMPUTED_VALUE"""),0.0)</f>
        <v>0</v>
      </c>
      <c r="AV254" s="3">
        <f>IFERROR(__xludf.DUMMYFUNCTION("""COMPUTED_VALUE"""),0.0)</f>
        <v>0</v>
      </c>
      <c r="AW254" s="3">
        <f>IFERROR(__xludf.DUMMYFUNCTION("""COMPUTED_VALUE"""),0.0)</f>
        <v>0</v>
      </c>
      <c r="AX254" s="3">
        <f>IFERROR(__xludf.DUMMYFUNCTION("""COMPUTED_VALUE"""),0.0)</f>
        <v>0</v>
      </c>
      <c r="AY254" s="3">
        <f>IFERROR(__xludf.DUMMYFUNCTION("""COMPUTED_VALUE"""),0.0)</f>
        <v>0</v>
      </c>
      <c r="AZ254" s="3">
        <f>IFERROR(__xludf.DUMMYFUNCTION("""COMPUTED_VALUE"""),0.0)</f>
        <v>0</v>
      </c>
      <c r="BA254" s="3">
        <f>IFERROR(__xludf.DUMMYFUNCTION("""COMPUTED_VALUE"""),0.0)</f>
        <v>0</v>
      </c>
      <c r="BB254" s="3">
        <f>IFERROR(__xludf.DUMMYFUNCTION("""COMPUTED_VALUE"""),0.0)</f>
        <v>0</v>
      </c>
      <c r="BC254" s="3">
        <f>IFERROR(__xludf.DUMMYFUNCTION("""COMPUTED_VALUE"""),0.0)</f>
        <v>0</v>
      </c>
      <c r="BD254" s="3">
        <f>IFERROR(__xludf.DUMMYFUNCTION("""COMPUTED_VALUE"""),0.0)</f>
        <v>0</v>
      </c>
      <c r="BE254" s="3">
        <f>IFERROR(__xludf.DUMMYFUNCTION("""COMPUTED_VALUE"""),0.0)</f>
        <v>0</v>
      </c>
      <c r="BF254" s="3">
        <f>IFERROR(__xludf.DUMMYFUNCTION("""COMPUTED_VALUE"""),0.0)</f>
        <v>0</v>
      </c>
      <c r="BG254" s="3">
        <f>IFERROR(__xludf.DUMMYFUNCTION("""COMPUTED_VALUE"""),0.0)</f>
        <v>0</v>
      </c>
      <c r="BH254" s="3">
        <f>IFERROR(__xludf.DUMMYFUNCTION("""COMPUTED_VALUE"""),0.0)</f>
        <v>0</v>
      </c>
      <c r="BI254" s="3">
        <f>IFERROR(__xludf.DUMMYFUNCTION("""COMPUTED_VALUE"""),0.0)</f>
        <v>0</v>
      </c>
      <c r="BJ254" s="3">
        <f>IFERROR(__xludf.DUMMYFUNCTION("""COMPUTED_VALUE"""),0.0)</f>
        <v>0</v>
      </c>
      <c r="BK254" s="3">
        <f>IFERROR(__xludf.DUMMYFUNCTION("""COMPUTED_VALUE"""),0.0)</f>
        <v>0</v>
      </c>
      <c r="BL254" s="3">
        <f>IFERROR(__xludf.DUMMYFUNCTION("""COMPUTED_VALUE"""),0.0)</f>
        <v>0</v>
      </c>
      <c r="BM254" s="3">
        <f>IFERROR(__xludf.DUMMYFUNCTION("""COMPUTED_VALUE"""),0.0)</f>
        <v>0</v>
      </c>
      <c r="BN254" s="3">
        <f>IFERROR(__xludf.DUMMYFUNCTION("""COMPUTED_VALUE"""),0.0)</f>
        <v>0</v>
      </c>
      <c r="BO254" s="3">
        <f>IFERROR(__xludf.DUMMYFUNCTION("""COMPUTED_VALUE"""),0.0)</f>
        <v>0</v>
      </c>
      <c r="BP254" s="3">
        <f>IFERROR(__xludf.DUMMYFUNCTION("""COMPUTED_VALUE"""),0.0)</f>
        <v>0</v>
      </c>
      <c r="BQ254" s="3">
        <f>IFERROR(__xludf.DUMMYFUNCTION("""COMPUTED_VALUE"""),0.0)</f>
        <v>0</v>
      </c>
      <c r="BR254" s="3">
        <f>IFERROR(__xludf.DUMMYFUNCTION("""COMPUTED_VALUE"""),0.0)</f>
        <v>0</v>
      </c>
      <c r="BS254" s="3">
        <f>IFERROR(__xludf.DUMMYFUNCTION("""COMPUTED_VALUE"""),2.0)</f>
        <v>2</v>
      </c>
      <c r="BT254" s="3">
        <f>IFERROR(__xludf.DUMMYFUNCTION("""COMPUTED_VALUE"""),2.0)</f>
        <v>2</v>
      </c>
      <c r="BU254" s="3">
        <f>IFERROR(__xludf.DUMMYFUNCTION("""COMPUTED_VALUE"""),2.0)</f>
        <v>2</v>
      </c>
      <c r="BV254" s="3">
        <f>IFERROR(__xludf.DUMMYFUNCTION("""COMPUTED_VALUE"""),2.0)</f>
        <v>2</v>
      </c>
      <c r="BW254" s="3">
        <f>IFERROR(__xludf.DUMMYFUNCTION("""COMPUTED_VALUE"""),9.0)</f>
        <v>9</v>
      </c>
      <c r="BX254" s="3">
        <f>IFERROR(__xludf.DUMMYFUNCTION("""COMPUTED_VALUE"""),9.0)</f>
        <v>9</v>
      </c>
      <c r="BY254" s="3">
        <f>IFERROR(__xludf.DUMMYFUNCTION("""COMPUTED_VALUE"""),9.0)</f>
        <v>9</v>
      </c>
      <c r="BZ254" s="3">
        <f>IFERROR(__xludf.DUMMYFUNCTION("""COMPUTED_VALUE"""),9.0)</f>
        <v>9</v>
      </c>
      <c r="CA254" s="3">
        <f>IFERROR(__xludf.DUMMYFUNCTION("""COMPUTED_VALUE"""),9.0)</f>
        <v>9</v>
      </c>
      <c r="CB254" s="3">
        <f>IFERROR(__xludf.DUMMYFUNCTION("""COMPUTED_VALUE"""),9.0)</f>
        <v>9</v>
      </c>
    </row>
    <row r="255">
      <c r="A255" s="3" t="str">
        <f>IFERROR(__xludf.DUMMYFUNCTION("""COMPUTED_VALUE"""),"")</f>
        <v/>
      </c>
      <c r="B255" s="3" t="str">
        <f>IFERROR(__xludf.DUMMYFUNCTION("""COMPUTED_VALUE"""),"Botswana")</f>
        <v>Botswana</v>
      </c>
      <c r="C255" s="3">
        <f>IFERROR(__xludf.DUMMYFUNCTION("""COMPUTED_VALUE"""),-22.3285)</f>
        <v>-22.3285</v>
      </c>
      <c r="D255" s="3">
        <f>IFERROR(__xludf.DUMMYFUNCTION("""COMPUTED_VALUE"""),24.6849)</f>
        <v>24.6849</v>
      </c>
      <c r="E255" s="3">
        <f>IFERROR(__xludf.DUMMYFUNCTION("""COMPUTED_VALUE"""),0.0)</f>
        <v>0</v>
      </c>
      <c r="F255" s="3">
        <f>IFERROR(__xludf.DUMMYFUNCTION("""COMPUTED_VALUE"""),0.0)</f>
        <v>0</v>
      </c>
      <c r="G255" s="3">
        <f>IFERROR(__xludf.DUMMYFUNCTION("""COMPUTED_VALUE"""),0.0)</f>
        <v>0</v>
      </c>
      <c r="H255" s="3">
        <f>IFERROR(__xludf.DUMMYFUNCTION("""COMPUTED_VALUE"""),0.0)</f>
        <v>0</v>
      </c>
      <c r="I255" s="3">
        <f>IFERROR(__xludf.DUMMYFUNCTION("""COMPUTED_VALUE"""),0.0)</f>
        <v>0</v>
      </c>
      <c r="J255" s="3">
        <f>IFERROR(__xludf.DUMMYFUNCTION("""COMPUTED_VALUE"""),0.0)</f>
        <v>0</v>
      </c>
      <c r="K255" s="3">
        <f>IFERROR(__xludf.DUMMYFUNCTION("""COMPUTED_VALUE"""),0.0)</f>
        <v>0</v>
      </c>
      <c r="L255" s="3">
        <f>IFERROR(__xludf.DUMMYFUNCTION("""COMPUTED_VALUE"""),0.0)</f>
        <v>0</v>
      </c>
      <c r="M255" s="3">
        <f>IFERROR(__xludf.DUMMYFUNCTION("""COMPUTED_VALUE"""),0.0)</f>
        <v>0</v>
      </c>
      <c r="N255" s="3">
        <f>IFERROR(__xludf.DUMMYFUNCTION("""COMPUTED_VALUE"""),0.0)</f>
        <v>0</v>
      </c>
      <c r="O255" s="3">
        <f>IFERROR(__xludf.DUMMYFUNCTION("""COMPUTED_VALUE"""),0.0)</f>
        <v>0</v>
      </c>
      <c r="P255" s="3">
        <f>IFERROR(__xludf.DUMMYFUNCTION("""COMPUTED_VALUE"""),0.0)</f>
        <v>0</v>
      </c>
      <c r="Q255" s="3">
        <f>IFERROR(__xludf.DUMMYFUNCTION("""COMPUTED_VALUE"""),0.0)</f>
        <v>0</v>
      </c>
      <c r="R255" s="3">
        <f>IFERROR(__xludf.DUMMYFUNCTION("""COMPUTED_VALUE"""),0.0)</f>
        <v>0</v>
      </c>
      <c r="S255" s="3">
        <f>IFERROR(__xludf.DUMMYFUNCTION("""COMPUTED_VALUE"""),0.0)</f>
        <v>0</v>
      </c>
      <c r="T255" s="3">
        <f>IFERROR(__xludf.DUMMYFUNCTION("""COMPUTED_VALUE"""),0.0)</f>
        <v>0</v>
      </c>
      <c r="U255" s="3">
        <f>IFERROR(__xludf.DUMMYFUNCTION("""COMPUTED_VALUE"""),0.0)</f>
        <v>0</v>
      </c>
      <c r="V255" s="3">
        <f>IFERROR(__xludf.DUMMYFUNCTION("""COMPUTED_VALUE"""),0.0)</f>
        <v>0</v>
      </c>
      <c r="W255" s="3">
        <f>IFERROR(__xludf.DUMMYFUNCTION("""COMPUTED_VALUE"""),0.0)</f>
        <v>0</v>
      </c>
      <c r="X255" s="3">
        <f>IFERROR(__xludf.DUMMYFUNCTION("""COMPUTED_VALUE"""),0.0)</f>
        <v>0</v>
      </c>
      <c r="Y255" s="3">
        <f>IFERROR(__xludf.DUMMYFUNCTION("""COMPUTED_VALUE"""),0.0)</f>
        <v>0</v>
      </c>
      <c r="Z255" s="3">
        <f>IFERROR(__xludf.DUMMYFUNCTION("""COMPUTED_VALUE"""),0.0)</f>
        <v>0</v>
      </c>
      <c r="AA255" s="3">
        <f>IFERROR(__xludf.DUMMYFUNCTION("""COMPUTED_VALUE"""),0.0)</f>
        <v>0</v>
      </c>
      <c r="AB255" s="3">
        <f>IFERROR(__xludf.DUMMYFUNCTION("""COMPUTED_VALUE"""),0.0)</f>
        <v>0</v>
      </c>
      <c r="AC255" s="3">
        <f>IFERROR(__xludf.DUMMYFUNCTION("""COMPUTED_VALUE"""),0.0)</f>
        <v>0</v>
      </c>
      <c r="AD255" s="3">
        <f>IFERROR(__xludf.DUMMYFUNCTION("""COMPUTED_VALUE"""),0.0)</f>
        <v>0</v>
      </c>
      <c r="AE255" s="3">
        <f>IFERROR(__xludf.DUMMYFUNCTION("""COMPUTED_VALUE"""),0.0)</f>
        <v>0</v>
      </c>
      <c r="AF255" s="3">
        <f>IFERROR(__xludf.DUMMYFUNCTION("""COMPUTED_VALUE"""),0.0)</f>
        <v>0</v>
      </c>
      <c r="AG255" s="3">
        <f>IFERROR(__xludf.DUMMYFUNCTION("""COMPUTED_VALUE"""),0.0)</f>
        <v>0</v>
      </c>
      <c r="AH255" s="3">
        <f>IFERROR(__xludf.DUMMYFUNCTION("""COMPUTED_VALUE"""),0.0)</f>
        <v>0</v>
      </c>
      <c r="AI255" s="3">
        <f>IFERROR(__xludf.DUMMYFUNCTION("""COMPUTED_VALUE"""),0.0)</f>
        <v>0</v>
      </c>
      <c r="AJ255" s="3">
        <f>IFERROR(__xludf.DUMMYFUNCTION("""COMPUTED_VALUE"""),0.0)</f>
        <v>0</v>
      </c>
      <c r="AK255" s="3">
        <f>IFERROR(__xludf.DUMMYFUNCTION("""COMPUTED_VALUE"""),0.0)</f>
        <v>0</v>
      </c>
      <c r="AL255" s="3">
        <f>IFERROR(__xludf.DUMMYFUNCTION("""COMPUTED_VALUE"""),0.0)</f>
        <v>0</v>
      </c>
      <c r="AM255" s="3">
        <f>IFERROR(__xludf.DUMMYFUNCTION("""COMPUTED_VALUE"""),0.0)</f>
        <v>0</v>
      </c>
      <c r="AN255" s="3">
        <f>IFERROR(__xludf.DUMMYFUNCTION("""COMPUTED_VALUE"""),0.0)</f>
        <v>0</v>
      </c>
      <c r="AO255" s="3">
        <f>IFERROR(__xludf.DUMMYFUNCTION("""COMPUTED_VALUE"""),0.0)</f>
        <v>0</v>
      </c>
      <c r="AP255" s="3">
        <f>IFERROR(__xludf.DUMMYFUNCTION("""COMPUTED_VALUE"""),0.0)</f>
        <v>0</v>
      </c>
      <c r="AQ255" s="3">
        <f>IFERROR(__xludf.DUMMYFUNCTION("""COMPUTED_VALUE"""),0.0)</f>
        <v>0</v>
      </c>
      <c r="AR255" s="3">
        <f>IFERROR(__xludf.DUMMYFUNCTION("""COMPUTED_VALUE"""),0.0)</f>
        <v>0</v>
      </c>
      <c r="AS255" s="3">
        <f>IFERROR(__xludf.DUMMYFUNCTION("""COMPUTED_VALUE"""),0.0)</f>
        <v>0</v>
      </c>
      <c r="AT255" s="3">
        <f>IFERROR(__xludf.DUMMYFUNCTION("""COMPUTED_VALUE"""),0.0)</f>
        <v>0</v>
      </c>
      <c r="AU255" s="3">
        <f>IFERROR(__xludf.DUMMYFUNCTION("""COMPUTED_VALUE"""),0.0)</f>
        <v>0</v>
      </c>
      <c r="AV255" s="3">
        <f>IFERROR(__xludf.DUMMYFUNCTION("""COMPUTED_VALUE"""),0.0)</f>
        <v>0</v>
      </c>
      <c r="AW255" s="3">
        <f>IFERROR(__xludf.DUMMYFUNCTION("""COMPUTED_VALUE"""),0.0)</f>
        <v>0</v>
      </c>
      <c r="AX255" s="3">
        <f>IFERROR(__xludf.DUMMYFUNCTION("""COMPUTED_VALUE"""),0.0)</f>
        <v>0</v>
      </c>
      <c r="AY255" s="3">
        <f>IFERROR(__xludf.DUMMYFUNCTION("""COMPUTED_VALUE"""),0.0)</f>
        <v>0</v>
      </c>
      <c r="AZ255" s="3">
        <f>IFERROR(__xludf.DUMMYFUNCTION("""COMPUTED_VALUE"""),0.0)</f>
        <v>0</v>
      </c>
      <c r="BA255" s="3">
        <f>IFERROR(__xludf.DUMMYFUNCTION("""COMPUTED_VALUE"""),0.0)</f>
        <v>0</v>
      </c>
      <c r="BB255" s="3">
        <f>IFERROR(__xludf.DUMMYFUNCTION("""COMPUTED_VALUE"""),0.0)</f>
        <v>0</v>
      </c>
      <c r="BC255" s="3">
        <f>IFERROR(__xludf.DUMMYFUNCTION("""COMPUTED_VALUE"""),0.0)</f>
        <v>0</v>
      </c>
      <c r="BD255" s="3">
        <f>IFERROR(__xludf.DUMMYFUNCTION("""COMPUTED_VALUE"""),0.0)</f>
        <v>0</v>
      </c>
      <c r="BE255" s="3">
        <f>IFERROR(__xludf.DUMMYFUNCTION("""COMPUTED_VALUE"""),0.0)</f>
        <v>0</v>
      </c>
      <c r="BF255" s="3">
        <f>IFERROR(__xludf.DUMMYFUNCTION("""COMPUTED_VALUE"""),0.0)</f>
        <v>0</v>
      </c>
      <c r="BG255" s="3">
        <f>IFERROR(__xludf.DUMMYFUNCTION("""COMPUTED_VALUE"""),0.0)</f>
        <v>0</v>
      </c>
      <c r="BH255" s="3">
        <f>IFERROR(__xludf.DUMMYFUNCTION("""COMPUTED_VALUE"""),0.0)</f>
        <v>0</v>
      </c>
      <c r="BI255" s="3">
        <f>IFERROR(__xludf.DUMMYFUNCTION("""COMPUTED_VALUE"""),0.0)</f>
        <v>0</v>
      </c>
      <c r="BJ255" s="3">
        <f>IFERROR(__xludf.DUMMYFUNCTION("""COMPUTED_VALUE"""),0.0)</f>
        <v>0</v>
      </c>
      <c r="BK255" s="3">
        <f>IFERROR(__xludf.DUMMYFUNCTION("""COMPUTED_VALUE"""),0.0)</f>
        <v>0</v>
      </c>
      <c r="BL255" s="3">
        <f>IFERROR(__xludf.DUMMYFUNCTION("""COMPUTED_VALUE"""),0.0)</f>
        <v>0</v>
      </c>
      <c r="BM255" s="3">
        <f>IFERROR(__xludf.DUMMYFUNCTION("""COMPUTED_VALUE"""),0.0)</f>
        <v>0</v>
      </c>
      <c r="BN255" s="3">
        <f>IFERROR(__xludf.DUMMYFUNCTION("""COMPUTED_VALUE"""),0.0)</f>
        <v>0</v>
      </c>
      <c r="BO255" s="3">
        <f>IFERROR(__xludf.DUMMYFUNCTION("""COMPUTED_VALUE"""),0.0)</f>
        <v>0</v>
      </c>
      <c r="BP255" s="3">
        <f>IFERROR(__xludf.DUMMYFUNCTION("""COMPUTED_VALUE"""),0.0)</f>
        <v>0</v>
      </c>
      <c r="BQ255" s="3">
        <f>IFERROR(__xludf.DUMMYFUNCTION("""COMPUTED_VALUE"""),0.0)</f>
        <v>0</v>
      </c>
      <c r="BR255" s="3">
        <f>IFERROR(__xludf.DUMMYFUNCTION("""COMPUTED_VALUE"""),0.0)</f>
        <v>0</v>
      </c>
      <c r="BS255" s="3">
        <f>IFERROR(__xludf.DUMMYFUNCTION("""COMPUTED_VALUE"""),0.0)</f>
        <v>0</v>
      </c>
      <c r="BT255" s="3">
        <f>IFERROR(__xludf.DUMMYFUNCTION("""COMPUTED_VALUE"""),0.0)</f>
        <v>0</v>
      </c>
      <c r="BU255" s="3">
        <f>IFERROR(__xludf.DUMMYFUNCTION("""COMPUTED_VALUE"""),3.0)</f>
        <v>3</v>
      </c>
      <c r="BV255" s="3">
        <f>IFERROR(__xludf.DUMMYFUNCTION("""COMPUTED_VALUE"""),4.0)</f>
        <v>4</v>
      </c>
      <c r="BW255" s="3">
        <f>IFERROR(__xludf.DUMMYFUNCTION("""COMPUTED_VALUE"""),4.0)</f>
        <v>4</v>
      </c>
      <c r="BX255" s="3">
        <f>IFERROR(__xludf.DUMMYFUNCTION("""COMPUTED_VALUE"""),4.0)</f>
        <v>4</v>
      </c>
      <c r="BY255" s="3">
        <f>IFERROR(__xludf.DUMMYFUNCTION("""COMPUTED_VALUE"""),4.0)</f>
        <v>4</v>
      </c>
      <c r="BZ255" s="3">
        <f>IFERROR(__xludf.DUMMYFUNCTION("""COMPUTED_VALUE"""),4.0)</f>
        <v>4</v>
      </c>
      <c r="CA255" s="3">
        <f>IFERROR(__xludf.DUMMYFUNCTION("""COMPUTED_VALUE"""),6.0)</f>
        <v>6</v>
      </c>
      <c r="CB255" s="3">
        <f>IFERROR(__xludf.DUMMYFUNCTION("""COMPUTED_VALUE"""),6.0)</f>
        <v>6</v>
      </c>
    </row>
    <row r="256">
      <c r="A256" s="3" t="str">
        <f>IFERROR(__xludf.DUMMYFUNCTION("""COMPUTED_VALUE"""),"")</f>
        <v/>
      </c>
      <c r="B256" s="3" t="str">
        <f>IFERROR(__xludf.DUMMYFUNCTION("""COMPUTED_VALUE"""),"Burundi")</f>
        <v>Burundi</v>
      </c>
      <c r="C256" s="3">
        <f>IFERROR(__xludf.DUMMYFUNCTION("""COMPUTED_VALUE"""),-3.3731)</f>
        <v>-3.3731</v>
      </c>
      <c r="D256" s="3">
        <f>IFERROR(__xludf.DUMMYFUNCTION("""COMPUTED_VALUE"""),29.9189)</f>
        <v>29.9189</v>
      </c>
      <c r="E256" s="3">
        <f>IFERROR(__xludf.DUMMYFUNCTION("""COMPUTED_VALUE"""),0.0)</f>
        <v>0</v>
      </c>
      <c r="F256" s="3">
        <f>IFERROR(__xludf.DUMMYFUNCTION("""COMPUTED_VALUE"""),0.0)</f>
        <v>0</v>
      </c>
      <c r="G256" s="3">
        <f>IFERROR(__xludf.DUMMYFUNCTION("""COMPUTED_VALUE"""),0.0)</f>
        <v>0</v>
      </c>
      <c r="H256" s="3">
        <f>IFERROR(__xludf.DUMMYFUNCTION("""COMPUTED_VALUE"""),0.0)</f>
        <v>0</v>
      </c>
      <c r="I256" s="3">
        <f>IFERROR(__xludf.DUMMYFUNCTION("""COMPUTED_VALUE"""),0.0)</f>
        <v>0</v>
      </c>
      <c r="J256" s="3">
        <f>IFERROR(__xludf.DUMMYFUNCTION("""COMPUTED_VALUE"""),0.0)</f>
        <v>0</v>
      </c>
      <c r="K256" s="3">
        <f>IFERROR(__xludf.DUMMYFUNCTION("""COMPUTED_VALUE"""),0.0)</f>
        <v>0</v>
      </c>
      <c r="L256" s="3">
        <f>IFERROR(__xludf.DUMMYFUNCTION("""COMPUTED_VALUE"""),0.0)</f>
        <v>0</v>
      </c>
      <c r="M256" s="3">
        <f>IFERROR(__xludf.DUMMYFUNCTION("""COMPUTED_VALUE"""),0.0)</f>
        <v>0</v>
      </c>
      <c r="N256" s="3">
        <f>IFERROR(__xludf.DUMMYFUNCTION("""COMPUTED_VALUE"""),0.0)</f>
        <v>0</v>
      </c>
      <c r="O256" s="3">
        <f>IFERROR(__xludf.DUMMYFUNCTION("""COMPUTED_VALUE"""),0.0)</f>
        <v>0</v>
      </c>
      <c r="P256" s="3">
        <f>IFERROR(__xludf.DUMMYFUNCTION("""COMPUTED_VALUE"""),0.0)</f>
        <v>0</v>
      </c>
      <c r="Q256" s="3">
        <f>IFERROR(__xludf.DUMMYFUNCTION("""COMPUTED_VALUE"""),0.0)</f>
        <v>0</v>
      </c>
      <c r="R256" s="3">
        <f>IFERROR(__xludf.DUMMYFUNCTION("""COMPUTED_VALUE"""),0.0)</f>
        <v>0</v>
      </c>
      <c r="S256" s="3">
        <f>IFERROR(__xludf.DUMMYFUNCTION("""COMPUTED_VALUE"""),0.0)</f>
        <v>0</v>
      </c>
      <c r="T256" s="3">
        <f>IFERROR(__xludf.DUMMYFUNCTION("""COMPUTED_VALUE"""),0.0)</f>
        <v>0</v>
      </c>
      <c r="U256" s="3">
        <f>IFERROR(__xludf.DUMMYFUNCTION("""COMPUTED_VALUE"""),0.0)</f>
        <v>0</v>
      </c>
      <c r="V256" s="3">
        <f>IFERROR(__xludf.DUMMYFUNCTION("""COMPUTED_VALUE"""),0.0)</f>
        <v>0</v>
      </c>
      <c r="W256" s="3">
        <f>IFERROR(__xludf.DUMMYFUNCTION("""COMPUTED_VALUE"""),0.0)</f>
        <v>0</v>
      </c>
      <c r="X256" s="3">
        <f>IFERROR(__xludf.DUMMYFUNCTION("""COMPUTED_VALUE"""),0.0)</f>
        <v>0</v>
      </c>
      <c r="Y256" s="3">
        <f>IFERROR(__xludf.DUMMYFUNCTION("""COMPUTED_VALUE"""),0.0)</f>
        <v>0</v>
      </c>
      <c r="Z256" s="3">
        <f>IFERROR(__xludf.DUMMYFUNCTION("""COMPUTED_VALUE"""),0.0)</f>
        <v>0</v>
      </c>
      <c r="AA256" s="3">
        <f>IFERROR(__xludf.DUMMYFUNCTION("""COMPUTED_VALUE"""),0.0)</f>
        <v>0</v>
      </c>
      <c r="AB256" s="3">
        <f>IFERROR(__xludf.DUMMYFUNCTION("""COMPUTED_VALUE"""),0.0)</f>
        <v>0</v>
      </c>
      <c r="AC256" s="3">
        <f>IFERROR(__xludf.DUMMYFUNCTION("""COMPUTED_VALUE"""),0.0)</f>
        <v>0</v>
      </c>
      <c r="AD256" s="3">
        <f>IFERROR(__xludf.DUMMYFUNCTION("""COMPUTED_VALUE"""),0.0)</f>
        <v>0</v>
      </c>
      <c r="AE256" s="3">
        <f>IFERROR(__xludf.DUMMYFUNCTION("""COMPUTED_VALUE"""),0.0)</f>
        <v>0</v>
      </c>
      <c r="AF256" s="3">
        <f>IFERROR(__xludf.DUMMYFUNCTION("""COMPUTED_VALUE"""),0.0)</f>
        <v>0</v>
      </c>
      <c r="AG256" s="3">
        <f>IFERROR(__xludf.DUMMYFUNCTION("""COMPUTED_VALUE"""),0.0)</f>
        <v>0</v>
      </c>
      <c r="AH256" s="3">
        <f>IFERROR(__xludf.DUMMYFUNCTION("""COMPUTED_VALUE"""),0.0)</f>
        <v>0</v>
      </c>
      <c r="AI256" s="3">
        <f>IFERROR(__xludf.DUMMYFUNCTION("""COMPUTED_VALUE"""),0.0)</f>
        <v>0</v>
      </c>
      <c r="AJ256" s="3">
        <f>IFERROR(__xludf.DUMMYFUNCTION("""COMPUTED_VALUE"""),0.0)</f>
        <v>0</v>
      </c>
      <c r="AK256" s="3">
        <f>IFERROR(__xludf.DUMMYFUNCTION("""COMPUTED_VALUE"""),0.0)</f>
        <v>0</v>
      </c>
      <c r="AL256" s="3">
        <f>IFERROR(__xludf.DUMMYFUNCTION("""COMPUTED_VALUE"""),0.0)</f>
        <v>0</v>
      </c>
      <c r="AM256" s="3">
        <f>IFERROR(__xludf.DUMMYFUNCTION("""COMPUTED_VALUE"""),0.0)</f>
        <v>0</v>
      </c>
      <c r="AN256" s="3">
        <f>IFERROR(__xludf.DUMMYFUNCTION("""COMPUTED_VALUE"""),0.0)</f>
        <v>0</v>
      </c>
      <c r="AO256" s="3">
        <f>IFERROR(__xludf.DUMMYFUNCTION("""COMPUTED_VALUE"""),0.0)</f>
        <v>0</v>
      </c>
      <c r="AP256" s="3">
        <f>IFERROR(__xludf.DUMMYFUNCTION("""COMPUTED_VALUE"""),0.0)</f>
        <v>0</v>
      </c>
      <c r="AQ256" s="3">
        <f>IFERROR(__xludf.DUMMYFUNCTION("""COMPUTED_VALUE"""),0.0)</f>
        <v>0</v>
      </c>
      <c r="AR256" s="3">
        <f>IFERROR(__xludf.DUMMYFUNCTION("""COMPUTED_VALUE"""),0.0)</f>
        <v>0</v>
      </c>
      <c r="AS256" s="3">
        <f>IFERROR(__xludf.DUMMYFUNCTION("""COMPUTED_VALUE"""),0.0)</f>
        <v>0</v>
      </c>
      <c r="AT256" s="3">
        <f>IFERROR(__xludf.DUMMYFUNCTION("""COMPUTED_VALUE"""),0.0)</f>
        <v>0</v>
      </c>
      <c r="AU256" s="3">
        <f>IFERROR(__xludf.DUMMYFUNCTION("""COMPUTED_VALUE"""),0.0)</f>
        <v>0</v>
      </c>
      <c r="AV256" s="3">
        <f>IFERROR(__xludf.DUMMYFUNCTION("""COMPUTED_VALUE"""),0.0)</f>
        <v>0</v>
      </c>
      <c r="AW256" s="3">
        <f>IFERROR(__xludf.DUMMYFUNCTION("""COMPUTED_VALUE"""),0.0)</f>
        <v>0</v>
      </c>
      <c r="AX256" s="3">
        <f>IFERROR(__xludf.DUMMYFUNCTION("""COMPUTED_VALUE"""),0.0)</f>
        <v>0</v>
      </c>
      <c r="AY256" s="3">
        <f>IFERROR(__xludf.DUMMYFUNCTION("""COMPUTED_VALUE"""),0.0)</f>
        <v>0</v>
      </c>
      <c r="AZ256" s="3">
        <f>IFERROR(__xludf.DUMMYFUNCTION("""COMPUTED_VALUE"""),0.0)</f>
        <v>0</v>
      </c>
      <c r="BA256" s="3">
        <f>IFERROR(__xludf.DUMMYFUNCTION("""COMPUTED_VALUE"""),0.0)</f>
        <v>0</v>
      </c>
      <c r="BB256" s="3">
        <f>IFERROR(__xludf.DUMMYFUNCTION("""COMPUTED_VALUE"""),0.0)</f>
        <v>0</v>
      </c>
      <c r="BC256" s="3">
        <f>IFERROR(__xludf.DUMMYFUNCTION("""COMPUTED_VALUE"""),0.0)</f>
        <v>0</v>
      </c>
      <c r="BD256" s="3">
        <f>IFERROR(__xludf.DUMMYFUNCTION("""COMPUTED_VALUE"""),0.0)</f>
        <v>0</v>
      </c>
      <c r="BE256" s="3">
        <f>IFERROR(__xludf.DUMMYFUNCTION("""COMPUTED_VALUE"""),0.0)</f>
        <v>0</v>
      </c>
      <c r="BF256" s="3">
        <f>IFERROR(__xludf.DUMMYFUNCTION("""COMPUTED_VALUE"""),0.0)</f>
        <v>0</v>
      </c>
      <c r="BG256" s="3">
        <f>IFERROR(__xludf.DUMMYFUNCTION("""COMPUTED_VALUE"""),0.0)</f>
        <v>0</v>
      </c>
      <c r="BH256" s="3">
        <f>IFERROR(__xludf.DUMMYFUNCTION("""COMPUTED_VALUE"""),0.0)</f>
        <v>0</v>
      </c>
      <c r="BI256" s="3">
        <f>IFERROR(__xludf.DUMMYFUNCTION("""COMPUTED_VALUE"""),0.0)</f>
        <v>0</v>
      </c>
      <c r="BJ256" s="3">
        <f>IFERROR(__xludf.DUMMYFUNCTION("""COMPUTED_VALUE"""),0.0)</f>
        <v>0</v>
      </c>
      <c r="BK256" s="3">
        <f>IFERROR(__xludf.DUMMYFUNCTION("""COMPUTED_VALUE"""),0.0)</f>
        <v>0</v>
      </c>
      <c r="BL256" s="3">
        <f>IFERROR(__xludf.DUMMYFUNCTION("""COMPUTED_VALUE"""),0.0)</f>
        <v>0</v>
      </c>
      <c r="BM256" s="3">
        <f>IFERROR(__xludf.DUMMYFUNCTION("""COMPUTED_VALUE"""),0.0)</f>
        <v>0</v>
      </c>
      <c r="BN256" s="3">
        <f>IFERROR(__xludf.DUMMYFUNCTION("""COMPUTED_VALUE"""),0.0)</f>
        <v>0</v>
      </c>
      <c r="BO256" s="3">
        <f>IFERROR(__xludf.DUMMYFUNCTION("""COMPUTED_VALUE"""),0.0)</f>
        <v>0</v>
      </c>
      <c r="BP256" s="3">
        <f>IFERROR(__xludf.DUMMYFUNCTION("""COMPUTED_VALUE"""),0.0)</f>
        <v>0</v>
      </c>
      <c r="BQ256" s="3">
        <f>IFERROR(__xludf.DUMMYFUNCTION("""COMPUTED_VALUE"""),0.0)</f>
        <v>0</v>
      </c>
      <c r="BR256" s="3">
        <f>IFERROR(__xludf.DUMMYFUNCTION("""COMPUTED_VALUE"""),0.0)</f>
        <v>0</v>
      </c>
      <c r="BS256" s="3">
        <f>IFERROR(__xludf.DUMMYFUNCTION("""COMPUTED_VALUE"""),0.0)</f>
        <v>0</v>
      </c>
      <c r="BT256" s="3">
        <f>IFERROR(__xludf.DUMMYFUNCTION("""COMPUTED_VALUE"""),0.0)</f>
        <v>0</v>
      </c>
      <c r="BU256" s="3">
        <f>IFERROR(__xludf.DUMMYFUNCTION("""COMPUTED_VALUE"""),0.0)</f>
        <v>0</v>
      </c>
      <c r="BV256" s="3">
        <f>IFERROR(__xludf.DUMMYFUNCTION("""COMPUTED_VALUE"""),2.0)</f>
        <v>2</v>
      </c>
      <c r="BW256" s="3">
        <f>IFERROR(__xludf.DUMMYFUNCTION("""COMPUTED_VALUE"""),2.0)</f>
        <v>2</v>
      </c>
      <c r="BX256" s="3">
        <f>IFERROR(__xludf.DUMMYFUNCTION("""COMPUTED_VALUE"""),3.0)</f>
        <v>3</v>
      </c>
      <c r="BY256" s="3">
        <f>IFERROR(__xludf.DUMMYFUNCTION("""COMPUTED_VALUE"""),3.0)</f>
        <v>3</v>
      </c>
      <c r="BZ256" s="3">
        <f>IFERROR(__xludf.DUMMYFUNCTION("""COMPUTED_VALUE"""),3.0)</f>
        <v>3</v>
      </c>
      <c r="CA256" s="3">
        <f>IFERROR(__xludf.DUMMYFUNCTION("""COMPUTED_VALUE"""),3.0)</f>
        <v>3</v>
      </c>
      <c r="CB256" s="3">
        <f>IFERROR(__xludf.DUMMYFUNCTION("""COMPUTED_VALUE"""),3.0)</f>
        <v>3</v>
      </c>
    </row>
    <row r="257">
      <c r="A257" s="3" t="str">
        <f>IFERROR(__xludf.DUMMYFUNCTION("""COMPUTED_VALUE"""),"")</f>
        <v/>
      </c>
      <c r="B257" s="3" t="str">
        <f>IFERROR(__xludf.DUMMYFUNCTION("""COMPUTED_VALUE"""),"Sierra Leone")</f>
        <v>Sierra Leone</v>
      </c>
      <c r="C257" s="3">
        <f>IFERROR(__xludf.DUMMYFUNCTION("""COMPUTED_VALUE"""),8.460555)</f>
        <v>8.460555</v>
      </c>
      <c r="D257" s="3">
        <f>IFERROR(__xludf.DUMMYFUNCTION("""COMPUTED_VALUE"""),-11.779889)</f>
        <v>-11.779889</v>
      </c>
      <c r="E257" s="3">
        <f>IFERROR(__xludf.DUMMYFUNCTION("""COMPUTED_VALUE"""),0.0)</f>
        <v>0</v>
      </c>
      <c r="F257" s="3">
        <f>IFERROR(__xludf.DUMMYFUNCTION("""COMPUTED_VALUE"""),0.0)</f>
        <v>0</v>
      </c>
      <c r="G257" s="3">
        <f>IFERROR(__xludf.DUMMYFUNCTION("""COMPUTED_VALUE"""),0.0)</f>
        <v>0</v>
      </c>
      <c r="H257" s="3">
        <f>IFERROR(__xludf.DUMMYFUNCTION("""COMPUTED_VALUE"""),0.0)</f>
        <v>0</v>
      </c>
      <c r="I257" s="3">
        <f>IFERROR(__xludf.DUMMYFUNCTION("""COMPUTED_VALUE"""),0.0)</f>
        <v>0</v>
      </c>
      <c r="J257" s="3">
        <f>IFERROR(__xludf.DUMMYFUNCTION("""COMPUTED_VALUE"""),0.0)</f>
        <v>0</v>
      </c>
      <c r="K257" s="3">
        <f>IFERROR(__xludf.DUMMYFUNCTION("""COMPUTED_VALUE"""),0.0)</f>
        <v>0</v>
      </c>
      <c r="L257" s="3">
        <f>IFERROR(__xludf.DUMMYFUNCTION("""COMPUTED_VALUE"""),0.0)</f>
        <v>0</v>
      </c>
      <c r="M257" s="3">
        <f>IFERROR(__xludf.DUMMYFUNCTION("""COMPUTED_VALUE"""),0.0)</f>
        <v>0</v>
      </c>
      <c r="N257" s="3">
        <f>IFERROR(__xludf.DUMMYFUNCTION("""COMPUTED_VALUE"""),0.0)</f>
        <v>0</v>
      </c>
      <c r="O257" s="3">
        <f>IFERROR(__xludf.DUMMYFUNCTION("""COMPUTED_VALUE"""),0.0)</f>
        <v>0</v>
      </c>
      <c r="P257" s="3">
        <f>IFERROR(__xludf.DUMMYFUNCTION("""COMPUTED_VALUE"""),0.0)</f>
        <v>0</v>
      </c>
      <c r="Q257" s="3">
        <f>IFERROR(__xludf.DUMMYFUNCTION("""COMPUTED_VALUE"""),0.0)</f>
        <v>0</v>
      </c>
      <c r="R257" s="3">
        <f>IFERROR(__xludf.DUMMYFUNCTION("""COMPUTED_VALUE"""),0.0)</f>
        <v>0</v>
      </c>
      <c r="S257" s="3">
        <f>IFERROR(__xludf.DUMMYFUNCTION("""COMPUTED_VALUE"""),0.0)</f>
        <v>0</v>
      </c>
      <c r="T257" s="3">
        <f>IFERROR(__xludf.DUMMYFUNCTION("""COMPUTED_VALUE"""),0.0)</f>
        <v>0</v>
      </c>
      <c r="U257" s="3">
        <f>IFERROR(__xludf.DUMMYFUNCTION("""COMPUTED_VALUE"""),0.0)</f>
        <v>0</v>
      </c>
      <c r="V257" s="3">
        <f>IFERROR(__xludf.DUMMYFUNCTION("""COMPUTED_VALUE"""),0.0)</f>
        <v>0</v>
      </c>
      <c r="W257" s="3">
        <f>IFERROR(__xludf.DUMMYFUNCTION("""COMPUTED_VALUE"""),0.0)</f>
        <v>0</v>
      </c>
      <c r="X257" s="3">
        <f>IFERROR(__xludf.DUMMYFUNCTION("""COMPUTED_VALUE"""),0.0)</f>
        <v>0</v>
      </c>
      <c r="Y257" s="3">
        <f>IFERROR(__xludf.DUMMYFUNCTION("""COMPUTED_VALUE"""),0.0)</f>
        <v>0</v>
      </c>
      <c r="Z257" s="3">
        <f>IFERROR(__xludf.DUMMYFUNCTION("""COMPUTED_VALUE"""),0.0)</f>
        <v>0</v>
      </c>
      <c r="AA257" s="3">
        <f>IFERROR(__xludf.DUMMYFUNCTION("""COMPUTED_VALUE"""),0.0)</f>
        <v>0</v>
      </c>
      <c r="AB257" s="3">
        <f>IFERROR(__xludf.DUMMYFUNCTION("""COMPUTED_VALUE"""),0.0)</f>
        <v>0</v>
      </c>
      <c r="AC257" s="3">
        <f>IFERROR(__xludf.DUMMYFUNCTION("""COMPUTED_VALUE"""),0.0)</f>
        <v>0</v>
      </c>
      <c r="AD257" s="3">
        <f>IFERROR(__xludf.DUMMYFUNCTION("""COMPUTED_VALUE"""),0.0)</f>
        <v>0</v>
      </c>
      <c r="AE257" s="3">
        <f>IFERROR(__xludf.DUMMYFUNCTION("""COMPUTED_VALUE"""),0.0)</f>
        <v>0</v>
      </c>
      <c r="AF257" s="3">
        <f>IFERROR(__xludf.DUMMYFUNCTION("""COMPUTED_VALUE"""),0.0)</f>
        <v>0</v>
      </c>
      <c r="AG257" s="3">
        <f>IFERROR(__xludf.DUMMYFUNCTION("""COMPUTED_VALUE"""),0.0)</f>
        <v>0</v>
      </c>
      <c r="AH257" s="3">
        <f>IFERROR(__xludf.DUMMYFUNCTION("""COMPUTED_VALUE"""),0.0)</f>
        <v>0</v>
      </c>
      <c r="AI257" s="3">
        <f>IFERROR(__xludf.DUMMYFUNCTION("""COMPUTED_VALUE"""),0.0)</f>
        <v>0</v>
      </c>
      <c r="AJ257" s="3">
        <f>IFERROR(__xludf.DUMMYFUNCTION("""COMPUTED_VALUE"""),0.0)</f>
        <v>0</v>
      </c>
      <c r="AK257" s="3">
        <f>IFERROR(__xludf.DUMMYFUNCTION("""COMPUTED_VALUE"""),0.0)</f>
        <v>0</v>
      </c>
      <c r="AL257" s="3">
        <f>IFERROR(__xludf.DUMMYFUNCTION("""COMPUTED_VALUE"""),0.0)</f>
        <v>0</v>
      </c>
      <c r="AM257" s="3">
        <f>IFERROR(__xludf.DUMMYFUNCTION("""COMPUTED_VALUE"""),0.0)</f>
        <v>0</v>
      </c>
      <c r="AN257" s="3">
        <f>IFERROR(__xludf.DUMMYFUNCTION("""COMPUTED_VALUE"""),0.0)</f>
        <v>0</v>
      </c>
      <c r="AO257" s="3">
        <f>IFERROR(__xludf.DUMMYFUNCTION("""COMPUTED_VALUE"""),0.0)</f>
        <v>0</v>
      </c>
      <c r="AP257" s="3">
        <f>IFERROR(__xludf.DUMMYFUNCTION("""COMPUTED_VALUE"""),0.0)</f>
        <v>0</v>
      </c>
      <c r="AQ257" s="3">
        <f>IFERROR(__xludf.DUMMYFUNCTION("""COMPUTED_VALUE"""),0.0)</f>
        <v>0</v>
      </c>
      <c r="AR257" s="3">
        <f>IFERROR(__xludf.DUMMYFUNCTION("""COMPUTED_VALUE"""),0.0)</f>
        <v>0</v>
      </c>
      <c r="AS257" s="3">
        <f>IFERROR(__xludf.DUMMYFUNCTION("""COMPUTED_VALUE"""),0.0)</f>
        <v>0</v>
      </c>
      <c r="AT257" s="3">
        <f>IFERROR(__xludf.DUMMYFUNCTION("""COMPUTED_VALUE"""),0.0)</f>
        <v>0</v>
      </c>
      <c r="AU257" s="3">
        <f>IFERROR(__xludf.DUMMYFUNCTION("""COMPUTED_VALUE"""),0.0)</f>
        <v>0</v>
      </c>
      <c r="AV257" s="3">
        <f>IFERROR(__xludf.DUMMYFUNCTION("""COMPUTED_VALUE"""),0.0)</f>
        <v>0</v>
      </c>
      <c r="AW257" s="3">
        <f>IFERROR(__xludf.DUMMYFUNCTION("""COMPUTED_VALUE"""),0.0)</f>
        <v>0</v>
      </c>
      <c r="AX257" s="3">
        <f>IFERROR(__xludf.DUMMYFUNCTION("""COMPUTED_VALUE"""),0.0)</f>
        <v>0</v>
      </c>
      <c r="AY257" s="3">
        <f>IFERROR(__xludf.DUMMYFUNCTION("""COMPUTED_VALUE"""),0.0)</f>
        <v>0</v>
      </c>
      <c r="AZ257" s="3">
        <f>IFERROR(__xludf.DUMMYFUNCTION("""COMPUTED_VALUE"""),0.0)</f>
        <v>0</v>
      </c>
      <c r="BA257" s="3">
        <f>IFERROR(__xludf.DUMMYFUNCTION("""COMPUTED_VALUE"""),0.0)</f>
        <v>0</v>
      </c>
      <c r="BB257" s="3">
        <f>IFERROR(__xludf.DUMMYFUNCTION("""COMPUTED_VALUE"""),0.0)</f>
        <v>0</v>
      </c>
      <c r="BC257" s="3">
        <f>IFERROR(__xludf.DUMMYFUNCTION("""COMPUTED_VALUE"""),0.0)</f>
        <v>0</v>
      </c>
      <c r="BD257" s="3">
        <f>IFERROR(__xludf.DUMMYFUNCTION("""COMPUTED_VALUE"""),0.0)</f>
        <v>0</v>
      </c>
      <c r="BE257" s="3">
        <f>IFERROR(__xludf.DUMMYFUNCTION("""COMPUTED_VALUE"""),0.0)</f>
        <v>0</v>
      </c>
      <c r="BF257" s="3">
        <f>IFERROR(__xludf.DUMMYFUNCTION("""COMPUTED_VALUE"""),0.0)</f>
        <v>0</v>
      </c>
      <c r="BG257" s="3">
        <f>IFERROR(__xludf.DUMMYFUNCTION("""COMPUTED_VALUE"""),0.0)</f>
        <v>0</v>
      </c>
      <c r="BH257" s="3">
        <f>IFERROR(__xludf.DUMMYFUNCTION("""COMPUTED_VALUE"""),0.0)</f>
        <v>0</v>
      </c>
      <c r="BI257" s="3">
        <f>IFERROR(__xludf.DUMMYFUNCTION("""COMPUTED_VALUE"""),0.0)</f>
        <v>0</v>
      </c>
      <c r="BJ257" s="3">
        <f>IFERROR(__xludf.DUMMYFUNCTION("""COMPUTED_VALUE"""),0.0)</f>
        <v>0</v>
      </c>
      <c r="BK257" s="3">
        <f>IFERROR(__xludf.DUMMYFUNCTION("""COMPUTED_VALUE"""),0.0)</f>
        <v>0</v>
      </c>
      <c r="BL257" s="3">
        <f>IFERROR(__xludf.DUMMYFUNCTION("""COMPUTED_VALUE"""),0.0)</f>
        <v>0</v>
      </c>
      <c r="BM257" s="3">
        <f>IFERROR(__xludf.DUMMYFUNCTION("""COMPUTED_VALUE"""),0.0)</f>
        <v>0</v>
      </c>
      <c r="BN257" s="3">
        <f>IFERROR(__xludf.DUMMYFUNCTION("""COMPUTED_VALUE"""),0.0)</f>
        <v>0</v>
      </c>
      <c r="BO257" s="3">
        <f>IFERROR(__xludf.DUMMYFUNCTION("""COMPUTED_VALUE"""),0.0)</f>
        <v>0</v>
      </c>
      <c r="BP257" s="3">
        <f>IFERROR(__xludf.DUMMYFUNCTION("""COMPUTED_VALUE"""),0.0)</f>
        <v>0</v>
      </c>
      <c r="BQ257" s="3">
        <f>IFERROR(__xludf.DUMMYFUNCTION("""COMPUTED_VALUE"""),0.0)</f>
        <v>0</v>
      </c>
      <c r="BR257" s="3">
        <f>IFERROR(__xludf.DUMMYFUNCTION("""COMPUTED_VALUE"""),0.0)</f>
        <v>0</v>
      </c>
      <c r="BS257" s="3">
        <f>IFERROR(__xludf.DUMMYFUNCTION("""COMPUTED_VALUE"""),0.0)</f>
        <v>0</v>
      </c>
      <c r="BT257" s="3">
        <f>IFERROR(__xludf.DUMMYFUNCTION("""COMPUTED_VALUE"""),0.0)</f>
        <v>0</v>
      </c>
      <c r="BU257" s="3">
        <f>IFERROR(__xludf.DUMMYFUNCTION("""COMPUTED_VALUE"""),0.0)</f>
        <v>0</v>
      </c>
      <c r="BV257" s="3">
        <f>IFERROR(__xludf.DUMMYFUNCTION("""COMPUTED_VALUE"""),1.0)</f>
        <v>1</v>
      </c>
      <c r="BW257" s="3">
        <f>IFERROR(__xludf.DUMMYFUNCTION("""COMPUTED_VALUE"""),2.0)</f>
        <v>2</v>
      </c>
      <c r="BX257" s="3">
        <f>IFERROR(__xludf.DUMMYFUNCTION("""COMPUTED_VALUE"""),2.0)</f>
        <v>2</v>
      </c>
      <c r="BY257" s="3">
        <f>IFERROR(__xludf.DUMMYFUNCTION("""COMPUTED_VALUE"""),2.0)</f>
        <v>2</v>
      </c>
      <c r="BZ257" s="3">
        <f>IFERROR(__xludf.DUMMYFUNCTION("""COMPUTED_VALUE"""),4.0)</f>
        <v>4</v>
      </c>
      <c r="CA257" s="3">
        <f>IFERROR(__xludf.DUMMYFUNCTION("""COMPUTED_VALUE"""),6.0)</f>
        <v>6</v>
      </c>
      <c r="CB257" s="3">
        <f>IFERROR(__xludf.DUMMYFUNCTION("""COMPUTED_VALUE"""),6.0)</f>
        <v>6</v>
      </c>
    </row>
    <row r="258">
      <c r="A258" s="3" t="str">
        <f>IFERROR(__xludf.DUMMYFUNCTION("""COMPUTED_VALUE"""),"Bonaire, Sint Eustatius and Saba")</f>
        <v>Bonaire, Sint Eustatius and Saba</v>
      </c>
      <c r="B258" s="3" t="str">
        <f>IFERROR(__xludf.DUMMYFUNCTION("""COMPUTED_VALUE"""),"Netherlands")</f>
        <v>Netherlands</v>
      </c>
      <c r="C258" s="3">
        <f>IFERROR(__xludf.DUMMYFUNCTION("""COMPUTED_VALUE"""),12.1784)</f>
        <v>12.1784</v>
      </c>
      <c r="D258" s="3">
        <f>IFERROR(__xludf.DUMMYFUNCTION("""COMPUTED_VALUE"""),-68.2385)</f>
        <v>-68.2385</v>
      </c>
      <c r="E258" s="3">
        <f>IFERROR(__xludf.DUMMYFUNCTION("""COMPUTED_VALUE"""),0.0)</f>
        <v>0</v>
      </c>
      <c r="F258" s="3">
        <f>IFERROR(__xludf.DUMMYFUNCTION("""COMPUTED_VALUE"""),0.0)</f>
        <v>0</v>
      </c>
      <c r="G258" s="3">
        <f>IFERROR(__xludf.DUMMYFUNCTION("""COMPUTED_VALUE"""),0.0)</f>
        <v>0</v>
      </c>
      <c r="H258" s="3">
        <f>IFERROR(__xludf.DUMMYFUNCTION("""COMPUTED_VALUE"""),0.0)</f>
        <v>0</v>
      </c>
      <c r="I258" s="3">
        <f>IFERROR(__xludf.DUMMYFUNCTION("""COMPUTED_VALUE"""),0.0)</f>
        <v>0</v>
      </c>
      <c r="J258" s="3">
        <f>IFERROR(__xludf.DUMMYFUNCTION("""COMPUTED_VALUE"""),0.0)</f>
        <v>0</v>
      </c>
      <c r="K258" s="3">
        <f>IFERROR(__xludf.DUMMYFUNCTION("""COMPUTED_VALUE"""),0.0)</f>
        <v>0</v>
      </c>
      <c r="L258" s="3">
        <f>IFERROR(__xludf.DUMMYFUNCTION("""COMPUTED_VALUE"""),0.0)</f>
        <v>0</v>
      </c>
      <c r="M258" s="3">
        <f>IFERROR(__xludf.DUMMYFUNCTION("""COMPUTED_VALUE"""),0.0)</f>
        <v>0</v>
      </c>
      <c r="N258" s="3">
        <f>IFERROR(__xludf.DUMMYFUNCTION("""COMPUTED_VALUE"""),0.0)</f>
        <v>0</v>
      </c>
      <c r="O258" s="3">
        <f>IFERROR(__xludf.DUMMYFUNCTION("""COMPUTED_VALUE"""),0.0)</f>
        <v>0</v>
      </c>
      <c r="P258" s="3">
        <f>IFERROR(__xludf.DUMMYFUNCTION("""COMPUTED_VALUE"""),0.0)</f>
        <v>0</v>
      </c>
      <c r="Q258" s="3">
        <f>IFERROR(__xludf.DUMMYFUNCTION("""COMPUTED_VALUE"""),0.0)</f>
        <v>0</v>
      </c>
      <c r="R258" s="3">
        <f>IFERROR(__xludf.DUMMYFUNCTION("""COMPUTED_VALUE"""),0.0)</f>
        <v>0</v>
      </c>
      <c r="S258" s="3">
        <f>IFERROR(__xludf.DUMMYFUNCTION("""COMPUTED_VALUE"""),0.0)</f>
        <v>0</v>
      </c>
      <c r="T258" s="3">
        <f>IFERROR(__xludf.DUMMYFUNCTION("""COMPUTED_VALUE"""),0.0)</f>
        <v>0</v>
      </c>
      <c r="U258" s="3">
        <f>IFERROR(__xludf.DUMMYFUNCTION("""COMPUTED_VALUE"""),0.0)</f>
        <v>0</v>
      </c>
      <c r="V258" s="3">
        <f>IFERROR(__xludf.DUMMYFUNCTION("""COMPUTED_VALUE"""),0.0)</f>
        <v>0</v>
      </c>
      <c r="W258" s="3">
        <f>IFERROR(__xludf.DUMMYFUNCTION("""COMPUTED_VALUE"""),0.0)</f>
        <v>0</v>
      </c>
      <c r="X258" s="3">
        <f>IFERROR(__xludf.DUMMYFUNCTION("""COMPUTED_VALUE"""),0.0)</f>
        <v>0</v>
      </c>
      <c r="Y258" s="3">
        <f>IFERROR(__xludf.DUMMYFUNCTION("""COMPUTED_VALUE"""),0.0)</f>
        <v>0</v>
      </c>
      <c r="Z258" s="3">
        <f>IFERROR(__xludf.DUMMYFUNCTION("""COMPUTED_VALUE"""),0.0)</f>
        <v>0</v>
      </c>
      <c r="AA258" s="3">
        <f>IFERROR(__xludf.DUMMYFUNCTION("""COMPUTED_VALUE"""),0.0)</f>
        <v>0</v>
      </c>
      <c r="AB258" s="3">
        <f>IFERROR(__xludf.DUMMYFUNCTION("""COMPUTED_VALUE"""),0.0)</f>
        <v>0</v>
      </c>
      <c r="AC258" s="3">
        <f>IFERROR(__xludf.DUMMYFUNCTION("""COMPUTED_VALUE"""),0.0)</f>
        <v>0</v>
      </c>
      <c r="AD258" s="3">
        <f>IFERROR(__xludf.DUMMYFUNCTION("""COMPUTED_VALUE"""),0.0)</f>
        <v>0</v>
      </c>
      <c r="AE258" s="3">
        <f>IFERROR(__xludf.DUMMYFUNCTION("""COMPUTED_VALUE"""),0.0)</f>
        <v>0</v>
      </c>
      <c r="AF258" s="3">
        <f>IFERROR(__xludf.DUMMYFUNCTION("""COMPUTED_VALUE"""),0.0)</f>
        <v>0</v>
      </c>
      <c r="AG258" s="3">
        <f>IFERROR(__xludf.DUMMYFUNCTION("""COMPUTED_VALUE"""),0.0)</f>
        <v>0</v>
      </c>
      <c r="AH258" s="3">
        <f>IFERROR(__xludf.DUMMYFUNCTION("""COMPUTED_VALUE"""),0.0)</f>
        <v>0</v>
      </c>
      <c r="AI258" s="3">
        <f>IFERROR(__xludf.DUMMYFUNCTION("""COMPUTED_VALUE"""),0.0)</f>
        <v>0</v>
      </c>
      <c r="AJ258" s="3">
        <f>IFERROR(__xludf.DUMMYFUNCTION("""COMPUTED_VALUE"""),0.0)</f>
        <v>0</v>
      </c>
      <c r="AK258" s="3">
        <f>IFERROR(__xludf.DUMMYFUNCTION("""COMPUTED_VALUE"""),0.0)</f>
        <v>0</v>
      </c>
      <c r="AL258" s="3">
        <f>IFERROR(__xludf.DUMMYFUNCTION("""COMPUTED_VALUE"""),0.0)</f>
        <v>0</v>
      </c>
      <c r="AM258" s="3">
        <f>IFERROR(__xludf.DUMMYFUNCTION("""COMPUTED_VALUE"""),0.0)</f>
        <v>0</v>
      </c>
      <c r="AN258" s="3">
        <f>IFERROR(__xludf.DUMMYFUNCTION("""COMPUTED_VALUE"""),0.0)</f>
        <v>0</v>
      </c>
      <c r="AO258" s="3">
        <f>IFERROR(__xludf.DUMMYFUNCTION("""COMPUTED_VALUE"""),0.0)</f>
        <v>0</v>
      </c>
      <c r="AP258" s="3">
        <f>IFERROR(__xludf.DUMMYFUNCTION("""COMPUTED_VALUE"""),0.0)</f>
        <v>0</v>
      </c>
      <c r="AQ258" s="3">
        <f>IFERROR(__xludf.DUMMYFUNCTION("""COMPUTED_VALUE"""),0.0)</f>
        <v>0</v>
      </c>
      <c r="AR258" s="3">
        <f>IFERROR(__xludf.DUMMYFUNCTION("""COMPUTED_VALUE"""),0.0)</f>
        <v>0</v>
      </c>
      <c r="AS258" s="3">
        <f>IFERROR(__xludf.DUMMYFUNCTION("""COMPUTED_VALUE"""),0.0)</f>
        <v>0</v>
      </c>
      <c r="AT258" s="3">
        <f>IFERROR(__xludf.DUMMYFUNCTION("""COMPUTED_VALUE"""),0.0)</f>
        <v>0</v>
      </c>
      <c r="AU258" s="3">
        <f>IFERROR(__xludf.DUMMYFUNCTION("""COMPUTED_VALUE"""),0.0)</f>
        <v>0</v>
      </c>
      <c r="AV258" s="3">
        <f>IFERROR(__xludf.DUMMYFUNCTION("""COMPUTED_VALUE"""),0.0)</f>
        <v>0</v>
      </c>
      <c r="AW258" s="3">
        <f>IFERROR(__xludf.DUMMYFUNCTION("""COMPUTED_VALUE"""),0.0)</f>
        <v>0</v>
      </c>
      <c r="AX258" s="3">
        <f>IFERROR(__xludf.DUMMYFUNCTION("""COMPUTED_VALUE"""),0.0)</f>
        <v>0</v>
      </c>
      <c r="AY258" s="3">
        <f>IFERROR(__xludf.DUMMYFUNCTION("""COMPUTED_VALUE"""),0.0)</f>
        <v>0</v>
      </c>
      <c r="AZ258" s="3">
        <f>IFERROR(__xludf.DUMMYFUNCTION("""COMPUTED_VALUE"""),0.0)</f>
        <v>0</v>
      </c>
      <c r="BA258" s="3">
        <f>IFERROR(__xludf.DUMMYFUNCTION("""COMPUTED_VALUE"""),0.0)</f>
        <v>0</v>
      </c>
      <c r="BB258" s="3">
        <f>IFERROR(__xludf.DUMMYFUNCTION("""COMPUTED_VALUE"""),0.0)</f>
        <v>0</v>
      </c>
      <c r="BC258" s="3">
        <f>IFERROR(__xludf.DUMMYFUNCTION("""COMPUTED_VALUE"""),0.0)</f>
        <v>0</v>
      </c>
      <c r="BD258" s="3">
        <f>IFERROR(__xludf.DUMMYFUNCTION("""COMPUTED_VALUE"""),0.0)</f>
        <v>0</v>
      </c>
      <c r="BE258" s="3">
        <f>IFERROR(__xludf.DUMMYFUNCTION("""COMPUTED_VALUE"""),0.0)</f>
        <v>0</v>
      </c>
      <c r="BF258" s="3">
        <f>IFERROR(__xludf.DUMMYFUNCTION("""COMPUTED_VALUE"""),0.0)</f>
        <v>0</v>
      </c>
      <c r="BG258" s="3">
        <f>IFERROR(__xludf.DUMMYFUNCTION("""COMPUTED_VALUE"""),0.0)</f>
        <v>0</v>
      </c>
      <c r="BH258" s="3">
        <f>IFERROR(__xludf.DUMMYFUNCTION("""COMPUTED_VALUE"""),0.0)</f>
        <v>0</v>
      </c>
      <c r="BI258" s="3">
        <f>IFERROR(__xludf.DUMMYFUNCTION("""COMPUTED_VALUE"""),0.0)</f>
        <v>0</v>
      </c>
      <c r="BJ258" s="3">
        <f>IFERROR(__xludf.DUMMYFUNCTION("""COMPUTED_VALUE"""),0.0)</f>
        <v>0</v>
      </c>
      <c r="BK258" s="3">
        <f>IFERROR(__xludf.DUMMYFUNCTION("""COMPUTED_VALUE"""),0.0)</f>
        <v>0</v>
      </c>
      <c r="BL258" s="3">
        <f>IFERROR(__xludf.DUMMYFUNCTION("""COMPUTED_VALUE"""),0.0)</f>
        <v>0</v>
      </c>
      <c r="BM258" s="3">
        <f>IFERROR(__xludf.DUMMYFUNCTION("""COMPUTED_VALUE"""),0.0)</f>
        <v>0</v>
      </c>
      <c r="BN258" s="3">
        <f>IFERROR(__xludf.DUMMYFUNCTION("""COMPUTED_VALUE"""),0.0)</f>
        <v>0</v>
      </c>
      <c r="BO258" s="3">
        <f>IFERROR(__xludf.DUMMYFUNCTION("""COMPUTED_VALUE"""),0.0)</f>
        <v>0</v>
      </c>
      <c r="BP258" s="3">
        <f>IFERROR(__xludf.DUMMYFUNCTION("""COMPUTED_VALUE"""),0.0)</f>
        <v>0</v>
      </c>
      <c r="BQ258" s="3">
        <f>IFERROR(__xludf.DUMMYFUNCTION("""COMPUTED_VALUE"""),0.0)</f>
        <v>0</v>
      </c>
      <c r="BR258" s="3">
        <f>IFERROR(__xludf.DUMMYFUNCTION("""COMPUTED_VALUE"""),0.0)</f>
        <v>0</v>
      </c>
      <c r="BS258" s="3">
        <f>IFERROR(__xludf.DUMMYFUNCTION("""COMPUTED_VALUE"""),0.0)</f>
        <v>0</v>
      </c>
      <c r="BT258" s="3">
        <f>IFERROR(__xludf.DUMMYFUNCTION("""COMPUTED_VALUE"""),0.0)</f>
        <v>0</v>
      </c>
      <c r="BU258" s="3">
        <f>IFERROR(__xludf.DUMMYFUNCTION("""COMPUTED_VALUE"""),0.0)</f>
        <v>0</v>
      </c>
      <c r="BV258" s="3">
        <f>IFERROR(__xludf.DUMMYFUNCTION("""COMPUTED_VALUE"""),0.0)</f>
        <v>0</v>
      </c>
      <c r="BW258" s="3">
        <f>IFERROR(__xludf.DUMMYFUNCTION("""COMPUTED_VALUE"""),0.0)</f>
        <v>0</v>
      </c>
      <c r="BX258" s="3">
        <f>IFERROR(__xludf.DUMMYFUNCTION("""COMPUTED_VALUE"""),2.0)</f>
        <v>2</v>
      </c>
      <c r="BY258" s="3">
        <f>IFERROR(__xludf.DUMMYFUNCTION("""COMPUTED_VALUE"""),2.0)</f>
        <v>2</v>
      </c>
      <c r="BZ258" s="3">
        <f>IFERROR(__xludf.DUMMYFUNCTION("""COMPUTED_VALUE"""),2.0)</f>
        <v>2</v>
      </c>
      <c r="CA258" s="3">
        <f>IFERROR(__xludf.DUMMYFUNCTION("""COMPUTED_VALUE"""),2.0)</f>
        <v>2</v>
      </c>
      <c r="CB258" s="3">
        <f>IFERROR(__xludf.DUMMYFUNCTION("""COMPUTED_VALUE"""),2.0)</f>
        <v>2</v>
      </c>
    </row>
    <row r="259">
      <c r="A259" s="3" t="str">
        <f>IFERROR(__xludf.DUMMYFUNCTION("""COMPUTED_VALUE"""),"")</f>
        <v/>
      </c>
      <c r="B259" s="3" t="str">
        <f>IFERROR(__xludf.DUMMYFUNCTION("""COMPUTED_VALUE"""),"Malawi")</f>
        <v>Malawi</v>
      </c>
      <c r="C259" s="3">
        <f>IFERROR(__xludf.DUMMYFUNCTION("""COMPUTED_VALUE"""),-13.2543079999999)</f>
        <v>-13.254308</v>
      </c>
      <c r="D259" s="3">
        <f>IFERROR(__xludf.DUMMYFUNCTION("""COMPUTED_VALUE"""),34.301525)</f>
        <v>34.301525</v>
      </c>
      <c r="E259" s="3">
        <f>IFERROR(__xludf.DUMMYFUNCTION("""COMPUTED_VALUE"""),0.0)</f>
        <v>0</v>
      </c>
      <c r="F259" s="3">
        <f>IFERROR(__xludf.DUMMYFUNCTION("""COMPUTED_VALUE"""),0.0)</f>
        <v>0</v>
      </c>
      <c r="G259" s="3">
        <f>IFERROR(__xludf.DUMMYFUNCTION("""COMPUTED_VALUE"""),0.0)</f>
        <v>0</v>
      </c>
      <c r="H259" s="3">
        <f>IFERROR(__xludf.DUMMYFUNCTION("""COMPUTED_VALUE"""),0.0)</f>
        <v>0</v>
      </c>
      <c r="I259" s="3">
        <f>IFERROR(__xludf.DUMMYFUNCTION("""COMPUTED_VALUE"""),0.0)</f>
        <v>0</v>
      </c>
      <c r="J259" s="3">
        <f>IFERROR(__xludf.DUMMYFUNCTION("""COMPUTED_VALUE"""),0.0)</f>
        <v>0</v>
      </c>
      <c r="K259" s="3">
        <f>IFERROR(__xludf.DUMMYFUNCTION("""COMPUTED_VALUE"""),0.0)</f>
        <v>0</v>
      </c>
      <c r="L259" s="3">
        <f>IFERROR(__xludf.DUMMYFUNCTION("""COMPUTED_VALUE"""),0.0)</f>
        <v>0</v>
      </c>
      <c r="M259" s="3">
        <f>IFERROR(__xludf.DUMMYFUNCTION("""COMPUTED_VALUE"""),0.0)</f>
        <v>0</v>
      </c>
      <c r="N259" s="3">
        <f>IFERROR(__xludf.DUMMYFUNCTION("""COMPUTED_VALUE"""),0.0)</f>
        <v>0</v>
      </c>
      <c r="O259" s="3">
        <f>IFERROR(__xludf.DUMMYFUNCTION("""COMPUTED_VALUE"""),0.0)</f>
        <v>0</v>
      </c>
      <c r="P259" s="3">
        <f>IFERROR(__xludf.DUMMYFUNCTION("""COMPUTED_VALUE"""),0.0)</f>
        <v>0</v>
      </c>
      <c r="Q259" s="3">
        <f>IFERROR(__xludf.DUMMYFUNCTION("""COMPUTED_VALUE"""),0.0)</f>
        <v>0</v>
      </c>
      <c r="R259" s="3">
        <f>IFERROR(__xludf.DUMMYFUNCTION("""COMPUTED_VALUE"""),0.0)</f>
        <v>0</v>
      </c>
      <c r="S259" s="3">
        <f>IFERROR(__xludf.DUMMYFUNCTION("""COMPUTED_VALUE"""),0.0)</f>
        <v>0</v>
      </c>
      <c r="T259" s="3">
        <f>IFERROR(__xludf.DUMMYFUNCTION("""COMPUTED_VALUE"""),0.0)</f>
        <v>0</v>
      </c>
      <c r="U259" s="3">
        <f>IFERROR(__xludf.DUMMYFUNCTION("""COMPUTED_VALUE"""),0.0)</f>
        <v>0</v>
      </c>
      <c r="V259" s="3">
        <f>IFERROR(__xludf.DUMMYFUNCTION("""COMPUTED_VALUE"""),0.0)</f>
        <v>0</v>
      </c>
      <c r="W259" s="3">
        <f>IFERROR(__xludf.DUMMYFUNCTION("""COMPUTED_VALUE"""),0.0)</f>
        <v>0</v>
      </c>
      <c r="X259" s="3">
        <f>IFERROR(__xludf.DUMMYFUNCTION("""COMPUTED_VALUE"""),0.0)</f>
        <v>0</v>
      </c>
      <c r="Y259" s="3">
        <f>IFERROR(__xludf.DUMMYFUNCTION("""COMPUTED_VALUE"""),0.0)</f>
        <v>0</v>
      </c>
      <c r="Z259" s="3">
        <f>IFERROR(__xludf.DUMMYFUNCTION("""COMPUTED_VALUE"""),0.0)</f>
        <v>0</v>
      </c>
      <c r="AA259" s="3">
        <f>IFERROR(__xludf.DUMMYFUNCTION("""COMPUTED_VALUE"""),0.0)</f>
        <v>0</v>
      </c>
      <c r="AB259" s="3">
        <f>IFERROR(__xludf.DUMMYFUNCTION("""COMPUTED_VALUE"""),0.0)</f>
        <v>0</v>
      </c>
      <c r="AC259" s="3">
        <f>IFERROR(__xludf.DUMMYFUNCTION("""COMPUTED_VALUE"""),0.0)</f>
        <v>0</v>
      </c>
      <c r="AD259" s="3">
        <f>IFERROR(__xludf.DUMMYFUNCTION("""COMPUTED_VALUE"""),0.0)</f>
        <v>0</v>
      </c>
      <c r="AE259" s="3">
        <f>IFERROR(__xludf.DUMMYFUNCTION("""COMPUTED_VALUE"""),0.0)</f>
        <v>0</v>
      </c>
      <c r="AF259" s="3">
        <f>IFERROR(__xludf.DUMMYFUNCTION("""COMPUTED_VALUE"""),0.0)</f>
        <v>0</v>
      </c>
      <c r="AG259" s="3">
        <f>IFERROR(__xludf.DUMMYFUNCTION("""COMPUTED_VALUE"""),0.0)</f>
        <v>0</v>
      </c>
      <c r="AH259" s="3">
        <f>IFERROR(__xludf.DUMMYFUNCTION("""COMPUTED_VALUE"""),0.0)</f>
        <v>0</v>
      </c>
      <c r="AI259" s="3">
        <f>IFERROR(__xludf.DUMMYFUNCTION("""COMPUTED_VALUE"""),0.0)</f>
        <v>0</v>
      </c>
      <c r="AJ259" s="3">
        <f>IFERROR(__xludf.DUMMYFUNCTION("""COMPUTED_VALUE"""),0.0)</f>
        <v>0</v>
      </c>
      <c r="AK259" s="3">
        <f>IFERROR(__xludf.DUMMYFUNCTION("""COMPUTED_VALUE"""),0.0)</f>
        <v>0</v>
      </c>
      <c r="AL259" s="3">
        <f>IFERROR(__xludf.DUMMYFUNCTION("""COMPUTED_VALUE"""),0.0)</f>
        <v>0</v>
      </c>
      <c r="AM259" s="3">
        <f>IFERROR(__xludf.DUMMYFUNCTION("""COMPUTED_VALUE"""),0.0)</f>
        <v>0</v>
      </c>
      <c r="AN259" s="3">
        <f>IFERROR(__xludf.DUMMYFUNCTION("""COMPUTED_VALUE"""),0.0)</f>
        <v>0</v>
      </c>
      <c r="AO259" s="3">
        <f>IFERROR(__xludf.DUMMYFUNCTION("""COMPUTED_VALUE"""),0.0)</f>
        <v>0</v>
      </c>
      <c r="AP259" s="3">
        <f>IFERROR(__xludf.DUMMYFUNCTION("""COMPUTED_VALUE"""),0.0)</f>
        <v>0</v>
      </c>
      <c r="AQ259" s="3">
        <f>IFERROR(__xludf.DUMMYFUNCTION("""COMPUTED_VALUE"""),0.0)</f>
        <v>0</v>
      </c>
      <c r="AR259" s="3">
        <f>IFERROR(__xludf.DUMMYFUNCTION("""COMPUTED_VALUE"""),0.0)</f>
        <v>0</v>
      </c>
      <c r="AS259" s="3">
        <f>IFERROR(__xludf.DUMMYFUNCTION("""COMPUTED_VALUE"""),0.0)</f>
        <v>0</v>
      </c>
      <c r="AT259" s="3">
        <f>IFERROR(__xludf.DUMMYFUNCTION("""COMPUTED_VALUE"""),0.0)</f>
        <v>0</v>
      </c>
      <c r="AU259" s="3">
        <f>IFERROR(__xludf.DUMMYFUNCTION("""COMPUTED_VALUE"""),0.0)</f>
        <v>0</v>
      </c>
      <c r="AV259" s="3">
        <f>IFERROR(__xludf.DUMMYFUNCTION("""COMPUTED_VALUE"""),0.0)</f>
        <v>0</v>
      </c>
      <c r="AW259" s="3">
        <f>IFERROR(__xludf.DUMMYFUNCTION("""COMPUTED_VALUE"""),0.0)</f>
        <v>0</v>
      </c>
      <c r="AX259" s="3">
        <f>IFERROR(__xludf.DUMMYFUNCTION("""COMPUTED_VALUE"""),0.0)</f>
        <v>0</v>
      </c>
      <c r="AY259" s="3">
        <f>IFERROR(__xludf.DUMMYFUNCTION("""COMPUTED_VALUE"""),0.0)</f>
        <v>0</v>
      </c>
      <c r="AZ259" s="3">
        <f>IFERROR(__xludf.DUMMYFUNCTION("""COMPUTED_VALUE"""),0.0)</f>
        <v>0</v>
      </c>
      <c r="BA259" s="3">
        <f>IFERROR(__xludf.DUMMYFUNCTION("""COMPUTED_VALUE"""),0.0)</f>
        <v>0</v>
      </c>
      <c r="BB259" s="3">
        <f>IFERROR(__xludf.DUMMYFUNCTION("""COMPUTED_VALUE"""),0.0)</f>
        <v>0</v>
      </c>
      <c r="BC259" s="3">
        <f>IFERROR(__xludf.DUMMYFUNCTION("""COMPUTED_VALUE"""),0.0)</f>
        <v>0</v>
      </c>
      <c r="BD259" s="3">
        <f>IFERROR(__xludf.DUMMYFUNCTION("""COMPUTED_VALUE"""),0.0)</f>
        <v>0</v>
      </c>
      <c r="BE259" s="3">
        <f>IFERROR(__xludf.DUMMYFUNCTION("""COMPUTED_VALUE"""),0.0)</f>
        <v>0</v>
      </c>
      <c r="BF259" s="3">
        <f>IFERROR(__xludf.DUMMYFUNCTION("""COMPUTED_VALUE"""),0.0)</f>
        <v>0</v>
      </c>
      <c r="BG259" s="3">
        <f>IFERROR(__xludf.DUMMYFUNCTION("""COMPUTED_VALUE"""),0.0)</f>
        <v>0</v>
      </c>
      <c r="BH259" s="3">
        <f>IFERROR(__xludf.DUMMYFUNCTION("""COMPUTED_VALUE"""),0.0)</f>
        <v>0</v>
      </c>
      <c r="BI259" s="3">
        <f>IFERROR(__xludf.DUMMYFUNCTION("""COMPUTED_VALUE"""),0.0)</f>
        <v>0</v>
      </c>
      <c r="BJ259" s="3">
        <f>IFERROR(__xludf.DUMMYFUNCTION("""COMPUTED_VALUE"""),0.0)</f>
        <v>0</v>
      </c>
      <c r="BK259" s="3">
        <f>IFERROR(__xludf.DUMMYFUNCTION("""COMPUTED_VALUE"""),0.0)</f>
        <v>0</v>
      </c>
      <c r="BL259" s="3">
        <f>IFERROR(__xludf.DUMMYFUNCTION("""COMPUTED_VALUE"""),0.0)</f>
        <v>0</v>
      </c>
      <c r="BM259" s="3">
        <f>IFERROR(__xludf.DUMMYFUNCTION("""COMPUTED_VALUE"""),0.0)</f>
        <v>0</v>
      </c>
      <c r="BN259" s="3">
        <f>IFERROR(__xludf.DUMMYFUNCTION("""COMPUTED_VALUE"""),0.0)</f>
        <v>0</v>
      </c>
      <c r="BO259" s="3">
        <f>IFERROR(__xludf.DUMMYFUNCTION("""COMPUTED_VALUE"""),0.0)</f>
        <v>0</v>
      </c>
      <c r="BP259" s="3">
        <f>IFERROR(__xludf.DUMMYFUNCTION("""COMPUTED_VALUE"""),0.0)</f>
        <v>0</v>
      </c>
      <c r="BQ259" s="3">
        <f>IFERROR(__xludf.DUMMYFUNCTION("""COMPUTED_VALUE"""),0.0)</f>
        <v>0</v>
      </c>
      <c r="BR259" s="3">
        <f>IFERROR(__xludf.DUMMYFUNCTION("""COMPUTED_VALUE"""),0.0)</f>
        <v>0</v>
      </c>
      <c r="BS259" s="3">
        <f>IFERROR(__xludf.DUMMYFUNCTION("""COMPUTED_VALUE"""),0.0)</f>
        <v>0</v>
      </c>
      <c r="BT259" s="3">
        <f>IFERROR(__xludf.DUMMYFUNCTION("""COMPUTED_VALUE"""),0.0)</f>
        <v>0</v>
      </c>
      <c r="BU259" s="3">
        <f>IFERROR(__xludf.DUMMYFUNCTION("""COMPUTED_VALUE"""),0.0)</f>
        <v>0</v>
      </c>
      <c r="BV259" s="3">
        <f>IFERROR(__xludf.DUMMYFUNCTION("""COMPUTED_VALUE"""),0.0)</f>
        <v>0</v>
      </c>
      <c r="BW259" s="3">
        <f>IFERROR(__xludf.DUMMYFUNCTION("""COMPUTED_VALUE"""),0.0)</f>
        <v>0</v>
      </c>
      <c r="BX259" s="3">
        <f>IFERROR(__xludf.DUMMYFUNCTION("""COMPUTED_VALUE"""),3.0)</f>
        <v>3</v>
      </c>
      <c r="BY259" s="3">
        <f>IFERROR(__xludf.DUMMYFUNCTION("""COMPUTED_VALUE"""),3.0)</f>
        <v>3</v>
      </c>
      <c r="BZ259" s="3">
        <f>IFERROR(__xludf.DUMMYFUNCTION("""COMPUTED_VALUE"""),4.0)</f>
        <v>4</v>
      </c>
      <c r="CA259" s="3">
        <f>IFERROR(__xludf.DUMMYFUNCTION("""COMPUTED_VALUE"""),4.0)</f>
        <v>4</v>
      </c>
      <c r="CB259" s="3">
        <f>IFERROR(__xludf.DUMMYFUNCTION("""COMPUTED_VALUE"""),5.0)</f>
        <v>5</v>
      </c>
    </row>
    <row r="260">
      <c r="A260" s="3" t="str">
        <f>IFERROR(__xludf.DUMMYFUNCTION("""COMPUTED_VALUE"""),"Falkland Islands (Islas Malvinas)")</f>
        <v>Falkland Islands (Islas Malvinas)</v>
      </c>
      <c r="B260" s="3" t="str">
        <f>IFERROR(__xludf.DUMMYFUNCTION("""COMPUTED_VALUE"""),"United Kingdom")</f>
        <v>United Kingdom</v>
      </c>
      <c r="C260" s="3">
        <f>IFERROR(__xludf.DUMMYFUNCTION("""COMPUTED_VALUE"""),-51.7963)</f>
        <v>-51.7963</v>
      </c>
      <c r="D260" s="3">
        <f>IFERROR(__xludf.DUMMYFUNCTION("""COMPUTED_VALUE"""),-59.5236)</f>
        <v>-59.5236</v>
      </c>
      <c r="E260" s="3">
        <f>IFERROR(__xludf.DUMMYFUNCTION("""COMPUTED_VALUE"""),0.0)</f>
        <v>0</v>
      </c>
      <c r="F260" s="3">
        <f>IFERROR(__xludf.DUMMYFUNCTION("""COMPUTED_VALUE"""),0.0)</f>
        <v>0</v>
      </c>
      <c r="G260" s="3">
        <f>IFERROR(__xludf.DUMMYFUNCTION("""COMPUTED_VALUE"""),0.0)</f>
        <v>0</v>
      </c>
      <c r="H260" s="3">
        <f>IFERROR(__xludf.DUMMYFUNCTION("""COMPUTED_VALUE"""),0.0)</f>
        <v>0</v>
      </c>
      <c r="I260" s="3">
        <f>IFERROR(__xludf.DUMMYFUNCTION("""COMPUTED_VALUE"""),0.0)</f>
        <v>0</v>
      </c>
      <c r="J260" s="3">
        <f>IFERROR(__xludf.DUMMYFUNCTION("""COMPUTED_VALUE"""),0.0)</f>
        <v>0</v>
      </c>
      <c r="K260" s="3">
        <f>IFERROR(__xludf.DUMMYFUNCTION("""COMPUTED_VALUE"""),0.0)</f>
        <v>0</v>
      </c>
      <c r="L260" s="3">
        <f>IFERROR(__xludf.DUMMYFUNCTION("""COMPUTED_VALUE"""),0.0)</f>
        <v>0</v>
      </c>
      <c r="M260" s="3">
        <f>IFERROR(__xludf.DUMMYFUNCTION("""COMPUTED_VALUE"""),0.0)</f>
        <v>0</v>
      </c>
      <c r="N260" s="3">
        <f>IFERROR(__xludf.DUMMYFUNCTION("""COMPUTED_VALUE"""),0.0)</f>
        <v>0</v>
      </c>
      <c r="O260" s="3">
        <f>IFERROR(__xludf.DUMMYFUNCTION("""COMPUTED_VALUE"""),0.0)</f>
        <v>0</v>
      </c>
      <c r="P260" s="3">
        <f>IFERROR(__xludf.DUMMYFUNCTION("""COMPUTED_VALUE"""),0.0)</f>
        <v>0</v>
      </c>
      <c r="Q260" s="3">
        <f>IFERROR(__xludf.DUMMYFUNCTION("""COMPUTED_VALUE"""),0.0)</f>
        <v>0</v>
      </c>
      <c r="R260" s="3">
        <f>IFERROR(__xludf.DUMMYFUNCTION("""COMPUTED_VALUE"""),0.0)</f>
        <v>0</v>
      </c>
      <c r="S260" s="3">
        <f>IFERROR(__xludf.DUMMYFUNCTION("""COMPUTED_VALUE"""),0.0)</f>
        <v>0</v>
      </c>
      <c r="T260" s="3">
        <f>IFERROR(__xludf.DUMMYFUNCTION("""COMPUTED_VALUE"""),0.0)</f>
        <v>0</v>
      </c>
      <c r="U260" s="3">
        <f>IFERROR(__xludf.DUMMYFUNCTION("""COMPUTED_VALUE"""),0.0)</f>
        <v>0</v>
      </c>
      <c r="V260" s="3">
        <f>IFERROR(__xludf.DUMMYFUNCTION("""COMPUTED_VALUE"""),0.0)</f>
        <v>0</v>
      </c>
      <c r="W260" s="3">
        <f>IFERROR(__xludf.DUMMYFUNCTION("""COMPUTED_VALUE"""),0.0)</f>
        <v>0</v>
      </c>
      <c r="X260" s="3">
        <f>IFERROR(__xludf.DUMMYFUNCTION("""COMPUTED_VALUE"""),0.0)</f>
        <v>0</v>
      </c>
      <c r="Y260" s="3">
        <f>IFERROR(__xludf.DUMMYFUNCTION("""COMPUTED_VALUE"""),0.0)</f>
        <v>0</v>
      </c>
      <c r="Z260" s="3">
        <f>IFERROR(__xludf.DUMMYFUNCTION("""COMPUTED_VALUE"""),0.0)</f>
        <v>0</v>
      </c>
      <c r="AA260" s="3">
        <f>IFERROR(__xludf.DUMMYFUNCTION("""COMPUTED_VALUE"""),0.0)</f>
        <v>0</v>
      </c>
      <c r="AB260" s="3">
        <f>IFERROR(__xludf.DUMMYFUNCTION("""COMPUTED_VALUE"""),0.0)</f>
        <v>0</v>
      </c>
      <c r="AC260" s="3">
        <f>IFERROR(__xludf.DUMMYFUNCTION("""COMPUTED_VALUE"""),0.0)</f>
        <v>0</v>
      </c>
      <c r="AD260" s="3">
        <f>IFERROR(__xludf.DUMMYFUNCTION("""COMPUTED_VALUE"""),0.0)</f>
        <v>0</v>
      </c>
      <c r="AE260" s="3">
        <f>IFERROR(__xludf.DUMMYFUNCTION("""COMPUTED_VALUE"""),0.0)</f>
        <v>0</v>
      </c>
      <c r="AF260" s="3">
        <f>IFERROR(__xludf.DUMMYFUNCTION("""COMPUTED_VALUE"""),0.0)</f>
        <v>0</v>
      </c>
      <c r="AG260" s="3">
        <f>IFERROR(__xludf.DUMMYFUNCTION("""COMPUTED_VALUE"""),0.0)</f>
        <v>0</v>
      </c>
      <c r="AH260" s="3">
        <f>IFERROR(__xludf.DUMMYFUNCTION("""COMPUTED_VALUE"""),0.0)</f>
        <v>0</v>
      </c>
      <c r="AI260" s="3">
        <f>IFERROR(__xludf.DUMMYFUNCTION("""COMPUTED_VALUE"""),0.0)</f>
        <v>0</v>
      </c>
      <c r="AJ260" s="3">
        <f>IFERROR(__xludf.DUMMYFUNCTION("""COMPUTED_VALUE"""),0.0)</f>
        <v>0</v>
      </c>
      <c r="AK260" s="3">
        <f>IFERROR(__xludf.DUMMYFUNCTION("""COMPUTED_VALUE"""),0.0)</f>
        <v>0</v>
      </c>
      <c r="AL260" s="3">
        <f>IFERROR(__xludf.DUMMYFUNCTION("""COMPUTED_VALUE"""),0.0)</f>
        <v>0</v>
      </c>
      <c r="AM260" s="3">
        <f>IFERROR(__xludf.DUMMYFUNCTION("""COMPUTED_VALUE"""),0.0)</f>
        <v>0</v>
      </c>
      <c r="AN260" s="3">
        <f>IFERROR(__xludf.DUMMYFUNCTION("""COMPUTED_VALUE"""),0.0)</f>
        <v>0</v>
      </c>
      <c r="AO260" s="3">
        <f>IFERROR(__xludf.DUMMYFUNCTION("""COMPUTED_VALUE"""),0.0)</f>
        <v>0</v>
      </c>
      <c r="AP260" s="3">
        <f>IFERROR(__xludf.DUMMYFUNCTION("""COMPUTED_VALUE"""),0.0)</f>
        <v>0</v>
      </c>
      <c r="AQ260" s="3">
        <f>IFERROR(__xludf.DUMMYFUNCTION("""COMPUTED_VALUE"""),0.0)</f>
        <v>0</v>
      </c>
      <c r="AR260" s="3">
        <f>IFERROR(__xludf.DUMMYFUNCTION("""COMPUTED_VALUE"""),0.0)</f>
        <v>0</v>
      </c>
      <c r="AS260" s="3">
        <f>IFERROR(__xludf.DUMMYFUNCTION("""COMPUTED_VALUE"""),0.0)</f>
        <v>0</v>
      </c>
      <c r="AT260" s="3">
        <f>IFERROR(__xludf.DUMMYFUNCTION("""COMPUTED_VALUE"""),0.0)</f>
        <v>0</v>
      </c>
      <c r="AU260" s="3">
        <f>IFERROR(__xludf.DUMMYFUNCTION("""COMPUTED_VALUE"""),0.0)</f>
        <v>0</v>
      </c>
      <c r="AV260" s="3">
        <f>IFERROR(__xludf.DUMMYFUNCTION("""COMPUTED_VALUE"""),0.0)</f>
        <v>0</v>
      </c>
      <c r="AW260" s="3">
        <f>IFERROR(__xludf.DUMMYFUNCTION("""COMPUTED_VALUE"""),0.0)</f>
        <v>0</v>
      </c>
      <c r="AX260" s="3">
        <f>IFERROR(__xludf.DUMMYFUNCTION("""COMPUTED_VALUE"""),0.0)</f>
        <v>0</v>
      </c>
      <c r="AY260" s="3">
        <f>IFERROR(__xludf.DUMMYFUNCTION("""COMPUTED_VALUE"""),0.0)</f>
        <v>0</v>
      </c>
      <c r="AZ260" s="3">
        <f>IFERROR(__xludf.DUMMYFUNCTION("""COMPUTED_VALUE"""),0.0)</f>
        <v>0</v>
      </c>
      <c r="BA260" s="3">
        <f>IFERROR(__xludf.DUMMYFUNCTION("""COMPUTED_VALUE"""),0.0)</f>
        <v>0</v>
      </c>
      <c r="BB260" s="3">
        <f>IFERROR(__xludf.DUMMYFUNCTION("""COMPUTED_VALUE"""),0.0)</f>
        <v>0</v>
      </c>
      <c r="BC260" s="3">
        <f>IFERROR(__xludf.DUMMYFUNCTION("""COMPUTED_VALUE"""),0.0)</f>
        <v>0</v>
      </c>
      <c r="BD260" s="3">
        <f>IFERROR(__xludf.DUMMYFUNCTION("""COMPUTED_VALUE"""),0.0)</f>
        <v>0</v>
      </c>
      <c r="BE260" s="3">
        <f>IFERROR(__xludf.DUMMYFUNCTION("""COMPUTED_VALUE"""),0.0)</f>
        <v>0</v>
      </c>
      <c r="BF260" s="3">
        <f>IFERROR(__xludf.DUMMYFUNCTION("""COMPUTED_VALUE"""),0.0)</f>
        <v>0</v>
      </c>
      <c r="BG260" s="3">
        <f>IFERROR(__xludf.DUMMYFUNCTION("""COMPUTED_VALUE"""),0.0)</f>
        <v>0</v>
      </c>
      <c r="BH260" s="3">
        <f>IFERROR(__xludf.DUMMYFUNCTION("""COMPUTED_VALUE"""),0.0)</f>
        <v>0</v>
      </c>
      <c r="BI260" s="3">
        <f>IFERROR(__xludf.DUMMYFUNCTION("""COMPUTED_VALUE"""),0.0)</f>
        <v>0</v>
      </c>
      <c r="BJ260" s="3">
        <f>IFERROR(__xludf.DUMMYFUNCTION("""COMPUTED_VALUE"""),0.0)</f>
        <v>0</v>
      </c>
      <c r="BK260" s="3">
        <f>IFERROR(__xludf.DUMMYFUNCTION("""COMPUTED_VALUE"""),0.0)</f>
        <v>0</v>
      </c>
      <c r="BL260" s="3">
        <f>IFERROR(__xludf.DUMMYFUNCTION("""COMPUTED_VALUE"""),0.0)</f>
        <v>0</v>
      </c>
      <c r="BM260" s="3">
        <f>IFERROR(__xludf.DUMMYFUNCTION("""COMPUTED_VALUE"""),0.0)</f>
        <v>0</v>
      </c>
      <c r="BN260" s="3">
        <f>IFERROR(__xludf.DUMMYFUNCTION("""COMPUTED_VALUE"""),0.0)</f>
        <v>0</v>
      </c>
      <c r="BO260" s="3">
        <f>IFERROR(__xludf.DUMMYFUNCTION("""COMPUTED_VALUE"""),0.0)</f>
        <v>0</v>
      </c>
      <c r="BP260" s="3">
        <f>IFERROR(__xludf.DUMMYFUNCTION("""COMPUTED_VALUE"""),0.0)</f>
        <v>0</v>
      </c>
      <c r="BQ260" s="3">
        <f>IFERROR(__xludf.DUMMYFUNCTION("""COMPUTED_VALUE"""),0.0)</f>
        <v>0</v>
      </c>
      <c r="BR260" s="3">
        <f>IFERROR(__xludf.DUMMYFUNCTION("""COMPUTED_VALUE"""),0.0)</f>
        <v>0</v>
      </c>
      <c r="BS260" s="3">
        <f>IFERROR(__xludf.DUMMYFUNCTION("""COMPUTED_VALUE"""),0.0)</f>
        <v>0</v>
      </c>
      <c r="BT260" s="3">
        <f>IFERROR(__xludf.DUMMYFUNCTION("""COMPUTED_VALUE"""),0.0)</f>
        <v>0</v>
      </c>
      <c r="BU260" s="3">
        <f>IFERROR(__xludf.DUMMYFUNCTION("""COMPUTED_VALUE"""),0.0)</f>
        <v>0</v>
      </c>
      <c r="BV260" s="3">
        <f>IFERROR(__xludf.DUMMYFUNCTION("""COMPUTED_VALUE"""),0.0)</f>
        <v>0</v>
      </c>
      <c r="BW260" s="3">
        <f>IFERROR(__xludf.DUMMYFUNCTION("""COMPUTED_VALUE"""),0.0)</f>
        <v>0</v>
      </c>
      <c r="BX260" s="3">
        <f>IFERROR(__xludf.DUMMYFUNCTION("""COMPUTED_VALUE"""),0.0)</f>
        <v>0</v>
      </c>
      <c r="BY260" s="3">
        <f>IFERROR(__xludf.DUMMYFUNCTION("""COMPUTED_VALUE"""),0.0)</f>
        <v>0</v>
      </c>
      <c r="BZ260" s="3">
        <f>IFERROR(__xludf.DUMMYFUNCTION("""COMPUTED_VALUE"""),1.0)</f>
        <v>1</v>
      </c>
      <c r="CA260" s="3">
        <f>IFERROR(__xludf.DUMMYFUNCTION("""COMPUTED_VALUE"""),2.0)</f>
        <v>2</v>
      </c>
      <c r="CB260" s="3">
        <f>IFERROR(__xludf.DUMMYFUNCTION("""COMPUTED_VALUE"""),2.0)</f>
        <v>2</v>
      </c>
    </row>
    <row r="261">
      <c r="A261" s="3" t="str">
        <f>IFERROR(__xludf.DUMMYFUNCTION("""COMPUTED_VALUE"""),"Saint Pierre and Miquelon")</f>
        <v>Saint Pierre and Miquelon</v>
      </c>
      <c r="B261" s="3" t="str">
        <f>IFERROR(__xludf.DUMMYFUNCTION("""COMPUTED_VALUE"""),"France")</f>
        <v>France</v>
      </c>
      <c r="C261" s="3">
        <f>IFERROR(__xludf.DUMMYFUNCTION("""COMPUTED_VALUE"""),46.8852)</f>
        <v>46.8852</v>
      </c>
      <c r="D261" s="3">
        <f>IFERROR(__xludf.DUMMYFUNCTION("""COMPUTED_VALUE"""),-56.3159)</f>
        <v>-56.3159</v>
      </c>
      <c r="E261" s="3">
        <f>IFERROR(__xludf.DUMMYFUNCTION("""COMPUTED_VALUE"""),0.0)</f>
        <v>0</v>
      </c>
      <c r="F261" s="3">
        <f>IFERROR(__xludf.DUMMYFUNCTION("""COMPUTED_VALUE"""),0.0)</f>
        <v>0</v>
      </c>
      <c r="G261" s="3">
        <f>IFERROR(__xludf.DUMMYFUNCTION("""COMPUTED_VALUE"""),0.0)</f>
        <v>0</v>
      </c>
      <c r="H261" s="3">
        <f>IFERROR(__xludf.DUMMYFUNCTION("""COMPUTED_VALUE"""),0.0)</f>
        <v>0</v>
      </c>
      <c r="I261" s="3">
        <f>IFERROR(__xludf.DUMMYFUNCTION("""COMPUTED_VALUE"""),0.0)</f>
        <v>0</v>
      </c>
      <c r="J261" s="3">
        <f>IFERROR(__xludf.DUMMYFUNCTION("""COMPUTED_VALUE"""),0.0)</f>
        <v>0</v>
      </c>
      <c r="K261" s="3">
        <f>IFERROR(__xludf.DUMMYFUNCTION("""COMPUTED_VALUE"""),0.0)</f>
        <v>0</v>
      </c>
      <c r="L261" s="3">
        <f>IFERROR(__xludf.DUMMYFUNCTION("""COMPUTED_VALUE"""),0.0)</f>
        <v>0</v>
      </c>
      <c r="M261" s="3">
        <f>IFERROR(__xludf.DUMMYFUNCTION("""COMPUTED_VALUE"""),0.0)</f>
        <v>0</v>
      </c>
      <c r="N261" s="3">
        <f>IFERROR(__xludf.DUMMYFUNCTION("""COMPUTED_VALUE"""),0.0)</f>
        <v>0</v>
      </c>
      <c r="O261" s="3">
        <f>IFERROR(__xludf.DUMMYFUNCTION("""COMPUTED_VALUE"""),0.0)</f>
        <v>0</v>
      </c>
      <c r="P261" s="3">
        <f>IFERROR(__xludf.DUMMYFUNCTION("""COMPUTED_VALUE"""),0.0)</f>
        <v>0</v>
      </c>
      <c r="Q261" s="3">
        <f>IFERROR(__xludf.DUMMYFUNCTION("""COMPUTED_VALUE"""),0.0)</f>
        <v>0</v>
      </c>
      <c r="R261" s="3">
        <f>IFERROR(__xludf.DUMMYFUNCTION("""COMPUTED_VALUE"""),0.0)</f>
        <v>0</v>
      </c>
      <c r="S261" s="3">
        <f>IFERROR(__xludf.DUMMYFUNCTION("""COMPUTED_VALUE"""),0.0)</f>
        <v>0</v>
      </c>
      <c r="T261" s="3">
        <f>IFERROR(__xludf.DUMMYFUNCTION("""COMPUTED_VALUE"""),0.0)</f>
        <v>0</v>
      </c>
      <c r="U261" s="3">
        <f>IFERROR(__xludf.DUMMYFUNCTION("""COMPUTED_VALUE"""),0.0)</f>
        <v>0</v>
      </c>
      <c r="V261" s="3">
        <f>IFERROR(__xludf.DUMMYFUNCTION("""COMPUTED_VALUE"""),0.0)</f>
        <v>0</v>
      </c>
      <c r="W261" s="3">
        <f>IFERROR(__xludf.DUMMYFUNCTION("""COMPUTED_VALUE"""),0.0)</f>
        <v>0</v>
      </c>
      <c r="X261" s="3">
        <f>IFERROR(__xludf.DUMMYFUNCTION("""COMPUTED_VALUE"""),0.0)</f>
        <v>0</v>
      </c>
      <c r="Y261" s="3">
        <f>IFERROR(__xludf.DUMMYFUNCTION("""COMPUTED_VALUE"""),0.0)</f>
        <v>0</v>
      </c>
      <c r="Z261" s="3">
        <f>IFERROR(__xludf.DUMMYFUNCTION("""COMPUTED_VALUE"""),0.0)</f>
        <v>0</v>
      </c>
      <c r="AA261" s="3">
        <f>IFERROR(__xludf.DUMMYFUNCTION("""COMPUTED_VALUE"""),0.0)</f>
        <v>0</v>
      </c>
      <c r="AB261" s="3">
        <f>IFERROR(__xludf.DUMMYFUNCTION("""COMPUTED_VALUE"""),0.0)</f>
        <v>0</v>
      </c>
      <c r="AC261" s="3">
        <f>IFERROR(__xludf.DUMMYFUNCTION("""COMPUTED_VALUE"""),0.0)</f>
        <v>0</v>
      </c>
      <c r="AD261" s="3">
        <f>IFERROR(__xludf.DUMMYFUNCTION("""COMPUTED_VALUE"""),0.0)</f>
        <v>0</v>
      </c>
      <c r="AE261" s="3">
        <f>IFERROR(__xludf.DUMMYFUNCTION("""COMPUTED_VALUE"""),0.0)</f>
        <v>0</v>
      </c>
      <c r="AF261" s="3">
        <f>IFERROR(__xludf.DUMMYFUNCTION("""COMPUTED_VALUE"""),0.0)</f>
        <v>0</v>
      </c>
      <c r="AG261" s="3">
        <f>IFERROR(__xludf.DUMMYFUNCTION("""COMPUTED_VALUE"""),0.0)</f>
        <v>0</v>
      </c>
      <c r="AH261" s="3">
        <f>IFERROR(__xludf.DUMMYFUNCTION("""COMPUTED_VALUE"""),0.0)</f>
        <v>0</v>
      </c>
      <c r="AI261" s="3">
        <f>IFERROR(__xludf.DUMMYFUNCTION("""COMPUTED_VALUE"""),0.0)</f>
        <v>0</v>
      </c>
      <c r="AJ261" s="3">
        <f>IFERROR(__xludf.DUMMYFUNCTION("""COMPUTED_VALUE"""),0.0)</f>
        <v>0</v>
      </c>
      <c r="AK261" s="3">
        <f>IFERROR(__xludf.DUMMYFUNCTION("""COMPUTED_VALUE"""),0.0)</f>
        <v>0</v>
      </c>
      <c r="AL261" s="3">
        <f>IFERROR(__xludf.DUMMYFUNCTION("""COMPUTED_VALUE"""),0.0)</f>
        <v>0</v>
      </c>
      <c r="AM261" s="3">
        <f>IFERROR(__xludf.DUMMYFUNCTION("""COMPUTED_VALUE"""),0.0)</f>
        <v>0</v>
      </c>
      <c r="AN261" s="3">
        <f>IFERROR(__xludf.DUMMYFUNCTION("""COMPUTED_VALUE"""),0.0)</f>
        <v>0</v>
      </c>
      <c r="AO261" s="3">
        <f>IFERROR(__xludf.DUMMYFUNCTION("""COMPUTED_VALUE"""),0.0)</f>
        <v>0</v>
      </c>
      <c r="AP261" s="3">
        <f>IFERROR(__xludf.DUMMYFUNCTION("""COMPUTED_VALUE"""),0.0)</f>
        <v>0</v>
      </c>
      <c r="AQ261" s="3">
        <f>IFERROR(__xludf.DUMMYFUNCTION("""COMPUTED_VALUE"""),0.0)</f>
        <v>0</v>
      </c>
      <c r="AR261" s="3">
        <f>IFERROR(__xludf.DUMMYFUNCTION("""COMPUTED_VALUE"""),0.0)</f>
        <v>0</v>
      </c>
      <c r="AS261" s="3">
        <f>IFERROR(__xludf.DUMMYFUNCTION("""COMPUTED_VALUE"""),0.0)</f>
        <v>0</v>
      </c>
      <c r="AT261" s="3">
        <f>IFERROR(__xludf.DUMMYFUNCTION("""COMPUTED_VALUE"""),0.0)</f>
        <v>0</v>
      </c>
      <c r="AU261" s="3">
        <f>IFERROR(__xludf.DUMMYFUNCTION("""COMPUTED_VALUE"""),0.0)</f>
        <v>0</v>
      </c>
      <c r="AV261" s="3">
        <f>IFERROR(__xludf.DUMMYFUNCTION("""COMPUTED_VALUE"""),0.0)</f>
        <v>0</v>
      </c>
      <c r="AW261" s="3">
        <f>IFERROR(__xludf.DUMMYFUNCTION("""COMPUTED_VALUE"""),0.0)</f>
        <v>0</v>
      </c>
      <c r="AX261" s="3">
        <f>IFERROR(__xludf.DUMMYFUNCTION("""COMPUTED_VALUE"""),0.0)</f>
        <v>0</v>
      </c>
      <c r="AY261" s="3">
        <f>IFERROR(__xludf.DUMMYFUNCTION("""COMPUTED_VALUE"""),0.0)</f>
        <v>0</v>
      </c>
      <c r="AZ261" s="3">
        <f>IFERROR(__xludf.DUMMYFUNCTION("""COMPUTED_VALUE"""),0.0)</f>
        <v>0</v>
      </c>
      <c r="BA261" s="3">
        <f>IFERROR(__xludf.DUMMYFUNCTION("""COMPUTED_VALUE"""),0.0)</f>
        <v>0</v>
      </c>
      <c r="BB261" s="3">
        <f>IFERROR(__xludf.DUMMYFUNCTION("""COMPUTED_VALUE"""),0.0)</f>
        <v>0</v>
      </c>
      <c r="BC261" s="3">
        <f>IFERROR(__xludf.DUMMYFUNCTION("""COMPUTED_VALUE"""),0.0)</f>
        <v>0</v>
      </c>
      <c r="BD261" s="3">
        <f>IFERROR(__xludf.DUMMYFUNCTION("""COMPUTED_VALUE"""),0.0)</f>
        <v>0</v>
      </c>
      <c r="BE261" s="3">
        <f>IFERROR(__xludf.DUMMYFUNCTION("""COMPUTED_VALUE"""),0.0)</f>
        <v>0</v>
      </c>
      <c r="BF261" s="3">
        <f>IFERROR(__xludf.DUMMYFUNCTION("""COMPUTED_VALUE"""),0.0)</f>
        <v>0</v>
      </c>
      <c r="BG261" s="3">
        <f>IFERROR(__xludf.DUMMYFUNCTION("""COMPUTED_VALUE"""),0.0)</f>
        <v>0</v>
      </c>
      <c r="BH261" s="3">
        <f>IFERROR(__xludf.DUMMYFUNCTION("""COMPUTED_VALUE"""),0.0)</f>
        <v>0</v>
      </c>
      <c r="BI261" s="3">
        <f>IFERROR(__xludf.DUMMYFUNCTION("""COMPUTED_VALUE"""),0.0)</f>
        <v>0</v>
      </c>
      <c r="BJ261" s="3">
        <f>IFERROR(__xludf.DUMMYFUNCTION("""COMPUTED_VALUE"""),0.0)</f>
        <v>0</v>
      </c>
      <c r="BK261" s="3">
        <f>IFERROR(__xludf.DUMMYFUNCTION("""COMPUTED_VALUE"""),0.0)</f>
        <v>0</v>
      </c>
      <c r="BL261" s="3">
        <f>IFERROR(__xludf.DUMMYFUNCTION("""COMPUTED_VALUE"""),0.0)</f>
        <v>0</v>
      </c>
      <c r="BM261" s="3">
        <f>IFERROR(__xludf.DUMMYFUNCTION("""COMPUTED_VALUE"""),0.0)</f>
        <v>0</v>
      </c>
      <c r="BN261" s="3">
        <f>IFERROR(__xludf.DUMMYFUNCTION("""COMPUTED_VALUE"""),0.0)</f>
        <v>0</v>
      </c>
      <c r="BO261" s="3">
        <f>IFERROR(__xludf.DUMMYFUNCTION("""COMPUTED_VALUE"""),0.0)</f>
        <v>0</v>
      </c>
      <c r="BP261" s="3">
        <f>IFERROR(__xludf.DUMMYFUNCTION("""COMPUTED_VALUE"""),0.0)</f>
        <v>0</v>
      </c>
      <c r="BQ261" s="3">
        <f>IFERROR(__xludf.DUMMYFUNCTION("""COMPUTED_VALUE"""),0.0)</f>
        <v>0</v>
      </c>
      <c r="BR261" s="3">
        <f>IFERROR(__xludf.DUMMYFUNCTION("""COMPUTED_VALUE"""),0.0)</f>
        <v>0</v>
      </c>
      <c r="BS261" s="3">
        <f>IFERROR(__xludf.DUMMYFUNCTION("""COMPUTED_VALUE"""),0.0)</f>
        <v>0</v>
      </c>
      <c r="BT261" s="3">
        <f>IFERROR(__xludf.DUMMYFUNCTION("""COMPUTED_VALUE"""),0.0)</f>
        <v>0</v>
      </c>
      <c r="BU261" s="3">
        <f>IFERROR(__xludf.DUMMYFUNCTION("""COMPUTED_VALUE"""),0.0)</f>
        <v>0</v>
      </c>
      <c r="BV261" s="3">
        <f>IFERROR(__xludf.DUMMYFUNCTION("""COMPUTED_VALUE"""),0.0)</f>
        <v>0</v>
      </c>
      <c r="BW261" s="3">
        <f>IFERROR(__xludf.DUMMYFUNCTION("""COMPUTED_VALUE"""),0.0)</f>
        <v>0</v>
      </c>
      <c r="BX261" s="3">
        <f>IFERROR(__xludf.DUMMYFUNCTION("""COMPUTED_VALUE"""),0.0)</f>
        <v>0</v>
      </c>
      <c r="BY261" s="3">
        <f>IFERROR(__xludf.DUMMYFUNCTION("""COMPUTED_VALUE"""),0.0)</f>
        <v>0</v>
      </c>
      <c r="BZ261" s="3">
        <f>IFERROR(__xludf.DUMMYFUNCTION("""COMPUTED_VALUE"""),0.0)</f>
        <v>0</v>
      </c>
      <c r="CA261" s="3">
        <f>IFERROR(__xludf.DUMMYFUNCTION("""COMPUTED_VALUE"""),1.0)</f>
        <v>1</v>
      </c>
      <c r="CB261" s="3">
        <f>IFERROR(__xludf.DUMMYFUNCTION("""COMPUTED_VALUE"""),1.0)</f>
        <v>1</v>
      </c>
    </row>
    <row r="262">
      <c r="A262" s="3" t="str">
        <f>IFERROR(__xludf.DUMMYFUNCTION("""COMPUTED_VALUE"""),"")</f>
        <v/>
      </c>
      <c r="B262" s="3" t="str">
        <f>IFERROR(__xludf.DUMMYFUNCTION("""COMPUTED_VALUE"""),"South Sudan")</f>
        <v>South Sudan</v>
      </c>
      <c r="C262" s="3">
        <f>IFERROR(__xludf.DUMMYFUNCTION("""COMPUTED_VALUE"""),6.877)</f>
        <v>6.877</v>
      </c>
      <c r="D262" s="3">
        <f>IFERROR(__xludf.DUMMYFUNCTION("""COMPUTED_VALUE"""),31.307)</f>
        <v>31.307</v>
      </c>
      <c r="E262" s="3">
        <f>IFERROR(__xludf.DUMMYFUNCTION("""COMPUTED_VALUE"""),0.0)</f>
        <v>0</v>
      </c>
      <c r="F262" s="3">
        <f>IFERROR(__xludf.DUMMYFUNCTION("""COMPUTED_VALUE"""),0.0)</f>
        <v>0</v>
      </c>
      <c r="G262" s="3">
        <f>IFERROR(__xludf.DUMMYFUNCTION("""COMPUTED_VALUE"""),0.0)</f>
        <v>0</v>
      </c>
      <c r="H262" s="3">
        <f>IFERROR(__xludf.DUMMYFUNCTION("""COMPUTED_VALUE"""),0.0)</f>
        <v>0</v>
      </c>
      <c r="I262" s="3">
        <f>IFERROR(__xludf.DUMMYFUNCTION("""COMPUTED_VALUE"""),0.0)</f>
        <v>0</v>
      </c>
      <c r="J262" s="3">
        <f>IFERROR(__xludf.DUMMYFUNCTION("""COMPUTED_VALUE"""),0.0)</f>
        <v>0</v>
      </c>
      <c r="K262" s="3">
        <f>IFERROR(__xludf.DUMMYFUNCTION("""COMPUTED_VALUE"""),0.0)</f>
        <v>0</v>
      </c>
      <c r="L262" s="3">
        <f>IFERROR(__xludf.DUMMYFUNCTION("""COMPUTED_VALUE"""),0.0)</f>
        <v>0</v>
      </c>
      <c r="M262" s="3">
        <f>IFERROR(__xludf.DUMMYFUNCTION("""COMPUTED_VALUE"""),0.0)</f>
        <v>0</v>
      </c>
      <c r="N262" s="3">
        <f>IFERROR(__xludf.DUMMYFUNCTION("""COMPUTED_VALUE"""),0.0)</f>
        <v>0</v>
      </c>
      <c r="O262" s="3">
        <f>IFERROR(__xludf.DUMMYFUNCTION("""COMPUTED_VALUE"""),0.0)</f>
        <v>0</v>
      </c>
      <c r="P262" s="3">
        <f>IFERROR(__xludf.DUMMYFUNCTION("""COMPUTED_VALUE"""),0.0)</f>
        <v>0</v>
      </c>
      <c r="Q262" s="3">
        <f>IFERROR(__xludf.DUMMYFUNCTION("""COMPUTED_VALUE"""),0.0)</f>
        <v>0</v>
      </c>
      <c r="R262" s="3">
        <f>IFERROR(__xludf.DUMMYFUNCTION("""COMPUTED_VALUE"""),0.0)</f>
        <v>0</v>
      </c>
      <c r="S262" s="3">
        <f>IFERROR(__xludf.DUMMYFUNCTION("""COMPUTED_VALUE"""),0.0)</f>
        <v>0</v>
      </c>
      <c r="T262" s="3">
        <f>IFERROR(__xludf.DUMMYFUNCTION("""COMPUTED_VALUE"""),0.0)</f>
        <v>0</v>
      </c>
      <c r="U262" s="3">
        <f>IFERROR(__xludf.DUMMYFUNCTION("""COMPUTED_VALUE"""),0.0)</f>
        <v>0</v>
      </c>
      <c r="V262" s="3">
        <f>IFERROR(__xludf.DUMMYFUNCTION("""COMPUTED_VALUE"""),0.0)</f>
        <v>0</v>
      </c>
      <c r="W262" s="3">
        <f>IFERROR(__xludf.DUMMYFUNCTION("""COMPUTED_VALUE"""),0.0)</f>
        <v>0</v>
      </c>
      <c r="X262" s="3">
        <f>IFERROR(__xludf.DUMMYFUNCTION("""COMPUTED_VALUE"""),0.0)</f>
        <v>0</v>
      </c>
      <c r="Y262" s="3">
        <f>IFERROR(__xludf.DUMMYFUNCTION("""COMPUTED_VALUE"""),0.0)</f>
        <v>0</v>
      </c>
      <c r="Z262" s="3">
        <f>IFERROR(__xludf.DUMMYFUNCTION("""COMPUTED_VALUE"""),0.0)</f>
        <v>0</v>
      </c>
      <c r="AA262" s="3">
        <f>IFERROR(__xludf.DUMMYFUNCTION("""COMPUTED_VALUE"""),0.0)</f>
        <v>0</v>
      </c>
      <c r="AB262" s="3">
        <f>IFERROR(__xludf.DUMMYFUNCTION("""COMPUTED_VALUE"""),0.0)</f>
        <v>0</v>
      </c>
      <c r="AC262" s="3">
        <f>IFERROR(__xludf.DUMMYFUNCTION("""COMPUTED_VALUE"""),0.0)</f>
        <v>0</v>
      </c>
      <c r="AD262" s="3">
        <f>IFERROR(__xludf.DUMMYFUNCTION("""COMPUTED_VALUE"""),0.0)</f>
        <v>0</v>
      </c>
      <c r="AE262" s="3">
        <f>IFERROR(__xludf.DUMMYFUNCTION("""COMPUTED_VALUE"""),0.0)</f>
        <v>0</v>
      </c>
      <c r="AF262" s="3">
        <f>IFERROR(__xludf.DUMMYFUNCTION("""COMPUTED_VALUE"""),0.0)</f>
        <v>0</v>
      </c>
      <c r="AG262" s="3">
        <f>IFERROR(__xludf.DUMMYFUNCTION("""COMPUTED_VALUE"""),0.0)</f>
        <v>0</v>
      </c>
      <c r="AH262" s="3">
        <f>IFERROR(__xludf.DUMMYFUNCTION("""COMPUTED_VALUE"""),0.0)</f>
        <v>0</v>
      </c>
      <c r="AI262" s="3">
        <f>IFERROR(__xludf.DUMMYFUNCTION("""COMPUTED_VALUE"""),0.0)</f>
        <v>0</v>
      </c>
      <c r="AJ262" s="3">
        <f>IFERROR(__xludf.DUMMYFUNCTION("""COMPUTED_VALUE"""),0.0)</f>
        <v>0</v>
      </c>
      <c r="AK262" s="3">
        <f>IFERROR(__xludf.DUMMYFUNCTION("""COMPUTED_VALUE"""),0.0)</f>
        <v>0</v>
      </c>
      <c r="AL262" s="3">
        <f>IFERROR(__xludf.DUMMYFUNCTION("""COMPUTED_VALUE"""),0.0)</f>
        <v>0</v>
      </c>
      <c r="AM262" s="3">
        <f>IFERROR(__xludf.DUMMYFUNCTION("""COMPUTED_VALUE"""),0.0)</f>
        <v>0</v>
      </c>
      <c r="AN262" s="3">
        <f>IFERROR(__xludf.DUMMYFUNCTION("""COMPUTED_VALUE"""),0.0)</f>
        <v>0</v>
      </c>
      <c r="AO262" s="3">
        <f>IFERROR(__xludf.DUMMYFUNCTION("""COMPUTED_VALUE"""),0.0)</f>
        <v>0</v>
      </c>
      <c r="AP262" s="3">
        <f>IFERROR(__xludf.DUMMYFUNCTION("""COMPUTED_VALUE"""),0.0)</f>
        <v>0</v>
      </c>
      <c r="AQ262" s="3">
        <f>IFERROR(__xludf.DUMMYFUNCTION("""COMPUTED_VALUE"""),0.0)</f>
        <v>0</v>
      </c>
      <c r="AR262" s="3">
        <f>IFERROR(__xludf.DUMMYFUNCTION("""COMPUTED_VALUE"""),0.0)</f>
        <v>0</v>
      </c>
      <c r="AS262" s="3">
        <f>IFERROR(__xludf.DUMMYFUNCTION("""COMPUTED_VALUE"""),0.0)</f>
        <v>0</v>
      </c>
      <c r="AT262" s="3">
        <f>IFERROR(__xludf.DUMMYFUNCTION("""COMPUTED_VALUE"""),0.0)</f>
        <v>0</v>
      </c>
      <c r="AU262" s="3">
        <f>IFERROR(__xludf.DUMMYFUNCTION("""COMPUTED_VALUE"""),0.0)</f>
        <v>0</v>
      </c>
      <c r="AV262" s="3">
        <f>IFERROR(__xludf.DUMMYFUNCTION("""COMPUTED_VALUE"""),0.0)</f>
        <v>0</v>
      </c>
      <c r="AW262" s="3">
        <f>IFERROR(__xludf.DUMMYFUNCTION("""COMPUTED_VALUE"""),0.0)</f>
        <v>0</v>
      </c>
      <c r="AX262" s="3">
        <f>IFERROR(__xludf.DUMMYFUNCTION("""COMPUTED_VALUE"""),0.0)</f>
        <v>0</v>
      </c>
      <c r="AY262" s="3">
        <f>IFERROR(__xludf.DUMMYFUNCTION("""COMPUTED_VALUE"""),0.0)</f>
        <v>0</v>
      </c>
      <c r="AZ262" s="3">
        <f>IFERROR(__xludf.DUMMYFUNCTION("""COMPUTED_VALUE"""),0.0)</f>
        <v>0</v>
      </c>
      <c r="BA262" s="3">
        <f>IFERROR(__xludf.DUMMYFUNCTION("""COMPUTED_VALUE"""),0.0)</f>
        <v>0</v>
      </c>
      <c r="BB262" s="3">
        <f>IFERROR(__xludf.DUMMYFUNCTION("""COMPUTED_VALUE"""),0.0)</f>
        <v>0</v>
      </c>
      <c r="BC262" s="3">
        <f>IFERROR(__xludf.DUMMYFUNCTION("""COMPUTED_VALUE"""),0.0)</f>
        <v>0</v>
      </c>
      <c r="BD262" s="3">
        <f>IFERROR(__xludf.DUMMYFUNCTION("""COMPUTED_VALUE"""),0.0)</f>
        <v>0</v>
      </c>
      <c r="BE262" s="3">
        <f>IFERROR(__xludf.DUMMYFUNCTION("""COMPUTED_VALUE"""),0.0)</f>
        <v>0</v>
      </c>
      <c r="BF262" s="3">
        <f>IFERROR(__xludf.DUMMYFUNCTION("""COMPUTED_VALUE"""),0.0)</f>
        <v>0</v>
      </c>
      <c r="BG262" s="3">
        <f>IFERROR(__xludf.DUMMYFUNCTION("""COMPUTED_VALUE"""),0.0)</f>
        <v>0</v>
      </c>
      <c r="BH262" s="3">
        <f>IFERROR(__xludf.DUMMYFUNCTION("""COMPUTED_VALUE"""),0.0)</f>
        <v>0</v>
      </c>
      <c r="BI262" s="3">
        <f>IFERROR(__xludf.DUMMYFUNCTION("""COMPUTED_VALUE"""),0.0)</f>
        <v>0</v>
      </c>
      <c r="BJ262" s="3">
        <f>IFERROR(__xludf.DUMMYFUNCTION("""COMPUTED_VALUE"""),0.0)</f>
        <v>0</v>
      </c>
      <c r="BK262" s="3">
        <f>IFERROR(__xludf.DUMMYFUNCTION("""COMPUTED_VALUE"""),0.0)</f>
        <v>0</v>
      </c>
      <c r="BL262" s="3">
        <f>IFERROR(__xludf.DUMMYFUNCTION("""COMPUTED_VALUE"""),0.0)</f>
        <v>0</v>
      </c>
      <c r="BM262" s="3">
        <f>IFERROR(__xludf.DUMMYFUNCTION("""COMPUTED_VALUE"""),0.0)</f>
        <v>0</v>
      </c>
      <c r="BN262" s="3">
        <f>IFERROR(__xludf.DUMMYFUNCTION("""COMPUTED_VALUE"""),0.0)</f>
        <v>0</v>
      </c>
      <c r="BO262" s="3">
        <f>IFERROR(__xludf.DUMMYFUNCTION("""COMPUTED_VALUE"""),0.0)</f>
        <v>0</v>
      </c>
      <c r="BP262" s="3">
        <f>IFERROR(__xludf.DUMMYFUNCTION("""COMPUTED_VALUE"""),0.0)</f>
        <v>0</v>
      </c>
      <c r="BQ262" s="3">
        <f>IFERROR(__xludf.DUMMYFUNCTION("""COMPUTED_VALUE"""),0.0)</f>
        <v>0</v>
      </c>
      <c r="BR262" s="3">
        <f>IFERROR(__xludf.DUMMYFUNCTION("""COMPUTED_VALUE"""),0.0)</f>
        <v>0</v>
      </c>
      <c r="BS262" s="3">
        <f>IFERROR(__xludf.DUMMYFUNCTION("""COMPUTED_VALUE"""),0.0)</f>
        <v>0</v>
      </c>
      <c r="BT262" s="3">
        <f>IFERROR(__xludf.DUMMYFUNCTION("""COMPUTED_VALUE"""),0.0)</f>
        <v>0</v>
      </c>
      <c r="BU262" s="3">
        <f>IFERROR(__xludf.DUMMYFUNCTION("""COMPUTED_VALUE"""),0.0)</f>
        <v>0</v>
      </c>
      <c r="BV262" s="3">
        <f>IFERROR(__xludf.DUMMYFUNCTION("""COMPUTED_VALUE"""),0.0)</f>
        <v>0</v>
      </c>
      <c r="BW262" s="3">
        <f>IFERROR(__xludf.DUMMYFUNCTION("""COMPUTED_VALUE"""),0.0)</f>
        <v>0</v>
      </c>
      <c r="BX262" s="3">
        <f>IFERROR(__xludf.DUMMYFUNCTION("""COMPUTED_VALUE"""),0.0)</f>
        <v>0</v>
      </c>
      <c r="BY262" s="3">
        <f>IFERROR(__xludf.DUMMYFUNCTION("""COMPUTED_VALUE"""),0.0)</f>
        <v>0</v>
      </c>
      <c r="BZ262" s="3">
        <f>IFERROR(__xludf.DUMMYFUNCTION("""COMPUTED_VALUE"""),0.0)</f>
        <v>0</v>
      </c>
      <c r="CA262" s="3">
        <f>IFERROR(__xludf.DUMMYFUNCTION("""COMPUTED_VALUE"""),1.0)</f>
        <v>1</v>
      </c>
      <c r="CB262" s="3">
        <f>IFERROR(__xludf.DUMMYFUNCTION("""COMPUTED_VALUE"""),1.0)</f>
        <v>1</v>
      </c>
    </row>
    <row r="263">
      <c r="A263" s="3" t="str">
        <f>IFERROR(__xludf.DUMMYFUNCTION("""COMPUTED_VALUE"""),"")</f>
        <v/>
      </c>
      <c r="B263" s="3" t="str">
        <f>IFERROR(__xludf.DUMMYFUNCTION("""COMPUTED_VALUE"""),"Western Sahara")</f>
        <v>Western Sahara</v>
      </c>
      <c r="C263" s="3">
        <f>IFERROR(__xludf.DUMMYFUNCTION("""COMPUTED_VALUE"""),24.2155)</f>
        <v>24.2155</v>
      </c>
      <c r="D263" s="3">
        <f>IFERROR(__xludf.DUMMYFUNCTION("""COMPUTED_VALUE"""),-12.8858)</f>
        <v>-12.8858</v>
      </c>
      <c r="E263" s="3">
        <f>IFERROR(__xludf.DUMMYFUNCTION("""COMPUTED_VALUE"""),0.0)</f>
        <v>0</v>
      </c>
      <c r="F263" s="3">
        <f>IFERROR(__xludf.DUMMYFUNCTION("""COMPUTED_VALUE"""),0.0)</f>
        <v>0</v>
      </c>
      <c r="G263" s="3">
        <f>IFERROR(__xludf.DUMMYFUNCTION("""COMPUTED_VALUE"""),0.0)</f>
        <v>0</v>
      </c>
      <c r="H263" s="3">
        <f>IFERROR(__xludf.DUMMYFUNCTION("""COMPUTED_VALUE"""),0.0)</f>
        <v>0</v>
      </c>
      <c r="I263" s="3">
        <f>IFERROR(__xludf.DUMMYFUNCTION("""COMPUTED_VALUE"""),0.0)</f>
        <v>0</v>
      </c>
      <c r="J263" s="3">
        <f>IFERROR(__xludf.DUMMYFUNCTION("""COMPUTED_VALUE"""),0.0)</f>
        <v>0</v>
      </c>
      <c r="K263" s="3">
        <f>IFERROR(__xludf.DUMMYFUNCTION("""COMPUTED_VALUE"""),0.0)</f>
        <v>0</v>
      </c>
      <c r="L263" s="3">
        <f>IFERROR(__xludf.DUMMYFUNCTION("""COMPUTED_VALUE"""),0.0)</f>
        <v>0</v>
      </c>
      <c r="M263" s="3">
        <f>IFERROR(__xludf.DUMMYFUNCTION("""COMPUTED_VALUE"""),0.0)</f>
        <v>0</v>
      </c>
      <c r="N263" s="3">
        <f>IFERROR(__xludf.DUMMYFUNCTION("""COMPUTED_VALUE"""),0.0)</f>
        <v>0</v>
      </c>
      <c r="O263" s="3">
        <f>IFERROR(__xludf.DUMMYFUNCTION("""COMPUTED_VALUE"""),0.0)</f>
        <v>0</v>
      </c>
      <c r="P263" s="3">
        <f>IFERROR(__xludf.DUMMYFUNCTION("""COMPUTED_VALUE"""),0.0)</f>
        <v>0</v>
      </c>
      <c r="Q263" s="3">
        <f>IFERROR(__xludf.DUMMYFUNCTION("""COMPUTED_VALUE"""),0.0)</f>
        <v>0</v>
      </c>
      <c r="R263" s="3">
        <f>IFERROR(__xludf.DUMMYFUNCTION("""COMPUTED_VALUE"""),0.0)</f>
        <v>0</v>
      </c>
      <c r="S263" s="3">
        <f>IFERROR(__xludf.DUMMYFUNCTION("""COMPUTED_VALUE"""),0.0)</f>
        <v>0</v>
      </c>
      <c r="T263" s="3">
        <f>IFERROR(__xludf.DUMMYFUNCTION("""COMPUTED_VALUE"""),0.0)</f>
        <v>0</v>
      </c>
      <c r="U263" s="3">
        <f>IFERROR(__xludf.DUMMYFUNCTION("""COMPUTED_VALUE"""),0.0)</f>
        <v>0</v>
      </c>
      <c r="V263" s="3">
        <f>IFERROR(__xludf.DUMMYFUNCTION("""COMPUTED_VALUE"""),0.0)</f>
        <v>0</v>
      </c>
      <c r="W263" s="3">
        <f>IFERROR(__xludf.DUMMYFUNCTION("""COMPUTED_VALUE"""),0.0)</f>
        <v>0</v>
      </c>
      <c r="X263" s="3">
        <f>IFERROR(__xludf.DUMMYFUNCTION("""COMPUTED_VALUE"""),0.0)</f>
        <v>0</v>
      </c>
      <c r="Y263" s="3">
        <f>IFERROR(__xludf.DUMMYFUNCTION("""COMPUTED_VALUE"""),0.0)</f>
        <v>0</v>
      </c>
      <c r="Z263" s="3">
        <f>IFERROR(__xludf.DUMMYFUNCTION("""COMPUTED_VALUE"""),0.0)</f>
        <v>0</v>
      </c>
      <c r="AA263" s="3">
        <f>IFERROR(__xludf.DUMMYFUNCTION("""COMPUTED_VALUE"""),0.0)</f>
        <v>0</v>
      </c>
      <c r="AB263" s="3">
        <f>IFERROR(__xludf.DUMMYFUNCTION("""COMPUTED_VALUE"""),0.0)</f>
        <v>0</v>
      </c>
      <c r="AC263" s="3">
        <f>IFERROR(__xludf.DUMMYFUNCTION("""COMPUTED_VALUE"""),0.0)</f>
        <v>0</v>
      </c>
      <c r="AD263" s="3">
        <f>IFERROR(__xludf.DUMMYFUNCTION("""COMPUTED_VALUE"""),0.0)</f>
        <v>0</v>
      </c>
      <c r="AE263" s="3">
        <f>IFERROR(__xludf.DUMMYFUNCTION("""COMPUTED_VALUE"""),0.0)</f>
        <v>0</v>
      </c>
      <c r="AF263" s="3">
        <f>IFERROR(__xludf.DUMMYFUNCTION("""COMPUTED_VALUE"""),0.0)</f>
        <v>0</v>
      </c>
      <c r="AG263" s="3">
        <f>IFERROR(__xludf.DUMMYFUNCTION("""COMPUTED_VALUE"""),0.0)</f>
        <v>0</v>
      </c>
      <c r="AH263" s="3">
        <f>IFERROR(__xludf.DUMMYFUNCTION("""COMPUTED_VALUE"""),0.0)</f>
        <v>0</v>
      </c>
      <c r="AI263" s="3">
        <f>IFERROR(__xludf.DUMMYFUNCTION("""COMPUTED_VALUE"""),0.0)</f>
        <v>0</v>
      </c>
      <c r="AJ263" s="3">
        <f>IFERROR(__xludf.DUMMYFUNCTION("""COMPUTED_VALUE"""),0.0)</f>
        <v>0</v>
      </c>
      <c r="AK263" s="3">
        <f>IFERROR(__xludf.DUMMYFUNCTION("""COMPUTED_VALUE"""),0.0)</f>
        <v>0</v>
      </c>
      <c r="AL263" s="3">
        <f>IFERROR(__xludf.DUMMYFUNCTION("""COMPUTED_VALUE"""),0.0)</f>
        <v>0</v>
      </c>
      <c r="AM263" s="3">
        <f>IFERROR(__xludf.DUMMYFUNCTION("""COMPUTED_VALUE"""),0.0)</f>
        <v>0</v>
      </c>
      <c r="AN263" s="3">
        <f>IFERROR(__xludf.DUMMYFUNCTION("""COMPUTED_VALUE"""),0.0)</f>
        <v>0</v>
      </c>
      <c r="AO263" s="3">
        <f>IFERROR(__xludf.DUMMYFUNCTION("""COMPUTED_VALUE"""),0.0)</f>
        <v>0</v>
      </c>
      <c r="AP263" s="3">
        <f>IFERROR(__xludf.DUMMYFUNCTION("""COMPUTED_VALUE"""),0.0)</f>
        <v>0</v>
      </c>
      <c r="AQ263" s="3">
        <f>IFERROR(__xludf.DUMMYFUNCTION("""COMPUTED_VALUE"""),0.0)</f>
        <v>0</v>
      </c>
      <c r="AR263" s="3">
        <f>IFERROR(__xludf.DUMMYFUNCTION("""COMPUTED_VALUE"""),0.0)</f>
        <v>0</v>
      </c>
      <c r="AS263" s="3">
        <f>IFERROR(__xludf.DUMMYFUNCTION("""COMPUTED_VALUE"""),0.0)</f>
        <v>0</v>
      </c>
      <c r="AT263" s="3">
        <f>IFERROR(__xludf.DUMMYFUNCTION("""COMPUTED_VALUE"""),0.0)</f>
        <v>0</v>
      </c>
      <c r="AU263" s="3">
        <f>IFERROR(__xludf.DUMMYFUNCTION("""COMPUTED_VALUE"""),0.0)</f>
        <v>0</v>
      </c>
      <c r="AV263" s="3">
        <f>IFERROR(__xludf.DUMMYFUNCTION("""COMPUTED_VALUE"""),0.0)</f>
        <v>0</v>
      </c>
      <c r="AW263" s="3">
        <f>IFERROR(__xludf.DUMMYFUNCTION("""COMPUTED_VALUE"""),0.0)</f>
        <v>0</v>
      </c>
      <c r="AX263" s="3">
        <f>IFERROR(__xludf.DUMMYFUNCTION("""COMPUTED_VALUE"""),0.0)</f>
        <v>0</v>
      </c>
      <c r="AY263" s="3">
        <f>IFERROR(__xludf.DUMMYFUNCTION("""COMPUTED_VALUE"""),0.0)</f>
        <v>0</v>
      </c>
      <c r="AZ263" s="3">
        <f>IFERROR(__xludf.DUMMYFUNCTION("""COMPUTED_VALUE"""),0.0)</f>
        <v>0</v>
      </c>
      <c r="BA263" s="3">
        <f>IFERROR(__xludf.DUMMYFUNCTION("""COMPUTED_VALUE"""),0.0)</f>
        <v>0</v>
      </c>
      <c r="BB263" s="3">
        <f>IFERROR(__xludf.DUMMYFUNCTION("""COMPUTED_VALUE"""),0.0)</f>
        <v>0</v>
      </c>
      <c r="BC263" s="3">
        <f>IFERROR(__xludf.DUMMYFUNCTION("""COMPUTED_VALUE"""),0.0)</f>
        <v>0</v>
      </c>
      <c r="BD263" s="3">
        <f>IFERROR(__xludf.DUMMYFUNCTION("""COMPUTED_VALUE"""),0.0)</f>
        <v>0</v>
      </c>
      <c r="BE263" s="3">
        <f>IFERROR(__xludf.DUMMYFUNCTION("""COMPUTED_VALUE"""),0.0)</f>
        <v>0</v>
      </c>
      <c r="BF263" s="3">
        <f>IFERROR(__xludf.DUMMYFUNCTION("""COMPUTED_VALUE"""),0.0)</f>
        <v>0</v>
      </c>
      <c r="BG263" s="3">
        <f>IFERROR(__xludf.DUMMYFUNCTION("""COMPUTED_VALUE"""),0.0)</f>
        <v>0</v>
      </c>
      <c r="BH263" s="3">
        <f>IFERROR(__xludf.DUMMYFUNCTION("""COMPUTED_VALUE"""),0.0)</f>
        <v>0</v>
      </c>
      <c r="BI263" s="3">
        <f>IFERROR(__xludf.DUMMYFUNCTION("""COMPUTED_VALUE"""),0.0)</f>
        <v>0</v>
      </c>
      <c r="BJ263" s="3">
        <f>IFERROR(__xludf.DUMMYFUNCTION("""COMPUTED_VALUE"""),0.0)</f>
        <v>0</v>
      </c>
      <c r="BK263" s="3">
        <f>IFERROR(__xludf.DUMMYFUNCTION("""COMPUTED_VALUE"""),0.0)</f>
        <v>0</v>
      </c>
      <c r="BL263" s="3">
        <f>IFERROR(__xludf.DUMMYFUNCTION("""COMPUTED_VALUE"""),0.0)</f>
        <v>0</v>
      </c>
      <c r="BM263" s="3">
        <f>IFERROR(__xludf.DUMMYFUNCTION("""COMPUTED_VALUE"""),0.0)</f>
        <v>0</v>
      </c>
      <c r="BN263" s="3">
        <f>IFERROR(__xludf.DUMMYFUNCTION("""COMPUTED_VALUE"""),0.0)</f>
        <v>0</v>
      </c>
      <c r="BO263" s="3">
        <f>IFERROR(__xludf.DUMMYFUNCTION("""COMPUTED_VALUE"""),0.0)</f>
        <v>0</v>
      </c>
      <c r="BP263" s="3">
        <f>IFERROR(__xludf.DUMMYFUNCTION("""COMPUTED_VALUE"""),0.0)</f>
        <v>0</v>
      </c>
      <c r="BQ263" s="3">
        <f>IFERROR(__xludf.DUMMYFUNCTION("""COMPUTED_VALUE"""),0.0)</f>
        <v>0</v>
      </c>
      <c r="BR263" s="3">
        <f>IFERROR(__xludf.DUMMYFUNCTION("""COMPUTED_VALUE"""),0.0)</f>
        <v>0</v>
      </c>
      <c r="BS263" s="3">
        <f>IFERROR(__xludf.DUMMYFUNCTION("""COMPUTED_VALUE"""),0.0)</f>
        <v>0</v>
      </c>
      <c r="BT263" s="3">
        <f>IFERROR(__xludf.DUMMYFUNCTION("""COMPUTED_VALUE"""),0.0)</f>
        <v>0</v>
      </c>
      <c r="BU263" s="3">
        <f>IFERROR(__xludf.DUMMYFUNCTION("""COMPUTED_VALUE"""),0.0)</f>
        <v>0</v>
      </c>
      <c r="BV263" s="3">
        <f>IFERROR(__xludf.DUMMYFUNCTION("""COMPUTED_VALUE"""),0.0)</f>
        <v>0</v>
      </c>
      <c r="BW263" s="3">
        <f>IFERROR(__xludf.DUMMYFUNCTION("""COMPUTED_VALUE"""),0.0)</f>
        <v>0</v>
      </c>
      <c r="BX263" s="3">
        <f>IFERROR(__xludf.DUMMYFUNCTION("""COMPUTED_VALUE"""),0.0)</f>
        <v>0</v>
      </c>
      <c r="BY263" s="3">
        <f>IFERROR(__xludf.DUMMYFUNCTION("""COMPUTED_VALUE"""),0.0)</f>
        <v>0</v>
      </c>
      <c r="BZ263" s="3">
        <f>IFERROR(__xludf.DUMMYFUNCTION("""COMPUTED_VALUE"""),0.0)</f>
        <v>0</v>
      </c>
      <c r="CA263" s="3">
        <f>IFERROR(__xludf.DUMMYFUNCTION("""COMPUTED_VALUE"""),4.0)</f>
        <v>4</v>
      </c>
      <c r="CB263" s="3">
        <f>IFERROR(__xludf.DUMMYFUNCTION("""COMPUTED_VALUE"""),4.0)</f>
        <v>4</v>
      </c>
    </row>
    <row r="264">
      <c r="A264" s="3" t="str">
        <f>IFERROR(__xludf.DUMMYFUNCTION("""COMPUTED_VALUE"""),"")</f>
        <v/>
      </c>
      <c r="B264" s="3" t="str">
        <f>IFERROR(__xludf.DUMMYFUNCTION("""COMPUTED_VALUE"""),"Sao Tome and Principe")</f>
        <v>Sao Tome and Principe</v>
      </c>
      <c r="C264" s="3">
        <f>IFERROR(__xludf.DUMMYFUNCTION("""COMPUTED_VALUE"""),0.18636)</f>
        <v>0.18636</v>
      </c>
      <c r="D264" s="3">
        <f>IFERROR(__xludf.DUMMYFUNCTION("""COMPUTED_VALUE"""),6.613081)</f>
        <v>6.613081</v>
      </c>
      <c r="E264" s="3">
        <f>IFERROR(__xludf.DUMMYFUNCTION("""COMPUTED_VALUE"""),0.0)</f>
        <v>0</v>
      </c>
      <c r="F264" s="3">
        <f>IFERROR(__xludf.DUMMYFUNCTION("""COMPUTED_VALUE"""),0.0)</f>
        <v>0</v>
      </c>
      <c r="G264" s="3">
        <f>IFERROR(__xludf.DUMMYFUNCTION("""COMPUTED_VALUE"""),0.0)</f>
        <v>0</v>
      </c>
      <c r="H264" s="3">
        <f>IFERROR(__xludf.DUMMYFUNCTION("""COMPUTED_VALUE"""),0.0)</f>
        <v>0</v>
      </c>
      <c r="I264" s="3">
        <f>IFERROR(__xludf.DUMMYFUNCTION("""COMPUTED_VALUE"""),0.0)</f>
        <v>0</v>
      </c>
      <c r="J264" s="3">
        <f>IFERROR(__xludf.DUMMYFUNCTION("""COMPUTED_VALUE"""),0.0)</f>
        <v>0</v>
      </c>
      <c r="K264" s="3">
        <f>IFERROR(__xludf.DUMMYFUNCTION("""COMPUTED_VALUE"""),0.0)</f>
        <v>0</v>
      </c>
      <c r="L264" s="3">
        <f>IFERROR(__xludf.DUMMYFUNCTION("""COMPUTED_VALUE"""),0.0)</f>
        <v>0</v>
      </c>
      <c r="M264" s="3">
        <f>IFERROR(__xludf.DUMMYFUNCTION("""COMPUTED_VALUE"""),0.0)</f>
        <v>0</v>
      </c>
      <c r="N264" s="3">
        <f>IFERROR(__xludf.DUMMYFUNCTION("""COMPUTED_VALUE"""),0.0)</f>
        <v>0</v>
      </c>
      <c r="O264" s="3">
        <f>IFERROR(__xludf.DUMMYFUNCTION("""COMPUTED_VALUE"""),0.0)</f>
        <v>0</v>
      </c>
      <c r="P264" s="3">
        <f>IFERROR(__xludf.DUMMYFUNCTION("""COMPUTED_VALUE"""),0.0)</f>
        <v>0</v>
      </c>
      <c r="Q264" s="3">
        <f>IFERROR(__xludf.DUMMYFUNCTION("""COMPUTED_VALUE"""),0.0)</f>
        <v>0</v>
      </c>
      <c r="R264" s="3">
        <f>IFERROR(__xludf.DUMMYFUNCTION("""COMPUTED_VALUE"""),0.0)</f>
        <v>0</v>
      </c>
      <c r="S264" s="3">
        <f>IFERROR(__xludf.DUMMYFUNCTION("""COMPUTED_VALUE"""),0.0)</f>
        <v>0</v>
      </c>
      <c r="T264" s="3">
        <f>IFERROR(__xludf.DUMMYFUNCTION("""COMPUTED_VALUE"""),0.0)</f>
        <v>0</v>
      </c>
      <c r="U264" s="3">
        <f>IFERROR(__xludf.DUMMYFUNCTION("""COMPUTED_VALUE"""),0.0)</f>
        <v>0</v>
      </c>
      <c r="V264" s="3">
        <f>IFERROR(__xludf.DUMMYFUNCTION("""COMPUTED_VALUE"""),0.0)</f>
        <v>0</v>
      </c>
      <c r="W264" s="3">
        <f>IFERROR(__xludf.DUMMYFUNCTION("""COMPUTED_VALUE"""),0.0)</f>
        <v>0</v>
      </c>
      <c r="X264" s="3">
        <f>IFERROR(__xludf.DUMMYFUNCTION("""COMPUTED_VALUE"""),0.0)</f>
        <v>0</v>
      </c>
      <c r="Y264" s="3">
        <f>IFERROR(__xludf.DUMMYFUNCTION("""COMPUTED_VALUE"""),0.0)</f>
        <v>0</v>
      </c>
      <c r="Z264" s="3">
        <f>IFERROR(__xludf.DUMMYFUNCTION("""COMPUTED_VALUE"""),0.0)</f>
        <v>0</v>
      </c>
      <c r="AA264" s="3">
        <f>IFERROR(__xludf.DUMMYFUNCTION("""COMPUTED_VALUE"""),0.0)</f>
        <v>0</v>
      </c>
      <c r="AB264" s="3">
        <f>IFERROR(__xludf.DUMMYFUNCTION("""COMPUTED_VALUE"""),0.0)</f>
        <v>0</v>
      </c>
      <c r="AC264" s="3">
        <f>IFERROR(__xludf.DUMMYFUNCTION("""COMPUTED_VALUE"""),0.0)</f>
        <v>0</v>
      </c>
      <c r="AD264" s="3">
        <f>IFERROR(__xludf.DUMMYFUNCTION("""COMPUTED_VALUE"""),0.0)</f>
        <v>0</v>
      </c>
      <c r="AE264" s="3">
        <f>IFERROR(__xludf.DUMMYFUNCTION("""COMPUTED_VALUE"""),0.0)</f>
        <v>0</v>
      </c>
      <c r="AF264" s="3">
        <f>IFERROR(__xludf.DUMMYFUNCTION("""COMPUTED_VALUE"""),0.0)</f>
        <v>0</v>
      </c>
      <c r="AG264" s="3">
        <f>IFERROR(__xludf.DUMMYFUNCTION("""COMPUTED_VALUE"""),0.0)</f>
        <v>0</v>
      </c>
      <c r="AH264" s="3">
        <f>IFERROR(__xludf.DUMMYFUNCTION("""COMPUTED_VALUE"""),0.0)</f>
        <v>0</v>
      </c>
      <c r="AI264" s="3">
        <f>IFERROR(__xludf.DUMMYFUNCTION("""COMPUTED_VALUE"""),0.0)</f>
        <v>0</v>
      </c>
      <c r="AJ264" s="3">
        <f>IFERROR(__xludf.DUMMYFUNCTION("""COMPUTED_VALUE"""),0.0)</f>
        <v>0</v>
      </c>
      <c r="AK264" s="3">
        <f>IFERROR(__xludf.DUMMYFUNCTION("""COMPUTED_VALUE"""),0.0)</f>
        <v>0</v>
      </c>
      <c r="AL264" s="3">
        <f>IFERROR(__xludf.DUMMYFUNCTION("""COMPUTED_VALUE"""),0.0)</f>
        <v>0</v>
      </c>
      <c r="AM264" s="3">
        <f>IFERROR(__xludf.DUMMYFUNCTION("""COMPUTED_VALUE"""),0.0)</f>
        <v>0</v>
      </c>
      <c r="AN264" s="3">
        <f>IFERROR(__xludf.DUMMYFUNCTION("""COMPUTED_VALUE"""),0.0)</f>
        <v>0</v>
      </c>
      <c r="AO264" s="3">
        <f>IFERROR(__xludf.DUMMYFUNCTION("""COMPUTED_VALUE"""),0.0)</f>
        <v>0</v>
      </c>
      <c r="AP264" s="3">
        <f>IFERROR(__xludf.DUMMYFUNCTION("""COMPUTED_VALUE"""),0.0)</f>
        <v>0</v>
      </c>
      <c r="AQ264" s="3">
        <f>IFERROR(__xludf.DUMMYFUNCTION("""COMPUTED_VALUE"""),0.0)</f>
        <v>0</v>
      </c>
      <c r="AR264" s="3">
        <f>IFERROR(__xludf.DUMMYFUNCTION("""COMPUTED_VALUE"""),0.0)</f>
        <v>0</v>
      </c>
      <c r="AS264" s="3">
        <f>IFERROR(__xludf.DUMMYFUNCTION("""COMPUTED_VALUE"""),0.0)</f>
        <v>0</v>
      </c>
      <c r="AT264" s="3">
        <f>IFERROR(__xludf.DUMMYFUNCTION("""COMPUTED_VALUE"""),0.0)</f>
        <v>0</v>
      </c>
      <c r="AU264" s="3">
        <f>IFERROR(__xludf.DUMMYFUNCTION("""COMPUTED_VALUE"""),0.0)</f>
        <v>0</v>
      </c>
      <c r="AV264" s="3">
        <f>IFERROR(__xludf.DUMMYFUNCTION("""COMPUTED_VALUE"""),0.0)</f>
        <v>0</v>
      </c>
      <c r="AW264" s="3">
        <f>IFERROR(__xludf.DUMMYFUNCTION("""COMPUTED_VALUE"""),0.0)</f>
        <v>0</v>
      </c>
      <c r="AX264" s="3">
        <f>IFERROR(__xludf.DUMMYFUNCTION("""COMPUTED_VALUE"""),0.0)</f>
        <v>0</v>
      </c>
      <c r="AY264" s="3">
        <f>IFERROR(__xludf.DUMMYFUNCTION("""COMPUTED_VALUE"""),0.0)</f>
        <v>0</v>
      </c>
      <c r="AZ264" s="3">
        <f>IFERROR(__xludf.DUMMYFUNCTION("""COMPUTED_VALUE"""),0.0)</f>
        <v>0</v>
      </c>
      <c r="BA264" s="3">
        <f>IFERROR(__xludf.DUMMYFUNCTION("""COMPUTED_VALUE"""),0.0)</f>
        <v>0</v>
      </c>
      <c r="BB264" s="3">
        <f>IFERROR(__xludf.DUMMYFUNCTION("""COMPUTED_VALUE"""),0.0)</f>
        <v>0</v>
      </c>
      <c r="BC264" s="3">
        <f>IFERROR(__xludf.DUMMYFUNCTION("""COMPUTED_VALUE"""),0.0)</f>
        <v>0</v>
      </c>
      <c r="BD264" s="3">
        <f>IFERROR(__xludf.DUMMYFUNCTION("""COMPUTED_VALUE"""),0.0)</f>
        <v>0</v>
      </c>
      <c r="BE264" s="3">
        <f>IFERROR(__xludf.DUMMYFUNCTION("""COMPUTED_VALUE"""),0.0)</f>
        <v>0</v>
      </c>
      <c r="BF264" s="3">
        <f>IFERROR(__xludf.DUMMYFUNCTION("""COMPUTED_VALUE"""),0.0)</f>
        <v>0</v>
      </c>
      <c r="BG264" s="3">
        <f>IFERROR(__xludf.DUMMYFUNCTION("""COMPUTED_VALUE"""),0.0)</f>
        <v>0</v>
      </c>
      <c r="BH264" s="3">
        <f>IFERROR(__xludf.DUMMYFUNCTION("""COMPUTED_VALUE"""),0.0)</f>
        <v>0</v>
      </c>
      <c r="BI264" s="3">
        <f>IFERROR(__xludf.DUMMYFUNCTION("""COMPUTED_VALUE"""),0.0)</f>
        <v>0</v>
      </c>
      <c r="BJ264" s="3">
        <f>IFERROR(__xludf.DUMMYFUNCTION("""COMPUTED_VALUE"""),0.0)</f>
        <v>0</v>
      </c>
      <c r="BK264" s="3">
        <f>IFERROR(__xludf.DUMMYFUNCTION("""COMPUTED_VALUE"""),0.0)</f>
        <v>0</v>
      </c>
      <c r="BL264" s="3">
        <f>IFERROR(__xludf.DUMMYFUNCTION("""COMPUTED_VALUE"""),0.0)</f>
        <v>0</v>
      </c>
      <c r="BM264" s="3">
        <f>IFERROR(__xludf.DUMMYFUNCTION("""COMPUTED_VALUE"""),0.0)</f>
        <v>0</v>
      </c>
      <c r="BN264" s="3">
        <f>IFERROR(__xludf.DUMMYFUNCTION("""COMPUTED_VALUE"""),0.0)</f>
        <v>0</v>
      </c>
      <c r="BO264" s="3">
        <f>IFERROR(__xludf.DUMMYFUNCTION("""COMPUTED_VALUE"""),0.0)</f>
        <v>0</v>
      </c>
      <c r="BP264" s="3">
        <f>IFERROR(__xludf.DUMMYFUNCTION("""COMPUTED_VALUE"""),0.0)</f>
        <v>0</v>
      </c>
      <c r="BQ264" s="3">
        <f>IFERROR(__xludf.DUMMYFUNCTION("""COMPUTED_VALUE"""),0.0)</f>
        <v>0</v>
      </c>
      <c r="BR264" s="3">
        <f>IFERROR(__xludf.DUMMYFUNCTION("""COMPUTED_VALUE"""),0.0)</f>
        <v>0</v>
      </c>
      <c r="BS264" s="3">
        <f>IFERROR(__xludf.DUMMYFUNCTION("""COMPUTED_VALUE"""),0.0)</f>
        <v>0</v>
      </c>
      <c r="BT264" s="3">
        <f>IFERROR(__xludf.DUMMYFUNCTION("""COMPUTED_VALUE"""),0.0)</f>
        <v>0</v>
      </c>
      <c r="BU264" s="3">
        <f>IFERROR(__xludf.DUMMYFUNCTION("""COMPUTED_VALUE"""),0.0)</f>
        <v>0</v>
      </c>
      <c r="BV264" s="3">
        <f>IFERROR(__xludf.DUMMYFUNCTION("""COMPUTED_VALUE"""),0.0)</f>
        <v>0</v>
      </c>
      <c r="BW264" s="3">
        <f>IFERROR(__xludf.DUMMYFUNCTION("""COMPUTED_VALUE"""),0.0)</f>
        <v>0</v>
      </c>
      <c r="BX264" s="3">
        <f>IFERROR(__xludf.DUMMYFUNCTION("""COMPUTED_VALUE"""),0.0)</f>
        <v>0</v>
      </c>
      <c r="BY264" s="3">
        <f>IFERROR(__xludf.DUMMYFUNCTION("""COMPUTED_VALUE"""),0.0)</f>
        <v>0</v>
      </c>
      <c r="BZ264" s="3">
        <f>IFERROR(__xludf.DUMMYFUNCTION("""COMPUTED_VALUE"""),0.0)</f>
        <v>0</v>
      </c>
      <c r="CA264" s="3">
        <f>IFERROR(__xludf.DUMMYFUNCTION("""COMPUTED_VALUE"""),0.0)</f>
        <v>0</v>
      </c>
      <c r="CB264" s="3">
        <f>IFERROR(__xludf.DUMMYFUNCTION("""COMPUTED_VALUE"""),4.0)</f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29"/>
    <col customWidth="1" min="3" max="3" width="19.0"/>
  </cols>
  <sheetData>
    <row r="1">
      <c r="A1" s="1"/>
      <c r="B1" s="1" t="str">
        <f>infections!B1</f>
        <v>Country/Region</v>
      </c>
      <c r="C1" s="1" t="str">
        <f>infections!C1</f>
        <v>Lat</v>
      </c>
      <c r="D1" s="1" t="str">
        <f>infections!D1</f>
        <v>Long</v>
      </c>
      <c r="E1" s="1">
        <f>infections!E1</f>
        <v>43852</v>
      </c>
      <c r="F1" s="1">
        <f>infections!F1</f>
        <v>43853</v>
      </c>
      <c r="G1" s="1">
        <f>infections!G1</f>
        <v>43854</v>
      </c>
      <c r="H1" s="1">
        <f>infections!H1</f>
        <v>43855</v>
      </c>
      <c r="I1" s="1">
        <f>infections!I1</f>
        <v>43856</v>
      </c>
      <c r="J1" s="1">
        <f>infections!J1</f>
        <v>43857</v>
      </c>
      <c r="K1" s="1">
        <f>infections!K1</f>
        <v>43858</v>
      </c>
      <c r="L1" s="1">
        <f>infections!L1</f>
        <v>43859</v>
      </c>
      <c r="M1" s="1">
        <f>infections!M1</f>
        <v>43860</v>
      </c>
      <c r="N1" s="1">
        <f>infections!N1</f>
        <v>43861</v>
      </c>
      <c r="O1" s="1">
        <f>infections!O1</f>
        <v>43862</v>
      </c>
      <c r="P1" s="1">
        <f>infections!P1</f>
        <v>43863</v>
      </c>
      <c r="Q1" s="1">
        <f>infections!Q1</f>
        <v>43864</v>
      </c>
      <c r="R1" s="1">
        <f>infections!R1</f>
        <v>43865</v>
      </c>
      <c r="S1" s="1">
        <f>infections!S1</f>
        <v>43866</v>
      </c>
      <c r="T1" s="1">
        <f>infections!T1</f>
        <v>43867</v>
      </c>
      <c r="U1" s="1">
        <f>infections!U1</f>
        <v>43868</v>
      </c>
      <c r="V1" s="1">
        <f>infections!V1</f>
        <v>43869</v>
      </c>
      <c r="W1" s="1">
        <f>infections!W1</f>
        <v>43870</v>
      </c>
      <c r="X1" s="1">
        <f>infections!X1</f>
        <v>43871</v>
      </c>
      <c r="Y1" s="1">
        <f>infections!Y1</f>
        <v>43872</v>
      </c>
      <c r="Z1" s="1">
        <f>infections!Z1</f>
        <v>43873</v>
      </c>
      <c r="AA1" s="1">
        <f>infections!AA1</f>
        <v>43874</v>
      </c>
      <c r="AB1" s="1">
        <f>infections!AB1</f>
        <v>43875</v>
      </c>
      <c r="AC1" s="1">
        <f>infections!AC1</f>
        <v>43876</v>
      </c>
      <c r="AD1" s="1">
        <f>infections!AD1</f>
        <v>43877</v>
      </c>
      <c r="AE1" s="1">
        <f>infections!AE1</f>
        <v>43878</v>
      </c>
      <c r="AF1" s="1">
        <f>infections!AF1</f>
        <v>43879</v>
      </c>
      <c r="AG1" s="1">
        <f>infections!AG1</f>
        <v>43880</v>
      </c>
      <c r="AH1" s="1">
        <f>infections!AH1</f>
        <v>43881</v>
      </c>
      <c r="AI1" s="1">
        <f>infections!AI1</f>
        <v>43882</v>
      </c>
      <c r="AJ1" s="1">
        <f>infections!AJ1</f>
        <v>43883</v>
      </c>
      <c r="AK1" s="1">
        <f>infections!AK1</f>
        <v>43884</v>
      </c>
      <c r="AL1" s="1">
        <f>infections!AL1</f>
        <v>43885</v>
      </c>
      <c r="AM1" s="1">
        <f>infections!AM1</f>
        <v>43886</v>
      </c>
      <c r="AN1" s="1">
        <f>infections!AN1</f>
        <v>43887</v>
      </c>
      <c r="AO1" s="1">
        <f>infections!AO1</f>
        <v>43888</v>
      </c>
      <c r="AP1" s="1">
        <f>infections!AP1</f>
        <v>43889</v>
      </c>
      <c r="AQ1" s="1">
        <f>infections!AQ1</f>
        <v>43890</v>
      </c>
      <c r="AR1" s="1">
        <f>infections!AR1</f>
        <v>43891</v>
      </c>
      <c r="AS1" s="1">
        <f>infections!AS1</f>
        <v>43892</v>
      </c>
      <c r="AT1" s="1">
        <f>infections!AT1</f>
        <v>43893</v>
      </c>
      <c r="AU1" s="1">
        <f>infections!AU1</f>
        <v>43894</v>
      </c>
      <c r="AV1" s="1">
        <f>infections!AV1</f>
        <v>43895</v>
      </c>
      <c r="AW1" s="1">
        <f>infections!AW1</f>
        <v>43896</v>
      </c>
      <c r="AX1" s="1">
        <f>infections!AX1</f>
        <v>43897</v>
      </c>
      <c r="AY1" s="1">
        <f>infections!AY1</f>
        <v>43898</v>
      </c>
      <c r="AZ1" s="1">
        <f>infections!AZ1</f>
        <v>43899</v>
      </c>
      <c r="BA1" s="1">
        <f>infections!BA1</f>
        <v>43900</v>
      </c>
      <c r="BB1" s="1">
        <f>infections!BB1</f>
        <v>43901</v>
      </c>
      <c r="BC1" s="1">
        <f>infections!BC1</f>
        <v>43902</v>
      </c>
      <c r="BD1" s="1">
        <f>infections!BD1</f>
        <v>43903</v>
      </c>
      <c r="BE1" s="1">
        <f>infections!BE1</f>
        <v>43904</v>
      </c>
      <c r="BF1" s="1">
        <f>infections!BF1</f>
        <v>43905</v>
      </c>
      <c r="BG1" s="1">
        <f>infections!BG1</f>
        <v>43906</v>
      </c>
      <c r="BH1" s="1">
        <f>infections!BH1</f>
        <v>43907</v>
      </c>
      <c r="BI1" s="1">
        <f>infections!BI1</f>
        <v>43908</v>
      </c>
      <c r="BJ1" s="1">
        <f>infections!BJ1</f>
        <v>43909</v>
      </c>
      <c r="BK1" s="1">
        <f>infections!BK1</f>
        <v>43910</v>
      </c>
      <c r="BL1" s="1">
        <f>infections!BL1</f>
        <v>43911</v>
      </c>
      <c r="BM1" s="1">
        <f>infections!BM1</f>
        <v>43912</v>
      </c>
      <c r="BN1" s="1">
        <f>infections!BN1</f>
        <v>43913</v>
      </c>
      <c r="BO1" s="1">
        <f>infections!BO1</f>
        <v>43914</v>
      </c>
      <c r="BP1" s="1">
        <f>infections!BP1</f>
        <v>43915</v>
      </c>
      <c r="BQ1" s="1">
        <f>infections!BQ1</f>
        <v>43916</v>
      </c>
      <c r="BR1" s="1">
        <f>infections!BR1</f>
        <v>43917</v>
      </c>
      <c r="BS1" s="1">
        <f>infections!BS1</f>
        <v>43918</v>
      </c>
      <c r="BT1" s="1">
        <f>infections!BT1</f>
        <v>43919</v>
      </c>
      <c r="BU1" s="1">
        <f>infections!BU1</f>
        <v>43920</v>
      </c>
      <c r="BV1" s="1">
        <f>infections!BV1</f>
        <v>43921</v>
      </c>
      <c r="BW1" s="1">
        <f>infections!BW1</f>
        <v>43922</v>
      </c>
      <c r="BX1" s="1">
        <f>infections!BX1</f>
        <v>43923</v>
      </c>
      <c r="BY1" s="1">
        <f>infections!BY1</f>
        <v>43924</v>
      </c>
      <c r="BZ1" s="1"/>
      <c r="CA1" s="1"/>
      <c r="CB1" s="1"/>
      <c r="CC1" s="1"/>
      <c r="CD1" s="1"/>
    </row>
    <row r="2">
      <c r="B2" s="1" t="str">
        <f>infections!B2</f>
        <v>Afghanistan</v>
      </c>
      <c r="C2" s="4">
        <f>infections!C2</f>
        <v>33</v>
      </c>
      <c r="D2" s="4">
        <f>infections!D2</f>
        <v>65</v>
      </c>
      <c r="E2" s="4">
        <f>infections!E2</f>
        <v>0</v>
      </c>
      <c r="F2" s="3">
        <f>infections!F2-infections!E2</f>
        <v>0</v>
      </c>
      <c r="G2" s="3">
        <f>infections!G2-infections!F2</f>
        <v>0</v>
      </c>
      <c r="H2" s="3">
        <f>infections!H2-infections!G2</f>
        <v>0</v>
      </c>
      <c r="I2" s="3">
        <f>infections!I2-infections!H2</f>
        <v>0</v>
      </c>
      <c r="J2" s="3">
        <f>infections!J2-infections!I2</f>
        <v>0</v>
      </c>
      <c r="K2" s="3">
        <f>infections!K2-infections!J2</f>
        <v>0</v>
      </c>
      <c r="L2" s="3">
        <f>infections!L2-infections!K2</f>
        <v>0</v>
      </c>
      <c r="M2" s="3">
        <f>infections!M2-infections!L2</f>
        <v>0</v>
      </c>
      <c r="N2" s="3">
        <f>infections!N2-infections!M2</f>
        <v>0</v>
      </c>
      <c r="O2" s="3">
        <f>infections!O2-infections!N2</f>
        <v>0</v>
      </c>
      <c r="P2" s="3">
        <f>infections!P2-infections!O2</f>
        <v>0</v>
      </c>
      <c r="Q2" s="3">
        <f>infections!Q2-infections!P2</f>
        <v>0</v>
      </c>
      <c r="R2" s="3">
        <f>infections!R2-infections!Q2</f>
        <v>0</v>
      </c>
      <c r="S2" s="3">
        <f>infections!S2-infections!R2</f>
        <v>0</v>
      </c>
      <c r="T2" s="3">
        <f>infections!T2-infections!S2</f>
        <v>0</v>
      </c>
      <c r="U2" s="3">
        <f>infections!U2-infections!T2</f>
        <v>0</v>
      </c>
      <c r="V2" s="3">
        <f>infections!V2-infections!U2</f>
        <v>0</v>
      </c>
      <c r="W2" s="3">
        <f>infections!W2-infections!V2</f>
        <v>0</v>
      </c>
      <c r="X2" s="3">
        <f>infections!X2-infections!W2</f>
        <v>0</v>
      </c>
      <c r="Y2" s="3">
        <f>infections!Y2-infections!X2</f>
        <v>0</v>
      </c>
      <c r="Z2" s="3">
        <f>infections!Z2-infections!Y2</f>
        <v>0</v>
      </c>
      <c r="AA2" s="3">
        <f>infections!AA2-infections!Z2</f>
        <v>0</v>
      </c>
      <c r="AB2" s="3">
        <f>infections!AB2-infections!AA2</f>
        <v>0</v>
      </c>
      <c r="AC2" s="3">
        <f>infections!AC2-infections!AB2</f>
        <v>0</v>
      </c>
      <c r="AD2" s="3">
        <f>infections!AD2-infections!AC2</f>
        <v>0</v>
      </c>
      <c r="AE2" s="3">
        <f>infections!AE2-infections!AD2</f>
        <v>0</v>
      </c>
      <c r="AF2" s="3">
        <f>infections!AF2-infections!AE2</f>
        <v>0</v>
      </c>
      <c r="AG2" s="3">
        <f>infections!AG2-infections!AF2</f>
        <v>0</v>
      </c>
      <c r="AH2" s="3">
        <f>infections!AH2-infections!AG2</f>
        <v>0</v>
      </c>
      <c r="AI2" s="3">
        <f>infections!AI2-infections!AH2</f>
        <v>0</v>
      </c>
      <c r="AJ2" s="3">
        <f>infections!AJ2-infections!AI2</f>
        <v>0</v>
      </c>
      <c r="AK2" s="3">
        <f>infections!AK2-infections!AJ2</f>
        <v>0</v>
      </c>
      <c r="AL2" s="3">
        <f>infections!AL2-infections!AK2</f>
        <v>1</v>
      </c>
      <c r="AM2" s="3">
        <f>infections!AM2-infections!AL2</f>
        <v>0</v>
      </c>
      <c r="AN2" s="3">
        <f>infections!AN2-infections!AM2</f>
        <v>0</v>
      </c>
      <c r="AO2" s="3">
        <f>infections!AO2-infections!AN2</f>
        <v>0</v>
      </c>
      <c r="AP2" s="3">
        <f>infections!AP2-infections!AO2</f>
        <v>0</v>
      </c>
      <c r="AQ2" s="3">
        <f>infections!AQ2-infections!AP2</f>
        <v>0</v>
      </c>
      <c r="AR2" s="3">
        <f>infections!AR2-infections!AQ2</f>
        <v>0</v>
      </c>
      <c r="AS2" s="3">
        <f>infections!AS2-infections!AR2</f>
        <v>0</v>
      </c>
      <c r="AT2" s="3">
        <f>infections!AT2-infections!AS2</f>
        <v>0</v>
      </c>
      <c r="AU2" s="3">
        <f>infections!AU2-infections!AT2</f>
        <v>0</v>
      </c>
      <c r="AV2" s="3">
        <f>infections!AV2-infections!AU2</f>
        <v>0</v>
      </c>
      <c r="AW2" s="3">
        <f>infections!AW2-infections!AV2</f>
        <v>0</v>
      </c>
      <c r="AX2" s="3">
        <f>infections!AX2-infections!AW2</f>
        <v>0</v>
      </c>
      <c r="AY2" s="3">
        <f>infections!AY2-infections!AX2</f>
        <v>3</v>
      </c>
      <c r="AZ2" s="3">
        <f>infections!AZ2-infections!AY2</f>
        <v>0</v>
      </c>
      <c r="BA2" s="3">
        <f>infections!BA2-infections!AZ2</f>
        <v>1</v>
      </c>
      <c r="BB2" s="3">
        <f>infections!BB2-infections!BA2</f>
        <v>2</v>
      </c>
      <c r="BC2" s="3">
        <f>infections!BC2-infections!BB2</f>
        <v>0</v>
      </c>
      <c r="BD2" s="3">
        <f>infections!BD2-infections!BC2</f>
        <v>0</v>
      </c>
      <c r="BE2" s="3">
        <f>infections!BE2-infections!BD2</f>
        <v>4</v>
      </c>
      <c r="BF2" s="3">
        <f>infections!BF2-infections!BE2</f>
        <v>5</v>
      </c>
      <c r="BG2" s="3">
        <f>infections!BG2-infections!BF2</f>
        <v>5</v>
      </c>
      <c r="BH2" s="3">
        <f>infections!BH2-infections!BG2</f>
        <v>1</v>
      </c>
      <c r="BI2" s="3">
        <f>infections!BI2-infections!BH2</f>
        <v>0</v>
      </c>
      <c r="BJ2" s="3">
        <f>infections!BJ2-infections!BI2</f>
        <v>0</v>
      </c>
      <c r="BK2" s="3">
        <f>infections!BK2-infections!BJ2</f>
        <v>2</v>
      </c>
      <c r="BL2" s="3">
        <f>infections!BL2-infections!BK2</f>
        <v>0</v>
      </c>
      <c r="BM2" s="3">
        <f>infections!BM2-infections!BL2</f>
        <v>16</v>
      </c>
      <c r="BN2" s="3">
        <f>infections!BN2-infections!BM2</f>
        <v>0</v>
      </c>
      <c r="BO2" s="3">
        <f>infections!BO2-infections!BN2</f>
        <v>34</v>
      </c>
      <c r="BP2" s="3">
        <f>infections!BP2-infections!BO2</f>
        <v>10</v>
      </c>
      <c r="BQ2" s="3">
        <f>infections!BQ2-infections!BP2</f>
        <v>10</v>
      </c>
      <c r="BR2" s="3">
        <f>infections!BR2-infections!BQ2</f>
        <v>16</v>
      </c>
      <c r="BS2" s="3">
        <f>infections!BS2-infections!BR2</f>
        <v>0</v>
      </c>
      <c r="BT2" s="3">
        <f>infections!BT2-infections!BS2</f>
        <v>10</v>
      </c>
      <c r="BU2" s="3">
        <f>infections!BU2-infections!BT2</f>
        <v>50</v>
      </c>
      <c r="BV2" s="3">
        <f>infections!BV2-infections!BU2</f>
        <v>4</v>
      </c>
      <c r="BW2" s="3">
        <f>infections!BW2-infections!BV2</f>
        <v>63</v>
      </c>
      <c r="BX2" s="3">
        <f>infections!BX2-infections!BW2</f>
        <v>36</v>
      </c>
      <c r="BY2" s="3">
        <f>infections!BY2-infections!BX2</f>
        <v>8</v>
      </c>
    </row>
    <row r="3">
      <c r="B3" s="1" t="str">
        <f>infections!B3</f>
        <v>Albania</v>
      </c>
      <c r="C3" s="4">
        <f>infections!C3</f>
        <v>41.1533</v>
      </c>
      <c r="D3" s="4">
        <f>infections!D3</f>
        <v>20.1683</v>
      </c>
      <c r="E3" s="4">
        <f>infections!E3</f>
        <v>0</v>
      </c>
      <c r="F3" s="3">
        <f>infections!F3-infections!E3</f>
        <v>0</v>
      </c>
      <c r="G3" s="3">
        <f>infections!G3-infections!F3</f>
        <v>0</v>
      </c>
      <c r="H3" s="3">
        <f>infections!H3-infections!G3</f>
        <v>0</v>
      </c>
      <c r="I3" s="3">
        <f>infections!I3-infections!H3</f>
        <v>0</v>
      </c>
      <c r="J3" s="3">
        <f>infections!J3-infections!I3</f>
        <v>0</v>
      </c>
      <c r="K3" s="3">
        <f>infections!K3-infections!J3</f>
        <v>0</v>
      </c>
      <c r="L3" s="3">
        <f>infections!L3-infections!K3</f>
        <v>0</v>
      </c>
      <c r="M3" s="3">
        <f>infections!M3-infections!L3</f>
        <v>0</v>
      </c>
      <c r="N3" s="3">
        <f>infections!N3-infections!M3</f>
        <v>0</v>
      </c>
      <c r="O3" s="3">
        <f>infections!O3-infections!N3</f>
        <v>0</v>
      </c>
      <c r="P3" s="3">
        <f>infections!P3-infections!O3</f>
        <v>0</v>
      </c>
      <c r="Q3" s="3">
        <f>infections!Q3-infections!P3</f>
        <v>0</v>
      </c>
      <c r="R3" s="3">
        <f>infections!R3-infections!Q3</f>
        <v>0</v>
      </c>
      <c r="S3" s="3">
        <f>infections!S3-infections!R3</f>
        <v>0</v>
      </c>
      <c r="T3" s="3">
        <f>infections!T3-infections!S3</f>
        <v>0</v>
      </c>
      <c r="U3" s="3">
        <f>infections!U3-infections!T3</f>
        <v>0</v>
      </c>
      <c r="V3" s="3">
        <f>infections!V3-infections!U3</f>
        <v>0</v>
      </c>
      <c r="W3" s="3">
        <f>infections!W3-infections!V3</f>
        <v>0</v>
      </c>
      <c r="X3" s="3">
        <f>infections!X3-infections!W3</f>
        <v>0</v>
      </c>
      <c r="Y3" s="3">
        <f>infections!Y3-infections!X3</f>
        <v>0</v>
      </c>
      <c r="Z3" s="3">
        <f>infections!Z3-infections!Y3</f>
        <v>0</v>
      </c>
      <c r="AA3" s="3">
        <f>infections!AA3-infections!Z3</f>
        <v>0</v>
      </c>
      <c r="AB3" s="3">
        <f>infections!AB3-infections!AA3</f>
        <v>0</v>
      </c>
      <c r="AC3" s="3">
        <f>infections!AC3-infections!AB3</f>
        <v>0</v>
      </c>
      <c r="AD3" s="3">
        <f>infections!AD3-infections!AC3</f>
        <v>0</v>
      </c>
      <c r="AE3" s="3">
        <f>infections!AE3-infections!AD3</f>
        <v>0</v>
      </c>
      <c r="AF3" s="3">
        <f>infections!AF3-infections!AE3</f>
        <v>0</v>
      </c>
      <c r="AG3" s="3">
        <f>infections!AG3-infections!AF3</f>
        <v>0</v>
      </c>
      <c r="AH3" s="3">
        <f>infections!AH3-infections!AG3</f>
        <v>0</v>
      </c>
      <c r="AI3" s="3">
        <f>infections!AI3-infections!AH3</f>
        <v>0</v>
      </c>
      <c r="AJ3" s="3">
        <f>infections!AJ3-infections!AI3</f>
        <v>0</v>
      </c>
      <c r="AK3" s="3">
        <f>infections!AK3-infections!AJ3</f>
        <v>0</v>
      </c>
      <c r="AL3" s="3">
        <f>infections!AL3-infections!AK3</f>
        <v>0</v>
      </c>
      <c r="AM3" s="3">
        <f>infections!AM3-infections!AL3</f>
        <v>0</v>
      </c>
      <c r="AN3" s="3">
        <f>infections!AN3-infections!AM3</f>
        <v>0</v>
      </c>
      <c r="AO3" s="3">
        <f>infections!AO3-infections!AN3</f>
        <v>0</v>
      </c>
      <c r="AP3" s="3">
        <f>infections!AP3-infections!AO3</f>
        <v>0</v>
      </c>
      <c r="AQ3" s="3">
        <f>infections!AQ3-infections!AP3</f>
        <v>0</v>
      </c>
      <c r="AR3" s="3">
        <f>infections!AR3-infections!AQ3</f>
        <v>0</v>
      </c>
      <c r="AS3" s="3">
        <f>infections!AS3-infections!AR3</f>
        <v>0</v>
      </c>
      <c r="AT3" s="3">
        <f>infections!AT3-infections!AS3</f>
        <v>0</v>
      </c>
      <c r="AU3" s="3">
        <f>infections!AU3-infections!AT3</f>
        <v>0</v>
      </c>
      <c r="AV3" s="3">
        <f>infections!AV3-infections!AU3</f>
        <v>0</v>
      </c>
      <c r="AW3" s="3">
        <f>infections!AW3-infections!AV3</f>
        <v>0</v>
      </c>
      <c r="AX3" s="3">
        <f>infections!AX3-infections!AW3</f>
        <v>0</v>
      </c>
      <c r="AY3" s="3">
        <f>infections!AY3-infections!AX3</f>
        <v>0</v>
      </c>
      <c r="AZ3" s="3">
        <f>infections!AZ3-infections!AY3</f>
        <v>2</v>
      </c>
      <c r="BA3" s="3">
        <f>infections!BA3-infections!AZ3</f>
        <v>8</v>
      </c>
      <c r="BB3" s="3">
        <f>infections!BB3-infections!BA3</f>
        <v>2</v>
      </c>
      <c r="BC3" s="3">
        <f>infections!BC3-infections!BB3</f>
        <v>11</v>
      </c>
      <c r="BD3" s="3">
        <f>infections!BD3-infections!BC3</f>
        <v>10</v>
      </c>
      <c r="BE3" s="3">
        <f>infections!BE3-infections!BD3</f>
        <v>5</v>
      </c>
      <c r="BF3" s="3">
        <f>infections!BF3-infections!BE3</f>
        <v>4</v>
      </c>
      <c r="BG3" s="3">
        <f>infections!BG3-infections!BF3</f>
        <v>9</v>
      </c>
      <c r="BH3" s="3">
        <f>infections!BH3-infections!BG3</f>
        <v>4</v>
      </c>
      <c r="BI3" s="3">
        <f>infections!BI3-infections!BH3</f>
        <v>4</v>
      </c>
      <c r="BJ3" s="3">
        <f>infections!BJ3-infections!BI3</f>
        <v>5</v>
      </c>
      <c r="BK3" s="3">
        <f>infections!BK3-infections!BJ3</f>
        <v>6</v>
      </c>
      <c r="BL3" s="3">
        <f>infections!BL3-infections!BK3</f>
        <v>6</v>
      </c>
      <c r="BM3" s="3">
        <f>infections!BM3-infections!BL3</f>
        <v>13</v>
      </c>
      <c r="BN3" s="3">
        <f>infections!BN3-infections!BM3</f>
        <v>15</v>
      </c>
      <c r="BO3" s="3">
        <f>infections!BO3-infections!BN3</f>
        <v>19</v>
      </c>
      <c r="BP3" s="3">
        <f>infections!BP3-infections!BO3</f>
        <v>23</v>
      </c>
      <c r="BQ3" s="3">
        <f>infections!BQ3-infections!BP3</f>
        <v>28</v>
      </c>
      <c r="BR3" s="3">
        <f>infections!BR3-infections!BQ3</f>
        <v>12</v>
      </c>
      <c r="BS3" s="3">
        <f>infections!BS3-infections!BR3</f>
        <v>11</v>
      </c>
      <c r="BT3" s="3">
        <f>infections!BT3-infections!BS3</f>
        <v>15</v>
      </c>
      <c r="BU3" s="3">
        <f>infections!BU3-infections!BT3</f>
        <v>11</v>
      </c>
      <c r="BV3" s="3">
        <f>infections!BV3-infections!BU3</f>
        <v>20</v>
      </c>
      <c r="BW3" s="3">
        <f>infections!BW3-infections!BV3</f>
        <v>16</v>
      </c>
      <c r="BX3" s="3">
        <f>infections!BX3-infections!BW3</f>
        <v>18</v>
      </c>
      <c r="BY3" s="3">
        <f>infections!BY3-infections!BX3</f>
        <v>27</v>
      </c>
    </row>
    <row r="4">
      <c r="B4" s="1" t="str">
        <f>infections!B4</f>
        <v>Algeria</v>
      </c>
      <c r="C4" s="4">
        <f>infections!C4</f>
        <v>28.0339</v>
      </c>
      <c r="D4" s="4">
        <f>infections!D4</f>
        <v>1.6596</v>
      </c>
      <c r="E4" s="4">
        <f>infections!E4</f>
        <v>0</v>
      </c>
      <c r="F4" s="3">
        <f>infections!F4-infections!E4</f>
        <v>0</v>
      </c>
      <c r="G4" s="3">
        <f>infections!G4-infections!F4</f>
        <v>0</v>
      </c>
      <c r="H4" s="3">
        <f>infections!H4-infections!G4</f>
        <v>0</v>
      </c>
      <c r="I4" s="3">
        <f>infections!I4-infections!H4</f>
        <v>0</v>
      </c>
      <c r="J4" s="3">
        <f>infections!J4-infections!I4</f>
        <v>0</v>
      </c>
      <c r="K4" s="3">
        <f>infections!K4-infections!J4</f>
        <v>0</v>
      </c>
      <c r="L4" s="3">
        <f>infections!L4-infections!K4</f>
        <v>0</v>
      </c>
      <c r="M4" s="3">
        <f>infections!M4-infections!L4</f>
        <v>0</v>
      </c>
      <c r="N4" s="3">
        <f>infections!N4-infections!M4</f>
        <v>0</v>
      </c>
      <c r="O4" s="3">
        <f>infections!O4-infections!N4</f>
        <v>0</v>
      </c>
      <c r="P4" s="3">
        <f>infections!P4-infections!O4</f>
        <v>0</v>
      </c>
      <c r="Q4" s="3">
        <f>infections!Q4-infections!P4</f>
        <v>0</v>
      </c>
      <c r="R4" s="3">
        <f>infections!R4-infections!Q4</f>
        <v>0</v>
      </c>
      <c r="S4" s="3">
        <f>infections!S4-infections!R4</f>
        <v>0</v>
      </c>
      <c r="T4" s="3">
        <f>infections!T4-infections!S4</f>
        <v>0</v>
      </c>
      <c r="U4" s="3">
        <f>infections!U4-infections!T4</f>
        <v>0</v>
      </c>
      <c r="V4" s="3">
        <f>infections!V4-infections!U4</f>
        <v>0</v>
      </c>
      <c r="W4" s="3">
        <f>infections!W4-infections!V4</f>
        <v>0</v>
      </c>
      <c r="X4" s="3">
        <f>infections!X4-infections!W4</f>
        <v>0</v>
      </c>
      <c r="Y4" s="3">
        <f>infections!Y4-infections!X4</f>
        <v>0</v>
      </c>
      <c r="Z4" s="3">
        <f>infections!Z4-infections!Y4</f>
        <v>0</v>
      </c>
      <c r="AA4" s="3">
        <f>infections!AA4-infections!Z4</f>
        <v>0</v>
      </c>
      <c r="AB4" s="3">
        <f>infections!AB4-infections!AA4</f>
        <v>0</v>
      </c>
      <c r="AC4" s="3">
        <f>infections!AC4-infections!AB4</f>
        <v>0</v>
      </c>
      <c r="AD4" s="3">
        <f>infections!AD4-infections!AC4</f>
        <v>0</v>
      </c>
      <c r="AE4" s="3">
        <f>infections!AE4-infections!AD4</f>
        <v>0</v>
      </c>
      <c r="AF4" s="3">
        <f>infections!AF4-infections!AE4</f>
        <v>0</v>
      </c>
      <c r="AG4" s="3">
        <f>infections!AG4-infections!AF4</f>
        <v>0</v>
      </c>
      <c r="AH4" s="3">
        <f>infections!AH4-infections!AG4</f>
        <v>0</v>
      </c>
      <c r="AI4" s="3">
        <f>infections!AI4-infections!AH4</f>
        <v>0</v>
      </c>
      <c r="AJ4" s="3">
        <f>infections!AJ4-infections!AI4</f>
        <v>0</v>
      </c>
      <c r="AK4" s="3">
        <f>infections!AK4-infections!AJ4</f>
        <v>0</v>
      </c>
      <c r="AL4" s="3">
        <f>infections!AL4-infections!AK4</f>
        <v>0</v>
      </c>
      <c r="AM4" s="3">
        <f>infections!AM4-infections!AL4</f>
        <v>1</v>
      </c>
      <c r="AN4" s="3">
        <f>infections!AN4-infections!AM4</f>
        <v>0</v>
      </c>
      <c r="AO4" s="3">
        <f>infections!AO4-infections!AN4</f>
        <v>0</v>
      </c>
      <c r="AP4" s="3">
        <f>infections!AP4-infections!AO4</f>
        <v>0</v>
      </c>
      <c r="AQ4" s="3">
        <f>infections!AQ4-infections!AP4</f>
        <v>0</v>
      </c>
      <c r="AR4" s="3">
        <f>infections!AR4-infections!AQ4</f>
        <v>0</v>
      </c>
      <c r="AS4" s="3">
        <f>infections!AS4-infections!AR4</f>
        <v>2</v>
      </c>
      <c r="AT4" s="3">
        <f>infections!AT4-infections!AS4</f>
        <v>2</v>
      </c>
      <c r="AU4" s="3">
        <f>infections!AU4-infections!AT4</f>
        <v>7</v>
      </c>
      <c r="AV4" s="3">
        <f>infections!AV4-infections!AU4</f>
        <v>0</v>
      </c>
      <c r="AW4" s="3">
        <f>infections!AW4-infections!AV4</f>
        <v>5</v>
      </c>
      <c r="AX4" s="3">
        <f>infections!AX4-infections!AW4</f>
        <v>0</v>
      </c>
      <c r="AY4" s="3">
        <f>infections!AY4-infections!AX4</f>
        <v>2</v>
      </c>
      <c r="AZ4" s="3">
        <f>infections!AZ4-infections!AY4</f>
        <v>1</v>
      </c>
      <c r="BA4" s="3">
        <f>infections!BA4-infections!AZ4</f>
        <v>0</v>
      </c>
      <c r="BB4" s="3">
        <f>infections!BB4-infections!BA4</f>
        <v>0</v>
      </c>
      <c r="BC4" s="3">
        <f>infections!BC4-infections!BB4</f>
        <v>4</v>
      </c>
      <c r="BD4" s="3">
        <f>infections!BD4-infections!BC4</f>
        <v>2</v>
      </c>
      <c r="BE4" s="3">
        <f>infections!BE4-infections!BD4</f>
        <v>11</v>
      </c>
      <c r="BF4" s="3">
        <f>infections!BF4-infections!BE4</f>
        <v>11</v>
      </c>
      <c r="BG4" s="3">
        <f>infections!BG4-infections!BF4</f>
        <v>6</v>
      </c>
      <c r="BH4" s="3">
        <f>infections!BH4-infections!BG4</f>
        <v>6</v>
      </c>
      <c r="BI4" s="3">
        <f>infections!BI4-infections!BH4</f>
        <v>14</v>
      </c>
      <c r="BJ4" s="3">
        <f>infections!BJ4-infections!BI4</f>
        <v>13</v>
      </c>
      <c r="BK4" s="3">
        <f>infections!BK4-infections!BJ4</f>
        <v>3</v>
      </c>
      <c r="BL4" s="3">
        <f>infections!BL4-infections!BK4</f>
        <v>49</v>
      </c>
      <c r="BM4" s="3">
        <f>infections!BM4-infections!BL4</f>
        <v>62</v>
      </c>
      <c r="BN4" s="3">
        <f>infections!BN4-infections!BM4</f>
        <v>29</v>
      </c>
      <c r="BO4" s="3">
        <f>infections!BO4-infections!BN4</f>
        <v>34</v>
      </c>
      <c r="BP4" s="3">
        <f>infections!BP4-infections!BO4</f>
        <v>38</v>
      </c>
      <c r="BQ4" s="3">
        <f>infections!BQ4-infections!BP4</f>
        <v>65</v>
      </c>
      <c r="BR4" s="3">
        <f>infections!BR4-infections!BQ4</f>
        <v>42</v>
      </c>
      <c r="BS4" s="3">
        <f>infections!BS4-infections!BR4</f>
        <v>45</v>
      </c>
      <c r="BT4" s="3">
        <f>infections!BT4-infections!BS4</f>
        <v>57</v>
      </c>
      <c r="BU4" s="3">
        <f>infections!BU4-infections!BT4</f>
        <v>73</v>
      </c>
      <c r="BV4" s="3">
        <f>infections!BV4-infections!BU4</f>
        <v>132</v>
      </c>
      <c r="BW4" s="3">
        <f>infections!BW4-infections!BV4</f>
        <v>131</v>
      </c>
      <c r="BX4" s="3">
        <f>infections!BX4-infections!BW4</f>
        <v>139</v>
      </c>
      <c r="BY4" s="3">
        <f>infections!BY4-infections!BX4</f>
        <v>185</v>
      </c>
    </row>
    <row r="5">
      <c r="B5" s="1" t="str">
        <f>infections!B5</f>
        <v>Andorra</v>
      </c>
      <c r="C5" s="4">
        <f>infections!C5</f>
        <v>42.5063</v>
      </c>
      <c r="D5" s="4">
        <f>infections!D5</f>
        <v>1.5218</v>
      </c>
      <c r="E5" s="4">
        <f>infections!E5</f>
        <v>0</v>
      </c>
      <c r="F5" s="3">
        <f>infections!F5-infections!E5</f>
        <v>0</v>
      </c>
      <c r="G5" s="3">
        <f>infections!G5-infections!F5</f>
        <v>0</v>
      </c>
      <c r="H5" s="3">
        <f>infections!H5-infections!G5</f>
        <v>0</v>
      </c>
      <c r="I5" s="3">
        <f>infections!I5-infections!H5</f>
        <v>0</v>
      </c>
      <c r="J5" s="3">
        <f>infections!J5-infections!I5</f>
        <v>0</v>
      </c>
      <c r="K5" s="3">
        <f>infections!K5-infections!J5</f>
        <v>0</v>
      </c>
      <c r="L5" s="3">
        <f>infections!L5-infections!K5</f>
        <v>0</v>
      </c>
      <c r="M5" s="3">
        <f>infections!M5-infections!L5</f>
        <v>0</v>
      </c>
      <c r="N5" s="3">
        <f>infections!N5-infections!M5</f>
        <v>0</v>
      </c>
      <c r="O5" s="3">
        <f>infections!O5-infections!N5</f>
        <v>0</v>
      </c>
      <c r="P5" s="3">
        <f>infections!P5-infections!O5</f>
        <v>0</v>
      </c>
      <c r="Q5" s="3">
        <f>infections!Q5-infections!P5</f>
        <v>0</v>
      </c>
      <c r="R5" s="3">
        <f>infections!R5-infections!Q5</f>
        <v>0</v>
      </c>
      <c r="S5" s="3">
        <f>infections!S5-infections!R5</f>
        <v>0</v>
      </c>
      <c r="T5" s="3">
        <f>infections!T5-infections!S5</f>
        <v>0</v>
      </c>
      <c r="U5" s="3">
        <f>infections!U5-infections!T5</f>
        <v>0</v>
      </c>
      <c r="V5" s="3">
        <f>infections!V5-infections!U5</f>
        <v>0</v>
      </c>
      <c r="W5" s="3">
        <f>infections!W5-infections!V5</f>
        <v>0</v>
      </c>
      <c r="X5" s="3">
        <f>infections!X5-infections!W5</f>
        <v>0</v>
      </c>
      <c r="Y5" s="3">
        <f>infections!Y5-infections!X5</f>
        <v>0</v>
      </c>
      <c r="Z5" s="3">
        <f>infections!Z5-infections!Y5</f>
        <v>0</v>
      </c>
      <c r="AA5" s="3">
        <f>infections!AA5-infections!Z5</f>
        <v>0</v>
      </c>
      <c r="AB5" s="3">
        <f>infections!AB5-infections!AA5</f>
        <v>0</v>
      </c>
      <c r="AC5" s="3">
        <f>infections!AC5-infections!AB5</f>
        <v>0</v>
      </c>
      <c r="AD5" s="3">
        <f>infections!AD5-infections!AC5</f>
        <v>0</v>
      </c>
      <c r="AE5" s="3">
        <f>infections!AE5-infections!AD5</f>
        <v>0</v>
      </c>
      <c r="AF5" s="3">
        <f>infections!AF5-infections!AE5</f>
        <v>0</v>
      </c>
      <c r="AG5" s="3">
        <f>infections!AG5-infections!AF5</f>
        <v>0</v>
      </c>
      <c r="AH5" s="3">
        <f>infections!AH5-infections!AG5</f>
        <v>0</v>
      </c>
      <c r="AI5" s="3">
        <f>infections!AI5-infections!AH5</f>
        <v>0</v>
      </c>
      <c r="AJ5" s="3">
        <f>infections!AJ5-infections!AI5</f>
        <v>0</v>
      </c>
      <c r="AK5" s="3">
        <f>infections!AK5-infections!AJ5</f>
        <v>0</v>
      </c>
      <c r="AL5" s="3">
        <f>infections!AL5-infections!AK5</f>
        <v>0</v>
      </c>
      <c r="AM5" s="3">
        <f>infections!AM5-infections!AL5</f>
        <v>0</v>
      </c>
      <c r="AN5" s="3">
        <f>infections!AN5-infections!AM5</f>
        <v>0</v>
      </c>
      <c r="AO5" s="3">
        <f>infections!AO5-infections!AN5</f>
        <v>0</v>
      </c>
      <c r="AP5" s="3">
        <f>infections!AP5-infections!AO5</f>
        <v>0</v>
      </c>
      <c r="AQ5" s="3">
        <f>infections!AQ5-infections!AP5</f>
        <v>0</v>
      </c>
      <c r="AR5" s="3">
        <f>infections!AR5-infections!AQ5</f>
        <v>0</v>
      </c>
      <c r="AS5" s="3">
        <f>infections!AS5-infections!AR5</f>
        <v>1</v>
      </c>
      <c r="AT5" s="3">
        <f>infections!AT5-infections!AS5</f>
        <v>0</v>
      </c>
      <c r="AU5" s="3">
        <f>infections!AU5-infections!AT5</f>
        <v>0</v>
      </c>
      <c r="AV5" s="3">
        <f>infections!AV5-infections!AU5</f>
        <v>0</v>
      </c>
      <c r="AW5" s="3">
        <f>infections!AW5-infections!AV5</f>
        <v>0</v>
      </c>
      <c r="AX5" s="3">
        <f>infections!AX5-infections!AW5</f>
        <v>0</v>
      </c>
      <c r="AY5" s="3">
        <f>infections!AY5-infections!AX5</f>
        <v>0</v>
      </c>
      <c r="AZ5" s="3">
        <f>infections!AZ5-infections!AY5</f>
        <v>0</v>
      </c>
      <c r="BA5" s="3">
        <f>infections!BA5-infections!AZ5</f>
        <v>0</v>
      </c>
      <c r="BB5" s="3">
        <f>infections!BB5-infections!BA5</f>
        <v>0</v>
      </c>
      <c r="BC5" s="3">
        <f>infections!BC5-infections!BB5</f>
        <v>0</v>
      </c>
      <c r="BD5" s="3">
        <f>infections!BD5-infections!BC5</f>
        <v>0</v>
      </c>
      <c r="BE5" s="3">
        <f>infections!BE5-infections!BD5</f>
        <v>0</v>
      </c>
      <c r="BF5" s="3">
        <f>infections!BF5-infections!BE5</f>
        <v>0</v>
      </c>
      <c r="BG5" s="3">
        <f>infections!BG5-infections!BF5</f>
        <v>1</v>
      </c>
      <c r="BH5" s="3">
        <f>infections!BH5-infections!BG5</f>
        <v>37</v>
      </c>
      <c r="BI5" s="3">
        <f>infections!BI5-infections!BH5</f>
        <v>0</v>
      </c>
      <c r="BJ5" s="3">
        <f>infections!BJ5-infections!BI5</f>
        <v>14</v>
      </c>
      <c r="BK5" s="3">
        <f>infections!BK5-infections!BJ5</f>
        <v>22</v>
      </c>
      <c r="BL5" s="3">
        <f>infections!BL5-infections!BK5</f>
        <v>13</v>
      </c>
      <c r="BM5" s="3">
        <f>infections!BM5-infections!BL5</f>
        <v>25</v>
      </c>
      <c r="BN5" s="3">
        <f>infections!BN5-infections!BM5</f>
        <v>20</v>
      </c>
      <c r="BO5" s="3">
        <f>infections!BO5-infections!BN5</f>
        <v>31</v>
      </c>
      <c r="BP5" s="3">
        <f>infections!BP5-infections!BO5</f>
        <v>24</v>
      </c>
      <c r="BQ5" s="3">
        <f>infections!BQ5-infections!BP5</f>
        <v>36</v>
      </c>
      <c r="BR5" s="3">
        <f>infections!BR5-infections!BQ5</f>
        <v>43</v>
      </c>
      <c r="BS5" s="3">
        <f>infections!BS5-infections!BR5</f>
        <v>41</v>
      </c>
      <c r="BT5" s="3">
        <f>infections!BT5-infections!BS5</f>
        <v>26</v>
      </c>
      <c r="BU5" s="3">
        <f>infections!BU5-infections!BT5</f>
        <v>36</v>
      </c>
      <c r="BV5" s="3">
        <f>infections!BV5-infections!BU5</f>
        <v>6</v>
      </c>
      <c r="BW5" s="3">
        <f>infections!BW5-infections!BV5</f>
        <v>14</v>
      </c>
      <c r="BX5" s="3">
        <f>infections!BX5-infections!BW5</f>
        <v>38</v>
      </c>
      <c r="BY5" s="3">
        <f>infections!BY5-infections!BX5</f>
        <v>11</v>
      </c>
    </row>
    <row r="6">
      <c r="B6" s="1" t="str">
        <f>infections!B6</f>
        <v>Angola</v>
      </c>
      <c r="C6" s="4">
        <f>infections!C6</f>
        <v>-11.2027</v>
      </c>
      <c r="D6" s="4">
        <f>infections!D6</f>
        <v>17.8739</v>
      </c>
      <c r="E6" s="4">
        <f>infections!E6</f>
        <v>0</v>
      </c>
      <c r="F6" s="3">
        <f>infections!F6-infections!E6</f>
        <v>0</v>
      </c>
      <c r="G6" s="3">
        <f>infections!G6-infections!F6</f>
        <v>0</v>
      </c>
      <c r="H6" s="3">
        <f>infections!H6-infections!G6</f>
        <v>0</v>
      </c>
      <c r="I6" s="3">
        <f>infections!I6-infections!H6</f>
        <v>0</v>
      </c>
      <c r="J6" s="3">
        <f>infections!J6-infections!I6</f>
        <v>0</v>
      </c>
      <c r="K6" s="3">
        <f>infections!K6-infections!J6</f>
        <v>0</v>
      </c>
      <c r="L6" s="3">
        <f>infections!L6-infections!K6</f>
        <v>0</v>
      </c>
      <c r="M6" s="3">
        <f>infections!M6-infections!L6</f>
        <v>0</v>
      </c>
      <c r="N6" s="3">
        <f>infections!N6-infections!M6</f>
        <v>0</v>
      </c>
      <c r="O6" s="3">
        <f>infections!O6-infections!N6</f>
        <v>0</v>
      </c>
      <c r="P6" s="3">
        <f>infections!P6-infections!O6</f>
        <v>0</v>
      </c>
      <c r="Q6" s="3">
        <f>infections!Q6-infections!P6</f>
        <v>0</v>
      </c>
      <c r="R6" s="3">
        <f>infections!R6-infections!Q6</f>
        <v>0</v>
      </c>
      <c r="S6" s="3">
        <f>infections!S6-infections!R6</f>
        <v>0</v>
      </c>
      <c r="T6" s="3">
        <f>infections!T6-infections!S6</f>
        <v>0</v>
      </c>
      <c r="U6" s="3">
        <f>infections!U6-infections!T6</f>
        <v>0</v>
      </c>
      <c r="V6" s="3">
        <f>infections!V6-infections!U6</f>
        <v>0</v>
      </c>
      <c r="W6" s="3">
        <f>infections!W6-infections!V6</f>
        <v>0</v>
      </c>
      <c r="X6" s="3">
        <f>infections!X6-infections!W6</f>
        <v>0</v>
      </c>
      <c r="Y6" s="3">
        <f>infections!Y6-infections!X6</f>
        <v>0</v>
      </c>
      <c r="Z6" s="3">
        <f>infections!Z6-infections!Y6</f>
        <v>0</v>
      </c>
      <c r="AA6" s="3">
        <f>infections!AA6-infections!Z6</f>
        <v>0</v>
      </c>
      <c r="AB6" s="3">
        <f>infections!AB6-infections!AA6</f>
        <v>0</v>
      </c>
      <c r="AC6" s="3">
        <f>infections!AC6-infections!AB6</f>
        <v>0</v>
      </c>
      <c r="AD6" s="3">
        <f>infections!AD6-infections!AC6</f>
        <v>0</v>
      </c>
      <c r="AE6" s="3">
        <f>infections!AE6-infections!AD6</f>
        <v>0</v>
      </c>
      <c r="AF6" s="3">
        <f>infections!AF6-infections!AE6</f>
        <v>0</v>
      </c>
      <c r="AG6" s="3">
        <f>infections!AG6-infections!AF6</f>
        <v>0</v>
      </c>
      <c r="AH6" s="3">
        <f>infections!AH6-infections!AG6</f>
        <v>0</v>
      </c>
      <c r="AI6" s="3">
        <f>infections!AI6-infections!AH6</f>
        <v>0</v>
      </c>
      <c r="AJ6" s="3">
        <f>infections!AJ6-infections!AI6</f>
        <v>0</v>
      </c>
      <c r="AK6" s="3">
        <f>infections!AK6-infections!AJ6</f>
        <v>0</v>
      </c>
      <c r="AL6" s="3">
        <f>infections!AL6-infections!AK6</f>
        <v>0</v>
      </c>
      <c r="AM6" s="3">
        <f>infections!AM6-infections!AL6</f>
        <v>0</v>
      </c>
      <c r="AN6" s="3">
        <f>infections!AN6-infections!AM6</f>
        <v>0</v>
      </c>
      <c r="AO6" s="3">
        <f>infections!AO6-infections!AN6</f>
        <v>0</v>
      </c>
      <c r="AP6" s="3">
        <f>infections!AP6-infections!AO6</f>
        <v>0</v>
      </c>
      <c r="AQ6" s="3">
        <f>infections!AQ6-infections!AP6</f>
        <v>0</v>
      </c>
      <c r="AR6" s="3">
        <f>infections!AR6-infections!AQ6</f>
        <v>0</v>
      </c>
      <c r="AS6" s="3">
        <f>infections!AS6-infections!AR6</f>
        <v>0</v>
      </c>
      <c r="AT6" s="3">
        <f>infections!AT6-infections!AS6</f>
        <v>0</v>
      </c>
      <c r="AU6" s="3">
        <f>infections!AU6-infections!AT6</f>
        <v>0</v>
      </c>
      <c r="AV6" s="3">
        <f>infections!AV6-infections!AU6</f>
        <v>0</v>
      </c>
      <c r="AW6" s="3">
        <f>infections!AW6-infections!AV6</f>
        <v>0</v>
      </c>
      <c r="AX6" s="3">
        <f>infections!AX6-infections!AW6</f>
        <v>0</v>
      </c>
      <c r="AY6" s="3">
        <f>infections!AY6-infections!AX6</f>
        <v>0</v>
      </c>
      <c r="AZ6" s="3">
        <f>infections!AZ6-infections!AY6</f>
        <v>0</v>
      </c>
      <c r="BA6" s="3">
        <f>infections!BA6-infections!AZ6</f>
        <v>0</v>
      </c>
      <c r="BB6" s="3">
        <f>infections!BB6-infections!BA6</f>
        <v>0</v>
      </c>
      <c r="BC6" s="3">
        <f>infections!BC6-infections!BB6</f>
        <v>0</v>
      </c>
      <c r="BD6" s="3">
        <f>infections!BD6-infections!BC6</f>
        <v>0</v>
      </c>
      <c r="BE6" s="3">
        <f>infections!BE6-infections!BD6</f>
        <v>0</v>
      </c>
      <c r="BF6" s="3">
        <f>infections!BF6-infections!BE6</f>
        <v>0</v>
      </c>
      <c r="BG6" s="3">
        <f>infections!BG6-infections!BF6</f>
        <v>0</v>
      </c>
      <c r="BH6" s="3">
        <f>infections!BH6-infections!BG6</f>
        <v>0</v>
      </c>
      <c r="BI6" s="3">
        <f>infections!BI6-infections!BH6</f>
        <v>0</v>
      </c>
      <c r="BJ6" s="3">
        <f>infections!BJ6-infections!BI6</f>
        <v>0</v>
      </c>
      <c r="BK6" s="3">
        <f>infections!BK6-infections!BJ6</f>
        <v>1</v>
      </c>
      <c r="BL6" s="3">
        <f>infections!BL6-infections!BK6</f>
        <v>1</v>
      </c>
      <c r="BM6" s="3">
        <f>infections!BM6-infections!BL6</f>
        <v>0</v>
      </c>
      <c r="BN6" s="3">
        <f>infections!BN6-infections!BM6</f>
        <v>1</v>
      </c>
      <c r="BO6" s="3">
        <f>infections!BO6-infections!BN6</f>
        <v>0</v>
      </c>
      <c r="BP6" s="3">
        <f>infections!BP6-infections!BO6</f>
        <v>0</v>
      </c>
      <c r="BQ6" s="3">
        <f>infections!BQ6-infections!BP6</f>
        <v>1</v>
      </c>
      <c r="BR6" s="3">
        <f>infections!BR6-infections!BQ6</f>
        <v>0</v>
      </c>
      <c r="BS6" s="3">
        <f>infections!BS6-infections!BR6</f>
        <v>1</v>
      </c>
      <c r="BT6" s="3">
        <f>infections!BT6-infections!BS6</f>
        <v>2</v>
      </c>
      <c r="BU6" s="3">
        <f>infections!BU6-infections!BT6</f>
        <v>0</v>
      </c>
      <c r="BV6" s="3">
        <f>infections!BV6-infections!BU6</f>
        <v>0</v>
      </c>
      <c r="BW6" s="3">
        <f>infections!BW6-infections!BV6</f>
        <v>1</v>
      </c>
      <c r="BX6" s="3">
        <f>infections!BX6-infections!BW6</f>
        <v>0</v>
      </c>
      <c r="BY6" s="3">
        <f>infections!BY6-infections!BX6</f>
        <v>0</v>
      </c>
    </row>
    <row r="7">
      <c r="B7" s="1" t="str">
        <f>infections!B7</f>
        <v>Antigua and Barbuda</v>
      </c>
      <c r="C7" s="4">
        <f>infections!C7</f>
        <v>17.0608</v>
      </c>
      <c r="D7" s="4">
        <f>infections!D7</f>
        <v>-61.7964</v>
      </c>
      <c r="E7" s="4">
        <f>infections!E7</f>
        <v>0</v>
      </c>
      <c r="F7" s="3">
        <f>infections!F7-infections!E7</f>
        <v>0</v>
      </c>
      <c r="G7" s="3">
        <f>infections!G7-infections!F7</f>
        <v>0</v>
      </c>
      <c r="H7" s="3">
        <f>infections!H7-infections!G7</f>
        <v>0</v>
      </c>
      <c r="I7" s="3">
        <f>infections!I7-infections!H7</f>
        <v>0</v>
      </c>
      <c r="J7" s="3">
        <f>infections!J7-infections!I7</f>
        <v>0</v>
      </c>
      <c r="K7" s="3">
        <f>infections!K7-infections!J7</f>
        <v>0</v>
      </c>
      <c r="L7" s="3">
        <f>infections!L7-infections!K7</f>
        <v>0</v>
      </c>
      <c r="M7" s="3">
        <f>infections!M7-infections!L7</f>
        <v>0</v>
      </c>
      <c r="N7" s="3">
        <f>infections!N7-infections!M7</f>
        <v>0</v>
      </c>
      <c r="O7" s="3">
        <f>infections!O7-infections!N7</f>
        <v>0</v>
      </c>
      <c r="P7" s="3">
        <f>infections!P7-infections!O7</f>
        <v>0</v>
      </c>
      <c r="Q7" s="3">
        <f>infections!Q7-infections!P7</f>
        <v>0</v>
      </c>
      <c r="R7" s="3">
        <f>infections!R7-infections!Q7</f>
        <v>0</v>
      </c>
      <c r="S7" s="3">
        <f>infections!S7-infections!R7</f>
        <v>0</v>
      </c>
      <c r="T7" s="3">
        <f>infections!T7-infections!S7</f>
        <v>0</v>
      </c>
      <c r="U7" s="3">
        <f>infections!U7-infections!T7</f>
        <v>0</v>
      </c>
      <c r="V7" s="3">
        <f>infections!V7-infections!U7</f>
        <v>0</v>
      </c>
      <c r="W7" s="3">
        <f>infections!W7-infections!V7</f>
        <v>0</v>
      </c>
      <c r="X7" s="3">
        <f>infections!X7-infections!W7</f>
        <v>0</v>
      </c>
      <c r="Y7" s="3">
        <f>infections!Y7-infections!X7</f>
        <v>0</v>
      </c>
      <c r="Z7" s="3">
        <f>infections!Z7-infections!Y7</f>
        <v>0</v>
      </c>
      <c r="AA7" s="3">
        <f>infections!AA7-infections!Z7</f>
        <v>0</v>
      </c>
      <c r="AB7" s="3">
        <f>infections!AB7-infections!AA7</f>
        <v>0</v>
      </c>
      <c r="AC7" s="3">
        <f>infections!AC7-infections!AB7</f>
        <v>0</v>
      </c>
      <c r="AD7" s="3">
        <f>infections!AD7-infections!AC7</f>
        <v>0</v>
      </c>
      <c r="AE7" s="3">
        <f>infections!AE7-infections!AD7</f>
        <v>0</v>
      </c>
      <c r="AF7" s="3">
        <f>infections!AF7-infections!AE7</f>
        <v>0</v>
      </c>
      <c r="AG7" s="3">
        <f>infections!AG7-infections!AF7</f>
        <v>0</v>
      </c>
      <c r="AH7" s="3">
        <f>infections!AH7-infections!AG7</f>
        <v>0</v>
      </c>
      <c r="AI7" s="3">
        <f>infections!AI7-infections!AH7</f>
        <v>0</v>
      </c>
      <c r="AJ7" s="3">
        <f>infections!AJ7-infections!AI7</f>
        <v>0</v>
      </c>
      <c r="AK7" s="3">
        <f>infections!AK7-infections!AJ7</f>
        <v>0</v>
      </c>
      <c r="AL7" s="3">
        <f>infections!AL7-infections!AK7</f>
        <v>0</v>
      </c>
      <c r="AM7" s="3">
        <f>infections!AM7-infections!AL7</f>
        <v>0</v>
      </c>
      <c r="AN7" s="3">
        <f>infections!AN7-infections!AM7</f>
        <v>0</v>
      </c>
      <c r="AO7" s="3">
        <f>infections!AO7-infections!AN7</f>
        <v>0</v>
      </c>
      <c r="AP7" s="3">
        <f>infections!AP7-infections!AO7</f>
        <v>0</v>
      </c>
      <c r="AQ7" s="3">
        <f>infections!AQ7-infections!AP7</f>
        <v>0</v>
      </c>
      <c r="AR7" s="3">
        <f>infections!AR7-infections!AQ7</f>
        <v>0</v>
      </c>
      <c r="AS7" s="3">
        <f>infections!AS7-infections!AR7</f>
        <v>0</v>
      </c>
      <c r="AT7" s="3">
        <f>infections!AT7-infections!AS7</f>
        <v>0</v>
      </c>
      <c r="AU7" s="3">
        <f>infections!AU7-infections!AT7</f>
        <v>0</v>
      </c>
      <c r="AV7" s="3">
        <f>infections!AV7-infections!AU7</f>
        <v>0</v>
      </c>
      <c r="AW7" s="3">
        <f>infections!AW7-infections!AV7</f>
        <v>0</v>
      </c>
      <c r="AX7" s="3">
        <f>infections!AX7-infections!AW7</f>
        <v>0</v>
      </c>
      <c r="AY7" s="3">
        <f>infections!AY7-infections!AX7</f>
        <v>0</v>
      </c>
      <c r="AZ7" s="3">
        <f>infections!AZ7-infections!AY7</f>
        <v>0</v>
      </c>
      <c r="BA7" s="3">
        <f>infections!BA7-infections!AZ7</f>
        <v>0</v>
      </c>
      <c r="BB7" s="3">
        <f>infections!BB7-infections!BA7</f>
        <v>0</v>
      </c>
      <c r="BC7" s="3">
        <f>infections!BC7-infections!BB7</f>
        <v>0</v>
      </c>
      <c r="BD7" s="3">
        <f>infections!BD7-infections!BC7</f>
        <v>1</v>
      </c>
      <c r="BE7" s="3">
        <f>infections!BE7-infections!BD7</f>
        <v>0</v>
      </c>
      <c r="BF7" s="3">
        <f>infections!BF7-infections!BE7</f>
        <v>0</v>
      </c>
      <c r="BG7" s="3">
        <f>infections!BG7-infections!BF7</f>
        <v>0</v>
      </c>
      <c r="BH7" s="3">
        <f>infections!BH7-infections!BG7</f>
        <v>0</v>
      </c>
      <c r="BI7" s="3">
        <f>infections!BI7-infections!BH7</f>
        <v>0</v>
      </c>
      <c r="BJ7" s="3">
        <f>infections!BJ7-infections!BI7</f>
        <v>0</v>
      </c>
      <c r="BK7" s="3">
        <f>infections!BK7-infections!BJ7</f>
        <v>0</v>
      </c>
      <c r="BL7" s="3">
        <f>infections!BL7-infections!BK7</f>
        <v>0</v>
      </c>
      <c r="BM7" s="3">
        <f>infections!BM7-infections!BL7</f>
        <v>0</v>
      </c>
      <c r="BN7" s="3">
        <f>infections!BN7-infections!BM7</f>
        <v>2</v>
      </c>
      <c r="BO7" s="3">
        <f>infections!BO7-infections!BN7</f>
        <v>0</v>
      </c>
      <c r="BP7" s="3">
        <f>infections!BP7-infections!BO7</f>
        <v>0</v>
      </c>
      <c r="BQ7" s="3">
        <f>infections!BQ7-infections!BP7</f>
        <v>4</v>
      </c>
      <c r="BR7" s="3">
        <f>infections!BR7-infections!BQ7</f>
        <v>0</v>
      </c>
      <c r="BS7" s="3">
        <f>infections!BS7-infections!BR7</f>
        <v>0</v>
      </c>
      <c r="BT7" s="3">
        <f>infections!BT7-infections!BS7</f>
        <v>0</v>
      </c>
      <c r="BU7" s="3">
        <f>infections!BU7-infections!BT7</f>
        <v>0</v>
      </c>
      <c r="BV7" s="3">
        <f>infections!BV7-infections!BU7</f>
        <v>0</v>
      </c>
      <c r="BW7" s="3">
        <f>infections!BW7-infections!BV7</f>
        <v>0</v>
      </c>
      <c r="BX7" s="3">
        <f>infections!BX7-infections!BW7</f>
        <v>2</v>
      </c>
      <c r="BY7" s="3">
        <f>infections!BY7-infections!BX7</f>
        <v>6</v>
      </c>
    </row>
    <row r="8">
      <c r="B8" s="1" t="str">
        <f>infections!B8</f>
        <v>Argentina</v>
      </c>
      <c r="C8" s="4">
        <f>infections!C8</f>
        <v>-38.4161</v>
      </c>
      <c r="D8" s="4">
        <f>infections!D8</f>
        <v>-63.6167</v>
      </c>
      <c r="E8" s="4">
        <f>infections!E8</f>
        <v>0</v>
      </c>
      <c r="F8" s="3">
        <f>infections!F8-infections!E8</f>
        <v>0</v>
      </c>
      <c r="G8" s="3">
        <f>infections!G8-infections!F8</f>
        <v>0</v>
      </c>
      <c r="H8" s="3">
        <f>infections!H8-infections!G8</f>
        <v>0</v>
      </c>
      <c r="I8" s="3">
        <f>infections!I8-infections!H8</f>
        <v>0</v>
      </c>
      <c r="J8" s="3">
        <f>infections!J8-infections!I8</f>
        <v>0</v>
      </c>
      <c r="K8" s="3">
        <f>infections!K8-infections!J8</f>
        <v>0</v>
      </c>
      <c r="L8" s="3">
        <f>infections!L8-infections!K8</f>
        <v>0</v>
      </c>
      <c r="M8" s="3">
        <f>infections!M8-infections!L8</f>
        <v>0</v>
      </c>
      <c r="N8" s="3">
        <f>infections!N8-infections!M8</f>
        <v>0</v>
      </c>
      <c r="O8" s="3">
        <f>infections!O8-infections!N8</f>
        <v>0</v>
      </c>
      <c r="P8" s="3">
        <f>infections!P8-infections!O8</f>
        <v>0</v>
      </c>
      <c r="Q8" s="3">
        <f>infections!Q8-infections!P8</f>
        <v>0</v>
      </c>
      <c r="R8" s="3">
        <f>infections!R8-infections!Q8</f>
        <v>0</v>
      </c>
      <c r="S8" s="3">
        <f>infections!S8-infections!R8</f>
        <v>0</v>
      </c>
      <c r="T8" s="3">
        <f>infections!T8-infections!S8</f>
        <v>0</v>
      </c>
      <c r="U8" s="3">
        <f>infections!U8-infections!T8</f>
        <v>0</v>
      </c>
      <c r="V8" s="3">
        <f>infections!V8-infections!U8</f>
        <v>0</v>
      </c>
      <c r="W8" s="3">
        <f>infections!W8-infections!V8</f>
        <v>0</v>
      </c>
      <c r="X8" s="3">
        <f>infections!X8-infections!W8</f>
        <v>0</v>
      </c>
      <c r="Y8" s="3">
        <f>infections!Y8-infections!X8</f>
        <v>0</v>
      </c>
      <c r="Z8" s="3">
        <f>infections!Z8-infections!Y8</f>
        <v>0</v>
      </c>
      <c r="AA8" s="3">
        <f>infections!AA8-infections!Z8</f>
        <v>0</v>
      </c>
      <c r="AB8" s="3">
        <f>infections!AB8-infections!AA8</f>
        <v>0</v>
      </c>
      <c r="AC8" s="3">
        <f>infections!AC8-infections!AB8</f>
        <v>0</v>
      </c>
      <c r="AD8" s="3">
        <f>infections!AD8-infections!AC8</f>
        <v>0</v>
      </c>
      <c r="AE8" s="3">
        <f>infections!AE8-infections!AD8</f>
        <v>0</v>
      </c>
      <c r="AF8" s="3">
        <f>infections!AF8-infections!AE8</f>
        <v>0</v>
      </c>
      <c r="AG8" s="3">
        <f>infections!AG8-infections!AF8</f>
        <v>0</v>
      </c>
      <c r="AH8" s="3">
        <f>infections!AH8-infections!AG8</f>
        <v>0</v>
      </c>
      <c r="AI8" s="3">
        <f>infections!AI8-infections!AH8</f>
        <v>0</v>
      </c>
      <c r="AJ8" s="3">
        <f>infections!AJ8-infections!AI8</f>
        <v>0</v>
      </c>
      <c r="AK8" s="3">
        <f>infections!AK8-infections!AJ8</f>
        <v>0</v>
      </c>
      <c r="AL8" s="3">
        <f>infections!AL8-infections!AK8</f>
        <v>0</v>
      </c>
      <c r="AM8" s="3">
        <f>infections!AM8-infections!AL8</f>
        <v>0</v>
      </c>
      <c r="AN8" s="3">
        <f>infections!AN8-infections!AM8</f>
        <v>0</v>
      </c>
      <c r="AO8" s="3">
        <f>infections!AO8-infections!AN8</f>
        <v>0</v>
      </c>
      <c r="AP8" s="3">
        <f>infections!AP8-infections!AO8</f>
        <v>0</v>
      </c>
      <c r="AQ8" s="3">
        <f>infections!AQ8-infections!AP8</f>
        <v>0</v>
      </c>
      <c r="AR8" s="3">
        <f>infections!AR8-infections!AQ8</f>
        <v>0</v>
      </c>
      <c r="AS8" s="3">
        <f>infections!AS8-infections!AR8</f>
        <v>0</v>
      </c>
      <c r="AT8" s="3">
        <f>infections!AT8-infections!AS8</f>
        <v>1</v>
      </c>
      <c r="AU8" s="3">
        <f>infections!AU8-infections!AT8</f>
        <v>0</v>
      </c>
      <c r="AV8" s="3">
        <f>infections!AV8-infections!AU8</f>
        <v>0</v>
      </c>
      <c r="AW8" s="3">
        <f>infections!AW8-infections!AV8</f>
        <v>1</v>
      </c>
      <c r="AX8" s="3">
        <f>infections!AX8-infections!AW8</f>
        <v>6</v>
      </c>
      <c r="AY8" s="3">
        <f>infections!AY8-infections!AX8</f>
        <v>4</v>
      </c>
      <c r="AZ8" s="3">
        <f>infections!AZ8-infections!AY8</f>
        <v>0</v>
      </c>
      <c r="BA8" s="3">
        <f>infections!BA8-infections!AZ8</f>
        <v>5</v>
      </c>
      <c r="BB8" s="3">
        <f>infections!BB8-infections!BA8</f>
        <v>2</v>
      </c>
      <c r="BC8" s="3">
        <f>infections!BC8-infections!BB8</f>
        <v>0</v>
      </c>
      <c r="BD8" s="3">
        <f>infections!BD8-infections!BC8</f>
        <v>12</v>
      </c>
      <c r="BE8" s="3">
        <f>infections!BE8-infections!BD8</f>
        <v>3</v>
      </c>
      <c r="BF8" s="3">
        <f>infections!BF8-infections!BE8</f>
        <v>11</v>
      </c>
      <c r="BG8" s="3">
        <f>infections!BG8-infections!BF8</f>
        <v>11</v>
      </c>
      <c r="BH8" s="3">
        <f>infections!BH8-infections!BG8</f>
        <v>12</v>
      </c>
      <c r="BI8" s="3">
        <f>infections!BI8-infections!BH8</f>
        <v>11</v>
      </c>
      <c r="BJ8" s="3">
        <f>infections!BJ8-infections!BI8</f>
        <v>18</v>
      </c>
      <c r="BK8" s="3">
        <f>infections!BK8-infections!BJ8</f>
        <v>31</v>
      </c>
      <c r="BL8" s="3">
        <f>infections!BL8-infections!BK8</f>
        <v>30</v>
      </c>
      <c r="BM8" s="3">
        <f>infections!BM8-infections!BL8</f>
        <v>108</v>
      </c>
      <c r="BN8" s="3">
        <f>infections!BN8-infections!BM8</f>
        <v>35</v>
      </c>
      <c r="BO8" s="3">
        <f>infections!BO8-infections!BN8</f>
        <v>86</v>
      </c>
      <c r="BP8" s="3">
        <f>infections!BP8-infections!BO8</f>
        <v>0</v>
      </c>
      <c r="BQ8" s="3">
        <f>infections!BQ8-infections!BP8</f>
        <v>115</v>
      </c>
      <c r="BR8" s="3">
        <f>infections!BR8-infections!BQ8</f>
        <v>87</v>
      </c>
      <c r="BS8" s="3">
        <f>infections!BS8-infections!BR8</f>
        <v>101</v>
      </c>
      <c r="BT8" s="3">
        <f>infections!BT8-infections!BS8</f>
        <v>55</v>
      </c>
      <c r="BU8" s="3">
        <f>infections!BU8-infections!BT8</f>
        <v>75</v>
      </c>
      <c r="BV8" s="3">
        <f>infections!BV8-infections!BU8</f>
        <v>234</v>
      </c>
      <c r="BW8" s="3">
        <f>infections!BW8-infections!BV8</f>
        <v>0</v>
      </c>
      <c r="BX8" s="3">
        <f>infections!BX8-infections!BW8</f>
        <v>79</v>
      </c>
      <c r="BY8" s="3">
        <f>infections!BY8-infections!BX8</f>
        <v>132</v>
      </c>
    </row>
    <row r="9">
      <c r="B9" s="1" t="str">
        <f>infections!B9</f>
        <v>Armenia</v>
      </c>
      <c r="C9" s="4">
        <f>infections!C9</f>
        <v>40.0691</v>
      </c>
      <c r="D9" s="4">
        <f>infections!D9</f>
        <v>45.0382</v>
      </c>
      <c r="E9" s="4">
        <f>infections!E9</f>
        <v>0</v>
      </c>
      <c r="F9" s="3">
        <f>infections!F9-infections!E9</f>
        <v>0</v>
      </c>
      <c r="G9" s="3">
        <f>infections!G9-infections!F9</f>
        <v>0</v>
      </c>
      <c r="H9" s="3">
        <f>infections!H9-infections!G9</f>
        <v>0</v>
      </c>
      <c r="I9" s="3">
        <f>infections!I9-infections!H9</f>
        <v>0</v>
      </c>
      <c r="J9" s="3">
        <f>infections!J9-infections!I9</f>
        <v>0</v>
      </c>
      <c r="K9" s="3">
        <f>infections!K9-infections!J9</f>
        <v>0</v>
      </c>
      <c r="L9" s="3">
        <f>infections!L9-infections!K9</f>
        <v>0</v>
      </c>
      <c r="M9" s="3">
        <f>infections!M9-infections!L9</f>
        <v>0</v>
      </c>
      <c r="N9" s="3">
        <f>infections!N9-infections!M9</f>
        <v>0</v>
      </c>
      <c r="O9" s="3">
        <f>infections!O9-infections!N9</f>
        <v>0</v>
      </c>
      <c r="P9" s="3">
        <f>infections!P9-infections!O9</f>
        <v>0</v>
      </c>
      <c r="Q9" s="3">
        <f>infections!Q9-infections!P9</f>
        <v>0</v>
      </c>
      <c r="R9" s="3">
        <f>infections!R9-infections!Q9</f>
        <v>0</v>
      </c>
      <c r="S9" s="3">
        <f>infections!S9-infections!R9</f>
        <v>0</v>
      </c>
      <c r="T9" s="3">
        <f>infections!T9-infections!S9</f>
        <v>0</v>
      </c>
      <c r="U9" s="3">
        <f>infections!U9-infections!T9</f>
        <v>0</v>
      </c>
      <c r="V9" s="3">
        <f>infections!V9-infections!U9</f>
        <v>0</v>
      </c>
      <c r="W9" s="3">
        <f>infections!W9-infections!V9</f>
        <v>0</v>
      </c>
      <c r="X9" s="3">
        <f>infections!X9-infections!W9</f>
        <v>0</v>
      </c>
      <c r="Y9" s="3">
        <f>infections!Y9-infections!X9</f>
        <v>0</v>
      </c>
      <c r="Z9" s="3">
        <f>infections!Z9-infections!Y9</f>
        <v>0</v>
      </c>
      <c r="AA9" s="3">
        <f>infections!AA9-infections!Z9</f>
        <v>0</v>
      </c>
      <c r="AB9" s="3">
        <f>infections!AB9-infections!AA9</f>
        <v>0</v>
      </c>
      <c r="AC9" s="3">
        <f>infections!AC9-infections!AB9</f>
        <v>0</v>
      </c>
      <c r="AD9" s="3">
        <f>infections!AD9-infections!AC9</f>
        <v>0</v>
      </c>
      <c r="AE9" s="3">
        <f>infections!AE9-infections!AD9</f>
        <v>0</v>
      </c>
      <c r="AF9" s="3">
        <f>infections!AF9-infections!AE9</f>
        <v>0</v>
      </c>
      <c r="AG9" s="3">
        <f>infections!AG9-infections!AF9</f>
        <v>0</v>
      </c>
      <c r="AH9" s="3">
        <f>infections!AH9-infections!AG9</f>
        <v>0</v>
      </c>
      <c r="AI9" s="3">
        <f>infections!AI9-infections!AH9</f>
        <v>0</v>
      </c>
      <c r="AJ9" s="3">
        <f>infections!AJ9-infections!AI9</f>
        <v>0</v>
      </c>
      <c r="AK9" s="3">
        <f>infections!AK9-infections!AJ9</f>
        <v>0</v>
      </c>
      <c r="AL9" s="3">
        <f>infections!AL9-infections!AK9</f>
        <v>0</v>
      </c>
      <c r="AM9" s="3">
        <f>infections!AM9-infections!AL9</f>
        <v>0</v>
      </c>
      <c r="AN9" s="3">
        <f>infections!AN9-infections!AM9</f>
        <v>0</v>
      </c>
      <c r="AO9" s="3">
        <f>infections!AO9-infections!AN9</f>
        <v>0</v>
      </c>
      <c r="AP9" s="3">
        <f>infections!AP9-infections!AO9</f>
        <v>0</v>
      </c>
      <c r="AQ9" s="3">
        <f>infections!AQ9-infections!AP9</f>
        <v>0</v>
      </c>
      <c r="AR9" s="3">
        <f>infections!AR9-infections!AQ9</f>
        <v>1</v>
      </c>
      <c r="AS9" s="3">
        <f>infections!AS9-infections!AR9</f>
        <v>0</v>
      </c>
      <c r="AT9" s="3">
        <f>infections!AT9-infections!AS9</f>
        <v>0</v>
      </c>
      <c r="AU9" s="3">
        <f>infections!AU9-infections!AT9</f>
        <v>0</v>
      </c>
      <c r="AV9" s="3">
        <f>infections!AV9-infections!AU9</f>
        <v>0</v>
      </c>
      <c r="AW9" s="3">
        <f>infections!AW9-infections!AV9</f>
        <v>0</v>
      </c>
      <c r="AX9" s="3">
        <f>infections!AX9-infections!AW9</f>
        <v>0</v>
      </c>
      <c r="AY9" s="3">
        <f>infections!AY9-infections!AX9</f>
        <v>0</v>
      </c>
      <c r="AZ9" s="3">
        <f>infections!AZ9-infections!AY9</f>
        <v>0</v>
      </c>
      <c r="BA9" s="3">
        <f>infections!BA9-infections!AZ9</f>
        <v>0</v>
      </c>
      <c r="BB9" s="3">
        <f>infections!BB9-infections!BA9</f>
        <v>0</v>
      </c>
      <c r="BC9" s="3">
        <f>infections!BC9-infections!BB9</f>
        <v>3</v>
      </c>
      <c r="BD9" s="3">
        <f>infections!BD9-infections!BC9</f>
        <v>4</v>
      </c>
      <c r="BE9" s="3">
        <f>infections!BE9-infections!BD9</f>
        <v>10</v>
      </c>
      <c r="BF9" s="3">
        <f>infections!BF9-infections!BE9</f>
        <v>8</v>
      </c>
      <c r="BG9" s="3">
        <f>infections!BG9-infections!BF9</f>
        <v>26</v>
      </c>
      <c r="BH9" s="3">
        <f>infections!BH9-infections!BG9</f>
        <v>26</v>
      </c>
      <c r="BI9" s="3">
        <f>infections!BI9-infections!BH9</f>
        <v>6</v>
      </c>
      <c r="BJ9" s="3">
        <f>infections!BJ9-infections!BI9</f>
        <v>31</v>
      </c>
      <c r="BK9" s="3">
        <f>infections!BK9-infections!BJ9</f>
        <v>21</v>
      </c>
      <c r="BL9" s="3">
        <f>infections!BL9-infections!BK9</f>
        <v>24</v>
      </c>
      <c r="BM9" s="3">
        <f>infections!BM9-infections!BL9</f>
        <v>34</v>
      </c>
      <c r="BN9" s="3">
        <f>infections!BN9-infections!BM9</f>
        <v>41</v>
      </c>
      <c r="BO9" s="3">
        <f>infections!BO9-infections!BN9</f>
        <v>14</v>
      </c>
      <c r="BP9" s="3">
        <f>infections!BP9-infections!BO9</f>
        <v>16</v>
      </c>
      <c r="BQ9" s="3">
        <f>infections!BQ9-infections!BP9</f>
        <v>25</v>
      </c>
      <c r="BR9" s="3">
        <f>infections!BR9-infections!BQ9</f>
        <v>39</v>
      </c>
      <c r="BS9" s="3">
        <f>infections!BS9-infections!BR9</f>
        <v>78</v>
      </c>
      <c r="BT9" s="3">
        <f>infections!BT9-infections!BS9</f>
        <v>17</v>
      </c>
      <c r="BU9" s="3">
        <f>infections!BU9-infections!BT9</f>
        <v>58</v>
      </c>
      <c r="BV9" s="3">
        <f>infections!BV9-infections!BU9</f>
        <v>50</v>
      </c>
      <c r="BW9" s="3">
        <f>infections!BW9-infections!BV9</f>
        <v>39</v>
      </c>
      <c r="BX9" s="3">
        <f>infections!BX9-infections!BW9</f>
        <v>92</v>
      </c>
      <c r="BY9" s="3">
        <f>infections!BY9-infections!BX9</f>
        <v>73</v>
      </c>
    </row>
    <row r="10">
      <c r="B10" s="1" t="str">
        <f>infections!B10</f>
        <v>Australia</v>
      </c>
      <c r="C10" s="4">
        <f>infections!C10</f>
        <v>-35.4735</v>
      </c>
      <c r="D10" s="4">
        <f>infections!D10</f>
        <v>149.0124</v>
      </c>
      <c r="E10" s="4">
        <f>infections!E10</f>
        <v>0</v>
      </c>
      <c r="F10" s="3">
        <f>infections!F10-infections!E10</f>
        <v>0</v>
      </c>
      <c r="G10" s="3">
        <f>infections!G10-infections!F10</f>
        <v>0</v>
      </c>
      <c r="H10" s="3">
        <f>infections!H10-infections!G10</f>
        <v>0</v>
      </c>
      <c r="I10" s="3">
        <f>infections!I10-infections!H10</f>
        <v>0</v>
      </c>
      <c r="J10" s="3">
        <f>infections!J10-infections!I10</f>
        <v>0</v>
      </c>
      <c r="K10" s="3">
        <f>infections!K10-infections!J10</f>
        <v>0</v>
      </c>
      <c r="L10" s="3">
        <f>infections!L10-infections!K10</f>
        <v>0</v>
      </c>
      <c r="M10" s="3">
        <f>infections!M10-infections!L10</f>
        <v>0</v>
      </c>
      <c r="N10" s="3">
        <f>infections!N10-infections!M10</f>
        <v>0</v>
      </c>
      <c r="O10" s="3">
        <f>infections!O10-infections!N10</f>
        <v>0</v>
      </c>
      <c r="P10" s="3">
        <f>infections!P10-infections!O10</f>
        <v>0</v>
      </c>
      <c r="Q10" s="3">
        <f>infections!Q10-infections!P10</f>
        <v>0</v>
      </c>
      <c r="R10" s="3">
        <f>infections!R10-infections!Q10</f>
        <v>0</v>
      </c>
      <c r="S10" s="3">
        <f>infections!S10-infections!R10</f>
        <v>0</v>
      </c>
      <c r="T10" s="3">
        <f>infections!T10-infections!S10</f>
        <v>0</v>
      </c>
      <c r="U10" s="3">
        <f>infections!U10-infections!T10</f>
        <v>0</v>
      </c>
      <c r="V10" s="3">
        <f>infections!V10-infections!U10</f>
        <v>0</v>
      </c>
      <c r="W10" s="3">
        <f>infections!W10-infections!V10</f>
        <v>0</v>
      </c>
      <c r="X10" s="3">
        <f>infections!X10-infections!W10</f>
        <v>0</v>
      </c>
      <c r="Y10" s="3">
        <f>infections!Y10-infections!X10</f>
        <v>0</v>
      </c>
      <c r="Z10" s="3">
        <f>infections!Z10-infections!Y10</f>
        <v>0</v>
      </c>
      <c r="AA10" s="3">
        <f>infections!AA10-infections!Z10</f>
        <v>0</v>
      </c>
      <c r="AB10" s="3">
        <f>infections!AB10-infections!AA10</f>
        <v>0</v>
      </c>
      <c r="AC10" s="3">
        <f>infections!AC10-infections!AB10</f>
        <v>0</v>
      </c>
      <c r="AD10" s="3">
        <f>infections!AD10-infections!AC10</f>
        <v>0</v>
      </c>
      <c r="AE10" s="3">
        <f>infections!AE10-infections!AD10</f>
        <v>0</v>
      </c>
      <c r="AF10" s="3">
        <f>infections!AF10-infections!AE10</f>
        <v>0</v>
      </c>
      <c r="AG10" s="3">
        <f>infections!AG10-infections!AF10</f>
        <v>0</v>
      </c>
      <c r="AH10" s="3">
        <f>infections!AH10-infections!AG10</f>
        <v>0</v>
      </c>
      <c r="AI10" s="3">
        <f>infections!AI10-infections!AH10</f>
        <v>0</v>
      </c>
      <c r="AJ10" s="3">
        <f>infections!AJ10-infections!AI10</f>
        <v>0</v>
      </c>
      <c r="AK10" s="3">
        <f>infections!AK10-infections!AJ10</f>
        <v>0</v>
      </c>
      <c r="AL10" s="3">
        <f>infections!AL10-infections!AK10</f>
        <v>0</v>
      </c>
      <c r="AM10" s="3">
        <f>infections!AM10-infections!AL10</f>
        <v>0</v>
      </c>
      <c r="AN10" s="3">
        <f>infections!AN10-infections!AM10</f>
        <v>0</v>
      </c>
      <c r="AO10" s="3">
        <f>infections!AO10-infections!AN10</f>
        <v>0</v>
      </c>
      <c r="AP10" s="3">
        <f>infections!AP10-infections!AO10</f>
        <v>0</v>
      </c>
      <c r="AQ10" s="3">
        <f>infections!AQ10-infections!AP10</f>
        <v>0</v>
      </c>
      <c r="AR10" s="3">
        <f>infections!AR10-infections!AQ10</f>
        <v>0</v>
      </c>
      <c r="AS10" s="3">
        <f>infections!AS10-infections!AR10</f>
        <v>0</v>
      </c>
      <c r="AT10" s="3">
        <f>infections!AT10-infections!AS10</f>
        <v>0</v>
      </c>
      <c r="AU10" s="3">
        <f>infections!AU10-infections!AT10</f>
        <v>0</v>
      </c>
      <c r="AV10" s="3">
        <f>infections!AV10-infections!AU10</f>
        <v>0</v>
      </c>
      <c r="AW10" s="3">
        <f>infections!AW10-infections!AV10</f>
        <v>0</v>
      </c>
      <c r="AX10" s="3">
        <f>infections!AX10-infections!AW10</f>
        <v>0</v>
      </c>
      <c r="AY10" s="3">
        <f>infections!AY10-infections!AX10</f>
        <v>0</v>
      </c>
      <c r="AZ10" s="3">
        <f>infections!AZ10-infections!AY10</f>
        <v>0</v>
      </c>
      <c r="BA10" s="3">
        <f>infections!BA10-infections!AZ10</f>
        <v>0</v>
      </c>
      <c r="BB10" s="3">
        <f>infections!BB10-infections!BA10</f>
        <v>0</v>
      </c>
      <c r="BC10" s="3">
        <f>infections!BC10-infections!BB10</f>
        <v>0</v>
      </c>
      <c r="BD10" s="3">
        <f>infections!BD10-infections!BC10</f>
        <v>1</v>
      </c>
      <c r="BE10" s="3">
        <f>infections!BE10-infections!BD10</f>
        <v>0</v>
      </c>
      <c r="BF10" s="3">
        <f>infections!BF10-infections!BE10</f>
        <v>0</v>
      </c>
      <c r="BG10" s="3">
        <f>infections!BG10-infections!BF10</f>
        <v>1</v>
      </c>
      <c r="BH10" s="3">
        <f>infections!BH10-infections!BG10</f>
        <v>0</v>
      </c>
      <c r="BI10" s="3">
        <f>infections!BI10-infections!BH10</f>
        <v>1</v>
      </c>
      <c r="BJ10" s="3">
        <f>infections!BJ10-infections!BI10</f>
        <v>1</v>
      </c>
      <c r="BK10" s="3">
        <f>infections!BK10-infections!BJ10</f>
        <v>2</v>
      </c>
      <c r="BL10" s="3">
        <f>infections!BL10-infections!BK10</f>
        <v>3</v>
      </c>
      <c r="BM10" s="3">
        <f>infections!BM10-infections!BL10</f>
        <v>10</v>
      </c>
      <c r="BN10" s="3">
        <f>infections!BN10-infections!BM10</f>
        <v>13</v>
      </c>
      <c r="BO10" s="3">
        <f>infections!BO10-infections!BN10</f>
        <v>7</v>
      </c>
      <c r="BP10" s="3">
        <f>infections!BP10-infections!BO10</f>
        <v>0</v>
      </c>
      <c r="BQ10" s="3">
        <f>infections!BQ10-infections!BP10</f>
        <v>14</v>
      </c>
      <c r="BR10" s="3">
        <f>infections!BR10-infections!BQ10</f>
        <v>9</v>
      </c>
      <c r="BS10" s="3">
        <f>infections!BS10-infections!BR10</f>
        <v>9</v>
      </c>
      <c r="BT10" s="3">
        <f>infections!BT10-infections!BS10</f>
        <v>6</v>
      </c>
      <c r="BU10" s="3">
        <f>infections!BU10-infections!BT10</f>
        <v>1</v>
      </c>
      <c r="BV10" s="3">
        <f>infections!BV10-infections!BU10</f>
        <v>2</v>
      </c>
      <c r="BW10" s="3">
        <f>infections!BW10-infections!BV10</f>
        <v>4</v>
      </c>
      <c r="BX10" s="3">
        <f>infections!BX10-infections!BW10</f>
        <v>3</v>
      </c>
      <c r="BY10" s="3">
        <f>infections!BY10-infections!BX10</f>
        <v>4</v>
      </c>
    </row>
    <row r="11">
      <c r="B11" s="1" t="str">
        <f>infections!B11</f>
        <v>Australia</v>
      </c>
      <c r="C11" s="4">
        <f>infections!C11</f>
        <v>-33.8688</v>
      </c>
      <c r="D11" s="4">
        <f>infections!D11</f>
        <v>151.2093</v>
      </c>
      <c r="E11" s="4">
        <f>infections!E11</f>
        <v>0</v>
      </c>
      <c r="F11" s="3">
        <f>infections!F11-infections!E11</f>
        <v>0</v>
      </c>
      <c r="G11" s="3">
        <f>infections!G11-infections!F11</f>
        <v>0</v>
      </c>
      <c r="H11" s="3">
        <f>infections!H11-infections!G11</f>
        <v>0</v>
      </c>
      <c r="I11" s="3">
        <f>infections!I11-infections!H11</f>
        <v>3</v>
      </c>
      <c r="J11" s="3">
        <f>infections!J11-infections!I11</f>
        <v>1</v>
      </c>
      <c r="K11" s="3">
        <f>infections!K11-infections!J11</f>
        <v>0</v>
      </c>
      <c r="L11" s="3">
        <f>infections!L11-infections!K11</f>
        <v>0</v>
      </c>
      <c r="M11" s="3">
        <f>infections!M11-infections!L11</f>
        <v>0</v>
      </c>
      <c r="N11" s="3">
        <f>infections!N11-infections!M11</f>
        <v>0</v>
      </c>
      <c r="O11" s="3">
        <f>infections!O11-infections!N11</f>
        <v>0</v>
      </c>
      <c r="P11" s="3">
        <f>infections!P11-infections!O11</f>
        <v>0</v>
      </c>
      <c r="Q11" s="3">
        <f>infections!Q11-infections!P11</f>
        <v>0</v>
      </c>
      <c r="R11" s="3">
        <f>infections!R11-infections!Q11</f>
        <v>0</v>
      </c>
      <c r="S11" s="3">
        <f>infections!S11-infections!R11</f>
        <v>0</v>
      </c>
      <c r="T11" s="3">
        <f>infections!T11-infections!S11</f>
        <v>0</v>
      </c>
      <c r="U11" s="3">
        <f>infections!U11-infections!T11</f>
        <v>0</v>
      </c>
      <c r="V11" s="3">
        <f>infections!V11-infections!U11</f>
        <v>0</v>
      </c>
      <c r="W11" s="3">
        <f>infections!W11-infections!V11</f>
        <v>0</v>
      </c>
      <c r="X11" s="3">
        <f>infections!X11-infections!W11</f>
        <v>0</v>
      </c>
      <c r="Y11" s="3">
        <f>infections!Y11-infections!X11</f>
        <v>0</v>
      </c>
      <c r="Z11" s="3">
        <f>infections!Z11-infections!Y11</f>
        <v>0</v>
      </c>
      <c r="AA11" s="3">
        <f>infections!AA11-infections!Z11</f>
        <v>0</v>
      </c>
      <c r="AB11" s="3">
        <f>infections!AB11-infections!AA11</f>
        <v>0</v>
      </c>
      <c r="AC11" s="3">
        <f>infections!AC11-infections!AB11</f>
        <v>0</v>
      </c>
      <c r="AD11" s="3">
        <f>infections!AD11-infections!AC11</f>
        <v>0</v>
      </c>
      <c r="AE11" s="3">
        <f>infections!AE11-infections!AD11</f>
        <v>0</v>
      </c>
      <c r="AF11" s="3">
        <f>infections!AF11-infections!AE11</f>
        <v>0</v>
      </c>
      <c r="AG11" s="3">
        <f>infections!AG11-infections!AF11</f>
        <v>0</v>
      </c>
      <c r="AH11" s="3">
        <f>infections!AH11-infections!AG11</f>
        <v>0</v>
      </c>
      <c r="AI11" s="3">
        <f>infections!AI11-infections!AH11</f>
        <v>0</v>
      </c>
      <c r="AJ11" s="3">
        <f>infections!AJ11-infections!AI11</f>
        <v>0</v>
      </c>
      <c r="AK11" s="3">
        <f>infections!AK11-infections!AJ11</f>
        <v>0</v>
      </c>
      <c r="AL11" s="3">
        <f>infections!AL11-infections!AK11</f>
        <v>0</v>
      </c>
      <c r="AM11" s="3">
        <f>infections!AM11-infections!AL11</f>
        <v>0</v>
      </c>
      <c r="AN11" s="3">
        <f>infections!AN11-infections!AM11</f>
        <v>0</v>
      </c>
      <c r="AO11" s="3">
        <f>infections!AO11-infections!AN11</f>
        <v>0</v>
      </c>
      <c r="AP11" s="3">
        <f>infections!AP11-infections!AO11</f>
        <v>0</v>
      </c>
      <c r="AQ11" s="3">
        <f>infections!AQ11-infections!AP11</f>
        <v>0</v>
      </c>
      <c r="AR11" s="3">
        <f>infections!AR11-infections!AQ11</f>
        <v>2</v>
      </c>
      <c r="AS11" s="3">
        <f>infections!AS11-infections!AR11</f>
        <v>0</v>
      </c>
      <c r="AT11" s="3">
        <f>infections!AT11-infections!AS11</f>
        <v>7</v>
      </c>
      <c r="AU11" s="3">
        <f>infections!AU11-infections!AT11</f>
        <v>9</v>
      </c>
      <c r="AV11" s="3">
        <f>infections!AV11-infections!AU11</f>
        <v>0</v>
      </c>
      <c r="AW11" s="3">
        <f>infections!AW11-infections!AV11</f>
        <v>4</v>
      </c>
      <c r="AX11" s="3">
        <f>infections!AX11-infections!AW11</f>
        <v>2</v>
      </c>
      <c r="AY11" s="3">
        <f>infections!AY11-infections!AX11</f>
        <v>10</v>
      </c>
      <c r="AZ11" s="3">
        <f>infections!AZ11-infections!AY11</f>
        <v>10</v>
      </c>
      <c r="BA11" s="3">
        <f>infections!BA11-infections!AZ11</f>
        <v>7</v>
      </c>
      <c r="BB11" s="3">
        <f>infections!BB11-infections!BA11</f>
        <v>10</v>
      </c>
      <c r="BC11" s="3">
        <f>infections!BC11-infections!BB11</f>
        <v>0</v>
      </c>
      <c r="BD11" s="3">
        <f>infections!BD11-infections!BC11</f>
        <v>27</v>
      </c>
      <c r="BE11" s="3">
        <f>infections!BE11-infections!BD11</f>
        <v>20</v>
      </c>
      <c r="BF11" s="3">
        <f>infections!BF11-infections!BE11</f>
        <v>22</v>
      </c>
      <c r="BG11" s="3">
        <f>infections!BG11-infections!BF11</f>
        <v>37</v>
      </c>
      <c r="BH11" s="3">
        <f>infections!BH11-infections!BG11</f>
        <v>39</v>
      </c>
      <c r="BI11" s="3">
        <f>infections!BI11-infections!BH11</f>
        <v>57</v>
      </c>
      <c r="BJ11" s="3">
        <f>infections!BJ11-infections!BI11</f>
        <v>40</v>
      </c>
      <c r="BK11" s="3">
        <f>infections!BK11-infections!BJ11</f>
        <v>46</v>
      </c>
      <c r="BL11" s="3">
        <f>infections!BL11-infections!BK11</f>
        <v>83</v>
      </c>
      <c r="BM11" s="3">
        <f>infections!BM11-infections!BL11</f>
        <v>233</v>
      </c>
      <c r="BN11" s="3">
        <f>infections!BN11-infections!BM11</f>
        <v>0</v>
      </c>
      <c r="BO11" s="3">
        <f>infections!BO11-infections!BN11</f>
        <v>149</v>
      </c>
      <c r="BP11" s="3">
        <f>infections!BP11-infections!BO11</f>
        <v>211</v>
      </c>
      <c r="BQ11" s="3">
        <f>infections!BQ11-infections!BP11</f>
        <v>190</v>
      </c>
      <c r="BR11" s="3">
        <f>infections!BR11-infections!BQ11</f>
        <v>186</v>
      </c>
      <c r="BS11" s="3">
        <f>infections!BS11-infections!BR11</f>
        <v>212</v>
      </c>
      <c r="BT11" s="3">
        <f>infections!BT11-infections!BS11</f>
        <v>174</v>
      </c>
      <c r="BU11" s="3">
        <f>infections!BU11-infections!BT11</f>
        <v>241</v>
      </c>
      <c r="BV11" s="3">
        <f>infections!BV11-infections!BU11</f>
        <v>0</v>
      </c>
      <c r="BW11" s="3">
        <f>infections!BW11-infections!BV11</f>
        <v>150</v>
      </c>
      <c r="BX11" s="3">
        <f>infections!BX11-infections!BW11</f>
        <v>116</v>
      </c>
      <c r="BY11" s="3">
        <f>infections!BY11-infections!BX11</f>
        <v>91</v>
      </c>
    </row>
    <row r="12">
      <c r="B12" s="1" t="str">
        <f>infections!B12</f>
        <v>Australia</v>
      </c>
      <c r="C12" s="4">
        <f>infections!C12</f>
        <v>-12.4634</v>
      </c>
      <c r="D12" s="4">
        <f>infections!D12</f>
        <v>130.8456</v>
      </c>
      <c r="E12" s="4">
        <f>infections!E12</f>
        <v>0</v>
      </c>
      <c r="F12" s="3">
        <f>infections!F12-infections!E12</f>
        <v>0</v>
      </c>
      <c r="G12" s="3">
        <f>infections!G12-infections!F12</f>
        <v>0</v>
      </c>
      <c r="H12" s="3">
        <f>infections!H12-infections!G12</f>
        <v>0</v>
      </c>
      <c r="I12" s="3">
        <f>infections!I12-infections!H12</f>
        <v>0</v>
      </c>
      <c r="J12" s="3">
        <f>infections!J12-infections!I12</f>
        <v>0</v>
      </c>
      <c r="K12" s="3">
        <f>infections!K12-infections!J12</f>
        <v>0</v>
      </c>
      <c r="L12" s="3">
        <f>infections!L12-infections!K12</f>
        <v>0</v>
      </c>
      <c r="M12" s="3">
        <f>infections!M12-infections!L12</f>
        <v>0</v>
      </c>
      <c r="N12" s="3">
        <f>infections!N12-infections!M12</f>
        <v>0</v>
      </c>
      <c r="O12" s="3">
        <f>infections!O12-infections!N12</f>
        <v>0</v>
      </c>
      <c r="P12" s="3">
        <f>infections!P12-infections!O12</f>
        <v>0</v>
      </c>
      <c r="Q12" s="3">
        <f>infections!Q12-infections!P12</f>
        <v>0</v>
      </c>
      <c r="R12" s="3">
        <f>infections!R12-infections!Q12</f>
        <v>0</v>
      </c>
      <c r="S12" s="3">
        <f>infections!S12-infections!R12</f>
        <v>0</v>
      </c>
      <c r="T12" s="3">
        <f>infections!T12-infections!S12</f>
        <v>0</v>
      </c>
      <c r="U12" s="3">
        <f>infections!U12-infections!T12</f>
        <v>0</v>
      </c>
      <c r="V12" s="3">
        <f>infections!V12-infections!U12</f>
        <v>0</v>
      </c>
      <c r="W12" s="3">
        <f>infections!W12-infections!V12</f>
        <v>0</v>
      </c>
      <c r="X12" s="3">
        <f>infections!X12-infections!W12</f>
        <v>0</v>
      </c>
      <c r="Y12" s="3">
        <f>infections!Y12-infections!X12</f>
        <v>0</v>
      </c>
      <c r="Z12" s="3">
        <f>infections!Z12-infections!Y12</f>
        <v>0</v>
      </c>
      <c r="AA12" s="3">
        <f>infections!AA12-infections!Z12</f>
        <v>0</v>
      </c>
      <c r="AB12" s="3">
        <f>infections!AB12-infections!AA12</f>
        <v>0</v>
      </c>
      <c r="AC12" s="3">
        <f>infections!AC12-infections!AB12</f>
        <v>0</v>
      </c>
      <c r="AD12" s="3">
        <f>infections!AD12-infections!AC12</f>
        <v>0</v>
      </c>
      <c r="AE12" s="3">
        <f>infections!AE12-infections!AD12</f>
        <v>0</v>
      </c>
      <c r="AF12" s="3">
        <f>infections!AF12-infections!AE12</f>
        <v>0</v>
      </c>
      <c r="AG12" s="3">
        <f>infections!AG12-infections!AF12</f>
        <v>0</v>
      </c>
      <c r="AH12" s="3">
        <f>infections!AH12-infections!AG12</f>
        <v>0</v>
      </c>
      <c r="AI12" s="3">
        <f>infections!AI12-infections!AH12</f>
        <v>0</v>
      </c>
      <c r="AJ12" s="3">
        <f>infections!AJ12-infections!AI12</f>
        <v>0</v>
      </c>
      <c r="AK12" s="3">
        <f>infections!AK12-infections!AJ12</f>
        <v>0</v>
      </c>
      <c r="AL12" s="3">
        <f>infections!AL12-infections!AK12</f>
        <v>0</v>
      </c>
      <c r="AM12" s="3">
        <f>infections!AM12-infections!AL12</f>
        <v>0</v>
      </c>
      <c r="AN12" s="3">
        <f>infections!AN12-infections!AM12</f>
        <v>0</v>
      </c>
      <c r="AO12" s="3">
        <f>infections!AO12-infections!AN12</f>
        <v>0</v>
      </c>
      <c r="AP12" s="3">
        <f>infections!AP12-infections!AO12</f>
        <v>0</v>
      </c>
      <c r="AQ12" s="3">
        <f>infections!AQ12-infections!AP12</f>
        <v>0</v>
      </c>
      <c r="AR12" s="3">
        <f>infections!AR12-infections!AQ12</f>
        <v>0</v>
      </c>
      <c r="AS12" s="3">
        <f>infections!AS12-infections!AR12</f>
        <v>0</v>
      </c>
      <c r="AT12" s="3">
        <f>infections!AT12-infections!AS12</f>
        <v>0</v>
      </c>
      <c r="AU12" s="3">
        <f>infections!AU12-infections!AT12</f>
        <v>1</v>
      </c>
      <c r="AV12" s="3">
        <f>infections!AV12-infections!AU12</f>
        <v>0</v>
      </c>
      <c r="AW12" s="3">
        <f>infections!AW12-infections!AV12</f>
        <v>-1</v>
      </c>
      <c r="AX12" s="3">
        <f>infections!AX12-infections!AW12</f>
        <v>0</v>
      </c>
      <c r="AY12" s="3">
        <f>infections!AY12-infections!AX12</f>
        <v>0</v>
      </c>
      <c r="AZ12" s="3">
        <f>infections!AZ12-infections!AY12</f>
        <v>0</v>
      </c>
      <c r="BA12" s="3">
        <f>infections!BA12-infections!AZ12</f>
        <v>1</v>
      </c>
      <c r="BB12" s="3">
        <f>infections!BB12-infections!BA12</f>
        <v>0</v>
      </c>
      <c r="BC12" s="3">
        <f>infections!BC12-infections!BB12</f>
        <v>0</v>
      </c>
      <c r="BD12" s="3">
        <f>infections!BD12-infections!BC12</f>
        <v>0</v>
      </c>
      <c r="BE12" s="3">
        <f>infections!BE12-infections!BD12</f>
        <v>0</v>
      </c>
      <c r="BF12" s="3">
        <f>infections!BF12-infections!BE12</f>
        <v>0</v>
      </c>
      <c r="BG12" s="3">
        <f>infections!BG12-infections!BF12</f>
        <v>0</v>
      </c>
      <c r="BH12" s="3">
        <f>infections!BH12-infections!BG12</f>
        <v>0</v>
      </c>
      <c r="BI12" s="3">
        <f>infections!BI12-infections!BH12</f>
        <v>0</v>
      </c>
      <c r="BJ12" s="3">
        <f>infections!BJ12-infections!BI12</f>
        <v>0</v>
      </c>
      <c r="BK12" s="3">
        <f>infections!BK12-infections!BJ12</f>
        <v>2</v>
      </c>
      <c r="BL12" s="3">
        <f>infections!BL12-infections!BK12</f>
        <v>0</v>
      </c>
      <c r="BM12" s="3">
        <f>infections!BM12-infections!BL12</f>
        <v>2</v>
      </c>
      <c r="BN12" s="3">
        <f>infections!BN12-infections!BM12</f>
        <v>0</v>
      </c>
      <c r="BO12" s="3">
        <f>infections!BO12-infections!BN12</f>
        <v>1</v>
      </c>
      <c r="BP12" s="3">
        <f>infections!BP12-infections!BO12</f>
        <v>0</v>
      </c>
      <c r="BQ12" s="3">
        <f>infections!BQ12-infections!BP12</f>
        <v>6</v>
      </c>
      <c r="BR12" s="3">
        <f>infections!BR12-infections!BQ12</f>
        <v>0</v>
      </c>
      <c r="BS12" s="3">
        <f>infections!BS12-infections!BR12</f>
        <v>3</v>
      </c>
      <c r="BT12" s="3">
        <f>infections!BT12-infections!BS12</f>
        <v>0</v>
      </c>
      <c r="BU12" s="3">
        <f>infections!BU12-infections!BT12</f>
        <v>0</v>
      </c>
      <c r="BV12" s="3">
        <f>infections!BV12-infections!BU12</f>
        <v>2</v>
      </c>
      <c r="BW12" s="3">
        <f>infections!BW12-infections!BV12</f>
        <v>2</v>
      </c>
      <c r="BX12" s="3">
        <f>infections!BX12-infections!BW12</f>
        <v>2</v>
      </c>
      <c r="BY12" s="3">
        <f>infections!BY12-infections!BX12</f>
        <v>1</v>
      </c>
    </row>
    <row r="13">
      <c r="B13" s="1" t="str">
        <f>infections!B13</f>
        <v>Australia</v>
      </c>
      <c r="C13" s="4">
        <f>infections!C13</f>
        <v>-28.0167</v>
      </c>
      <c r="D13" s="4">
        <f>infections!D13</f>
        <v>153.4</v>
      </c>
      <c r="E13" s="4">
        <f>infections!E13</f>
        <v>0</v>
      </c>
      <c r="F13" s="3">
        <f>infections!F13-infections!E13</f>
        <v>0</v>
      </c>
      <c r="G13" s="3">
        <f>infections!G13-infections!F13</f>
        <v>0</v>
      </c>
      <c r="H13" s="3">
        <f>infections!H13-infections!G13</f>
        <v>0</v>
      </c>
      <c r="I13" s="3">
        <f>infections!I13-infections!H13</f>
        <v>0</v>
      </c>
      <c r="J13" s="3">
        <f>infections!J13-infections!I13</f>
        <v>0</v>
      </c>
      <c r="K13" s="3">
        <f>infections!K13-infections!J13</f>
        <v>0</v>
      </c>
      <c r="L13" s="3">
        <f>infections!L13-infections!K13</f>
        <v>1</v>
      </c>
      <c r="M13" s="3">
        <f>infections!M13-infections!L13</f>
        <v>2</v>
      </c>
      <c r="N13" s="3">
        <f>infections!N13-infections!M13</f>
        <v>-1</v>
      </c>
      <c r="O13" s="3">
        <f>infections!O13-infections!N13</f>
        <v>1</v>
      </c>
      <c r="P13" s="3">
        <f>infections!P13-infections!O13</f>
        <v>-1</v>
      </c>
      <c r="Q13" s="3">
        <f>infections!Q13-infections!P13</f>
        <v>0</v>
      </c>
      <c r="R13" s="3">
        <f>infections!R13-infections!Q13</f>
        <v>1</v>
      </c>
      <c r="S13" s="3">
        <f>infections!S13-infections!R13</f>
        <v>0</v>
      </c>
      <c r="T13" s="3">
        <f>infections!T13-infections!S13</f>
        <v>1</v>
      </c>
      <c r="U13" s="3">
        <f>infections!U13-infections!T13</f>
        <v>1</v>
      </c>
      <c r="V13" s="3">
        <f>infections!V13-infections!U13</f>
        <v>0</v>
      </c>
      <c r="W13" s="3">
        <f>infections!W13-infections!V13</f>
        <v>0</v>
      </c>
      <c r="X13" s="3">
        <f>infections!X13-infections!W13</f>
        <v>0</v>
      </c>
      <c r="Y13" s="3">
        <f>infections!Y13-infections!X13</f>
        <v>0</v>
      </c>
      <c r="Z13" s="3">
        <f>infections!Z13-infections!Y13</f>
        <v>0</v>
      </c>
      <c r="AA13" s="3">
        <f>infections!AA13-infections!Z13</f>
        <v>0</v>
      </c>
      <c r="AB13" s="3">
        <f>infections!AB13-infections!AA13</f>
        <v>0</v>
      </c>
      <c r="AC13" s="3">
        <f>infections!AC13-infections!AB13</f>
        <v>0</v>
      </c>
      <c r="AD13" s="3">
        <f>infections!AD13-infections!AC13</f>
        <v>0</v>
      </c>
      <c r="AE13" s="3">
        <f>infections!AE13-infections!AD13</f>
        <v>0</v>
      </c>
      <c r="AF13" s="3">
        <f>infections!AF13-infections!AE13</f>
        <v>0</v>
      </c>
      <c r="AG13" s="3">
        <f>infections!AG13-infections!AF13</f>
        <v>0</v>
      </c>
      <c r="AH13" s="3">
        <f>infections!AH13-infections!AG13</f>
        <v>0</v>
      </c>
      <c r="AI13" s="3">
        <f>infections!AI13-infections!AH13</f>
        <v>0</v>
      </c>
      <c r="AJ13" s="3">
        <f>infections!AJ13-infections!AI13</f>
        <v>0</v>
      </c>
      <c r="AK13" s="3">
        <f>infections!AK13-infections!AJ13</f>
        <v>0</v>
      </c>
      <c r="AL13" s="3">
        <f>infections!AL13-infections!AK13</f>
        <v>0</v>
      </c>
      <c r="AM13" s="3">
        <f>infections!AM13-infections!AL13</f>
        <v>0</v>
      </c>
      <c r="AN13" s="3">
        <f>infections!AN13-infections!AM13</f>
        <v>0</v>
      </c>
      <c r="AO13" s="3">
        <f>infections!AO13-infections!AN13</f>
        <v>0</v>
      </c>
      <c r="AP13" s="3">
        <f>infections!AP13-infections!AO13</f>
        <v>0</v>
      </c>
      <c r="AQ13" s="3">
        <f>infections!AQ13-infections!AP13</f>
        <v>4</v>
      </c>
      <c r="AR13" s="3">
        <f>infections!AR13-infections!AQ13</f>
        <v>0</v>
      </c>
      <c r="AS13" s="3">
        <f>infections!AS13-infections!AR13</f>
        <v>0</v>
      </c>
      <c r="AT13" s="3">
        <f>infections!AT13-infections!AS13</f>
        <v>2</v>
      </c>
      <c r="AU13" s="3">
        <f>infections!AU13-infections!AT13</f>
        <v>0</v>
      </c>
      <c r="AV13" s="3">
        <f>infections!AV13-infections!AU13</f>
        <v>2</v>
      </c>
      <c r="AW13" s="3">
        <f>infections!AW13-infections!AV13</f>
        <v>0</v>
      </c>
      <c r="AX13" s="3">
        <f>infections!AX13-infections!AW13</f>
        <v>0</v>
      </c>
      <c r="AY13" s="3">
        <f>infections!AY13-infections!AX13</f>
        <v>2</v>
      </c>
      <c r="AZ13" s="3">
        <f>infections!AZ13-infections!AY13</f>
        <v>0</v>
      </c>
      <c r="BA13" s="3">
        <f>infections!BA13-infections!AZ13</f>
        <v>3</v>
      </c>
      <c r="BB13" s="3">
        <f>infections!BB13-infections!BA13</f>
        <v>2</v>
      </c>
      <c r="BC13" s="3">
        <f>infections!BC13-infections!BB13</f>
        <v>0</v>
      </c>
      <c r="BD13" s="3">
        <f>infections!BD13-infections!BC13</f>
        <v>15</v>
      </c>
      <c r="BE13" s="3">
        <f>infections!BE13-infections!BD13</f>
        <v>11</v>
      </c>
      <c r="BF13" s="3">
        <f>infections!BF13-infections!BE13</f>
        <v>15</v>
      </c>
      <c r="BG13" s="3">
        <f>infections!BG13-infections!BF13</f>
        <v>7</v>
      </c>
      <c r="BH13" s="3">
        <f>infections!BH13-infections!BG13</f>
        <v>10</v>
      </c>
      <c r="BI13" s="3">
        <f>infections!BI13-infections!BH13</f>
        <v>16</v>
      </c>
      <c r="BJ13" s="3">
        <f>infections!BJ13-infections!BI13</f>
        <v>50</v>
      </c>
      <c r="BK13" s="3">
        <f>infections!BK13-infections!BJ13</f>
        <v>40</v>
      </c>
      <c r="BL13" s="3">
        <f>infections!BL13-infections!BK13</f>
        <v>37</v>
      </c>
      <c r="BM13" s="3">
        <f>infections!BM13-infections!BL13</f>
        <v>38</v>
      </c>
      <c r="BN13" s="3">
        <f>infections!BN13-infections!BM13</f>
        <v>60</v>
      </c>
      <c r="BO13" s="3">
        <f>infections!BO13-infections!BN13</f>
        <v>78</v>
      </c>
      <c r="BP13" s="3">
        <f>infections!BP13-infections!BO13</f>
        <v>46</v>
      </c>
      <c r="BQ13" s="3">
        <f>infections!BQ13-infections!BP13</f>
        <v>50</v>
      </c>
      <c r="BR13" s="3">
        <f>infections!BR13-infections!BQ13</f>
        <v>62</v>
      </c>
      <c r="BS13" s="3">
        <f>infections!BS13-infections!BR13</f>
        <v>70</v>
      </c>
      <c r="BT13" s="3">
        <f>infections!BT13-infections!BS13</f>
        <v>31</v>
      </c>
      <c r="BU13" s="3">
        <f>infections!BU13-infections!BT13</f>
        <v>33</v>
      </c>
      <c r="BV13" s="3">
        <f>infections!BV13-infections!BU13</f>
        <v>54</v>
      </c>
      <c r="BW13" s="3">
        <f>infections!BW13-infections!BV13</f>
        <v>38</v>
      </c>
      <c r="BX13" s="3">
        <f>infections!BX13-infections!BW13</f>
        <v>54</v>
      </c>
      <c r="BY13" s="3">
        <f>infections!BY13-infections!BX13</f>
        <v>38</v>
      </c>
    </row>
    <row r="14">
      <c r="B14" s="1" t="str">
        <f>infections!B14</f>
        <v>Australia</v>
      </c>
      <c r="C14" s="4">
        <f>infections!C14</f>
        <v>-34.9285</v>
      </c>
      <c r="D14" s="4">
        <f>infections!D14</f>
        <v>138.6007</v>
      </c>
      <c r="E14" s="4">
        <f>infections!E14</f>
        <v>0</v>
      </c>
      <c r="F14" s="3">
        <f>infections!F14-infections!E14</f>
        <v>0</v>
      </c>
      <c r="G14" s="3">
        <f>infections!G14-infections!F14</f>
        <v>0</v>
      </c>
      <c r="H14" s="3">
        <f>infections!H14-infections!G14</f>
        <v>0</v>
      </c>
      <c r="I14" s="3">
        <f>infections!I14-infections!H14</f>
        <v>0</v>
      </c>
      <c r="J14" s="3">
        <f>infections!J14-infections!I14</f>
        <v>0</v>
      </c>
      <c r="K14" s="3">
        <f>infections!K14-infections!J14</f>
        <v>0</v>
      </c>
      <c r="L14" s="3">
        <f>infections!L14-infections!K14</f>
        <v>0</v>
      </c>
      <c r="M14" s="3">
        <f>infections!M14-infections!L14</f>
        <v>0</v>
      </c>
      <c r="N14" s="3">
        <f>infections!N14-infections!M14</f>
        <v>0</v>
      </c>
      <c r="O14" s="3">
        <f>infections!O14-infections!N14</f>
        <v>1</v>
      </c>
      <c r="P14" s="3">
        <f>infections!P14-infections!O14</f>
        <v>1</v>
      </c>
      <c r="Q14" s="3">
        <f>infections!Q14-infections!P14</f>
        <v>0</v>
      </c>
      <c r="R14" s="3">
        <f>infections!R14-infections!Q14</f>
        <v>0</v>
      </c>
      <c r="S14" s="3">
        <f>infections!S14-infections!R14</f>
        <v>0</v>
      </c>
      <c r="T14" s="3">
        <f>infections!T14-infections!S14</f>
        <v>0</v>
      </c>
      <c r="U14" s="3">
        <f>infections!U14-infections!T14</f>
        <v>0</v>
      </c>
      <c r="V14" s="3">
        <f>infections!V14-infections!U14</f>
        <v>0</v>
      </c>
      <c r="W14" s="3">
        <f>infections!W14-infections!V14</f>
        <v>0</v>
      </c>
      <c r="X14" s="3">
        <f>infections!X14-infections!W14</f>
        <v>0</v>
      </c>
      <c r="Y14" s="3">
        <f>infections!Y14-infections!X14</f>
        <v>0</v>
      </c>
      <c r="Z14" s="3">
        <f>infections!Z14-infections!Y14</f>
        <v>0</v>
      </c>
      <c r="AA14" s="3">
        <f>infections!AA14-infections!Z14</f>
        <v>0</v>
      </c>
      <c r="AB14" s="3">
        <f>infections!AB14-infections!AA14</f>
        <v>0</v>
      </c>
      <c r="AC14" s="3">
        <f>infections!AC14-infections!AB14</f>
        <v>0</v>
      </c>
      <c r="AD14" s="3">
        <f>infections!AD14-infections!AC14</f>
        <v>0</v>
      </c>
      <c r="AE14" s="3">
        <f>infections!AE14-infections!AD14</f>
        <v>0</v>
      </c>
      <c r="AF14" s="3">
        <f>infections!AF14-infections!AE14</f>
        <v>0</v>
      </c>
      <c r="AG14" s="3">
        <f>infections!AG14-infections!AF14</f>
        <v>0</v>
      </c>
      <c r="AH14" s="3">
        <f>infections!AH14-infections!AG14</f>
        <v>0</v>
      </c>
      <c r="AI14" s="3">
        <f>infections!AI14-infections!AH14</f>
        <v>0</v>
      </c>
      <c r="AJ14" s="3">
        <f>infections!AJ14-infections!AI14</f>
        <v>0</v>
      </c>
      <c r="AK14" s="3">
        <f>infections!AK14-infections!AJ14</f>
        <v>0</v>
      </c>
      <c r="AL14" s="3">
        <f>infections!AL14-infections!AK14</f>
        <v>0</v>
      </c>
      <c r="AM14" s="3">
        <f>infections!AM14-infections!AL14</f>
        <v>0</v>
      </c>
      <c r="AN14" s="3">
        <f>infections!AN14-infections!AM14</f>
        <v>0</v>
      </c>
      <c r="AO14" s="3">
        <f>infections!AO14-infections!AN14</f>
        <v>0</v>
      </c>
      <c r="AP14" s="3">
        <f>infections!AP14-infections!AO14</f>
        <v>0</v>
      </c>
      <c r="AQ14" s="3">
        <f>infections!AQ14-infections!AP14</f>
        <v>1</v>
      </c>
      <c r="AR14" s="3">
        <f>infections!AR14-infections!AQ14</f>
        <v>0</v>
      </c>
      <c r="AS14" s="3">
        <f>infections!AS14-infections!AR14</f>
        <v>0</v>
      </c>
      <c r="AT14" s="3">
        <f>infections!AT14-infections!AS14</f>
        <v>0</v>
      </c>
      <c r="AU14" s="3">
        <f>infections!AU14-infections!AT14</f>
        <v>2</v>
      </c>
      <c r="AV14" s="3">
        <f>infections!AV14-infections!AU14</f>
        <v>0</v>
      </c>
      <c r="AW14" s="3">
        <f>infections!AW14-infections!AV14</f>
        <v>2</v>
      </c>
      <c r="AX14" s="3">
        <f>infections!AX14-infections!AW14</f>
        <v>0</v>
      </c>
      <c r="AY14" s="3">
        <f>infections!AY14-infections!AX14</f>
        <v>0</v>
      </c>
      <c r="AZ14" s="3">
        <f>infections!AZ14-infections!AY14</f>
        <v>0</v>
      </c>
      <c r="BA14" s="3">
        <f>infections!BA14-infections!AZ14</f>
        <v>0</v>
      </c>
      <c r="BB14" s="3">
        <f>infections!BB14-infections!BA14</f>
        <v>2</v>
      </c>
      <c r="BC14" s="3">
        <f>infections!BC14-infections!BB14</f>
        <v>0</v>
      </c>
      <c r="BD14" s="3">
        <f>infections!BD14-infections!BC14</f>
        <v>7</v>
      </c>
      <c r="BE14" s="3">
        <f>infections!BE14-infections!BD14</f>
        <v>3</v>
      </c>
      <c r="BF14" s="3">
        <f>infections!BF14-infections!BE14</f>
        <v>1</v>
      </c>
      <c r="BG14" s="3">
        <f>infections!BG14-infections!BF14</f>
        <v>9</v>
      </c>
      <c r="BH14" s="3">
        <f>infections!BH14-infections!BG14</f>
        <v>0</v>
      </c>
      <c r="BI14" s="3">
        <f>infections!BI14-infections!BH14</f>
        <v>8</v>
      </c>
      <c r="BJ14" s="3">
        <f>infections!BJ14-infections!BI14</f>
        <v>5</v>
      </c>
      <c r="BK14" s="3">
        <f>infections!BK14-infections!BJ14</f>
        <v>8</v>
      </c>
      <c r="BL14" s="3">
        <f>infections!BL14-infections!BK14</f>
        <v>17</v>
      </c>
      <c r="BM14" s="3">
        <f>infections!BM14-infections!BL14</f>
        <v>33</v>
      </c>
      <c r="BN14" s="3">
        <f>infections!BN14-infections!BM14</f>
        <v>34</v>
      </c>
      <c r="BO14" s="3">
        <f>infections!BO14-infections!BN14</f>
        <v>36</v>
      </c>
      <c r="BP14" s="3">
        <f>infections!BP14-infections!BO14</f>
        <v>0</v>
      </c>
      <c r="BQ14" s="3">
        <f>infections!BQ14-infections!BP14</f>
        <v>65</v>
      </c>
      <c r="BR14" s="3">
        <f>infections!BR14-infections!BQ14</f>
        <v>22</v>
      </c>
      <c r="BS14" s="3">
        <f>infections!BS14-infections!BR14</f>
        <v>30</v>
      </c>
      <c r="BT14" s="3">
        <f>infections!BT14-infections!BS14</f>
        <v>12</v>
      </c>
      <c r="BU14" s="3">
        <f>infections!BU14-infections!BT14</f>
        <v>6</v>
      </c>
      <c r="BV14" s="3">
        <f>infections!BV14-infections!BU14</f>
        <v>32</v>
      </c>
      <c r="BW14" s="3">
        <f>infections!BW14-infections!BV14</f>
        <v>30</v>
      </c>
      <c r="BX14" s="3">
        <f>infections!BX14-infections!BW14</f>
        <v>0</v>
      </c>
      <c r="BY14" s="3">
        <f>infections!BY14-infections!BX14</f>
        <v>29</v>
      </c>
    </row>
    <row r="15">
      <c r="B15" s="1" t="str">
        <f>infections!B15</f>
        <v>Australia</v>
      </c>
      <c r="C15" s="4">
        <f>infections!C15</f>
        <v>-41.4545</v>
      </c>
      <c r="D15" s="4">
        <f>infections!D15</f>
        <v>145.9707</v>
      </c>
      <c r="E15" s="4">
        <f>infections!E15</f>
        <v>0</v>
      </c>
      <c r="F15" s="3">
        <f>infections!F15-infections!E15</f>
        <v>0</v>
      </c>
      <c r="G15" s="3">
        <f>infections!G15-infections!F15</f>
        <v>0</v>
      </c>
      <c r="H15" s="3">
        <f>infections!H15-infections!G15</f>
        <v>0</v>
      </c>
      <c r="I15" s="3">
        <f>infections!I15-infections!H15</f>
        <v>0</v>
      </c>
      <c r="J15" s="3">
        <f>infections!J15-infections!I15</f>
        <v>0</v>
      </c>
      <c r="K15" s="3">
        <f>infections!K15-infections!J15</f>
        <v>0</v>
      </c>
      <c r="L15" s="3">
        <f>infections!L15-infections!K15</f>
        <v>0</v>
      </c>
      <c r="M15" s="3">
        <f>infections!M15-infections!L15</f>
        <v>0</v>
      </c>
      <c r="N15" s="3">
        <f>infections!N15-infections!M15</f>
        <v>0</v>
      </c>
      <c r="O15" s="3">
        <f>infections!O15-infections!N15</f>
        <v>0</v>
      </c>
      <c r="P15" s="3">
        <f>infections!P15-infections!O15</f>
        <v>0</v>
      </c>
      <c r="Q15" s="3">
        <f>infections!Q15-infections!P15</f>
        <v>0</v>
      </c>
      <c r="R15" s="3">
        <f>infections!R15-infections!Q15</f>
        <v>0</v>
      </c>
      <c r="S15" s="3">
        <f>infections!S15-infections!R15</f>
        <v>0</v>
      </c>
      <c r="T15" s="3">
        <f>infections!T15-infections!S15</f>
        <v>0</v>
      </c>
      <c r="U15" s="3">
        <f>infections!U15-infections!T15</f>
        <v>0</v>
      </c>
      <c r="V15" s="3">
        <f>infections!V15-infections!U15</f>
        <v>0</v>
      </c>
      <c r="W15" s="3">
        <f>infections!W15-infections!V15</f>
        <v>0</v>
      </c>
      <c r="X15" s="3">
        <f>infections!X15-infections!W15</f>
        <v>0</v>
      </c>
      <c r="Y15" s="3">
        <f>infections!Y15-infections!X15</f>
        <v>0</v>
      </c>
      <c r="Z15" s="3">
        <f>infections!Z15-infections!Y15</f>
        <v>0</v>
      </c>
      <c r="AA15" s="3">
        <f>infections!AA15-infections!Z15</f>
        <v>0</v>
      </c>
      <c r="AB15" s="3">
        <f>infections!AB15-infections!AA15</f>
        <v>0</v>
      </c>
      <c r="AC15" s="3">
        <f>infections!AC15-infections!AB15</f>
        <v>0</v>
      </c>
      <c r="AD15" s="3">
        <f>infections!AD15-infections!AC15</f>
        <v>0</v>
      </c>
      <c r="AE15" s="3">
        <f>infections!AE15-infections!AD15</f>
        <v>0</v>
      </c>
      <c r="AF15" s="3">
        <f>infections!AF15-infections!AE15</f>
        <v>0</v>
      </c>
      <c r="AG15" s="3">
        <f>infections!AG15-infections!AF15</f>
        <v>0</v>
      </c>
      <c r="AH15" s="3">
        <f>infections!AH15-infections!AG15</f>
        <v>0</v>
      </c>
      <c r="AI15" s="3">
        <f>infections!AI15-infections!AH15</f>
        <v>0</v>
      </c>
      <c r="AJ15" s="3">
        <f>infections!AJ15-infections!AI15</f>
        <v>0</v>
      </c>
      <c r="AK15" s="3">
        <f>infections!AK15-infections!AJ15</f>
        <v>0</v>
      </c>
      <c r="AL15" s="3">
        <f>infections!AL15-infections!AK15</f>
        <v>0</v>
      </c>
      <c r="AM15" s="3">
        <f>infections!AM15-infections!AL15</f>
        <v>0</v>
      </c>
      <c r="AN15" s="3">
        <f>infections!AN15-infections!AM15</f>
        <v>0</v>
      </c>
      <c r="AO15" s="3">
        <f>infections!AO15-infections!AN15</f>
        <v>0</v>
      </c>
      <c r="AP15" s="3">
        <f>infections!AP15-infections!AO15</f>
        <v>0</v>
      </c>
      <c r="AQ15" s="3">
        <f>infections!AQ15-infections!AP15</f>
        <v>0</v>
      </c>
      <c r="AR15" s="3">
        <f>infections!AR15-infections!AQ15</f>
        <v>0</v>
      </c>
      <c r="AS15" s="3">
        <f>infections!AS15-infections!AR15</f>
        <v>1</v>
      </c>
      <c r="AT15" s="3">
        <f>infections!AT15-infections!AS15</f>
        <v>0</v>
      </c>
      <c r="AU15" s="3">
        <f>infections!AU15-infections!AT15</f>
        <v>0</v>
      </c>
      <c r="AV15" s="3">
        <f>infections!AV15-infections!AU15</f>
        <v>0</v>
      </c>
      <c r="AW15" s="3">
        <f>infections!AW15-infections!AV15</f>
        <v>0</v>
      </c>
      <c r="AX15" s="3">
        <f>infections!AX15-infections!AW15</f>
        <v>0</v>
      </c>
      <c r="AY15" s="3">
        <f>infections!AY15-infections!AX15</f>
        <v>1</v>
      </c>
      <c r="AZ15" s="3">
        <f>infections!AZ15-infections!AY15</f>
        <v>0</v>
      </c>
      <c r="BA15" s="3">
        <f>infections!BA15-infections!AZ15</f>
        <v>0</v>
      </c>
      <c r="BB15" s="3">
        <f>infections!BB15-infections!BA15</f>
        <v>1</v>
      </c>
      <c r="BC15" s="3">
        <f>infections!BC15-infections!BB15</f>
        <v>0</v>
      </c>
      <c r="BD15" s="3">
        <f>infections!BD15-infections!BC15</f>
        <v>2</v>
      </c>
      <c r="BE15" s="3">
        <f>infections!BE15-infections!BD15</f>
        <v>0</v>
      </c>
      <c r="BF15" s="3">
        <f>infections!BF15-infections!BE15</f>
        <v>1</v>
      </c>
      <c r="BG15" s="3">
        <f>infections!BG15-infections!BF15</f>
        <v>1</v>
      </c>
      <c r="BH15" s="3">
        <f>infections!BH15-infections!BG15</f>
        <v>0</v>
      </c>
      <c r="BI15" s="3">
        <f>infections!BI15-infections!BH15</f>
        <v>3</v>
      </c>
      <c r="BJ15" s="3">
        <f>infections!BJ15-infections!BI15</f>
        <v>0</v>
      </c>
      <c r="BK15" s="3">
        <f>infections!BK15-infections!BJ15</f>
        <v>0</v>
      </c>
      <c r="BL15" s="3">
        <f>infections!BL15-infections!BK15</f>
        <v>6</v>
      </c>
      <c r="BM15" s="3">
        <f>infections!BM15-infections!BL15</f>
        <v>6</v>
      </c>
      <c r="BN15" s="3">
        <f>infections!BN15-infections!BM15</f>
        <v>6</v>
      </c>
      <c r="BO15" s="3">
        <f>infections!BO15-infections!BN15</f>
        <v>0</v>
      </c>
      <c r="BP15" s="3">
        <f>infections!BP15-infections!BO15</f>
        <v>8</v>
      </c>
      <c r="BQ15" s="3">
        <f>infections!BQ15-infections!BP15</f>
        <v>11</v>
      </c>
      <c r="BR15" s="3">
        <f>infections!BR15-infections!BQ15</f>
        <v>0</v>
      </c>
      <c r="BS15" s="3">
        <f>infections!BS15-infections!BR15</f>
        <v>15</v>
      </c>
      <c r="BT15" s="3">
        <f>infections!BT15-infections!BS15</f>
        <v>4</v>
      </c>
      <c r="BU15" s="3">
        <f>infections!BU15-infections!BT15</f>
        <v>0</v>
      </c>
      <c r="BV15" s="3">
        <f>infections!BV15-infections!BU15</f>
        <v>3</v>
      </c>
      <c r="BW15" s="3">
        <f>infections!BW15-infections!BV15</f>
        <v>0</v>
      </c>
      <c r="BX15" s="3">
        <f>infections!BX15-infections!BW15</f>
        <v>3</v>
      </c>
      <c r="BY15" s="3">
        <f>infections!BY15-infections!BX15</f>
        <v>2</v>
      </c>
    </row>
    <row r="16">
      <c r="B16" s="1" t="str">
        <f>infections!B16</f>
        <v>Australia</v>
      </c>
      <c r="C16" s="4">
        <f>infections!C16</f>
        <v>-37.8136</v>
      </c>
      <c r="D16" s="4">
        <f>infections!D16</f>
        <v>144.9631</v>
      </c>
      <c r="E16" s="4">
        <f>infections!E16</f>
        <v>0</v>
      </c>
      <c r="F16" s="3">
        <f>infections!F16-infections!E16</f>
        <v>0</v>
      </c>
      <c r="G16" s="3">
        <f>infections!G16-infections!F16</f>
        <v>0</v>
      </c>
      <c r="H16" s="3">
        <f>infections!H16-infections!G16</f>
        <v>0</v>
      </c>
      <c r="I16" s="3">
        <f>infections!I16-infections!H16</f>
        <v>1</v>
      </c>
      <c r="J16" s="3">
        <f>infections!J16-infections!I16</f>
        <v>0</v>
      </c>
      <c r="K16" s="3">
        <f>infections!K16-infections!J16</f>
        <v>0</v>
      </c>
      <c r="L16" s="3">
        <f>infections!L16-infections!K16</f>
        <v>0</v>
      </c>
      <c r="M16" s="3">
        <f>infections!M16-infections!L16</f>
        <v>1</v>
      </c>
      <c r="N16" s="3">
        <f>infections!N16-infections!M16</f>
        <v>1</v>
      </c>
      <c r="O16" s="3">
        <f>infections!O16-infections!N16</f>
        <v>1</v>
      </c>
      <c r="P16" s="3">
        <f>infections!P16-infections!O16</f>
        <v>0</v>
      </c>
      <c r="Q16" s="3">
        <f>infections!Q16-infections!P16</f>
        <v>0</v>
      </c>
      <c r="R16" s="3">
        <f>infections!R16-infections!Q16</f>
        <v>0</v>
      </c>
      <c r="S16" s="3">
        <f>infections!S16-infections!R16</f>
        <v>0</v>
      </c>
      <c r="T16" s="3">
        <f>infections!T16-infections!S16</f>
        <v>0</v>
      </c>
      <c r="U16" s="3">
        <f>infections!U16-infections!T16</f>
        <v>0</v>
      </c>
      <c r="V16" s="3">
        <f>infections!V16-infections!U16</f>
        <v>0</v>
      </c>
      <c r="W16" s="3">
        <f>infections!W16-infections!V16</f>
        <v>0</v>
      </c>
      <c r="X16" s="3">
        <f>infections!X16-infections!W16</f>
        <v>0</v>
      </c>
      <c r="Y16" s="3">
        <f>infections!Y16-infections!X16</f>
        <v>0</v>
      </c>
      <c r="Z16" s="3">
        <f>infections!Z16-infections!Y16</f>
        <v>0</v>
      </c>
      <c r="AA16" s="3">
        <f>infections!AA16-infections!Z16</f>
        <v>0</v>
      </c>
      <c r="AB16" s="3">
        <f>infections!AB16-infections!AA16</f>
        <v>0</v>
      </c>
      <c r="AC16" s="3">
        <f>infections!AC16-infections!AB16</f>
        <v>0</v>
      </c>
      <c r="AD16" s="3">
        <f>infections!AD16-infections!AC16</f>
        <v>0</v>
      </c>
      <c r="AE16" s="3">
        <f>infections!AE16-infections!AD16</f>
        <v>0</v>
      </c>
      <c r="AF16" s="3">
        <f>infections!AF16-infections!AE16</f>
        <v>0</v>
      </c>
      <c r="AG16" s="3">
        <f>infections!AG16-infections!AF16</f>
        <v>0</v>
      </c>
      <c r="AH16" s="3">
        <f>infections!AH16-infections!AG16</f>
        <v>0</v>
      </c>
      <c r="AI16" s="3">
        <f>infections!AI16-infections!AH16</f>
        <v>0</v>
      </c>
      <c r="AJ16" s="3">
        <f>infections!AJ16-infections!AI16</f>
        <v>0</v>
      </c>
      <c r="AK16" s="3">
        <f>infections!AK16-infections!AJ16</f>
        <v>0</v>
      </c>
      <c r="AL16" s="3">
        <f>infections!AL16-infections!AK16</f>
        <v>0</v>
      </c>
      <c r="AM16" s="3">
        <f>infections!AM16-infections!AL16</f>
        <v>0</v>
      </c>
      <c r="AN16" s="3">
        <f>infections!AN16-infections!AM16</f>
        <v>0</v>
      </c>
      <c r="AO16" s="3">
        <f>infections!AO16-infections!AN16</f>
        <v>0</v>
      </c>
      <c r="AP16" s="3">
        <f>infections!AP16-infections!AO16</f>
        <v>0</v>
      </c>
      <c r="AQ16" s="3">
        <f>infections!AQ16-infections!AP16</f>
        <v>3</v>
      </c>
      <c r="AR16" s="3">
        <f>infections!AR16-infections!AQ16</f>
        <v>0</v>
      </c>
      <c r="AS16" s="3">
        <f>infections!AS16-infections!AR16</f>
        <v>2</v>
      </c>
      <c r="AT16" s="3">
        <f>infections!AT16-infections!AS16</f>
        <v>0</v>
      </c>
      <c r="AU16" s="3">
        <f>infections!AU16-infections!AT16</f>
        <v>1</v>
      </c>
      <c r="AV16" s="3">
        <f>infections!AV16-infections!AU16</f>
        <v>0</v>
      </c>
      <c r="AW16" s="3">
        <f>infections!AW16-infections!AV16</f>
        <v>0</v>
      </c>
      <c r="AX16" s="3">
        <f>infections!AX16-infections!AW16</f>
        <v>1</v>
      </c>
      <c r="AY16" s="3">
        <f>infections!AY16-infections!AX16</f>
        <v>0</v>
      </c>
      <c r="AZ16" s="3">
        <f>infections!AZ16-infections!AY16</f>
        <v>4</v>
      </c>
      <c r="BA16" s="3">
        <f>infections!BA16-infections!AZ16</f>
        <v>3</v>
      </c>
      <c r="BB16" s="3">
        <f>infections!BB16-infections!BA16</f>
        <v>3</v>
      </c>
      <c r="BC16" s="3">
        <f>infections!BC16-infections!BB16</f>
        <v>0</v>
      </c>
      <c r="BD16" s="3">
        <f>infections!BD16-infections!BC16</f>
        <v>15</v>
      </c>
      <c r="BE16" s="3">
        <f>infections!BE16-infections!BD16</f>
        <v>13</v>
      </c>
      <c r="BF16" s="3">
        <f>infections!BF16-infections!BE16</f>
        <v>8</v>
      </c>
      <c r="BG16" s="3">
        <f>infections!BG16-infections!BF16</f>
        <v>14</v>
      </c>
      <c r="BH16" s="3">
        <f>infections!BH16-infections!BG16</f>
        <v>23</v>
      </c>
      <c r="BI16" s="3">
        <f>infections!BI16-infections!BH16</f>
        <v>27</v>
      </c>
      <c r="BJ16" s="3">
        <f>infections!BJ16-infections!BI16</f>
        <v>0</v>
      </c>
      <c r="BK16" s="3">
        <f>infections!BK16-infections!BJ16</f>
        <v>0</v>
      </c>
      <c r="BL16" s="3">
        <f>infections!BL16-infections!BK16</f>
        <v>108</v>
      </c>
      <c r="BM16" s="3">
        <f>infections!BM16-infections!BL16</f>
        <v>126</v>
      </c>
      <c r="BN16" s="3">
        <f>infections!BN16-infections!BM16</f>
        <v>0</v>
      </c>
      <c r="BO16" s="3">
        <f>infections!BO16-infections!BN16</f>
        <v>56</v>
      </c>
      <c r="BP16" s="3">
        <f>infections!BP16-infections!BO16</f>
        <v>55</v>
      </c>
      <c r="BQ16" s="3">
        <f>infections!BQ16-infections!BP16</f>
        <v>54</v>
      </c>
      <c r="BR16" s="3">
        <f>infections!BR16-infections!BQ16</f>
        <v>54</v>
      </c>
      <c r="BS16" s="3">
        <f>infections!BS16-infections!BR16</f>
        <v>111</v>
      </c>
      <c r="BT16" s="3">
        <f>infections!BT16-infections!BS16</f>
        <v>84</v>
      </c>
      <c r="BU16" s="3">
        <f>infections!BU16-infections!BT16</f>
        <v>52</v>
      </c>
      <c r="BV16" s="3">
        <f>infections!BV16-infections!BU16</f>
        <v>96</v>
      </c>
      <c r="BW16" s="3">
        <f>infections!BW16-infections!BV16</f>
        <v>51</v>
      </c>
      <c r="BX16" s="3">
        <f>infections!BX16-infections!BW16</f>
        <v>68</v>
      </c>
      <c r="BY16" s="3">
        <f>infections!BY16-infections!BX16</f>
        <v>49</v>
      </c>
    </row>
    <row r="17">
      <c r="B17" s="1" t="str">
        <f>infections!B17</f>
        <v>Australia</v>
      </c>
      <c r="C17" s="4">
        <f>infections!C17</f>
        <v>-31.9505</v>
      </c>
      <c r="D17" s="4">
        <f>infections!D17</f>
        <v>115.8605</v>
      </c>
      <c r="E17" s="4">
        <f>infections!E17</f>
        <v>0</v>
      </c>
      <c r="F17" s="3">
        <f>infections!F17-infections!E17</f>
        <v>0</v>
      </c>
      <c r="G17" s="3">
        <f>infections!G17-infections!F17</f>
        <v>0</v>
      </c>
      <c r="H17" s="3">
        <f>infections!H17-infections!G17</f>
        <v>0</v>
      </c>
      <c r="I17" s="3">
        <f>infections!I17-infections!H17</f>
        <v>0</v>
      </c>
      <c r="J17" s="3">
        <f>infections!J17-infections!I17</f>
        <v>0</v>
      </c>
      <c r="K17" s="3">
        <f>infections!K17-infections!J17</f>
        <v>0</v>
      </c>
      <c r="L17" s="3">
        <f>infections!L17-infections!K17</f>
        <v>0</v>
      </c>
      <c r="M17" s="3">
        <f>infections!M17-infections!L17</f>
        <v>0</v>
      </c>
      <c r="N17" s="3">
        <f>infections!N17-infections!M17</f>
        <v>0</v>
      </c>
      <c r="O17" s="3">
        <f>infections!O17-infections!N17</f>
        <v>0</v>
      </c>
      <c r="P17" s="3">
        <f>infections!P17-infections!O17</f>
        <v>0</v>
      </c>
      <c r="Q17" s="3">
        <f>infections!Q17-infections!P17</f>
        <v>0</v>
      </c>
      <c r="R17" s="3">
        <f>infections!R17-infections!Q17</f>
        <v>0</v>
      </c>
      <c r="S17" s="3">
        <f>infections!S17-infections!R17</f>
        <v>0</v>
      </c>
      <c r="T17" s="3">
        <f>infections!T17-infections!S17</f>
        <v>0</v>
      </c>
      <c r="U17" s="3">
        <f>infections!U17-infections!T17</f>
        <v>0</v>
      </c>
      <c r="V17" s="3">
        <f>infections!V17-infections!U17</f>
        <v>0</v>
      </c>
      <c r="W17" s="3">
        <f>infections!W17-infections!V17</f>
        <v>0</v>
      </c>
      <c r="X17" s="3">
        <f>infections!X17-infections!W17</f>
        <v>0</v>
      </c>
      <c r="Y17" s="3">
        <f>infections!Y17-infections!X17</f>
        <v>0</v>
      </c>
      <c r="Z17" s="3">
        <f>infections!Z17-infections!Y17</f>
        <v>0</v>
      </c>
      <c r="AA17" s="3">
        <f>infections!AA17-infections!Z17</f>
        <v>0</v>
      </c>
      <c r="AB17" s="3">
        <f>infections!AB17-infections!AA17</f>
        <v>0</v>
      </c>
      <c r="AC17" s="3">
        <f>infections!AC17-infections!AB17</f>
        <v>0</v>
      </c>
      <c r="AD17" s="3">
        <f>infections!AD17-infections!AC17</f>
        <v>0</v>
      </c>
      <c r="AE17" s="3">
        <f>infections!AE17-infections!AD17</f>
        <v>0</v>
      </c>
      <c r="AF17" s="3">
        <f>infections!AF17-infections!AE17</f>
        <v>0</v>
      </c>
      <c r="AG17" s="3">
        <f>infections!AG17-infections!AF17</f>
        <v>0</v>
      </c>
      <c r="AH17" s="3">
        <f>infections!AH17-infections!AG17</f>
        <v>0</v>
      </c>
      <c r="AI17" s="3">
        <f>infections!AI17-infections!AH17</f>
        <v>0</v>
      </c>
      <c r="AJ17" s="3">
        <f>infections!AJ17-infections!AI17</f>
        <v>0</v>
      </c>
      <c r="AK17" s="3">
        <f>infections!AK17-infections!AJ17</f>
        <v>0</v>
      </c>
      <c r="AL17" s="3">
        <f>infections!AL17-infections!AK17</f>
        <v>0</v>
      </c>
      <c r="AM17" s="3">
        <f>infections!AM17-infections!AL17</f>
        <v>0</v>
      </c>
      <c r="AN17" s="3">
        <f>infections!AN17-infections!AM17</f>
        <v>0</v>
      </c>
      <c r="AO17" s="3">
        <f>infections!AO17-infections!AN17</f>
        <v>0</v>
      </c>
      <c r="AP17" s="3">
        <f>infections!AP17-infections!AO17</f>
        <v>0</v>
      </c>
      <c r="AQ17" s="3">
        <f>infections!AQ17-infections!AP17</f>
        <v>2</v>
      </c>
      <c r="AR17" s="3">
        <f>infections!AR17-infections!AQ17</f>
        <v>0</v>
      </c>
      <c r="AS17" s="3">
        <f>infections!AS17-infections!AR17</f>
        <v>0</v>
      </c>
      <c r="AT17" s="3">
        <f>infections!AT17-infections!AS17</f>
        <v>0</v>
      </c>
      <c r="AU17" s="3">
        <f>infections!AU17-infections!AT17</f>
        <v>0</v>
      </c>
      <c r="AV17" s="3">
        <f>infections!AV17-infections!AU17</f>
        <v>1</v>
      </c>
      <c r="AW17" s="3">
        <f>infections!AW17-infections!AV17</f>
        <v>0</v>
      </c>
      <c r="AX17" s="3">
        <f>infections!AX17-infections!AW17</f>
        <v>0</v>
      </c>
      <c r="AY17" s="3">
        <f>infections!AY17-infections!AX17</f>
        <v>0</v>
      </c>
      <c r="AZ17" s="3">
        <f>infections!AZ17-infections!AY17</f>
        <v>1</v>
      </c>
      <c r="BA17" s="3">
        <f>infections!BA17-infections!AZ17</f>
        <v>2</v>
      </c>
      <c r="BB17" s="3">
        <f>infections!BB17-infections!BA17</f>
        <v>3</v>
      </c>
      <c r="BC17" s="3">
        <f>infections!BC17-infections!BB17</f>
        <v>0</v>
      </c>
      <c r="BD17" s="3">
        <f>infections!BD17-infections!BC17</f>
        <v>5</v>
      </c>
      <c r="BE17" s="3">
        <f>infections!BE17-infections!BD17</f>
        <v>3</v>
      </c>
      <c r="BF17" s="3">
        <f>infections!BF17-infections!BE17</f>
        <v>0</v>
      </c>
      <c r="BG17" s="3">
        <f>infections!BG17-infections!BF17</f>
        <v>11</v>
      </c>
      <c r="BH17" s="3">
        <f>infections!BH17-infections!BG17</f>
        <v>3</v>
      </c>
      <c r="BI17" s="3">
        <f>infections!BI17-infections!BH17</f>
        <v>4</v>
      </c>
      <c r="BJ17" s="3">
        <f>infections!BJ17-infections!BI17</f>
        <v>17</v>
      </c>
      <c r="BK17" s="3">
        <f>infections!BK17-infections!BJ17</f>
        <v>12</v>
      </c>
      <c r="BL17" s="3">
        <f>infections!BL17-infections!BK17</f>
        <v>26</v>
      </c>
      <c r="BM17" s="3">
        <f>infections!BM17-infections!BL17</f>
        <v>30</v>
      </c>
      <c r="BN17" s="3">
        <f>infections!BN17-infections!BM17</f>
        <v>20</v>
      </c>
      <c r="BO17" s="3">
        <f>infections!BO17-infections!BN17</f>
        <v>35</v>
      </c>
      <c r="BP17" s="3">
        <f>infections!BP17-infections!BO17</f>
        <v>0</v>
      </c>
      <c r="BQ17" s="3">
        <f>infections!BQ17-infections!BP17</f>
        <v>56</v>
      </c>
      <c r="BR17" s="3">
        <f>infections!BR17-infections!BQ17</f>
        <v>0</v>
      </c>
      <c r="BS17" s="3">
        <f>infections!BS17-infections!BR17</f>
        <v>47</v>
      </c>
      <c r="BT17" s="3">
        <f>infections!BT17-infections!BS17</f>
        <v>33</v>
      </c>
      <c r="BU17" s="3">
        <f>infections!BU17-infections!BT17</f>
        <v>44</v>
      </c>
      <c r="BV17" s="3">
        <f>infections!BV17-infections!BU17</f>
        <v>9</v>
      </c>
      <c r="BW17" s="3">
        <f>infections!BW17-infections!BV17</f>
        <v>28</v>
      </c>
      <c r="BX17" s="3">
        <f>infections!BX17-infections!BW17</f>
        <v>8</v>
      </c>
      <c r="BY17" s="3">
        <f>infections!BY17-infections!BX17</f>
        <v>0</v>
      </c>
    </row>
    <row r="18">
      <c r="B18" s="1" t="str">
        <f>infections!B18</f>
        <v>Austria</v>
      </c>
      <c r="C18" s="4">
        <f>infections!C18</f>
        <v>47.5162</v>
      </c>
      <c r="D18" s="4">
        <f>infections!D18</f>
        <v>14.5501</v>
      </c>
      <c r="E18" s="4">
        <f>infections!E18</f>
        <v>0</v>
      </c>
      <c r="F18" s="3">
        <f>infections!F18-infections!E18</f>
        <v>0</v>
      </c>
      <c r="G18" s="3">
        <f>infections!G18-infections!F18</f>
        <v>0</v>
      </c>
      <c r="H18" s="3">
        <f>infections!H18-infections!G18</f>
        <v>0</v>
      </c>
      <c r="I18" s="3">
        <f>infections!I18-infections!H18</f>
        <v>0</v>
      </c>
      <c r="J18" s="3">
        <f>infections!J18-infections!I18</f>
        <v>0</v>
      </c>
      <c r="K18" s="3">
        <f>infections!K18-infections!J18</f>
        <v>0</v>
      </c>
      <c r="L18" s="3">
        <f>infections!L18-infections!K18</f>
        <v>0</v>
      </c>
      <c r="M18" s="3">
        <f>infections!M18-infections!L18</f>
        <v>0</v>
      </c>
      <c r="N18" s="3">
        <f>infections!N18-infections!M18</f>
        <v>0</v>
      </c>
      <c r="O18" s="3">
        <f>infections!O18-infections!N18</f>
        <v>0</v>
      </c>
      <c r="P18" s="3">
        <f>infections!P18-infections!O18</f>
        <v>0</v>
      </c>
      <c r="Q18" s="3">
        <f>infections!Q18-infections!P18</f>
        <v>0</v>
      </c>
      <c r="R18" s="3">
        <f>infections!R18-infections!Q18</f>
        <v>0</v>
      </c>
      <c r="S18" s="3">
        <f>infections!S18-infections!R18</f>
        <v>0</v>
      </c>
      <c r="T18" s="3">
        <f>infections!T18-infections!S18</f>
        <v>0</v>
      </c>
      <c r="U18" s="3">
        <f>infections!U18-infections!T18</f>
        <v>0</v>
      </c>
      <c r="V18" s="3">
        <f>infections!V18-infections!U18</f>
        <v>0</v>
      </c>
      <c r="W18" s="3">
        <f>infections!W18-infections!V18</f>
        <v>0</v>
      </c>
      <c r="X18" s="3">
        <f>infections!X18-infections!W18</f>
        <v>0</v>
      </c>
      <c r="Y18" s="3">
        <f>infections!Y18-infections!X18</f>
        <v>0</v>
      </c>
      <c r="Z18" s="3">
        <f>infections!Z18-infections!Y18</f>
        <v>0</v>
      </c>
      <c r="AA18" s="3">
        <f>infections!AA18-infections!Z18</f>
        <v>0</v>
      </c>
      <c r="AB18" s="3">
        <f>infections!AB18-infections!AA18</f>
        <v>0</v>
      </c>
      <c r="AC18" s="3">
        <f>infections!AC18-infections!AB18</f>
        <v>0</v>
      </c>
      <c r="AD18" s="3">
        <f>infections!AD18-infections!AC18</f>
        <v>0</v>
      </c>
      <c r="AE18" s="3">
        <f>infections!AE18-infections!AD18</f>
        <v>0</v>
      </c>
      <c r="AF18" s="3">
        <f>infections!AF18-infections!AE18</f>
        <v>0</v>
      </c>
      <c r="AG18" s="3">
        <f>infections!AG18-infections!AF18</f>
        <v>0</v>
      </c>
      <c r="AH18" s="3">
        <f>infections!AH18-infections!AG18</f>
        <v>0</v>
      </c>
      <c r="AI18" s="3">
        <f>infections!AI18-infections!AH18</f>
        <v>0</v>
      </c>
      <c r="AJ18" s="3">
        <f>infections!AJ18-infections!AI18</f>
        <v>0</v>
      </c>
      <c r="AK18" s="3">
        <f>infections!AK18-infections!AJ18</f>
        <v>0</v>
      </c>
      <c r="AL18" s="3">
        <f>infections!AL18-infections!AK18</f>
        <v>0</v>
      </c>
      <c r="AM18" s="3">
        <f>infections!AM18-infections!AL18</f>
        <v>2</v>
      </c>
      <c r="AN18" s="3">
        <f>infections!AN18-infections!AM18</f>
        <v>0</v>
      </c>
      <c r="AO18" s="3">
        <f>infections!AO18-infections!AN18</f>
        <v>1</v>
      </c>
      <c r="AP18" s="3">
        <f>infections!AP18-infections!AO18</f>
        <v>0</v>
      </c>
      <c r="AQ18" s="3">
        <f>infections!AQ18-infections!AP18</f>
        <v>6</v>
      </c>
      <c r="AR18" s="3">
        <f>infections!AR18-infections!AQ18</f>
        <v>5</v>
      </c>
      <c r="AS18" s="3">
        <f>infections!AS18-infections!AR18</f>
        <v>4</v>
      </c>
      <c r="AT18" s="3">
        <f>infections!AT18-infections!AS18</f>
        <v>3</v>
      </c>
      <c r="AU18" s="3">
        <f>infections!AU18-infections!AT18</f>
        <v>8</v>
      </c>
      <c r="AV18" s="3">
        <f>infections!AV18-infections!AU18</f>
        <v>12</v>
      </c>
      <c r="AW18" s="3">
        <f>infections!AW18-infections!AV18</f>
        <v>14</v>
      </c>
      <c r="AX18" s="3">
        <f>infections!AX18-infections!AW18</f>
        <v>24</v>
      </c>
      <c r="AY18" s="3">
        <f>infections!AY18-infections!AX18</f>
        <v>25</v>
      </c>
      <c r="AZ18" s="3">
        <f>infections!AZ18-infections!AY18</f>
        <v>27</v>
      </c>
      <c r="BA18" s="3">
        <f>infections!BA18-infections!AZ18</f>
        <v>51</v>
      </c>
      <c r="BB18" s="3">
        <f>infections!BB18-infections!BA18</f>
        <v>64</v>
      </c>
      <c r="BC18" s="3">
        <f>infections!BC18-infections!BB18</f>
        <v>56</v>
      </c>
      <c r="BD18" s="3">
        <f>infections!BD18-infections!BC18</f>
        <v>202</v>
      </c>
      <c r="BE18" s="3">
        <f>infections!BE18-infections!BD18</f>
        <v>151</v>
      </c>
      <c r="BF18" s="3">
        <f>infections!BF18-infections!BE18</f>
        <v>205</v>
      </c>
      <c r="BG18" s="3">
        <f>infections!BG18-infections!BF18</f>
        <v>158</v>
      </c>
      <c r="BH18" s="3">
        <f>infections!BH18-infections!BG18</f>
        <v>314</v>
      </c>
      <c r="BI18" s="3">
        <f>infections!BI18-infections!BH18</f>
        <v>314</v>
      </c>
      <c r="BJ18" s="3">
        <f>infections!BJ18-infections!BI18</f>
        <v>367</v>
      </c>
      <c r="BK18" s="3">
        <f>infections!BK18-infections!BJ18</f>
        <v>375</v>
      </c>
      <c r="BL18" s="3">
        <f>infections!BL18-infections!BK18</f>
        <v>426</v>
      </c>
      <c r="BM18" s="3">
        <f>infections!BM18-infections!BL18</f>
        <v>768</v>
      </c>
      <c r="BN18" s="3">
        <f>infections!BN18-infections!BM18</f>
        <v>892</v>
      </c>
      <c r="BO18" s="3">
        <f>infections!BO18-infections!BN18</f>
        <v>809</v>
      </c>
      <c r="BP18" s="3">
        <f>infections!BP18-infections!BO18</f>
        <v>305</v>
      </c>
      <c r="BQ18" s="3">
        <f>infections!BQ18-infections!BP18</f>
        <v>1321</v>
      </c>
      <c r="BR18" s="3">
        <f>infections!BR18-infections!BQ18</f>
        <v>748</v>
      </c>
      <c r="BS18" s="3">
        <f>infections!BS18-infections!BR18</f>
        <v>614</v>
      </c>
      <c r="BT18" s="3">
        <f>infections!BT18-infections!BS18</f>
        <v>517</v>
      </c>
      <c r="BU18" s="3">
        <f>infections!BU18-infections!BT18</f>
        <v>830</v>
      </c>
      <c r="BV18" s="3">
        <f>infections!BV18-infections!BU18</f>
        <v>562</v>
      </c>
      <c r="BW18" s="3">
        <f>infections!BW18-infections!BV18</f>
        <v>531</v>
      </c>
      <c r="BX18" s="3">
        <f>infections!BX18-infections!BW18</f>
        <v>418</v>
      </c>
      <c r="BY18" s="3">
        <f>infections!BY18-infections!BX18</f>
        <v>395</v>
      </c>
    </row>
    <row r="19">
      <c r="B19" s="1" t="str">
        <f>infections!B19</f>
        <v>Azerbaijan</v>
      </c>
      <c r="C19" s="4">
        <f>infections!C19</f>
        <v>40.1431</v>
      </c>
      <c r="D19" s="4">
        <f>infections!D19</f>
        <v>47.5769</v>
      </c>
      <c r="E19" s="4">
        <f>infections!E19</f>
        <v>0</v>
      </c>
      <c r="F19" s="3">
        <f>infections!F19-infections!E19</f>
        <v>0</v>
      </c>
      <c r="G19" s="3">
        <f>infections!G19-infections!F19</f>
        <v>0</v>
      </c>
      <c r="H19" s="3">
        <f>infections!H19-infections!G19</f>
        <v>0</v>
      </c>
      <c r="I19" s="3">
        <f>infections!I19-infections!H19</f>
        <v>0</v>
      </c>
      <c r="J19" s="3">
        <f>infections!J19-infections!I19</f>
        <v>0</v>
      </c>
      <c r="K19" s="3">
        <f>infections!K19-infections!J19</f>
        <v>0</v>
      </c>
      <c r="L19" s="3">
        <f>infections!L19-infections!K19</f>
        <v>0</v>
      </c>
      <c r="M19" s="3">
        <f>infections!M19-infections!L19</f>
        <v>0</v>
      </c>
      <c r="N19" s="3">
        <f>infections!N19-infections!M19</f>
        <v>0</v>
      </c>
      <c r="O19" s="3">
        <f>infections!O19-infections!N19</f>
        <v>0</v>
      </c>
      <c r="P19" s="3">
        <f>infections!P19-infections!O19</f>
        <v>0</v>
      </c>
      <c r="Q19" s="3">
        <f>infections!Q19-infections!P19</f>
        <v>0</v>
      </c>
      <c r="R19" s="3">
        <f>infections!R19-infections!Q19</f>
        <v>0</v>
      </c>
      <c r="S19" s="3">
        <f>infections!S19-infections!R19</f>
        <v>0</v>
      </c>
      <c r="T19" s="3">
        <f>infections!T19-infections!S19</f>
        <v>0</v>
      </c>
      <c r="U19" s="3">
        <f>infections!U19-infections!T19</f>
        <v>0</v>
      </c>
      <c r="V19" s="3">
        <f>infections!V19-infections!U19</f>
        <v>0</v>
      </c>
      <c r="W19" s="3">
        <f>infections!W19-infections!V19</f>
        <v>0</v>
      </c>
      <c r="X19" s="3">
        <f>infections!X19-infections!W19</f>
        <v>0</v>
      </c>
      <c r="Y19" s="3">
        <f>infections!Y19-infections!X19</f>
        <v>0</v>
      </c>
      <c r="Z19" s="3">
        <f>infections!Z19-infections!Y19</f>
        <v>0</v>
      </c>
      <c r="AA19" s="3">
        <f>infections!AA19-infections!Z19</f>
        <v>0</v>
      </c>
      <c r="AB19" s="3">
        <f>infections!AB19-infections!AA19</f>
        <v>0</v>
      </c>
      <c r="AC19" s="3">
        <f>infections!AC19-infections!AB19</f>
        <v>0</v>
      </c>
      <c r="AD19" s="3">
        <f>infections!AD19-infections!AC19</f>
        <v>0</v>
      </c>
      <c r="AE19" s="3">
        <f>infections!AE19-infections!AD19</f>
        <v>0</v>
      </c>
      <c r="AF19" s="3">
        <f>infections!AF19-infections!AE19</f>
        <v>0</v>
      </c>
      <c r="AG19" s="3">
        <f>infections!AG19-infections!AF19</f>
        <v>0</v>
      </c>
      <c r="AH19" s="3">
        <f>infections!AH19-infections!AG19</f>
        <v>0</v>
      </c>
      <c r="AI19" s="3">
        <f>infections!AI19-infections!AH19</f>
        <v>0</v>
      </c>
      <c r="AJ19" s="3">
        <f>infections!AJ19-infections!AI19</f>
        <v>0</v>
      </c>
      <c r="AK19" s="3">
        <f>infections!AK19-infections!AJ19</f>
        <v>0</v>
      </c>
      <c r="AL19" s="3">
        <f>infections!AL19-infections!AK19</f>
        <v>0</v>
      </c>
      <c r="AM19" s="3">
        <f>infections!AM19-infections!AL19</f>
        <v>0</v>
      </c>
      <c r="AN19" s="3">
        <f>infections!AN19-infections!AM19</f>
        <v>0</v>
      </c>
      <c r="AO19" s="3">
        <f>infections!AO19-infections!AN19</f>
        <v>0</v>
      </c>
      <c r="AP19" s="3">
        <f>infections!AP19-infections!AO19</f>
        <v>0</v>
      </c>
      <c r="AQ19" s="3">
        <f>infections!AQ19-infections!AP19</f>
        <v>0</v>
      </c>
      <c r="AR19" s="3">
        <f>infections!AR19-infections!AQ19</f>
        <v>3</v>
      </c>
      <c r="AS19" s="3">
        <f>infections!AS19-infections!AR19</f>
        <v>0</v>
      </c>
      <c r="AT19" s="3">
        <f>infections!AT19-infections!AS19</f>
        <v>0</v>
      </c>
      <c r="AU19" s="3">
        <f>infections!AU19-infections!AT19</f>
        <v>0</v>
      </c>
      <c r="AV19" s="3">
        <f>infections!AV19-infections!AU19</f>
        <v>3</v>
      </c>
      <c r="AW19" s="3">
        <f>infections!AW19-infections!AV19</f>
        <v>0</v>
      </c>
      <c r="AX19" s="3">
        <f>infections!AX19-infections!AW19</f>
        <v>3</v>
      </c>
      <c r="AY19" s="3">
        <f>infections!AY19-infections!AX19</f>
        <v>0</v>
      </c>
      <c r="AZ19" s="3">
        <f>infections!AZ19-infections!AY19</f>
        <v>0</v>
      </c>
      <c r="BA19" s="3">
        <f>infections!BA19-infections!AZ19</f>
        <v>2</v>
      </c>
      <c r="BB19" s="3">
        <f>infections!BB19-infections!BA19</f>
        <v>0</v>
      </c>
      <c r="BC19" s="3">
        <f>infections!BC19-infections!BB19</f>
        <v>0</v>
      </c>
      <c r="BD19" s="3">
        <f>infections!BD19-infections!BC19</f>
        <v>4</v>
      </c>
      <c r="BE19" s="3">
        <f>infections!BE19-infections!BD19</f>
        <v>0</v>
      </c>
      <c r="BF19" s="3">
        <f>infections!BF19-infections!BE19</f>
        <v>8</v>
      </c>
      <c r="BG19" s="3">
        <f>infections!BG19-infections!BF19</f>
        <v>5</v>
      </c>
      <c r="BH19" s="3">
        <f>infections!BH19-infections!BG19</f>
        <v>0</v>
      </c>
      <c r="BI19" s="3">
        <f>infections!BI19-infections!BH19</f>
        <v>0</v>
      </c>
      <c r="BJ19" s="3">
        <f>infections!BJ19-infections!BI19</f>
        <v>16</v>
      </c>
      <c r="BK19" s="3">
        <f>infections!BK19-infections!BJ19</f>
        <v>0</v>
      </c>
      <c r="BL19" s="3">
        <f>infections!BL19-infections!BK19</f>
        <v>9</v>
      </c>
      <c r="BM19" s="3">
        <f>infections!BM19-infections!BL19</f>
        <v>12</v>
      </c>
      <c r="BN19" s="3">
        <f>infections!BN19-infections!BM19</f>
        <v>7</v>
      </c>
      <c r="BO19" s="3">
        <f>infections!BO19-infections!BN19</f>
        <v>15</v>
      </c>
      <c r="BP19" s="3">
        <f>infections!BP19-infections!BO19</f>
        <v>6</v>
      </c>
      <c r="BQ19" s="3">
        <f>infections!BQ19-infections!BP19</f>
        <v>29</v>
      </c>
      <c r="BR19" s="3">
        <f>infections!BR19-infections!BQ19</f>
        <v>43</v>
      </c>
      <c r="BS19" s="3">
        <f>infections!BS19-infections!BR19</f>
        <v>17</v>
      </c>
      <c r="BT19" s="3">
        <f>infections!BT19-infections!BS19</f>
        <v>27</v>
      </c>
      <c r="BU19" s="3">
        <f>infections!BU19-infections!BT19</f>
        <v>64</v>
      </c>
      <c r="BV19" s="3">
        <f>infections!BV19-infections!BU19</f>
        <v>25</v>
      </c>
      <c r="BW19" s="3">
        <f>infections!BW19-infections!BV19</f>
        <v>61</v>
      </c>
      <c r="BX19" s="3">
        <f>infections!BX19-infections!BW19</f>
        <v>41</v>
      </c>
      <c r="BY19" s="3">
        <f>infections!BY19-infections!BX19</f>
        <v>43</v>
      </c>
    </row>
    <row r="20">
      <c r="B20" s="1" t="str">
        <f>infections!B20</f>
        <v>Bahamas</v>
      </c>
      <c r="C20" s="4">
        <f>infections!C20</f>
        <v>25.0343</v>
      </c>
      <c r="D20" s="4">
        <f>infections!D20</f>
        <v>-77.3963</v>
      </c>
      <c r="E20" s="4">
        <f>infections!E20</f>
        <v>0</v>
      </c>
      <c r="F20" s="3">
        <f>infections!F20-infections!E20</f>
        <v>0</v>
      </c>
      <c r="G20" s="3">
        <f>infections!G20-infections!F20</f>
        <v>0</v>
      </c>
      <c r="H20" s="3">
        <f>infections!H20-infections!G20</f>
        <v>0</v>
      </c>
      <c r="I20" s="3">
        <f>infections!I20-infections!H20</f>
        <v>0</v>
      </c>
      <c r="J20" s="3">
        <f>infections!J20-infections!I20</f>
        <v>0</v>
      </c>
      <c r="K20" s="3">
        <f>infections!K20-infections!J20</f>
        <v>0</v>
      </c>
      <c r="L20" s="3">
        <f>infections!L20-infections!K20</f>
        <v>0</v>
      </c>
      <c r="M20" s="3">
        <f>infections!M20-infections!L20</f>
        <v>0</v>
      </c>
      <c r="N20" s="3">
        <f>infections!N20-infections!M20</f>
        <v>0</v>
      </c>
      <c r="O20" s="3">
        <f>infections!O20-infections!N20</f>
        <v>0</v>
      </c>
      <c r="P20" s="3">
        <f>infections!P20-infections!O20</f>
        <v>0</v>
      </c>
      <c r="Q20" s="3">
        <f>infections!Q20-infections!P20</f>
        <v>0</v>
      </c>
      <c r="R20" s="3">
        <f>infections!R20-infections!Q20</f>
        <v>0</v>
      </c>
      <c r="S20" s="3">
        <f>infections!S20-infections!R20</f>
        <v>0</v>
      </c>
      <c r="T20" s="3">
        <f>infections!T20-infections!S20</f>
        <v>0</v>
      </c>
      <c r="U20" s="3">
        <f>infections!U20-infections!T20</f>
        <v>0</v>
      </c>
      <c r="V20" s="3">
        <f>infections!V20-infections!U20</f>
        <v>0</v>
      </c>
      <c r="W20" s="3">
        <f>infections!W20-infections!V20</f>
        <v>0</v>
      </c>
      <c r="X20" s="3">
        <f>infections!X20-infections!W20</f>
        <v>0</v>
      </c>
      <c r="Y20" s="3">
        <f>infections!Y20-infections!X20</f>
        <v>0</v>
      </c>
      <c r="Z20" s="3">
        <f>infections!Z20-infections!Y20</f>
        <v>0</v>
      </c>
      <c r="AA20" s="3">
        <f>infections!AA20-infections!Z20</f>
        <v>0</v>
      </c>
      <c r="AB20" s="3">
        <f>infections!AB20-infections!AA20</f>
        <v>0</v>
      </c>
      <c r="AC20" s="3">
        <f>infections!AC20-infections!AB20</f>
        <v>0</v>
      </c>
      <c r="AD20" s="3">
        <f>infections!AD20-infections!AC20</f>
        <v>0</v>
      </c>
      <c r="AE20" s="3">
        <f>infections!AE20-infections!AD20</f>
        <v>0</v>
      </c>
      <c r="AF20" s="3">
        <f>infections!AF20-infections!AE20</f>
        <v>0</v>
      </c>
      <c r="AG20" s="3">
        <f>infections!AG20-infections!AF20</f>
        <v>0</v>
      </c>
      <c r="AH20" s="3">
        <f>infections!AH20-infections!AG20</f>
        <v>0</v>
      </c>
      <c r="AI20" s="3">
        <f>infections!AI20-infections!AH20</f>
        <v>0</v>
      </c>
      <c r="AJ20" s="3">
        <f>infections!AJ20-infections!AI20</f>
        <v>0</v>
      </c>
      <c r="AK20" s="3">
        <f>infections!AK20-infections!AJ20</f>
        <v>0</v>
      </c>
      <c r="AL20" s="3">
        <f>infections!AL20-infections!AK20</f>
        <v>0</v>
      </c>
      <c r="AM20" s="3">
        <f>infections!AM20-infections!AL20</f>
        <v>0</v>
      </c>
      <c r="AN20" s="3">
        <f>infections!AN20-infections!AM20</f>
        <v>0</v>
      </c>
      <c r="AO20" s="3">
        <f>infections!AO20-infections!AN20</f>
        <v>0</v>
      </c>
      <c r="AP20" s="3">
        <f>infections!AP20-infections!AO20</f>
        <v>0</v>
      </c>
      <c r="AQ20" s="3">
        <f>infections!AQ20-infections!AP20</f>
        <v>0</v>
      </c>
      <c r="AR20" s="3">
        <f>infections!AR20-infections!AQ20</f>
        <v>0</v>
      </c>
      <c r="AS20" s="3">
        <f>infections!AS20-infections!AR20</f>
        <v>0</v>
      </c>
      <c r="AT20" s="3">
        <f>infections!AT20-infections!AS20</f>
        <v>0</v>
      </c>
      <c r="AU20" s="3">
        <f>infections!AU20-infections!AT20</f>
        <v>0</v>
      </c>
      <c r="AV20" s="3">
        <f>infections!AV20-infections!AU20</f>
        <v>0</v>
      </c>
      <c r="AW20" s="3">
        <f>infections!AW20-infections!AV20</f>
        <v>0</v>
      </c>
      <c r="AX20" s="3">
        <f>infections!AX20-infections!AW20</f>
        <v>0</v>
      </c>
      <c r="AY20" s="3">
        <f>infections!AY20-infections!AX20</f>
        <v>0</v>
      </c>
      <c r="AZ20" s="3">
        <f>infections!AZ20-infections!AY20</f>
        <v>0</v>
      </c>
      <c r="BA20" s="3">
        <f>infections!BA20-infections!AZ20</f>
        <v>0</v>
      </c>
      <c r="BB20" s="3">
        <f>infections!BB20-infections!BA20</f>
        <v>0</v>
      </c>
      <c r="BC20" s="3">
        <f>infections!BC20-infections!BB20</f>
        <v>0</v>
      </c>
      <c r="BD20" s="3">
        <f>infections!BD20-infections!BC20</f>
        <v>0</v>
      </c>
      <c r="BE20" s="3">
        <f>infections!BE20-infections!BD20</f>
        <v>0</v>
      </c>
      <c r="BF20" s="3">
        <f>infections!BF20-infections!BE20</f>
        <v>0</v>
      </c>
      <c r="BG20" s="3">
        <f>infections!BG20-infections!BF20</f>
        <v>1</v>
      </c>
      <c r="BH20" s="3">
        <f>infections!BH20-infections!BG20</f>
        <v>0</v>
      </c>
      <c r="BI20" s="3">
        <f>infections!BI20-infections!BH20</f>
        <v>0</v>
      </c>
      <c r="BJ20" s="3">
        <f>infections!BJ20-infections!BI20</f>
        <v>2</v>
      </c>
      <c r="BK20" s="3">
        <f>infections!BK20-infections!BJ20</f>
        <v>0</v>
      </c>
      <c r="BL20" s="3">
        <f>infections!BL20-infections!BK20</f>
        <v>1</v>
      </c>
      <c r="BM20" s="3">
        <f>infections!BM20-infections!BL20</f>
        <v>0</v>
      </c>
      <c r="BN20" s="3">
        <f>infections!BN20-infections!BM20</f>
        <v>0</v>
      </c>
      <c r="BO20" s="3">
        <f>infections!BO20-infections!BN20</f>
        <v>1</v>
      </c>
      <c r="BP20" s="3">
        <f>infections!BP20-infections!BO20</f>
        <v>0</v>
      </c>
      <c r="BQ20" s="3">
        <f>infections!BQ20-infections!BP20</f>
        <v>4</v>
      </c>
      <c r="BR20" s="3">
        <f>infections!BR20-infections!BQ20</f>
        <v>1</v>
      </c>
      <c r="BS20" s="3">
        <f>infections!BS20-infections!BR20</f>
        <v>0</v>
      </c>
      <c r="BT20" s="3">
        <f>infections!BT20-infections!BS20</f>
        <v>1</v>
      </c>
      <c r="BU20" s="3">
        <f>infections!BU20-infections!BT20</f>
        <v>3</v>
      </c>
      <c r="BV20" s="3">
        <f>infections!BV20-infections!BU20</f>
        <v>0</v>
      </c>
      <c r="BW20" s="3">
        <f>infections!BW20-infections!BV20</f>
        <v>7</v>
      </c>
      <c r="BX20" s="3">
        <f>infections!BX20-infections!BW20</f>
        <v>3</v>
      </c>
      <c r="BY20" s="3">
        <f>infections!BY20-infections!BX20</f>
        <v>0</v>
      </c>
    </row>
    <row r="21">
      <c r="B21" s="1" t="str">
        <f>infections!B21</f>
        <v>Bahrain</v>
      </c>
      <c r="C21" s="4">
        <f>infections!C21</f>
        <v>26.0275</v>
      </c>
      <c r="D21" s="4">
        <f>infections!D21</f>
        <v>50.55</v>
      </c>
      <c r="E21" s="4">
        <f>infections!E21</f>
        <v>0</v>
      </c>
      <c r="F21" s="3">
        <f>infections!F21-infections!E21</f>
        <v>0</v>
      </c>
      <c r="G21" s="3">
        <f>infections!G21-infections!F21</f>
        <v>0</v>
      </c>
      <c r="H21" s="3">
        <f>infections!H21-infections!G21</f>
        <v>0</v>
      </c>
      <c r="I21" s="3">
        <f>infections!I21-infections!H21</f>
        <v>0</v>
      </c>
      <c r="J21" s="3">
        <f>infections!J21-infections!I21</f>
        <v>0</v>
      </c>
      <c r="K21" s="3">
        <f>infections!K21-infections!J21</f>
        <v>0</v>
      </c>
      <c r="L21" s="3">
        <f>infections!L21-infections!K21</f>
        <v>0</v>
      </c>
      <c r="M21" s="3">
        <f>infections!M21-infections!L21</f>
        <v>0</v>
      </c>
      <c r="N21" s="3">
        <f>infections!N21-infections!M21</f>
        <v>0</v>
      </c>
      <c r="O21" s="3">
        <f>infections!O21-infections!N21</f>
        <v>0</v>
      </c>
      <c r="P21" s="3">
        <f>infections!P21-infections!O21</f>
        <v>0</v>
      </c>
      <c r="Q21" s="3">
        <f>infections!Q21-infections!P21</f>
        <v>0</v>
      </c>
      <c r="R21" s="3">
        <f>infections!R21-infections!Q21</f>
        <v>0</v>
      </c>
      <c r="S21" s="3">
        <f>infections!S21-infections!R21</f>
        <v>0</v>
      </c>
      <c r="T21" s="3">
        <f>infections!T21-infections!S21</f>
        <v>0</v>
      </c>
      <c r="U21" s="3">
        <f>infections!U21-infections!T21</f>
        <v>0</v>
      </c>
      <c r="V21" s="3">
        <f>infections!V21-infections!U21</f>
        <v>0</v>
      </c>
      <c r="W21" s="3">
        <f>infections!W21-infections!V21</f>
        <v>0</v>
      </c>
      <c r="X21" s="3">
        <f>infections!X21-infections!W21</f>
        <v>0</v>
      </c>
      <c r="Y21" s="3">
        <f>infections!Y21-infections!X21</f>
        <v>0</v>
      </c>
      <c r="Z21" s="3">
        <f>infections!Z21-infections!Y21</f>
        <v>0</v>
      </c>
      <c r="AA21" s="3">
        <f>infections!AA21-infections!Z21</f>
        <v>0</v>
      </c>
      <c r="AB21" s="3">
        <f>infections!AB21-infections!AA21</f>
        <v>0</v>
      </c>
      <c r="AC21" s="3">
        <f>infections!AC21-infections!AB21</f>
        <v>0</v>
      </c>
      <c r="AD21" s="3">
        <f>infections!AD21-infections!AC21</f>
        <v>0</v>
      </c>
      <c r="AE21" s="3">
        <f>infections!AE21-infections!AD21</f>
        <v>0</v>
      </c>
      <c r="AF21" s="3">
        <f>infections!AF21-infections!AE21</f>
        <v>0</v>
      </c>
      <c r="AG21" s="3">
        <f>infections!AG21-infections!AF21</f>
        <v>0</v>
      </c>
      <c r="AH21" s="3">
        <f>infections!AH21-infections!AG21</f>
        <v>0</v>
      </c>
      <c r="AI21" s="3">
        <f>infections!AI21-infections!AH21</f>
        <v>0</v>
      </c>
      <c r="AJ21" s="3">
        <f>infections!AJ21-infections!AI21</f>
        <v>0</v>
      </c>
      <c r="AK21" s="3">
        <f>infections!AK21-infections!AJ21</f>
        <v>0</v>
      </c>
      <c r="AL21" s="3">
        <f>infections!AL21-infections!AK21</f>
        <v>1</v>
      </c>
      <c r="AM21" s="3">
        <f>infections!AM21-infections!AL21</f>
        <v>22</v>
      </c>
      <c r="AN21" s="3">
        <f>infections!AN21-infections!AM21</f>
        <v>10</v>
      </c>
      <c r="AO21" s="3">
        <f>infections!AO21-infections!AN21</f>
        <v>0</v>
      </c>
      <c r="AP21" s="3">
        <f>infections!AP21-infections!AO21</f>
        <v>3</v>
      </c>
      <c r="AQ21" s="3">
        <f>infections!AQ21-infections!AP21</f>
        <v>5</v>
      </c>
      <c r="AR21" s="3">
        <f>infections!AR21-infections!AQ21</f>
        <v>6</v>
      </c>
      <c r="AS21" s="3">
        <f>infections!AS21-infections!AR21</f>
        <v>2</v>
      </c>
      <c r="AT21" s="3">
        <f>infections!AT21-infections!AS21</f>
        <v>0</v>
      </c>
      <c r="AU21" s="3">
        <f>infections!AU21-infections!AT21</f>
        <v>3</v>
      </c>
      <c r="AV21" s="3">
        <f>infections!AV21-infections!AU21</f>
        <v>3</v>
      </c>
      <c r="AW21" s="3">
        <f>infections!AW21-infections!AV21</f>
        <v>5</v>
      </c>
      <c r="AX21" s="3">
        <f>infections!AX21-infections!AW21</f>
        <v>25</v>
      </c>
      <c r="AY21" s="3">
        <f>infections!AY21-infections!AX21</f>
        <v>0</v>
      </c>
      <c r="AZ21" s="3">
        <f>infections!AZ21-infections!AY21</f>
        <v>10</v>
      </c>
      <c r="BA21" s="3">
        <f>infections!BA21-infections!AZ21</f>
        <v>15</v>
      </c>
      <c r="BB21" s="3">
        <f>infections!BB21-infections!BA21</f>
        <v>85</v>
      </c>
      <c r="BC21" s="3">
        <f>infections!BC21-infections!BB21</f>
        <v>0</v>
      </c>
      <c r="BD21" s="3">
        <f>infections!BD21-infections!BC21</f>
        <v>0</v>
      </c>
      <c r="BE21" s="3">
        <f>infections!BE21-infections!BD21</f>
        <v>15</v>
      </c>
      <c r="BF21" s="3">
        <f>infections!BF21-infections!BE21</f>
        <v>4</v>
      </c>
      <c r="BG21" s="3">
        <f>infections!BG21-infections!BF21</f>
        <v>0</v>
      </c>
      <c r="BH21" s="3">
        <f>infections!BH21-infections!BG21</f>
        <v>14</v>
      </c>
      <c r="BI21" s="3">
        <f>infections!BI21-infections!BH21</f>
        <v>28</v>
      </c>
      <c r="BJ21" s="3">
        <f>infections!BJ21-infections!BI21</f>
        <v>22</v>
      </c>
      <c r="BK21" s="3">
        <f>infections!BK21-infections!BJ21</f>
        <v>7</v>
      </c>
      <c r="BL21" s="3">
        <f>infections!BL21-infections!BK21</f>
        <v>20</v>
      </c>
      <c r="BM21" s="3">
        <f>infections!BM21-infections!BL21</f>
        <v>29</v>
      </c>
      <c r="BN21" s="3">
        <f>infections!BN21-infections!BM21</f>
        <v>43</v>
      </c>
      <c r="BO21" s="3">
        <f>infections!BO21-infections!BN21</f>
        <v>15</v>
      </c>
      <c r="BP21" s="3">
        <f>infections!BP21-infections!BO21</f>
        <v>27</v>
      </c>
      <c r="BQ21" s="3">
        <f>infections!BQ21-infections!BP21</f>
        <v>39</v>
      </c>
      <c r="BR21" s="3">
        <f>infections!BR21-infections!BQ21</f>
        <v>8</v>
      </c>
      <c r="BS21" s="3">
        <f>infections!BS21-infections!BR21</f>
        <v>10</v>
      </c>
      <c r="BT21" s="3">
        <f>infections!BT21-infections!BS21</f>
        <v>23</v>
      </c>
      <c r="BU21" s="3">
        <f>infections!BU21-infections!BT21</f>
        <v>16</v>
      </c>
      <c r="BV21" s="3">
        <f>infections!BV21-infections!BU21</f>
        <v>52</v>
      </c>
      <c r="BW21" s="3">
        <f>infections!BW21-infections!BV21</f>
        <v>2</v>
      </c>
      <c r="BX21" s="3">
        <f>infections!BX21-infections!BW21</f>
        <v>74</v>
      </c>
      <c r="BY21" s="3">
        <f>infections!BY21-infections!BX21</f>
        <v>29</v>
      </c>
    </row>
    <row r="22">
      <c r="B22" s="1" t="str">
        <f>infections!B22</f>
        <v>Bangladesh</v>
      </c>
      <c r="C22" s="4">
        <f>infections!C22</f>
        <v>23.685</v>
      </c>
      <c r="D22" s="4">
        <f>infections!D22</f>
        <v>90.3563</v>
      </c>
      <c r="E22" s="4">
        <f>infections!E22</f>
        <v>0</v>
      </c>
      <c r="F22" s="3">
        <f>infections!F22-infections!E22</f>
        <v>0</v>
      </c>
      <c r="G22" s="3">
        <f>infections!G22-infections!F22</f>
        <v>0</v>
      </c>
      <c r="H22" s="3">
        <f>infections!H22-infections!G22</f>
        <v>0</v>
      </c>
      <c r="I22" s="3">
        <f>infections!I22-infections!H22</f>
        <v>0</v>
      </c>
      <c r="J22" s="3">
        <f>infections!J22-infections!I22</f>
        <v>0</v>
      </c>
      <c r="K22" s="3">
        <f>infections!K22-infections!J22</f>
        <v>0</v>
      </c>
      <c r="L22" s="3">
        <f>infections!L22-infections!K22</f>
        <v>0</v>
      </c>
      <c r="M22" s="3">
        <f>infections!M22-infections!L22</f>
        <v>0</v>
      </c>
      <c r="N22" s="3">
        <f>infections!N22-infections!M22</f>
        <v>0</v>
      </c>
      <c r="O22" s="3">
        <f>infections!O22-infections!N22</f>
        <v>0</v>
      </c>
      <c r="P22" s="3">
        <f>infections!P22-infections!O22</f>
        <v>0</v>
      </c>
      <c r="Q22" s="3">
        <f>infections!Q22-infections!P22</f>
        <v>0</v>
      </c>
      <c r="R22" s="3">
        <f>infections!R22-infections!Q22</f>
        <v>0</v>
      </c>
      <c r="S22" s="3">
        <f>infections!S22-infections!R22</f>
        <v>0</v>
      </c>
      <c r="T22" s="3">
        <f>infections!T22-infections!S22</f>
        <v>0</v>
      </c>
      <c r="U22" s="3">
        <f>infections!U22-infections!T22</f>
        <v>0</v>
      </c>
      <c r="V22" s="3">
        <f>infections!V22-infections!U22</f>
        <v>0</v>
      </c>
      <c r="W22" s="3">
        <f>infections!W22-infections!V22</f>
        <v>0</v>
      </c>
      <c r="X22" s="3">
        <f>infections!X22-infections!W22</f>
        <v>0</v>
      </c>
      <c r="Y22" s="3">
        <f>infections!Y22-infections!X22</f>
        <v>0</v>
      </c>
      <c r="Z22" s="3">
        <f>infections!Z22-infections!Y22</f>
        <v>0</v>
      </c>
      <c r="AA22" s="3">
        <f>infections!AA22-infections!Z22</f>
        <v>0</v>
      </c>
      <c r="AB22" s="3">
        <f>infections!AB22-infections!AA22</f>
        <v>0</v>
      </c>
      <c r="AC22" s="3">
        <f>infections!AC22-infections!AB22</f>
        <v>0</v>
      </c>
      <c r="AD22" s="3">
        <f>infections!AD22-infections!AC22</f>
        <v>0</v>
      </c>
      <c r="AE22" s="3">
        <f>infections!AE22-infections!AD22</f>
        <v>0</v>
      </c>
      <c r="AF22" s="3">
        <f>infections!AF22-infections!AE22</f>
        <v>0</v>
      </c>
      <c r="AG22" s="3">
        <f>infections!AG22-infections!AF22</f>
        <v>0</v>
      </c>
      <c r="AH22" s="3">
        <f>infections!AH22-infections!AG22</f>
        <v>0</v>
      </c>
      <c r="AI22" s="3">
        <f>infections!AI22-infections!AH22</f>
        <v>0</v>
      </c>
      <c r="AJ22" s="3">
        <f>infections!AJ22-infections!AI22</f>
        <v>0</v>
      </c>
      <c r="AK22" s="3">
        <f>infections!AK22-infections!AJ22</f>
        <v>0</v>
      </c>
      <c r="AL22" s="3">
        <f>infections!AL22-infections!AK22</f>
        <v>0</v>
      </c>
      <c r="AM22" s="3">
        <f>infections!AM22-infections!AL22</f>
        <v>0</v>
      </c>
      <c r="AN22" s="3">
        <f>infections!AN22-infections!AM22</f>
        <v>0</v>
      </c>
      <c r="AO22" s="3">
        <f>infections!AO22-infections!AN22</f>
        <v>0</v>
      </c>
      <c r="AP22" s="3">
        <f>infections!AP22-infections!AO22</f>
        <v>0</v>
      </c>
      <c r="AQ22" s="3">
        <f>infections!AQ22-infections!AP22</f>
        <v>0</v>
      </c>
      <c r="AR22" s="3">
        <f>infections!AR22-infections!AQ22</f>
        <v>0</v>
      </c>
      <c r="AS22" s="3">
        <f>infections!AS22-infections!AR22</f>
        <v>0</v>
      </c>
      <c r="AT22" s="3">
        <f>infections!AT22-infections!AS22</f>
        <v>0</v>
      </c>
      <c r="AU22" s="3">
        <f>infections!AU22-infections!AT22</f>
        <v>0</v>
      </c>
      <c r="AV22" s="3">
        <f>infections!AV22-infections!AU22</f>
        <v>0</v>
      </c>
      <c r="AW22" s="3">
        <f>infections!AW22-infections!AV22</f>
        <v>0</v>
      </c>
      <c r="AX22" s="3">
        <f>infections!AX22-infections!AW22</f>
        <v>0</v>
      </c>
      <c r="AY22" s="3">
        <f>infections!AY22-infections!AX22</f>
        <v>3</v>
      </c>
      <c r="AZ22" s="3">
        <f>infections!AZ22-infections!AY22</f>
        <v>0</v>
      </c>
      <c r="BA22" s="3">
        <f>infections!BA22-infections!AZ22</f>
        <v>0</v>
      </c>
      <c r="BB22" s="3">
        <f>infections!BB22-infections!BA22</f>
        <v>0</v>
      </c>
      <c r="BC22" s="3">
        <f>infections!BC22-infections!BB22</f>
        <v>0</v>
      </c>
      <c r="BD22" s="3">
        <f>infections!BD22-infections!BC22</f>
        <v>0</v>
      </c>
      <c r="BE22" s="3">
        <f>infections!BE22-infections!BD22</f>
        <v>0</v>
      </c>
      <c r="BF22" s="3">
        <f>infections!BF22-infections!BE22</f>
        <v>2</v>
      </c>
      <c r="BG22" s="3">
        <f>infections!BG22-infections!BF22</f>
        <v>3</v>
      </c>
      <c r="BH22" s="3">
        <f>infections!BH22-infections!BG22</f>
        <v>2</v>
      </c>
      <c r="BI22" s="3">
        <f>infections!BI22-infections!BH22</f>
        <v>4</v>
      </c>
      <c r="BJ22" s="3">
        <f>infections!BJ22-infections!BI22</f>
        <v>3</v>
      </c>
      <c r="BK22" s="3">
        <f>infections!BK22-infections!BJ22</f>
        <v>3</v>
      </c>
      <c r="BL22" s="3">
        <f>infections!BL22-infections!BK22</f>
        <v>5</v>
      </c>
      <c r="BM22" s="3">
        <f>infections!BM22-infections!BL22</f>
        <v>2</v>
      </c>
      <c r="BN22" s="3">
        <f>infections!BN22-infections!BM22</f>
        <v>6</v>
      </c>
      <c r="BO22" s="3">
        <f>infections!BO22-infections!BN22</f>
        <v>6</v>
      </c>
      <c r="BP22" s="3">
        <f>infections!BP22-infections!BO22</f>
        <v>0</v>
      </c>
      <c r="BQ22" s="3">
        <f>infections!BQ22-infections!BP22</f>
        <v>5</v>
      </c>
      <c r="BR22" s="3">
        <f>infections!BR22-infections!BQ22</f>
        <v>4</v>
      </c>
      <c r="BS22" s="3">
        <f>infections!BS22-infections!BR22</f>
        <v>0</v>
      </c>
      <c r="BT22" s="3">
        <f>infections!BT22-infections!BS22</f>
        <v>0</v>
      </c>
      <c r="BU22" s="3">
        <f>infections!BU22-infections!BT22</f>
        <v>1</v>
      </c>
      <c r="BV22" s="3">
        <f>infections!BV22-infections!BU22</f>
        <v>2</v>
      </c>
      <c r="BW22" s="3">
        <f>infections!BW22-infections!BV22</f>
        <v>3</v>
      </c>
      <c r="BX22" s="3">
        <f>infections!BX22-infections!BW22</f>
        <v>2</v>
      </c>
      <c r="BY22" s="3">
        <f>infections!BY22-infections!BX22</f>
        <v>5</v>
      </c>
    </row>
    <row r="23">
      <c r="B23" s="1" t="str">
        <f>infections!B23</f>
        <v>Barbados</v>
      </c>
      <c r="C23" s="4">
        <f>infections!C23</f>
        <v>13.1939</v>
      </c>
      <c r="D23" s="4">
        <f>infections!D23</f>
        <v>-59.5432</v>
      </c>
      <c r="E23" s="4">
        <f>infections!E23</f>
        <v>0</v>
      </c>
      <c r="F23" s="3">
        <f>infections!F23-infections!E23</f>
        <v>0</v>
      </c>
      <c r="G23" s="3">
        <f>infections!G23-infections!F23</f>
        <v>0</v>
      </c>
      <c r="H23" s="3">
        <f>infections!H23-infections!G23</f>
        <v>0</v>
      </c>
      <c r="I23" s="3">
        <f>infections!I23-infections!H23</f>
        <v>0</v>
      </c>
      <c r="J23" s="3">
        <f>infections!J23-infections!I23</f>
        <v>0</v>
      </c>
      <c r="K23" s="3">
        <f>infections!K23-infections!J23</f>
        <v>0</v>
      </c>
      <c r="L23" s="3">
        <f>infections!L23-infections!K23</f>
        <v>0</v>
      </c>
      <c r="M23" s="3">
        <f>infections!M23-infections!L23</f>
        <v>0</v>
      </c>
      <c r="N23" s="3">
        <f>infections!N23-infections!M23</f>
        <v>0</v>
      </c>
      <c r="O23" s="3">
        <f>infections!O23-infections!N23</f>
        <v>0</v>
      </c>
      <c r="P23" s="3">
        <f>infections!P23-infections!O23</f>
        <v>0</v>
      </c>
      <c r="Q23" s="3">
        <f>infections!Q23-infections!P23</f>
        <v>0</v>
      </c>
      <c r="R23" s="3">
        <f>infections!R23-infections!Q23</f>
        <v>0</v>
      </c>
      <c r="S23" s="3">
        <f>infections!S23-infections!R23</f>
        <v>0</v>
      </c>
      <c r="T23" s="3">
        <f>infections!T23-infections!S23</f>
        <v>0</v>
      </c>
      <c r="U23" s="3">
        <f>infections!U23-infections!T23</f>
        <v>0</v>
      </c>
      <c r="V23" s="3">
        <f>infections!V23-infections!U23</f>
        <v>0</v>
      </c>
      <c r="W23" s="3">
        <f>infections!W23-infections!V23</f>
        <v>0</v>
      </c>
      <c r="X23" s="3">
        <f>infections!X23-infections!W23</f>
        <v>0</v>
      </c>
      <c r="Y23" s="3">
        <f>infections!Y23-infections!X23</f>
        <v>0</v>
      </c>
      <c r="Z23" s="3">
        <f>infections!Z23-infections!Y23</f>
        <v>0</v>
      </c>
      <c r="AA23" s="3">
        <f>infections!AA23-infections!Z23</f>
        <v>0</v>
      </c>
      <c r="AB23" s="3">
        <f>infections!AB23-infections!AA23</f>
        <v>0</v>
      </c>
      <c r="AC23" s="3">
        <f>infections!AC23-infections!AB23</f>
        <v>0</v>
      </c>
      <c r="AD23" s="3">
        <f>infections!AD23-infections!AC23</f>
        <v>0</v>
      </c>
      <c r="AE23" s="3">
        <f>infections!AE23-infections!AD23</f>
        <v>0</v>
      </c>
      <c r="AF23" s="3">
        <f>infections!AF23-infections!AE23</f>
        <v>0</v>
      </c>
      <c r="AG23" s="3">
        <f>infections!AG23-infections!AF23</f>
        <v>0</v>
      </c>
      <c r="AH23" s="3">
        <f>infections!AH23-infections!AG23</f>
        <v>0</v>
      </c>
      <c r="AI23" s="3">
        <f>infections!AI23-infections!AH23</f>
        <v>0</v>
      </c>
      <c r="AJ23" s="3">
        <f>infections!AJ23-infections!AI23</f>
        <v>0</v>
      </c>
      <c r="AK23" s="3">
        <f>infections!AK23-infections!AJ23</f>
        <v>0</v>
      </c>
      <c r="AL23" s="3">
        <f>infections!AL23-infections!AK23</f>
        <v>0</v>
      </c>
      <c r="AM23" s="3">
        <f>infections!AM23-infections!AL23</f>
        <v>0</v>
      </c>
      <c r="AN23" s="3">
        <f>infections!AN23-infections!AM23</f>
        <v>0</v>
      </c>
      <c r="AO23" s="3">
        <f>infections!AO23-infections!AN23</f>
        <v>0</v>
      </c>
      <c r="AP23" s="3">
        <f>infections!AP23-infections!AO23</f>
        <v>0</v>
      </c>
      <c r="AQ23" s="3">
        <f>infections!AQ23-infections!AP23</f>
        <v>0</v>
      </c>
      <c r="AR23" s="3">
        <f>infections!AR23-infections!AQ23</f>
        <v>0</v>
      </c>
      <c r="AS23" s="3">
        <f>infections!AS23-infections!AR23</f>
        <v>0</v>
      </c>
      <c r="AT23" s="3">
        <f>infections!AT23-infections!AS23</f>
        <v>0</v>
      </c>
      <c r="AU23" s="3">
        <f>infections!AU23-infections!AT23</f>
        <v>0</v>
      </c>
      <c r="AV23" s="3">
        <f>infections!AV23-infections!AU23</f>
        <v>0</v>
      </c>
      <c r="AW23" s="3">
        <f>infections!AW23-infections!AV23</f>
        <v>0</v>
      </c>
      <c r="AX23" s="3">
        <f>infections!AX23-infections!AW23</f>
        <v>0</v>
      </c>
      <c r="AY23" s="3">
        <f>infections!AY23-infections!AX23</f>
        <v>0</v>
      </c>
      <c r="AZ23" s="3">
        <f>infections!AZ23-infections!AY23</f>
        <v>0</v>
      </c>
      <c r="BA23" s="3">
        <f>infections!BA23-infections!AZ23</f>
        <v>0</v>
      </c>
      <c r="BB23" s="3">
        <f>infections!BB23-infections!BA23</f>
        <v>0</v>
      </c>
      <c r="BC23" s="3">
        <f>infections!BC23-infections!BB23</f>
        <v>0</v>
      </c>
      <c r="BD23" s="3">
        <f>infections!BD23-infections!BC23</f>
        <v>0</v>
      </c>
      <c r="BE23" s="3">
        <f>infections!BE23-infections!BD23</f>
        <v>0</v>
      </c>
      <c r="BF23" s="3">
        <f>infections!BF23-infections!BE23</f>
        <v>0</v>
      </c>
      <c r="BG23" s="3">
        <f>infections!BG23-infections!BF23</f>
        <v>0</v>
      </c>
      <c r="BH23" s="3">
        <f>infections!BH23-infections!BG23</f>
        <v>2</v>
      </c>
      <c r="BI23" s="3">
        <f>infections!BI23-infections!BH23</f>
        <v>0</v>
      </c>
      <c r="BJ23" s="3">
        <f>infections!BJ23-infections!BI23</f>
        <v>3</v>
      </c>
      <c r="BK23" s="3">
        <f>infections!BK23-infections!BJ23</f>
        <v>0</v>
      </c>
      <c r="BL23" s="3">
        <f>infections!BL23-infections!BK23</f>
        <v>1</v>
      </c>
      <c r="BM23" s="3">
        <f>infections!BM23-infections!BL23</f>
        <v>8</v>
      </c>
      <c r="BN23" s="3">
        <f>infections!BN23-infections!BM23</f>
        <v>3</v>
      </c>
      <c r="BO23" s="3">
        <f>infections!BO23-infections!BN23</f>
        <v>1</v>
      </c>
      <c r="BP23" s="3">
        <f>infections!BP23-infections!BO23</f>
        <v>0</v>
      </c>
      <c r="BQ23" s="3">
        <f>infections!BQ23-infections!BP23</f>
        <v>0</v>
      </c>
      <c r="BR23" s="3">
        <f>infections!BR23-infections!BQ23</f>
        <v>6</v>
      </c>
      <c r="BS23" s="3">
        <f>infections!BS23-infections!BR23</f>
        <v>2</v>
      </c>
      <c r="BT23" s="3">
        <f>infections!BT23-infections!BS23</f>
        <v>7</v>
      </c>
      <c r="BU23" s="3">
        <f>infections!BU23-infections!BT23</f>
        <v>0</v>
      </c>
      <c r="BV23" s="3">
        <f>infections!BV23-infections!BU23</f>
        <v>1</v>
      </c>
      <c r="BW23" s="3">
        <f>infections!BW23-infections!BV23</f>
        <v>0</v>
      </c>
      <c r="BX23" s="3">
        <f>infections!BX23-infections!BW23</f>
        <v>12</v>
      </c>
      <c r="BY23" s="3">
        <f>infections!BY23-infections!BX23</f>
        <v>5</v>
      </c>
    </row>
    <row r="24">
      <c r="B24" s="1" t="str">
        <f>infections!B24</f>
        <v>Belarus</v>
      </c>
      <c r="C24" s="4">
        <f>infections!C24</f>
        <v>53.7098</v>
      </c>
      <c r="D24" s="4">
        <f>infections!D24</f>
        <v>27.9534</v>
      </c>
      <c r="E24" s="4">
        <f>infections!E24</f>
        <v>0</v>
      </c>
      <c r="F24" s="3">
        <f>infections!F24-infections!E24</f>
        <v>0</v>
      </c>
      <c r="G24" s="3">
        <f>infections!G24-infections!F24</f>
        <v>0</v>
      </c>
      <c r="H24" s="3">
        <f>infections!H24-infections!G24</f>
        <v>0</v>
      </c>
      <c r="I24" s="3">
        <f>infections!I24-infections!H24</f>
        <v>0</v>
      </c>
      <c r="J24" s="3">
        <f>infections!J24-infections!I24</f>
        <v>0</v>
      </c>
      <c r="K24" s="3">
        <f>infections!K24-infections!J24</f>
        <v>0</v>
      </c>
      <c r="L24" s="3">
        <f>infections!L24-infections!K24</f>
        <v>0</v>
      </c>
      <c r="M24" s="3">
        <f>infections!M24-infections!L24</f>
        <v>0</v>
      </c>
      <c r="N24" s="3">
        <f>infections!N24-infections!M24</f>
        <v>0</v>
      </c>
      <c r="O24" s="3">
        <f>infections!O24-infections!N24</f>
        <v>0</v>
      </c>
      <c r="P24" s="3">
        <f>infections!P24-infections!O24</f>
        <v>0</v>
      </c>
      <c r="Q24" s="3">
        <f>infections!Q24-infections!P24</f>
        <v>0</v>
      </c>
      <c r="R24" s="3">
        <f>infections!R24-infections!Q24</f>
        <v>0</v>
      </c>
      <c r="S24" s="3">
        <f>infections!S24-infections!R24</f>
        <v>0</v>
      </c>
      <c r="T24" s="3">
        <f>infections!T24-infections!S24</f>
        <v>0</v>
      </c>
      <c r="U24" s="3">
        <f>infections!U24-infections!T24</f>
        <v>0</v>
      </c>
      <c r="V24" s="3">
        <f>infections!V24-infections!U24</f>
        <v>0</v>
      </c>
      <c r="W24" s="3">
        <f>infections!W24-infections!V24</f>
        <v>0</v>
      </c>
      <c r="X24" s="3">
        <f>infections!X24-infections!W24</f>
        <v>0</v>
      </c>
      <c r="Y24" s="3">
        <f>infections!Y24-infections!X24</f>
        <v>0</v>
      </c>
      <c r="Z24" s="3">
        <f>infections!Z24-infections!Y24</f>
        <v>0</v>
      </c>
      <c r="AA24" s="3">
        <f>infections!AA24-infections!Z24</f>
        <v>0</v>
      </c>
      <c r="AB24" s="3">
        <f>infections!AB24-infections!AA24</f>
        <v>0</v>
      </c>
      <c r="AC24" s="3">
        <f>infections!AC24-infections!AB24</f>
        <v>0</v>
      </c>
      <c r="AD24" s="3">
        <f>infections!AD24-infections!AC24</f>
        <v>0</v>
      </c>
      <c r="AE24" s="3">
        <f>infections!AE24-infections!AD24</f>
        <v>0</v>
      </c>
      <c r="AF24" s="3">
        <f>infections!AF24-infections!AE24</f>
        <v>0</v>
      </c>
      <c r="AG24" s="3">
        <f>infections!AG24-infections!AF24</f>
        <v>0</v>
      </c>
      <c r="AH24" s="3">
        <f>infections!AH24-infections!AG24</f>
        <v>0</v>
      </c>
      <c r="AI24" s="3">
        <f>infections!AI24-infections!AH24</f>
        <v>0</v>
      </c>
      <c r="AJ24" s="3">
        <f>infections!AJ24-infections!AI24</f>
        <v>0</v>
      </c>
      <c r="AK24" s="3">
        <f>infections!AK24-infections!AJ24</f>
        <v>0</v>
      </c>
      <c r="AL24" s="3">
        <f>infections!AL24-infections!AK24</f>
        <v>0</v>
      </c>
      <c r="AM24" s="3">
        <f>infections!AM24-infections!AL24</f>
        <v>0</v>
      </c>
      <c r="AN24" s="3">
        <f>infections!AN24-infections!AM24</f>
        <v>0</v>
      </c>
      <c r="AO24" s="3">
        <f>infections!AO24-infections!AN24</f>
        <v>0</v>
      </c>
      <c r="AP24" s="3">
        <f>infections!AP24-infections!AO24</f>
        <v>1</v>
      </c>
      <c r="AQ24" s="3">
        <f>infections!AQ24-infections!AP24</f>
        <v>0</v>
      </c>
      <c r="AR24" s="3">
        <f>infections!AR24-infections!AQ24</f>
        <v>0</v>
      </c>
      <c r="AS24" s="3">
        <f>infections!AS24-infections!AR24</f>
        <v>0</v>
      </c>
      <c r="AT24" s="3">
        <f>infections!AT24-infections!AS24</f>
        <v>0</v>
      </c>
      <c r="AU24" s="3">
        <f>infections!AU24-infections!AT24</f>
        <v>5</v>
      </c>
      <c r="AV24" s="3">
        <f>infections!AV24-infections!AU24</f>
        <v>0</v>
      </c>
      <c r="AW24" s="3">
        <f>infections!AW24-infections!AV24</f>
        <v>0</v>
      </c>
      <c r="AX24" s="3">
        <f>infections!AX24-infections!AW24</f>
        <v>0</v>
      </c>
      <c r="AY24" s="3">
        <f>infections!AY24-infections!AX24</f>
        <v>0</v>
      </c>
      <c r="AZ24" s="3">
        <f>infections!AZ24-infections!AY24</f>
        <v>0</v>
      </c>
      <c r="BA24" s="3">
        <f>infections!BA24-infections!AZ24</f>
        <v>3</v>
      </c>
      <c r="BB24" s="3">
        <f>infections!BB24-infections!BA24</f>
        <v>0</v>
      </c>
      <c r="BC24" s="3">
        <f>infections!BC24-infections!BB24</f>
        <v>3</v>
      </c>
      <c r="BD24" s="3">
        <f>infections!BD24-infections!BC24</f>
        <v>15</v>
      </c>
      <c r="BE24" s="3">
        <f>infections!BE24-infections!BD24</f>
        <v>0</v>
      </c>
      <c r="BF24" s="3">
        <f>infections!BF24-infections!BE24</f>
        <v>0</v>
      </c>
      <c r="BG24" s="3">
        <f>infections!BG24-infections!BF24</f>
        <v>9</v>
      </c>
      <c r="BH24" s="3">
        <f>infections!BH24-infections!BG24</f>
        <v>0</v>
      </c>
      <c r="BI24" s="3">
        <f>infections!BI24-infections!BH24</f>
        <v>15</v>
      </c>
      <c r="BJ24" s="3">
        <f>infections!BJ24-infections!BI24</f>
        <v>0</v>
      </c>
      <c r="BK24" s="3">
        <f>infections!BK24-infections!BJ24</f>
        <v>18</v>
      </c>
      <c r="BL24" s="3">
        <f>infections!BL24-infections!BK24</f>
        <v>7</v>
      </c>
      <c r="BM24" s="3">
        <f>infections!BM24-infections!BL24</f>
        <v>0</v>
      </c>
      <c r="BN24" s="3">
        <f>infections!BN24-infections!BM24</f>
        <v>5</v>
      </c>
      <c r="BO24" s="3">
        <f>infections!BO24-infections!BN24</f>
        <v>0</v>
      </c>
      <c r="BP24" s="3">
        <f>infections!BP24-infections!BO24</f>
        <v>5</v>
      </c>
      <c r="BQ24" s="3">
        <f>infections!BQ24-infections!BP24</f>
        <v>0</v>
      </c>
      <c r="BR24" s="3">
        <f>infections!BR24-infections!BQ24</f>
        <v>8</v>
      </c>
      <c r="BS24" s="3">
        <f>infections!BS24-infections!BR24</f>
        <v>0</v>
      </c>
      <c r="BT24" s="3">
        <f>infections!BT24-infections!BS24</f>
        <v>0</v>
      </c>
      <c r="BU24" s="3">
        <f>infections!BU24-infections!BT24</f>
        <v>58</v>
      </c>
      <c r="BV24" s="3">
        <f>infections!BV24-infections!BU24</f>
        <v>0</v>
      </c>
      <c r="BW24" s="3">
        <f>infections!BW24-infections!BV24</f>
        <v>11</v>
      </c>
      <c r="BX24" s="3">
        <f>infections!BX24-infections!BW24</f>
        <v>141</v>
      </c>
      <c r="BY24" s="3">
        <f>infections!BY24-infections!BX24</f>
        <v>47</v>
      </c>
    </row>
    <row r="25">
      <c r="B25" s="1" t="str">
        <f>infections!B25</f>
        <v>Belgium</v>
      </c>
      <c r="C25" s="4">
        <f>infections!C25</f>
        <v>50.8333</v>
      </c>
      <c r="D25" s="4">
        <f>infections!D25</f>
        <v>4</v>
      </c>
      <c r="E25" s="4">
        <f>infections!E25</f>
        <v>0</v>
      </c>
      <c r="F25" s="3">
        <f>infections!F25-infections!E25</f>
        <v>0</v>
      </c>
      <c r="G25" s="3">
        <f>infections!G25-infections!F25</f>
        <v>0</v>
      </c>
      <c r="H25" s="3">
        <f>infections!H25-infections!G25</f>
        <v>0</v>
      </c>
      <c r="I25" s="3">
        <f>infections!I25-infections!H25</f>
        <v>0</v>
      </c>
      <c r="J25" s="3">
        <f>infections!J25-infections!I25</f>
        <v>0</v>
      </c>
      <c r="K25" s="3">
        <f>infections!K25-infections!J25</f>
        <v>0</v>
      </c>
      <c r="L25" s="3">
        <f>infections!L25-infections!K25</f>
        <v>0</v>
      </c>
      <c r="M25" s="3">
        <f>infections!M25-infections!L25</f>
        <v>0</v>
      </c>
      <c r="N25" s="3">
        <f>infections!N25-infections!M25</f>
        <v>0</v>
      </c>
      <c r="O25" s="3">
        <f>infections!O25-infections!N25</f>
        <v>0</v>
      </c>
      <c r="P25" s="3">
        <f>infections!P25-infections!O25</f>
        <v>0</v>
      </c>
      <c r="Q25" s="3">
        <f>infections!Q25-infections!P25</f>
        <v>0</v>
      </c>
      <c r="R25" s="3">
        <f>infections!R25-infections!Q25</f>
        <v>1</v>
      </c>
      <c r="S25" s="3">
        <f>infections!S25-infections!R25</f>
        <v>0</v>
      </c>
      <c r="T25" s="3">
        <f>infections!T25-infections!S25</f>
        <v>0</v>
      </c>
      <c r="U25" s="3">
        <f>infections!U25-infections!T25</f>
        <v>0</v>
      </c>
      <c r="V25" s="3">
        <f>infections!V25-infections!U25</f>
        <v>0</v>
      </c>
      <c r="W25" s="3">
        <f>infections!W25-infections!V25</f>
        <v>0</v>
      </c>
      <c r="X25" s="3">
        <f>infections!X25-infections!W25</f>
        <v>0</v>
      </c>
      <c r="Y25" s="3">
        <f>infections!Y25-infections!X25</f>
        <v>0</v>
      </c>
      <c r="Z25" s="3">
        <f>infections!Z25-infections!Y25</f>
        <v>0</v>
      </c>
      <c r="AA25" s="3">
        <f>infections!AA25-infections!Z25</f>
        <v>0</v>
      </c>
      <c r="AB25" s="3">
        <f>infections!AB25-infections!AA25</f>
        <v>0</v>
      </c>
      <c r="AC25" s="3">
        <f>infections!AC25-infections!AB25</f>
        <v>0</v>
      </c>
      <c r="AD25" s="3">
        <f>infections!AD25-infections!AC25</f>
        <v>0</v>
      </c>
      <c r="AE25" s="3">
        <f>infections!AE25-infections!AD25</f>
        <v>0</v>
      </c>
      <c r="AF25" s="3">
        <f>infections!AF25-infections!AE25</f>
        <v>0</v>
      </c>
      <c r="AG25" s="3">
        <f>infections!AG25-infections!AF25</f>
        <v>0</v>
      </c>
      <c r="AH25" s="3">
        <f>infections!AH25-infections!AG25</f>
        <v>0</v>
      </c>
      <c r="AI25" s="3">
        <f>infections!AI25-infections!AH25</f>
        <v>0</v>
      </c>
      <c r="AJ25" s="3">
        <f>infections!AJ25-infections!AI25</f>
        <v>0</v>
      </c>
      <c r="AK25" s="3">
        <f>infections!AK25-infections!AJ25</f>
        <v>0</v>
      </c>
      <c r="AL25" s="3">
        <f>infections!AL25-infections!AK25</f>
        <v>0</v>
      </c>
      <c r="AM25" s="3">
        <f>infections!AM25-infections!AL25</f>
        <v>0</v>
      </c>
      <c r="AN25" s="3">
        <f>infections!AN25-infections!AM25</f>
        <v>0</v>
      </c>
      <c r="AO25" s="3">
        <f>infections!AO25-infections!AN25</f>
        <v>0</v>
      </c>
      <c r="AP25" s="3">
        <f>infections!AP25-infections!AO25</f>
        <v>0</v>
      </c>
      <c r="AQ25" s="3">
        <f>infections!AQ25-infections!AP25</f>
        <v>0</v>
      </c>
      <c r="AR25" s="3">
        <f>infections!AR25-infections!AQ25</f>
        <v>1</v>
      </c>
      <c r="AS25" s="3">
        <f>infections!AS25-infections!AR25</f>
        <v>6</v>
      </c>
      <c r="AT25" s="3">
        <f>infections!AT25-infections!AS25</f>
        <v>5</v>
      </c>
      <c r="AU25" s="3">
        <f>infections!AU25-infections!AT25</f>
        <v>10</v>
      </c>
      <c r="AV25" s="3">
        <f>infections!AV25-infections!AU25</f>
        <v>27</v>
      </c>
      <c r="AW25" s="3">
        <f>infections!AW25-infections!AV25</f>
        <v>59</v>
      </c>
      <c r="AX25" s="3">
        <f>infections!AX25-infections!AW25</f>
        <v>60</v>
      </c>
      <c r="AY25" s="3">
        <f>infections!AY25-infections!AX25</f>
        <v>31</v>
      </c>
      <c r="AZ25" s="3">
        <f>infections!AZ25-infections!AY25</f>
        <v>39</v>
      </c>
      <c r="BA25" s="3">
        <f>infections!BA25-infections!AZ25</f>
        <v>28</v>
      </c>
      <c r="BB25" s="3">
        <f>infections!BB25-infections!BA25</f>
        <v>47</v>
      </c>
      <c r="BC25" s="3">
        <f>infections!BC25-infections!BB25</f>
        <v>0</v>
      </c>
      <c r="BD25" s="3">
        <f>infections!BD25-infections!BC25</f>
        <v>245</v>
      </c>
      <c r="BE25" s="3">
        <f>infections!BE25-infections!BD25</f>
        <v>130</v>
      </c>
      <c r="BF25" s="3">
        <f>infections!BF25-infections!BE25</f>
        <v>197</v>
      </c>
      <c r="BG25" s="3">
        <f>infections!BG25-infections!BF25</f>
        <v>172</v>
      </c>
      <c r="BH25" s="3">
        <f>infections!BH25-infections!BG25</f>
        <v>185</v>
      </c>
      <c r="BI25" s="3">
        <f>infections!BI25-infections!BH25</f>
        <v>243</v>
      </c>
      <c r="BJ25" s="3">
        <f>infections!BJ25-infections!BI25</f>
        <v>309</v>
      </c>
      <c r="BK25" s="3">
        <f>infections!BK25-infections!BJ25</f>
        <v>462</v>
      </c>
      <c r="BL25" s="3">
        <f>infections!BL25-infections!BK25</f>
        <v>558</v>
      </c>
      <c r="BM25" s="3">
        <f>infections!BM25-infections!BL25</f>
        <v>586</v>
      </c>
      <c r="BN25" s="3">
        <f>infections!BN25-infections!BM25</f>
        <v>342</v>
      </c>
      <c r="BO25" s="3">
        <f>infections!BO25-infections!BN25</f>
        <v>526</v>
      </c>
      <c r="BP25" s="3">
        <f>infections!BP25-infections!BO25</f>
        <v>668</v>
      </c>
      <c r="BQ25" s="3">
        <f>infections!BQ25-infections!BP25</f>
        <v>1298</v>
      </c>
      <c r="BR25" s="3">
        <f>infections!BR25-infections!BQ25</f>
        <v>1049</v>
      </c>
      <c r="BS25" s="3">
        <f>infections!BS25-infections!BR25</f>
        <v>1850</v>
      </c>
      <c r="BT25" s="3">
        <f>infections!BT25-infections!BS25</f>
        <v>1702</v>
      </c>
      <c r="BU25" s="3">
        <f>infections!BU25-infections!BT25</f>
        <v>1063</v>
      </c>
      <c r="BV25" s="3">
        <f>infections!BV25-infections!BU25</f>
        <v>876</v>
      </c>
      <c r="BW25" s="3">
        <f>infections!BW25-infections!BV25</f>
        <v>1189</v>
      </c>
      <c r="BX25" s="3">
        <f>infections!BX25-infections!BW25</f>
        <v>1384</v>
      </c>
      <c r="BY25" s="3">
        <f>infections!BY25-infections!BX25</f>
        <v>1422</v>
      </c>
    </row>
    <row r="26">
      <c r="B26" s="1" t="str">
        <f>infections!B26</f>
        <v>Benin</v>
      </c>
      <c r="C26" s="4">
        <f>infections!C26</f>
        <v>9.3077</v>
      </c>
      <c r="D26" s="4">
        <f>infections!D26</f>
        <v>2.3158</v>
      </c>
      <c r="E26" s="4">
        <f>infections!E26</f>
        <v>0</v>
      </c>
      <c r="F26" s="3">
        <f>infections!F26-infections!E26</f>
        <v>0</v>
      </c>
      <c r="G26" s="3">
        <f>infections!G26-infections!F26</f>
        <v>0</v>
      </c>
      <c r="H26" s="3">
        <f>infections!H26-infections!G26</f>
        <v>0</v>
      </c>
      <c r="I26" s="3">
        <f>infections!I26-infections!H26</f>
        <v>0</v>
      </c>
      <c r="J26" s="3">
        <f>infections!J26-infections!I26</f>
        <v>0</v>
      </c>
      <c r="K26" s="3">
        <f>infections!K26-infections!J26</f>
        <v>0</v>
      </c>
      <c r="L26" s="3">
        <f>infections!L26-infections!K26</f>
        <v>0</v>
      </c>
      <c r="M26" s="3">
        <f>infections!M26-infections!L26</f>
        <v>0</v>
      </c>
      <c r="N26" s="3">
        <f>infections!N26-infections!M26</f>
        <v>0</v>
      </c>
      <c r="O26" s="3">
        <f>infections!O26-infections!N26</f>
        <v>0</v>
      </c>
      <c r="P26" s="3">
        <f>infections!P26-infections!O26</f>
        <v>0</v>
      </c>
      <c r="Q26" s="3">
        <f>infections!Q26-infections!P26</f>
        <v>0</v>
      </c>
      <c r="R26" s="3">
        <f>infections!R26-infections!Q26</f>
        <v>0</v>
      </c>
      <c r="S26" s="3">
        <f>infections!S26-infections!R26</f>
        <v>0</v>
      </c>
      <c r="T26" s="3">
        <f>infections!T26-infections!S26</f>
        <v>0</v>
      </c>
      <c r="U26" s="3">
        <f>infections!U26-infections!T26</f>
        <v>0</v>
      </c>
      <c r="V26" s="3">
        <f>infections!V26-infections!U26</f>
        <v>0</v>
      </c>
      <c r="W26" s="3">
        <f>infections!W26-infections!V26</f>
        <v>0</v>
      </c>
      <c r="X26" s="3">
        <f>infections!X26-infections!W26</f>
        <v>0</v>
      </c>
      <c r="Y26" s="3">
        <f>infections!Y26-infections!X26</f>
        <v>0</v>
      </c>
      <c r="Z26" s="3">
        <f>infections!Z26-infections!Y26</f>
        <v>0</v>
      </c>
      <c r="AA26" s="3">
        <f>infections!AA26-infections!Z26</f>
        <v>0</v>
      </c>
      <c r="AB26" s="3">
        <f>infections!AB26-infections!AA26</f>
        <v>0</v>
      </c>
      <c r="AC26" s="3">
        <f>infections!AC26-infections!AB26</f>
        <v>0</v>
      </c>
      <c r="AD26" s="3">
        <f>infections!AD26-infections!AC26</f>
        <v>0</v>
      </c>
      <c r="AE26" s="3">
        <f>infections!AE26-infections!AD26</f>
        <v>0</v>
      </c>
      <c r="AF26" s="3">
        <f>infections!AF26-infections!AE26</f>
        <v>0</v>
      </c>
      <c r="AG26" s="3">
        <f>infections!AG26-infections!AF26</f>
        <v>0</v>
      </c>
      <c r="AH26" s="3">
        <f>infections!AH26-infections!AG26</f>
        <v>0</v>
      </c>
      <c r="AI26" s="3">
        <f>infections!AI26-infections!AH26</f>
        <v>0</v>
      </c>
      <c r="AJ26" s="3">
        <f>infections!AJ26-infections!AI26</f>
        <v>0</v>
      </c>
      <c r="AK26" s="3">
        <f>infections!AK26-infections!AJ26</f>
        <v>0</v>
      </c>
      <c r="AL26" s="3">
        <f>infections!AL26-infections!AK26</f>
        <v>0</v>
      </c>
      <c r="AM26" s="3">
        <f>infections!AM26-infections!AL26</f>
        <v>0</v>
      </c>
      <c r="AN26" s="3">
        <f>infections!AN26-infections!AM26</f>
        <v>0</v>
      </c>
      <c r="AO26" s="3">
        <f>infections!AO26-infections!AN26</f>
        <v>0</v>
      </c>
      <c r="AP26" s="3">
        <f>infections!AP26-infections!AO26</f>
        <v>0</v>
      </c>
      <c r="AQ26" s="3">
        <f>infections!AQ26-infections!AP26</f>
        <v>0</v>
      </c>
      <c r="AR26" s="3">
        <f>infections!AR26-infections!AQ26</f>
        <v>0</v>
      </c>
      <c r="AS26" s="3">
        <f>infections!AS26-infections!AR26</f>
        <v>0</v>
      </c>
      <c r="AT26" s="3">
        <f>infections!AT26-infections!AS26</f>
        <v>0</v>
      </c>
      <c r="AU26" s="3">
        <f>infections!AU26-infections!AT26</f>
        <v>0</v>
      </c>
      <c r="AV26" s="3">
        <f>infections!AV26-infections!AU26</f>
        <v>0</v>
      </c>
      <c r="AW26" s="3">
        <f>infections!AW26-infections!AV26</f>
        <v>0</v>
      </c>
      <c r="AX26" s="3">
        <f>infections!AX26-infections!AW26</f>
        <v>0</v>
      </c>
      <c r="AY26" s="3">
        <f>infections!AY26-infections!AX26</f>
        <v>0</v>
      </c>
      <c r="AZ26" s="3">
        <f>infections!AZ26-infections!AY26</f>
        <v>0</v>
      </c>
      <c r="BA26" s="3">
        <f>infections!BA26-infections!AZ26</f>
        <v>0</v>
      </c>
      <c r="BB26" s="3">
        <f>infections!BB26-infections!BA26</f>
        <v>0</v>
      </c>
      <c r="BC26" s="3">
        <f>infections!BC26-infections!BB26</f>
        <v>0</v>
      </c>
      <c r="BD26" s="3">
        <f>infections!BD26-infections!BC26</f>
        <v>0</v>
      </c>
      <c r="BE26" s="3">
        <f>infections!BE26-infections!BD26</f>
        <v>0</v>
      </c>
      <c r="BF26" s="3">
        <f>infections!BF26-infections!BE26</f>
        <v>0</v>
      </c>
      <c r="BG26" s="3">
        <f>infections!BG26-infections!BF26</f>
        <v>1</v>
      </c>
      <c r="BH26" s="3">
        <f>infections!BH26-infections!BG26</f>
        <v>0</v>
      </c>
      <c r="BI26" s="3">
        <f>infections!BI26-infections!BH26</f>
        <v>1</v>
      </c>
      <c r="BJ26" s="3">
        <f>infections!BJ26-infections!BI26</f>
        <v>0</v>
      </c>
      <c r="BK26" s="3">
        <f>infections!BK26-infections!BJ26</f>
        <v>0</v>
      </c>
      <c r="BL26" s="3">
        <f>infections!BL26-infections!BK26</f>
        <v>0</v>
      </c>
      <c r="BM26" s="3">
        <f>infections!BM26-infections!BL26</f>
        <v>0</v>
      </c>
      <c r="BN26" s="3">
        <f>infections!BN26-infections!BM26</f>
        <v>3</v>
      </c>
      <c r="BO26" s="3">
        <f>infections!BO26-infections!BN26</f>
        <v>1</v>
      </c>
      <c r="BP26" s="3">
        <f>infections!BP26-infections!BO26</f>
        <v>0</v>
      </c>
      <c r="BQ26" s="3">
        <f>infections!BQ26-infections!BP26</f>
        <v>0</v>
      </c>
      <c r="BR26" s="3">
        <f>infections!BR26-infections!BQ26</f>
        <v>0</v>
      </c>
      <c r="BS26" s="3">
        <f>infections!BS26-infections!BR26</f>
        <v>0</v>
      </c>
      <c r="BT26" s="3">
        <f>infections!BT26-infections!BS26</f>
        <v>0</v>
      </c>
      <c r="BU26" s="3">
        <f>infections!BU26-infections!BT26</f>
        <v>0</v>
      </c>
      <c r="BV26" s="3">
        <f>infections!BV26-infections!BU26</f>
        <v>3</v>
      </c>
      <c r="BW26" s="3">
        <f>infections!BW26-infections!BV26</f>
        <v>4</v>
      </c>
      <c r="BX26" s="3">
        <f>infections!BX26-infections!BW26</f>
        <v>0</v>
      </c>
      <c r="BY26" s="3">
        <f>infections!BY26-infections!BX26</f>
        <v>3</v>
      </c>
    </row>
    <row r="27">
      <c r="B27" s="1" t="str">
        <f>infections!B27</f>
        <v>Bhutan</v>
      </c>
      <c r="C27" s="4">
        <f>infections!C27</f>
        <v>27.5142</v>
      </c>
      <c r="D27" s="4">
        <f>infections!D27</f>
        <v>90.4336</v>
      </c>
      <c r="E27" s="4">
        <f>infections!E27</f>
        <v>0</v>
      </c>
      <c r="F27" s="3">
        <f>infections!F27-infections!E27</f>
        <v>0</v>
      </c>
      <c r="G27" s="3">
        <f>infections!G27-infections!F27</f>
        <v>0</v>
      </c>
      <c r="H27" s="3">
        <f>infections!H27-infections!G27</f>
        <v>0</v>
      </c>
      <c r="I27" s="3">
        <f>infections!I27-infections!H27</f>
        <v>0</v>
      </c>
      <c r="J27" s="3">
        <f>infections!J27-infections!I27</f>
        <v>0</v>
      </c>
      <c r="K27" s="3">
        <f>infections!K27-infections!J27</f>
        <v>0</v>
      </c>
      <c r="L27" s="3">
        <f>infections!L27-infections!K27</f>
        <v>0</v>
      </c>
      <c r="M27" s="3">
        <f>infections!M27-infections!L27</f>
        <v>0</v>
      </c>
      <c r="N27" s="3">
        <f>infections!N27-infections!M27</f>
        <v>0</v>
      </c>
      <c r="O27" s="3">
        <f>infections!O27-infections!N27</f>
        <v>0</v>
      </c>
      <c r="P27" s="3">
        <f>infections!P27-infections!O27</f>
        <v>0</v>
      </c>
      <c r="Q27" s="3">
        <f>infections!Q27-infections!P27</f>
        <v>0</v>
      </c>
      <c r="R27" s="3">
        <f>infections!R27-infections!Q27</f>
        <v>0</v>
      </c>
      <c r="S27" s="3">
        <f>infections!S27-infections!R27</f>
        <v>0</v>
      </c>
      <c r="T27" s="3">
        <f>infections!T27-infections!S27</f>
        <v>0</v>
      </c>
      <c r="U27" s="3">
        <f>infections!U27-infections!T27</f>
        <v>0</v>
      </c>
      <c r="V27" s="3">
        <f>infections!V27-infections!U27</f>
        <v>0</v>
      </c>
      <c r="W27" s="3">
        <f>infections!W27-infections!V27</f>
        <v>0</v>
      </c>
      <c r="X27" s="3">
        <f>infections!X27-infections!W27</f>
        <v>0</v>
      </c>
      <c r="Y27" s="3">
        <f>infections!Y27-infections!X27</f>
        <v>0</v>
      </c>
      <c r="Z27" s="3">
        <f>infections!Z27-infections!Y27</f>
        <v>0</v>
      </c>
      <c r="AA27" s="3">
        <f>infections!AA27-infections!Z27</f>
        <v>0</v>
      </c>
      <c r="AB27" s="3">
        <f>infections!AB27-infections!AA27</f>
        <v>0</v>
      </c>
      <c r="AC27" s="3">
        <f>infections!AC27-infections!AB27</f>
        <v>0</v>
      </c>
      <c r="AD27" s="3">
        <f>infections!AD27-infections!AC27</f>
        <v>0</v>
      </c>
      <c r="AE27" s="3">
        <f>infections!AE27-infections!AD27</f>
        <v>0</v>
      </c>
      <c r="AF27" s="3">
        <f>infections!AF27-infections!AE27</f>
        <v>0</v>
      </c>
      <c r="AG27" s="3">
        <f>infections!AG27-infections!AF27</f>
        <v>0</v>
      </c>
      <c r="AH27" s="3">
        <f>infections!AH27-infections!AG27</f>
        <v>0</v>
      </c>
      <c r="AI27" s="3">
        <f>infections!AI27-infections!AH27</f>
        <v>0</v>
      </c>
      <c r="AJ27" s="3">
        <f>infections!AJ27-infections!AI27</f>
        <v>0</v>
      </c>
      <c r="AK27" s="3">
        <f>infections!AK27-infections!AJ27</f>
        <v>0</v>
      </c>
      <c r="AL27" s="3">
        <f>infections!AL27-infections!AK27</f>
        <v>0</v>
      </c>
      <c r="AM27" s="3">
        <f>infections!AM27-infections!AL27</f>
        <v>0</v>
      </c>
      <c r="AN27" s="3">
        <f>infections!AN27-infections!AM27</f>
        <v>0</v>
      </c>
      <c r="AO27" s="3">
        <f>infections!AO27-infections!AN27</f>
        <v>0</v>
      </c>
      <c r="AP27" s="3">
        <f>infections!AP27-infections!AO27</f>
        <v>0</v>
      </c>
      <c r="AQ27" s="3">
        <f>infections!AQ27-infections!AP27</f>
        <v>0</v>
      </c>
      <c r="AR27" s="3">
        <f>infections!AR27-infections!AQ27</f>
        <v>0</v>
      </c>
      <c r="AS27" s="3">
        <f>infections!AS27-infections!AR27</f>
        <v>0</v>
      </c>
      <c r="AT27" s="3">
        <f>infections!AT27-infections!AS27</f>
        <v>0</v>
      </c>
      <c r="AU27" s="3">
        <f>infections!AU27-infections!AT27</f>
        <v>0</v>
      </c>
      <c r="AV27" s="3">
        <f>infections!AV27-infections!AU27</f>
        <v>0</v>
      </c>
      <c r="AW27" s="3">
        <f>infections!AW27-infections!AV27</f>
        <v>1</v>
      </c>
      <c r="AX27" s="3">
        <f>infections!AX27-infections!AW27</f>
        <v>0</v>
      </c>
      <c r="AY27" s="3">
        <f>infections!AY27-infections!AX27</f>
        <v>0</v>
      </c>
      <c r="AZ27" s="3">
        <f>infections!AZ27-infections!AY27</f>
        <v>0</v>
      </c>
      <c r="BA27" s="3">
        <f>infections!BA27-infections!AZ27</f>
        <v>0</v>
      </c>
      <c r="BB27" s="3">
        <f>infections!BB27-infections!BA27</f>
        <v>0</v>
      </c>
      <c r="BC27" s="3">
        <f>infections!BC27-infections!BB27</f>
        <v>0</v>
      </c>
      <c r="BD27" s="3">
        <f>infections!BD27-infections!BC27</f>
        <v>0</v>
      </c>
      <c r="BE27" s="3">
        <f>infections!BE27-infections!BD27</f>
        <v>0</v>
      </c>
      <c r="BF27" s="3">
        <f>infections!BF27-infections!BE27</f>
        <v>0</v>
      </c>
      <c r="BG27" s="3">
        <f>infections!BG27-infections!BF27</f>
        <v>0</v>
      </c>
      <c r="BH27" s="3">
        <f>infections!BH27-infections!BG27</f>
        <v>0</v>
      </c>
      <c r="BI27" s="3">
        <f>infections!BI27-infections!BH27</f>
        <v>0</v>
      </c>
      <c r="BJ27" s="3">
        <f>infections!BJ27-infections!BI27</f>
        <v>0</v>
      </c>
      <c r="BK27" s="3">
        <f>infections!BK27-infections!BJ27</f>
        <v>1</v>
      </c>
      <c r="BL27" s="3">
        <f>infections!BL27-infections!BK27</f>
        <v>0</v>
      </c>
      <c r="BM27" s="3">
        <f>infections!BM27-infections!BL27</f>
        <v>0</v>
      </c>
      <c r="BN27" s="3">
        <f>infections!BN27-infections!BM27</f>
        <v>0</v>
      </c>
      <c r="BO27" s="3">
        <f>infections!BO27-infections!BN27</f>
        <v>0</v>
      </c>
      <c r="BP27" s="3">
        <f>infections!BP27-infections!BO27</f>
        <v>0</v>
      </c>
      <c r="BQ27" s="3">
        <f>infections!BQ27-infections!BP27</f>
        <v>0</v>
      </c>
      <c r="BR27" s="3">
        <f>infections!BR27-infections!BQ27</f>
        <v>1</v>
      </c>
      <c r="BS27" s="3">
        <f>infections!BS27-infections!BR27</f>
        <v>0</v>
      </c>
      <c r="BT27" s="3">
        <f>infections!BT27-infections!BS27</f>
        <v>1</v>
      </c>
      <c r="BU27" s="3">
        <f>infections!BU27-infections!BT27</f>
        <v>0</v>
      </c>
      <c r="BV27" s="3">
        <f>infections!BV27-infections!BU27</f>
        <v>0</v>
      </c>
      <c r="BW27" s="3">
        <f>infections!BW27-infections!BV27</f>
        <v>0</v>
      </c>
      <c r="BX27" s="3">
        <f>infections!BX27-infections!BW27</f>
        <v>1</v>
      </c>
      <c r="BY27" s="3">
        <f>infections!BY27-infections!BX27</f>
        <v>0</v>
      </c>
    </row>
    <row r="28">
      <c r="B28" s="1" t="str">
        <f>infections!B28</f>
        <v>Bolivia</v>
      </c>
      <c r="C28" s="4">
        <f>infections!C28</f>
        <v>-16.2902</v>
      </c>
      <c r="D28" s="4">
        <f>infections!D28</f>
        <v>-63.5887</v>
      </c>
      <c r="E28" s="4">
        <f>infections!E28</f>
        <v>0</v>
      </c>
      <c r="F28" s="3">
        <f>infections!F28-infections!E28</f>
        <v>0</v>
      </c>
      <c r="G28" s="3">
        <f>infections!G28-infections!F28</f>
        <v>0</v>
      </c>
      <c r="H28" s="3">
        <f>infections!H28-infections!G28</f>
        <v>0</v>
      </c>
      <c r="I28" s="3">
        <f>infections!I28-infections!H28</f>
        <v>0</v>
      </c>
      <c r="J28" s="3">
        <f>infections!J28-infections!I28</f>
        <v>0</v>
      </c>
      <c r="K28" s="3">
        <f>infections!K28-infections!J28</f>
        <v>0</v>
      </c>
      <c r="L28" s="3">
        <f>infections!L28-infections!K28</f>
        <v>0</v>
      </c>
      <c r="M28" s="3">
        <f>infections!M28-infections!L28</f>
        <v>0</v>
      </c>
      <c r="N28" s="3">
        <f>infections!N28-infections!M28</f>
        <v>0</v>
      </c>
      <c r="O28" s="3">
        <f>infections!O28-infections!N28</f>
        <v>0</v>
      </c>
      <c r="P28" s="3">
        <f>infections!P28-infections!O28</f>
        <v>0</v>
      </c>
      <c r="Q28" s="3">
        <f>infections!Q28-infections!P28</f>
        <v>0</v>
      </c>
      <c r="R28" s="3">
        <f>infections!R28-infections!Q28</f>
        <v>0</v>
      </c>
      <c r="S28" s="3">
        <f>infections!S28-infections!R28</f>
        <v>0</v>
      </c>
      <c r="T28" s="3">
        <f>infections!T28-infections!S28</f>
        <v>0</v>
      </c>
      <c r="U28" s="3">
        <f>infections!U28-infections!T28</f>
        <v>0</v>
      </c>
      <c r="V28" s="3">
        <f>infections!V28-infections!U28</f>
        <v>0</v>
      </c>
      <c r="W28" s="3">
        <f>infections!W28-infections!V28</f>
        <v>0</v>
      </c>
      <c r="X28" s="3">
        <f>infections!X28-infections!W28</f>
        <v>0</v>
      </c>
      <c r="Y28" s="3">
        <f>infections!Y28-infections!X28</f>
        <v>0</v>
      </c>
      <c r="Z28" s="3">
        <f>infections!Z28-infections!Y28</f>
        <v>0</v>
      </c>
      <c r="AA28" s="3">
        <f>infections!AA28-infections!Z28</f>
        <v>0</v>
      </c>
      <c r="AB28" s="3">
        <f>infections!AB28-infections!AA28</f>
        <v>0</v>
      </c>
      <c r="AC28" s="3">
        <f>infections!AC28-infections!AB28</f>
        <v>0</v>
      </c>
      <c r="AD28" s="3">
        <f>infections!AD28-infections!AC28</f>
        <v>0</v>
      </c>
      <c r="AE28" s="3">
        <f>infections!AE28-infections!AD28</f>
        <v>0</v>
      </c>
      <c r="AF28" s="3">
        <f>infections!AF28-infections!AE28</f>
        <v>0</v>
      </c>
      <c r="AG28" s="3">
        <f>infections!AG28-infections!AF28</f>
        <v>0</v>
      </c>
      <c r="AH28" s="3">
        <f>infections!AH28-infections!AG28</f>
        <v>0</v>
      </c>
      <c r="AI28" s="3">
        <f>infections!AI28-infections!AH28</f>
        <v>0</v>
      </c>
      <c r="AJ28" s="3">
        <f>infections!AJ28-infections!AI28</f>
        <v>0</v>
      </c>
      <c r="AK28" s="3">
        <f>infections!AK28-infections!AJ28</f>
        <v>0</v>
      </c>
      <c r="AL28" s="3">
        <f>infections!AL28-infections!AK28</f>
        <v>0</v>
      </c>
      <c r="AM28" s="3">
        <f>infections!AM28-infections!AL28</f>
        <v>0</v>
      </c>
      <c r="AN28" s="3">
        <f>infections!AN28-infections!AM28</f>
        <v>0</v>
      </c>
      <c r="AO28" s="3">
        <f>infections!AO28-infections!AN28</f>
        <v>0</v>
      </c>
      <c r="AP28" s="3">
        <f>infections!AP28-infections!AO28</f>
        <v>0</v>
      </c>
      <c r="AQ28" s="3">
        <f>infections!AQ28-infections!AP28</f>
        <v>0</v>
      </c>
      <c r="AR28" s="3">
        <f>infections!AR28-infections!AQ28</f>
        <v>0</v>
      </c>
      <c r="AS28" s="3">
        <f>infections!AS28-infections!AR28</f>
        <v>0</v>
      </c>
      <c r="AT28" s="3">
        <f>infections!AT28-infections!AS28</f>
        <v>0</v>
      </c>
      <c r="AU28" s="3">
        <f>infections!AU28-infections!AT28</f>
        <v>0</v>
      </c>
      <c r="AV28" s="3">
        <f>infections!AV28-infections!AU28</f>
        <v>0</v>
      </c>
      <c r="AW28" s="3">
        <f>infections!AW28-infections!AV28</f>
        <v>0</v>
      </c>
      <c r="AX28" s="3">
        <f>infections!AX28-infections!AW28</f>
        <v>0</v>
      </c>
      <c r="AY28" s="3">
        <f>infections!AY28-infections!AX28</f>
        <v>0</v>
      </c>
      <c r="AZ28" s="3">
        <f>infections!AZ28-infections!AY28</f>
        <v>0</v>
      </c>
      <c r="BA28" s="3">
        <f>infections!BA28-infections!AZ28</f>
        <v>0</v>
      </c>
      <c r="BB28" s="3">
        <f>infections!BB28-infections!BA28</f>
        <v>2</v>
      </c>
      <c r="BC28" s="3">
        <f>infections!BC28-infections!BB28</f>
        <v>0</v>
      </c>
      <c r="BD28" s="3">
        <f>infections!BD28-infections!BC28</f>
        <v>1</v>
      </c>
      <c r="BE28" s="3">
        <f>infections!BE28-infections!BD28</f>
        <v>7</v>
      </c>
      <c r="BF28" s="3">
        <f>infections!BF28-infections!BE28</f>
        <v>0</v>
      </c>
      <c r="BG28" s="3">
        <f>infections!BG28-infections!BF28</f>
        <v>1</v>
      </c>
      <c r="BH28" s="3">
        <f>infections!BH28-infections!BG28</f>
        <v>0</v>
      </c>
      <c r="BI28" s="3">
        <f>infections!BI28-infections!BH28</f>
        <v>1</v>
      </c>
      <c r="BJ28" s="3">
        <f>infections!BJ28-infections!BI28</f>
        <v>0</v>
      </c>
      <c r="BK28" s="3">
        <f>infections!BK28-infections!BJ28</f>
        <v>3</v>
      </c>
      <c r="BL28" s="3">
        <f>infections!BL28-infections!BK28</f>
        <v>4</v>
      </c>
      <c r="BM28" s="3">
        <f>infections!BM28-infections!BL28</f>
        <v>5</v>
      </c>
      <c r="BN28" s="3">
        <f>infections!BN28-infections!BM28</f>
        <v>3</v>
      </c>
      <c r="BO28" s="3">
        <f>infections!BO28-infections!BN28</f>
        <v>2</v>
      </c>
      <c r="BP28" s="3">
        <f>infections!BP28-infections!BO28</f>
        <v>3</v>
      </c>
      <c r="BQ28" s="3">
        <f>infections!BQ28-infections!BP28</f>
        <v>11</v>
      </c>
      <c r="BR28" s="3">
        <f>infections!BR28-infections!BQ28</f>
        <v>18</v>
      </c>
      <c r="BS28" s="3">
        <f>infections!BS28-infections!BR28</f>
        <v>13</v>
      </c>
      <c r="BT28" s="3">
        <f>infections!BT28-infections!BS28</f>
        <v>7</v>
      </c>
      <c r="BU28" s="3">
        <f>infections!BU28-infections!BT28</f>
        <v>16</v>
      </c>
      <c r="BV28" s="3">
        <f>infections!BV28-infections!BU28</f>
        <v>10</v>
      </c>
      <c r="BW28" s="3">
        <f>infections!BW28-infections!BV28</f>
        <v>8</v>
      </c>
      <c r="BX28" s="3">
        <f>infections!BX28-infections!BW28</f>
        <v>8</v>
      </c>
      <c r="BY28" s="3">
        <f>infections!BY28-infections!BX28</f>
        <v>9</v>
      </c>
    </row>
    <row r="29">
      <c r="B29" s="1" t="str">
        <f>infections!B29</f>
        <v>Bosnia and Herzegovina</v>
      </c>
      <c r="C29" s="4">
        <f>infections!C29</f>
        <v>43.9159</v>
      </c>
      <c r="D29" s="4">
        <f>infections!D29</f>
        <v>17.6791</v>
      </c>
      <c r="E29" s="4">
        <f>infections!E29</f>
        <v>0</v>
      </c>
      <c r="F29" s="3">
        <f>infections!F29-infections!E29</f>
        <v>0</v>
      </c>
      <c r="G29" s="3">
        <f>infections!G29-infections!F29</f>
        <v>0</v>
      </c>
      <c r="H29" s="3">
        <f>infections!H29-infections!G29</f>
        <v>0</v>
      </c>
      <c r="I29" s="3">
        <f>infections!I29-infections!H29</f>
        <v>0</v>
      </c>
      <c r="J29" s="3">
        <f>infections!J29-infections!I29</f>
        <v>0</v>
      </c>
      <c r="K29" s="3">
        <f>infections!K29-infections!J29</f>
        <v>0</v>
      </c>
      <c r="L29" s="3">
        <f>infections!L29-infections!K29</f>
        <v>0</v>
      </c>
      <c r="M29" s="3">
        <f>infections!M29-infections!L29</f>
        <v>0</v>
      </c>
      <c r="N29" s="3">
        <f>infections!N29-infections!M29</f>
        <v>0</v>
      </c>
      <c r="O29" s="3">
        <f>infections!O29-infections!N29</f>
        <v>0</v>
      </c>
      <c r="P29" s="3">
        <f>infections!P29-infections!O29</f>
        <v>0</v>
      </c>
      <c r="Q29" s="3">
        <f>infections!Q29-infections!P29</f>
        <v>0</v>
      </c>
      <c r="R29" s="3">
        <f>infections!R29-infections!Q29</f>
        <v>0</v>
      </c>
      <c r="S29" s="3">
        <f>infections!S29-infections!R29</f>
        <v>0</v>
      </c>
      <c r="T29" s="3">
        <f>infections!T29-infections!S29</f>
        <v>0</v>
      </c>
      <c r="U29" s="3">
        <f>infections!U29-infections!T29</f>
        <v>0</v>
      </c>
      <c r="V29" s="3">
        <f>infections!V29-infections!U29</f>
        <v>0</v>
      </c>
      <c r="W29" s="3">
        <f>infections!W29-infections!V29</f>
        <v>0</v>
      </c>
      <c r="X29" s="3">
        <f>infections!X29-infections!W29</f>
        <v>0</v>
      </c>
      <c r="Y29" s="3">
        <f>infections!Y29-infections!X29</f>
        <v>0</v>
      </c>
      <c r="Z29" s="3">
        <f>infections!Z29-infections!Y29</f>
        <v>0</v>
      </c>
      <c r="AA29" s="3">
        <f>infections!AA29-infections!Z29</f>
        <v>0</v>
      </c>
      <c r="AB29" s="3">
        <f>infections!AB29-infections!AA29</f>
        <v>0</v>
      </c>
      <c r="AC29" s="3">
        <f>infections!AC29-infections!AB29</f>
        <v>0</v>
      </c>
      <c r="AD29" s="3">
        <f>infections!AD29-infections!AC29</f>
        <v>0</v>
      </c>
      <c r="AE29" s="3">
        <f>infections!AE29-infections!AD29</f>
        <v>0</v>
      </c>
      <c r="AF29" s="3">
        <f>infections!AF29-infections!AE29</f>
        <v>0</v>
      </c>
      <c r="AG29" s="3">
        <f>infections!AG29-infections!AF29</f>
        <v>0</v>
      </c>
      <c r="AH29" s="3">
        <f>infections!AH29-infections!AG29</f>
        <v>0</v>
      </c>
      <c r="AI29" s="3">
        <f>infections!AI29-infections!AH29</f>
        <v>0</v>
      </c>
      <c r="AJ29" s="3">
        <f>infections!AJ29-infections!AI29</f>
        <v>0</v>
      </c>
      <c r="AK29" s="3">
        <f>infections!AK29-infections!AJ29</f>
        <v>0</v>
      </c>
      <c r="AL29" s="3">
        <f>infections!AL29-infections!AK29</f>
        <v>0</v>
      </c>
      <c r="AM29" s="3">
        <f>infections!AM29-infections!AL29</f>
        <v>0</v>
      </c>
      <c r="AN29" s="3">
        <f>infections!AN29-infections!AM29</f>
        <v>0</v>
      </c>
      <c r="AO29" s="3">
        <f>infections!AO29-infections!AN29</f>
        <v>0</v>
      </c>
      <c r="AP29" s="3">
        <f>infections!AP29-infections!AO29</f>
        <v>0</v>
      </c>
      <c r="AQ29" s="3">
        <f>infections!AQ29-infections!AP29</f>
        <v>0</v>
      </c>
      <c r="AR29" s="3">
        <f>infections!AR29-infections!AQ29</f>
        <v>0</v>
      </c>
      <c r="AS29" s="3">
        <f>infections!AS29-infections!AR29</f>
        <v>0</v>
      </c>
      <c r="AT29" s="3">
        <f>infections!AT29-infections!AS29</f>
        <v>0</v>
      </c>
      <c r="AU29" s="3">
        <f>infections!AU29-infections!AT29</f>
        <v>0</v>
      </c>
      <c r="AV29" s="3">
        <f>infections!AV29-infections!AU29</f>
        <v>2</v>
      </c>
      <c r="AW29" s="3">
        <f>infections!AW29-infections!AV29</f>
        <v>0</v>
      </c>
      <c r="AX29" s="3">
        <f>infections!AX29-infections!AW29</f>
        <v>1</v>
      </c>
      <c r="AY29" s="3">
        <f>infections!AY29-infections!AX29</f>
        <v>0</v>
      </c>
      <c r="AZ29" s="3">
        <f>infections!AZ29-infections!AY29</f>
        <v>0</v>
      </c>
      <c r="BA29" s="3">
        <f>infections!BA29-infections!AZ29</f>
        <v>2</v>
      </c>
      <c r="BB29" s="3">
        <f>infections!BB29-infections!BA29</f>
        <v>2</v>
      </c>
      <c r="BC29" s="3">
        <f>infections!BC29-infections!BB29</f>
        <v>4</v>
      </c>
      <c r="BD29" s="3">
        <f>infections!BD29-infections!BC29</f>
        <v>2</v>
      </c>
      <c r="BE29" s="3">
        <f>infections!BE29-infections!BD29</f>
        <v>5</v>
      </c>
      <c r="BF29" s="3">
        <f>infections!BF29-infections!BE29</f>
        <v>6</v>
      </c>
      <c r="BG29" s="3">
        <f>infections!BG29-infections!BF29</f>
        <v>1</v>
      </c>
      <c r="BH29" s="3">
        <f>infections!BH29-infections!BG29</f>
        <v>1</v>
      </c>
      <c r="BI29" s="3">
        <f>infections!BI29-infections!BH29</f>
        <v>12</v>
      </c>
      <c r="BJ29" s="3">
        <f>infections!BJ29-infections!BI29</f>
        <v>25</v>
      </c>
      <c r="BK29" s="3">
        <f>infections!BK29-infections!BJ29</f>
        <v>26</v>
      </c>
      <c r="BL29" s="3">
        <f>infections!BL29-infections!BK29</f>
        <v>4</v>
      </c>
      <c r="BM29" s="3">
        <f>infections!BM29-infections!BL29</f>
        <v>33</v>
      </c>
      <c r="BN29" s="3">
        <f>infections!BN29-infections!BM29</f>
        <v>10</v>
      </c>
      <c r="BO29" s="3">
        <f>infections!BO29-infections!BN29</f>
        <v>30</v>
      </c>
      <c r="BP29" s="3">
        <f>infections!BP29-infections!BO29</f>
        <v>10</v>
      </c>
      <c r="BQ29" s="3">
        <f>infections!BQ29-infections!BP29</f>
        <v>15</v>
      </c>
      <c r="BR29" s="3">
        <f>infections!BR29-infections!BQ29</f>
        <v>46</v>
      </c>
      <c r="BS29" s="3">
        <f>infections!BS29-infections!BR29</f>
        <v>21</v>
      </c>
      <c r="BT29" s="3">
        <f>infections!BT29-infections!BS29</f>
        <v>65</v>
      </c>
      <c r="BU29" s="3">
        <f>infections!BU29-infections!BT29</f>
        <v>45</v>
      </c>
      <c r="BV29" s="3">
        <f>infections!BV29-infections!BU29</f>
        <v>52</v>
      </c>
      <c r="BW29" s="3">
        <f>infections!BW29-infections!BV29</f>
        <v>39</v>
      </c>
      <c r="BX29" s="3">
        <f>infections!BX29-infections!BW29</f>
        <v>74</v>
      </c>
      <c r="BY29" s="3">
        <f>infections!BY29-infections!BX29</f>
        <v>46</v>
      </c>
    </row>
    <row r="30">
      <c r="B30" s="1" t="str">
        <f>infections!B30</f>
        <v>Brazil</v>
      </c>
      <c r="C30" s="4">
        <f>infections!C30</f>
        <v>-14.235</v>
      </c>
      <c r="D30" s="4">
        <f>infections!D30</f>
        <v>-51.9253</v>
      </c>
      <c r="E30" s="4">
        <f>infections!E30</f>
        <v>0</v>
      </c>
      <c r="F30" s="3">
        <f>infections!F30-infections!E30</f>
        <v>0</v>
      </c>
      <c r="G30" s="3">
        <f>infections!G30-infections!F30</f>
        <v>0</v>
      </c>
      <c r="H30" s="3">
        <f>infections!H30-infections!G30</f>
        <v>0</v>
      </c>
      <c r="I30" s="3">
        <f>infections!I30-infections!H30</f>
        <v>0</v>
      </c>
      <c r="J30" s="3">
        <f>infections!J30-infections!I30</f>
        <v>0</v>
      </c>
      <c r="K30" s="3">
        <f>infections!K30-infections!J30</f>
        <v>0</v>
      </c>
      <c r="L30" s="3">
        <f>infections!L30-infections!K30</f>
        <v>0</v>
      </c>
      <c r="M30" s="3">
        <f>infections!M30-infections!L30</f>
        <v>0</v>
      </c>
      <c r="N30" s="3">
        <f>infections!N30-infections!M30</f>
        <v>0</v>
      </c>
      <c r="O30" s="3">
        <f>infections!O30-infections!N30</f>
        <v>0</v>
      </c>
      <c r="P30" s="3">
        <f>infections!P30-infections!O30</f>
        <v>0</v>
      </c>
      <c r="Q30" s="3">
        <f>infections!Q30-infections!P30</f>
        <v>0</v>
      </c>
      <c r="R30" s="3">
        <f>infections!R30-infections!Q30</f>
        <v>0</v>
      </c>
      <c r="S30" s="3">
        <f>infections!S30-infections!R30</f>
        <v>0</v>
      </c>
      <c r="T30" s="3">
        <f>infections!T30-infections!S30</f>
        <v>0</v>
      </c>
      <c r="U30" s="3">
        <f>infections!U30-infections!T30</f>
        <v>0</v>
      </c>
      <c r="V30" s="3">
        <f>infections!V30-infections!U30</f>
        <v>0</v>
      </c>
      <c r="W30" s="3">
        <f>infections!W30-infections!V30</f>
        <v>0</v>
      </c>
      <c r="X30" s="3">
        <f>infections!X30-infections!W30</f>
        <v>0</v>
      </c>
      <c r="Y30" s="3">
        <f>infections!Y30-infections!X30</f>
        <v>0</v>
      </c>
      <c r="Z30" s="3">
        <f>infections!Z30-infections!Y30</f>
        <v>0</v>
      </c>
      <c r="AA30" s="3">
        <f>infections!AA30-infections!Z30</f>
        <v>0</v>
      </c>
      <c r="AB30" s="3">
        <f>infections!AB30-infections!AA30</f>
        <v>0</v>
      </c>
      <c r="AC30" s="3">
        <f>infections!AC30-infections!AB30</f>
        <v>0</v>
      </c>
      <c r="AD30" s="3">
        <f>infections!AD30-infections!AC30</f>
        <v>0</v>
      </c>
      <c r="AE30" s="3">
        <f>infections!AE30-infections!AD30</f>
        <v>0</v>
      </c>
      <c r="AF30" s="3">
        <f>infections!AF30-infections!AE30</f>
        <v>0</v>
      </c>
      <c r="AG30" s="3">
        <f>infections!AG30-infections!AF30</f>
        <v>0</v>
      </c>
      <c r="AH30" s="3">
        <f>infections!AH30-infections!AG30</f>
        <v>0</v>
      </c>
      <c r="AI30" s="3">
        <f>infections!AI30-infections!AH30</f>
        <v>0</v>
      </c>
      <c r="AJ30" s="3">
        <f>infections!AJ30-infections!AI30</f>
        <v>0</v>
      </c>
      <c r="AK30" s="3">
        <f>infections!AK30-infections!AJ30</f>
        <v>0</v>
      </c>
      <c r="AL30" s="3">
        <f>infections!AL30-infections!AK30</f>
        <v>0</v>
      </c>
      <c r="AM30" s="3">
        <f>infections!AM30-infections!AL30</f>
        <v>0</v>
      </c>
      <c r="AN30" s="3">
        <f>infections!AN30-infections!AM30</f>
        <v>1</v>
      </c>
      <c r="AO30" s="3">
        <f>infections!AO30-infections!AN30</f>
        <v>0</v>
      </c>
      <c r="AP30" s="3">
        <f>infections!AP30-infections!AO30</f>
        <v>0</v>
      </c>
      <c r="AQ30" s="3">
        <f>infections!AQ30-infections!AP30</f>
        <v>1</v>
      </c>
      <c r="AR30" s="3">
        <f>infections!AR30-infections!AQ30</f>
        <v>0</v>
      </c>
      <c r="AS30" s="3">
        <f>infections!AS30-infections!AR30</f>
        <v>0</v>
      </c>
      <c r="AT30" s="3">
        <f>infections!AT30-infections!AS30</f>
        <v>0</v>
      </c>
      <c r="AU30" s="3">
        <f>infections!AU30-infections!AT30</f>
        <v>2</v>
      </c>
      <c r="AV30" s="3">
        <f>infections!AV30-infections!AU30</f>
        <v>0</v>
      </c>
      <c r="AW30" s="3">
        <f>infections!AW30-infections!AV30</f>
        <v>9</v>
      </c>
      <c r="AX30" s="3">
        <f>infections!AX30-infections!AW30</f>
        <v>0</v>
      </c>
      <c r="AY30" s="3">
        <f>infections!AY30-infections!AX30</f>
        <v>7</v>
      </c>
      <c r="AZ30" s="3">
        <f>infections!AZ30-infections!AY30</f>
        <v>5</v>
      </c>
      <c r="BA30" s="3">
        <f>infections!BA30-infections!AZ30</f>
        <v>6</v>
      </c>
      <c r="BB30" s="3">
        <f>infections!BB30-infections!BA30</f>
        <v>7</v>
      </c>
      <c r="BC30" s="3">
        <f>infections!BC30-infections!BB30</f>
        <v>14</v>
      </c>
      <c r="BD30" s="3">
        <f>infections!BD30-infections!BC30</f>
        <v>99</v>
      </c>
      <c r="BE30" s="3">
        <f>infections!BE30-infections!BD30</f>
        <v>0</v>
      </c>
      <c r="BF30" s="3">
        <f>infections!BF30-infections!BE30</f>
        <v>11</v>
      </c>
      <c r="BG30" s="3">
        <f>infections!BG30-infections!BF30</f>
        <v>38</v>
      </c>
      <c r="BH30" s="3">
        <f>infections!BH30-infections!BG30</f>
        <v>121</v>
      </c>
      <c r="BI30" s="3">
        <f>infections!BI30-infections!BH30</f>
        <v>51</v>
      </c>
      <c r="BJ30" s="3">
        <f>infections!BJ30-infections!BI30</f>
        <v>249</v>
      </c>
      <c r="BK30" s="3">
        <f>infections!BK30-infections!BJ30</f>
        <v>172</v>
      </c>
      <c r="BL30" s="3">
        <f>infections!BL30-infections!BK30</f>
        <v>228</v>
      </c>
      <c r="BM30" s="3">
        <f>infections!BM30-infections!BL30</f>
        <v>525</v>
      </c>
      <c r="BN30" s="3">
        <f>infections!BN30-infections!BM30</f>
        <v>378</v>
      </c>
      <c r="BO30" s="3">
        <f>infections!BO30-infections!BN30</f>
        <v>323</v>
      </c>
      <c r="BP30" s="3">
        <f>infections!BP30-infections!BO30</f>
        <v>307</v>
      </c>
      <c r="BQ30" s="3">
        <f>infections!BQ30-infections!BP30</f>
        <v>431</v>
      </c>
      <c r="BR30" s="3">
        <f>infections!BR30-infections!BQ30</f>
        <v>432</v>
      </c>
      <c r="BS30" s="3">
        <f>infections!BS30-infections!BR30</f>
        <v>487</v>
      </c>
      <c r="BT30" s="3">
        <f>infections!BT30-infections!BS30</f>
        <v>352</v>
      </c>
      <c r="BU30" s="3">
        <f>infections!BU30-infections!BT30</f>
        <v>323</v>
      </c>
      <c r="BV30" s="3">
        <f>infections!BV30-infections!BU30</f>
        <v>1138</v>
      </c>
      <c r="BW30" s="3">
        <f>infections!BW30-infections!BV30</f>
        <v>1119</v>
      </c>
      <c r="BX30" s="3">
        <f>infections!BX30-infections!BW30</f>
        <v>1208</v>
      </c>
      <c r="BY30" s="3">
        <f>infections!BY30-infections!BX30</f>
        <v>1012</v>
      </c>
    </row>
    <row r="31">
      <c r="B31" s="1" t="str">
        <f>infections!B31</f>
        <v>Brunei</v>
      </c>
      <c r="C31" s="4">
        <f>infections!C31</f>
        <v>4.5353</v>
      </c>
      <c r="D31" s="4">
        <f>infections!D31</f>
        <v>114.7277</v>
      </c>
      <c r="E31" s="4">
        <f>infections!E31</f>
        <v>0</v>
      </c>
      <c r="F31" s="3">
        <f>infections!F31-infections!E31</f>
        <v>0</v>
      </c>
      <c r="G31" s="3">
        <f>infections!G31-infections!F31</f>
        <v>0</v>
      </c>
      <c r="H31" s="3">
        <f>infections!H31-infections!G31</f>
        <v>0</v>
      </c>
      <c r="I31" s="3">
        <f>infections!I31-infections!H31</f>
        <v>0</v>
      </c>
      <c r="J31" s="3">
        <f>infections!J31-infections!I31</f>
        <v>0</v>
      </c>
      <c r="K31" s="3">
        <f>infections!K31-infections!J31</f>
        <v>0</v>
      </c>
      <c r="L31" s="3">
        <f>infections!L31-infections!K31</f>
        <v>0</v>
      </c>
      <c r="M31" s="3">
        <f>infections!M31-infections!L31</f>
        <v>0</v>
      </c>
      <c r="N31" s="3">
        <f>infections!N31-infections!M31</f>
        <v>0</v>
      </c>
      <c r="O31" s="3">
        <f>infections!O31-infections!N31</f>
        <v>0</v>
      </c>
      <c r="P31" s="3">
        <f>infections!P31-infections!O31</f>
        <v>0</v>
      </c>
      <c r="Q31" s="3">
        <f>infections!Q31-infections!P31</f>
        <v>0</v>
      </c>
      <c r="R31" s="3">
        <f>infections!R31-infections!Q31</f>
        <v>0</v>
      </c>
      <c r="S31" s="3">
        <f>infections!S31-infections!R31</f>
        <v>0</v>
      </c>
      <c r="T31" s="3">
        <f>infections!T31-infections!S31</f>
        <v>0</v>
      </c>
      <c r="U31" s="3">
        <f>infections!U31-infections!T31</f>
        <v>0</v>
      </c>
      <c r="V31" s="3">
        <f>infections!V31-infections!U31</f>
        <v>0</v>
      </c>
      <c r="W31" s="3">
        <f>infections!W31-infections!V31</f>
        <v>0</v>
      </c>
      <c r="X31" s="3">
        <f>infections!X31-infections!W31</f>
        <v>0</v>
      </c>
      <c r="Y31" s="3">
        <f>infections!Y31-infections!X31</f>
        <v>0</v>
      </c>
      <c r="Z31" s="3">
        <f>infections!Z31-infections!Y31</f>
        <v>0</v>
      </c>
      <c r="AA31" s="3">
        <f>infections!AA31-infections!Z31</f>
        <v>0</v>
      </c>
      <c r="AB31" s="3">
        <f>infections!AB31-infections!AA31</f>
        <v>0</v>
      </c>
      <c r="AC31" s="3">
        <f>infections!AC31-infections!AB31</f>
        <v>0</v>
      </c>
      <c r="AD31" s="3">
        <f>infections!AD31-infections!AC31</f>
        <v>0</v>
      </c>
      <c r="AE31" s="3">
        <f>infections!AE31-infections!AD31</f>
        <v>0</v>
      </c>
      <c r="AF31" s="3">
        <f>infections!AF31-infections!AE31</f>
        <v>0</v>
      </c>
      <c r="AG31" s="3">
        <f>infections!AG31-infections!AF31</f>
        <v>0</v>
      </c>
      <c r="AH31" s="3">
        <f>infections!AH31-infections!AG31</f>
        <v>0</v>
      </c>
      <c r="AI31" s="3">
        <f>infections!AI31-infections!AH31</f>
        <v>0</v>
      </c>
      <c r="AJ31" s="3">
        <f>infections!AJ31-infections!AI31</f>
        <v>0</v>
      </c>
      <c r="AK31" s="3">
        <f>infections!AK31-infections!AJ31</f>
        <v>0</v>
      </c>
      <c r="AL31" s="3">
        <f>infections!AL31-infections!AK31</f>
        <v>0</v>
      </c>
      <c r="AM31" s="3">
        <f>infections!AM31-infections!AL31</f>
        <v>0</v>
      </c>
      <c r="AN31" s="3">
        <f>infections!AN31-infections!AM31</f>
        <v>0</v>
      </c>
      <c r="AO31" s="3">
        <f>infections!AO31-infections!AN31</f>
        <v>0</v>
      </c>
      <c r="AP31" s="3">
        <f>infections!AP31-infections!AO31</f>
        <v>0</v>
      </c>
      <c r="AQ31" s="3">
        <f>infections!AQ31-infections!AP31</f>
        <v>0</v>
      </c>
      <c r="AR31" s="3">
        <f>infections!AR31-infections!AQ31</f>
        <v>0</v>
      </c>
      <c r="AS31" s="3">
        <f>infections!AS31-infections!AR31</f>
        <v>0</v>
      </c>
      <c r="AT31" s="3">
        <f>infections!AT31-infections!AS31</f>
        <v>0</v>
      </c>
      <c r="AU31" s="3">
        <f>infections!AU31-infections!AT31</f>
        <v>0</v>
      </c>
      <c r="AV31" s="3">
        <f>infections!AV31-infections!AU31</f>
        <v>0</v>
      </c>
      <c r="AW31" s="3">
        <f>infections!AW31-infections!AV31</f>
        <v>0</v>
      </c>
      <c r="AX31" s="3">
        <f>infections!AX31-infections!AW31</f>
        <v>0</v>
      </c>
      <c r="AY31" s="3">
        <f>infections!AY31-infections!AX31</f>
        <v>0</v>
      </c>
      <c r="AZ31" s="3">
        <f>infections!AZ31-infections!AY31</f>
        <v>1</v>
      </c>
      <c r="BA31" s="3">
        <f>infections!BA31-infections!AZ31</f>
        <v>0</v>
      </c>
      <c r="BB31" s="3">
        <f>infections!BB31-infections!BA31</f>
        <v>10</v>
      </c>
      <c r="BC31" s="3">
        <f>infections!BC31-infections!BB31</f>
        <v>0</v>
      </c>
      <c r="BD31" s="3">
        <f>infections!BD31-infections!BC31</f>
        <v>26</v>
      </c>
      <c r="BE31" s="3">
        <f>infections!BE31-infections!BD31</f>
        <v>3</v>
      </c>
      <c r="BF31" s="3">
        <f>infections!BF31-infections!BE31</f>
        <v>10</v>
      </c>
      <c r="BG31" s="3">
        <f>infections!BG31-infections!BF31</f>
        <v>4</v>
      </c>
      <c r="BH31" s="3">
        <f>infections!BH31-infections!BG31</f>
        <v>2</v>
      </c>
      <c r="BI31" s="3">
        <f>infections!BI31-infections!BH31</f>
        <v>12</v>
      </c>
      <c r="BJ31" s="3">
        <f>infections!BJ31-infections!BI31</f>
        <v>7</v>
      </c>
      <c r="BK31" s="3">
        <f>infections!BK31-infections!BJ31</f>
        <v>3</v>
      </c>
      <c r="BL31" s="3">
        <f>infections!BL31-infections!BK31</f>
        <v>5</v>
      </c>
      <c r="BM31" s="3">
        <f>infections!BM31-infections!BL31</f>
        <v>5</v>
      </c>
      <c r="BN31" s="3">
        <f>infections!BN31-infections!BM31</f>
        <v>3</v>
      </c>
      <c r="BO31" s="3">
        <f>infections!BO31-infections!BN31</f>
        <v>13</v>
      </c>
      <c r="BP31" s="3">
        <f>infections!BP31-infections!BO31</f>
        <v>5</v>
      </c>
      <c r="BQ31" s="3">
        <f>infections!BQ31-infections!BP31</f>
        <v>5</v>
      </c>
      <c r="BR31" s="3">
        <f>infections!BR31-infections!BQ31</f>
        <v>1</v>
      </c>
      <c r="BS31" s="3">
        <f>infections!BS31-infections!BR31</f>
        <v>5</v>
      </c>
      <c r="BT31" s="3">
        <f>infections!BT31-infections!BS31</f>
        <v>6</v>
      </c>
      <c r="BU31" s="3">
        <f>infections!BU31-infections!BT31</f>
        <v>1</v>
      </c>
      <c r="BV31" s="3">
        <f>infections!BV31-infections!BU31</f>
        <v>2</v>
      </c>
      <c r="BW31" s="3">
        <f>infections!BW31-infections!BV31</f>
        <v>2</v>
      </c>
      <c r="BX31" s="3">
        <f>infections!BX31-infections!BW31</f>
        <v>2</v>
      </c>
      <c r="BY31" s="3">
        <f>infections!BY31-infections!BX31</f>
        <v>1</v>
      </c>
    </row>
    <row r="32">
      <c r="B32" s="1" t="str">
        <f>infections!B32</f>
        <v>Bulgaria</v>
      </c>
      <c r="C32" s="4">
        <f>infections!C32</f>
        <v>42.7339</v>
      </c>
      <c r="D32" s="4">
        <f>infections!D32</f>
        <v>25.4858</v>
      </c>
      <c r="E32" s="4">
        <f>infections!E32</f>
        <v>0</v>
      </c>
      <c r="F32" s="3">
        <f>infections!F32-infections!E32</f>
        <v>0</v>
      </c>
      <c r="G32" s="3">
        <f>infections!G32-infections!F32</f>
        <v>0</v>
      </c>
      <c r="H32" s="3">
        <f>infections!H32-infections!G32</f>
        <v>0</v>
      </c>
      <c r="I32" s="3">
        <f>infections!I32-infections!H32</f>
        <v>0</v>
      </c>
      <c r="J32" s="3">
        <f>infections!J32-infections!I32</f>
        <v>0</v>
      </c>
      <c r="K32" s="3">
        <f>infections!K32-infections!J32</f>
        <v>0</v>
      </c>
      <c r="L32" s="3">
        <f>infections!L32-infections!K32</f>
        <v>0</v>
      </c>
      <c r="M32" s="3">
        <f>infections!M32-infections!L32</f>
        <v>0</v>
      </c>
      <c r="N32" s="3">
        <f>infections!N32-infections!M32</f>
        <v>0</v>
      </c>
      <c r="O32" s="3">
        <f>infections!O32-infections!N32</f>
        <v>0</v>
      </c>
      <c r="P32" s="3">
        <f>infections!P32-infections!O32</f>
        <v>0</v>
      </c>
      <c r="Q32" s="3">
        <f>infections!Q32-infections!P32</f>
        <v>0</v>
      </c>
      <c r="R32" s="3">
        <f>infections!R32-infections!Q32</f>
        <v>0</v>
      </c>
      <c r="S32" s="3">
        <f>infections!S32-infections!R32</f>
        <v>0</v>
      </c>
      <c r="T32" s="3">
        <f>infections!T32-infections!S32</f>
        <v>0</v>
      </c>
      <c r="U32" s="3">
        <f>infections!U32-infections!T32</f>
        <v>0</v>
      </c>
      <c r="V32" s="3">
        <f>infections!V32-infections!U32</f>
        <v>0</v>
      </c>
      <c r="W32" s="3">
        <f>infections!W32-infections!V32</f>
        <v>0</v>
      </c>
      <c r="X32" s="3">
        <f>infections!X32-infections!W32</f>
        <v>0</v>
      </c>
      <c r="Y32" s="3">
        <f>infections!Y32-infections!X32</f>
        <v>0</v>
      </c>
      <c r="Z32" s="3">
        <f>infections!Z32-infections!Y32</f>
        <v>0</v>
      </c>
      <c r="AA32" s="3">
        <f>infections!AA32-infections!Z32</f>
        <v>0</v>
      </c>
      <c r="AB32" s="3">
        <f>infections!AB32-infections!AA32</f>
        <v>0</v>
      </c>
      <c r="AC32" s="3">
        <f>infections!AC32-infections!AB32</f>
        <v>0</v>
      </c>
      <c r="AD32" s="3">
        <f>infections!AD32-infections!AC32</f>
        <v>0</v>
      </c>
      <c r="AE32" s="3">
        <f>infections!AE32-infections!AD32</f>
        <v>0</v>
      </c>
      <c r="AF32" s="3">
        <f>infections!AF32-infections!AE32</f>
        <v>0</v>
      </c>
      <c r="AG32" s="3">
        <f>infections!AG32-infections!AF32</f>
        <v>0</v>
      </c>
      <c r="AH32" s="3">
        <f>infections!AH32-infections!AG32</f>
        <v>0</v>
      </c>
      <c r="AI32" s="3">
        <f>infections!AI32-infections!AH32</f>
        <v>0</v>
      </c>
      <c r="AJ32" s="3">
        <f>infections!AJ32-infections!AI32</f>
        <v>0</v>
      </c>
      <c r="AK32" s="3">
        <f>infections!AK32-infections!AJ32</f>
        <v>0</v>
      </c>
      <c r="AL32" s="3">
        <f>infections!AL32-infections!AK32</f>
        <v>0</v>
      </c>
      <c r="AM32" s="3">
        <f>infections!AM32-infections!AL32</f>
        <v>0</v>
      </c>
      <c r="AN32" s="3">
        <f>infections!AN32-infections!AM32</f>
        <v>0</v>
      </c>
      <c r="AO32" s="3">
        <f>infections!AO32-infections!AN32</f>
        <v>0</v>
      </c>
      <c r="AP32" s="3">
        <f>infections!AP32-infections!AO32</f>
        <v>0</v>
      </c>
      <c r="AQ32" s="3">
        <f>infections!AQ32-infections!AP32</f>
        <v>0</v>
      </c>
      <c r="AR32" s="3">
        <f>infections!AR32-infections!AQ32</f>
        <v>0</v>
      </c>
      <c r="AS32" s="3">
        <f>infections!AS32-infections!AR32</f>
        <v>0</v>
      </c>
      <c r="AT32" s="3">
        <f>infections!AT32-infections!AS32</f>
        <v>0</v>
      </c>
      <c r="AU32" s="3">
        <f>infections!AU32-infections!AT32</f>
        <v>0</v>
      </c>
      <c r="AV32" s="3">
        <f>infections!AV32-infections!AU32</f>
        <v>0</v>
      </c>
      <c r="AW32" s="3">
        <f>infections!AW32-infections!AV32</f>
        <v>0</v>
      </c>
      <c r="AX32" s="3">
        <f>infections!AX32-infections!AW32</f>
        <v>0</v>
      </c>
      <c r="AY32" s="3">
        <f>infections!AY32-infections!AX32</f>
        <v>4</v>
      </c>
      <c r="AZ32" s="3">
        <f>infections!AZ32-infections!AY32</f>
        <v>0</v>
      </c>
      <c r="BA32" s="3">
        <f>infections!BA32-infections!AZ32</f>
        <v>0</v>
      </c>
      <c r="BB32" s="3">
        <f>infections!BB32-infections!BA32</f>
        <v>3</v>
      </c>
      <c r="BC32" s="3">
        <f>infections!BC32-infections!BB32</f>
        <v>0</v>
      </c>
      <c r="BD32" s="3">
        <f>infections!BD32-infections!BC32</f>
        <v>16</v>
      </c>
      <c r="BE32" s="3">
        <f>infections!BE32-infections!BD32</f>
        <v>18</v>
      </c>
      <c r="BF32" s="3">
        <f>infections!BF32-infections!BE32</f>
        <v>10</v>
      </c>
      <c r="BG32" s="3">
        <f>infections!BG32-infections!BF32</f>
        <v>1</v>
      </c>
      <c r="BH32" s="3">
        <f>infections!BH32-infections!BG32</f>
        <v>15</v>
      </c>
      <c r="BI32" s="3">
        <f>infections!BI32-infections!BH32</f>
        <v>25</v>
      </c>
      <c r="BJ32" s="3">
        <f>infections!BJ32-infections!BI32</f>
        <v>2</v>
      </c>
      <c r="BK32" s="3">
        <f>infections!BK32-infections!BJ32</f>
        <v>33</v>
      </c>
      <c r="BL32" s="3">
        <f>infections!BL32-infections!BK32</f>
        <v>36</v>
      </c>
      <c r="BM32" s="3">
        <f>infections!BM32-infections!BL32</f>
        <v>24</v>
      </c>
      <c r="BN32" s="3">
        <f>infections!BN32-infections!BM32</f>
        <v>14</v>
      </c>
      <c r="BO32" s="3">
        <f>infections!BO32-infections!BN32</f>
        <v>17</v>
      </c>
      <c r="BP32" s="3">
        <f>infections!BP32-infections!BO32</f>
        <v>24</v>
      </c>
      <c r="BQ32" s="3">
        <f>infections!BQ32-infections!BP32</f>
        <v>22</v>
      </c>
      <c r="BR32" s="3">
        <f>infections!BR32-infections!BQ32</f>
        <v>29</v>
      </c>
      <c r="BS32" s="3">
        <f>infections!BS32-infections!BR32</f>
        <v>38</v>
      </c>
      <c r="BT32" s="3">
        <f>infections!BT32-infections!BS32</f>
        <v>15</v>
      </c>
      <c r="BU32" s="3">
        <f>infections!BU32-infections!BT32</f>
        <v>13</v>
      </c>
      <c r="BV32" s="3">
        <f>infections!BV32-infections!BU32</f>
        <v>40</v>
      </c>
      <c r="BW32" s="3">
        <f>infections!BW32-infections!BV32</f>
        <v>23</v>
      </c>
      <c r="BX32" s="3">
        <f>infections!BX32-infections!BW32</f>
        <v>35</v>
      </c>
      <c r="BY32" s="3">
        <f>infections!BY32-infections!BX32</f>
        <v>28</v>
      </c>
    </row>
    <row r="33">
      <c r="B33" s="1" t="str">
        <f>infections!B33</f>
        <v>Burkina Faso</v>
      </c>
      <c r="C33" s="4">
        <f>infections!C33</f>
        <v>12.2383</v>
      </c>
      <c r="D33" s="4">
        <f>infections!D33</f>
        <v>-1.5616</v>
      </c>
      <c r="E33" s="4">
        <f>infections!E33</f>
        <v>0</v>
      </c>
      <c r="F33" s="3">
        <f>infections!F33-infections!E33</f>
        <v>0</v>
      </c>
      <c r="G33" s="3">
        <f>infections!G33-infections!F33</f>
        <v>0</v>
      </c>
      <c r="H33" s="3">
        <f>infections!H33-infections!G33</f>
        <v>0</v>
      </c>
      <c r="I33" s="3">
        <f>infections!I33-infections!H33</f>
        <v>0</v>
      </c>
      <c r="J33" s="3">
        <f>infections!J33-infections!I33</f>
        <v>0</v>
      </c>
      <c r="K33" s="3">
        <f>infections!K33-infections!J33</f>
        <v>0</v>
      </c>
      <c r="L33" s="3">
        <f>infections!L33-infections!K33</f>
        <v>0</v>
      </c>
      <c r="M33" s="3">
        <f>infections!M33-infections!L33</f>
        <v>0</v>
      </c>
      <c r="N33" s="3">
        <f>infections!N33-infections!M33</f>
        <v>0</v>
      </c>
      <c r="O33" s="3">
        <f>infections!O33-infections!N33</f>
        <v>0</v>
      </c>
      <c r="P33" s="3">
        <f>infections!P33-infections!O33</f>
        <v>0</v>
      </c>
      <c r="Q33" s="3">
        <f>infections!Q33-infections!P33</f>
        <v>0</v>
      </c>
      <c r="R33" s="3">
        <f>infections!R33-infections!Q33</f>
        <v>0</v>
      </c>
      <c r="S33" s="3">
        <f>infections!S33-infections!R33</f>
        <v>0</v>
      </c>
      <c r="T33" s="3">
        <f>infections!T33-infections!S33</f>
        <v>0</v>
      </c>
      <c r="U33" s="3">
        <f>infections!U33-infections!T33</f>
        <v>0</v>
      </c>
      <c r="V33" s="3">
        <f>infections!V33-infections!U33</f>
        <v>0</v>
      </c>
      <c r="W33" s="3">
        <f>infections!W33-infections!V33</f>
        <v>0</v>
      </c>
      <c r="X33" s="3">
        <f>infections!X33-infections!W33</f>
        <v>0</v>
      </c>
      <c r="Y33" s="3">
        <f>infections!Y33-infections!X33</f>
        <v>0</v>
      </c>
      <c r="Z33" s="3">
        <f>infections!Z33-infections!Y33</f>
        <v>0</v>
      </c>
      <c r="AA33" s="3">
        <f>infections!AA33-infections!Z33</f>
        <v>0</v>
      </c>
      <c r="AB33" s="3">
        <f>infections!AB33-infections!AA33</f>
        <v>0</v>
      </c>
      <c r="AC33" s="3">
        <f>infections!AC33-infections!AB33</f>
        <v>0</v>
      </c>
      <c r="AD33" s="3">
        <f>infections!AD33-infections!AC33</f>
        <v>0</v>
      </c>
      <c r="AE33" s="3">
        <f>infections!AE33-infections!AD33</f>
        <v>0</v>
      </c>
      <c r="AF33" s="3">
        <f>infections!AF33-infections!AE33</f>
        <v>0</v>
      </c>
      <c r="AG33" s="3">
        <f>infections!AG33-infections!AF33</f>
        <v>0</v>
      </c>
      <c r="AH33" s="3">
        <f>infections!AH33-infections!AG33</f>
        <v>0</v>
      </c>
      <c r="AI33" s="3">
        <f>infections!AI33-infections!AH33</f>
        <v>0</v>
      </c>
      <c r="AJ33" s="3">
        <f>infections!AJ33-infections!AI33</f>
        <v>0</v>
      </c>
      <c r="AK33" s="3">
        <f>infections!AK33-infections!AJ33</f>
        <v>0</v>
      </c>
      <c r="AL33" s="3">
        <f>infections!AL33-infections!AK33</f>
        <v>0</v>
      </c>
      <c r="AM33" s="3">
        <f>infections!AM33-infections!AL33</f>
        <v>0</v>
      </c>
      <c r="AN33" s="3">
        <f>infections!AN33-infections!AM33</f>
        <v>0</v>
      </c>
      <c r="AO33" s="3">
        <f>infections!AO33-infections!AN33</f>
        <v>0</v>
      </c>
      <c r="AP33" s="3">
        <f>infections!AP33-infections!AO33</f>
        <v>0</v>
      </c>
      <c r="AQ33" s="3">
        <f>infections!AQ33-infections!AP33</f>
        <v>0</v>
      </c>
      <c r="AR33" s="3">
        <f>infections!AR33-infections!AQ33</f>
        <v>0</v>
      </c>
      <c r="AS33" s="3">
        <f>infections!AS33-infections!AR33</f>
        <v>0</v>
      </c>
      <c r="AT33" s="3">
        <f>infections!AT33-infections!AS33</f>
        <v>0</v>
      </c>
      <c r="AU33" s="3">
        <f>infections!AU33-infections!AT33</f>
        <v>0</v>
      </c>
      <c r="AV33" s="3">
        <f>infections!AV33-infections!AU33</f>
        <v>0</v>
      </c>
      <c r="AW33" s="3">
        <f>infections!AW33-infections!AV33</f>
        <v>0</v>
      </c>
      <c r="AX33" s="3">
        <f>infections!AX33-infections!AW33</f>
        <v>0</v>
      </c>
      <c r="AY33" s="3">
        <f>infections!AY33-infections!AX33</f>
        <v>0</v>
      </c>
      <c r="AZ33" s="3">
        <f>infections!AZ33-infections!AY33</f>
        <v>0</v>
      </c>
      <c r="BA33" s="3">
        <f>infections!BA33-infections!AZ33</f>
        <v>1</v>
      </c>
      <c r="BB33" s="3">
        <f>infections!BB33-infections!BA33</f>
        <v>1</v>
      </c>
      <c r="BC33" s="3">
        <f>infections!BC33-infections!BB33</f>
        <v>0</v>
      </c>
      <c r="BD33" s="3">
        <f>infections!BD33-infections!BC33</f>
        <v>0</v>
      </c>
      <c r="BE33" s="3">
        <f>infections!BE33-infections!BD33</f>
        <v>0</v>
      </c>
      <c r="BF33" s="3">
        <f>infections!BF33-infections!BE33</f>
        <v>1</v>
      </c>
      <c r="BG33" s="3">
        <f>infections!BG33-infections!BF33</f>
        <v>12</v>
      </c>
      <c r="BH33" s="3">
        <f>infections!BH33-infections!BG33</f>
        <v>0</v>
      </c>
      <c r="BI33" s="3">
        <f>infections!BI33-infections!BH33</f>
        <v>5</v>
      </c>
      <c r="BJ33" s="3">
        <f>infections!BJ33-infections!BI33</f>
        <v>13</v>
      </c>
      <c r="BK33" s="3">
        <f>infections!BK33-infections!BJ33</f>
        <v>7</v>
      </c>
      <c r="BL33" s="3">
        <f>infections!BL33-infections!BK33</f>
        <v>24</v>
      </c>
      <c r="BM33" s="3">
        <f>infections!BM33-infections!BL33</f>
        <v>11</v>
      </c>
      <c r="BN33" s="3">
        <f>infections!BN33-infections!BM33</f>
        <v>24</v>
      </c>
      <c r="BO33" s="3">
        <f>infections!BO33-infections!BN33</f>
        <v>15</v>
      </c>
      <c r="BP33" s="3">
        <f>infections!BP33-infections!BO33</f>
        <v>32</v>
      </c>
      <c r="BQ33" s="3">
        <f>infections!BQ33-infections!BP33</f>
        <v>6</v>
      </c>
      <c r="BR33" s="3">
        <f>infections!BR33-infections!BQ33</f>
        <v>28</v>
      </c>
      <c r="BS33" s="3">
        <f>infections!BS33-infections!BR33</f>
        <v>27</v>
      </c>
      <c r="BT33" s="3">
        <f>infections!BT33-infections!BS33</f>
        <v>15</v>
      </c>
      <c r="BU33" s="3">
        <f>infections!BU33-infections!BT33</f>
        <v>24</v>
      </c>
      <c r="BV33" s="3">
        <f>infections!BV33-infections!BU33</f>
        <v>15</v>
      </c>
      <c r="BW33" s="3">
        <f>infections!BW33-infections!BV33</f>
        <v>21</v>
      </c>
      <c r="BX33" s="3">
        <f>infections!BX33-infections!BW33</f>
        <v>6</v>
      </c>
      <c r="BY33" s="3">
        <f>infections!BY33-infections!BX33</f>
        <v>14</v>
      </c>
    </row>
    <row r="34">
      <c r="B34" s="1" t="str">
        <f>infections!B34</f>
        <v>Cabo Verde</v>
      </c>
      <c r="C34" s="4">
        <f>infections!C34</f>
        <v>16.5388</v>
      </c>
      <c r="D34" s="4">
        <f>infections!D34</f>
        <v>-23.0418</v>
      </c>
      <c r="E34" s="4">
        <f>infections!E34</f>
        <v>0</v>
      </c>
      <c r="F34" s="3">
        <f>infections!F34-infections!E34</f>
        <v>0</v>
      </c>
      <c r="G34" s="3">
        <f>infections!G34-infections!F34</f>
        <v>0</v>
      </c>
      <c r="H34" s="3">
        <f>infections!H34-infections!G34</f>
        <v>0</v>
      </c>
      <c r="I34" s="3">
        <f>infections!I34-infections!H34</f>
        <v>0</v>
      </c>
      <c r="J34" s="3">
        <f>infections!J34-infections!I34</f>
        <v>0</v>
      </c>
      <c r="K34" s="3">
        <f>infections!K34-infections!J34</f>
        <v>0</v>
      </c>
      <c r="L34" s="3">
        <f>infections!L34-infections!K34</f>
        <v>0</v>
      </c>
      <c r="M34" s="3">
        <f>infections!M34-infections!L34</f>
        <v>0</v>
      </c>
      <c r="N34" s="3">
        <f>infections!N34-infections!M34</f>
        <v>0</v>
      </c>
      <c r="O34" s="3">
        <f>infections!O34-infections!N34</f>
        <v>0</v>
      </c>
      <c r="P34" s="3">
        <f>infections!P34-infections!O34</f>
        <v>0</v>
      </c>
      <c r="Q34" s="3">
        <f>infections!Q34-infections!P34</f>
        <v>0</v>
      </c>
      <c r="R34" s="3">
        <f>infections!R34-infections!Q34</f>
        <v>0</v>
      </c>
      <c r="S34" s="3">
        <f>infections!S34-infections!R34</f>
        <v>0</v>
      </c>
      <c r="T34" s="3">
        <f>infections!T34-infections!S34</f>
        <v>0</v>
      </c>
      <c r="U34" s="3">
        <f>infections!U34-infections!T34</f>
        <v>0</v>
      </c>
      <c r="V34" s="3">
        <f>infections!V34-infections!U34</f>
        <v>0</v>
      </c>
      <c r="W34" s="3">
        <f>infections!W34-infections!V34</f>
        <v>0</v>
      </c>
      <c r="X34" s="3">
        <f>infections!X34-infections!W34</f>
        <v>0</v>
      </c>
      <c r="Y34" s="3">
        <f>infections!Y34-infections!X34</f>
        <v>0</v>
      </c>
      <c r="Z34" s="3">
        <f>infections!Z34-infections!Y34</f>
        <v>0</v>
      </c>
      <c r="AA34" s="3">
        <f>infections!AA34-infections!Z34</f>
        <v>0</v>
      </c>
      <c r="AB34" s="3">
        <f>infections!AB34-infections!AA34</f>
        <v>0</v>
      </c>
      <c r="AC34" s="3">
        <f>infections!AC34-infections!AB34</f>
        <v>0</v>
      </c>
      <c r="AD34" s="3">
        <f>infections!AD34-infections!AC34</f>
        <v>0</v>
      </c>
      <c r="AE34" s="3">
        <f>infections!AE34-infections!AD34</f>
        <v>0</v>
      </c>
      <c r="AF34" s="3">
        <f>infections!AF34-infections!AE34</f>
        <v>0</v>
      </c>
      <c r="AG34" s="3">
        <f>infections!AG34-infections!AF34</f>
        <v>0</v>
      </c>
      <c r="AH34" s="3">
        <f>infections!AH34-infections!AG34</f>
        <v>0</v>
      </c>
      <c r="AI34" s="3">
        <f>infections!AI34-infections!AH34</f>
        <v>0</v>
      </c>
      <c r="AJ34" s="3">
        <f>infections!AJ34-infections!AI34</f>
        <v>0</v>
      </c>
      <c r="AK34" s="3">
        <f>infections!AK34-infections!AJ34</f>
        <v>0</v>
      </c>
      <c r="AL34" s="3">
        <f>infections!AL34-infections!AK34</f>
        <v>0</v>
      </c>
      <c r="AM34" s="3">
        <f>infections!AM34-infections!AL34</f>
        <v>0</v>
      </c>
      <c r="AN34" s="3">
        <f>infections!AN34-infections!AM34</f>
        <v>0</v>
      </c>
      <c r="AO34" s="3">
        <f>infections!AO34-infections!AN34</f>
        <v>0</v>
      </c>
      <c r="AP34" s="3">
        <f>infections!AP34-infections!AO34</f>
        <v>0</v>
      </c>
      <c r="AQ34" s="3">
        <f>infections!AQ34-infections!AP34</f>
        <v>0</v>
      </c>
      <c r="AR34" s="3">
        <f>infections!AR34-infections!AQ34</f>
        <v>0</v>
      </c>
      <c r="AS34" s="3">
        <f>infections!AS34-infections!AR34</f>
        <v>0</v>
      </c>
      <c r="AT34" s="3">
        <f>infections!AT34-infections!AS34</f>
        <v>0</v>
      </c>
      <c r="AU34" s="3">
        <f>infections!AU34-infections!AT34</f>
        <v>0</v>
      </c>
      <c r="AV34" s="3">
        <f>infections!AV34-infections!AU34</f>
        <v>0</v>
      </c>
      <c r="AW34" s="3">
        <f>infections!AW34-infections!AV34</f>
        <v>0</v>
      </c>
      <c r="AX34" s="3">
        <f>infections!AX34-infections!AW34</f>
        <v>0</v>
      </c>
      <c r="AY34" s="3">
        <f>infections!AY34-infections!AX34</f>
        <v>0</v>
      </c>
      <c r="AZ34" s="3">
        <f>infections!AZ34-infections!AY34</f>
        <v>0</v>
      </c>
      <c r="BA34" s="3">
        <f>infections!BA34-infections!AZ34</f>
        <v>0</v>
      </c>
      <c r="BB34" s="3">
        <f>infections!BB34-infections!BA34</f>
        <v>0</v>
      </c>
      <c r="BC34" s="3">
        <f>infections!BC34-infections!BB34</f>
        <v>0</v>
      </c>
      <c r="BD34" s="3">
        <f>infections!BD34-infections!BC34</f>
        <v>0</v>
      </c>
      <c r="BE34" s="3">
        <f>infections!BE34-infections!BD34</f>
        <v>0</v>
      </c>
      <c r="BF34" s="3">
        <f>infections!BF34-infections!BE34</f>
        <v>0</v>
      </c>
      <c r="BG34" s="3">
        <f>infections!BG34-infections!BF34</f>
        <v>0</v>
      </c>
      <c r="BH34" s="3">
        <f>infections!BH34-infections!BG34</f>
        <v>0</v>
      </c>
      <c r="BI34" s="3">
        <f>infections!BI34-infections!BH34</f>
        <v>0</v>
      </c>
      <c r="BJ34" s="3">
        <f>infections!BJ34-infections!BI34</f>
        <v>0</v>
      </c>
      <c r="BK34" s="3">
        <f>infections!BK34-infections!BJ34</f>
        <v>1</v>
      </c>
      <c r="BL34" s="3">
        <f>infections!BL34-infections!BK34</f>
        <v>2</v>
      </c>
      <c r="BM34" s="3">
        <f>infections!BM34-infections!BL34</f>
        <v>0</v>
      </c>
      <c r="BN34" s="3">
        <f>infections!BN34-infections!BM34</f>
        <v>0</v>
      </c>
      <c r="BO34" s="3">
        <f>infections!BO34-infections!BN34</f>
        <v>0</v>
      </c>
      <c r="BP34" s="3">
        <f>infections!BP34-infections!BO34</f>
        <v>1</v>
      </c>
      <c r="BQ34" s="3">
        <f>infections!BQ34-infections!BP34</f>
        <v>0</v>
      </c>
      <c r="BR34" s="3">
        <f>infections!BR34-infections!BQ34</f>
        <v>1</v>
      </c>
      <c r="BS34" s="3">
        <f>infections!BS34-infections!BR34</f>
        <v>0</v>
      </c>
      <c r="BT34" s="3">
        <f>infections!BT34-infections!BS34</f>
        <v>1</v>
      </c>
      <c r="BU34" s="3">
        <f>infections!BU34-infections!BT34</f>
        <v>0</v>
      </c>
      <c r="BV34" s="3">
        <f>infections!BV34-infections!BU34</f>
        <v>0</v>
      </c>
      <c r="BW34" s="3">
        <f>infections!BW34-infections!BV34</f>
        <v>0</v>
      </c>
      <c r="BX34" s="3">
        <f>infections!BX34-infections!BW34</f>
        <v>0</v>
      </c>
      <c r="BY34" s="3">
        <f>infections!BY34-infections!BX34</f>
        <v>0</v>
      </c>
    </row>
    <row r="35">
      <c r="B35" s="1" t="str">
        <f>infections!B35</f>
        <v>Cambodia</v>
      </c>
      <c r="C35" s="4">
        <f>infections!C35</f>
        <v>11.55</v>
      </c>
      <c r="D35" s="4">
        <f>infections!D35</f>
        <v>104.9167</v>
      </c>
      <c r="E35" s="4">
        <f>infections!E35</f>
        <v>0</v>
      </c>
      <c r="F35" s="3">
        <f>infections!F35-infections!E35</f>
        <v>0</v>
      </c>
      <c r="G35" s="3">
        <f>infections!G35-infections!F35</f>
        <v>0</v>
      </c>
      <c r="H35" s="3">
        <f>infections!H35-infections!G35</f>
        <v>0</v>
      </c>
      <c r="I35" s="3">
        <f>infections!I35-infections!H35</f>
        <v>0</v>
      </c>
      <c r="J35" s="3">
        <f>infections!J35-infections!I35</f>
        <v>1</v>
      </c>
      <c r="K35" s="3">
        <f>infections!K35-infections!J35</f>
        <v>0</v>
      </c>
      <c r="L35" s="3">
        <f>infections!L35-infections!K35</f>
        <v>0</v>
      </c>
      <c r="M35" s="3">
        <f>infections!M35-infections!L35</f>
        <v>0</v>
      </c>
      <c r="N35" s="3">
        <f>infections!N35-infections!M35</f>
        <v>0</v>
      </c>
      <c r="O35" s="3">
        <f>infections!O35-infections!N35</f>
        <v>0</v>
      </c>
      <c r="P35" s="3">
        <f>infections!P35-infections!O35</f>
        <v>0</v>
      </c>
      <c r="Q35" s="3">
        <f>infections!Q35-infections!P35</f>
        <v>0</v>
      </c>
      <c r="R35" s="3">
        <f>infections!R35-infections!Q35</f>
        <v>0</v>
      </c>
      <c r="S35" s="3">
        <f>infections!S35-infections!R35</f>
        <v>0</v>
      </c>
      <c r="T35" s="3">
        <f>infections!T35-infections!S35</f>
        <v>0</v>
      </c>
      <c r="U35" s="3">
        <f>infections!U35-infections!T35</f>
        <v>0</v>
      </c>
      <c r="V35" s="3">
        <f>infections!V35-infections!U35</f>
        <v>0</v>
      </c>
      <c r="W35" s="3">
        <f>infections!W35-infections!V35</f>
        <v>0</v>
      </c>
      <c r="X35" s="3">
        <f>infections!X35-infections!W35</f>
        <v>0</v>
      </c>
      <c r="Y35" s="3">
        <f>infections!Y35-infections!X35</f>
        <v>0</v>
      </c>
      <c r="Z35" s="3">
        <f>infections!Z35-infections!Y35</f>
        <v>0</v>
      </c>
      <c r="AA35" s="3">
        <f>infections!AA35-infections!Z35</f>
        <v>0</v>
      </c>
      <c r="AB35" s="3">
        <f>infections!AB35-infections!AA35</f>
        <v>0</v>
      </c>
      <c r="AC35" s="3">
        <f>infections!AC35-infections!AB35</f>
        <v>0</v>
      </c>
      <c r="AD35" s="3">
        <f>infections!AD35-infections!AC35</f>
        <v>0</v>
      </c>
      <c r="AE35" s="3">
        <f>infections!AE35-infections!AD35</f>
        <v>0</v>
      </c>
      <c r="AF35" s="3">
        <f>infections!AF35-infections!AE35</f>
        <v>0</v>
      </c>
      <c r="AG35" s="3">
        <f>infections!AG35-infections!AF35</f>
        <v>0</v>
      </c>
      <c r="AH35" s="3">
        <f>infections!AH35-infections!AG35</f>
        <v>0</v>
      </c>
      <c r="AI35" s="3">
        <f>infections!AI35-infections!AH35</f>
        <v>0</v>
      </c>
      <c r="AJ35" s="3">
        <f>infections!AJ35-infections!AI35</f>
        <v>0</v>
      </c>
      <c r="AK35" s="3">
        <f>infections!AK35-infections!AJ35</f>
        <v>0</v>
      </c>
      <c r="AL35" s="3">
        <f>infections!AL35-infections!AK35</f>
        <v>0</v>
      </c>
      <c r="AM35" s="3">
        <f>infections!AM35-infections!AL35</f>
        <v>0</v>
      </c>
      <c r="AN35" s="3">
        <f>infections!AN35-infections!AM35</f>
        <v>0</v>
      </c>
      <c r="AO35" s="3">
        <f>infections!AO35-infections!AN35</f>
        <v>0</v>
      </c>
      <c r="AP35" s="3">
        <f>infections!AP35-infections!AO35</f>
        <v>0</v>
      </c>
      <c r="AQ35" s="3">
        <f>infections!AQ35-infections!AP35</f>
        <v>0</v>
      </c>
      <c r="AR35" s="3">
        <f>infections!AR35-infections!AQ35</f>
        <v>0</v>
      </c>
      <c r="AS35" s="3">
        <f>infections!AS35-infections!AR35</f>
        <v>0</v>
      </c>
      <c r="AT35" s="3">
        <f>infections!AT35-infections!AS35</f>
        <v>0</v>
      </c>
      <c r="AU35" s="3">
        <f>infections!AU35-infections!AT35</f>
        <v>0</v>
      </c>
      <c r="AV35" s="3">
        <f>infections!AV35-infections!AU35</f>
        <v>0</v>
      </c>
      <c r="AW35" s="3">
        <f>infections!AW35-infections!AV35</f>
        <v>0</v>
      </c>
      <c r="AX35" s="3">
        <f>infections!AX35-infections!AW35</f>
        <v>0</v>
      </c>
      <c r="AY35" s="3">
        <f>infections!AY35-infections!AX35</f>
        <v>1</v>
      </c>
      <c r="AZ35" s="3">
        <f>infections!AZ35-infections!AY35</f>
        <v>0</v>
      </c>
      <c r="BA35" s="3">
        <f>infections!BA35-infections!AZ35</f>
        <v>0</v>
      </c>
      <c r="BB35" s="3">
        <f>infections!BB35-infections!BA35</f>
        <v>1</v>
      </c>
      <c r="BC35" s="3">
        <f>infections!BC35-infections!BB35</f>
        <v>0</v>
      </c>
      <c r="BD35" s="3">
        <f>infections!BD35-infections!BC35</f>
        <v>2</v>
      </c>
      <c r="BE35" s="3">
        <f>infections!BE35-infections!BD35</f>
        <v>2</v>
      </c>
      <c r="BF35" s="3">
        <f>infections!BF35-infections!BE35</f>
        <v>0</v>
      </c>
      <c r="BG35" s="3">
        <f>infections!BG35-infections!BF35</f>
        <v>0</v>
      </c>
      <c r="BH35" s="3">
        <f>infections!BH35-infections!BG35</f>
        <v>26</v>
      </c>
      <c r="BI35" s="3">
        <f>infections!BI35-infections!BH35</f>
        <v>2</v>
      </c>
      <c r="BJ35" s="3">
        <f>infections!BJ35-infections!BI35</f>
        <v>2</v>
      </c>
      <c r="BK35" s="3">
        <f>infections!BK35-infections!BJ35</f>
        <v>14</v>
      </c>
      <c r="BL35" s="3">
        <f>infections!BL35-infections!BK35</f>
        <v>2</v>
      </c>
      <c r="BM35" s="3">
        <f>infections!BM35-infections!BL35</f>
        <v>31</v>
      </c>
      <c r="BN35" s="3">
        <f>infections!BN35-infections!BM35</f>
        <v>3</v>
      </c>
      <c r="BO35" s="3">
        <f>infections!BO35-infections!BN35</f>
        <v>4</v>
      </c>
      <c r="BP35" s="3">
        <f>infections!BP35-infections!BO35</f>
        <v>5</v>
      </c>
      <c r="BQ35" s="3">
        <f>infections!BQ35-infections!BP35</f>
        <v>0</v>
      </c>
      <c r="BR35" s="3">
        <f>infections!BR35-infections!BQ35</f>
        <v>3</v>
      </c>
      <c r="BS35" s="3">
        <f>infections!BS35-infections!BR35</f>
        <v>0</v>
      </c>
      <c r="BT35" s="3">
        <f>infections!BT35-infections!BS35</f>
        <v>4</v>
      </c>
      <c r="BU35" s="3">
        <f>infections!BU35-infections!BT35</f>
        <v>4</v>
      </c>
      <c r="BV35" s="3">
        <f>infections!BV35-infections!BU35</f>
        <v>2</v>
      </c>
      <c r="BW35" s="3">
        <f>infections!BW35-infections!BV35</f>
        <v>0</v>
      </c>
      <c r="BX35" s="3">
        <f>infections!BX35-infections!BW35</f>
        <v>1</v>
      </c>
      <c r="BY35" s="3">
        <f>infections!BY35-infections!BX35</f>
        <v>4</v>
      </c>
    </row>
    <row r="36">
      <c r="B36" s="1" t="str">
        <f>infections!B36</f>
        <v>Cameroon</v>
      </c>
      <c r="C36" s="4">
        <f>infections!C36</f>
        <v>3.848</v>
      </c>
      <c r="D36" s="4">
        <f>infections!D36</f>
        <v>11.5021</v>
      </c>
      <c r="E36" s="4">
        <f>infections!E36</f>
        <v>0</v>
      </c>
      <c r="F36" s="3">
        <f>infections!F36-infections!E36</f>
        <v>0</v>
      </c>
      <c r="G36" s="3">
        <f>infections!G36-infections!F36</f>
        <v>0</v>
      </c>
      <c r="H36" s="3">
        <f>infections!H36-infections!G36</f>
        <v>0</v>
      </c>
      <c r="I36" s="3">
        <f>infections!I36-infections!H36</f>
        <v>0</v>
      </c>
      <c r="J36" s="3">
        <f>infections!J36-infections!I36</f>
        <v>0</v>
      </c>
      <c r="K36" s="3">
        <f>infections!K36-infections!J36</f>
        <v>0</v>
      </c>
      <c r="L36" s="3">
        <f>infections!L36-infections!K36</f>
        <v>0</v>
      </c>
      <c r="M36" s="3">
        <f>infections!M36-infections!L36</f>
        <v>0</v>
      </c>
      <c r="N36" s="3">
        <f>infections!N36-infections!M36</f>
        <v>0</v>
      </c>
      <c r="O36" s="3">
        <f>infections!O36-infections!N36</f>
        <v>0</v>
      </c>
      <c r="P36" s="3">
        <f>infections!P36-infections!O36</f>
        <v>0</v>
      </c>
      <c r="Q36" s="3">
        <f>infections!Q36-infections!P36</f>
        <v>0</v>
      </c>
      <c r="R36" s="3">
        <f>infections!R36-infections!Q36</f>
        <v>0</v>
      </c>
      <c r="S36" s="3">
        <f>infections!S36-infections!R36</f>
        <v>0</v>
      </c>
      <c r="T36" s="3">
        <f>infections!T36-infections!S36</f>
        <v>0</v>
      </c>
      <c r="U36" s="3">
        <f>infections!U36-infections!T36</f>
        <v>0</v>
      </c>
      <c r="V36" s="3">
        <f>infections!V36-infections!U36</f>
        <v>0</v>
      </c>
      <c r="W36" s="3">
        <f>infections!W36-infections!V36</f>
        <v>0</v>
      </c>
      <c r="X36" s="3">
        <f>infections!X36-infections!W36</f>
        <v>0</v>
      </c>
      <c r="Y36" s="3">
        <f>infections!Y36-infections!X36</f>
        <v>0</v>
      </c>
      <c r="Z36" s="3">
        <f>infections!Z36-infections!Y36</f>
        <v>0</v>
      </c>
      <c r="AA36" s="3">
        <f>infections!AA36-infections!Z36</f>
        <v>0</v>
      </c>
      <c r="AB36" s="3">
        <f>infections!AB36-infections!AA36</f>
        <v>0</v>
      </c>
      <c r="AC36" s="3">
        <f>infections!AC36-infections!AB36</f>
        <v>0</v>
      </c>
      <c r="AD36" s="3">
        <f>infections!AD36-infections!AC36</f>
        <v>0</v>
      </c>
      <c r="AE36" s="3">
        <f>infections!AE36-infections!AD36</f>
        <v>0</v>
      </c>
      <c r="AF36" s="3">
        <f>infections!AF36-infections!AE36</f>
        <v>0</v>
      </c>
      <c r="AG36" s="3">
        <f>infections!AG36-infections!AF36</f>
        <v>0</v>
      </c>
      <c r="AH36" s="3">
        <f>infections!AH36-infections!AG36</f>
        <v>0</v>
      </c>
      <c r="AI36" s="3">
        <f>infections!AI36-infections!AH36</f>
        <v>0</v>
      </c>
      <c r="AJ36" s="3">
        <f>infections!AJ36-infections!AI36</f>
        <v>0</v>
      </c>
      <c r="AK36" s="3">
        <f>infections!AK36-infections!AJ36</f>
        <v>0</v>
      </c>
      <c r="AL36" s="3">
        <f>infections!AL36-infections!AK36</f>
        <v>0</v>
      </c>
      <c r="AM36" s="3">
        <f>infections!AM36-infections!AL36</f>
        <v>0</v>
      </c>
      <c r="AN36" s="3">
        <f>infections!AN36-infections!AM36</f>
        <v>0</v>
      </c>
      <c r="AO36" s="3">
        <f>infections!AO36-infections!AN36</f>
        <v>0</v>
      </c>
      <c r="AP36" s="3">
        <f>infections!AP36-infections!AO36</f>
        <v>0</v>
      </c>
      <c r="AQ36" s="3">
        <f>infections!AQ36-infections!AP36</f>
        <v>0</v>
      </c>
      <c r="AR36" s="3">
        <f>infections!AR36-infections!AQ36</f>
        <v>0</v>
      </c>
      <c r="AS36" s="3">
        <f>infections!AS36-infections!AR36</f>
        <v>0</v>
      </c>
      <c r="AT36" s="3">
        <f>infections!AT36-infections!AS36</f>
        <v>0</v>
      </c>
      <c r="AU36" s="3">
        <f>infections!AU36-infections!AT36</f>
        <v>0</v>
      </c>
      <c r="AV36" s="3">
        <f>infections!AV36-infections!AU36</f>
        <v>0</v>
      </c>
      <c r="AW36" s="3">
        <f>infections!AW36-infections!AV36</f>
        <v>1</v>
      </c>
      <c r="AX36" s="3">
        <f>infections!AX36-infections!AW36</f>
        <v>0</v>
      </c>
      <c r="AY36" s="3">
        <f>infections!AY36-infections!AX36</f>
        <v>1</v>
      </c>
      <c r="AZ36" s="3">
        <f>infections!AZ36-infections!AY36</f>
        <v>0</v>
      </c>
      <c r="BA36" s="3">
        <f>infections!BA36-infections!AZ36</f>
        <v>0</v>
      </c>
      <c r="BB36" s="3">
        <f>infections!BB36-infections!BA36</f>
        <v>0</v>
      </c>
      <c r="BC36" s="3">
        <f>infections!BC36-infections!BB36</f>
        <v>0</v>
      </c>
      <c r="BD36" s="3">
        <f>infections!BD36-infections!BC36</f>
        <v>0</v>
      </c>
      <c r="BE36" s="3">
        <f>infections!BE36-infections!BD36</f>
        <v>0</v>
      </c>
      <c r="BF36" s="3">
        <f>infections!BF36-infections!BE36</f>
        <v>0</v>
      </c>
      <c r="BG36" s="3">
        <f>infections!BG36-infections!BF36</f>
        <v>2</v>
      </c>
      <c r="BH36" s="3">
        <f>infections!BH36-infections!BG36</f>
        <v>6</v>
      </c>
      <c r="BI36" s="3">
        <f>infections!BI36-infections!BH36</f>
        <v>0</v>
      </c>
      <c r="BJ36" s="3">
        <f>infections!BJ36-infections!BI36</f>
        <v>3</v>
      </c>
      <c r="BK36" s="3">
        <f>infections!BK36-infections!BJ36</f>
        <v>7</v>
      </c>
      <c r="BL36" s="3">
        <f>infections!BL36-infections!BK36</f>
        <v>7</v>
      </c>
      <c r="BM36" s="3">
        <f>infections!BM36-infections!BL36</f>
        <v>13</v>
      </c>
      <c r="BN36" s="3">
        <f>infections!BN36-infections!BM36</f>
        <v>16</v>
      </c>
      <c r="BO36" s="3">
        <f>infections!BO36-infections!BN36</f>
        <v>10</v>
      </c>
      <c r="BP36" s="3">
        <f>infections!BP36-infections!BO36</f>
        <v>9</v>
      </c>
      <c r="BQ36" s="3">
        <f>infections!BQ36-infections!BP36</f>
        <v>0</v>
      </c>
      <c r="BR36" s="3">
        <f>infections!BR36-infections!BQ36</f>
        <v>16</v>
      </c>
      <c r="BS36" s="3">
        <f>infections!BS36-infections!BR36</f>
        <v>0</v>
      </c>
      <c r="BT36" s="3">
        <f>infections!BT36-infections!BS36</f>
        <v>48</v>
      </c>
      <c r="BU36" s="3">
        <f>infections!BU36-infections!BT36</f>
        <v>0</v>
      </c>
      <c r="BV36" s="3">
        <f>infections!BV36-infections!BU36</f>
        <v>54</v>
      </c>
      <c r="BW36" s="3">
        <f>infections!BW36-infections!BV36</f>
        <v>40</v>
      </c>
      <c r="BX36" s="3">
        <f>infections!BX36-infections!BW36</f>
        <v>73</v>
      </c>
      <c r="BY36" s="3">
        <f>infections!BY36-infections!BX36</f>
        <v>203</v>
      </c>
    </row>
    <row r="37">
      <c r="B37" s="1" t="str">
        <f>infections!B37</f>
        <v>Canada</v>
      </c>
      <c r="C37" s="4">
        <f>infections!C37</f>
        <v>53.9333</v>
      </c>
      <c r="D37" s="4">
        <f>infections!D37</f>
        <v>-116.5765</v>
      </c>
      <c r="E37" s="4">
        <f>infections!E37</f>
        <v>0</v>
      </c>
      <c r="F37" s="3">
        <f>infections!F37-infections!E37</f>
        <v>0</v>
      </c>
      <c r="G37" s="3">
        <f>infections!G37-infections!F37</f>
        <v>0</v>
      </c>
      <c r="H37" s="3">
        <f>infections!H37-infections!G37</f>
        <v>0</v>
      </c>
      <c r="I37" s="3">
        <f>infections!I37-infections!H37</f>
        <v>0</v>
      </c>
      <c r="J37" s="3">
        <f>infections!J37-infections!I37</f>
        <v>0</v>
      </c>
      <c r="K37" s="3">
        <f>infections!K37-infections!J37</f>
        <v>0</v>
      </c>
      <c r="L37" s="3">
        <f>infections!L37-infections!K37</f>
        <v>0</v>
      </c>
      <c r="M37" s="3">
        <f>infections!M37-infections!L37</f>
        <v>0</v>
      </c>
      <c r="N37" s="3">
        <f>infections!N37-infections!M37</f>
        <v>0</v>
      </c>
      <c r="O37" s="3">
        <f>infections!O37-infections!N37</f>
        <v>0</v>
      </c>
      <c r="P37" s="3">
        <f>infections!P37-infections!O37</f>
        <v>0</v>
      </c>
      <c r="Q37" s="3">
        <f>infections!Q37-infections!P37</f>
        <v>0</v>
      </c>
      <c r="R37" s="3">
        <f>infections!R37-infections!Q37</f>
        <v>0</v>
      </c>
      <c r="S37" s="3">
        <f>infections!S37-infections!R37</f>
        <v>0</v>
      </c>
      <c r="T37" s="3">
        <f>infections!T37-infections!S37</f>
        <v>0</v>
      </c>
      <c r="U37" s="3">
        <f>infections!U37-infections!T37</f>
        <v>0</v>
      </c>
      <c r="V37" s="3">
        <f>infections!V37-infections!U37</f>
        <v>0</v>
      </c>
      <c r="W37" s="3">
        <f>infections!W37-infections!V37</f>
        <v>0</v>
      </c>
      <c r="X37" s="3">
        <f>infections!X37-infections!W37</f>
        <v>0</v>
      </c>
      <c r="Y37" s="3">
        <f>infections!Y37-infections!X37</f>
        <v>0</v>
      </c>
      <c r="Z37" s="3">
        <f>infections!Z37-infections!Y37</f>
        <v>0</v>
      </c>
      <c r="AA37" s="3">
        <f>infections!AA37-infections!Z37</f>
        <v>0</v>
      </c>
      <c r="AB37" s="3">
        <f>infections!AB37-infections!AA37</f>
        <v>0</v>
      </c>
      <c r="AC37" s="3">
        <f>infections!AC37-infections!AB37</f>
        <v>0</v>
      </c>
      <c r="AD37" s="3">
        <f>infections!AD37-infections!AC37</f>
        <v>0</v>
      </c>
      <c r="AE37" s="3">
        <f>infections!AE37-infections!AD37</f>
        <v>0</v>
      </c>
      <c r="AF37" s="3">
        <f>infections!AF37-infections!AE37</f>
        <v>0</v>
      </c>
      <c r="AG37" s="3">
        <f>infections!AG37-infections!AF37</f>
        <v>0</v>
      </c>
      <c r="AH37" s="3">
        <f>infections!AH37-infections!AG37</f>
        <v>0</v>
      </c>
      <c r="AI37" s="3">
        <f>infections!AI37-infections!AH37</f>
        <v>0</v>
      </c>
      <c r="AJ37" s="3">
        <f>infections!AJ37-infections!AI37</f>
        <v>0</v>
      </c>
      <c r="AK37" s="3">
        <f>infections!AK37-infections!AJ37</f>
        <v>0</v>
      </c>
      <c r="AL37" s="3">
        <f>infections!AL37-infections!AK37</f>
        <v>0</v>
      </c>
      <c r="AM37" s="3">
        <f>infections!AM37-infections!AL37</f>
        <v>0</v>
      </c>
      <c r="AN37" s="3">
        <f>infections!AN37-infections!AM37</f>
        <v>0</v>
      </c>
      <c r="AO37" s="3">
        <f>infections!AO37-infections!AN37</f>
        <v>0</v>
      </c>
      <c r="AP37" s="3">
        <f>infections!AP37-infections!AO37</f>
        <v>0</v>
      </c>
      <c r="AQ37" s="3">
        <f>infections!AQ37-infections!AP37</f>
        <v>0</v>
      </c>
      <c r="AR37" s="3">
        <f>infections!AR37-infections!AQ37</f>
        <v>0</v>
      </c>
      <c r="AS37" s="3">
        <f>infections!AS37-infections!AR37</f>
        <v>0</v>
      </c>
      <c r="AT37" s="3">
        <f>infections!AT37-infections!AS37</f>
        <v>0</v>
      </c>
      <c r="AU37" s="3">
        <f>infections!AU37-infections!AT37</f>
        <v>0</v>
      </c>
      <c r="AV37" s="3">
        <f>infections!AV37-infections!AU37</f>
        <v>0</v>
      </c>
      <c r="AW37" s="3">
        <f>infections!AW37-infections!AV37</f>
        <v>1</v>
      </c>
      <c r="AX37" s="3">
        <f>infections!AX37-infections!AW37</f>
        <v>1</v>
      </c>
      <c r="AY37" s="3">
        <f>infections!AY37-infections!AX37</f>
        <v>2</v>
      </c>
      <c r="AZ37" s="3">
        <f>infections!AZ37-infections!AY37</f>
        <v>3</v>
      </c>
      <c r="BA37" s="3">
        <f>infections!BA37-infections!AZ37</f>
        <v>0</v>
      </c>
      <c r="BB37" s="3">
        <f>infections!BB37-infections!BA37</f>
        <v>12</v>
      </c>
      <c r="BC37" s="3">
        <f>infections!BC37-infections!BB37</f>
        <v>0</v>
      </c>
      <c r="BD37" s="3">
        <f>infections!BD37-infections!BC37</f>
        <v>10</v>
      </c>
      <c r="BE37" s="3">
        <f>infections!BE37-infections!BD37</f>
        <v>0</v>
      </c>
      <c r="BF37" s="3">
        <f>infections!BF37-infections!BE37</f>
        <v>10</v>
      </c>
      <c r="BG37" s="3">
        <f>infections!BG37-infections!BF37</f>
        <v>17</v>
      </c>
      <c r="BH37" s="3">
        <f>infections!BH37-infections!BG37</f>
        <v>18</v>
      </c>
      <c r="BI37" s="3">
        <f>infections!BI37-infections!BH37</f>
        <v>23</v>
      </c>
      <c r="BJ37" s="3">
        <f>infections!BJ37-infections!BI37</f>
        <v>22</v>
      </c>
      <c r="BK37" s="3">
        <f>infections!BK37-infections!BJ37</f>
        <v>27</v>
      </c>
      <c r="BL37" s="3">
        <f>infections!BL37-infections!BK37</f>
        <v>49</v>
      </c>
      <c r="BM37" s="3">
        <f>infections!BM37-infections!BL37</f>
        <v>64</v>
      </c>
      <c r="BN37" s="3">
        <f>infections!BN37-infections!BM37</f>
        <v>42</v>
      </c>
      <c r="BO37" s="3">
        <f>infections!BO37-infections!BN37</f>
        <v>58</v>
      </c>
      <c r="BP37" s="3">
        <f>infections!BP37-infections!BO37</f>
        <v>-1</v>
      </c>
      <c r="BQ37" s="3">
        <f>infections!BQ37-infections!BP37</f>
        <v>128</v>
      </c>
      <c r="BR37" s="3">
        <f>infections!BR37-infections!BQ37</f>
        <v>56</v>
      </c>
      <c r="BS37" s="3">
        <f>infections!BS37-infections!BR37</f>
        <v>0</v>
      </c>
      <c r="BT37" s="3">
        <f>infections!BT37-infections!BS37</f>
        <v>79</v>
      </c>
      <c r="BU37" s="3">
        <f>infections!BU37-infections!BT37</f>
        <v>40</v>
      </c>
      <c r="BV37" s="3">
        <f>infections!BV37-infections!BU37</f>
        <v>29</v>
      </c>
      <c r="BW37" s="3">
        <f>infections!BW37-infections!BV37</f>
        <v>64</v>
      </c>
      <c r="BX37" s="3">
        <f>infections!BX37-infections!BW37</f>
        <v>215</v>
      </c>
      <c r="BY37" s="3">
        <f>infections!BY37-infections!BX37</f>
        <v>0</v>
      </c>
    </row>
    <row r="38">
      <c r="B38" s="1" t="str">
        <f>infections!B38</f>
        <v>Canada</v>
      </c>
      <c r="C38" s="4">
        <f>infections!C38</f>
        <v>49.2827</v>
      </c>
      <c r="D38" s="4">
        <f>infections!D38</f>
        <v>-123.1207</v>
      </c>
      <c r="E38" s="4">
        <f>infections!E38</f>
        <v>0</v>
      </c>
      <c r="F38" s="3">
        <f>infections!F38-infections!E38</f>
        <v>0</v>
      </c>
      <c r="G38" s="3">
        <f>infections!G38-infections!F38</f>
        <v>0</v>
      </c>
      <c r="H38" s="3">
        <f>infections!H38-infections!G38</f>
        <v>0</v>
      </c>
      <c r="I38" s="3">
        <f>infections!I38-infections!H38</f>
        <v>0</v>
      </c>
      <c r="J38" s="3">
        <f>infections!J38-infections!I38</f>
        <v>0</v>
      </c>
      <c r="K38" s="3">
        <f>infections!K38-infections!J38</f>
        <v>1</v>
      </c>
      <c r="L38" s="3">
        <f>infections!L38-infections!K38</f>
        <v>0</v>
      </c>
      <c r="M38" s="3">
        <f>infections!M38-infections!L38</f>
        <v>0</v>
      </c>
      <c r="N38" s="3">
        <f>infections!N38-infections!M38</f>
        <v>0</v>
      </c>
      <c r="O38" s="3">
        <f>infections!O38-infections!N38</f>
        <v>0</v>
      </c>
      <c r="P38" s="3">
        <f>infections!P38-infections!O38</f>
        <v>0</v>
      </c>
      <c r="Q38" s="3">
        <f>infections!Q38-infections!P38</f>
        <v>0</v>
      </c>
      <c r="R38" s="3">
        <f>infections!R38-infections!Q38</f>
        <v>0</v>
      </c>
      <c r="S38" s="3">
        <f>infections!S38-infections!R38</f>
        <v>1</v>
      </c>
      <c r="T38" s="3">
        <f>infections!T38-infections!S38</f>
        <v>0</v>
      </c>
      <c r="U38" s="3">
        <f>infections!U38-infections!T38</f>
        <v>2</v>
      </c>
      <c r="V38" s="3">
        <f>infections!V38-infections!U38</f>
        <v>0</v>
      </c>
      <c r="W38" s="3">
        <f>infections!W38-infections!V38</f>
        <v>0</v>
      </c>
      <c r="X38" s="3">
        <f>infections!X38-infections!W38</f>
        <v>0</v>
      </c>
      <c r="Y38" s="3">
        <f>infections!Y38-infections!X38</f>
        <v>0</v>
      </c>
      <c r="Z38" s="3">
        <f>infections!Z38-infections!Y38</f>
        <v>0</v>
      </c>
      <c r="AA38" s="3">
        <f>infections!AA38-infections!Z38</f>
        <v>0</v>
      </c>
      <c r="AB38" s="3">
        <f>infections!AB38-infections!AA38</f>
        <v>0</v>
      </c>
      <c r="AC38" s="3">
        <f>infections!AC38-infections!AB38</f>
        <v>0</v>
      </c>
      <c r="AD38" s="3">
        <f>infections!AD38-infections!AC38</f>
        <v>0</v>
      </c>
      <c r="AE38" s="3">
        <f>infections!AE38-infections!AD38</f>
        <v>1</v>
      </c>
      <c r="AF38" s="3">
        <f>infections!AF38-infections!AE38</f>
        <v>0</v>
      </c>
      <c r="AG38" s="3">
        <f>infections!AG38-infections!AF38</f>
        <v>0</v>
      </c>
      <c r="AH38" s="3">
        <f>infections!AH38-infections!AG38</f>
        <v>0</v>
      </c>
      <c r="AI38" s="3">
        <f>infections!AI38-infections!AH38</f>
        <v>1</v>
      </c>
      <c r="AJ38" s="3">
        <f>infections!AJ38-infections!AI38</f>
        <v>0</v>
      </c>
      <c r="AK38" s="3">
        <f>infections!AK38-infections!AJ38</f>
        <v>0</v>
      </c>
      <c r="AL38" s="3">
        <f>infections!AL38-infections!AK38</f>
        <v>0</v>
      </c>
      <c r="AM38" s="3">
        <f>infections!AM38-infections!AL38</f>
        <v>1</v>
      </c>
      <c r="AN38" s="3">
        <f>infections!AN38-infections!AM38</f>
        <v>0</v>
      </c>
      <c r="AO38" s="3">
        <f>infections!AO38-infections!AN38</f>
        <v>0</v>
      </c>
      <c r="AP38" s="3">
        <f>infections!AP38-infections!AO38</f>
        <v>0</v>
      </c>
      <c r="AQ38" s="3">
        <f>infections!AQ38-infections!AP38</f>
        <v>1</v>
      </c>
      <c r="AR38" s="3">
        <f>infections!AR38-infections!AQ38</f>
        <v>0</v>
      </c>
      <c r="AS38" s="3">
        <f>infections!AS38-infections!AR38</f>
        <v>0</v>
      </c>
      <c r="AT38" s="3">
        <f>infections!AT38-infections!AS38</f>
        <v>1</v>
      </c>
      <c r="AU38" s="3">
        <f>infections!AU38-infections!AT38</f>
        <v>3</v>
      </c>
      <c r="AV38" s="3">
        <f>infections!AV38-infections!AU38</f>
        <v>1</v>
      </c>
      <c r="AW38" s="3">
        <f>infections!AW38-infections!AV38</f>
        <v>8</v>
      </c>
      <c r="AX38" s="3">
        <f>infections!AX38-infections!AW38</f>
        <v>0</v>
      </c>
      <c r="AY38" s="3">
        <f>infections!AY38-infections!AX38</f>
        <v>6</v>
      </c>
      <c r="AZ38" s="3">
        <f>infections!AZ38-infections!AY38</f>
        <v>5</v>
      </c>
      <c r="BA38" s="3">
        <f>infections!BA38-infections!AZ38</f>
        <v>0</v>
      </c>
      <c r="BB38" s="3">
        <f>infections!BB38-infections!BA38</f>
        <v>7</v>
      </c>
      <c r="BC38" s="3">
        <f>infections!BC38-infections!BB38</f>
        <v>7</v>
      </c>
      <c r="BD38" s="3">
        <f>infections!BD38-infections!BC38</f>
        <v>18</v>
      </c>
      <c r="BE38" s="3">
        <f>infections!BE38-infections!BD38</f>
        <v>0</v>
      </c>
      <c r="BF38" s="3">
        <f>infections!BF38-infections!BE38</f>
        <v>9</v>
      </c>
      <c r="BG38" s="3">
        <f>infections!BG38-infections!BF38</f>
        <v>30</v>
      </c>
      <c r="BH38" s="3">
        <f>infections!BH38-infections!BG38</f>
        <v>0</v>
      </c>
      <c r="BI38" s="3">
        <f>infections!BI38-infections!BH38</f>
        <v>83</v>
      </c>
      <c r="BJ38" s="3">
        <f>infections!BJ38-infections!BI38</f>
        <v>45</v>
      </c>
      <c r="BK38" s="3">
        <f>infections!BK38-infections!BJ38</f>
        <v>40</v>
      </c>
      <c r="BL38" s="3">
        <f>infections!BL38-infections!BK38</f>
        <v>153</v>
      </c>
      <c r="BM38" s="3">
        <f>infections!BM38-infections!BL38</f>
        <v>0</v>
      </c>
      <c r="BN38" s="3">
        <f>infections!BN38-infections!BM38</f>
        <v>48</v>
      </c>
      <c r="BO38" s="3">
        <f>infections!BO38-infections!BN38</f>
        <v>145</v>
      </c>
      <c r="BP38" s="3">
        <f>infections!BP38-infections!BO38</f>
        <v>0</v>
      </c>
      <c r="BQ38" s="3">
        <f>infections!BQ38-infections!BP38</f>
        <v>108</v>
      </c>
      <c r="BR38" s="3">
        <f>infections!BR38-infections!BQ38</f>
        <v>0</v>
      </c>
      <c r="BS38" s="3">
        <f>infections!BS38-infections!BR38</f>
        <v>159</v>
      </c>
      <c r="BT38" s="3">
        <f>infections!BT38-infections!BS38</f>
        <v>0</v>
      </c>
      <c r="BU38" s="3">
        <f>infections!BU38-infections!BT38</f>
        <v>86</v>
      </c>
      <c r="BV38" s="3">
        <f>infections!BV38-infections!BU38</f>
        <v>43</v>
      </c>
      <c r="BW38" s="3">
        <f>infections!BW38-infections!BV38</f>
        <v>0</v>
      </c>
      <c r="BX38" s="3">
        <f>infections!BX38-infections!BW38</f>
        <v>108</v>
      </c>
      <c r="BY38" s="3">
        <f>infections!BY38-infections!BX38</f>
        <v>53</v>
      </c>
    </row>
    <row r="39">
      <c r="B39" s="1" t="str">
        <f>infections!B39</f>
        <v>Canada</v>
      </c>
      <c r="C39" s="4">
        <f>infections!C39</f>
        <v>37.6489</v>
      </c>
      <c r="D39" s="4">
        <f>infections!D39</f>
        <v>-122.6655</v>
      </c>
      <c r="E39" s="4">
        <f>infections!E39</f>
        <v>0</v>
      </c>
      <c r="F39" s="3">
        <f>infections!F39-infections!E39</f>
        <v>0</v>
      </c>
      <c r="G39" s="3">
        <f>infections!G39-infections!F39</f>
        <v>0</v>
      </c>
      <c r="H39" s="3">
        <f>infections!H39-infections!G39</f>
        <v>0</v>
      </c>
      <c r="I39" s="3">
        <f>infections!I39-infections!H39</f>
        <v>0</v>
      </c>
      <c r="J39" s="3">
        <f>infections!J39-infections!I39</f>
        <v>0</v>
      </c>
      <c r="K39" s="3">
        <f>infections!K39-infections!J39</f>
        <v>0</v>
      </c>
      <c r="L39" s="3">
        <f>infections!L39-infections!K39</f>
        <v>0</v>
      </c>
      <c r="M39" s="3">
        <f>infections!M39-infections!L39</f>
        <v>0</v>
      </c>
      <c r="N39" s="3">
        <f>infections!N39-infections!M39</f>
        <v>0</v>
      </c>
      <c r="O39" s="3">
        <f>infections!O39-infections!N39</f>
        <v>0</v>
      </c>
      <c r="P39" s="3">
        <f>infections!P39-infections!O39</f>
        <v>0</v>
      </c>
      <c r="Q39" s="3">
        <f>infections!Q39-infections!P39</f>
        <v>0</v>
      </c>
      <c r="R39" s="3">
        <f>infections!R39-infections!Q39</f>
        <v>0</v>
      </c>
      <c r="S39" s="3">
        <f>infections!S39-infections!R39</f>
        <v>0</v>
      </c>
      <c r="T39" s="3">
        <f>infections!T39-infections!S39</f>
        <v>0</v>
      </c>
      <c r="U39" s="3">
        <f>infections!U39-infections!T39</f>
        <v>0</v>
      </c>
      <c r="V39" s="3">
        <f>infections!V39-infections!U39</f>
        <v>0</v>
      </c>
      <c r="W39" s="3">
        <f>infections!W39-infections!V39</f>
        <v>0</v>
      </c>
      <c r="X39" s="3">
        <f>infections!X39-infections!W39</f>
        <v>0</v>
      </c>
      <c r="Y39" s="3">
        <f>infections!Y39-infections!X39</f>
        <v>0</v>
      </c>
      <c r="Z39" s="3">
        <f>infections!Z39-infections!Y39</f>
        <v>0</v>
      </c>
      <c r="AA39" s="3">
        <f>infections!AA39-infections!Z39</f>
        <v>0</v>
      </c>
      <c r="AB39" s="3">
        <f>infections!AB39-infections!AA39</f>
        <v>0</v>
      </c>
      <c r="AC39" s="3">
        <f>infections!AC39-infections!AB39</f>
        <v>0</v>
      </c>
      <c r="AD39" s="3">
        <f>infections!AD39-infections!AC39</f>
        <v>0</v>
      </c>
      <c r="AE39" s="3">
        <f>infections!AE39-infections!AD39</f>
        <v>0</v>
      </c>
      <c r="AF39" s="3">
        <f>infections!AF39-infections!AE39</f>
        <v>0</v>
      </c>
      <c r="AG39" s="3">
        <f>infections!AG39-infections!AF39</f>
        <v>0</v>
      </c>
      <c r="AH39" s="3">
        <f>infections!AH39-infections!AG39</f>
        <v>0</v>
      </c>
      <c r="AI39" s="3">
        <f>infections!AI39-infections!AH39</f>
        <v>0</v>
      </c>
      <c r="AJ39" s="3">
        <f>infections!AJ39-infections!AI39</f>
        <v>0</v>
      </c>
      <c r="AK39" s="3">
        <f>infections!AK39-infections!AJ39</f>
        <v>0</v>
      </c>
      <c r="AL39" s="3">
        <f>infections!AL39-infections!AK39</f>
        <v>0</v>
      </c>
      <c r="AM39" s="3">
        <f>infections!AM39-infections!AL39</f>
        <v>0</v>
      </c>
      <c r="AN39" s="3">
        <f>infections!AN39-infections!AM39</f>
        <v>0</v>
      </c>
      <c r="AO39" s="3">
        <f>infections!AO39-infections!AN39</f>
        <v>0</v>
      </c>
      <c r="AP39" s="3">
        <f>infections!AP39-infections!AO39</f>
        <v>0</v>
      </c>
      <c r="AQ39" s="3">
        <f>infections!AQ39-infections!AP39</f>
        <v>0</v>
      </c>
      <c r="AR39" s="3">
        <f>infections!AR39-infections!AQ39</f>
        <v>0</v>
      </c>
      <c r="AS39" s="3">
        <f>infections!AS39-infections!AR39</f>
        <v>0</v>
      </c>
      <c r="AT39" s="3">
        <f>infections!AT39-infections!AS39</f>
        <v>0</v>
      </c>
      <c r="AU39" s="3">
        <f>infections!AU39-infections!AT39</f>
        <v>0</v>
      </c>
      <c r="AV39" s="3">
        <f>infections!AV39-infections!AU39</f>
        <v>0</v>
      </c>
      <c r="AW39" s="3">
        <f>infections!AW39-infections!AV39</f>
        <v>0</v>
      </c>
      <c r="AX39" s="3">
        <f>infections!AX39-infections!AW39</f>
        <v>0</v>
      </c>
      <c r="AY39" s="3">
        <f>infections!AY39-infections!AX39</f>
        <v>0</v>
      </c>
      <c r="AZ39" s="3">
        <f>infections!AZ39-infections!AY39</f>
        <v>0</v>
      </c>
      <c r="BA39" s="3">
        <f>infections!BA39-infections!AZ39</f>
        <v>0</v>
      </c>
      <c r="BB39" s="3">
        <f>infections!BB39-infections!BA39</f>
        <v>0</v>
      </c>
      <c r="BC39" s="3">
        <f>infections!BC39-infections!BB39</f>
        <v>0</v>
      </c>
      <c r="BD39" s="3">
        <f>infections!BD39-infections!BC39</f>
        <v>2</v>
      </c>
      <c r="BE39" s="3">
        <f>infections!BE39-infections!BD39</f>
        <v>0</v>
      </c>
      <c r="BF39" s="3">
        <f>infections!BF39-infections!BE39</f>
        <v>0</v>
      </c>
      <c r="BG39" s="3">
        <f>infections!BG39-infections!BF39</f>
        <v>0</v>
      </c>
      <c r="BH39" s="3">
        <f>infections!BH39-infections!BG39</f>
        <v>6</v>
      </c>
      <c r="BI39" s="3">
        <f>infections!BI39-infections!BH39</f>
        <v>1</v>
      </c>
      <c r="BJ39" s="3">
        <f>infections!BJ39-infections!BI39</f>
        <v>0</v>
      </c>
      <c r="BK39" s="3">
        <f>infections!BK39-infections!BJ39</f>
        <v>1</v>
      </c>
      <c r="BL39" s="3">
        <f>infections!BL39-infections!BK39</f>
        <v>0</v>
      </c>
      <c r="BM39" s="3">
        <f>infections!BM39-infections!BL39</f>
        <v>3</v>
      </c>
      <c r="BN39" s="3">
        <f>infections!BN39-infections!BM39</f>
        <v>0</v>
      </c>
      <c r="BO39" s="3">
        <f>infections!BO39-infections!BN39</f>
        <v>0</v>
      </c>
      <c r="BP39" s="3">
        <f>infections!BP39-infections!BO39</f>
        <v>0</v>
      </c>
      <c r="BQ39" s="3">
        <f>infections!BQ39-infections!BP39</f>
        <v>0</v>
      </c>
      <c r="BR39" s="3">
        <f>infections!BR39-infections!BQ39</f>
        <v>0</v>
      </c>
      <c r="BS39" s="3">
        <f>infections!BS39-infections!BR39</f>
        <v>0</v>
      </c>
      <c r="BT39" s="3">
        <f>infections!BT39-infections!BS39</f>
        <v>0</v>
      </c>
      <c r="BU39" s="3">
        <f>infections!BU39-infections!BT39</f>
        <v>0</v>
      </c>
      <c r="BV39" s="3">
        <f>infections!BV39-infections!BU39</f>
        <v>0</v>
      </c>
      <c r="BW39" s="3">
        <f>infections!BW39-infections!BV39</f>
        <v>0</v>
      </c>
      <c r="BX39" s="3">
        <f>infections!BX39-infections!BW39</f>
        <v>0</v>
      </c>
      <c r="BY39" s="3">
        <f>infections!BY39-infections!BX39</f>
        <v>0</v>
      </c>
    </row>
    <row r="40">
      <c r="B40" s="1" t="str">
        <f>infections!B40</f>
        <v>Canada</v>
      </c>
      <c r="C40" s="4">
        <f>infections!C40</f>
        <v>53.7609</v>
      </c>
      <c r="D40" s="4">
        <f>infections!D40</f>
        <v>-98.8139</v>
      </c>
      <c r="E40" s="4">
        <f>infections!E40</f>
        <v>0</v>
      </c>
      <c r="F40" s="3">
        <f>infections!F40-infections!E40</f>
        <v>0</v>
      </c>
      <c r="G40" s="3">
        <f>infections!G40-infections!F40</f>
        <v>0</v>
      </c>
      <c r="H40" s="3">
        <f>infections!H40-infections!G40</f>
        <v>0</v>
      </c>
      <c r="I40" s="3">
        <f>infections!I40-infections!H40</f>
        <v>0</v>
      </c>
      <c r="J40" s="3">
        <f>infections!J40-infections!I40</f>
        <v>0</v>
      </c>
      <c r="K40" s="3">
        <f>infections!K40-infections!J40</f>
        <v>0</v>
      </c>
      <c r="L40" s="3">
        <f>infections!L40-infections!K40</f>
        <v>0</v>
      </c>
      <c r="M40" s="3">
        <f>infections!M40-infections!L40</f>
        <v>0</v>
      </c>
      <c r="N40" s="3">
        <f>infections!N40-infections!M40</f>
        <v>0</v>
      </c>
      <c r="O40" s="3">
        <f>infections!O40-infections!N40</f>
        <v>0</v>
      </c>
      <c r="P40" s="3">
        <f>infections!P40-infections!O40</f>
        <v>0</v>
      </c>
      <c r="Q40" s="3">
        <f>infections!Q40-infections!P40</f>
        <v>0</v>
      </c>
      <c r="R40" s="3">
        <f>infections!R40-infections!Q40</f>
        <v>0</v>
      </c>
      <c r="S40" s="3">
        <f>infections!S40-infections!R40</f>
        <v>0</v>
      </c>
      <c r="T40" s="3">
        <f>infections!T40-infections!S40</f>
        <v>0</v>
      </c>
      <c r="U40" s="3">
        <f>infections!U40-infections!T40</f>
        <v>0</v>
      </c>
      <c r="V40" s="3">
        <f>infections!V40-infections!U40</f>
        <v>0</v>
      </c>
      <c r="W40" s="3">
        <f>infections!W40-infections!V40</f>
        <v>0</v>
      </c>
      <c r="X40" s="3">
        <f>infections!X40-infections!W40</f>
        <v>0</v>
      </c>
      <c r="Y40" s="3">
        <f>infections!Y40-infections!X40</f>
        <v>0</v>
      </c>
      <c r="Z40" s="3">
        <f>infections!Z40-infections!Y40</f>
        <v>0</v>
      </c>
      <c r="AA40" s="3">
        <f>infections!AA40-infections!Z40</f>
        <v>0</v>
      </c>
      <c r="AB40" s="3">
        <f>infections!AB40-infections!AA40</f>
        <v>0</v>
      </c>
      <c r="AC40" s="3">
        <f>infections!AC40-infections!AB40</f>
        <v>0</v>
      </c>
      <c r="AD40" s="3">
        <f>infections!AD40-infections!AC40</f>
        <v>0</v>
      </c>
      <c r="AE40" s="3">
        <f>infections!AE40-infections!AD40</f>
        <v>0</v>
      </c>
      <c r="AF40" s="3">
        <f>infections!AF40-infections!AE40</f>
        <v>0</v>
      </c>
      <c r="AG40" s="3">
        <f>infections!AG40-infections!AF40</f>
        <v>0</v>
      </c>
      <c r="AH40" s="3">
        <f>infections!AH40-infections!AG40</f>
        <v>0</v>
      </c>
      <c r="AI40" s="3">
        <f>infections!AI40-infections!AH40</f>
        <v>0</v>
      </c>
      <c r="AJ40" s="3">
        <f>infections!AJ40-infections!AI40</f>
        <v>0</v>
      </c>
      <c r="AK40" s="3">
        <f>infections!AK40-infections!AJ40</f>
        <v>0</v>
      </c>
      <c r="AL40" s="3">
        <f>infections!AL40-infections!AK40</f>
        <v>0</v>
      </c>
      <c r="AM40" s="3">
        <f>infections!AM40-infections!AL40</f>
        <v>0</v>
      </c>
      <c r="AN40" s="3">
        <f>infections!AN40-infections!AM40</f>
        <v>0</v>
      </c>
      <c r="AO40" s="3">
        <f>infections!AO40-infections!AN40</f>
        <v>0</v>
      </c>
      <c r="AP40" s="3">
        <f>infections!AP40-infections!AO40</f>
        <v>0</v>
      </c>
      <c r="AQ40" s="3">
        <f>infections!AQ40-infections!AP40</f>
        <v>0</v>
      </c>
      <c r="AR40" s="3">
        <f>infections!AR40-infections!AQ40</f>
        <v>0</v>
      </c>
      <c r="AS40" s="3">
        <f>infections!AS40-infections!AR40</f>
        <v>0</v>
      </c>
      <c r="AT40" s="3">
        <f>infections!AT40-infections!AS40</f>
        <v>0</v>
      </c>
      <c r="AU40" s="3">
        <f>infections!AU40-infections!AT40</f>
        <v>0</v>
      </c>
      <c r="AV40" s="3">
        <f>infections!AV40-infections!AU40</f>
        <v>0</v>
      </c>
      <c r="AW40" s="3">
        <f>infections!AW40-infections!AV40</f>
        <v>0</v>
      </c>
      <c r="AX40" s="3">
        <f>infections!AX40-infections!AW40</f>
        <v>0</v>
      </c>
      <c r="AY40" s="3">
        <f>infections!AY40-infections!AX40</f>
        <v>0</v>
      </c>
      <c r="AZ40" s="3">
        <f>infections!AZ40-infections!AY40</f>
        <v>0</v>
      </c>
      <c r="BA40" s="3">
        <f>infections!BA40-infections!AZ40</f>
        <v>0</v>
      </c>
      <c r="BB40" s="3">
        <f>infections!BB40-infections!BA40</f>
        <v>0</v>
      </c>
      <c r="BC40" s="3">
        <f>infections!BC40-infections!BB40</f>
        <v>0</v>
      </c>
      <c r="BD40" s="3">
        <f>infections!BD40-infections!BC40</f>
        <v>4</v>
      </c>
      <c r="BE40" s="3">
        <f>infections!BE40-infections!BD40</f>
        <v>0</v>
      </c>
      <c r="BF40" s="3">
        <f>infections!BF40-infections!BE40</f>
        <v>0</v>
      </c>
      <c r="BG40" s="3">
        <f>infections!BG40-infections!BF40</f>
        <v>3</v>
      </c>
      <c r="BH40" s="3">
        <f>infections!BH40-infections!BG40</f>
        <v>1</v>
      </c>
      <c r="BI40" s="3">
        <f>infections!BI40-infections!BH40</f>
        <v>7</v>
      </c>
      <c r="BJ40" s="3">
        <f>infections!BJ40-infections!BI40</f>
        <v>2</v>
      </c>
      <c r="BK40" s="3">
        <f>infections!BK40-infections!BJ40</f>
        <v>0</v>
      </c>
      <c r="BL40" s="3">
        <f>infections!BL40-infections!BK40</f>
        <v>1</v>
      </c>
      <c r="BM40" s="3">
        <f>infections!BM40-infections!BL40</f>
        <v>2</v>
      </c>
      <c r="BN40" s="3">
        <f>infections!BN40-infections!BM40</f>
        <v>0</v>
      </c>
      <c r="BO40" s="3">
        <f>infections!BO40-infections!BN40</f>
        <v>1</v>
      </c>
      <c r="BP40" s="3">
        <f>infections!BP40-infections!BO40</f>
        <v>14</v>
      </c>
      <c r="BQ40" s="3">
        <f>infections!BQ40-infections!BP40</f>
        <v>1</v>
      </c>
      <c r="BR40" s="3">
        <f>infections!BR40-infections!BQ40</f>
        <v>3</v>
      </c>
      <c r="BS40" s="3">
        <f>infections!BS40-infections!BR40</f>
        <v>25</v>
      </c>
      <c r="BT40" s="3">
        <f>infections!BT40-infections!BS40</f>
        <v>8</v>
      </c>
      <c r="BU40" s="3">
        <f>infections!BU40-infections!BT40</f>
        <v>24</v>
      </c>
      <c r="BV40" s="3">
        <f>infections!BV40-infections!BU40</f>
        <v>7</v>
      </c>
      <c r="BW40" s="3">
        <f>infections!BW40-infections!BV40</f>
        <v>24</v>
      </c>
      <c r="BX40" s="3">
        <f>infections!BX40-infections!BW40</f>
        <v>40</v>
      </c>
      <c r="BY40" s="3">
        <f>infections!BY40-infections!BX40</f>
        <v>15</v>
      </c>
    </row>
    <row r="41">
      <c r="B41" s="1" t="str">
        <f>infections!B41</f>
        <v>Canada</v>
      </c>
      <c r="C41" s="4">
        <f>infections!C41</f>
        <v>46.5653</v>
      </c>
      <c r="D41" s="4">
        <f>infections!D41</f>
        <v>-66.4619</v>
      </c>
      <c r="E41" s="4">
        <f>infections!E41</f>
        <v>0</v>
      </c>
      <c r="F41" s="3">
        <f>infections!F41-infections!E41</f>
        <v>0</v>
      </c>
      <c r="G41" s="3">
        <f>infections!G41-infections!F41</f>
        <v>0</v>
      </c>
      <c r="H41" s="3">
        <f>infections!H41-infections!G41</f>
        <v>0</v>
      </c>
      <c r="I41" s="3">
        <f>infections!I41-infections!H41</f>
        <v>0</v>
      </c>
      <c r="J41" s="3">
        <f>infections!J41-infections!I41</f>
        <v>0</v>
      </c>
      <c r="K41" s="3">
        <f>infections!K41-infections!J41</f>
        <v>0</v>
      </c>
      <c r="L41" s="3">
        <f>infections!L41-infections!K41</f>
        <v>0</v>
      </c>
      <c r="M41" s="3">
        <f>infections!M41-infections!L41</f>
        <v>0</v>
      </c>
      <c r="N41" s="3">
        <f>infections!N41-infections!M41</f>
        <v>0</v>
      </c>
      <c r="O41" s="3">
        <f>infections!O41-infections!N41</f>
        <v>0</v>
      </c>
      <c r="P41" s="3">
        <f>infections!P41-infections!O41</f>
        <v>0</v>
      </c>
      <c r="Q41" s="3">
        <f>infections!Q41-infections!P41</f>
        <v>0</v>
      </c>
      <c r="R41" s="3">
        <f>infections!R41-infections!Q41</f>
        <v>0</v>
      </c>
      <c r="S41" s="3">
        <f>infections!S41-infections!R41</f>
        <v>0</v>
      </c>
      <c r="T41" s="3">
        <f>infections!T41-infections!S41</f>
        <v>0</v>
      </c>
      <c r="U41" s="3">
        <f>infections!U41-infections!T41</f>
        <v>0</v>
      </c>
      <c r="V41" s="3">
        <f>infections!V41-infections!U41</f>
        <v>0</v>
      </c>
      <c r="W41" s="3">
        <f>infections!W41-infections!V41</f>
        <v>0</v>
      </c>
      <c r="X41" s="3">
        <f>infections!X41-infections!W41</f>
        <v>0</v>
      </c>
      <c r="Y41" s="3">
        <f>infections!Y41-infections!X41</f>
        <v>0</v>
      </c>
      <c r="Z41" s="3">
        <f>infections!Z41-infections!Y41</f>
        <v>0</v>
      </c>
      <c r="AA41" s="3">
        <f>infections!AA41-infections!Z41</f>
        <v>0</v>
      </c>
      <c r="AB41" s="3">
        <f>infections!AB41-infections!AA41</f>
        <v>0</v>
      </c>
      <c r="AC41" s="3">
        <f>infections!AC41-infections!AB41</f>
        <v>0</v>
      </c>
      <c r="AD41" s="3">
        <f>infections!AD41-infections!AC41</f>
        <v>0</v>
      </c>
      <c r="AE41" s="3">
        <f>infections!AE41-infections!AD41</f>
        <v>0</v>
      </c>
      <c r="AF41" s="3">
        <f>infections!AF41-infections!AE41</f>
        <v>0</v>
      </c>
      <c r="AG41" s="3">
        <f>infections!AG41-infections!AF41</f>
        <v>0</v>
      </c>
      <c r="AH41" s="3">
        <f>infections!AH41-infections!AG41</f>
        <v>0</v>
      </c>
      <c r="AI41" s="3">
        <f>infections!AI41-infections!AH41</f>
        <v>0</v>
      </c>
      <c r="AJ41" s="3">
        <f>infections!AJ41-infections!AI41</f>
        <v>0</v>
      </c>
      <c r="AK41" s="3">
        <f>infections!AK41-infections!AJ41</f>
        <v>0</v>
      </c>
      <c r="AL41" s="3">
        <f>infections!AL41-infections!AK41</f>
        <v>0</v>
      </c>
      <c r="AM41" s="3">
        <f>infections!AM41-infections!AL41</f>
        <v>0</v>
      </c>
      <c r="AN41" s="3">
        <f>infections!AN41-infections!AM41</f>
        <v>0</v>
      </c>
      <c r="AO41" s="3">
        <f>infections!AO41-infections!AN41</f>
        <v>0</v>
      </c>
      <c r="AP41" s="3">
        <f>infections!AP41-infections!AO41</f>
        <v>0</v>
      </c>
      <c r="AQ41" s="3">
        <f>infections!AQ41-infections!AP41</f>
        <v>0</v>
      </c>
      <c r="AR41" s="3">
        <f>infections!AR41-infections!AQ41</f>
        <v>0</v>
      </c>
      <c r="AS41" s="3">
        <f>infections!AS41-infections!AR41</f>
        <v>0</v>
      </c>
      <c r="AT41" s="3">
        <f>infections!AT41-infections!AS41</f>
        <v>0</v>
      </c>
      <c r="AU41" s="3">
        <f>infections!AU41-infections!AT41</f>
        <v>0</v>
      </c>
      <c r="AV41" s="3">
        <f>infections!AV41-infections!AU41</f>
        <v>0</v>
      </c>
      <c r="AW41" s="3">
        <f>infections!AW41-infections!AV41</f>
        <v>0</v>
      </c>
      <c r="AX41" s="3">
        <f>infections!AX41-infections!AW41</f>
        <v>0</v>
      </c>
      <c r="AY41" s="3">
        <f>infections!AY41-infections!AX41</f>
        <v>0</v>
      </c>
      <c r="AZ41" s="3">
        <f>infections!AZ41-infections!AY41</f>
        <v>0</v>
      </c>
      <c r="BA41" s="3">
        <f>infections!BA41-infections!AZ41</f>
        <v>0</v>
      </c>
      <c r="BB41" s="3">
        <f>infections!BB41-infections!BA41</f>
        <v>1</v>
      </c>
      <c r="BC41" s="3">
        <f>infections!BC41-infections!BB41</f>
        <v>0</v>
      </c>
      <c r="BD41" s="3">
        <f>infections!BD41-infections!BC41</f>
        <v>0</v>
      </c>
      <c r="BE41" s="3">
        <f>infections!BE41-infections!BD41</f>
        <v>0</v>
      </c>
      <c r="BF41" s="3">
        <f>infections!BF41-infections!BE41</f>
        <v>1</v>
      </c>
      <c r="BG41" s="3">
        <f>infections!BG41-infections!BF41</f>
        <v>4</v>
      </c>
      <c r="BH41" s="3">
        <f>infections!BH41-infections!BG41</f>
        <v>2</v>
      </c>
      <c r="BI41" s="3">
        <f>infections!BI41-infections!BH41</f>
        <v>3</v>
      </c>
      <c r="BJ41" s="3">
        <f>infections!BJ41-infections!BI41</f>
        <v>0</v>
      </c>
      <c r="BK41" s="3">
        <f>infections!BK41-infections!BJ41</f>
        <v>0</v>
      </c>
      <c r="BL41" s="3">
        <f>infections!BL41-infections!BK41</f>
        <v>6</v>
      </c>
      <c r="BM41" s="3">
        <f>infections!BM41-infections!BL41</f>
        <v>0</v>
      </c>
      <c r="BN41" s="3">
        <f>infections!BN41-infections!BM41</f>
        <v>0</v>
      </c>
      <c r="BO41" s="3">
        <f>infections!BO41-infections!BN41</f>
        <v>1</v>
      </c>
      <c r="BP41" s="3">
        <f>infections!BP41-infections!BO41</f>
        <v>0</v>
      </c>
      <c r="BQ41" s="3">
        <f>infections!BQ41-infections!BP41</f>
        <v>15</v>
      </c>
      <c r="BR41" s="3">
        <f>infections!BR41-infections!BQ41</f>
        <v>12</v>
      </c>
      <c r="BS41" s="3">
        <f>infections!BS41-infections!BR41</f>
        <v>6</v>
      </c>
      <c r="BT41" s="3">
        <f>infections!BT41-infections!BS41</f>
        <v>15</v>
      </c>
      <c r="BU41" s="3">
        <f>infections!BU41-infections!BT41</f>
        <v>2</v>
      </c>
      <c r="BV41" s="3">
        <f>infections!BV41-infections!BU41</f>
        <v>2</v>
      </c>
      <c r="BW41" s="3">
        <f>infections!BW41-infections!BV41</f>
        <v>11</v>
      </c>
      <c r="BX41" s="3">
        <f>infections!BX41-infections!BW41</f>
        <v>10</v>
      </c>
      <c r="BY41" s="3">
        <f>infections!BY41-infections!BX41</f>
        <v>0</v>
      </c>
    </row>
    <row r="42">
      <c r="B42" s="1" t="str">
        <f>infections!B42</f>
        <v>Canada</v>
      </c>
      <c r="C42" s="4">
        <f>infections!C42</f>
        <v>53.1355</v>
      </c>
      <c r="D42" s="4">
        <f>infections!D42</f>
        <v>-57.6604</v>
      </c>
      <c r="E42" s="4">
        <f>infections!E42</f>
        <v>0</v>
      </c>
      <c r="F42" s="3">
        <f>infections!F42-infections!E42</f>
        <v>0</v>
      </c>
      <c r="G42" s="3">
        <f>infections!G42-infections!F42</f>
        <v>0</v>
      </c>
      <c r="H42" s="3">
        <f>infections!H42-infections!G42</f>
        <v>0</v>
      </c>
      <c r="I42" s="3">
        <f>infections!I42-infections!H42</f>
        <v>0</v>
      </c>
      <c r="J42" s="3">
        <f>infections!J42-infections!I42</f>
        <v>0</v>
      </c>
      <c r="K42" s="3">
        <f>infections!K42-infections!J42</f>
        <v>0</v>
      </c>
      <c r="L42" s="3">
        <f>infections!L42-infections!K42</f>
        <v>0</v>
      </c>
      <c r="M42" s="3">
        <f>infections!M42-infections!L42</f>
        <v>0</v>
      </c>
      <c r="N42" s="3">
        <f>infections!N42-infections!M42</f>
        <v>0</v>
      </c>
      <c r="O42" s="3">
        <f>infections!O42-infections!N42</f>
        <v>0</v>
      </c>
      <c r="P42" s="3">
        <f>infections!P42-infections!O42</f>
        <v>0</v>
      </c>
      <c r="Q42" s="3">
        <f>infections!Q42-infections!P42</f>
        <v>0</v>
      </c>
      <c r="R42" s="3">
        <f>infections!R42-infections!Q42</f>
        <v>0</v>
      </c>
      <c r="S42" s="3">
        <f>infections!S42-infections!R42</f>
        <v>0</v>
      </c>
      <c r="T42" s="3">
        <f>infections!T42-infections!S42</f>
        <v>0</v>
      </c>
      <c r="U42" s="3">
        <f>infections!U42-infections!T42</f>
        <v>0</v>
      </c>
      <c r="V42" s="3">
        <f>infections!V42-infections!U42</f>
        <v>0</v>
      </c>
      <c r="W42" s="3">
        <f>infections!W42-infections!V42</f>
        <v>0</v>
      </c>
      <c r="X42" s="3">
        <f>infections!X42-infections!W42</f>
        <v>0</v>
      </c>
      <c r="Y42" s="3">
        <f>infections!Y42-infections!X42</f>
        <v>0</v>
      </c>
      <c r="Z42" s="3">
        <f>infections!Z42-infections!Y42</f>
        <v>0</v>
      </c>
      <c r="AA42" s="3">
        <f>infections!AA42-infections!Z42</f>
        <v>0</v>
      </c>
      <c r="AB42" s="3">
        <f>infections!AB42-infections!AA42</f>
        <v>0</v>
      </c>
      <c r="AC42" s="3">
        <f>infections!AC42-infections!AB42</f>
        <v>0</v>
      </c>
      <c r="AD42" s="3">
        <f>infections!AD42-infections!AC42</f>
        <v>0</v>
      </c>
      <c r="AE42" s="3">
        <f>infections!AE42-infections!AD42</f>
        <v>0</v>
      </c>
      <c r="AF42" s="3">
        <f>infections!AF42-infections!AE42</f>
        <v>0</v>
      </c>
      <c r="AG42" s="3">
        <f>infections!AG42-infections!AF42</f>
        <v>0</v>
      </c>
      <c r="AH42" s="3">
        <f>infections!AH42-infections!AG42</f>
        <v>0</v>
      </c>
      <c r="AI42" s="3">
        <f>infections!AI42-infections!AH42</f>
        <v>0</v>
      </c>
      <c r="AJ42" s="3">
        <f>infections!AJ42-infections!AI42</f>
        <v>0</v>
      </c>
      <c r="AK42" s="3">
        <f>infections!AK42-infections!AJ42</f>
        <v>0</v>
      </c>
      <c r="AL42" s="3">
        <f>infections!AL42-infections!AK42</f>
        <v>0</v>
      </c>
      <c r="AM42" s="3">
        <f>infections!AM42-infections!AL42</f>
        <v>0</v>
      </c>
      <c r="AN42" s="3">
        <f>infections!AN42-infections!AM42</f>
        <v>0</v>
      </c>
      <c r="AO42" s="3">
        <f>infections!AO42-infections!AN42</f>
        <v>0</v>
      </c>
      <c r="AP42" s="3">
        <f>infections!AP42-infections!AO42</f>
        <v>0</v>
      </c>
      <c r="AQ42" s="3">
        <f>infections!AQ42-infections!AP42</f>
        <v>0</v>
      </c>
      <c r="AR42" s="3">
        <f>infections!AR42-infections!AQ42</f>
        <v>0</v>
      </c>
      <c r="AS42" s="3">
        <f>infections!AS42-infections!AR42</f>
        <v>0</v>
      </c>
      <c r="AT42" s="3">
        <f>infections!AT42-infections!AS42</f>
        <v>0</v>
      </c>
      <c r="AU42" s="3">
        <f>infections!AU42-infections!AT42</f>
        <v>0</v>
      </c>
      <c r="AV42" s="3">
        <f>infections!AV42-infections!AU42</f>
        <v>0</v>
      </c>
      <c r="AW42" s="3">
        <f>infections!AW42-infections!AV42</f>
        <v>0</v>
      </c>
      <c r="AX42" s="3">
        <f>infections!AX42-infections!AW42</f>
        <v>0</v>
      </c>
      <c r="AY42" s="3">
        <f>infections!AY42-infections!AX42</f>
        <v>0</v>
      </c>
      <c r="AZ42" s="3">
        <f>infections!AZ42-infections!AY42</f>
        <v>0</v>
      </c>
      <c r="BA42" s="3">
        <f>infections!BA42-infections!AZ42</f>
        <v>0</v>
      </c>
      <c r="BB42" s="3">
        <f>infections!BB42-infections!BA42</f>
        <v>0</v>
      </c>
      <c r="BC42" s="3">
        <f>infections!BC42-infections!BB42</f>
        <v>0</v>
      </c>
      <c r="BD42" s="3">
        <f>infections!BD42-infections!BC42</f>
        <v>0</v>
      </c>
      <c r="BE42" s="3">
        <f>infections!BE42-infections!BD42</f>
        <v>0</v>
      </c>
      <c r="BF42" s="3">
        <f>infections!BF42-infections!BE42</f>
        <v>1</v>
      </c>
      <c r="BG42" s="3">
        <f>infections!BG42-infections!BF42</f>
        <v>0</v>
      </c>
      <c r="BH42" s="3">
        <f>infections!BH42-infections!BG42</f>
        <v>2</v>
      </c>
      <c r="BI42" s="3">
        <f>infections!BI42-infections!BH42</f>
        <v>0</v>
      </c>
      <c r="BJ42" s="3">
        <f>infections!BJ42-infections!BI42</f>
        <v>0</v>
      </c>
      <c r="BK42" s="3">
        <f>infections!BK42-infections!BJ42</f>
        <v>1</v>
      </c>
      <c r="BL42" s="3">
        <f>infections!BL42-infections!BK42</f>
        <v>2</v>
      </c>
      <c r="BM42" s="3">
        <f>infections!BM42-infections!BL42</f>
        <v>3</v>
      </c>
      <c r="BN42" s="3">
        <f>infections!BN42-infections!BM42</f>
        <v>15</v>
      </c>
      <c r="BO42" s="3">
        <f>infections!BO42-infections!BN42</f>
        <v>11</v>
      </c>
      <c r="BP42" s="3">
        <f>infections!BP42-infections!BO42</f>
        <v>0</v>
      </c>
      <c r="BQ42" s="3">
        <f>infections!BQ42-infections!BP42</f>
        <v>47</v>
      </c>
      <c r="BR42" s="3">
        <f>infections!BR42-infections!BQ42</f>
        <v>20</v>
      </c>
      <c r="BS42" s="3">
        <f>infections!BS42-infections!BR42</f>
        <v>18</v>
      </c>
      <c r="BT42" s="3">
        <f>infections!BT42-infections!BS42</f>
        <v>15</v>
      </c>
      <c r="BU42" s="3">
        <f>infections!BU42-infections!BT42</f>
        <v>13</v>
      </c>
      <c r="BV42" s="3">
        <f>infections!BV42-infections!BU42</f>
        <v>4</v>
      </c>
      <c r="BW42" s="3">
        <f>infections!BW42-infections!BV42</f>
        <v>23</v>
      </c>
      <c r="BX42" s="3">
        <f>infections!BX42-infections!BW42</f>
        <v>8</v>
      </c>
      <c r="BY42" s="3">
        <f>infections!BY42-infections!BX42</f>
        <v>12</v>
      </c>
    </row>
    <row r="43">
      <c r="B43" s="1" t="str">
        <f>infections!B43</f>
        <v>Canada</v>
      </c>
      <c r="C43" s="4">
        <f>infections!C43</f>
        <v>44.682</v>
      </c>
      <c r="D43" s="4">
        <f>infections!D43</f>
        <v>-63.7443</v>
      </c>
      <c r="E43" s="4">
        <f>infections!E43</f>
        <v>0</v>
      </c>
      <c r="F43" s="3">
        <f>infections!F43-infections!E43</f>
        <v>0</v>
      </c>
      <c r="G43" s="3">
        <f>infections!G43-infections!F43</f>
        <v>0</v>
      </c>
      <c r="H43" s="3">
        <f>infections!H43-infections!G43</f>
        <v>0</v>
      </c>
      <c r="I43" s="3">
        <f>infections!I43-infections!H43</f>
        <v>0</v>
      </c>
      <c r="J43" s="3">
        <f>infections!J43-infections!I43</f>
        <v>0</v>
      </c>
      <c r="K43" s="3">
        <f>infections!K43-infections!J43</f>
        <v>0</v>
      </c>
      <c r="L43" s="3">
        <f>infections!L43-infections!K43</f>
        <v>0</v>
      </c>
      <c r="M43" s="3">
        <f>infections!M43-infections!L43</f>
        <v>0</v>
      </c>
      <c r="N43" s="3">
        <f>infections!N43-infections!M43</f>
        <v>0</v>
      </c>
      <c r="O43" s="3">
        <f>infections!O43-infections!N43</f>
        <v>0</v>
      </c>
      <c r="P43" s="3">
        <f>infections!P43-infections!O43</f>
        <v>0</v>
      </c>
      <c r="Q43" s="3">
        <f>infections!Q43-infections!P43</f>
        <v>0</v>
      </c>
      <c r="R43" s="3">
        <f>infections!R43-infections!Q43</f>
        <v>0</v>
      </c>
      <c r="S43" s="3">
        <f>infections!S43-infections!R43</f>
        <v>0</v>
      </c>
      <c r="T43" s="3">
        <f>infections!T43-infections!S43</f>
        <v>0</v>
      </c>
      <c r="U43" s="3">
        <f>infections!U43-infections!T43</f>
        <v>0</v>
      </c>
      <c r="V43" s="3">
        <f>infections!V43-infections!U43</f>
        <v>0</v>
      </c>
      <c r="W43" s="3">
        <f>infections!W43-infections!V43</f>
        <v>0</v>
      </c>
      <c r="X43" s="3">
        <f>infections!X43-infections!W43</f>
        <v>0</v>
      </c>
      <c r="Y43" s="3">
        <f>infections!Y43-infections!X43</f>
        <v>0</v>
      </c>
      <c r="Z43" s="3">
        <f>infections!Z43-infections!Y43</f>
        <v>0</v>
      </c>
      <c r="AA43" s="3">
        <f>infections!AA43-infections!Z43</f>
        <v>0</v>
      </c>
      <c r="AB43" s="3">
        <f>infections!AB43-infections!AA43</f>
        <v>0</v>
      </c>
      <c r="AC43" s="3">
        <f>infections!AC43-infections!AB43</f>
        <v>0</v>
      </c>
      <c r="AD43" s="3">
        <f>infections!AD43-infections!AC43</f>
        <v>0</v>
      </c>
      <c r="AE43" s="3">
        <f>infections!AE43-infections!AD43</f>
        <v>0</v>
      </c>
      <c r="AF43" s="3">
        <f>infections!AF43-infections!AE43</f>
        <v>0</v>
      </c>
      <c r="AG43" s="3">
        <f>infections!AG43-infections!AF43</f>
        <v>0</v>
      </c>
      <c r="AH43" s="3">
        <f>infections!AH43-infections!AG43</f>
        <v>0</v>
      </c>
      <c r="AI43" s="3">
        <f>infections!AI43-infections!AH43</f>
        <v>0</v>
      </c>
      <c r="AJ43" s="3">
        <f>infections!AJ43-infections!AI43</f>
        <v>0</v>
      </c>
      <c r="AK43" s="3">
        <f>infections!AK43-infections!AJ43</f>
        <v>0</v>
      </c>
      <c r="AL43" s="3">
        <f>infections!AL43-infections!AK43</f>
        <v>0</v>
      </c>
      <c r="AM43" s="3">
        <f>infections!AM43-infections!AL43</f>
        <v>0</v>
      </c>
      <c r="AN43" s="3">
        <f>infections!AN43-infections!AM43</f>
        <v>0</v>
      </c>
      <c r="AO43" s="3">
        <f>infections!AO43-infections!AN43</f>
        <v>0</v>
      </c>
      <c r="AP43" s="3">
        <f>infections!AP43-infections!AO43</f>
        <v>0</v>
      </c>
      <c r="AQ43" s="3">
        <f>infections!AQ43-infections!AP43</f>
        <v>0</v>
      </c>
      <c r="AR43" s="3">
        <f>infections!AR43-infections!AQ43</f>
        <v>0</v>
      </c>
      <c r="AS43" s="3">
        <f>infections!AS43-infections!AR43</f>
        <v>0</v>
      </c>
      <c r="AT43" s="3">
        <f>infections!AT43-infections!AS43</f>
        <v>0</v>
      </c>
      <c r="AU43" s="3">
        <f>infections!AU43-infections!AT43</f>
        <v>0</v>
      </c>
      <c r="AV43" s="3">
        <f>infections!AV43-infections!AU43</f>
        <v>0</v>
      </c>
      <c r="AW43" s="3">
        <f>infections!AW43-infections!AV43</f>
        <v>0</v>
      </c>
      <c r="AX43" s="3">
        <f>infections!AX43-infections!AW43</f>
        <v>0</v>
      </c>
      <c r="AY43" s="3">
        <f>infections!AY43-infections!AX43</f>
        <v>0</v>
      </c>
      <c r="AZ43" s="3">
        <f>infections!AZ43-infections!AY43</f>
        <v>0</v>
      </c>
      <c r="BA43" s="3">
        <f>infections!BA43-infections!AZ43</f>
        <v>0</v>
      </c>
      <c r="BB43" s="3">
        <f>infections!BB43-infections!BA43</f>
        <v>0</v>
      </c>
      <c r="BC43" s="3">
        <f>infections!BC43-infections!BB43</f>
        <v>0</v>
      </c>
      <c r="BD43" s="3">
        <f>infections!BD43-infections!BC43</f>
        <v>0</v>
      </c>
      <c r="BE43" s="3">
        <f>infections!BE43-infections!BD43</f>
        <v>0</v>
      </c>
      <c r="BF43" s="3">
        <f>infections!BF43-infections!BE43</f>
        <v>0</v>
      </c>
      <c r="BG43" s="3">
        <f>infections!BG43-infections!BF43</f>
        <v>5</v>
      </c>
      <c r="BH43" s="3">
        <f>infections!BH43-infections!BG43</f>
        <v>2</v>
      </c>
      <c r="BI43" s="3">
        <f>infections!BI43-infections!BH43</f>
        <v>5</v>
      </c>
      <c r="BJ43" s="3">
        <f>infections!BJ43-infections!BI43</f>
        <v>2</v>
      </c>
      <c r="BK43" s="3">
        <f>infections!BK43-infections!BJ43</f>
        <v>1</v>
      </c>
      <c r="BL43" s="3">
        <f>infections!BL43-infections!BK43</f>
        <v>6</v>
      </c>
      <c r="BM43" s="3">
        <f>infections!BM43-infections!BL43</f>
        <v>7</v>
      </c>
      <c r="BN43" s="3">
        <f>infections!BN43-infections!BM43</f>
        <v>13</v>
      </c>
      <c r="BO43" s="3">
        <f>infections!BO43-infections!BN43</f>
        <v>10</v>
      </c>
      <c r="BP43" s="3">
        <f>infections!BP43-infections!BO43</f>
        <v>17</v>
      </c>
      <c r="BQ43" s="3">
        <f>infections!BQ43-infections!BP43</f>
        <v>5</v>
      </c>
      <c r="BR43" s="3">
        <f>infections!BR43-infections!BQ43</f>
        <v>17</v>
      </c>
      <c r="BS43" s="3">
        <f>infections!BS43-infections!BR43</f>
        <v>20</v>
      </c>
      <c r="BT43" s="3">
        <f>infections!BT43-infections!BS43</f>
        <v>12</v>
      </c>
      <c r="BU43" s="3">
        <f>infections!BU43-infections!BT43</f>
        <v>5</v>
      </c>
      <c r="BV43" s="3">
        <f>infections!BV43-infections!BU43</f>
        <v>20</v>
      </c>
      <c r="BW43" s="3">
        <f>infections!BW43-infections!BV43</f>
        <v>26</v>
      </c>
      <c r="BX43" s="3">
        <f>infections!BX43-infections!BW43</f>
        <v>20</v>
      </c>
      <c r="BY43" s="3">
        <f>infections!BY43-infections!BX43</f>
        <v>14</v>
      </c>
    </row>
    <row r="44">
      <c r="B44" s="1" t="str">
        <f>infections!B44</f>
        <v>Canada</v>
      </c>
      <c r="C44" s="4">
        <f>infections!C44</f>
        <v>51.2538</v>
      </c>
      <c r="D44" s="4">
        <f>infections!D44</f>
        <v>-85.3232</v>
      </c>
      <c r="E44" s="4">
        <f>infections!E44</f>
        <v>0</v>
      </c>
      <c r="F44" s="3">
        <f>infections!F44-infections!E44</f>
        <v>0</v>
      </c>
      <c r="G44" s="3">
        <f>infections!G44-infections!F44</f>
        <v>0</v>
      </c>
      <c r="H44" s="3">
        <f>infections!H44-infections!G44</f>
        <v>0</v>
      </c>
      <c r="I44" s="3">
        <f>infections!I44-infections!H44</f>
        <v>1</v>
      </c>
      <c r="J44" s="3">
        <f>infections!J44-infections!I44</f>
        <v>0</v>
      </c>
      <c r="K44" s="3">
        <f>infections!K44-infections!J44</f>
        <v>0</v>
      </c>
      <c r="L44" s="3">
        <f>infections!L44-infections!K44</f>
        <v>0</v>
      </c>
      <c r="M44" s="3">
        <f>infections!M44-infections!L44</f>
        <v>0</v>
      </c>
      <c r="N44" s="3">
        <f>infections!N44-infections!M44</f>
        <v>2</v>
      </c>
      <c r="O44" s="3">
        <f>infections!O44-infections!N44</f>
        <v>0</v>
      </c>
      <c r="P44" s="3">
        <f>infections!P44-infections!O44</f>
        <v>0</v>
      </c>
      <c r="Q44" s="3">
        <f>infections!Q44-infections!P44</f>
        <v>0</v>
      </c>
      <c r="R44" s="3">
        <f>infections!R44-infections!Q44</f>
        <v>0</v>
      </c>
      <c r="S44" s="3">
        <f>infections!S44-infections!R44</f>
        <v>0</v>
      </c>
      <c r="T44" s="3">
        <f>infections!T44-infections!S44</f>
        <v>0</v>
      </c>
      <c r="U44" s="3">
        <f>infections!U44-infections!T44</f>
        <v>0</v>
      </c>
      <c r="V44" s="3">
        <f>infections!V44-infections!U44</f>
        <v>0</v>
      </c>
      <c r="W44" s="3">
        <f>infections!W44-infections!V44</f>
        <v>0</v>
      </c>
      <c r="X44" s="3">
        <f>infections!X44-infections!W44</f>
        <v>0</v>
      </c>
      <c r="Y44" s="3">
        <f>infections!Y44-infections!X44</f>
        <v>0</v>
      </c>
      <c r="Z44" s="3">
        <f>infections!Z44-infections!Y44</f>
        <v>0</v>
      </c>
      <c r="AA44" s="3">
        <f>infections!AA44-infections!Z44</f>
        <v>0</v>
      </c>
      <c r="AB44" s="3">
        <f>infections!AB44-infections!AA44</f>
        <v>0</v>
      </c>
      <c r="AC44" s="3">
        <f>infections!AC44-infections!AB44</f>
        <v>0</v>
      </c>
      <c r="AD44" s="3">
        <f>infections!AD44-infections!AC44</f>
        <v>0</v>
      </c>
      <c r="AE44" s="3">
        <f>infections!AE44-infections!AD44</f>
        <v>0</v>
      </c>
      <c r="AF44" s="3">
        <f>infections!AF44-infections!AE44</f>
        <v>0</v>
      </c>
      <c r="AG44" s="3">
        <f>infections!AG44-infections!AF44</f>
        <v>0</v>
      </c>
      <c r="AH44" s="3">
        <f>infections!AH44-infections!AG44</f>
        <v>0</v>
      </c>
      <c r="AI44" s="3">
        <f>infections!AI44-infections!AH44</f>
        <v>0</v>
      </c>
      <c r="AJ44" s="3">
        <f>infections!AJ44-infections!AI44</f>
        <v>0</v>
      </c>
      <c r="AK44" s="3">
        <f>infections!AK44-infections!AJ44</f>
        <v>0</v>
      </c>
      <c r="AL44" s="3">
        <f>infections!AL44-infections!AK44</f>
        <v>1</v>
      </c>
      <c r="AM44" s="3">
        <f>infections!AM44-infections!AL44</f>
        <v>0</v>
      </c>
      <c r="AN44" s="3">
        <f>infections!AN44-infections!AM44</f>
        <v>0</v>
      </c>
      <c r="AO44" s="3">
        <f>infections!AO44-infections!AN44</f>
        <v>2</v>
      </c>
      <c r="AP44" s="3">
        <f>infections!AP44-infections!AO44</f>
        <v>0</v>
      </c>
      <c r="AQ44" s="3">
        <f>infections!AQ44-infections!AP44</f>
        <v>5</v>
      </c>
      <c r="AR44" s="3">
        <f>infections!AR44-infections!AQ44</f>
        <v>4</v>
      </c>
      <c r="AS44" s="3">
        <f>infections!AS44-infections!AR44</f>
        <v>3</v>
      </c>
      <c r="AT44" s="3">
        <f>infections!AT44-infections!AS44</f>
        <v>2</v>
      </c>
      <c r="AU44" s="3">
        <f>infections!AU44-infections!AT44</f>
        <v>0</v>
      </c>
      <c r="AV44" s="3">
        <f>infections!AV44-infections!AU44</f>
        <v>2</v>
      </c>
      <c r="AW44" s="3">
        <f>infections!AW44-infections!AV44</f>
        <v>3</v>
      </c>
      <c r="AX44" s="3">
        <f>infections!AX44-infections!AW44</f>
        <v>3</v>
      </c>
      <c r="AY44" s="3">
        <f>infections!AY44-infections!AX44</f>
        <v>1</v>
      </c>
      <c r="AZ44" s="3">
        <f>infections!AZ44-infections!AY44</f>
        <v>5</v>
      </c>
      <c r="BA44" s="3">
        <f>infections!BA44-infections!AZ44</f>
        <v>2</v>
      </c>
      <c r="BB44" s="3">
        <f>infections!BB44-infections!BA44</f>
        <v>5</v>
      </c>
      <c r="BC44" s="3">
        <f>infections!BC44-infections!BB44</f>
        <v>1</v>
      </c>
      <c r="BD44" s="3">
        <f>infections!BD44-infections!BC44</f>
        <v>32</v>
      </c>
      <c r="BE44" s="3">
        <f>infections!BE44-infections!BD44</f>
        <v>5</v>
      </c>
      <c r="BF44" s="3">
        <f>infections!BF44-infections!BE44</f>
        <v>25</v>
      </c>
      <c r="BG44" s="3">
        <f>infections!BG44-infections!BF44</f>
        <v>73</v>
      </c>
      <c r="BH44" s="3">
        <f>infections!BH44-infections!BG44</f>
        <v>8</v>
      </c>
      <c r="BI44" s="3">
        <f>infections!BI44-infections!BH44</f>
        <v>36</v>
      </c>
      <c r="BJ44" s="3">
        <f>infections!BJ44-infections!BI44</f>
        <v>36</v>
      </c>
      <c r="BK44" s="3">
        <f>infections!BK44-infections!BJ44</f>
        <v>51</v>
      </c>
      <c r="BL44" s="3">
        <f>infections!BL44-infections!BK44</f>
        <v>69</v>
      </c>
      <c r="BM44" s="3">
        <f>infections!BM44-infections!BL44</f>
        <v>48</v>
      </c>
      <c r="BN44" s="3">
        <f>infections!BN44-infections!BM44</f>
        <v>78</v>
      </c>
      <c r="BO44" s="3">
        <f>infections!BO44-infections!BN44</f>
        <v>85</v>
      </c>
      <c r="BP44" s="3">
        <f>infections!BP44-infections!BO44</f>
        <v>100</v>
      </c>
      <c r="BQ44" s="3">
        <f>infections!BQ44-infections!BP44</f>
        <v>170</v>
      </c>
      <c r="BR44" s="3">
        <f>infections!BR44-infections!BQ44</f>
        <v>136</v>
      </c>
      <c r="BS44" s="3">
        <f>infections!BS44-infections!BR44</f>
        <v>150</v>
      </c>
      <c r="BT44" s="3">
        <f>infections!BT44-infections!BS44</f>
        <v>211</v>
      </c>
      <c r="BU44" s="3">
        <f>infections!BU44-infections!BT44</f>
        <v>351</v>
      </c>
      <c r="BV44" s="3">
        <f>infections!BV44-infections!BU44</f>
        <v>260</v>
      </c>
      <c r="BW44" s="3">
        <f>infections!BW44-infections!BV44</f>
        <v>426</v>
      </c>
      <c r="BX44" s="3">
        <f>infections!BX44-infections!BW44</f>
        <v>401</v>
      </c>
      <c r="BY44" s="3">
        <f>infections!BY44-infections!BX44</f>
        <v>462</v>
      </c>
    </row>
    <row r="45">
      <c r="B45" s="1" t="str">
        <f>infections!B45</f>
        <v>Canada</v>
      </c>
      <c r="C45" s="4">
        <f>infections!C45</f>
        <v>46.5107</v>
      </c>
      <c r="D45" s="4">
        <f>infections!D45</f>
        <v>-63.4168</v>
      </c>
      <c r="E45" s="4">
        <f>infections!E45</f>
        <v>0</v>
      </c>
      <c r="F45" s="3">
        <f>infections!F45-infections!E45</f>
        <v>0</v>
      </c>
      <c r="G45" s="3">
        <f>infections!G45-infections!F45</f>
        <v>0</v>
      </c>
      <c r="H45" s="3">
        <f>infections!H45-infections!G45</f>
        <v>0</v>
      </c>
      <c r="I45" s="3">
        <f>infections!I45-infections!H45</f>
        <v>0</v>
      </c>
      <c r="J45" s="3">
        <f>infections!J45-infections!I45</f>
        <v>0</v>
      </c>
      <c r="K45" s="3">
        <f>infections!K45-infections!J45</f>
        <v>0</v>
      </c>
      <c r="L45" s="3">
        <f>infections!L45-infections!K45</f>
        <v>0</v>
      </c>
      <c r="M45" s="3">
        <f>infections!M45-infections!L45</f>
        <v>0</v>
      </c>
      <c r="N45" s="3">
        <f>infections!N45-infections!M45</f>
        <v>0</v>
      </c>
      <c r="O45" s="3">
        <f>infections!O45-infections!N45</f>
        <v>0</v>
      </c>
      <c r="P45" s="3">
        <f>infections!P45-infections!O45</f>
        <v>0</v>
      </c>
      <c r="Q45" s="3">
        <f>infections!Q45-infections!P45</f>
        <v>0</v>
      </c>
      <c r="R45" s="3">
        <f>infections!R45-infections!Q45</f>
        <v>0</v>
      </c>
      <c r="S45" s="3">
        <f>infections!S45-infections!R45</f>
        <v>0</v>
      </c>
      <c r="T45" s="3">
        <f>infections!T45-infections!S45</f>
        <v>0</v>
      </c>
      <c r="U45" s="3">
        <f>infections!U45-infections!T45</f>
        <v>0</v>
      </c>
      <c r="V45" s="3">
        <f>infections!V45-infections!U45</f>
        <v>0</v>
      </c>
      <c r="W45" s="3">
        <f>infections!W45-infections!V45</f>
        <v>0</v>
      </c>
      <c r="X45" s="3">
        <f>infections!X45-infections!W45</f>
        <v>0</v>
      </c>
      <c r="Y45" s="3">
        <f>infections!Y45-infections!X45</f>
        <v>0</v>
      </c>
      <c r="Z45" s="3">
        <f>infections!Z45-infections!Y45</f>
        <v>0</v>
      </c>
      <c r="AA45" s="3">
        <f>infections!AA45-infections!Z45</f>
        <v>0</v>
      </c>
      <c r="AB45" s="3">
        <f>infections!AB45-infections!AA45</f>
        <v>0</v>
      </c>
      <c r="AC45" s="3">
        <f>infections!AC45-infections!AB45</f>
        <v>0</v>
      </c>
      <c r="AD45" s="3">
        <f>infections!AD45-infections!AC45</f>
        <v>0</v>
      </c>
      <c r="AE45" s="3">
        <f>infections!AE45-infections!AD45</f>
        <v>0</v>
      </c>
      <c r="AF45" s="3">
        <f>infections!AF45-infections!AE45</f>
        <v>0</v>
      </c>
      <c r="AG45" s="3">
        <f>infections!AG45-infections!AF45</f>
        <v>0</v>
      </c>
      <c r="AH45" s="3">
        <f>infections!AH45-infections!AG45</f>
        <v>0</v>
      </c>
      <c r="AI45" s="3">
        <f>infections!AI45-infections!AH45</f>
        <v>0</v>
      </c>
      <c r="AJ45" s="3">
        <f>infections!AJ45-infections!AI45</f>
        <v>0</v>
      </c>
      <c r="AK45" s="3">
        <f>infections!AK45-infections!AJ45</f>
        <v>0</v>
      </c>
      <c r="AL45" s="3">
        <f>infections!AL45-infections!AK45</f>
        <v>0</v>
      </c>
      <c r="AM45" s="3">
        <f>infections!AM45-infections!AL45</f>
        <v>0</v>
      </c>
      <c r="AN45" s="3">
        <f>infections!AN45-infections!AM45</f>
        <v>0</v>
      </c>
      <c r="AO45" s="3">
        <f>infections!AO45-infections!AN45</f>
        <v>0</v>
      </c>
      <c r="AP45" s="3">
        <f>infections!AP45-infections!AO45</f>
        <v>0</v>
      </c>
      <c r="AQ45" s="3">
        <f>infections!AQ45-infections!AP45</f>
        <v>0</v>
      </c>
      <c r="AR45" s="3">
        <f>infections!AR45-infections!AQ45</f>
        <v>0</v>
      </c>
      <c r="AS45" s="3">
        <f>infections!AS45-infections!AR45</f>
        <v>0</v>
      </c>
      <c r="AT45" s="3">
        <f>infections!AT45-infections!AS45</f>
        <v>0</v>
      </c>
      <c r="AU45" s="3">
        <f>infections!AU45-infections!AT45</f>
        <v>0</v>
      </c>
      <c r="AV45" s="3">
        <f>infections!AV45-infections!AU45</f>
        <v>0</v>
      </c>
      <c r="AW45" s="3">
        <f>infections!AW45-infections!AV45</f>
        <v>0</v>
      </c>
      <c r="AX45" s="3">
        <f>infections!AX45-infections!AW45</f>
        <v>0</v>
      </c>
      <c r="AY45" s="3">
        <f>infections!AY45-infections!AX45</f>
        <v>0</v>
      </c>
      <c r="AZ45" s="3">
        <f>infections!AZ45-infections!AY45</f>
        <v>0</v>
      </c>
      <c r="BA45" s="3">
        <f>infections!BA45-infections!AZ45</f>
        <v>0</v>
      </c>
      <c r="BB45" s="3">
        <f>infections!BB45-infections!BA45</f>
        <v>0</v>
      </c>
      <c r="BC45" s="3">
        <f>infections!BC45-infections!BB45</f>
        <v>0</v>
      </c>
      <c r="BD45" s="3">
        <f>infections!BD45-infections!BC45</f>
        <v>0</v>
      </c>
      <c r="BE45" s="3">
        <f>infections!BE45-infections!BD45</f>
        <v>0</v>
      </c>
      <c r="BF45" s="3">
        <f>infections!BF45-infections!BE45</f>
        <v>1</v>
      </c>
      <c r="BG45" s="3">
        <f>infections!BG45-infections!BF45</f>
        <v>0</v>
      </c>
      <c r="BH45" s="3">
        <f>infections!BH45-infections!BG45</f>
        <v>0</v>
      </c>
      <c r="BI45" s="3">
        <f>infections!BI45-infections!BH45</f>
        <v>0</v>
      </c>
      <c r="BJ45" s="3">
        <f>infections!BJ45-infections!BI45</f>
        <v>1</v>
      </c>
      <c r="BK45" s="3">
        <f>infections!BK45-infections!BJ45</f>
        <v>0</v>
      </c>
      <c r="BL45" s="3">
        <f>infections!BL45-infections!BK45</f>
        <v>0</v>
      </c>
      <c r="BM45" s="3">
        <f>infections!BM45-infections!BL45</f>
        <v>1</v>
      </c>
      <c r="BN45" s="3">
        <f>infections!BN45-infections!BM45</f>
        <v>0</v>
      </c>
      <c r="BO45" s="3">
        <f>infections!BO45-infections!BN45</f>
        <v>0</v>
      </c>
      <c r="BP45" s="3">
        <f>infections!BP45-infections!BO45</f>
        <v>2</v>
      </c>
      <c r="BQ45" s="3">
        <f>infections!BQ45-infections!BP45</f>
        <v>0</v>
      </c>
      <c r="BR45" s="3">
        <f>infections!BR45-infections!BQ45</f>
        <v>4</v>
      </c>
      <c r="BS45" s="3">
        <f>infections!BS45-infections!BR45</f>
        <v>2</v>
      </c>
      <c r="BT45" s="3">
        <f>infections!BT45-infections!BS45</f>
        <v>0</v>
      </c>
      <c r="BU45" s="3">
        <f>infections!BU45-infections!BT45</f>
        <v>7</v>
      </c>
      <c r="BV45" s="3">
        <f>infections!BV45-infections!BU45</f>
        <v>3</v>
      </c>
      <c r="BW45" s="3">
        <f>infections!BW45-infections!BV45</f>
        <v>0</v>
      </c>
      <c r="BX45" s="3">
        <f>infections!BX45-infections!BW45</f>
        <v>1</v>
      </c>
      <c r="BY45" s="3">
        <f>infections!BY45-infections!BX45</f>
        <v>0</v>
      </c>
    </row>
    <row r="46">
      <c r="B46" s="1" t="str">
        <f>infections!B46</f>
        <v>Canada</v>
      </c>
      <c r="C46" s="4">
        <f>infections!C46</f>
        <v>52.9399</v>
      </c>
      <c r="D46" s="4">
        <f>infections!D46</f>
        <v>-73.5491</v>
      </c>
      <c r="E46" s="4">
        <f>infections!E46</f>
        <v>0</v>
      </c>
      <c r="F46" s="3">
        <f>infections!F46-infections!E46</f>
        <v>0</v>
      </c>
      <c r="G46" s="3">
        <f>infections!G46-infections!F46</f>
        <v>0</v>
      </c>
      <c r="H46" s="3">
        <f>infections!H46-infections!G46</f>
        <v>0</v>
      </c>
      <c r="I46" s="3">
        <f>infections!I46-infections!H46</f>
        <v>0</v>
      </c>
      <c r="J46" s="3">
        <f>infections!J46-infections!I46</f>
        <v>0</v>
      </c>
      <c r="K46" s="3">
        <f>infections!K46-infections!J46</f>
        <v>0</v>
      </c>
      <c r="L46" s="3">
        <f>infections!L46-infections!K46</f>
        <v>0</v>
      </c>
      <c r="M46" s="3">
        <f>infections!M46-infections!L46</f>
        <v>0</v>
      </c>
      <c r="N46" s="3">
        <f>infections!N46-infections!M46</f>
        <v>0</v>
      </c>
      <c r="O46" s="3">
        <f>infections!O46-infections!N46</f>
        <v>0</v>
      </c>
      <c r="P46" s="3">
        <f>infections!P46-infections!O46</f>
        <v>0</v>
      </c>
      <c r="Q46" s="3">
        <f>infections!Q46-infections!P46</f>
        <v>0</v>
      </c>
      <c r="R46" s="3">
        <f>infections!R46-infections!Q46</f>
        <v>0</v>
      </c>
      <c r="S46" s="3">
        <f>infections!S46-infections!R46</f>
        <v>0</v>
      </c>
      <c r="T46" s="3">
        <f>infections!T46-infections!S46</f>
        <v>0</v>
      </c>
      <c r="U46" s="3">
        <f>infections!U46-infections!T46</f>
        <v>0</v>
      </c>
      <c r="V46" s="3">
        <f>infections!V46-infections!U46</f>
        <v>0</v>
      </c>
      <c r="W46" s="3">
        <f>infections!W46-infections!V46</f>
        <v>0</v>
      </c>
      <c r="X46" s="3">
        <f>infections!X46-infections!W46</f>
        <v>0</v>
      </c>
      <c r="Y46" s="3">
        <f>infections!Y46-infections!X46</f>
        <v>0</v>
      </c>
      <c r="Z46" s="3">
        <f>infections!Z46-infections!Y46</f>
        <v>0</v>
      </c>
      <c r="AA46" s="3">
        <f>infections!AA46-infections!Z46</f>
        <v>0</v>
      </c>
      <c r="AB46" s="3">
        <f>infections!AB46-infections!AA46</f>
        <v>0</v>
      </c>
      <c r="AC46" s="3">
        <f>infections!AC46-infections!AB46</f>
        <v>0</v>
      </c>
      <c r="AD46" s="3">
        <f>infections!AD46-infections!AC46</f>
        <v>0</v>
      </c>
      <c r="AE46" s="3">
        <f>infections!AE46-infections!AD46</f>
        <v>0</v>
      </c>
      <c r="AF46" s="3">
        <f>infections!AF46-infections!AE46</f>
        <v>0</v>
      </c>
      <c r="AG46" s="3">
        <f>infections!AG46-infections!AF46</f>
        <v>0</v>
      </c>
      <c r="AH46" s="3">
        <f>infections!AH46-infections!AG46</f>
        <v>0</v>
      </c>
      <c r="AI46" s="3">
        <f>infections!AI46-infections!AH46</f>
        <v>0</v>
      </c>
      <c r="AJ46" s="3">
        <f>infections!AJ46-infections!AI46</f>
        <v>0</v>
      </c>
      <c r="AK46" s="3">
        <f>infections!AK46-infections!AJ46</f>
        <v>0</v>
      </c>
      <c r="AL46" s="3">
        <f>infections!AL46-infections!AK46</f>
        <v>0</v>
      </c>
      <c r="AM46" s="3">
        <f>infections!AM46-infections!AL46</f>
        <v>0</v>
      </c>
      <c r="AN46" s="3">
        <f>infections!AN46-infections!AM46</f>
        <v>0</v>
      </c>
      <c r="AO46" s="3">
        <f>infections!AO46-infections!AN46</f>
        <v>0</v>
      </c>
      <c r="AP46" s="3">
        <f>infections!AP46-infections!AO46</f>
        <v>1</v>
      </c>
      <c r="AQ46" s="3">
        <f>infections!AQ46-infections!AP46</f>
        <v>0</v>
      </c>
      <c r="AR46" s="3">
        <f>infections!AR46-infections!AQ46</f>
        <v>0</v>
      </c>
      <c r="AS46" s="3">
        <f>infections!AS46-infections!AR46</f>
        <v>0</v>
      </c>
      <c r="AT46" s="3">
        <f>infections!AT46-infections!AS46</f>
        <v>0</v>
      </c>
      <c r="AU46" s="3">
        <f>infections!AU46-infections!AT46</f>
        <v>0</v>
      </c>
      <c r="AV46" s="3">
        <f>infections!AV46-infections!AU46</f>
        <v>1</v>
      </c>
      <c r="AW46" s="3">
        <f>infections!AW46-infections!AV46</f>
        <v>0</v>
      </c>
      <c r="AX46" s="3">
        <f>infections!AX46-infections!AW46</f>
        <v>1</v>
      </c>
      <c r="AY46" s="3">
        <f>infections!AY46-infections!AX46</f>
        <v>1</v>
      </c>
      <c r="AZ46" s="3">
        <f>infections!AZ46-infections!AY46</f>
        <v>0</v>
      </c>
      <c r="BA46" s="3">
        <f>infections!BA46-infections!AZ46</f>
        <v>0</v>
      </c>
      <c r="BB46" s="3">
        <f>infections!BB46-infections!BA46</f>
        <v>4</v>
      </c>
      <c r="BC46" s="3">
        <f>infections!BC46-infections!BB46</f>
        <v>1</v>
      </c>
      <c r="BD46" s="3">
        <f>infections!BD46-infections!BC46</f>
        <v>8</v>
      </c>
      <c r="BE46" s="3">
        <f>infections!BE46-infections!BD46</f>
        <v>0</v>
      </c>
      <c r="BF46" s="3">
        <f>infections!BF46-infections!BE46</f>
        <v>7</v>
      </c>
      <c r="BG46" s="3">
        <f>infections!BG46-infections!BF46</f>
        <v>26</v>
      </c>
      <c r="BH46" s="3">
        <f>infections!BH46-infections!BG46</f>
        <v>24</v>
      </c>
      <c r="BI46" s="3">
        <f>infections!BI46-infections!BH46</f>
        <v>20</v>
      </c>
      <c r="BJ46" s="3">
        <f>infections!BJ46-infections!BI46</f>
        <v>27</v>
      </c>
      <c r="BK46" s="3">
        <f>infections!BK46-infections!BJ46</f>
        <v>18</v>
      </c>
      <c r="BL46" s="3">
        <f>infections!BL46-infections!BK46</f>
        <v>42</v>
      </c>
      <c r="BM46" s="3">
        <f>infections!BM46-infections!BL46</f>
        <v>38</v>
      </c>
      <c r="BN46" s="3">
        <f>infections!BN46-infections!BM46</f>
        <v>409</v>
      </c>
      <c r="BO46" s="3">
        <f>infections!BO46-infections!BN46</f>
        <v>385</v>
      </c>
      <c r="BP46" s="3">
        <f>infections!BP46-infections!BO46</f>
        <v>329</v>
      </c>
      <c r="BQ46" s="3">
        <f>infections!BQ46-infections!BP46</f>
        <v>290</v>
      </c>
      <c r="BR46" s="3">
        <f>infections!BR46-infections!BQ46</f>
        <v>392</v>
      </c>
      <c r="BS46" s="3">
        <f>infections!BS46-infections!BR46</f>
        <v>474</v>
      </c>
      <c r="BT46" s="3">
        <f>infections!BT46-infections!BS46</f>
        <v>342</v>
      </c>
      <c r="BU46" s="3">
        <f>infections!BU46-infections!BT46</f>
        <v>590</v>
      </c>
      <c r="BV46" s="3">
        <f>infections!BV46-infections!BU46</f>
        <v>732</v>
      </c>
      <c r="BW46" s="3">
        <f>infections!BW46-infections!BV46</f>
        <v>449</v>
      </c>
      <c r="BX46" s="3">
        <f>infections!BX46-infections!BW46</f>
        <v>907</v>
      </c>
      <c r="BY46" s="3">
        <f>infections!BY46-infections!BX46</f>
        <v>583</v>
      </c>
    </row>
    <row r="47">
      <c r="B47" s="1" t="str">
        <f>infections!B47</f>
        <v>Canada</v>
      </c>
      <c r="C47" s="4">
        <f>infections!C47</f>
        <v>52.9399</v>
      </c>
      <c r="D47" s="4">
        <f>infections!D47</f>
        <v>-106.4509</v>
      </c>
      <c r="E47" s="4">
        <f>infections!E47</f>
        <v>0</v>
      </c>
      <c r="F47" s="3">
        <f>infections!F47-infections!E47</f>
        <v>0</v>
      </c>
      <c r="G47" s="3">
        <f>infections!G47-infections!F47</f>
        <v>0</v>
      </c>
      <c r="H47" s="3">
        <f>infections!H47-infections!G47</f>
        <v>0</v>
      </c>
      <c r="I47" s="3">
        <f>infections!I47-infections!H47</f>
        <v>0</v>
      </c>
      <c r="J47" s="3">
        <f>infections!J47-infections!I47</f>
        <v>0</v>
      </c>
      <c r="K47" s="3">
        <f>infections!K47-infections!J47</f>
        <v>0</v>
      </c>
      <c r="L47" s="3">
        <f>infections!L47-infections!K47</f>
        <v>0</v>
      </c>
      <c r="M47" s="3">
        <f>infections!M47-infections!L47</f>
        <v>0</v>
      </c>
      <c r="N47" s="3">
        <f>infections!N47-infections!M47</f>
        <v>0</v>
      </c>
      <c r="O47" s="3">
        <f>infections!O47-infections!N47</f>
        <v>0</v>
      </c>
      <c r="P47" s="3">
        <f>infections!P47-infections!O47</f>
        <v>0</v>
      </c>
      <c r="Q47" s="3">
        <f>infections!Q47-infections!P47</f>
        <v>0</v>
      </c>
      <c r="R47" s="3">
        <f>infections!R47-infections!Q47</f>
        <v>0</v>
      </c>
      <c r="S47" s="3">
        <f>infections!S47-infections!R47</f>
        <v>0</v>
      </c>
      <c r="T47" s="3">
        <f>infections!T47-infections!S47</f>
        <v>0</v>
      </c>
      <c r="U47" s="3">
        <f>infections!U47-infections!T47</f>
        <v>0</v>
      </c>
      <c r="V47" s="3">
        <f>infections!V47-infections!U47</f>
        <v>0</v>
      </c>
      <c r="W47" s="3">
        <f>infections!W47-infections!V47</f>
        <v>0</v>
      </c>
      <c r="X47" s="3">
        <f>infections!X47-infections!W47</f>
        <v>0</v>
      </c>
      <c r="Y47" s="3">
        <f>infections!Y47-infections!X47</f>
        <v>0</v>
      </c>
      <c r="Z47" s="3">
        <f>infections!Z47-infections!Y47</f>
        <v>0</v>
      </c>
      <c r="AA47" s="3">
        <f>infections!AA47-infections!Z47</f>
        <v>0</v>
      </c>
      <c r="AB47" s="3">
        <f>infections!AB47-infections!AA47</f>
        <v>0</v>
      </c>
      <c r="AC47" s="3">
        <f>infections!AC47-infections!AB47</f>
        <v>0</v>
      </c>
      <c r="AD47" s="3">
        <f>infections!AD47-infections!AC47</f>
        <v>0</v>
      </c>
      <c r="AE47" s="3">
        <f>infections!AE47-infections!AD47</f>
        <v>0</v>
      </c>
      <c r="AF47" s="3">
        <f>infections!AF47-infections!AE47</f>
        <v>0</v>
      </c>
      <c r="AG47" s="3">
        <f>infections!AG47-infections!AF47</f>
        <v>0</v>
      </c>
      <c r="AH47" s="3">
        <f>infections!AH47-infections!AG47</f>
        <v>0</v>
      </c>
      <c r="AI47" s="3">
        <f>infections!AI47-infections!AH47</f>
        <v>0</v>
      </c>
      <c r="AJ47" s="3">
        <f>infections!AJ47-infections!AI47</f>
        <v>0</v>
      </c>
      <c r="AK47" s="3">
        <f>infections!AK47-infections!AJ47</f>
        <v>0</v>
      </c>
      <c r="AL47" s="3">
        <f>infections!AL47-infections!AK47</f>
        <v>0</v>
      </c>
      <c r="AM47" s="3">
        <f>infections!AM47-infections!AL47</f>
        <v>0</v>
      </c>
      <c r="AN47" s="3">
        <f>infections!AN47-infections!AM47</f>
        <v>0</v>
      </c>
      <c r="AO47" s="3">
        <f>infections!AO47-infections!AN47</f>
        <v>0</v>
      </c>
      <c r="AP47" s="3">
        <f>infections!AP47-infections!AO47</f>
        <v>0</v>
      </c>
      <c r="AQ47" s="3">
        <f>infections!AQ47-infections!AP47</f>
        <v>0</v>
      </c>
      <c r="AR47" s="3">
        <f>infections!AR47-infections!AQ47</f>
        <v>0</v>
      </c>
      <c r="AS47" s="3">
        <f>infections!AS47-infections!AR47</f>
        <v>0</v>
      </c>
      <c r="AT47" s="3">
        <f>infections!AT47-infections!AS47</f>
        <v>0</v>
      </c>
      <c r="AU47" s="3">
        <f>infections!AU47-infections!AT47</f>
        <v>0</v>
      </c>
      <c r="AV47" s="3">
        <f>infections!AV47-infections!AU47</f>
        <v>0</v>
      </c>
      <c r="AW47" s="3">
        <f>infections!AW47-infections!AV47</f>
        <v>0</v>
      </c>
      <c r="AX47" s="3">
        <f>infections!AX47-infections!AW47</f>
        <v>0</v>
      </c>
      <c r="AY47" s="3">
        <f>infections!AY47-infections!AX47</f>
        <v>0</v>
      </c>
      <c r="AZ47" s="3">
        <f>infections!AZ47-infections!AY47</f>
        <v>0</v>
      </c>
      <c r="BA47" s="3">
        <f>infections!BA47-infections!AZ47</f>
        <v>0</v>
      </c>
      <c r="BB47" s="3">
        <f>infections!BB47-infections!BA47</f>
        <v>0</v>
      </c>
      <c r="BC47" s="3">
        <f>infections!BC47-infections!BB47</f>
        <v>0</v>
      </c>
      <c r="BD47" s="3">
        <f>infections!BD47-infections!BC47</f>
        <v>2</v>
      </c>
      <c r="BE47" s="3">
        <f>infections!BE47-infections!BD47</f>
        <v>0</v>
      </c>
      <c r="BF47" s="3">
        <f>infections!BF47-infections!BE47</f>
        <v>0</v>
      </c>
      <c r="BG47" s="3">
        <f>infections!BG47-infections!BF47</f>
        <v>5</v>
      </c>
      <c r="BH47" s="3">
        <f>infections!BH47-infections!BG47</f>
        <v>0</v>
      </c>
      <c r="BI47" s="3">
        <f>infections!BI47-infections!BH47</f>
        <v>1</v>
      </c>
      <c r="BJ47" s="3">
        <f>infections!BJ47-infections!BI47</f>
        <v>8</v>
      </c>
      <c r="BK47" s="3">
        <f>infections!BK47-infections!BJ47</f>
        <v>4</v>
      </c>
      <c r="BL47" s="3">
        <f>infections!BL47-infections!BK47</f>
        <v>6</v>
      </c>
      <c r="BM47" s="3">
        <f>infections!BM47-infections!BL47</f>
        <v>26</v>
      </c>
      <c r="BN47" s="3">
        <f>infections!BN47-infections!BM47</f>
        <v>14</v>
      </c>
      <c r="BO47" s="3">
        <f>infections!BO47-infections!BN47</f>
        <v>6</v>
      </c>
      <c r="BP47" s="3">
        <f>infections!BP47-infections!BO47</f>
        <v>0</v>
      </c>
      <c r="BQ47" s="3">
        <f>infections!BQ47-infections!BP47</f>
        <v>23</v>
      </c>
      <c r="BR47" s="3">
        <f>infections!BR47-infections!BQ47</f>
        <v>0</v>
      </c>
      <c r="BS47" s="3">
        <f>infections!BS47-infections!BR47</f>
        <v>39</v>
      </c>
      <c r="BT47" s="3">
        <f>infections!BT47-infections!BS47</f>
        <v>22</v>
      </c>
      <c r="BU47" s="3">
        <f>infections!BU47-infections!BT47</f>
        <v>0</v>
      </c>
      <c r="BV47" s="3">
        <f>infections!BV47-infections!BU47</f>
        <v>28</v>
      </c>
      <c r="BW47" s="3">
        <f>infections!BW47-infections!BV47</f>
        <v>9</v>
      </c>
      <c r="BX47" s="3">
        <f>infections!BX47-infections!BW47</f>
        <v>13</v>
      </c>
      <c r="BY47" s="3">
        <f>infections!BY47-infections!BX47</f>
        <v>14</v>
      </c>
    </row>
    <row r="48">
      <c r="B48" s="1" t="str">
        <f>infections!B48</f>
        <v>Central African Republic</v>
      </c>
      <c r="C48" s="4">
        <f>infections!C48</f>
        <v>6.6111</v>
      </c>
      <c r="D48" s="4">
        <f>infections!D48</f>
        <v>20.9394</v>
      </c>
      <c r="E48" s="4">
        <f>infections!E48</f>
        <v>0</v>
      </c>
      <c r="F48" s="3">
        <f>infections!F48-infections!E48</f>
        <v>0</v>
      </c>
      <c r="G48" s="3">
        <f>infections!G48-infections!F48</f>
        <v>0</v>
      </c>
      <c r="H48" s="3">
        <f>infections!H48-infections!G48</f>
        <v>0</v>
      </c>
      <c r="I48" s="3">
        <f>infections!I48-infections!H48</f>
        <v>0</v>
      </c>
      <c r="J48" s="3">
        <f>infections!J48-infections!I48</f>
        <v>0</v>
      </c>
      <c r="K48" s="3">
        <f>infections!K48-infections!J48</f>
        <v>0</v>
      </c>
      <c r="L48" s="3">
        <f>infections!L48-infections!K48</f>
        <v>0</v>
      </c>
      <c r="M48" s="3">
        <f>infections!M48-infections!L48</f>
        <v>0</v>
      </c>
      <c r="N48" s="3">
        <f>infections!N48-infections!M48</f>
        <v>0</v>
      </c>
      <c r="O48" s="3">
        <f>infections!O48-infections!N48</f>
        <v>0</v>
      </c>
      <c r="P48" s="3">
        <f>infections!P48-infections!O48</f>
        <v>0</v>
      </c>
      <c r="Q48" s="3">
        <f>infections!Q48-infections!P48</f>
        <v>0</v>
      </c>
      <c r="R48" s="3">
        <f>infections!R48-infections!Q48</f>
        <v>0</v>
      </c>
      <c r="S48" s="3">
        <f>infections!S48-infections!R48</f>
        <v>0</v>
      </c>
      <c r="T48" s="3">
        <f>infections!T48-infections!S48</f>
        <v>0</v>
      </c>
      <c r="U48" s="3">
        <f>infections!U48-infections!T48</f>
        <v>0</v>
      </c>
      <c r="V48" s="3">
        <f>infections!V48-infections!U48</f>
        <v>0</v>
      </c>
      <c r="W48" s="3">
        <f>infections!W48-infections!V48</f>
        <v>0</v>
      </c>
      <c r="X48" s="3">
        <f>infections!X48-infections!W48</f>
        <v>0</v>
      </c>
      <c r="Y48" s="3">
        <f>infections!Y48-infections!X48</f>
        <v>0</v>
      </c>
      <c r="Z48" s="3">
        <f>infections!Z48-infections!Y48</f>
        <v>0</v>
      </c>
      <c r="AA48" s="3">
        <f>infections!AA48-infections!Z48</f>
        <v>0</v>
      </c>
      <c r="AB48" s="3">
        <f>infections!AB48-infections!AA48</f>
        <v>0</v>
      </c>
      <c r="AC48" s="3">
        <f>infections!AC48-infections!AB48</f>
        <v>0</v>
      </c>
      <c r="AD48" s="3">
        <f>infections!AD48-infections!AC48</f>
        <v>0</v>
      </c>
      <c r="AE48" s="3">
        <f>infections!AE48-infections!AD48</f>
        <v>0</v>
      </c>
      <c r="AF48" s="3">
        <f>infections!AF48-infections!AE48</f>
        <v>0</v>
      </c>
      <c r="AG48" s="3">
        <f>infections!AG48-infections!AF48</f>
        <v>0</v>
      </c>
      <c r="AH48" s="3">
        <f>infections!AH48-infections!AG48</f>
        <v>0</v>
      </c>
      <c r="AI48" s="3">
        <f>infections!AI48-infections!AH48</f>
        <v>0</v>
      </c>
      <c r="AJ48" s="3">
        <f>infections!AJ48-infections!AI48</f>
        <v>0</v>
      </c>
      <c r="AK48" s="3">
        <f>infections!AK48-infections!AJ48</f>
        <v>0</v>
      </c>
      <c r="AL48" s="3">
        <f>infections!AL48-infections!AK48</f>
        <v>0</v>
      </c>
      <c r="AM48" s="3">
        <f>infections!AM48-infections!AL48</f>
        <v>0</v>
      </c>
      <c r="AN48" s="3">
        <f>infections!AN48-infections!AM48</f>
        <v>0</v>
      </c>
      <c r="AO48" s="3">
        <f>infections!AO48-infections!AN48</f>
        <v>0</v>
      </c>
      <c r="AP48" s="3">
        <f>infections!AP48-infections!AO48</f>
        <v>0</v>
      </c>
      <c r="AQ48" s="3">
        <f>infections!AQ48-infections!AP48</f>
        <v>0</v>
      </c>
      <c r="AR48" s="3">
        <f>infections!AR48-infections!AQ48</f>
        <v>0</v>
      </c>
      <c r="AS48" s="3">
        <f>infections!AS48-infections!AR48</f>
        <v>0</v>
      </c>
      <c r="AT48" s="3">
        <f>infections!AT48-infections!AS48</f>
        <v>0</v>
      </c>
      <c r="AU48" s="3">
        <f>infections!AU48-infections!AT48</f>
        <v>0</v>
      </c>
      <c r="AV48" s="3">
        <f>infections!AV48-infections!AU48</f>
        <v>0</v>
      </c>
      <c r="AW48" s="3">
        <f>infections!AW48-infections!AV48</f>
        <v>0</v>
      </c>
      <c r="AX48" s="3">
        <f>infections!AX48-infections!AW48</f>
        <v>0</v>
      </c>
      <c r="AY48" s="3">
        <f>infections!AY48-infections!AX48</f>
        <v>0</v>
      </c>
      <c r="AZ48" s="3">
        <f>infections!AZ48-infections!AY48</f>
        <v>0</v>
      </c>
      <c r="BA48" s="3">
        <f>infections!BA48-infections!AZ48</f>
        <v>0</v>
      </c>
      <c r="BB48" s="3">
        <f>infections!BB48-infections!BA48</f>
        <v>0</v>
      </c>
      <c r="BC48" s="3">
        <f>infections!BC48-infections!BB48</f>
        <v>0</v>
      </c>
      <c r="BD48" s="3">
        <f>infections!BD48-infections!BC48</f>
        <v>0</v>
      </c>
      <c r="BE48" s="3">
        <f>infections!BE48-infections!BD48</f>
        <v>0</v>
      </c>
      <c r="BF48" s="3">
        <f>infections!BF48-infections!BE48</f>
        <v>1</v>
      </c>
      <c r="BG48" s="3">
        <f>infections!BG48-infections!BF48</f>
        <v>0</v>
      </c>
      <c r="BH48" s="3">
        <f>infections!BH48-infections!BG48</f>
        <v>0</v>
      </c>
      <c r="BI48" s="3">
        <f>infections!BI48-infections!BH48</f>
        <v>0</v>
      </c>
      <c r="BJ48" s="3">
        <f>infections!BJ48-infections!BI48</f>
        <v>0</v>
      </c>
      <c r="BK48" s="3">
        <f>infections!BK48-infections!BJ48</f>
        <v>2</v>
      </c>
      <c r="BL48" s="3">
        <f>infections!BL48-infections!BK48</f>
        <v>0</v>
      </c>
      <c r="BM48" s="3">
        <f>infections!BM48-infections!BL48</f>
        <v>0</v>
      </c>
      <c r="BN48" s="3">
        <f>infections!BN48-infections!BM48</f>
        <v>0</v>
      </c>
      <c r="BO48" s="3">
        <f>infections!BO48-infections!BN48</f>
        <v>0</v>
      </c>
      <c r="BP48" s="3">
        <f>infections!BP48-infections!BO48</f>
        <v>0</v>
      </c>
      <c r="BQ48" s="3">
        <f>infections!BQ48-infections!BP48</f>
        <v>0</v>
      </c>
      <c r="BR48" s="3">
        <f>infections!BR48-infections!BQ48</f>
        <v>0</v>
      </c>
      <c r="BS48" s="3">
        <f>infections!BS48-infections!BR48</f>
        <v>0</v>
      </c>
      <c r="BT48" s="3">
        <f>infections!BT48-infections!BS48</f>
        <v>0</v>
      </c>
      <c r="BU48" s="3">
        <f>infections!BU48-infections!BT48</f>
        <v>0</v>
      </c>
      <c r="BV48" s="3">
        <f>infections!BV48-infections!BU48</f>
        <v>0</v>
      </c>
      <c r="BW48" s="3">
        <f>infections!BW48-infections!BV48</f>
        <v>0</v>
      </c>
      <c r="BX48" s="3">
        <f>infections!BX48-infections!BW48</f>
        <v>0</v>
      </c>
      <c r="BY48" s="3">
        <f>infections!BY48-infections!BX48</f>
        <v>5</v>
      </c>
    </row>
    <row r="49">
      <c r="B49" s="1" t="str">
        <f>infections!B49</f>
        <v>Chad</v>
      </c>
      <c r="C49" s="4">
        <f>infections!C49</f>
        <v>15.4542</v>
      </c>
      <c r="D49" s="4">
        <f>infections!D49</f>
        <v>18.7322</v>
      </c>
      <c r="E49" s="4">
        <f>infections!E49</f>
        <v>0</v>
      </c>
      <c r="F49" s="3">
        <f>infections!F49-infections!E49</f>
        <v>0</v>
      </c>
      <c r="G49" s="3">
        <f>infections!G49-infections!F49</f>
        <v>0</v>
      </c>
      <c r="H49" s="3">
        <f>infections!H49-infections!G49</f>
        <v>0</v>
      </c>
      <c r="I49" s="3">
        <f>infections!I49-infections!H49</f>
        <v>0</v>
      </c>
      <c r="J49" s="3">
        <f>infections!J49-infections!I49</f>
        <v>0</v>
      </c>
      <c r="K49" s="3">
        <f>infections!K49-infections!J49</f>
        <v>0</v>
      </c>
      <c r="L49" s="3">
        <f>infections!L49-infections!K49</f>
        <v>0</v>
      </c>
      <c r="M49" s="3">
        <f>infections!M49-infections!L49</f>
        <v>0</v>
      </c>
      <c r="N49" s="3">
        <f>infections!N49-infections!M49</f>
        <v>0</v>
      </c>
      <c r="O49" s="3">
        <f>infections!O49-infections!N49</f>
        <v>0</v>
      </c>
      <c r="P49" s="3">
        <f>infections!P49-infections!O49</f>
        <v>0</v>
      </c>
      <c r="Q49" s="3">
        <f>infections!Q49-infections!P49</f>
        <v>0</v>
      </c>
      <c r="R49" s="3">
        <f>infections!R49-infections!Q49</f>
        <v>0</v>
      </c>
      <c r="S49" s="3">
        <f>infections!S49-infections!R49</f>
        <v>0</v>
      </c>
      <c r="T49" s="3">
        <f>infections!T49-infections!S49</f>
        <v>0</v>
      </c>
      <c r="U49" s="3">
        <f>infections!U49-infections!T49</f>
        <v>0</v>
      </c>
      <c r="V49" s="3">
        <f>infections!V49-infections!U49</f>
        <v>0</v>
      </c>
      <c r="W49" s="3">
        <f>infections!W49-infections!V49</f>
        <v>0</v>
      </c>
      <c r="X49" s="3">
        <f>infections!X49-infections!W49</f>
        <v>0</v>
      </c>
      <c r="Y49" s="3">
        <f>infections!Y49-infections!X49</f>
        <v>0</v>
      </c>
      <c r="Z49" s="3">
        <f>infections!Z49-infections!Y49</f>
        <v>0</v>
      </c>
      <c r="AA49" s="3">
        <f>infections!AA49-infections!Z49</f>
        <v>0</v>
      </c>
      <c r="AB49" s="3">
        <f>infections!AB49-infections!AA49</f>
        <v>0</v>
      </c>
      <c r="AC49" s="3">
        <f>infections!AC49-infections!AB49</f>
        <v>0</v>
      </c>
      <c r="AD49" s="3">
        <f>infections!AD49-infections!AC49</f>
        <v>0</v>
      </c>
      <c r="AE49" s="3">
        <f>infections!AE49-infections!AD49</f>
        <v>0</v>
      </c>
      <c r="AF49" s="3">
        <f>infections!AF49-infections!AE49</f>
        <v>0</v>
      </c>
      <c r="AG49" s="3">
        <f>infections!AG49-infections!AF49</f>
        <v>0</v>
      </c>
      <c r="AH49" s="3">
        <f>infections!AH49-infections!AG49</f>
        <v>0</v>
      </c>
      <c r="AI49" s="3">
        <f>infections!AI49-infections!AH49</f>
        <v>0</v>
      </c>
      <c r="AJ49" s="3">
        <f>infections!AJ49-infections!AI49</f>
        <v>0</v>
      </c>
      <c r="AK49" s="3">
        <f>infections!AK49-infections!AJ49</f>
        <v>0</v>
      </c>
      <c r="AL49" s="3">
        <f>infections!AL49-infections!AK49</f>
        <v>0</v>
      </c>
      <c r="AM49" s="3">
        <f>infections!AM49-infections!AL49</f>
        <v>0</v>
      </c>
      <c r="AN49" s="3">
        <f>infections!AN49-infections!AM49</f>
        <v>0</v>
      </c>
      <c r="AO49" s="3">
        <f>infections!AO49-infections!AN49</f>
        <v>0</v>
      </c>
      <c r="AP49" s="3">
        <f>infections!AP49-infections!AO49</f>
        <v>0</v>
      </c>
      <c r="AQ49" s="3">
        <f>infections!AQ49-infections!AP49</f>
        <v>0</v>
      </c>
      <c r="AR49" s="3">
        <f>infections!AR49-infections!AQ49</f>
        <v>0</v>
      </c>
      <c r="AS49" s="3">
        <f>infections!AS49-infections!AR49</f>
        <v>0</v>
      </c>
      <c r="AT49" s="3">
        <f>infections!AT49-infections!AS49</f>
        <v>0</v>
      </c>
      <c r="AU49" s="3">
        <f>infections!AU49-infections!AT49</f>
        <v>0</v>
      </c>
      <c r="AV49" s="3">
        <f>infections!AV49-infections!AU49</f>
        <v>0</v>
      </c>
      <c r="AW49" s="3">
        <f>infections!AW49-infections!AV49</f>
        <v>0</v>
      </c>
      <c r="AX49" s="3">
        <f>infections!AX49-infections!AW49</f>
        <v>0</v>
      </c>
      <c r="AY49" s="3">
        <f>infections!AY49-infections!AX49</f>
        <v>0</v>
      </c>
      <c r="AZ49" s="3">
        <f>infections!AZ49-infections!AY49</f>
        <v>0</v>
      </c>
      <c r="BA49" s="3">
        <f>infections!BA49-infections!AZ49</f>
        <v>0</v>
      </c>
      <c r="BB49" s="3">
        <f>infections!BB49-infections!BA49</f>
        <v>0</v>
      </c>
      <c r="BC49" s="3">
        <f>infections!BC49-infections!BB49</f>
        <v>0</v>
      </c>
      <c r="BD49" s="3">
        <f>infections!BD49-infections!BC49</f>
        <v>0</v>
      </c>
      <c r="BE49" s="3">
        <f>infections!BE49-infections!BD49</f>
        <v>0</v>
      </c>
      <c r="BF49" s="3">
        <f>infections!BF49-infections!BE49</f>
        <v>0</v>
      </c>
      <c r="BG49" s="3">
        <f>infections!BG49-infections!BF49</f>
        <v>0</v>
      </c>
      <c r="BH49" s="3">
        <f>infections!BH49-infections!BG49</f>
        <v>0</v>
      </c>
      <c r="BI49" s="3">
        <f>infections!BI49-infections!BH49</f>
        <v>0</v>
      </c>
      <c r="BJ49" s="3">
        <f>infections!BJ49-infections!BI49</f>
        <v>1</v>
      </c>
      <c r="BK49" s="3">
        <f>infections!BK49-infections!BJ49</f>
        <v>0</v>
      </c>
      <c r="BL49" s="3">
        <f>infections!BL49-infections!BK49</f>
        <v>0</v>
      </c>
      <c r="BM49" s="3">
        <f>infections!BM49-infections!BL49</f>
        <v>0</v>
      </c>
      <c r="BN49" s="3">
        <f>infections!BN49-infections!BM49</f>
        <v>0</v>
      </c>
      <c r="BO49" s="3">
        <f>infections!BO49-infections!BN49</f>
        <v>2</v>
      </c>
      <c r="BP49" s="3">
        <f>infections!BP49-infections!BO49</f>
        <v>0</v>
      </c>
      <c r="BQ49" s="3">
        <f>infections!BQ49-infections!BP49</f>
        <v>0</v>
      </c>
      <c r="BR49" s="3">
        <f>infections!BR49-infections!BQ49</f>
        <v>0</v>
      </c>
      <c r="BS49" s="3">
        <f>infections!BS49-infections!BR49</f>
        <v>0</v>
      </c>
      <c r="BT49" s="3">
        <f>infections!BT49-infections!BS49</f>
        <v>0</v>
      </c>
      <c r="BU49" s="3">
        <f>infections!BU49-infections!BT49</f>
        <v>2</v>
      </c>
      <c r="BV49" s="3">
        <f>infections!BV49-infections!BU49</f>
        <v>2</v>
      </c>
      <c r="BW49" s="3">
        <f>infections!BW49-infections!BV49</f>
        <v>0</v>
      </c>
      <c r="BX49" s="3">
        <f>infections!BX49-infections!BW49</f>
        <v>1</v>
      </c>
      <c r="BY49" s="3">
        <f>infections!BY49-infections!BX49</f>
        <v>0</v>
      </c>
    </row>
    <row r="50">
      <c r="B50" s="1" t="str">
        <f>infections!B50</f>
        <v>Chile</v>
      </c>
      <c r="C50" s="4">
        <f>infections!C50</f>
        <v>-35.6751</v>
      </c>
      <c r="D50" s="4">
        <f>infections!D50</f>
        <v>-71.543</v>
      </c>
      <c r="E50" s="4">
        <f>infections!E50</f>
        <v>0</v>
      </c>
      <c r="F50" s="3">
        <f>infections!F50-infections!E50</f>
        <v>0</v>
      </c>
      <c r="G50" s="3">
        <f>infections!G50-infections!F50</f>
        <v>0</v>
      </c>
      <c r="H50" s="3">
        <f>infections!H50-infections!G50</f>
        <v>0</v>
      </c>
      <c r="I50" s="3">
        <f>infections!I50-infections!H50</f>
        <v>0</v>
      </c>
      <c r="J50" s="3">
        <f>infections!J50-infections!I50</f>
        <v>0</v>
      </c>
      <c r="K50" s="3">
        <f>infections!K50-infections!J50</f>
        <v>0</v>
      </c>
      <c r="L50" s="3">
        <f>infections!L50-infections!K50</f>
        <v>0</v>
      </c>
      <c r="M50" s="3">
        <f>infections!M50-infections!L50</f>
        <v>0</v>
      </c>
      <c r="N50" s="3">
        <f>infections!N50-infections!M50</f>
        <v>0</v>
      </c>
      <c r="O50" s="3">
        <f>infections!O50-infections!N50</f>
        <v>0</v>
      </c>
      <c r="P50" s="3">
        <f>infections!P50-infections!O50</f>
        <v>0</v>
      </c>
      <c r="Q50" s="3">
        <f>infections!Q50-infections!P50</f>
        <v>0</v>
      </c>
      <c r="R50" s="3">
        <f>infections!R50-infections!Q50</f>
        <v>0</v>
      </c>
      <c r="S50" s="3">
        <f>infections!S50-infections!R50</f>
        <v>0</v>
      </c>
      <c r="T50" s="3">
        <f>infections!T50-infections!S50</f>
        <v>0</v>
      </c>
      <c r="U50" s="3">
        <f>infections!U50-infections!T50</f>
        <v>0</v>
      </c>
      <c r="V50" s="3">
        <f>infections!V50-infections!U50</f>
        <v>0</v>
      </c>
      <c r="W50" s="3">
        <f>infections!W50-infections!V50</f>
        <v>0</v>
      </c>
      <c r="X50" s="3">
        <f>infections!X50-infections!W50</f>
        <v>0</v>
      </c>
      <c r="Y50" s="3">
        <f>infections!Y50-infections!X50</f>
        <v>0</v>
      </c>
      <c r="Z50" s="3">
        <f>infections!Z50-infections!Y50</f>
        <v>0</v>
      </c>
      <c r="AA50" s="3">
        <f>infections!AA50-infections!Z50</f>
        <v>0</v>
      </c>
      <c r="AB50" s="3">
        <f>infections!AB50-infections!AA50</f>
        <v>0</v>
      </c>
      <c r="AC50" s="3">
        <f>infections!AC50-infections!AB50</f>
        <v>0</v>
      </c>
      <c r="AD50" s="3">
        <f>infections!AD50-infections!AC50</f>
        <v>0</v>
      </c>
      <c r="AE50" s="3">
        <f>infections!AE50-infections!AD50</f>
        <v>0</v>
      </c>
      <c r="AF50" s="3">
        <f>infections!AF50-infections!AE50</f>
        <v>0</v>
      </c>
      <c r="AG50" s="3">
        <f>infections!AG50-infections!AF50</f>
        <v>0</v>
      </c>
      <c r="AH50" s="3">
        <f>infections!AH50-infections!AG50</f>
        <v>0</v>
      </c>
      <c r="AI50" s="3">
        <f>infections!AI50-infections!AH50</f>
        <v>0</v>
      </c>
      <c r="AJ50" s="3">
        <f>infections!AJ50-infections!AI50</f>
        <v>0</v>
      </c>
      <c r="AK50" s="3">
        <f>infections!AK50-infections!AJ50</f>
        <v>0</v>
      </c>
      <c r="AL50" s="3">
        <f>infections!AL50-infections!AK50</f>
        <v>0</v>
      </c>
      <c r="AM50" s="3">
        <f>infections!AM50-infections!AL50</f>
        <v>0</v>
      </c>
      <c r="AN50" s="3">
        <f>infections!AN50-infections!AM50</f>
        <v>0</v>
      </c>
      <c r="AO50" s="3">
        <f>infections!AO50-infections!AN50</f>
        <v>0</v>
      </c>
      <c r="AP50" s="3">
        <f>infections!AP50-infections!AO50</f>
        <v>0</v>
      </c>
      <c r="AQ50" s="3">
        <f>infections!AQ50-infections!AP50</f>
        <v>0</v>
      </c>
      <c r="AR50" s="3">
        <f>infections!AR50-infections!AQ50</f>
        <v>0</v>
      </c>
      <c r="AS50" s="3">
        <f>infections!AS50-infections!AR50</f>
        <v>0</v>
      </c>
      <c r="AT50" s="3">
        <f>infections!AT50-infections!AS50</f>
        <v>1</v>
      </c>
      <c r="AU50" s="3">
        <f>infections!AU50-infections!AT50</f>
        <v>0</v>
      </c>
      <c r="AV50" s="3">
        <f>infections!AV50-infections!AU50</f>
        <v>3</v>
      </c>
      <c r="AW50" s="3">
        <f>infections!AW50-infections!AV50</f>
        <v>0</v>
      </c>
      <c r="AX50" s="3">
        <f>infections!AX50-infections!AW50</f>
        <v>0</v>
      </c>
      <c r="AY50" s="3">
        <f>infections!AY50-infections!AX50</f>
        <v>4</v>
      </c>
      <c r="AZ50" s="3">
        <f>infections!AZ50-infections!AY50</f>
        <v>0</v>
      </c>
      <c r="BA50" s="3">
        <f>infections!BA50-infections!AZ50</f>
        <v>5</v>
      </c>
      <c r="BB50" s="3">
        <f>infections!BB50-infections!BA50</f>
        <v>10</v>
      </c>
      <c r="BC50" s="3">
        <f>infections!BC50-infections!BB50</f>
        <v>0</v>
      </c>
      <c r="BD50" s="3">
        <f>infections!BD50-infections!BC50</f>
        <v>20</v>
      </c>
      <c r="BE50" s="3">
        <f>infections!BE50-infections!BD50</f>
        <v>18</v>
      </c>
      <c r="BF50" s="3">
        <f>infections!BF50-infections!BE50</f>
        <v>13</v>
      </c>
      <c r="BG50" s="3">
        <f>infections!BG50-infections!BF50</f>
        <v>81</v>
      </c>
      <c r="BH50" s="3">
        <f>infections!BH50-infections!BG50</f>
        <v>46</v>
      </c>
      <c r="BI50" s="3">
        <f>infections!BI50-infections!BH50</f>
        <v>37</v>
      </c>
      <c r="BJ50" s="3">
        <f>infections!BJ50-infections!BI50</f>
        <v>0</v>
      </c>
      <c r="BK50" s="3">
        <f>infections!BK50-infections!BJ50</f>
        <v>196</v>
      </c>
      <c r="BL50" s="3">
        <f>infections!BL50-infections!BK50</f>
        <v>103</v>
      </c>
      <c r="BM50" s="3">
        <f>infections!BM50-infections!BL50</f>
        <v>95</v>
      </c>
      <c r="BN50" s="3">
        <f>infections!BN50-infections!BM50</f>
        <v>114</v>
      </c>
      <c r="BO50" s="3">
        <f>infections!BO50-infections!BN50</f>
        <v>176</v>
      </c>
      <c r="BP50" s="3">
        <f>infections!BP50-infections!BO50</f>
        <v>220</v>
      </c>
      <c r="BQ50" s="3">
        <f>infections!BQ50-infections!BP50</f>
        <v>164</v>
      </c>
      <c r="BR50" s="3">
        <f>infections!BR50-infections!BQ50</f>
        <v>304</v>
      </c>
      <c r="BS50" s="3">
        <f>infections!BS50-infections!BR50</f>
        <v>299</v>
      </c>
      <c r="BT50" s="3">
        <f>infections!BT50-infections!BS50</f>
        <v>230</v>
      </c>
      <c r="BU50" s="3">
        <f>infections!BU50-infections!BT50</f>
        <v>310</v>
      </c>
      <c r="BV50" s="3">
        <f>infections!BV50-infections!BU50</f>
        <v>289</v>
      </c>
      <c r="BW50" s="3">
        <f>infections!BW50-infections!BV50</f>
        <v>293</v>
      </c>
      <c r="BX50" s="3">
        <f>infections!BX50-infections!BW50</f>
        <v>373</v>
      </c>
      <c r="BY50" s="3">
        <f>infections!BY50-infections!BX50</f>
        <v>333</v>
      </c>
    </row>
    <row r="51">
      <c r="B51" s="1" t="str">
        <f>infections!B51</f>
        <v>China</v>
      </c>
      <c r="C51" s="4">
        <f>infections!C51</f>
        <v>31.8257</v>
      </c>
      <c r="D51" s="4">
        <f>infections!D51</f>
        <v>117.2264</v>
      </c>
      <c r="E51" s="4">
        <f>infections!E51</f>
        <v>1</v>
      </c>
      <c r="F51" s="3">
        <f>infections!F51-infections!E51</f>
        <v>8</v>
      </c>
      <c r="G51" s="3">
        <f>infections!G51-infections!F51</f>
        <v>6</v>
      </c>
      <c r="H51" s="3">
        <f>infections!H51-infections!G51</f>
        <v>24</v>
      </c>
      <c r="I51" s="3">
        <f>infections!I51-infections!H51</f>
        <v>21</v>
      </c>
      <c r="J51" s="3">
        <f>infections!J51-infections!I51</f>
        <v>10</v>
      </c>
      <c r="K51" s="3">
        <f>infections!K51-infections!J51</f>
        <v>36</v>
      </c>
      <c r="L51" s="3">
        <f>infections!L51-infections!K51</f>
        <v>46</v>
      </c>
      <c r="M51" s="3">
        <f>infections!M51-infections!L51</f>
        <v>48</v>
      </c>
      <c r="N51" s="3">
        <f>infections!N51-infections!M51</f>
        <v>37</v>
      </c>
      <c r="O51" s="3">
        <f>infections!O51-infections!N51</f>
        <v>60</v>
      </c>
      <c r="P51" s="3">
        <f>infections!P51-infections!O51</f>
        <v>43</v>
      </c>
      <c r="Q51" s="3">
        <f>infections!Q51-infections!P51</f>
        <v>68</v>
      </c>
      <c r="R51" s="3">
        <f>infections!R51-infections!Q51</f>
        <v>72</v>
      </c>
      <c r="S51" s="3">
        <f>infections!S51-infections!R51</f>
        <v>50</v>
      </c>
      <c r="T51" s="3">
        <f>infections!T51-infections!S51</f>
        <v>61</v>
      </c>
      <c r="U51" s="3">
        <f>infections!U51-infections!T51</f>
        <v>74</v>
      </c>
      <c r="V51" s="3">
        <f>infections!V51-infections!U51</f>
        <v>68</v>
      </c>
      <c r="W51" s="3">
        <f>infections!W51-infections!V51</f>
        <v>46</v>
      </c>
      <c r="X51" s="3">
        <f>infections!X51-infections!W51</f>
        <v>51</v>
      </c>
      <c r="Y51" s="3">
        <f>infections!Y51-infections!X51</f>
        <v>30</v>
      </c>
      <c r="Z51" s="3">
        <f>infections!Z51-infections!Y51</f>
        <v>29</v>
      </c>
      <c r="AA51" s="3">
        <f>infections!AA51-infections!Z51</f>
        <v>21</v>
      </c>
      <c r="AB51" s="3">
        <f>infections!AB51-infections!AA51</f>
        <v>24</v>
      </c>
      <c r="AC51" s="3">
        <f>infections!AC51-infections!AB51</f>
        <v>16</v>
      </c>
      <c r="AD51" s="3">
        <f>infections!AD51-infections!AC51</f>
        <v>12</v>
      </c>
      <c r="AE51" s="3">
        <f>infections!AE51-infections!AD51</f>
        <v>11</v>
      </c>
      <c r="AF51" s="3">
        <f>infections!AF51-infections!AE51</f>
        <v>9</v>
      </c>
      <c r="AG51" s="3">
        <f>infections!AG51-infections!AF51</f>
        <v>4</v>
      </c>
      <c r="AH51" s="3">
        <f>infections!AH51-infections!AG51</f>
        <v>1</v>
      </c>
      <c r="AI51" s="3">
        <f>infections!AI51-infections!AH51</f>
        <v>1</v>
      </c>
      <c r="AJ51" s="3">
        <f>infections!AJ51-infections!AI51</f>
        <v>1</v>
      </c>
      <c r="AK51" s="3">
        <f>infections!AK51-infections!AJ51</f>
        <v>0</v>
      </c>
      <c r="AL51" s="3">
        <f>infections!AL51-infections!AK51</f>
        <v>0</v>
      </c>
      <c r="AM51" s="3">
        <f>infections!AM51-infections!AL51</f>
        <v>0</v>
      </c>
      <c r="AN51" s="3">
        <f>infections!AN51-infections!AM51</f>
        <v>0</v>
      </c>
      <c r="AO51" s="3">
        <f>infections!AO51-infections!AN51</f>
        <v>0</v>
      </c>
      <c r="AP51" s="3">
        <f>infections!AP51-infections!AO51</f>
        <v>1</v>
      </c>
      <c r="AQ51" s="3">
        <f>infections!AQ51-infections!AP51</f>
        <v>0</v>
      </c>
      <c r="AR51" s="3">
        <f>infections!AR51-infections!AQ51</f>
        <v>0</v>
      </c>
      <c r="AS51" s="3">
        <f>infections!AS51-infections!AR51</f>
        <v>0</v>
      </c>
      <c r="AT51" s="3">
        <f>infections!AT51-infections!AS51</f>
        <v>0</v>
      </c>
      <c r="AU51" s="3">
        <f>infections!AU51-infections!AT51</f>
        <v>0</v>
      </c>
      <c r="AV51" s="3">
        <f>infections!AV51-infections!AU51</f>
        <v>0</v>
      </c>
      <c r="AW51" s="3">
        <f>infections!AW51-infections!AV51</f>
        <v>0</v>
      </c>
      <c r="AX51" s="3">
        <f>infections!AX51-infections!AW51</f>
        <v>0</v>
      </c>
      <c r="AY51" s="3">
        <f>infections!AY51-infections!AX51</f>
        <v>0</v>
      </c>
      <c r="AZ51" s="3">
        <f>infections!AZ51-infections!AY51</f>
        <v>0</v>
      </c>
      <c r="BA51" s="3">
        <f>infections!BA51-infections!AZ51</f>
        <v>0</v>
      </c>
      <c r="BB51" s="3">
        <f>infections!BB51-infections!BA51</f>
        <v>0</v>
      </c>
      <c r="BC51" s="3">
        <f>infections!BC51-infections!BB51</f>
        <v>0</v>
      </c>
      <c r="BD51" s="3">
        <f>infections!BD51-infections!BC51</f>
        <v>0</v>
      </c>
      <c r="BE51" s="3">
        <f>infections!BE51-infections!BD51</f>
        <v>0</v>
      </c>
      <c r="BF51" s="3">
        <f>infections!BF51-infections!BE51</f>
        <v>0</v>
      </c>
      <c r="BG51" s="3">
        <f>infections!BG51-infections!BF51</f>
        <v>0</v>
      </c>
      <c r="BH51" s="3">
        <f>infections!BH51-infections!BG51</f>
        <v>0</v>
      </c>
      <c r="BI51" s="3">
        <f>infections!BI51-infections!BH51</f>
        <v>0</v>
      </c>
      <c r="BJ51" s="3">
        <f>infections!BJ51-infections!BI51</f>
        <v>0</v>
      </c>
      <c r="BK51" s="3">
        <f>infections!BK51-infections!BJ51</f>
        <v>0</v>
      </c>
      <c r="BL51" s="3">
        <f>infections!BL51-infections!BK51</f>
        <v>0</v>
      </c>
      <c r="BM51" s="3">
        <f>infections!BM51-infections!BL51</f>
        <v>0</v>
      </c>
      <c r="BN51" s="3">
        <f>infections!BN51-infections!BM51</f>
        <v>0</v>
      </c>
      <c r="BO51" s="3">
        <f>infections!BO51-infections!BN51</f>
        <v>0</v>
      </c>
      <c r="BP51" s="3">
        <f>infections!BP51-infections!BO51</f>
        <v>0</v>
      </c>
      <c r="BQ51" s="3">
        <f>infections!BQ51-infections!BP51</f>
        <v>0</v>
      </c>
      <c r="BR51" s="3">
        <f>infections!BR51-infections!BQ51</f>
        <v>0</v>
      </c>
      <c r="BS51" s="3">
        <f>infections!BS51-infections!BR51</f>
        <v>0</v>
      </c>
      <c r="BT51" s="3">
        <f>infections!BT51-infections!BS51</f>
        <v>0</v>
      </c>
      <c r="BU51" s="3">
        <f>infections!BU51-infections!BT51</f>
        <v>0</v>
      </c>
      <c r="BV51" s="3">
        <f>infections!BV51-infections!BU51</f>
        <v>0</v>
      </c>
      <c r="BW51" s="3">
        <f>infections!BW51-infections!BV51</f>
        <v>0</v>
      </c>
      <c r="BX51" s="3">
        <f>infections!BX51-infections!BW51</f>
        <v>0</v>
      </c>
      <c r="BY51" s="3">
        <f>infections!BY51-infections!BX51</f>
        <v>0</v>
      </c>
    </row>
    <row r="52">
      <c r="B52" s="1" t="str">
        <f>infections!B52</f>
        <v>China</v>
      </c>
      <c r="C52" s="4">
        <f>infections!C52</f>
        <v>40.1824</v>
      </c>
      <c r="D52" s="4">
        <f>infections!D52</f>
        <v>116.4142</v>
      </c>
      <c r="E52" s="4">
        <f>infections!E52</f>
        <v>14</v>
      </c>
      <c r="F52" s="3">
        <f>infections!F52-infections!E52</f>
        <v>8</v>
      </c>
      <c r="G52" s="3">
        <f>infections!G52-infections!F52</f>
        <v>14</v>
      </c>
      <c r="H52" s="3">
        <f>infections!H52-infections!G52</f>
        <v>5</v>
      </c>
      <c r="I52" s="3">
        <f>infections!I52-infections!H52</f>
        <v>27</v>
      </c>
      <c r="J52" s="3">
        <f>infections!J52-infections!I52</f>
        <v>12</v>
      </c>
      <c r="K52" s="3">
        <f>infections!K52-infections!J52</f>
        <v>11</v>
      </c>
      <c r="L52" s="3">
        <f>infections!L52-infections!K52</f>
        <v>20</v>
      </c>
      <c r="M52" s="3">
        <f>infections!M52-infections!L52</f>
        <v>3</v>
      </c>
      <c r="N52" s="3">
        <f>infections!N52-infections!M52</f>
        <v>25</v>
      </c>
      <c r="O52" s="3">
        <f>infections!O52-infections!N52</f>
        <v>29</v>
      </c>
      <c r="P52" s="3">
        <f>infections!P52-infections!O52</f>
        <v>23</v>
      </c>
      <c r="Q52" s="3">
        <f>infections!Q52-infections!P52</f>
        <v>21</v>
      </c>
      <c r="R52" s="3">
        <f>infections!R52-infections!Q52</f>
        <v>16</v>
      </c>
      <c r="S52" s="3">
        <f>infections!S52-infections!R52</f>
        <v>25</v>
      </c>
      <c r="T52" s="3">
        <f>infections!T52-infections!S52</f>
        <v>21</v>
      </c>
      <c r="U52" s="3">
        <f>infections!U52-infections!T52</f>
        <v>23</v>
      </c>
      <c r="V52" s="3">
        <f>infections!V52-infections!U52</f>
        <v>18</v>
      </c>
      <c r="W52" s="3">
        <f>infections!W52-infections!V52</f>
        <v>11</v>
      </c>
      <c r="X52" s="3">
        <f>infections!X52-infections!W52</f>
        <v>11</v>
      </c>
      <c r="Y52" s="3">
        <f>infections!Y52-infections!X52</f>
        <v>5</v>
      </c>
      <c r="Z52" s="3">
        <f>infections!Z52-infections!Y52</f>
        <v>10</v>
      </c>
      <c r="AA52" s="3">
        <f>infections!AA52-infections!Z52</f>
        <v>14</v>
      </c>
      <c r="AB52" s="3">
        <f>infections!AB52-infections!AA52</f>
        <v>6</v>
      </c>
      <c r="AC52" s="3">
        <f>infections!AC52-infections!AB52</f>
        <v>3</v>
      </c>
      <c r="AD52" s="3">
        <f>infections!AD52-infections!AC52</f>
        <v>5</v>
      </c>
      <c r="AE52" s="3">
        <f>infections!AE52-infections!AD52</f>
        <v>1</v>
      </c>
      <c r="AF52" s="3">
        <f>infections!AF52-infections!AE52</f>
        <v>6</v>
      </c>
      <c r="AG52" s="3">
        <f>infections!AG52-infections!AF52</f>
        <v>6</v>
      </c>
      <c r="AH52" s="3">
        <f>infections!AH52-infections!AG52</f>
        <v>2</v>
      </c>
      <c r="AI52" s="3">
        <f>infections!AI52-infections!AH52</f>
        <v>1</v>
      </c>
      <c r="AJ52" s="3">
        <f>infections!AJ52-infections!AI52</f>
        <v>3</v>
      </c>
      <c r="AK52" s="3">
        <f>infections!AK52-infections!AJ52</f>
        <v>0</v>
      </c>
      <c r="AL52" s="3">
        <f>infections!AL52-infections!AK52</f>
        <v>0</v>
      </c>
      <c r="AM52" s="3">
        <f>infections!AM52-infections!AL52</f>
        <v>1</v>
      </c>
      <c r="AN52" s="3">
        <f>infections!AN52-infections!AM52</f>
        <v>0</v>
      </c>
      <c r="AO52" s="3">
        <f>infections!AO52-infections!AN52</f>
        <v>10</v>
      </c>
      <c r="AP52" s="3">
        <f>infections!AP52-infections!AO52</f>
        <v>0</v>
      </c>
      <c r="AQ52" s="3">
        <f>infections!AQ52-infections!AP52</f>
        <v>1</v>
      </c>
      <c r="AR52" s="3">
        <f>infections!AR52-infections!AQ52</f>
        <v>2</v>
      </c>
      <c r="AS52" s="3">
        <f>infections!AS52-infections!AR52</f>
        <v>1</v>
      </c>
      <c r="AT52" s="3">
        <f>infections!AT52-infections!AS52</f>
        <v>0</v>
      </c>
      <c r="AU52" s="3">
        <f>infections!AU52-infections!AT52</f>
        <v>4</v>
      </c>
      <c r="AV52" s="3">
        <f>infections!AV52-infections!AU52</f>
        <v>0</v>
      </c>
      <c r="AW52" s="3">
        <f>infections!AW52-infections!AV52</f>
        <v>4</v>
      </c>
      <c r="AX52" s="3">
        <f>infections!AX52-infections!AW52</f>
        <v>4</v>
      </c>
      <c r="AY52" s="3">
        <f>infections!AY52-infections!AX52</f>
        <v>2</v>
      </c>
      <c r="AZ52" s="3">
        <f>infections!AZ52-infections!AY52</f>
        <v>0</v>
      </c>
      <c r="BA52" s="3">
        <f>infections!BA52-infections!AZ52</f>
        <v>1</v>
      </c>
      <c r="BB52" s="3">
        <f>infections!BB52-infections!BA52</f>
        <v>6</v>
      </c>
      <c r="BC52" s="3">
        <f>infections!BC52-infections!BB52</f>
        <v>0</v>
      </c>
      <c r="BD52" s="3">
        <f>infections!BD52-infections!BC52</f>
        <v>1</v>
      </c>
      <c r="BE52" s="3">
        <f>infections!BE52-infections!BD52</f>
        <v>1</v>
      </c>
      <c r="BF52" s="3">
        <f>infections!BF52-infections!BE52</f>
        <v>5</v>
      </c>
      <c r="BG52" s="3">
        <f>infections!BG52-infections!BF52</f>
        <v>10</v>
      </c>
      <c r="BH52" s="3">
        <f>infections!BH52-infections!BG52</f>
        <v>4</v>
      </c>
      <c r="BI52" s="3">
        <f>infections!BI52-infections!BH52</f>
        <v>13</v>
      </c>
      <c r="BJ52" s="3">
        <f>infections!BJ52-infections!BI52</f>
        <v>11</v>
      </c>
      <c r="BK52" s="3">
        <f>infections!BK52-infections!BJ52</f>
        <v>11</v>
      </c>
      <c r="BL52" s="3">
        <f>infections!BL52-infections!BK52</f>
        <v>13</v>
      </c>
      <c r="BM52" s="3">
        <f>infections!BM52-infections!BL52</f>
        <v>18</v>
      </c>
      <c r="BN52" s="3">
        <f>infections!BN52-infections!BM52</f>
        <v>15</v>
      </c>
      <c r="BO52" s="3">
        <f>infections!BO52-infections!BN52</f>
        <v>21</v>
      </c>
      <c r="BP52" s="3">
        <f>infections!BP52-infections!BO52</f>
        <v>3</v>
      </c>
      <c r="BQ52" s="3">
        <f>infections!BQ52-infections!BP52</f>
        <v>5</v>
      </c>
      <c r="BR52" s="3">
        <f>infections!BR52-infections!BQ52</f>
        <v>3</v>
      </c>
      <c r="BS52" s="3">
        <f>infections!BS52-infections!BR52</f>
        <v>4</v>
      </c>
      <c r="BT52" s="3">
        <f>infections!BT52-infections!BS52</f>
        <v>4</v>
      </c>
      <c r="BU52" s="3">
        <f>infections!BU52-infections!BT52</f>
        <v>0</v>
      </c>
      <c r="BV52" s="3">
        <f>infections!BV52-infections!BU52</f>
        <v>3</v>
      </c>
      <c r="BW52" s="3">
        <f>infections!BW52-infections!BV52</f>
        <v>0</v>
      </c>
      <c r="BX52" s="3">
        <f>infections!BX52-infections!BW52</f>
        <v>2</v>
      </c>
      <c r="BY52" s="3">
        <f>infections!BY52-infections!BX52</f>
        <v>2</v>
      </c>
    </row>
    <row r="53">
      <c r="B53" s="1" t="str">
        <f>infections!B53</f>
        <v>China</v>
      </c>
      <c r="C53" s="4">
        <f>infections!C53</f>
        <v>30.0572</v>
      </c>
      <c r="D53" s="4">
        <f>infections!D53</f>
        <v>107.874</v>
      </c>
      <c r="E53" s="4">
        <f>infections!E53</f>
        <v>6</v>
      </c>
      <c r="F53" s="3">
        <f>infections!F53-infections!E53</f>
        <v>3</v>
      </c>
      <c r="G53" s="3">
        <f>infections!G53-infections!F53</f>
        <v>18</v>
      </c>
      <c r="H53" s="3">
        <f>infections!H53-infections!G53</f>
        <v>30</v>
      </c>
      <c r="I53" s="3">
        <f>infections!I53-infections!H53</f>
        <v>18</v>
      </c>
      <c r="J53" s="3">
        <f>infections!J53-infections!I53</f>
        <v>35</v>
      </c>
      <c r="K53" s="3">
        <f>infections!K53-infections!J53</f>
        <v>22</v>
      </c>
      <c r="L53" s="3">
        <f>infections!L53-infections!K53</f>
        <v>15</v>
      </c>
      <c r="M53" s="3">
        <f>infections!M53-infections!L53</f>
        <v>35</v>
      </c>
      <c r="N53" s="3">
        <f>infections!N53-infections!M53</f>
        <v>29</v>
      </c>
      <c r="O53" s="3">
        <f>infections!O53-infections!N53</f>
        <v>36</v>
      </c>
      <c r="P53" s="3">
        <f>infections!P53-infections!O53</f>
        <v>53</v>
      </c>
      <c r="Q53" s="3">
        <f>infections!Q53-infections!P53</f>
        <v>37</v>
      </c>
      <c r="R53" s="3">
        <f>infections!R53-infections!Q53</f>
        <v>29</v>
      </c>
      <c r="S53" s="3">
        <f>infections!S53-infections!R53</f>
        <v>23</v>
      </c>
      <c r="T53" s="3">
        <f>infections!T53-infections!S53</f>
        <v>22</v>
      </c>
      <c r="U53" s="3">
        <f>infections!U53-infections!T53</f>
        <v>15</v>
      </c>
      <c r="V53" s="3">
        <f>infections!V53-infections!U53</f>
        <v>2</v>
      </c>
      <c r="W53" s="3">
        <f>infections!W53-infections!V53</f>
        <v>40</v>
      </c>
      <c r="X53" s="3">
        <f>infections!X53-infections!W53</f>
        <v>18</v>
      </c>
      <c r="Y53" s="3">
        <f>infections!Y53-infections!X53</f>
        <v>19</v>
      </c>
      <c r="Z53" s="3">
        <f>infections!Z53-infections!Y53</f>
        <v>13</v>
      </c>
      <c r="AA53" s="3">
        <f>infections!AA53-infections!Z53</f>
        <v>11</v>
      </c>
      <c r="AB53" s="3">
        <f>infections!AB53-infections!AA53</f>
        <v>8</v>
      </c>
      <c r="AC53" s="3">
        <f>infections!AC53-infections!AB53</f>
        <v>7</v>
      </c>
      <c r="AD53" s="3">
        <f>infections!AD53-infections!AC53</f>
        <v>7</v>
      </c>
      <c r="AE53" s="3">
        <f>infections!AE53-infections!AD53</f>
        <v>2</v>
      </c>
      <c r="AF53" s="3">
        <f>infections!AF53-infections!AE53</f>
        <v>2</v>
      </c>
      <c r="AG53" s="3">
        <f>infections!AG53-infections!AF53</f>
        <v>5</v>
      </c>
      <c r="AH53" s="3">
        <f>infections!AH53-infections!AG53</f>
        <v>7</v>
      </c>
      <c r="AI53" s="3">
        <f>infections!AI53-infections!AH53</f>
        <v>5</v>
      </c>
      <c r="AJ53" s="3">
        <f>infections!AJ53-infections!AI53</f>
        <v>1</v>
      </c>
      <c r="AK53" s="3">
        <f>infections!AK53-infections!AJ53</f>
        <v>2</v>
      </c>
      <c r="AL53" s="3">
        <f>infections!AL53-infections!AK53</f>
        <v>1</v>
      </c>
      <c r="AM53" s="3">
        <f>infections!AM53-infections!AL53</f>
        <v>0</v>
      </c>
      <c r="AN53" s="3">
        <f>infections!AN53-infections!AM53</f>
        <v>0</v>
      </c>
      <c r="AO53" s="3">
        <f>infections!AO53-infections!AN53</f>
        <v>0</v>
      </c>
      <c r="AP53" s="3">
        <f>infections!AP53-infections!AO53</f>
        <v>0</v>
      </c>
      <c r="AQ53" s="3">
        <f>infections!AQ53-infections!AP53</f>
        <v>0</v>
      </c>
      <c r="AR53" s="3">
        <f>infections!AR53-infections!AQ53</f>
        <v>0</v>
      </c>
      <c r="AS53" s="3">
        <f>infections!AS53-infections!AR53</f>
        <v>0</v>
      </c>
      <c r="AT53" s="3">
        <f>infections!AT53-infections!AS53</f>
        <v>0</v>
      </c>
      <c r="AU53" s="3">
        <f>infections!AU53-infections!AT53</f>
        <v>0</v>
      </c>
      <c r="AV53" s="3">
        <f>infections!AV53-infections!AU53</f>
        <v>0</v>
      </c>
      <c r="AW53" s="3">
        <f>infections!AW53-infections!AV53</f>
        <v>0</v>
      </c>
      <c r="AX53" s="3">
        <f>infections!AX53-infections!AW53</f>
        <v>0</v>
      </c>
      <c r="AY53" s="3">
        <f>infections!AY53-infections!AX53</f>
        <v>0</v>
      </c>
      <c r="AZ53" s="3">
        <f>infections!AZ53-infections!AY53</f>
        <v>0</v>
      </c>
      <c r="BA53" s="3">
        <f>infections!BA53-infections!AZ53</f>
        <v>0</v>
      </c>
      <c r="BB53" s="3">
        <f>infections!BB53-infections!BA53</f>
        <v>0</v>
      </c>
      <c r="BC53" s="3">
        <f>infections!BC53-infections!BB53</f>
        <v>0</v>
      </c>
      <c r="BD53" s="3">
        <f>infections!BD53-infections!BC53</f>
        <v>0</v>
      </c>
      <c r="BE53" s="3">
        <f>infections!BE53-infections!BD53</f>
        <v>0</v>
      </c>
      <c r="BF53" s="3">
        <f>infections!BF53-infections!BE53</f>
        <v>0</v>
      </c>
      <c r="BG53" s="3">
        <f>infections!BG53-infections!BF53</f>
        <v>0</v>
      </c>
      <c r="BH53" s="3">
        <f>infections!BH53-infections!BG53</f>
        <v>0</v>
      </c>
      <c r="BI53" s="3">
        <f>infections!BI53-infections!BH53</f>
        <v>0</v>
      </c>
      <c r="BJ53" s="3">
        <f>infections!BJ53-infections!BI53</f>
        <v>0</v>
      </c>
      <c r="BK53" s="3">
        <f>infections!BK53-infections!BJ53</f>
        <v>0</v>
      </c>
      <c r="BL53" s="3">
        <f>infections!BL53-infections!BK53</f>
        <v>0</v>
      </c>
      <c r="BM53" s="3">
        <f>infections!BM53-infections!BL53</f>
        <v>1</v>
      </c>
      <c r="BN53" s="3">
        <f>infections!BN53-infections!BM53</f>
        <v>1</v>
      </c>
      <c r="BO53" s="3">
        <f>infections!BO53-infections!BN53</f>
        <v>0</v>
      </c>
      <c r="BP53" s="3">
        <f>infections!BP53-infections!BO53</f>
        <v>0</v>
      </c>
      <c r="BQ53" s="3">
        <f>infections!BQ53-infections!BP53</f>
        <v>0</v>
      </c>
      <c r="BR53" s="3">
        <f>infections!BR53-infections!BQ53</f>
        <v>0</v>
      </c>
      <c r="BS53" s="3">
        <f>infections!BS53-infections!BR53</f>
        <v>0</v>
      </c>
      <c r="BT53" s="3">
        <f>infections!BT53-infections!BS53</f>
        <v>1</v>
      </c>
      <c r="BU53" s="3">
        <f>infections!BU53-infections!BT53</f>
        <v>0</v>
      </c>
      <c r="BV53" s="3">
        <f>infections!BV53-infections!BU53</f>
        <v>0</v>
      </c>
      <c r="BW53" s="3">
        <f>infections!BW53-infections!BV53</f>
        <v>0</v>
      </c>
      <c r="BX53" s="3">
        <f>infections!BX53-infections!BW53</f>
        <v>0</v>
      </c>
      <c r="BY53" s="3">
        <f>infections!BY53-infections!BX53</f>
        <v>0</v>
      </c>
    </row>
    <row r="54">
      <c r="B54" s="1" t="str">
        <f>infections!B54</f>
        <v>China</v>
      </c>
      <c r="C54" s="4">
        <f>infections!C54</f>
        <v>26.0789</v>
      </c>
      <c r="D54" s="4">
        <f>infections!D54</f>
        <v>117.9874</v>
      </c>
      <c r="E54" s="4">
        <f>infections!E54</f>
        <v>1</v>
      </c>
      <c r="F54" s="3">
        <f>infections!F54-infections!E54</f>
        <v>4</v>
      </c>
      <c r="G54" s="3">
        <f>infections!G54-infections!F54</f>
        <v>5</v>
      </c>
      <c r="H54" s="3">
        <f>infections!H54-infections!G54</f>
        <v>8</v>
      </c>
      <c r="I54" s="3">
        <f>infections!I54-infections!H54</f>
        <v>17</v>
      </c>
      <c r="J54" s="3">
        <f>infections!J54-infections!I54</f>
        <v>24</v>
      </c>
      <c r="K54" s="3">
        <f>infections!K54-infections!J54</f>
        <v>21</v>
      </c>
      <c r="L54" s="3">
        <f>infections!L54-infections!K54</f>
        <v>4</v>
      </c>
      <c r="M54" s="3">
        <f>infections!M54-infections!L54</f>
        <v>17</v>
      </c>
      <c r="N54" s="3">
        <f>infections!N54-infections!M54</f>
        <v>19</v>
      </c>
      <c r="O54" s="3">
        <f>infections!O54-infections!N54</f>
        <v>24</v>
      </c>
      <c r="P54" s="3">
        <f>infections!P54-infections!O54</f>
        <v>15</v>
      </c>
      <c r="Q54" s="3">
        <f>infections!Q54-infections!P54</f>
        <v>20</v>
      </c>
      <c r="R54" s="3">
        <f>infections!R54-infections!Q54</f>
        <v>15</v>
      </c>
      <c r="S54" s="3">
        <f>infections!S54-infections!R54</f>
        <v>11</v>
      </c>
      <c r="T54" s="3">
        <f>infections!T54-infections!S54</f>
        <v>10</v>
      </c>
      <c r="U54" s="3">
        <f>infections!U54-infections!T54</f>
        <v>9</v>
      </c>
      <c r="V54" s="3">
        <f>infections!V54-infections!U54</f>
        <v>15</v>
      </c>
      <c r="W54" s="3">
        <f>infections!W54-infections!V54</f>
        <v>11</v>
      </c>
      <c r="X54" s="3">
        <f>infections!X54-infections!W54</f>
        <v>11</v>
      </c>
      <c r="Y54" s="3">
        <f>infections!Y54-infections!X54</f>
        <v>6</v>
      </c>
      <c r="Z54" s="3">
        <f>infections!Z54-infections!Y54</f>
        <v>5</v>
      </c>
      <c r="AA54" s="3">
        <f>infections!AA54-infections!Z54</f>
        <v>7</v>
      </c>
      <c r="AB54" s="3">
        <f>infections!AB54-infections!AA54</f>
        <v>2</v>
      </c>
      <c r="AC54" s="3">
        <f>infections!AC54-infections!AB54</f>
        <v>4</v>
      </c>
      <c r="AD54" s="3">
        <f>infections!AD54-infections!AC54</f>
        <v>2</v>
      </c>
      <c r="AE54" s="3">
        <f>infections!AE54-infections!AD54</f>
        <v>3</v>
      </c>
      <c r="AF54" s="3">
        <f>infections!AF54-infections!AE54</f>
        <v>2</v>
      </c>
      <c r="AG54" s="3">
        <f>infections!AG54-infections!AF54</f>
        <v>1</v>
      </c>
      <c r="AH54" s="3">
        <f>infections!AH54-infections!AG54</f>
        <v>0</v>
      </c>
      <c r="AI54" s="3">
        <f>infections!AI54-infections!AH54</f>
        <v>0</v>
      </c>
      <c r="AJ54" s="3">
        <f>infections!AJ54-infections!AI54</f>
        <v>0</v>
      </c>
      <c r="AK54" s="3">
        <f>infections!AK54-infections!AJ54</f>
        <v>0</v>
      </c>
      <c r="AL54" s="3">
        <f>infections!AL54-infections!AK54</f>
        <v>0</v>
      </c>
      <c r="AM54" s="3">
        <f>infections!AM54-infections!AL54</f>
        <v>1</v>
      </c>
      <c r="AN54" s="3">
        <f>infections!AN54-infections!AM54</f>
        <v>0</v>
      </c>
      <c r="AO54" s="3">
        <f>infections!AO54-infections!AN54</f>
        <v>2</v>
      </c>
      <c r="AP54" s="3">
        <f>infections!AP54-infections!AO54</f>
        <v>0</v>
      </c>
      <c r="AQ54" s="3">
        <f>infections!AQ54-infections!AP54</f>
        <v>0</v>
      </c>
      <c r="AR54" s="3">
        <f>infections!AR54-infections!AQ54</f>
        <v>0</v>
      </c>
      <c r="AS54" s="3">
        <f>infections!AS54-infections!AR54</f>
        <v>0</v>
      </c>
      <c r="AT54" s="3">
        <f>infections!AT54-infections!AS54</f>
        <v>0</v>
      </c>
      <c r="AU54" s="3">
        <f>infections!AU54-infections!AT54</f>
        <v>0</v>
      </c>
      <c r="AV54" s="3">
        <f>infections!AV54-infections!AU54</f>
        <v>0</v>
      </c>
      <c r="AW54" s="3">
        <f>infections!AW54-infections!AV54</f>
        <v>0</v>
      </c>
      <c r="AX54" s="3">
        <f>infections!AX54-infections!AW54</f>
        <v>0</v>
      </c>
      <c r="AY54" s="3">
        <f>infections!AY54-infections!AX54</f>
        <v>0</v>
      </c>
      <c r="AZ54" s="3">
        <f>infections!AZ54-infections!AY54</f>
        <v>0</v>
      </c>
      <c r="BA54" s="3">
        <f>infections!BA54-infections!AZ54</f>
        <v>0</v>
      </c>
      <c r="BB54" s="3">
        <f>infections!BB54-infections!BA54</f>
        <v>0</v>
      </c>
      <c r="BC54" s="3">
        <f>infections!BC54-infections!BB54</f>
        <v>0</v>
      </c>
      <c r="BD54" s="3">
        <f>infections!BD54-infections!BC54</f>
        <v>0</v>
      </c>
      <c r="BE54" s="3">
        <f>infections!BE54-infections!BD54</f>
        <v>0</v>
      </c>
      <c r="BF54" s="3">
        <f>infections!BF54-infections!BE54</f>
        <v>0</v>
      </c>
      <c r="BG54" s="3">
        <f>infections!BG54-infections!BF54</f>
        <v>0</v>
      </c>
      <c r="BH54" s="3">
        <f>infections!BH54-infections!BG54</f>
        <v>0</v>
      </c>
      <c r="BI54" s="3">
        <f>infections!BI54-infections!BH54</f>
        <v>0</v>
      </c>
      <c r="BJ54" s="3">
        <f>infections!BJ54-infections!BI54</f>
        <v>0</v>
      </c>
      <c r="BK54" s="3">
        <f>infections!BK54-infections!BJ54</f>
        <v>3</v>
      </c>
      <c r="BL54" s="3">
        <f>infections!BL54-infections!BK54</f>
        <v>4</v>
      </c>
      <c r="BM54" s="3">
        <f>infections!BM54-infections!BL54</f>
        <v>10</v>
      </c>
      <c r="BN54" s="3">
        <f>infections!BN54-infections!BM54</f>
        <v>0</v>
      </c>
      <c r="BO54" s="3">
        <f>infections!BO54-infections!BN54</f>
        <v>5</v>
      </c>
      <c r="BP54" s="3">
        <f>infections!BP54-infections!BO54</f>
        <v>4</v>
      </c>
      <c r="BQ54" s="3">
        <f>infections!BQ54-infections!BP54</f>
        <v>6</v>
      </c>
      <c r="BR54" s="3">
        <f>infections!BR54-infections!BQ54</f>
        <v>3</v>
      </c>
      <c r="BS54" s="3">
        <f>infections!BS54-infections!BR54</f>
        <v>6</v>
      </c>
      <c r="BT54" s="3">
        <f>infections!BT54-infections!BS54</f>
        <v>1</v>
      </c>
      <c r="BU54" s="3">
        <f>infections!BU54-infections!BT54</f>
        <v>2</v>
      </c>
      <c r="BV54" s="3">
        <f>infections!BV54-infections!BU54</f>
        <v>3</v>
      </c>
      <c r="BW54" s="3">
        <f>infections!BW54-infections!BV54</f>
        <v>2</v>
      </c>
      <c r="BX54" s="3">
        <f>infections!BX54-infections!BW54</f>
        <v>0</v>
      </c>
      <c r="BY54" s="3">
        <f>infections!BY54-infections!BX54</f>
        <v>4</v>
      </c>
    </row>
    <row r="55">
      <c r="B55" s="1" t="str">
        <f>infections!B55</f>
        <v>China</v>
      </c>
      <c r="C55" s="4">
        <f>infections!C55</f>
        <v>37.8099</v>
      </c>
      <c r="D55" s="4">
        <f>infections!D55</f>
        <v>101.0583</v>
      </c>
      <c r="E55" s="4">
        <f>infections!E55</f>
        <v>0</v>
      </c>
      <c r="F55" s="3">
        <f>infections!F55-infections!E55</f>
        <v>2</v>
      </c>
      <c r="G55" s="3">
        <f>infections!G55-infections!F55</f>
        <v>0</v>
      </c>
      <c r="H55" s="3">
        <f>infections!H55-infections!G55</f>
        <v>2</v>
      </c>
      <c r="I55" s="3">
        <f>infections!I55-infections!H55</f>
        <v>3</v>
      </c>
      <c r="J55" s="3">
        <f>infections!J55-infections!I55</f>
        <v>7</v>
      </c>
      <c r="K55" s="3">
        <f>infections!K55-infections!J55</f>
        <v>5</v>
      </c>
      <c r="L55" s="3">
        <f>infections!L55-infections!K55</f>
        <v>5</v>
      </c>
      <c r="M55" s="3">
        <f>infections!M55-infections!L55</f>
        <v>2</v>
      </c>
      <c r="N55" s="3">
        <f>infections!N55-infections!M55</f>
        <v>3</v>
      </c>
      <c r="O55" s="3">
        <f>infections!O55-infections!N55</f>
        <v>11</v>
      </c>
      <c r="P55" s="3">
        <f>infections!P55-infections!O55</f>
        <v>11</v>
      </c>
      <c r="Q55" s="3">
        <f>infections!Q55-infections!P55</f>
        <v>4</v>
      </c>
      <c r="R55" s="3">
        <f>infections!R55-infections!Q55</f>
        <v>2</v>
      </c>
      <c r="S55" s="3">
        <f>infections!S55-infections!R55</f>
        <v>5</v>
      </c>
      <c r="T55" s="3">
        <f>infections!T55-infections!S55</f>
        <v>0</v>
      </c>
      <c r="U55" s="3">
        <f>infections!U55-infections!T55</f>
        <v>5</v>
      </c>
      <c r="V55" s="3">
        <f>infections!V55-infections!U55</f>
        <v>12</v>
      </c>
      <c r="W55" s="3">
        <f>infections!W55-infections!V55</f>
        <v>4</v>
      </c>
      <c r="X55" s="3">
        <f>infections!X55-infections!W55</f>
        <v>0</v>
      </c>
      <c r="Y55" s="3">
        <f>infections!Y55-infections!X55</f>
        <v>3</v>
      </c>
      <c r="Z55" s="3">
        <f>infections!Z55-infections!Y55</f>
        <v>1</v>
      </c>
      <c r="AA55" s="3">
        <f>infections!AA55-infections!Z55</f>
        <v>3</v>
      </c>
      <c r="AB55" s="3">
        <f>infections!AB55-infections!AA55</f>
        <v>0</v>
      </c>
      <c r="AC55" s="3">
        <f>infections!AC55-infections!AB55</f>
        <v>0</v>
      </c>
      <c r="AD55" s="3">
        <f>infections!AD55-infections!AC55</f>
        <v>0</v>
      </c>
      <c r="AE55" s="3">
        <f>infections!AE55-infections!AD55</f>
        <v>1</v>
      </c>
      <c r="AF55" s="3">
        <f>infections!AF55-infections!AE55</f>
        <v>0</v>
      </c>
      <c r="AG55" s="3">
        <f>infections!AG55-infections!AF55</f>
        <v>0</v>
      </c>
      <c r="AH55" s="3">
        <f>infections!AH55-infections!AG55</f>
        <v>0</v>
      </c>
      <c r="AI55" s="3">
        <f>infections!AI55-infections!AH55</f>
        <v>0</v>
      </c>
      <c r="AJ55" s="3">
        <f>infections!AJ55-infections!AI55</f>
        <v>0</v>
      </c>
      <c r="AK55" s="3">
        <f>infections!AK55-infections!AJ55</f>
        <v>0</v>
      </c>
      <c r="AL55" s="3">
        <f>infections!AL55-infections!AK55</f>
        <v>0</v>
      </c>
      <c r="AM55" s="3">
        <f>infections!AM55-infections!AL55</f>
        <v>0</v>
      </c>
      <c r="AN55" s="3">
        <f>infections!AN55-infections!AM55</f>
        <v>0</v>
      </c>
      <c r="AO55" s="3">
        <f>infections!AO55-infections!AN55</f>
        <v>0</v>
      </c>
      <c r="AP55" s="3">
        <f>infections!AP55-infections!AO55</f>
        <v>0</v>
      </c>
      <c r="AQ55" s="3">
        <f>infections!AQ55-infections!AP55</f>
        <v>0</v>
      </c>
      <c r="AR55" s="3">
        <f>infections!AR55-infections!AQ55</f>
        <v>0</v>
      </c>
      <c r="AS55" s="3">
        <f>infections!AS55-infections!AR55</f>
        <v>0</v>
      </c>
      <c r="AT55" s="3">
        <f>infections!AT55-infections!AS55</f>
        <v>0</v>
      </c>
      <c r="AU55" s="3">
        <f>infections!AU55-infections!AT55</f>
        <v>0</v>
      </c>
      <c r="AV55" s="3">
        <f>infections!AV55-infections!AU55</f>
        <v>11</v>
      </c>
      <c r="AW55" s="3">
        <f>infections!AW55-infections!AV55</f>
        <v>17</v>
      </c>
      <c r="AX55" s="3">
        <f>infections!AX55-infections!AW55</f>
        <v>1</v>
      </c>
      <c r="AY55" s="3">
        <f>infections!AY55-infections!AX55</f>
        <v>4</v>
      </c>
      <c r="AZ55" s="3">
        <f>infections!AZ55-infections!AY55</f>
        <v>0</v>
      </c>
      <c r="BA55" s="3">
        <f>infections!BA55-infections!AZ55</f>
        <v>1</v>
      </c>
      <c r="BB55" s="3">
        <f>infections!BB55-infections!BA55</f>
        <v>2</v>
      </c>
      <c r="BC55" s="3">
        <f>infections!BC55-infections!BB55</f>
        <v>0</v>
      </c>
      <c r="BD55" s="3">
        <f>infections!BD55-infections!BC55</f>
        <v>0</v>
      </c>
      <c r="BE55" s="3">
        <f>infections!BE55-infections!BD55</f>
        <v>2</v>
      </c>
      <c r="BF55" s="3">
        <f>infections!BF55-infections!BE55</f>
        <v>4</v>
      </c>
      <c r="BG55" s="3">
        <f>infections!BG55-infections!BF55</f>
        <v>0</v>
      </c>
      <c r="BH55" s="3">
        <f>infections!BH55-infections!BG55</f>
        <v>0</v>
      </c>
      <c r="BI55" s="3">
        <f>infections!BI55-infections!BH55</f>
        <v>0</v>
      </c>
      <c r="BJ55" s="3">
        <f>infections!BJ55-infections!BI55</f>
        <v>1</v>
      </c>
      <c r="BK55" s="3">
        <f>infections!BK55-infections!BJ55</f>
        <v>0</v>
      </c>
      <c r="BL55" s="3">
        <f>infections!BL55-infections!BK55</f>
        <v>0</v>
      </c>
      <c r="BM55" s="3">
        <f>infections!BM55-infections!BL55</f>
        <v>2</v>
      </c>
      <c r="BN55" s="3">
        <f>infections!BN55-infections!BM55</f>
        <v>0</v>
      </c>
      <c r="BO55" s="3">
        <f>infections!BO55-infections!BN55</f>
        <v>0</v>
      </c>
      <c r="BP55" s="3">
        <f>infections!BP55-infections!BO55</f>
        <v>0</v>
      </c>
      <c r="BQ55" s="3">
        <f>infections!BQ55-infections!BP55</f>
        <v>0</v>
      </c>
      <c r="BR55" s="3">
        <f>infections!BR55-infections!BQ55</f>
        <v>0</v>
      </c>
      <c r="BS55" s="3">
        <f>infections!BS55-infections!BR55</f>
        <v>0</v>
      </c>
      <c r="BT55" s="3">
        <f>infections!BT55-infections!BS55</f>
        <v>2</v>
      </c>
      <c r="BU55" s="3">
        <f>infections!BU55-infections!BT55</f>
        <v>0</v>
      </c>
      <c r="BV55" s="3">
        <f>infections!BV55-infections!BU55</f>
        <v>0</v>
      </c>
      <c r="BW55" s="3">
        <f>infections!BW55-infections!BV55</f>
        <v>0</v>
      </c>
      <c r="BX55" s="3">
        <f>infections!BX55-infections!BW55</f>
        <v>0</v>
      </c>
      <c r="BY55" s="3">
        <f>infections!BY55-infections!BX55</f>
        <v>0</v>
      </c>
    </row>
    <row r="56">
      <c r="B56" s="1" t="str">
        <f>infections!B56</f>
        <v>China</v>
      </c>
      <c r="C56" s="4">
        <f>infections!C56</f>
        <v>23.3417</v>
      </c>
      <c r="D56" s="4">
        <f>infections!D56</f>
        <v>113.4244</v>
      </c>
      <c r="E56" s="4">
        <f>infections!E56</f>
        <v>26</v>
      </c>
      <c r="F56" s="3">
        <f>infections!F56-infections!E56</f>
        <v>6</v>
      </c>
      <c r="G56" s="3">
        <f>infections!G56-infections!F56</f>
        <v>21</v>
      </c>
      <c r="H56" s="3">
        <f>infections!H56-infections!G56</f>
        <v>25</v>
      </c>
      <c r="I56" s="3">
        <f>infections!I56-infections!H56</f>
        <v>33</v>
      </c>
      <c r="J56" s="3">
        <f>infections!J56-infections!I56</f>
        <v>40</v>
      </c>
      <c r="K56" s="3">
        <f>infections!K56-infections!J56</f>
        <v>56</v>
      </c>
      <c r="L56" s="3">
        <f>infections!L56-infections!K56</f>
        <v>70</v>
      </c>
      <c r="M56" s="3">
        <f>infections!M56-infections!L56</f>
        <v>77</v>
      </c>
      <c r="N56" s="3">
        <f>infections!N56-infections!M56</f>
        <v>82</v>
      </c>
      <c r="O56" s="3">
        <f>infections!O56-infections!N56</f>
        <v>99</v>
      </c>
      <c r="P56" s="3">
        <f>infections!P56-infections!O56</f>
        <v>97</v>
      </c>
      <c r="Q56" s="3">
        <f>infections!Q56-infections!P56</f>
        <v>93</v>
      </c>
      <c r="R56" s="3">
        <f>infections!R56-infections!Q56</f>
        <v>88</v>
      </c>
      <c r="S56" s="3">
        <f>infections!S56-infections!R56</f>
        <v>82</v>
      </c>
      <c r="T56" s="3">
        <f>infections!T56-infections!S56</f>
        <v>75</v>
      </c>
      <c r="U56" s="3">
        <f>infections!U56-infections!T56</f>
        <v>64</v>
      </c>
      <c r="V56" s="3">
        <f>infections!V56-infections!U56</f>
        <v>61</v>
      </c>
      <c r="W56" s="3">
        <f>infections!W56-infections!V56</f>
        <v>36</v>
      </c>
      <c r="X56" s="3">
        <f>infections!X56-infections!W56</f>
        <v>28</v>
      </c>
      <c r="Y56" s="3">
        <f>infections!Y56-infections!X56</f>
        <v>18</v>
      </c>
      <c r="Z56" s="3">
        <f>infections!Z56-infections!Y56</f>
        <v>42</v>
      </c>
      <c r="AA56" s="3">
        <f>infections!AA56-infections!Z56</f>
        <v>22</v>
      </c>
      <c r="AB56" s="3">
        <f>infections!AB56-infections!AA56</f>
        <v>20</v>
      </c>
      <c r="AC56" s="3">
        <f>infections!AC56-infections!AB56</f>
        <v>33</v>
      </c>
      <c r="AD56" s="3">
        <f>infections!AD56-infections!AC56</f>
        <v>22</v>
      </c>
      <c r="AE56" s="3">
        <f>infections!AE56-infections!AD56</f>
        <v>6</v>
      </c>
      <c r="AF56" s="3">
        <f>infections!AF56-infections!AE56</f>
        <v>6</v>
      </c>
      <c r="AG56" s="3">
        <f>infections!AG56-infections!AF56</f>
        <v>3</v>
      </c>
      <c r="AH56" s="3">
        <f>infections!AH56-infections!AG56</f>
        <v>1</v>
      </c>
      <c r="AI56" s="3">
        <f>infections!AI56-infections!AH56</f>
        <v>1</v>
      </c>
      <c r="AJ56" s="3">
        <f>infections!AJ56-infections!AI56</f>
        <v>6</v>
      </c>
      <c r="AK56" s="3">
        <f>infections!AK56-infections!AJ56</f>
        <v>3</v>
      </c>
      <c r="AL56" s="3">
        <f>infections!AL56-infections!AK56</f>
        <v>3</v>
      </c>
      <c r="AM56" s="3">
        <f>infections!AM56-infections!AL56</f>
        <v>2</v>
      </c>
      <c r="AN56" s="3">
        <f>infections!AN56-infections!AM56</f>
        <v>0</v>
      </c>
      <c r="AO56" s="3">
        <f>infections!AO56-infections!AN56</f>
        <v>0</v>
      </c>
      <c r="AP56" s="3">
        <f>infections!AP56-infections!AO56</f>
        <v>1</v>
      </c>
      <c r="AQ56" s="3">
        <f>infections!AQ56-infections!AP56</f>
        <v>1</v>
      </c>
      <c r="AR56" s="3">
        <f>infections!AR56-infections!AQ56</f>
        <v>0</v>
      </c>
      <c r="AS56" s="3">
        <f>infections!AS56-infections!AR56</f>
        <v>1</v>
      </c>
      <c r="AT56" s="3">
        <f>infections!AT56-infections!AS56</f>
        <v>0</v>
      </c>
      <c r="AU56" s="3">
        <f>infections!AU56-infections!AT56</f>
        <v>0</v>
      </c>
      <c r="AV56" s="3">
        <f>infections!AV56-infections!AU56</f>
        <v>1</v>
      </c>
      <c r="AW56" s="3">
        <f>infections!AW56-infections!AV56</f>
        <v>1</v>
      </c>
      <c r="AX56" s="3">
        <f>infections!AX56-infections!AW56</f>
        <v>0</v>
      </c>
      <c r="AY56" s="3">
        <f>infections!AY56-infections!AX56</f>
        <v>0</v>
      </c>
      <c r="AZ56" s="3">
        <f>infections!AZ56-infections!AY56</f>
        <v>0</v>
      </c>
      <c r="BA56" s="3">
        <f>infections!BA56-infections!AZ56</f>
        <v>1</v>
      </c>
      <c r="BB56" s="3">
        <f>infections!BB56-infections!BA56</f>
        <v>3</v>
      </c>
      <c r="BC56" s="3">
        <f>infections!BC56-infections!BB56</f>
        <v>0</v>
      </c>
      <c r="BD56" s="3">
        <f>infections!BD56-infections!BC56</f>
        <v>0</v>
      </c>
      <c r="BE56" s="3">
        <f>infections!BE56-infections!BD56</f>
        <v>0</v>
      </c>
      <c r="BF56" s="3">
        <f>infections!BF56-infections!BE56</f>
        <v>4</v>
      </c>
      <c r="BG56" s="3">
        <f>infections!BG56-infections!BF56</f>
        <v>1</v>
      </c>
      <c r="BH56" s="3">
        <f>infections!BH56-infections!BG56</f>
        <v>3</v>
      </c>
      <c r="BI56" s="3">
        <f>infections!BI56-infections!BH56</f>
        <v>6</v>
      </c>
      <c r="BJ56" s="3">
        <f>infections!BJ56-infections!BI56</f>
        <v>8</v>
      </c>
      <c r="BK56" s="3">
        <f>infections!BK56-infections!BJ56</f>
        <v>17</v>
      </c>
      <c r="BL56" s="3">
        <f>infections!BL56-infections!BK56</f>
        <v>5</v>
      </c>
      <c r="BM56" s="3">
        <f>infections!BM56-infections!BL56</f>
        <v>13</v>
      </c>
      <c r="BN56" s="3">
        <f>infections!BN56-infections!BM56</f>
        <v>2</v>
      </c>
      <c r="BO56" s="3">
        <f>infections!BO56-infections!BN56</f>
        <v>13</v>
      </c>
      <c r="BP56" s="3">
        <f>infections!BP56-infections!BO56</f>
        <v>5</v>
      </c>
      <c r="BQ56" s="3">
        <f>infections!BQ56-infections!BP56</f>
        <v>15</v>
      </c>
      <c r="BR56" s="3">
        <f>infections!BR56-infections!BQ56</f>
        <v>8</v>
      </c>
      <c r="BS56" s="3">
        <f>infections!BS56-infections!BR56</f>
        <v>11</v>
      </c>
      <c r="BT56" s="3">
        <f>infections!BT56-infections!BS56</f>
        <v>8</v>
      </c>
      <c r="BU56" s="3">
        <f>infections!BU56-infections!BT56</f>
        <v>9</v>
      </c>
      <c r="BV56" s="3">
        <f>infections!BV56-infections!BU56</f>
        <v>10</v>
      </c>
      <c r="BW56" s="3">
        <f>infections!BW56-infections!BV56</f>
        <v>7</v>
      </c>
      <c r="BX56" s="3">
        <f>infections!BX56-infections!BW56</f>
        <v>6</v>
      </c>
      <c r="BY56" s="3">
        <f>infections!BY56-infections!BX56</f>
        <v>7</v>
      </c>
    </row>
    <row r="57">
      <c r="B57" s="1" t="str">
        <f>infections!B57</f>
        <v>China</v>
      </c>
      <c r="C57" s="4">
        <f>infections!C57</f>
        <v>23.8298</v>
      </c>
      <c r="D57" s="4">
        <f>infections!D57</f>
        <v>108.7881</v>
      </c>
      <c r="E57" s="4">
        <f>infections!E57</f>
        <v>2</v>
      </c>
      <c r="F57" s="3">
        <f>infections!F57-infections!E57</f>
        <v>3</v>
      </c>
      <c r="G57" s="3">
        <f>infections!G57-infections!F57</f>
        <v>18</v>
      </c>
      <c r="H57" s="3">
        <f>infections!H57-infections!G57</f>
        <v>0</v>
      </c>
      <c r="I57" s="3">
        <f>infections!I57-infections!H57</f>
        <v>13</v>
      </c>
      <c r="J57" s="3">
        <f>infections!J57-infections!I57</f>
        <v>10</v>
      </c>
      <c r="K57" s="3">
        <f>infections!K57-infections!J57</f>
        <v>5</v>
      </c>
      <c r="L57" s="3">
        <f>infections!L57-infections!K57</f>
        <v>7</v>
      </c>
      <c r="M57" s="3">
        <f>infections!M57-infections!L57</f>
        <v>20</v>
      </c>
      <c r="N57" s="3">
        <f>infections!N57-infections!M57</f>
        <v>9</v>
      </c>
      <c r="O57" s="3">
        <f>infections!O57-infections!N57</f>
        <v>13</v>
      </c>
      <c r="P57" s="3">
        <f>infections!P57-infections!O57</f>
        <v>11</v>
      </c>
      <c r="Q57" s="3">
        <f>infections!Q57-infections!P57</f>
        <v>16</v>
      </c>
      <c r="R57" s="3">
        <f>infections!R57-infections!Q57</f>
        <v>12</v>
      </c>
      <c r="S57" s="3">
        <f>infections!S57-infections!R57</f>
        <v>11</v>
      </c>
      <c r="T57" s="3">
        <f>infections!T57-infections!S57</f>
        <v>18</v>
      </c>
      <c r="U57" s="3">
        <f>infections!U57-infections!T57</f>
        <v>4</v>
      </c>
      <c r="V57" s="3">
        <f>infections!V57-infections!U57</f>
        <v>11</v>
      </c>
      <c r="W57" s="3">
        <f>infections!W57-infections!V57</f>
        <v>12</v>
      </c>
      <c r="X57" s="3">
        <f>infections!X57-infections!W57</f>
        <v>15</v>
      </c>
      <c r="Y57" s="3">
        <f>infections!Y57-infections!X57</f>
        <v>5</v>
      </c>
      <c r="Z57" s="3">
        <f>infections!Z57-infections!Y57</f>
        <v>7</v>
      </c>
      <c r="AA57" s="3">
        <f>infections!AA57-infections!Z57</f>
        <v>0</v>
      </c>
      <c r="AB57" s="3">
        <f>infections!AB57-infections!AA57</f>
        <v>4</v>
      </c>
      <c r="AC57" s="3">
        <f>infections!AC57-infections!AB57</f>
        <v>9</v>
      </c>
      <c r="AD57" s="3">
        <f>infections!AD57-infections!AC57</f>
        <v>2</v>
      </c>
      <c r="AE57" s="3">
        <f>infections!AE57-infections!AD57</f>
        <v>1</v>
      </c>
      <c r="AF57" s="3">
        <f>infections!AF57-infections!AE57</f>
        <v>4</v>
      </c>
      <c r="AG57" s="3">
        <f>infections!AG57-infections!AF57</f>
        <v>2</v>
      </c>
      <c r="AH57" s="3">
        <f>infections!AH57-infections!AG57</f>
        <v>1</v>
      </c>
      <c r="AI57" s="3">
        <f>infections!AI57-infections!AH57</f>
        <v>1</v>
      </c>
      <c r="AJ57" s="3">
        <f>infections!AJ57-infections!AI57</f>
        <v>3</v>
      </c>
      <c r="AK57" s="3">
        <f>infections!AK57-infections!AJ57</f>
        <v>0</v>
      </c>
      <c r="AL57" s="3">
        <f>infections!AL57-infections!AK57</f>
        <v>2</v>
      </c>
      <c r="AM57" s="3">
        <f>infections!AM57-infections!AL57</f>
        <v>1</v>
      </c>
      <c r="AN57" s="3">
        <f>infections!AN57-infections!AM57</f>
        <v>0</v>
      </c>
      <c r="AO57" s="3">
        <f>infections!AO57-infections!AN57</f>
        <v>0</v>
      </c>
      <c r="AP57" s="3">
        <f>infections!AP57-infections!AO57</f>
        <v>0</v>
      </c>
      <c r="AQ57" s="3">
        <f>infections!AQ57-infections!AP57</f>
        <v>0</v>
      </c>
      <c r="AR57" s="3">
        <f>infections!AR57-infections!AQ57</f>
        <v>0</v>
      </c>
      <c r="AS57" s="3">
        <f>infections!AS57-infections!AR57</f>
        <v>0</v>
      </c>
      <c r="AT57" s="3">
        <f>infections!AT57-infections!AS57</f>
        <v>0</v>
      </c>
      <c r="AU57" s="3">
        <f>infections!AU57-infections!AT57</f>
        <v>0</v>
      </c>
      <c r="AV57" s="3">
        <f>infections!AV57-infections!AU57</f>
        <v>0</v>
      </c>
      <c r="AW57" s="3">
        <f>infections!AW57-infections!AV57</f>
        <v>0</v>
      </c>
      <c r="AX57" s="3">
        <f>infections!AX57-infections!AW57</f>
        <v>0</v>
      </c>
      <c r="AY57" s="3">
        <f>infections!AY57-infections!AX57</f>
        <v>0</v>
      </c>
      <c r="AZ57" s="3">
        <f>infections!AZ57-infections!AY57</f>
        <v>0</v>
      </c>
      <c r="BA57" s="3">
        <f>infections!BA57-infections!AZ57</f>
        <v>0</v>
      </c>
      <c r="BB57" s="3">
        <f>infections!BB57-infections!BA57</f>
        <v>0</v>
      </c>
      <c r="BC57" s="3">
        <f>infections!BC57-infections!BB57</f>
        <v>0</v>
      </c>
      <c r="BD57" s="3">
        <f>infections!BD57-infections!BC57</f>
        <v>0</v>
      </c>
      <c r="BE57" s="3">
        <f>infections!BE57-infections!BD57</f>
        <v>0</v>
      </c>
      <c r="BF57" s="3">
        <f>infections!BF57-infections!BE57</f>
        <v>0</v>
      </c>
      <c r="BG57" s="3">
        <f>infections!BG57-infections!BF57</f>
        <v>0</v>
      </c>
      <c r="BH57" s="3">
        <f>infections!BH57-infections!BG57</f>
        <v>1</v>
      </c>
      <c r="BI57" s="3">
        <f>infections!BI57-infections!BH57</f>
        <v>0</v>
      </c>
      <c r="BJ57" s="3">
        <f>infections!BJ57-infections!BI57</f>
        <v>0</v>
      </c>
      <c r="BK57" s="3">
        <f>infections!BK57-infections!BJ57</f>
        <v>1</v>
      </c>
      <c r="BL57" s="3">
        <f>infections!BL57-infections!BK57</f>
        <v>0</v>
      </c>
      <c r="BM57" s="3">
        <f>infections!BM57-infections!BL57</f>
        <v>0</v>
      </c>
      <c r="BN57" s="3">
        <f>infections!BN57-infections!BM57</f>
        <v>0</v>
      </c>
      <c r="BO57" s="3">
        <f>infections!BO57-infections!BN57</f>
        <v>0</v>
      </c>
      <c r="BP57" s="3">
        <f>infections!BP57-infections!BO57</f>
        <v>0</v>
      </c>
      <c r="BQ57" s="3">
        <f>infections!BQ57-infections!BP57</f>
        <v>0</v>
      </c>
      <c r="BR57" s="3">
        <f>infections!BR57-infections!BQ57</f>
        <v>0</v>
      </c>
      <c r="BS57" s="3">
        <f>infections!BS57-infections!BR57</f>
        <v>0</v>
      </c>
      <c r="BT57" s="3">
        <f>infections!BT57-infections!BS57</f>
        <v>0</v>
      </c>
      <c r="BU57" s="3">
        <f>infections!BU57-infections!BT57</f>
        <v>0</v>
      </c>
      <c r="BV57" s="3">
        <f>infections!BV57-infections!BU57</f>
        <v>0</v>
      </c>
      <c r="BW57" s="3">
        <f>infections!BW57-infections!BV57</f>
        <v>0</v>
      </c>
      <c r="BX57" s="3">
        <f>infections!BX57-infections!BW57</f>
        <v>0</v>
      </c>
      <c r="BY57" s="3">
        <f>infections!BY57-infections!BX57</f>
        <v>0</v>
      </c>
    </row>
    <row r="58">
      <c r="B58" s="1" t="str">
        <f>infections!B58</f>
        <v>China</v>
      </c>
      <c r="C58" s="4">
        <f>infections!C58</f>
        <v>26.8154</v>
      </c>
      <c r="D58" s="4">
        <f>infections!D58</f>
        <v>106.8748</v>
      </c>
      <c r="E58" s="4">
        <f>infections!E58</f>
        <v>1</v>
      </c>
      <c r="F58" s="3">
        <f>infections!F58-infections!E58</f>
        <v>2</v>
      </c>
      <c r="G58" s="3">
        <f>infections!G58-infections!F58</f>
        <v>0</v>
      </c>
      <c r="H58" s="3">
        <f>infections!H58-infections!G58</f>
        <v>1</v>
      </c>
      <c r="I58" s="3">
        <f>infections!I58-infections!H58</f>
        <v>1</v>
      </c>
      <c r="J58" s="3">
        <f>infections!J58-infections!I58</f>
        <v>2</v>
      </c>
      <c r="K58" s="3">
        <f>infections!K58-infections!J58</f>
        <v>2</v>
      </c>
      <c r="L58" s="3">
        <f>infections!L58-infections!K58</f>
        <v>0</v>
      </c>
      <c r="M58" s="3">
        <f>infections!M58-infections!L58</f>
        <v>3</v>
      </c>
      <c r="N58" s="3">
        <f>infections!N58-infections!M58</f>
        <v>17</v>
      </c>
      <c r="O58" s="3">
        <f>infections!O58-infections!N58</f>
        <v>0</v>
      </c>
      <c r="P58" s="3">
        <f>infections!P58-infections!O58</f>
        <v>9</v>
      </c>
      <c r="Q58" s="3">
        <f>infections!Q58-infections!P58</f>
        <v>8</v>
      </c>
      <c r="R58" s="3">
        <f>infections!R58-infections!Q58</f>
        <v>12</v>
      </c>
      <c r="S58" s="3">
        <f>infections!S58-infections!R58</f>
        <v>6</v>
      </c>
      <c r="T58" s="3">
        <f>infections!T58-infections!S58</f>
        <v>7</v>
      </c>
      <c r="U58" s="3">
        <f>infections!U58-infections!T58</f>
        <v>10</v>
      </c>
      <c r="V58" s="3">
        <f>infections!V58-infections!U58</f>
        <v>8</v>
      </c>
      <c r="W58" s="3">
        <f>infections!W58-infections!V58</f>
        <v>10</v>
      </c>
      <c r="X58" s="3">
        <f>infections!X58-infections!W58</f>
        <v>10</v>
      </c>
      <c r="Y58" s="3">
        <f>infections!Y58-infections!X58</f>
        <v>18</v>
      </c>
      <c r="Z58" s="3">
        <f>infections!Z58-infections!Y58</f>
        <v>6</v>
      </c>
      <c r="AA58" s="3">
        <f>infections!AA58-infections!Z58</f>
        <v>2</v>
      </c>
      <c r="AB58" s="3">
        <f>infections!AB58-infections!AA58</f>
        <v>5</v>
      </c>
      <c r="AC58" s="3">
        <f>infections!AC58-infections!AB58</f>
        <v>3</v>
      </c>
      <c r="AD58" s="3">
        <f>infections!AD58-infections!AC58</f>
        <v>1</v>
      </c>
      <c r="AE58" s="3">
        <f>infections!AE58-infections!AD58</f>
        <v>2</v>
      </c>
      <c r="AF58" s="3">
        <f>infections!AF58-infections!AE58</f>
        <v>0</v>
      </c>
      <c r="AG58" s="3">
        <f>infections!AG58-infections!AF58</f>
        <v>0</v>
      </c>
      <c r="AH58" s="3">
        <f>infections!AH58-infections!AG58</f>
        <v>0</v>
      </c>
      <c r="AI58" s="3">
        <f>infections!AI58-infections!AH58</f>
        <v>0</v>
      </c>
      <c r="AJ58" s="3">
        <f>infections!AJ58-infections!AI58</f>
        <v>0</v>
      </c>
      <c r="AK58" s="3">
        <f>infections!AK58-infections!AJ58</f>
        <v>0</v>
      </c>
      <c r="AL58" s="3">
        <f>infections!AL58-infections!AK58</f>
        <v>0</v>
      </c>
      <c r="AM58" s="3">
        <f>infections!AM58-infections!AL58</f>
        <v>0</v>
      </c>
      <c r="AN58" s="3">
        <f>infections!AN58-infections!AM58</f>
        <v>0</v>
      </c>
      <c r="AO58" s="3">
        <f>infections!AO58-infections!AN58</f>
        <v>0</v>
      </c>
      <c r="AP58" s="3">
        <f>infections!AP58-infections!AO58</f>
        <v>0</v>
      </c>
      <c r="AQ58" s="3">
        <f>infections!AQ58-infections!AP58</f>
        <v>0</v>
      </c>
      <c r="AR58" s="3">
        <f>infections!AR58-infections!AQ58</f>
        <v>0</v>
      </c>
      <c r="AS58" s="3">
        <f>infections!AS58-infections!AR58</f>
        <v>0</v>
      </c>
      <c r="AT58" s="3">
        <f>infections!AT58-infections!AS58</f>
        <v>0</v>
      </c>
      <c r="AU58" s="3">
        <f>infections!AU58-infections!AT58</f>
        <v>0</v>
      </c>
      <c r="AV58" s="3">
        <f>infections!AV58-infections!AU58</f>
        <v>0</v>
      </c>
      <c r="AW58" s="3">
        <f>infections!AW58-infections!AV58</f>
        <v>0</v>
      </c>
      <c r="AX58" s="3">
        <f>infections!AX58-infections!AW58</f>
        <v>0</v>
      </c>
      <c r="AY58" s="3">
        <f>infections!AY58-infections!AX58</f>
        <v>0</v>
      </c>
      <c r="AZ58" s="3">
        <f>infections!AZ58-infections!AY58</f>
        <v>0</v>
      </c>
      <c r="BA58" s="3">
        <f>infections!BA58-infections!AZ58</f>
        <v>0</v>
      </c>
      <c r="BB58" s="3">
        <f>infections!BB58-infections!BA58</f>
        <v>0</v>
      </c>
      <c r="BC58" s="3">
        <f>infections!BC58-infections!BB58</f>
        <v>0</v>
      </c>
      <c r="BD58" s="3">
        <f>infections!BD58-infections!BC58</f>
        <v>0</v>
      </c>
      <c r="BE58" s="3">
        <f>infections!BE58-infections!BD58</f>
        <v>0</v>
      </c>
      <c r="BF58" s="3">
        <f>infections!BF58-infections!BE58</f>
        <v>0</v>
      </c>
      <c r="BG58" s="3">
        <f>infections!BG58-infections!BF58</f>
        <v>0</v>
      </c>
      <c r="BH58" s="3">
        <f>infections!BH58-infections!BG58</f>
        <v>1</v>
      </c>
      <c r="BI58" s="3">
        <f>infections!BI58-infections!BH58</f>
        <v>-1</v>
      </c>
      <c r="BJ58" s="3">
        <f>infections!BJ58-infections!BI58</f>
        <v>0</v>
      </c>
      <c r="BK58" s="3">
        <f>infections!BK58-infections!BJ58</f>
        <v>0</v>
      </c>
      <c r="BL58" s="3">
        <f>infections!BL58-infections!BK58</f>
        <v>0</v>
      </c>
      <c r="BM58" s="3">
        <f>infections!BM58-infections!BL58</f>
        <v>0</v>
      </c>
      <c r="BN58" s="3">
        <f>infections!BN58-infections!BM58</f>
        <v>0</v>
      </c>
      <c r="BO58" s="3">
        <f>infections!BO58-infections!BN58</f>
        <v>0</v>
      </c>
      <c r="BP58" s="3">
        <f>infections!BP58-infections!BO58</f>
        <v>0</v>
      </c>
      <c r="BQ58" s="3">
        <f>infections!BQ58-infections!BP58</f>
        <v>0</v>
      </c>
      <c r="BR58" s="3">
        <f>infections!BR58-infections!BQ58</f>
        <v>0</v>
      </c>
      <c r="BS58" s="3">
        <f>infections!BS58-infections!BR58</f>
        <v>0</v>
      </c>
      <c r="BT58" s="3">
        <f>infections!BT58-infections!BS58</f>
        <v>0</v>
      </c>
      <c r="BU58" s="3">
        <f>infections!BU58-infections!BT58</f>
        <v>0</v>
      </c>
      <c r="BV58" s="3">
        <f>infections!BV58-infections!BU58</f>
        <v>0</v>
      </c>
      <c r="BW58" s="3">
        <f>infections!BW58-infections!BV58</f>
        <v>0</v>
      </c>
      <c r="BX58" s="3">
        <f>infections!BX58-infections!BW58</f>
        <v>0</v>
      </c>
      <c r="BY58" s="3">
        <f>infections!BY58-infections!BX58</f>
        <v>0</v>
      </c>
    </row>
    <row r="59">
      <c r="B59" s="1" t="str">
        <f>infections!B59</f>
        <v>China</v>
      </c>
      <c r="C59" s="4">
        <f>infections!C59</f>
        <v>19.1959</v>
      </c>
      <c r="D59" s="4">
        <f>infections!D59</f>
        <v>109.7453</v>
      </c>
      <c r="E59" s="4">
        <f>infections!E59</f>
        <v>4</v>
      </c>
      <c r="F59" s="3">
        <f>infections!F59-infections!E59</f>
        <v>1</v>
      </c>
      <c r="G59" s="3">
        <f>infections!G59-infections!F59</f>
        <v>3</v>
      </c>
      <c r="H59" s="3">
        <f>infections!H59-infections!G59</f>
        <v>11</v>
      </c>
      <c r="I59" s="3">
        <f>infections!I59-infections!H59</f>
        <v>3</v>
      </c>
      <c r="J59" s="3">
        <f>infections!J59-infections!I59</f>
        <v>11</v>
      </c>
      <c r="K59" s="3">
        <f>infections!K59-infections!J59</f>
        <v>7</v>
      </c>
      <c r="L59" s="3">
        <f>infections!L59-infections!K59</f>
        <v>3</v>
      </c>
      <c r="M59" s="3">
        <f>infections!M59-infections!L59</f>
        <v>3</v>
      </c>
      <c r="N59" s="3">
        <f>infections!N59-infections!M59</f>
        <v>6</v>
      </c>
      <c r="O59" s="3">
        <f>infections!O59-infections!N59</f>
        <v>10</v>
      </c>
      <c r="P59" s="3">
        <f>infections!P59-infections!O59</f>
        <v>2</v>
      </c>
      <c r="Q59" s="3">
        <f>infections!Q59-infections!P59</f>
        <v>8</v>
      </c>
      <c r="R59" s="3">
        <f>infections!R59-infections!Q59</f>
        <v>8</v>
      </c>
      <c r="S59" s="3">
        <f>infections!S59-infections!R59</f>
        <v>19</v>
      </c>
      <c r="T59" s="3">
        <f>infections!T59-infections!S59</f>
        <v>7</v>
      </c>
      <c r="U59" s="3">
        <f>infections!U59-infections!T59</f>
        <v>11</v>
      </c>
      <c r="V59" s="3">
        <f>infections!V59-infections!U59</f>
        <v>7</v>
      </c>
      <c r="W59" s="3">
        <f>infections!W59-infections!V59</f>
        <v>7</v>
      </c>
      <c r="X59" s="3">
        <f>infections!X59-infections!W59</f>
        <v>7</v>
      </c>
      <c r="Y59" s="3">
        <f>infections!Y59-infections!X59</f>
        <v>6</v>
      </c>
      <c r="Z59" s="3">
        <f>infections!Z59-infections!Y59</f>
        <v>13</v>
      </c>
      <c r="AA59" s="3">
        <f>infections!AA59-infections!Z59</f>
        <v>0</v>
      </c>
      <c r="AB59" s="3">
        <f>infections!AB59-infections!AA59</f>
        <v>2</v>
      </c>
      <c r="AC59" s="3">
        <f>infections!AC59-infections!AB59</f>
        <v>3</v>
      </c>
      <c r="AD59" s="3">
        <f>infections!AD59-infections!AC59</f>
        <v>0</v>
      </c>
      <c r="AE59" s="3">
        <f>infections!AE59-infections!AD59</f>
        <v>1</v>
      </c>
      <c r="AF59" s="3">
        <f>infections!AF59-infections!AE59</f>
        <v>0</v>
      </c>
      <c r="AG59" s="3">
        <f>infections!AG59-infections!AF59</f>
        <v>5</v>
      </c>
      <c r="AH59" s="3">
        <f>infections!AH59-infections!AG59</f>
        <v>0</v>
      </c>
      <c r="AI59" s="3">
        <f>infections!AI59-infections!AH59</f>
        <v>0</v>
      </c>
      <c r="AJ59" s="3">
        <f>infections!AJ59-infections!AI59</f>
        <v>0</v>
      </c>
      <c r="AK59" s="3">
        <f>infections!AK59-infections!AJ59</f>
        <v>0</v>
      </c>
      <c r="AL59" s="3">
        <f>infections!AL59-infections!AK59</f>
        <v>0</v>
      </c>
      <c r="AM59" s="3">
        <f>infections!AM59-infections!AL59</f>
        <v>0</v>
      </c>
      <c r="AN59" s="3">
        <f>infections!AN59-infections!AM59</f>
        <v>0</v>
      </c>
      <c r="AO59" s="3">
        <f>infections!AO59-infections!AN59</f>
        <v>0</v>
      </c>
      <c r="AP59" s="3">
        <f>infections!AP59-infections!AO59</f>
        <v>0</v>
      </c>
      <c r="AQ59" s="3">
        <f>infections!AQ59-infections!AP59</f>
        <v>0</v>
      </c>
      <c r="AR59" s="3">
        <f>infections!AR59-infections!AQ59</f>
        <v>0</v>
      </c>
      <c r="AS59" s="3">
        <f>infections!AS59-infections!AR59</f>
        <v>0</v>
      </c>
      <c r="AT59" s="3">
        <f>infections!AT59-infections!AS59</f>
        <v>0</v>
      </c>
      <c r="AU59" s="3">
        <f>infections!AU59-infections!AT59</f>
        <v>0</v>
      </c>
      <c r="AV59" s="3">
        <f>infections!AV59-infections!AU59</f>
        <v>0</v>
      </c>
      <c r="AW59" s="3">
        <f>infections!AW59-infections!AV59</f>
        <v>0</v>
      </c>
      <c r="AX59" s="3">
        <f>infections!AX59-infections!AW59</f>
        <v>0</v>
      </c>
      <c r="AY59" s="3">
        <f>infections!AY59-infections!AX59</f>
        <v>0</v>
      </c>
      <c r="AZ59" s="3">
        <f>infections!AZ59-infections!AY59</f>
        <v>0</v>
      </c>
      <c r="BA59" s="3">
        <f>infections!BA59-infections!AZ59</f>
        <v>0</v>
      </c>
      <c r="BB59" s="3">
        <f>infections!BB59-infections!BA59</f>
        <v>0</v>
      </c>
      <c r="BC59" s="3">
        <f>infections!BC59-infections!BB59</f>
        <v>0</v>
      </c>
      <c r="BD59" s="3">
        <f>infections!BD59-infections!BC59</f>
        <v>0</v>
      </c>
      <c r="BE59" s="3">
        <f>infections!BE59-infections!BD59</f>
        <v>0</v>
      </c>
      <c r="BF59" s="3">
        <f>infections!BF59-infections!BE59</f>
        <v>0</v>
      </c>
      <c r="BG59" s="3">
        <f>infections!BG59-infections!BF59</f>
        <v>0</v>
      </c>
      <c r="BH59" s="3">
        <f>infections!BH59-infections!BG59</f>
        <v>0</v>
      </c>
      <c r="BI59" s="3">
        <f>infections!BI59-infections!BH59</f>
        <v>0</v>
      </c>
      <c r="BJ59" s="3">
        <f>infections!BJ59-infections!BI59</f>
        <v>0</v>
      </c>
      <c r="BK59" s="3">
        <f>infections!BK59-infections!BJ59</f>
        <v>0</v>
      </c>
      <c r="BL59" s="3">
        <f>infections!BL59-infections!BK59</f>
        <v>0</v>
      </c>
      <c r="BM59" s="3">
        <f>infections!BM59-infections!BL59</f>
        <v>0</v>
      </c>
      <c r="BN59" s="3">
        <f>infections!BN59-infections!BM59</f>
        <v>0</v>
      </c>
      <c r="BO59" s="3">
        <f>infections!BO59-infections!BN59</f>
        <v>0</v>
      </c>
      <c r="BP59" s="3">
        <f>infections!BP59-infections!BO59</f>
        <v>0</v>
      </c>
      <c r="BQ59" s="3">
        <f>infections!BQ59-infections!BP59</f>
        <v>0</v>
      </c>
      <c r="BR59" s="3">
        <f>infections!BR59-infections!BQ59</f>
        <v>0</v>
      </c>
      <c r="BS59" s="3">
        <f>infections!BS59-infections!BR59</f>
        <v>0</v>
      </c>
      <c r="BT59" s="3">
        <f>infections!BT59-infections!BS59</f>
        <v>0</v>
      </c>
      <c r="BU59" s="3">
        <f>infections!BU59-infections!BT59</f>
        <v>0</v>
      </c>
      <c r="BV59" s="3">
        <f>infections!BV59-infections!BU59</f>
        <v>0</v>
      </c>
      <c r="BW59" s="3">
        <f>infections!BW59-infections!BV59</f>
        <v>0</v>
      </c>
      <c r="BX59" s="3">
        <f>infections!BX59-infections!BW59</f>
        <v>0</v>
      </c>
      <c r="BY59" s="3">
        <f>infections!BY59-infections!BX59</f>
        <v>0</v>
      </c>
    </row>
    <row r="60">
      <c r="B60" s="1" t="str">
        <f>infections!B60</f>
        <v>China</v>
      </c>
      <c r="C60" s="4">
        <f>infections!C60</f>
        <v>39.549</v>
      </c>
      <c r="D60" s="4">
        <f>infections!D60</f>
        <v>116.1306</v>
      </c>
      <c r="E60" s="4">
        <f>infections!E60</f>
        <v>1</v>
      </c>
      <c r="F60" s="3">
        <f>infections!F60-infections!E60</f>
        <v>0</v>
      </c>
      <c r="G60" s="3">
        <f>infections!G60-infections!F60</f>
        <v>1</v>
      </c>
      <c r="H60" s="3">
        <f>infections!H60-infections!G60</f>
        <v>6</v>
      </c>
      <c r="I60" s="3">
        <f>infections!I60-infections!H60</f>
        <v>5</v>
      </c>
      <c r="J60" s="3">
        <f>infections!J60-infections!I60</f>
        <v>5</v>
      </c>
      <c r="K60" s="3">
        <f>infections!K60-infections!J60</f>
        <v>15</v>
      </c>
      <c r="L60" s="3">
        <f>infections!L60-infections!K60</f>
        <v>15</v>
      </c>
      <c r="M60" s="3">
        <f>infections!M60-infections!L60</f>
        <v>17</v>
      </c>
      <c r="N60" s="3">
        <f>infections!N60-infections!M60</f>
        <v>17</v>
      </c>
      <c r="O60" s="3">
        <f>infections!O60-infections!N60</f>
        <v>14</v>
      </c>
      <c r="P60" s="3">
        <f>infections!P60-infections!O60</f>
        <v>8</v>
      </c>
      <c r="Q60" s="3">
        <f>infections!Q60-infections!P60</f>
        <v>9</v>
      </c>
      <c r="R60" s="3">
        <f>infections!R60-infections!Q60</f>
        <v>13</v>
      </c>
      <c r="S60" s="3">
        <f>infections!S60-infections!R60</f>
        <v>9</v>
      </c>
      <c r="T60" s="3">
        <f>infections!T60-infections!S60</f>
        <v>22</v>
      </c>
      <c r="U60" s="3">
        <f>infections!U60-infections!T60</f>
        <v>15</v>
      </c>
      <c r="V60" s="3">
        <f>infections!V60-infections!U60</f>
        <v>23</v>
      </c>
      <c r="W60" s="3">
        <f>infections!W60-infections!V60</f>
        <v>11</v>
      </c>
      <c r="X60" s="3">
        <f>infections!X60-infections!W60</f>
        <v>12</v>
      </c>
      <c r="Y60" s="3">
        <f>infections!Y60-infections!X60</f>
        <v>21</v>
      </c>
      <c r="Z60" s="3">
        <f>infections!Z60-infections!Y60</f>
        <v>12</v>
      </c>
      <c r="AA60" s="3">
        <f>infections!AA60-infections!Z60</f>
        <v>14</v>
      </c>
      <c r="AB60" s="3">
        <f>infections!AB60-infections!AA60</f>
        <v>18</v>
      </c>
      <c r="AC60" s="3">
        <f>infections!AC60-infections!AB60</f>
        <v>8</v>
      </c>
      <c r="AD60" s="3">
        <f>infections!AD60-infections!AC60</f>
        <v>9</v>
      </c>
      <c r="AE60" s="3">
        <f>infections!AE60-infections!AD60</f>
        <v>1</v>
      </c>
      <c r="AF60" s="3">
        <f>infections!AF60-infections!AE60</f>
        <v>5</v>
      </c>
      <c r="AG60" s="3">
        <f>infections!AG60-infections!AF60</f>
        <v>0</v>
      </c>
      <c r="AH60" s="3">
        <f>infections!AH60-infections!AG60</f>
        <v>1</v>
      </c>
      <c r="AI60" s="3">
        <f>infections!AI60-infections!AH60</f>
        <v>1</v>
      </c>
      <c r="AJ60" s="3">
        <f>infections!AJ60-infections!AI60</f>
        <v>1</v>
      </c>
      <c r="AK60" s="3">
        <f>infections!AK60-infections!AJ60</f>
        <v>2</v>
      </c>
      <c r="AL60" s="3">
        <f>infections!AL60-infections!AK60</f>
        <v>0</v>
      </c>
      <c r="AM60" s="3">
        <f>infections!AM60-infections!AL60</f>
        <v>0</v>
      </c>
      <c r="AN60" s="3">
        <f>infections!AN60-infections!AM60</f>
        <v>1</v>
      </c>
      <c r="AO60" s="3">
        <f>infections!AO60-infections!AN60</f>
        <v>5</v>
      </c>
      <c r="AP60" s="3">
        <f>infections!AP60-infections!AO60</f>
        <v>1</v>
      </c>
      <c r="AQ60" s="3">
        <f>infections!AQ60-infections!AP60</f>
        <v>0</v>
      </c>
      <c r="AR60" s="3">
        <f>infections!AR60-infections!AQ60</f>
        <v>0</v>
      </c>
      <c r="AS60" s="3">
        <f>infections!AS60-infections!AR60</f>
        <v>0</v>
      </c>
      <c r="AT60" s="3">
        <f>infections!AT60-infections!AS60</f>
        <v>0</v>
      </c>
      <c r="AU60" s="3">
        <f>infections!AU60-infections!AT60</f>
        <v>0</v>
      </c>
      <c r="AV60" s="3">
        <f>infections!AV60-infections!AU60</f>
        <v>0</v>
      </c>
      <c r="AW60" s="3">
        <f>infections!AW60-infections!AV60</f>
        <v>0</v>
      </c>
      <c r="AX60" s="3">
        <f>infections!AX60-infections!AW60</f>
        <v>0</v>
      </c>
      <c r="AY60" s="3">
        <f>infections!AY60-infections!AX60</f>
        <v>0</v>
      </c>
      <c r="AZ60" s="3">
        <f>infections!AZ60-infections!AY60</f>
        <v>0</v>
      </c>
      <c r="BA60" s="3">
        <f>infections!BA60-infections!AZ60</f>
        <v>0</v>
      </c>
      <c r="BB60" s="3">
        <f>infections!BB60-infections!BA60</f>
        <v>0</v>
      </c>
      <c r="BC60" s="3">
        <f>infections!BC60-infections!BB60</f>
        <v>0</v>
      </c>
      <c r="BD60" s="3">
        <f>infections!BD60-infections!BC60</f>
        <v>0</v>
      </c>
      <c r="BE60" s="3">
        <f>infections!BE60-infections!BD60</f>
        <v>0</v>
      </c>
      <c r="BF60" s="3">
        <f>infections!BF60-infections!BE60</f>
        <v>0</v>
      </c>
      <c r="BG60" s="3">
        <f>infections!BG60-infections!BF60</f>
        <v>0</v>
      </c>
      <c r="BH60" s="3">
        <f>infections!BH60-infections!BG60</f>
        <v>0</v>
      </c>
      <c r="BI60" s="3">
        <f>infections!BI60-infections!BH60</f>
        <v>0</v>
      </c>
      <c r="BJ60" s="3">
        <f>infections!BJ60-infections!BI60</f>
        <v>0</v>
      </c>
      <c r="BK60" s="3">
        <f>infections!BK60-infections!BJ60</f>
        <v>0</v>
      </c>
      <c r="BL60" s="3">
        <f>infections!BL60-infections!BK60</f>
        <v>0</v>
      </c>
      <c r="BM60" s="3">
        <f>infections!BM60-infections!BL60</f>
        <v>1</v>
      </c>
      <c r="BN60" s="3">
        <f>infections!BN60-infections!BM60</f>
        <v>0</v>
      </c>
      <c r="BO60" s="3">
        <f>infections!BO60-infections!BN60</f>
        <v>0</v>
      </c>
      <c r="BP60" s="3">
        <f>infections!BP60-infections!BO60</f>
        <v>0</v>
      </c>
      <c r="BQ60" s="3">
        <f>infections!BQ60-infections!BP60</f>
        <v>0</v>
      </c>
      <c r="BR60" s="3">
        <f>infections!BR60-infections!BQ60</f>
        <v>0</v>
      </c>
      <c r="BS60" s="3">
        <f>infections!BS60-infections!BR60</f>
        <v>0</v>
      </c>
      <c r="BT60" s="3">
        <f>infections!BT60-infections!BS60</f>
        <v>0</v>
      </c>
      <c r="BU60" s="3">
        <f>infections!BU60-infections!BT60</f>
        <v>2</v>
      </c>
      <c r="BV60" s="3">
        <f>infections!BV60-infections!BU60</f>
        <v>0</v>
      </c>
      <c r="BW60" s="3">
        <f>infections!BW60-infections!BV60</f>
        <v>2</v>
      </c>
      <c r="BX60" s="3">
        <f>infections!BX60-infections!BW60</f>
        <v>2</v>
      </c>
      <c r="BY60" s="3">
        <f>infections!BY60-infections!BX60</f>
        <v>1</v>
      </c>
    </row>
    <row r="61">
      <c r="B61" s="1" t="str">
        <f>infections!B61</f>
        <v>China</v>
      </c>
      <c r="C61" s="4">
        <f>infections!C61</f>
        <v>47.862</v>
      </c>
      <c r="D61" s="4">
        <f>infections!D61</f>
        <v>127.7615</v>
      </c>
      <c r="E61" s="4">
        <f>infections!E61</f>
        <v>0</v>
      </c>
      <c r="F61" s="3">
        <f>infections!F61-infections!E61</f>
        <v>2</v>
      </c>
      <c r="G61" s="3">
        <f>infections!G61-infections!F61</f>
        <v>2</v>
      </c>
      <c r="H61" s="3">
        <f>infections!H61-infections!G61</f>
        <v>5</v>
      </c>
      <c r="I61" s="3">
        <f>infections!I61-infections!H61</f>
        <v>6</v>
      </c>
      <c r="J61" s="3">
        <f>infections!J61-infections!I61</f>
        <v>6</v>
      </c>
      <c r="K61" s="3">
        <f>infections!K61-infections!J61</f>
        <v>12</v>
      </c>
      <c r="L61" s="3">
        <f>infections!L61-infections!K61</f>
        <v>5</v>
      </c>
      <c r="M61" s="3">
        <f>infections!M61-infections!L61</f>
        <v>6</v>
      </c>
      <c r="N61" s="3">
        <f>infections!N61-infections!M61</f>
        <v>15</v>
      </c>
      <c r="O61" s="3">
        <f>infections!O61-infections!N61</f>
        <v>21</v>
      </c>
      <c r="P61" s="3">
        <f>infections!P61-infections!O61</f>
        <v>15</v>
      </c>
      <c r="Q61" s="3">
        <f>infections!Q61-infections!P61</f>
        <v>26</v>
      </c>
      <c r="R61" s="3">
        <f>infections!R61-infections!Q61</f>
        <v>34</v>
      </c>
      <c r="S61" s="3">
        <f>infections!S61-infections!R61</f>
        <v>35</v>
      </c>
      <c r="T61" s="3">
        <f>infections!T61-infections!S61</f>
        <v>37</v>
      </c>
      <c r="U61" s="3">
        <f>infections!U61-infections!T61</f>
        <v>50</v>
      </c>
      <c r="V61" s="3">
        <f>infections!V61-infections!U61</f>
        <v>18</v>
      </c>
      <c r="W61" s="3">
        <f>infections!W61-infections!V61</f>
        <v>12</v>
      </c>
      <c r="X61" s="3">
        <f>infections!X61-infections!W61</f>
        <v>24</v>
      </c>
      <c r="Y61" s="3">
        <f>infections!Y61-infections!X61</f>
        <v>29</v>
      </c>
      <c r="Z61" s="3">
        <f>infections!Z61-infections!Y61</f>
        <v>18</v>
      </c>
      <c r="AA61" s="3">
        <f>infections!AA61-infections!Z61</f>
        <v>17</v>
      </c>
      <c r="AB61" s="3">
        <f>infections!AB61-infections!AA61</f>
        <v>24</v>
      </c>
      <c r="AC61" s="3">
        <f>infections!AC61-infections!AB61</f>
        <v>6</v>
      </c>
      <c r="AD61" s="3">
        <f>infections!AD61-infections!AC61</f>
        <v>20</v>
      </c>
      <c r="AE61" s="3">
        <f>infections!AE61-infections!AD61</f>
        <v>12</v>
      </c>
      <c r="AF61" s="3">
        <f>infections!AF61-infections!AE61</f>
        <v>7</v>
      </c>
      <c r="AG61" s="3">
        <f>infections!AG61-infections!AF61</f>
        <v>6</v>
      </c>
      <c r="AH61" s="3">
        <f>infections!AH61-infections!AG61</f>
        <v>6</v>
      </c>
      <c r="AI61" s="3">
        <f>infections!AI61-infections!AH61</f>
        <v>3</v>
      </c>
      <c r="AJ61" s="3">
        <f>infections!AJ61-infections!AI61</f>
        <v>0</v>
      </c>
      <c r="AK61" s="3">
        <f>infections!AK61-infections!AJ61</f>
        <v>1</v>
      </c>
      <c r="AL61" s="3">
        <f>infections!AL61-infections!AK61</f>
        <v>0</v>
      </c>
      <c r="AM61" s="3">
        <f>infections!AM61-infections!AL61</f>
        <v>0</v>
      </c>
      <c r="AN61" s="3">
        <f>infections!AN61-infections!AM61</f>
        <v>0</v>
      </c>
      <c r="AO61" s="3">
        <f>infections!AO61-infections!AN61</f>
        <v>0</v>
      </c>
      <c r="AP61" s="3">
        <f>infections!AP61-infections!AO61</f>
        <v>0</v>
      </c>
      <c r="AQ61" s="3">
        <f>infections!AQ61-infections!AP61</f>
        <v>0</v>
      </c>
      <c r="AR61" s="3">
        <f>infections!AR61-infections!AQ61</f>
        <v>0</v>
      </c>
      <c r="AS61" s="3">
        <f>infections!AS61-infections!AR61</f>
        <v>0</v>
      </c>
      <c r="AT61" s="3">
        <f>infections!AT61-infections!AS61</f>
        <v>0</v>
      </c>
      <c r="AU61" s="3">
        <f>infections!AU61-infections!AT61</f>
        <v>0</v>
      </c>
      <c r="AV61" s="3">
        <f>infections!AV61-infections!AU61</f>
        <v>1</v>
      </c>
      <c r="AW61" s="3">
        <f>infections!AW61-infections!AV61</f>
        <v>0</v>
      </c>
      <c r="AX61" s="3">
        <f>infections!AX61-infections!AW61</f>
        <v>0</v>
      </c>
      <c r="AY61" s="3">
        <f>infections!AY61-infections!AX61</f>
        <v>0</v>
      </c>
      <c r="AZ61" s="3">
        <f>infections!AZ61-infections!AY61</f>
        <v>0</v>
      </c>
      <c r="BA61" s="3">
        <f>infections!BA61-infections!AZ61</f>
        <v>0</v>
      </c>
      <c r="BB61" s="3">
        <f>infections!BB61-infections!BA61</f>
        <v>1</v>
      </c>
      <c r="BC61" s="3">
        <f>infections!BC61-infections!BB61</f>
        <v>0</v>
      </c>
      <c r="BD61" s="3">
        <f>infections!BD61-infections!BC61</f>
        <v>0</v>
      </c>
      <c r="BE61" s="3">
        <f>infections!BE61-infections!BD61</f>
        <v>0</v>
      </c>
      <c r="BF61" s="3">
        <f>infections!BF61-infections!BE61</f>
        <v>0</v>
      </c>
      <c r="BG61" s="3">
        <f>infections!BG61-infections!BF61</f>
        <v>0</v>
      </c>
      <c r="BH61" s="3">
        <f>infections!BH61-infections!BG61</f>
        <v>0</v>
      </c>
      <c r="BI61" s="3">
        <f>infections!BI61-infections!BH61</f>
        <v>0</v>
      </c>
      <c r="BJ61" s="3">
        <f>infections!BJ61-infections!BI61</f>
        <v>1</v>
      </c>
      <c r="BK61" s="3">
        <f>infections!BK61-infections!BJ61</f>
        <v>1</v>
      </c>
      <c r="BL61" s="3">
        <f>infections!BL61-infections!BK61</f>
        <v>0</v>
      </c>
      <c r="BM61" s="3">
        <f>infections!BM61-infections!BL61</f>
        <v>0</v>
      </c>
      <c r="BN61" s="3">
        <f>infections!BN61-infections!BM61</f>
        <v>0</v>
      </c>
      <c r="BO61" s="3">
        <f>infections!BO61-infections!BN61</f>
        <v>0</v>
      </c>
      <c r="BP61" s="3">
        <f>infections!BP61-infections!BO61</f>
        <v>0</v>
      </c>
      <c r="BQ61" s="3">
        <f>infections!BQ61-infections!BP61</f>
        <v>0</v>
      </c>
      <c r="BR61" s="3">
        <f>infections!BR61-infections!BQ61</f>
        <v>0</v>
      </c>
      <c r="BS61" s="3">
        <f>infections!BS61-infections!BR61</f>
        <v>0</v>
      </c>
      <c r="BT61" s="3">
        <f>infections!BT61-infections!BS61</f>
        <v>0</v>
      </c>
      <c r="BU61" s="3">
        <f>infections!BU61-infections!BT61</f>
        <v>0</v>
      </c>
      <c r="BV61" s="3">
        <f>infections!BV61-infections!BU61</f>
        <v>0</v>
      </c>
      <c r="BW61" s="3">
        <f>infections!BW61-infections!BV61</f>
        <v>0</v>
      </c>
      <c r="BX61" s="3">
        <f>infections!BX61-infections!BW61</f>
        <v>4</v>
      </c>
      <c r="BY61" s="3">
        <f>infections!BY61-infections!BX61</f>
        <v>1</v>
      </c>
    </row>
    <row r="62">
      <c r="B62" s="1" t="str">
        <f>infections!B62</f>
        <v>China</v>
      </c>
      <c r="C62" s="4">
        <f>infections!C62</f>
        <v>33.882</v>
      </c>
      <c r="D62" s="4">
        <f>infections!D62</f>
        <v>113.614</v>
      </c>
      <c r="E62" s="4">
        <f>infections!E62</f>
        <v>5</v>
      </c>
      <c r="F62" s="3">
        <f>infections!F62-infections!E62</f>
        <v>0</v>
      </c>
      <c r="G62" s="3">
        <f>infections!G62-infections!F62</f>
        <v>4</v>
      </c>
      <c r="H62" s="3">
        <f>infections!H62-infections!G62</f>
        <v>23</v>
      </c>
      <c r="I62" s="3">
        <f>infections!I62-infections!H62</f>
        <v>51</v>
      </c>
      <c r="J62" s="3">
        <f>infections!J62-infections!I62</f>
        <v>45</v>
      </c>
      <c r="K62" s="3">
        <f>infections!K62-infections!J62</f>
        <v>40</v>
      </c>
      <c r="L62" s="3">
        <f>infections!L62-infections!K62</f>
        <v>38</v>
      </c>
      <c r="M62" s="3">
        <f>infections!M62-infections!L62</f>
        <v>72</v>
      </c>
      <c r="N62" s="3">
        <f>infections!N62-infections!M62</f>
        <v>74</v>
      </c>
      <c r="O62" s="3">
        <f>infections!O62-infections!N62</f>
        <v>70</v>
      </c>
      <c r="P62" s="3">
        <f>infections!P62-infections!O62</f>
        <v>71</v>
      </c>
      <c r="Q62" s="3">
        <f>infections!Q62-infections!P62</f>
        <v>73</v>
      </c>
      <c r="R62" s="3">
        <f>infections!R62-infections!Q62</f>
        <v>109</v>
      </c>
      <c r="S62" s="3">
        <f>infections!S62-infections!R62</f>
        <v>89</v>
      </c>
      <c r="T62" s="3">
        <f>infections!T62-infections!S62</f>
        <v>87</v>
      </c>
      <c r="U62" s="3">
        <f>infections!U62-infections!T62</f>
        <v>63</v>
      </c>
      <c r="V62" s="3">
        <f>infections!V62-infections!U62</f>
        <v>67</v>
      </c>
      <c r="W62" s="3">
        <f>infections!W62-infections!V62</f>
        <v>52</v>
      </c>
      <c r="X62" s="3">
        <f>infections!X62-infections!W62</f>
        <v>40</v>
      </c>
      <c r="Y62" s="3">
        <f>infections!Y62-infections!X62</f>
        <v>32</v>
      </c>
      <c r="Z62" s="3">
        <f>infections!Z62-infections!Y62</f>
        <v>30</v>
      </c>
      <c r="AA62" s="3">
        <f>infections!AA62-infections!Z62</f>
        <v>34</v>
      </c>
      <c r="AB62" s="3">
        <f>infections!AB62-infections!AA62</f>
        <v>15</v>
      </c>
      <c r="AC62" s="3">
        <f>infections!AC62-infections!AB62</f>
        <v>28</v>
      </c>
      <c r="AD62" s="3">
        <f>infections!AD62-infections!AC62</f>
        <v>19</v>
      </c>
      <c r="AE62" s="3">
        <f>infections!AE62-infections!AD62</f>
        <v>15</v>
      </c>
      <c r="AF62" s="3">
        <f>infections!AF62-infections!AE62</f>
        <v>11</v>
      </c>
      <c r="AG62" s="3">
        <f>infections!AG62-infections!AF62</f>
        <v>5</v>
      </c>
      <c r="AH62" s="3">
        <f>infections!AH62-infections!AG62</f>
        <v>3</v>
      </c>
      <c r="AI62" s="3">
        <f>infections!AI62-infections!AH62</f>
        <v>2</v>
      </c>
      <c r="AJ62" s="3">
        <f>infections!AJ62-infections!AI62</f>
        <v>3</v>
      </c>
      <c r="AK62" s="3">
        <f>infections!AK62-infections!AJ62</f>
        <v>1</v>
      </c>
      <c r="AL62" s="3">
        <f>infections!AL62-infections!AK62</f>
        <v>0</v>
      </c>
      <c r="AM62" s="3">
        <f>infections!AM62-infections!AL62</f>
        <v>0</v>
      </c>
      <c r="AN62" s="3">
        <f>infections!AN62-infections!AM62</f>
        <v>0</v>
      </c>
      <c r="AO62" s="3">
        <f>infections!AO62-infections!AN62</f>
        <v>1</v>
      </c>
      <c r="AP62" s="3">
        <f>infections!AP62-infections!AO62</f>
        <v>0</v>
      </c>
      <c r="AQ62" s="3">
        <f>infections!AQ62-infections!AP62</f>
        <v>0</v>
      </c>
      <c r="AR62" s="3">
        <f>infections!AR62-infections!AQ62</f>
        <v>0</v>
      </c>
      <c r="AS62" s="3">
        <f>infections!AS62-infections!AR62</f>
        <v>0</v>
      </c>
      <c r="AT62" s="3">
        <f>infections!AT62-infections!AS62</f>
        <v>0</v>
      </c>
      <c r="AU62" s="3">
        <f>infections!AU62-infections!AT62</f>
        <v>0</v>
      </c>
      <c r="AV62" s="3">
        <f>infections!AV62-infections!AU62</f>
        <v>0</v>
      </c>
      <c r="AW62" s="3">
        <f>infections!AW62-infections!AV62</f>
        <v>0</v>
      </c>
      <c r="AX62" s="3">
        <f>infections!AX62-infections!AW62</f>
        <v>0</v>
      </c>
      <c r="AY62" s="3">
        <f>infections!AY62-infections!AX62</f>
        <v>0</v>
      </c>
      <c r="AZ62" s="3">
        <f>infections!AZ62-infections!AY62</f>
        <v>0</v>
      </c>
      <c r="BA62" s="3">
        <f>infections!BA62-infections!AZ62</f>
        <v>0</v>
      </c>
      <c r="BB62" s="3">
        <f>infections!BB62-infections!BA62</f>
        <v>1</v>
      </c>
      <c r="BC62" s="3">
        <f>infections!BC62-infections!BB62</f>
        <v>0</v>
      </c>
      <c r="BD62" s="3">
        <f>infections!BD62-infections!BC62</f>
        <v>0</v>
      </c>
      <c r="BE62" s="3">
        <f>infections!BE62-infections!BD62</f>
        <v>0</v>
      </c>
      <c r="BF62" s="3">
        <f>infections!BF62-infections!BE62</f>
        <v>0</v>
      </c>
      <c r="BG62" s="3">
        <f>infections!BG62-infections!BF62</f>
        <v>0</v>
      </c>
      <c r="BH62" s="3">
        <f>infections!BH62-infections!BG62</f>
        <v>0</v>
      </c>
      <c r="BI62" s="3">
        <f>infections!BI62-infections!BH62</f>
        <v>0</v>
      </c>
      <c r="BJ62" s="3">
        <f>infections!BJ62-infections!BI62</f>
        <v>0</v>
      </c>
      <c r="BK62" s="3">
        <f>infections!BK62-infections!BJ62</f>
        <v>0</v>
      </c>
      <c r="BL62" s="3">
        <f>infections!BL62-infections!BK62</f>
        <v>0</v>
      </c>
      <c r="BM62" s="3">
        <f>infections!BM62-infections!BL62</f>
        <v>1</v>
      </c>
      <c r="BN62" s="3">
        <f>infections!BN62-infections!BM62</f>
        <v>0</v>
      </c>
      <c r="BO62" s="3">
        <f>infections!BO62-infections!BN62</f>
        <v>0</v>
      </c>
      <c r="BP62" s="3">
        <f>infections!BP62-infections!BO62</f>
        <v>0</v>
      </c>
      <c r="BQ62" s="3">
        <f>infections!BQ62-infections!BP62</f>
        <v>1</v>
      </c>
      <c r="BR62" s="3">
        <f>infections!BR62-infections!BQ62</f>
        <v>0</v>
      </c>
      <c r="BS62" s="3">
        <f>infections!BS62-infections!BR62</f>
        <v>0</v>
      </c>
      <c r="BT62" s="3">
        <f>infections!BT62-infections!BS62</f>
        <v>1</v>
      </c>
      <c r="BU62" s="3">
        <f>infections!BU62-infections!BT62</f>
        <v>0</v>
      </c>
      <c r="BV62" s="3">
        <f>infections!BV62-infections!BU62</f>
        <v>0</v>
      </c>
      <c r="BW62" s="3">
        <f>infections!BW62-infections!BV62</f>
        <v>0</v>
      </c>
      <c r="BX62" s="3">
        <f>infections!BX62-infections!BW62</f>
        <v>0</v>
      </c>
      <c r="BY62" s="3">
        <f>infections!BY62-infections!BX62</f>
        <v>0</v>
      </c>
    </row>
    <row r="63">
      <c r="B63" s="1" t="str">
        <f>infections!B63</f>
        <v>China</v>
      </c>
      <c r="C63" s="4">
        <f>infections!C63</f>
        <v>22.3</v>
      </c>
      <c r="D63" s="4">
        <f>infections!D63</f>
        <v>114.2</v>
      </c>
      <c r="E63" s="4">
        <f>infections!E63</f>
        <v>0</v>
      </c>
      <c r="F63" s="3">
        <f>infections!F63-infections!E63</f>
        <v>2</v>
      </c>
      <c r="G63" s="3">
        <f>infections!G63-infections!F63</f>
        <v>0</v>
      </c>
      <c r="H63" s="3">
        <f>infections!H63-infections!G63</f>
        <v>3</v>
      </c>
      <c r="I63" s="3">
        <f>infections!I63-infections!H63</f>
        <v>3</v>
      </c>
      <c r="J63" s="3">
        <f>infections!J63-infections!I63</f>
        <v>0</v>
      </c>
      <c r="K63" s="3">
        <f>infections!K63-infections!J63</f>
        <v>0</v>
      </c>
      <c r="L63" s="3">
        <f>infections!L63-infections!K63</f>
        <v>2</v>
      </c>
      <c r="M63" s="3">
        <f>infections!M63-infections!L63</f>
        <v>0</v>
      </c>
      <c r="N63" s="3">
        <f>infections!N63-infections!M63</f>
        <v>2</v>
      </c>
      <c r="O63" s="3">
        <f>infections!O63-infections!N63</f>
        <v>1</v>
      </c>
      <c r="P63" s="3">
        <f>infections!P63-infections!O63</f>
        <v>2</v>
      </c>
      <c r="Q63" s="3">
        <f>infections!Q63-infections!P63</f>
        <v>0</v>
      </c>
      <c r="R63" s="3">
        <f>infections!R63-infections!Q63</f>
        <v>2</v>
      </c>
      <c r="S63" s="3">
        <f>infections!S63-infections!R63</f>
        <v>4</v>
      </c>
      <c r="T63" s="3">
        <f>infections!T63-infections!S63</f>
        <v>3</v>
      </c>
      <c r="U63" s="3">
        <f>infections!U63-infections!T63</f>
        <v>1</v>
      </c>
      <c r="V63" s="3">
        <f>infections!V63-infections!U63</f>
        <v>1</v>
      </c>
      <c r="W63" s="3">
        <f>infections!W63-infections!V63</f>
        <v>3</v>
      </c>
      <c r="X63" s="3">
        <f>infections!X63-infections!W63</f>
        <v>9</v>
      </c>
      <c r="Y63" s="3">
        <f>infections!Y63-infections!X63</f>
        <v>11</v>
      </c>
      <c r="Z63" s="3">
        <f>infections!Z63-infections!Y63</f>
        <v>1</v>
      </c>
      <c r="AA63" s="3">
        <f>infections!AA63-infections!Z63</f>
        <v>3</v>
      </c>
      <c r="AB63" s="3">
        <f>infections!AB63-infections!AA63</f>
        <v>3</v>
      </c>
      <c r="AC63" s="3">
        <f>infections!AC63-infections!AB63</f>
        <v>0</v>
      </c>
      <c r="AD63" s="3">
        <f>infections!AD63-infections!AC63</f>
        <v>1</v>
      </c>
      <c r="AE63" s="3">
        <f>infections!AE63-infections!AD63</f>
        <v>3</v>
      </c>
      <c r="AF63" s="3">
        <f>infections!AF63-infections!AE63</f>
        <v>2</v>
      </c>
      <c r="AG63" s="3">
        <f>infections!AG63-infections!AF63</f>
        <v>1</v>
      </c>
      <c r="AH63" s="3">
        <f>infections!AH63-infections!AG63</f>
        <v>5</v>
      </c>
      <c r="AI63" s="3">
        <f>infections!AI63-infections!AH63</f>
        <v>0</v>
      </c>
      <c r="AJ63" s="3">
        <f>infections!AJ63-infections!AI63</f>
        <v>1</v>
      </c>
      <c r="AK63" s="3">
        <f>infections!AK63-infections!AJ63</f>
        <v>5</v>
      </c>
      <c r="AL63" s="3">
        <f>infections!AL63-infections!AK63</f>
        <v>5</v>
      </c>
      <c r="AM63" s="3">
        <f>infections!AM63-infections!AL63</f>
        <v>5</v>
      </c>
      <c r="AN63" s="3">
        <f>infections!AN63-infections!AM63</f>
        <v>7</v>
      </c>
      <c r="AO63" s="3">
        <f>infections!AO63-infections!AN63</f>
        <v>1</v>
      </c>
      <c r="AP63" s="3">
        <f>infections!AP63-infections!AO63</f>
        <v>2</v>
      </c>
      <c r="AQ63" s="3">
        <f>infections!AQ63-infections!AP63</f>
        <v>1</v>
      </c>
      <c r="AR63" s="3">
        <f>infections!AR63-infections!AQ63</f>
        <v>1</v>
      </c>
      <c r="AS63" s="3">
        <f>infections!AS63-infections!AR63</f>
        <v>4</v>
      </c>
      <c r="AT63" s="3">
        <f>infections!AT63-infections!AS63</f>
        <v>0</v>
      </c>
      <c r="AU63" s="3">
        <f>infections!AU63-infections!AT63</f>
        <v>5</v>
      </c>
      <c r="AV63" s="3">
        <f>infections!AV63-infections!AU63</f>
        <v>0</v>
      </c>
      <c r="AW63" s="3">
        <f>infections!AW63-infections!AV63</f>
        <v>2</v>
      </c>
      <c r="AX63" s="3">
        <f>infections!AX63-infections!AW63</f>
        <v>1</v>
      </c>
      <c r="AY63" s="3">
        <f>infections!AY63-infections!AX63</f>
        <v>6</v>
      </c>
      <c r="AZ63" s="3">
        <f>infections!AZ63-infections!AY63</f>
        <v>1</v>
      </c>
      <c r="BA63" s="3">
        <f>infections!BA63-infections!AZ63</f>
        <v>5</v>
      </c>
      <c r="BB63" s="3">
        <f>infections!BB63-infections!BA63</f>
        <v>6</v>
      </c>
      <c r="BC63" s="3">
        <f>infections!BC63-infections!BB63</f>
        <v>3</v>
      </c>
      <c r="BD63" s="3">
        <f>infections!BD63-infections!BC63</f>
        <v>5</v>
      </c>
      <c r="BE63" s="3">
        <f>infections!BE63-infections!BD63</f>
        <v>6</v>
      </c>
      <c r="BF63" s="3">
        <f>infections!BF63-infections!BE63</f>
        <v>5</v>
      </c>
      <c r="BG63" s="3">
        <f>infections!BG63-infections!BF63</f>
        <v>10</v>
      </c>
      <c r="BH63" s="3">
        <f>infections!BH63-infections!BG63</f>
        <v>7</v>
      </c>
      <c r="BI63" s="3">
        <f>infections!BI63-infections!BH63</f>
        <v>19</v>
      </c>
      <c r="BJ63" s="3">
        <f>infections!BJ63-infections!BI63</f>
        <v>27</v>
      </c>
      <c r="BK63" s="3">
        <f>infections!BK63-infections!BJ63</f>
        <v>48</v>
      </c>
      <c r="BL63" s="3">
        <f>infections!BL63-infections!BK63</f>
        <v>17</v>
      </c>
      <c r="BM63" s="3">
        <f>infections!BM63-infections!BL63</f>
        <v>44</v>
      </c>
      <c r="BN63" s="3">
        <f>infections!BN63-infections!BM63</f>
        <v>39</v>
      </c>
      <c r="BO63" s="3">
        <f>infections!BO63-infections!BN63</f>
        <v>30</v>
      </c>
      <c r="BP63" s="3">
        <f>infections!BP63-infections!BO63</f>
        <v>24</v>
      </c>
      <c r="BQ63" s="3">
        <f>infections!BQ63-infections!BP63</f>
        <v>43</v>
      </c>
      <c r="BR63" s="3">
        <f>infections!BR63-infections!BQ63</f>
        <v>66</v>
      </c>
      <c r="BS63" s="3">
        <f>infections!BS63-infections!BR63</f>
        <v>42</v>
      </c>
      <c r="BT63" s="3">
        <f>infections!BT63-infections!BS63</f>
        <v>80</v>
      </c>
      <c r="BU63" s="3">
        <f>infections!BU63-infections!BT63</f>
        <v>41</v>
      </c>
      <c r="BV63" s="3">
        <f>infections!BV63-infections!BU63</f>
        <v>32</v>
      </c>
      <c r="BW63" s="3">
        <f>infections!BW63-infections!BV63</f>
        <v>51</v>
      </c>
      <c r="BX63" s="3">
        <f>infections!BX63-infections!BW63</f>
        <v>37</v>
      </c>
      <c r="BY63" s="3">
        <f>infections!BY63-infections!BX63</f>
        <v>43</v>
      </c>
    </row>
    <row r="64">
      <c r="B64" s="1" t="str">
        <f>infections!B64</f>
        <v>China</v>
      </c>
      <c r="C64" s="4">
        <f>infections!C64</f>
        <v>30.9756</v>
      </c>
      <c r="D64" s="4">
        <f>infections!D64</f>
        <v>112.2707</v>
      </c>
      <c r="E64" s="4">
        <f>infections!E64</f>
        <v>444</v>
      </c>
      <c r="F64" s="3">
        <f>infections!F64-infections!E64</f>
        <v>0</v>
      </c>
      <c r="G64" s="3">
        <f>infections!G64-infections!F64</f>
        <v>105</v>
      </c>
      <c r="H64" s="3">
        <f>infections!H64-infections!G64</f>
        <v>212</v>
      </c>
      <c r="I64" s="3">
        <f>infections!I64-infections!H64</f>
        <v>297</v>
      </c>
      <c r="J64" s="3">
        <f>infections!J64-infections!I64</f>
        <v>365</v>
      </c>
      <c r="K64" s="3">
        <f>infections!K64-infections!J64</f>
        <v>2131</v>
      </c>
      <c r="L64" s="3">
        <f>infections!L64-infections!K64</f>
        <v>0</v>
      </c>
      <c r="M64" s="3">
        <f>infections!M64-infections!L64</f>
        <v>1349</v>
      </c>
      <c r="N64" s="3">
        <f>infections!N64-infections!M64</f>
        <v>903</v>
      </c>
      <c r="O64" s="3">
        <f>infections!O64-infections!N64</f>
        <v>1347</v>
      </c>
      <c r="P64" s="3">
        <f>infections!P64-infections!O64</f>
        <v>4024</v>
      </c>
      <c r="Q64" s="3">
        <f>infections!Q64-infections!P64</f>
        <v>2345</v>
      </c>
      <c r="R64" s="3">
        <f>infections!R64-infections!Q64</f>
        <v>3156</v>
      </c>
      <c r="S64" s="3">
        <f>infections!S64-infections!R64</f>
        <v>2987</v>
      </c>
      <c r="T64" s="3">
        <f>infections!T64-infections!S64</f>
        <v>2447</v>
      </c>
      <c r="U64" s="3">
        <f>infections!U64-infections!T64</f>
        <v>2841</v>
      </c>
      <c r="V64" s="3">
        <f>infections!V64-infections!U64</f>
        <v>2147</v>
      </c>
      <c r="W64" s="3">
        <f>infections!W64-infections!V64</f>
        <v>2531</v>
      </c>
      <c r="X64" s="3">
        <f>infections!X64-infections!W64</f>
        <v>2097</v>
      </c>
      <c r="Y64" s="3">
        <f>infections!Y64-infections!X64</f>
        <v>1638</v>
      </c>
      <c r="Z64" s="3">
        <f>infections!Z64-infections!Y64</f>
        <v>0</v>
      </c>
      <c r="AA64" s="3">
        <f>infections!AA64-infections!Z64</f>
        <v>14840</v>
      </c>
      <c r="AB64" s="3">
        <f>infections!AB64-infections!AA64</f>
        <v>6200</v>
      </c>
      <c r="AC64" s="3">
        <f>infections!AC64-infections!AB64</f>
        <v>1843</v>
      </c>
      <c r="AD64" s="3">
        <f>infections!AD64-infections!AC64</f>
        <v>1933</v>
      </c>
      <c r="AE64" s="3">
        <f>infections!AE64-infections!AD64</f>
        <v>1807</v>
      </c>
      <c r="AF64" s="3">
        <f>infections!AF64-infections!AE64</f>
        <v>1693</v>
      </c>
      <c r="AG64" s="3">
        <f>infections!AG64-infections!AF64</f>
        <v>349</v>
      </c>
      <c r="AH64" s="3">
        <f>infections!AH64-infections!AG64</f>
        <v>411</v>
      </c>
      <c r="AI64" s="3">
        <f>infections!AI64-infections!AH64</f>
        <v>220</v>
      </c>
      <c r="AJ64" s="3">
        <f>infections!AJ64-infections!AI64</f>
        <v>1422</v>
      </c>
      <c r="AK64" s="3">
        <f>infections!AK64-infections!AJ64</f>
        <v>0</v>
      </c>
      <c r="AL64" s="3">
        <f>infections!AL64-infections!AK64</f>
        <v>203</v>
      </c>
      <c r="AM64" s="3">
        <f>infections!AM64-infections!AL64</f>
        <v>499</v>
      </c>
      <c r="AN64" s="3">
        <f>infections!AN64-infections!AM64</f>
        <v>401</v>
      </c>
      <c r="AO64" s="3">
        <f>infections!AO64-infections!AN64</f>
        <v>409</v>
      </c>
      <c r="AP64" s="3">
        <f>infections!AP64-infections!AO64</f>
        <v>318</v>
      </c>
      <c r="AQ64" s="3">
        <f>infections!AQ64-infections!AP64</f>
        <v>423</v>
      </c>
      <c r="AR64" s="3">
        <f>infections!AR64-infections!AQ64</f>
        <v>570</v>
      </c>
      <c r="AS64" s="3">
        <f>infections!AS64-infections!AR64</f>
        <v>196</v>
      </c>
      <c r="AT64" s="3">
        <f>infections!AT64-infections!AS64</f>
        <v>114</v>
      </c>
      <c r="AU64" s="3">
        <f>infections!AU64-infections!AT64</f>
        <v>115</v>
      </c>
      <c r="AV64" s="3">
        <f>infections!AV64-infections!AU64</f>
        <v>134</v>
      </c>
      <c r="AW64" s="3">
        <f>infections!AW64-infections!AV64</f>
        <v>126</v>
      </c>
      <c r="AX64" s="3">
        <f>infections!AX64-infections!AW64</f>
        <v>74</v>
      </c>
      <c r="AY64" s="3">
        <f>infections!AY64-infections!AX64</f>
        <v>41</v>
      </c>
      <c r="AZ64" s="3">
        <f>infections!AZ64-infections!AY64</f>
        <v>36</v>
      </c>
      <c r="BA64" s="3">
        <f>infections!BA64-infections!AZ64</f>
        <v>17</v>
      </c>
      <c r="BB64" s="3">
        <f>infections!BB64-infections!BA64</f>
        <v>13</v>
      </c>
      <c r="BC64" s="3">
        <f>infections!BC64-infections!BB64</f>
        <v>8</v>
      </c>
      <c r="BD64" s="3">
        <f>infections!BD64-infections!BC64</f>
        <v>5</v>
      </c>
      <c r="BE64" s="3">
        <f>infections!BE64-infections!BD64</f>
        <v>4</v>
      </c>
      <c r="BF64" s="3">
        <f>infections!BF64-infections!BE64</f>
        <v>4</v>
      </c>
      <c r="BG64" s="3">
        <f>infections!BG64-infections!BF64</f>
        <v>4</v>
      </c>
      <c r="BH64" s="3">
        <f>infections!BH64-infections!BG64</f>
        <v>1</v>
      </c>
      <c r="BI64" s="3">
        <f>infections!BI64-infections!BH64</f>
        <v>1</v>
      </c>
      <c r="BJ64" s="3">
        <f>infections!BJ64-infections!BI64</f>
        <v>0</v>
      </c>
      <c r="BK64" s="3">
        <f>infections!BK64-infections!BJ64</f>
        <v>0</v>
      </c>
      <c r="BL64" s="3">
        <f>infections!BL64-infections!BK64</f>
        <v>0</v>
      </c>
      <c r="BM64" s="3">
        <f>infections!BM64-infections!BL64</f>
        <v>0</v>
      </c>
      <c r="BN64" s="3">
        <f>infections!BN64-infections!BM64</f>
        <v>0</v>
      </c>
      <c r="BO64" s="3">
        <f>infections!BO64-infections!BN64</f>
        <v>1</v>
      </c>
      <c r="BP64" s="3">
        <f>infections!BP64-infections!BO64</f>
        <v>0</v>
      </c>
      <c r="BQ64" s="3">
        <f>infections!BQ64-infections!BP64</f>
        <v>0</v>
      </c>
      <c r="BR64" s="3">
        <f>infections!BR64-infections!BQ64</f>
        <v>0</v>
      </c>
      <c r="BS64" s="3">
        <f>infections!BS64-infections!BR64</f>
        <v>0</v>
      </c>
      <c r="BT64" s="3">
        <f>infections!BT64-infections!BS64</f>
        <v>0</v>
      </c>
      <c r="BU64" s="3">
        <f>infections!BU64-infections!BT64</f>
        <v>0</v>
      </c>
      <c r="BV64" s="3">
        <f>infections!BV64-infections!BU64</f>
        <v>0</v>
      </c>
      <c r="BW64" s="3">
        <f>infections!BW64-infections!BV64</f>
        <v>1</v>
      </c>
      <c r="BX64" s="3">
        <f>infections!BX64-infections!BW64</f>
        <v>0</v>
      </c>
      <c r="BY64" s="3">
        <f>infections!BY64-infections!BX64</f>
        <v>0</v>
      </c>
    </row>
    <row r="65">
      <c r="B65" s="1" t="str">
        <f>infections!B65</f>
        <v>China</v>
      </c>
      <c r="C65" s="4">
        <f>infections!C65</f>
        <v>27.6104</v>
      </c>
      <c r="D65" s="4">
        <f>infections!D65</f>
        <v>111.7088</v>
      </c>
      <c r="E65" s="4">
        <f>infections!E65</f>
        <v>4</v>
      </c>
      <c r="F65" s="3">
        <f>infections!F65-infections!E65</f>
        <v>5</v>
      </c>
      <c r="G65" s="3">
        <f>infections!G65-infections!F65</f>
        <v>15</v>
      </c>
      <c r="H65" s="3">
        <f>infections!H65-infections!G65</f>
        <v>19</v>
      </c>
      <c r="I65" s="3">
        <f>infections!I65-infections!H65</f>
        <v>26</v>
      </c>
      <c r="J65" s="3">
        <f>infections!J65-infections!I65</f>
        <v>31</v>
      </c>
      <c r="K65" s="3">
        <f>infections!K65-infections!J65</f>
        <v>43</v>
      </c>
      <c r="L65" s="3">
        <f>infections!L65-infections!K65</f>
        <v>78</v>
      </c>
      <c r="M65" s="3">
        <f>infections!M65-infections!L65</f>
        <v>56</v>
      </c>
      <c r="N65" s="3">
        <f>infections!N65-infections!M65</f>
        <v>55</v>
      </c>
      <c r="O65" s="3">
        <f>infections!O65-infections!N65</f>
        <v>57</v>
      </c>
      <c r="P65" s="3">
        <f>infections!P65-infections!O65</f>
        <v>74</v>
      </c>
      <c r="Q65" s="3">
        <f>infections!Q65-infections!P65</f>
        <v>58</v>
      </c>
      <c r="R65" s="3">
        <f>infections!R65-infections!Q65</f>
        <v>72</v>
      </c>
      <c r="S65" s="3">
        <f>infections!S65-infections!R65</f>
        <v>68</v>
      </c>
      <c r="T65" s="3">
        <f>infections!T65-infections!S65</f>
        <v>50</v>
      </c>
      <c r="U65" s="3">
        <f>infections!U65-infections!T65</f>
        <v>61</v>
      </c>
      <c r="V65" s="3">
        <f>infections!V65-infections!U65</f>
        <v>31</v>
      </c>
      <c r="W65" s="3">
        <f>infections!W65-infections!V65</f>
        <v>35</v>
      </c>
      <c r="X65" s="3">
        <f>infections!X65-infections!W65</f>
        <v>41</v>
      </c>
      <c r="Y65" s="3">
        <f>infections!Y65-infections!X65</f>
        <v>33</v>
      </c>
      <c r="Z65" s="3">
        <f>infections!Z65-infections!Y65</f>
        <v>34</v>
      </c>
      <c r="AA65" s="3">
        <f>infections!AA65-infections!Z65</f>
        <v>22</v>
      </c>
      <c r="AB65" s="3">
        <f>infections!AB65-infections!AA65</f>
        <v>20</v>
      </c>
      <c r="AC65" s="3">
        <f>infections!AC65-infections!AB65</f>
        <v>13</v>
      </c>
      <c r="AD65" s="3">
        <f>infections!AD65-infections!AC65</f>
        <v>3</v>
      </c>
      <c r="AE65" s="3">
        <f>infections!AE65-infections!AD65</f>
        <v>2</v>
      </c>
      <c r="AF65" s="3">
        <f>infections!AF65-infections!AE65</f>
        <v>1</v>
      </c>
      <c r="AG65" s="3">
        <f>infections!AG65-infections!AF65</f>
        <v>1</v>
      </c>
      <c r="AH65" s="3">
        <f>infections!AH65-infections!AG65</f>
        <v>2</v>
      </c>
      <c r="AI65" s="3">
        <f>infections!AI65-infections!AH65</f>
        <v>1</v>
      </c>
      <c r="AJ65" s="3">
        <f>infections!AJ65-infections!AI65</f>
        <v>2</v>
      </c>
      <c r="AK65" s="3">
        <f>infections!AK65-infections!AJ65</f>
        <v>3</v>
      </c>
      <c r="AL65" s="3">
        <f>infections!AL65-infections!AK65</f>
        <v>0</v>
      </c>
      <c r="AM65" s="3">
        <f>infections!AM65-infections!AL65</f>
        <v>0</v>
      </c>
      <c r="AN65" s="3">
        <f>infections!AN65-infections!AM65</f>
        <v>0</v>
      </c>
      <c r="AO65" s="3">
        <f>infections!AO65-infections!AN65</f>
        <v>1</v>
      </c>
      <c r="AP65" s="3">
        <f>infections!AP65-infections!AO65</f>
        <v>0</v>
      </c>
      <c r="AQ65" s="3">
        <f>infections!AQ65-infections!AP65</f>
        <v>1</v>
      </c>
      <c r="AR65" s="3">
        <f>infections!AR65-infections!AQ65</f>
        <v>0</v>
      </c>
      <c r="AS65" s="3">
        <f>infections!AS65-infections!AR65</f>
        <v>0</v>
      </c>
      <c r="AT65" s="3">
        <f>infections!AT65-infections!AS65</f>
        <v>0</v>
      </c>
      <c r="AU65" s="3">
        <f>infections!AU65-infections!AT65</f>
        <v>0</v>
      </c>
      <c r="AV65" s="3">
        <f>infections!AV65-infections!AU65</f>
        <v>0</v>
      </c>
      <c r="AW65" s="3">
        <f>infections!AW65-infections!AV65</f>
        <v>0</v>
      </c>
      <c r="AX65" s="3">
        <f>infections!AX65-infections!AW65</f>
        <v>0</v>
      </c>
      <c r="AY65" s="3">
        <f>infections!AY65-infections!AX65</f>
        <v>0</v>
      </c>
      <c r="AZ65" s="3">
        <f>infections!AZ65-infections!AY65</f>
        <v>0</v>
      </c>
      <c r="BA65" s="3">
        <f>infections!BA65-infections!AZ65</f>
        <v>0</v>
      </c>
      <c r="BB65" s="3">
        <f>infections!BB65-infections!BA65</f>
        <v>0</v>
      </c>
      <c r="BC65" s="3">
        <f>infections!BC65-infections!BB65</f>
        <v>0</v>
      </c>
      <c r="BD65" s="3">
        <f>infections!BD65-infections!BC65</f>
        <v>0</v>
      </c>
      <c r="BE65" s="3">
        <f>infections!BE65-infections!BD65</f>
        <v>0</v>
      </c>
      <c r="BF65" s="3">
        <f>infections!BF65-infections!BE65</f>
        <v>0</v>
      </c>
      <c r="BG65" s="3">
        <f>infections!BG65-infections!BF65</f>
        <v>0</v>
      </c>
      <c r="BH65" s="3">
        <f>infections!BH65-infections!BG65</f>
        <v>0</v>
      </c>
      <c r="BI65" s="3">
        <f>infections!BI65-infections!BH65</f>
        <v>0</v>
      </c>
      <c r="BJ65" s="3">
        <f>infections!BJ65-infections!BI65</f>
        <v>0</v>
      </c>
      <c r="BK65" s="3">
        <f>infections!BK65-infections!BJ65</f>
        <v>0</v>
      </c>
      <c r="BL65" s="3">
        <f>infections!BL65-infections!BK65</f>
        <v>0</v>
      </c>
      <c r="BM65" s="3">
        <f>infections!BM65-infections!BL65</f>
        <v>0</v>
      </c>
      <c r="BN65" s="3">
        <f>infections!BN65-infections!BM65</f>
        <v>0</v>
      </c>
      <c r="BO65" s="3">
        <f>infections!BO65-infections!BN65</f>
        <v>0</v>
      </c>
      <c r="BP65" s="3">
        <f>infections!BP65-infections!BO65</f>
        <v>0</v>
      </c>
      <c r="BQ65" s="3">
        <f>infections!BQ65-infections!BP65</f>
        <v>0</v>
      </c>
      <c r="BR65" s="3">
        <f>infections!BR65-infections!BQ65</f>
        <v>0</v>
      </c>
      <c r="BS65" s="3">
        <f>infections!BS65-infections!BR65</f>
        <v>0</v>
      </c>
      <c r="BT65" s="3">
        <f>infections!BT65-infections!BS65</f>
        <v>0</v>
      </c>
      <c r="BU65" s="3">
        <f>infections!BU65-infections!BT65</f>
        <v>0</v>
      </c>
      <c r="BV65" s="3">
        <f>infections!BV65-infections!BU65</f>
        <v>0</v>
      </c>
      <c r="BW65" s="3">
        <f>infections!BW65-infections!BV65</f>
        <v>0</v>
      </c>
      <c r="BX65" s="3">
        <f>infections!BX65-infections!BW65</f>
        <v>1</v>
      </c>
      <c r="BY65" s="3">
        <f>infections!BY65-infections!BX65</f>
        <v>0</v>
      </c>
    </row>
    <row r="66">
      <c r="B66" s="1" t="str">
        <f>infections!B66</f>
        <v>China</v>
      </c>
      <c r="C66" s="4">
        <f>infections!C66</f>
        <v>44.0935</v>
      </c>
      <c r="D66" s="4">
        <f>infections!D66</f>
        <v>113.9448</v>
      </c>
      <c r="E66" s="4">
        <f>infections!E66</f>
        <v>0</v>
      </c>
      <c r="F66" s="3">
        <f>infections!F66-infections!E66</f>
        <v>0</v>
      </c>
      <c r="G66" s="3">
        <f>infections!G66-infections!F66</f>
        <v>1</v>
      </c>
      <c r="H66" s="3">
        <f>infections!H66-infections!G66</f>
        <v>6</v>
      </c>
      <c r="I66" s="3">
        <f>infections!I66-infections!H66</f>
        <v>0</v>
      </c>
      <c r="J66" s="3">
        <f>infections!J66-infections!I66</f>
        <v>4</v>
      </c>
      <c r="K66" s="3">
        <f>infections!K66-infections!J66</f>
        <v>4</v>
      </c>
      <c r="L66" s="3">
        <f>infections!L66-infections!K66</f>
        <v>1</v>
      </c>
      <c r="M66" s="3">
        <f>infections!M66-infections!L66</f>
        <v>3</v>
      </c>
      <c r="N66" s="3">
        <f>infections!N66-infections!M66</f>
        <v>1</v>
      </c>
      <c r="O66" s="3">
        <f>infections!O66-infections!N66</f>
        <v>3</v>
      </c>
      <c r="P66" s="3">
        <f>infections!P66-infections!O66</f>
        <v>4</v>
      </c>
      <c r="Q66" s="3">
        <f>infections!Q66-infections!P66</f>
        <v>7</v>
      </c>
      <c r="R66" s="3">
        <f>infections!R66-infections!Q66</f>
        <v>1</v>
      </c>
      <c r="S66" s="3">
        <f>infections!S66-infections!R66</f>
        <v>7</v>
      </c>
      <c r="T66" s="3">
        <f>infections!T66-infections!S66</f>
        <v>4</v>
      </c>
      <c r="U66" s="3">
        <f>infections!U66-infections!T66</f>
        <v>4</v>
      </c>
      <c r="V66" s="3">
        <f>infections!V66-infections!U66</f>
        <v>2</v>
      </c>
      <c r="W66" s="3">
        <f>infections!W66-infections!V66</f>
        <v>2</v>
      </c>
      <c r="X66" s="3">
        <f>infections!X66-infections!W66</f>
        <v>4</v>
      </c>
      <c r="Y66" s="3">
        <f>infections!Y66-infections!X66</f>
        <v>0</v>
      </c>
      <c r="Z66" s="3">
        <f>infections!Z66-infections!Y66</f>
        <v>2</v>
      </c>
      <c r="AA66" s="3">
        <f>infections!AA66-infections!Z66</f>
        <v>1</v>
      </c>
      <c r="AB66" s="3">
        <f>infections!AB66-infections!AA66</f>
        <v>4</v>
      </c>
      <c r="AC66" s="3">
        <f>infections!AC66-infections!AB66</f>
        <v>3</v>
      </c>
      <c r="AD66" s="3">
        <f>infections!AD66-infections!AC66</f>
        <v>2</v>
      </c>
      <c r="AE66" s="3">
        <f>infections!AE66-infections!AD66</f>
        <v>2</v>
      </c>
      <c r="AF66" s="3">
        <f>infections!AF66-infections!AE66</f>
        <v>1</v>
      </c>
      <c r="AG66" s="3">
        <f>infections!AG66-infections!AF66</f>
        <v>2</v>
      </c>
      <c r="AH66" s="3">
        <f>infections!AH66-infections!AG66</f>
        <v>0</v>
      </c>
      <c r="AI66" s="3">
        <f>infections!AI66-infections!AH66</f>
        <v>0</v>
      </c>
      <c r="AJ66" s="3">
        <f>infections!AJ66-infections!AI66</f>
        <v>0</v>
      </c>
      <c r="AK66" s="3">
        <f>infections!AK66-infections!AJ66</f>
        <v>0</v>
      </c>
      <c r="AL66" s="3">
        <f>infections!AL66-infections!AK66</f>
        <v>0</v>
      </c>
      <c r="AM66" s="3">
        <f>infections!AM66-infections!AL66</f>
        <v>0</v>
      </c>
      <c r="AN66" s="3">
        <f>infections!AN66-infections!AM66</f>
        <v>0</v>
      </c>
      <c r="AO66" s="3">
        <f>infections!AO66-infections!AN66</f>
        <v>0</v>
      </c>
      <c r="AP66" s="3">
        <f>infections!AP66-infections!AO66</f>
        <v>0</v>
      </c>
      <c r="AQ66" s="3">
        <f>infections!AQ66-infections!AP66</f>
        <v>0</v>
      </c>
      <c r="AR66" s="3">
        <f>infections!AR66-infections!AQ66</f>
        <v>0</v>
      </c>
      <c r="AS66" s="3">
        <f>infections!AS66-infections!AR66</f>
        <v>0</v>
      </c>
      <c r="AT66" s="3">
        <f>infections!AT66-infections!AS66</f>
        <v>0</v>
      </c>
      <c r="AU66" s="3">
        <f>infections!AU66-infections!AT66</f>
        <v>0</v>
      </c>
      <c r="AV66" s="3">
        <f>infections!AV66-infections!AU66</f>
        <v>0</v>
      </c>
      <c r="AW66" s="3">
        <f>infections!AW66-infections!AV66</f>
        <v>0</v>
      </c>
      <c r="AX66" s="3">
        <f>infections!AX66-infections!AW66</f>
        <v>0</v>
      </c>
      <c r="AY66" s="3">
        <f>infections!AY66-infections!AX66</f>
        <v>0</v>
      </c>
      <c r="AZ66" s="3">
        <f>infections!AZ66-infections!AY66</f>
        <v>0</v>
      </c>
      <c r="BA66" s="3">
        <f>infections!BA66-infections!AZ66</f>
        <v>0</v>
      </c>
      <c r="BB66" s="3">
        <f>infections!BB66-infections!BA66</f>
        <v>0</v>
      </c>
      <c r="BC66" s="3">
        <f>infections!BC66-infections!BB66</f>
        <v>0</v>
      </c>
      <c r="BD66" s="3">
        <f>infections!BD66-infections!BC66</f>
        <v>0</v>
      </c>
      <c r="BE66" s="3">
        <f>infections!BE66-infections!BD66</f>
        <v>0</v>
      </c>
      <c r="BF66" s="3">
        <f>infections!BF66-infections!BE66</f>
        <v>0</v>
      </c>
      <c r="BG66" s="3">
        <f>infections!BG66-infections!BF66</f>
        <v>0</v>
      </c>
      <c r="BH66" s="3">
        <f>infections!BH66-infections!BG66</f>
        <v>0</v>
      </c>
      <c r="BI66" s="3">
        <f>infections!BI66-infections!BH66</f>
        <v>0</v>
      </c>
      <c r="BJ66" s="3">
        <f>infections!BJ66-infections!BI66</f>
        <v>0</v>
      </c>
      <c r="BK66" s="3">
        <f>infections!BK66-infections!BJ66</f>
        <v>0</v>
      </c>
      <c r="BL66" s="3">
        <f>infections!BL66-infections!BK66</f>
        <v>0</v>
      </c>
      <c r="BM66" s="3">
        <f>infections!BM66-infections!BL66</f>
        <v>0</v>
      </c>
      <c r="BN66" s="3">
        <f>infections!BN66-infections!BM66</f>
        <v>0</v>
      </c>
      <c r="BO66" s="3">
        <f>infections!BO66-infections!BN66</f>
        <v>0</v>
      </c>
      <c r="BP66" s="3">
        <f>infections!BP66-infections!BO66</f>
        <v>2</v>
      </c>
      <c r="BQ66" s="3">
        <f>infections!BQ66-infections!BP66</f>
        <v>12</v>
      </c>
      <c r="BR66" s="3">
        <f>infections!BR66-infections!BQ66</f>
        <v>3</v>
      </c>
      <c r="BS66" s="3">
        <f>infections!BS66-infections!BR66</f>
        <v>2</v>
      </c>
      <c r="BT66" s="3">
        <f>infections!BT66-infections!BS66</f>
        <v>1</v>
      </c>
      <c r="BU66" s="3">
        <f>infections!BU66-infections!BT66</f>
        <v>2</v>
      </c>
      <c r="BV66" s="3">
        <f>infections!BV66-infections!BU66</f>
        <v>10</v>
      </c>
      <c r="BW66" s="3">
        <f>infections!BW66-infections!BV66</f>
        <v>4</v>
      </c>
      <c r="BX66" s="3">
        <f>infections!BX66-infections!BW66</f>
        <v>6</v>
      </c>
      <c r="BY66" s="3">
        <f>infections!BY66-infections!BX66</f>
        <v>0</v>
      </c>
    </row>
    <row r="67">
      <c r="B67" s="1" t="str">
        <f>infections!B67</f>
        <v>China</v>
      </c>
      <c r="C67" s="4">
        <f>infections!C67</f>
        <v>32.9711</v>
      </c>
      <c r="D67" s="4">
        <f>infections!D67</f>
        <v>119.455</v>
      </c>
      <c r="E67" s="4">
        <f>infections!E67</f>
        <v>1</v>
      </c>
      <c r="F67" s="3">
        <f>infections!F67-infections!E67</f>
        <v>4</v>
      </c>
      <c r="G67" s="3">
        <f>infections!G67-infections!F67</f>
        <v>4</v>
      </c>
      <c r="H67" s="3">
        <f>infections!H67-infections!G67</f>
        <v>9</v>
      </c>
      <c r="I67" s="3">
        <f>infections!I67-infections!H67</f>
        <v>15</v>
      </c>
      <c r="J67" s="3">
        <f>infections!J67-infections!I67</f>
        <v>14</v>
      </c>
      <c r="K67" s="3">
        <f>infections!K67-infections!J67</f>
        <v>23</v>
      </c>
      <c r="L67" s="3">
        <f>infections!L67-infections!K67</f>
        <v>29</v>
      </c>
      <c r="M67" s="3">
        <f>infections!M67-infections!L67</f>
        <v>30</v>
      </c>
      <c r="N67" s="3">
        <f>infections!N67-infections!M67</f>
        <v>39</v>
      </c>
      <c r="O67" s="3">
        <f>infections!O67-infections!N67</f>
        <v>34</v>
      </c>
      <c r="P67" s="3">
        <f>infections!P67-infections!O67</f>
        <v>34</v>
      </c>
      <c r="Q67" s="3">
        <f>infections!Q67-infections!P67</f>
        <v>35</v>
      </c>
      <c r="R67" s="3">
        <f>infections!R67-infections!Q67</f>
        <v>37</v>
      </c>
      <c r="S67" s="3">
        <f>infections!S67-infections!R67</f>
        <v>33</v>
      </c>
      <c r="T67" s="3">
        <f>infections!T67-infections!S67</f>
        <v>32</v>
      </c>
      <c r="U67" s="3">
        <f>infections!U67-infections!T67</f>
        <v>35</v>
      </c>
      <c r="V67" s="3">
        <f>infections!V67-infections!U67</f>
        <v>31</v>
      </c>
      <c r="W67" s="3">
        <f>infections!W67-infections!V67</f>
        <v>29</v>
      </c>
      <c r="X67" s="3">
        <f>infections!X67-infections!W67</f>
        <v>24</v>
      </c>
      <c r="Y67" s="3">
        <f>infections!Y67-infections!X67</f>
        <v>23</v>
      </c>
      <c r="Z67" s="3">
        <f>infections!Z67-infections!Y67</f>
        <v>28</v>
      </c>
      <c r="AA67" s="3">
        <f>infections!AA67-infections!Z67</f>
        <v>27</v>
      </c>
      <c r="AB67" s="3">
        <f>infections!AB67-infections!AA67</f>
        <v>23</v>
      </c>
      <c r="AC67" s="3">
        <f>infections!AC67-infections!AB67</f>
        <v>11</v>
      </c>
      <c r="AD67" s="3">
        <f>infections!AD67-infections!AC67</f>
        <v>13</v>
      </c>
      <c r="AE67" s="3">
        <f>infections!AE67-infections!AD67</f>
        <v>9</v>
      </c>
      <c r="AF67" s="3">
        <f>infections!AF67-infections!AE67</f>
        <v>3</v>
      </c>
      <c r="AG67" s="3">
        <f>infections!AG67-infections!AF67</f>
        <v>2</v>
      </c>
      <c r="AH67" s="3">
        <f>infections!AH67-infections!AG67</f>
        <v>0</v>
      </c>
      <c r="AI67" s="3">
        <f>infections!AI67-infections!AH67</f>
        <v>0</v>
      </c>
      <c r="AJ67" s="3">
        <f>infections!AJ67-infections!AI67</f>
        <v>0</v>
      </c>
      <c r="AK67" s="3">
        <f>infections!AK67-infections!AJ67</f>
        <v>0</v>
      </c>
      <c r="AL67" s="3">
        <f>infections!AL67-infections!AK67</f>
        <v>0</v>
      </c>
      <c r="AM67" s="3">
        <f>infections!AM67-infections!AL67</f>
        <v>0</v>
      </c>
      <c r="AN67" s="3">
        <f>infections!AN67-infections!AM67</f>
        <v>0</v>
      </c>
      <c r="AO67" s="3">
        <f>infections!AO67-infections!AN67</f>
        <v>0</v>
      </c>
      <c r="AP67" s="3">
        <f>infections!AP67-infections!AO67</f>
        <v>0</v>
      </c>
      <c r="AQ67" s="3">
        <f>infections!AQ67-infections!AP67</f>
        <v>0</v>
      </c>
      <c r="AR67" s="3">
        <f>infections!AR67-infections!AQ67</f>
        <v>0</v>
      </c>
      <c r="AS67" s="3">
        <f>infections!AS67-infections!AR67</f>
        <v>0</v>
      </c>
      <c r="AT67" s="3">
        <f>infections!AT67-infections!AS67</f>
        <v>0</v>
      </c>
      <c r="AU67" s="3">
        <f>infections!AU67-infections!AT67</f>
        <v>0</v>
      </c>
      <c r="AV67" s="3">
        <f>infections!AV67-infections!AU67</f>
        <v>0</v>
      </c>
      <c r="AW67" s="3">
        <f>infections!AW67-infections!AV67</f>
        <v>0</v>
      </c>
      <c r="AX67" s="3">
        <f>infections!AX67-infections!AW67</f>
        <v>0</v>
      </c>
      <c r="AY67" s="3">
        <f>infections!AY67-infections!AX67</f>
        <v>0</v>
      </c>
      <c r="AZ67" s="3">
        <f>infections!AZ67-infections!AY67</f>
        <v>0</v>
      </c>
      <c r="BA67" s="3">
        <f>infections!BA67-infections!AZ67</f>
        <v>0</v>
      </c>
      <c r="BB67" s="3">
        <f>infections!BB67-infections!BA67</f>
        <v>0</v>
      </c>
      <c r="BC67" s="3">
        <f>infections!BC67-infections!BB67</f>
        <v>0</v>
      </c>
      <c r="BD67" s="3">
        <f>infections!BD67-infections!BC67</f>
        <v>0</v>
      </c>
      <c r="BE67" s="3">
        <f>infections!BE67-infections!BD67</f>
        <v>0</v>
      </c>
      <c r="BF67" s="3">
        <f>infections!BF67-infections!BE67</f>
        <v>0</v>
      </c>
      <c r="BG67" s="3">
        <f>infections!BG67-infections!BF67</f>
        <v>0</v>
      </c>
      <c r="BH67" s="3">
        <f>infections!BH67-infections!BG67</f>
        <v>0</v>
      </c>
      <c r="BI67" s="3">
        <f>infections!BI67-infections!BH67</f>
        <v>0</v>
      </c>
      <c r="BJ67" s="3">
        <f>infections!BJ67-infections!BI67</f>
        <v>0</v>
      </c>
      <c r="BK67" s="3">
        <f>infections!BK67-infections!BJ67</f>
        <v>0</v>
      </c>
      <c r="BL67" s="3">
        <f>infections!BL67-infections!BK67</f>
        <v>0</v>
      </c>
      <c r="BM67" s="3">
        <f>infections!BM67-infections!BL67</f>
        <v>2</v>
      </c>
      <c r="BN67" s="3">
        <f>infections!BN67-infections!BM67</f>
        <v>0</v>
      </c>
      <c r="BO67" s="3">
        <f>infections!BO67-infections!BN67</f>
        <v>3</v>
      </c>
      <c r="BP67" s="3">
        <f>infections!BP67-infections!BO67</f>
        <v>2</v>
      </c>
      <c r="BQ67" s="3">
        <f>infections!BQ67-infections!BP67</f>
        <v>2</v>
      </c>
      <c r="BR67" s="3">
        <f>infections!BR67-infections!BQ67</f>
        <v>1</v>
      </c>
      <c r="BS67" s="3">
        <f>infections!BS67-infections!BR67</f>
        <v>0</v>
      </c>
      <c r="BT67" s="3">
        <f>infections!BT67-infections!BS67</f>
        <v>3</v>
      </c>
      <c r="BU67" s="3">
        <f>infections!BU67-infections!BT67</f>
        <v>1</v>
      </c>
      <c r="BV67" s="3">
        <f>infections!BV67-infections!BU67</f>
        <v>1</v>
      </c>
      <c r="BW67" s="3">
        <f>infections!BW67-infections!BV67</f>
        <v>0</v>
      </c>
      <c r="BX67" s="3">
        <f>infections!BX67-infections!BW67</f>
        <v>1</v>
      </c>
      <c r="BY67" s="3">
        <f>infections!BY67-infections!BX67</f>
        <v>4</v>
      </c>
    </row>
    <row r="68">
      <c r="B68" s="1" t="str">
        <f>infections!B68</f>
        <v>China</v>
      </c>
      <c r="C68" s="4">
        <f>infections!C68</f>
        <v>27.614</v>
      </c>
      <c r="D68" s="4">
        <f>infections!D68</f>
        <v>115.7221</v>
      </c>
      <c r="E68" s="4">
        <f>infections!E68</f>
        <v>2</v>
      </c>
      <c r="F68" s="3">
        <f>infections!F68-infections!E68</f>
        <v>5</v>
      </c>
      <c r="G68" s="3">
        <f>infections!G68-infections!F68</f>
        <v>11</v>
      </c>
      <c r="H68" s="3">
        <f>infections!H68-infections!G68</f>
        <v>0</v>
      </c>
      <c r="I68" s="3">
        <f>infections!I68-infections!H68</f>
        <v>18</v>
      </c>
      <c r="J68" s="3">
        <f>infections!J68-infections!I68</f>
        <v>36</v>
      </c>
      <c r="K68" s="3">
        <f>infections!K68-infections!J68</f>
        <v>37</v>
      </c>
      <c r="L68" s="3">
        <f>infections!L68-infections!K68</f>
        <v>0</v>
      </c>
      <c r="M68" s="3">
        <f>infections!M68-infections!L68</f>
        <v>53</v>
      </c>
      <c r="N68" s="3">
        <f>infections!N68-infections!M68</f>
        <v>78</v>
      </c>
      <c r="O68" s="3">
        <f>infections!O68-infections!N68</f>
        <v>46</v>
      </c>
      <c r="P68" s="3">
        <f>infections!P68-infections!O68</f>
        <v>47</v>
      </c>
      <c r="Q68" s="3">
        <f>infections!Q68-infections!P68</f>
        <v>58</v>
      </c>
      <c r="R68" s="3">
        <f>infections!R68-infections!Q68</f>
        <v>85</v>
      </c>
      <c r="S68" s="3">
        <f>infections!S68-infections!R68</f>
        <v>72</v>
      </c>
      <c r="T68" s="3">
        <f>infections!T68-infections!S68</f>
        <v>52</v>
      </c>
      <c r="U68" s="3">
        <f>infections!U68-infections!T68</f>
        <v>61</v>
      </c>
      <c r="V68" s="3">
        <f>infections!V68-infections!U68</f>
        <v>37</v>
      </c>
      <c r="W68" s="3">
        <f>infections!W68-infections!V68</f>
        <v>42</v>
      </c>
      <c r="X68" s="3">
        <f>infections!X68-infections!W68</f>
        <v>31</v>
      </c>
      <c r="Y68" s="3">
        <f>infections!Y68-infections!X68</f>
        <v>33</v>
      </c>
      <c r="Z68" s="3">
        <f>infections!Z68-infections!Y68</f>
        <v>40</v>
      </c>
      <c r="AA68" s="3">
        <f>infections!AA68-infections!Z68</f>
        <v>28</v>
      </c>
      <c r="AB68" s="3">
        <f>infections!AB68-infections!AA68</f>
        <v>28</v>
      </c>
      <c r="AC68" s="3">
        <f>infections!AC68-infections!AB68</f>
        <v>13</v>
      </c>
      <c r="AD68" s="3">
        <f>infections!AD68-infections!AC68</f>
        <v>12</v>
      </c>
      <c r="AE68" s="3">
        <f>infections!AE68-infections!AD68</f>
        <v>5</v>
      </c>
      <c r="AF68" s="3">
        <f>infections!AF68-infections!AE68</f>
        <v>3</v>
      </c>
      <c r="AG68" s="3">
        <f>infections!AG68-infections!AF68</f>
        <v>1</v>
      </c>
      <c r="AH68" s="3">
        <f>infections!AH68-infections!AG68</f>
        <v>0</v>
      </c>
      <c r="AI68" s="3">
        <f>infections!AI68-infections!AH68</f>
        <v>0</v>
      </c>
      <c r="AJ68" s="3">
        <f>infections!AJ68-infections!AI68</f>
        <v>0</v>
      </c>
      <c r="AK68" s="3">
        <f>infections!AK68-infections!AJ68</f>
        <v>0</v>
      </c>
      <c r="AL68" s="3">
        <f>infections!AL68-infections!AK68</f>
        <v>0</v>
      </c>
      <c r="AM68" s="3">
        <f>infections!AM68-infections!AL68</f>
        <v>0</v>
      </c>
      <c r="AN68" s="3">
        <f>infections!AN68-infections!AM68</f>
        <v>0</v>
      </c>
      <c r="AO68" s="3">
        <f>infections!AO68-infections!AN68</f>
        <v>0</v>
      </c>
      <c r="AP68" s="3">
        <f>infections!AP68-infections!AO68</f>
        <v>1</v>
      </c>
      <c r="AQ68" s="3">
        <f>infections!AQ68-infections!AP68</f>
        <v>0</v>
      </c>
      <c r="AR68" s="3">
        <f>infections!AR68-infections!AQ68</f>
        <v>0</v>
      </c>
      <c r="AS68" s="3">
        <f>infections!AS68-infections!AR68</f>
        <v>0</v>
      </c>
      <c r="AT68" s="3">
        <f>infections!AT68-infections!AS68</f>
        <v>0</v>
      </c>
      <c r="AU68" s="3">
        <f>infections!AU68-infections!AT68</f>
        <v>0</v>
      </c>
      <c r="AV68" s="3">
        <f>infections!AV68-infections!AU68</f>
        <v>0</v>
      </c>
      <c r="AW68" s="3">
        <f>infections!AW68-infections!AV68</f>
        <v>0</v>
      </c>
      <c r="AX68" s="3">
        <f>infections!AX68-infections!AW68</f>
        <v>0</v>
      </c>
      <c r="AY68" s="3">
        <f>infections!AY68-infections!AX68</f>
        <v>0</v>
      </c>
      <c r="AZ68" s="3">
        <f>infections!AZ68-infections!AY68</f>
        <v>0</v>
      </c>
      <c r="BA68" s="3">
        <f>infections!BA68-infections!AZ68</f>
        <v>0</v>
      </c>
      <c r="BB68" s="3">
        <f>infections!BB68-infections!BA68</f>
        <v>0</v>
      </c>
      <c r="BC68" s="3">
        <f>infections!BC68-infections!BB68</f>
        <v>0</v>
      </c>
      <c r="BD68" s="3">
        <f>infections!BD68-infections!BC68</f>
        <v>0</v>
      </c>
      <c r="BE68" s="3">
        <f>infections!BE68-infections!BD68</f>
        <v>0</v>
      </c>
      <c r="BF68" s="3">
        <f>infections!BF68-infections!BE68</f>
        <v>0</v>
      </c>
      <c r="BG68" s="3">
        <f>infections!BG68-infections!BF68</f>
        <v>0</v>
      </c>
      <c r="BH68" s="3">
        <f>infections!BH68-infections!BG68</f>
        <v>0</v>
      </c>
      <c r="BI68" s="3">
        <f>infections!BI68-infections!BH68</f>
        <v>0</v>
      </c>
      <c r="BJ68" s="3">
        <f>infections!BJ68-infections!BI68</f>
        <v>0</v>
      </c>
      <c r="BK68" s="3">
        <f>infections!BK68-infections!BJ68</f>
        <v>0</v>
      </c>
      <c r="BL68" s="3">
        <f>infections!BL68-infections!BK68</f>
        <v>0</v>
      </c>
      <c r="BM68" s="3">
        <f>infections!BM68-infections!BL68</f>
        <v>1</v>
      </c>
      <c r="BN68" s="3">
        <f>infections!BN68-infections!BM68</f>
        <v>0</v>
      </c>
      <c r="BO68" s="3">
        <f>infections!BO68-infections!BN68</f>
        <v>0</v>
      </c>
      <c r="BP68" s="3">
        <f>infections!BP68-infections!BO68</f>
        <v>0</v>
      </c>
      <c r="BQ68" s="3">
        <f>infections!BQ68-infections!BP68</f>
        <v>0</v>
      </c>
      <c r="BR68" s="3">
        <f>infections!BR68-infections!BQ68</f>
        <v>0</v>
      </c>
      <c r="BS68" s="3">
        <f>infections!BS68-infections!BR68</f>
        <v>0</v>
      </c>
      <c r="BT68" s="3">
        <f>infections!BT68-infections!BS68</f>
        <v>1</v>
      </c>
      <c r="BU68" s="3">
        <f>infections!BU68-infections!BT68</f>
        <v>0</v>
      </c>
      <c r="BV68" s="3">
        <f>infections!BV68-infections!BU68</f>
        <v>0</v>
      </c>
      <c r="BW68" s="3">
        <f>infections!BW68-infections!BV68</f>
        <v>0</v>
      </c>
      <c r="BX68" s="3">
        <f>infections!BX68-infections!BW68</f>
        <v>0</v>
      </c>
      <c r="BY68" s="3">
        <f>infections!BY68-infections!BX68</f>
        <v>0</v>
      </c>
    </row>
    <row r="69">
      <c r="B69" s="1" t="str">
        <f>infections!B69</f>
        <v>China</v>
      </c>
      <c r="C69" s="4">
        <f>infections!C69</f>
        <v>43.6661</v>
      </c>
      <c r="D69" s="4">
        <f>infections!D69</f>
        <v>126.1923</v>
      </c>
      <c r="E69" s="4">
        <f>infections!E69</f>
        <v>0</v>
      </c>
      <c r="F69" s="3">
        <f>infections!F69-infections!E69</f>
        <v>1</v>
      </c>
      <c r="G69" s="3">
        <f>infections!G69-infections!F69</f>
        <v>2</v>
      </c>
      <c r="H69" s="3">
        <f>infections!H69-infections!G69</f>
        <v>1</v>
      </c>
      <c r="I69" s="3">
        <f>infections!I69-infections!H69</f>
        <v>0</v>
      </c>
      <c r="J69" s="3">
        <f>infections!J69-infections!I69</f>
        <v>2</v>
      </c>
      <c r="K69" s="3">
        <f>infections!K69-infections!J69</f>
        <v>2</v>
      </c>
      <c r="L69" s="3">
        <f>infections!L69-infections!K69</f>
        <v>1</v>
      </c>
      <c r="M69" s="3">
        <f>infections!M69-infections!L69</f>
        <v>5</v>
      </c>
      <c r="N69" s="3">
        <f>infections!N69-infections!M69</f>
        <v>0</v>
      </c>
      <c r="O69" s="3">
        <f>infections!O69-infections!N69</f>
        <v>3</v>
      </c>
      <c r="P69" s="3">
        <f>infections!P69-infections!O69</f>
        <v>6</v>
      </c>
      <c r="Q69" s="3">
        <f>infections!Q69-infections!P69</f>
        <v>8</v>
      </c>
      <c r="R69" s="3">
        <f>infections!R69-infections!Q69</f>
        <v>11</v>
      </c>
      <c r="S69" s="3">
        <f>infections!S69-infections!R69</f>
        <v>12</v>
      </c>
      <c r="T69" s="3">
        <f>infections!T69-infections!S69</f>
        <v>5</v>
      </c>
      <c r="U69" s="3">
        <f>infections!U69-infections!T69</f>
        <v>6</v>
      </c>
      <c r="V69" s="3">
        <f>infections!V69-infections!U69</f>
        <v>4</v>
      </c>
      <c r="W69" s="3">
        <f>infections!W69-infections!V69</f>
        <v>9</v>
      </c>
      <c r="X69" s="3">
        <f>infections!X69-infections!W69</f>
        <v>2</v>
      </c>
      <c r="Y69" s="3">
        <f>infections!Y69-infections!X69</f>
        <v>1</v>
      </c>
      <c r="Z69" s="3">
        <f>infections!Z69-infections!Y69</f>
        <v>2</v>
      </c>
      <c r="AA69" s="3">
        <f>infections!AA69-infections!Z69</f>
        <v>1</v>
      </c>
      <c r="AB69" s="3">
        <f>infections!AB69-infections!AA69</f>
        <v>2</v>
      </c>
      <c r="AC69" s="3">
        <f>infections!AC69-infections!AB69</f>
        <v>2</v>
      </c>
      <c r="AD69" s="3">
        <f>infections!AD69-infections!AC69</f>
        <v>1</v>
      </c>
      <c r="AE69" s="3">
        <f>infections!AE69-infections!AD69</f>
        <v>0</v>
      </c>
      <c r="AF69" s="3">
        <f>infections!AF69-infections!AE69</f>
        <v>0</v>
      </c>
      <c r="AG69" s="3">
        <f>infections!AG69-infections!AF69</f>
        <v>1</v>
      </c>
      <c r="AH69" s="3">
        <f>infections!AH69-infections!AG69</f>
        <v>1</v>
      </c>
      <c r="AI69" s="3">
        <f>infections!AI69-infections!AH69</f>
        <v>0</v>
      </c>
      <c r="AJ69" s="3">
        <f>infections!AJ69-infections!AI69</f>
        <v>0</v>
      </c>
      <c r="AK69" s="3">
        <f>infections!AK69-infections!AJ69</f>
        <v>0</v>
      </c>
      <c r="AL69" s="3">
        <f>infections!AL69-infections!AK69</f>
        <v>2</v>
      </c>
      <c r="AM69" s="3">
        <f>infections!AM69-infections!AL69</f>
        <v>0</v>
      </c>
      <c r="AN69" s="3">
        <f>infections!AN69-infections!AM69</f>
        <v>0</v>
      </c>
      <c r="AO69" s="3">
        <f>infections!AO69-infections!AN69</f>
        <v>0</v>
      </c>
      <c r="AP69" s="3">
        <f>infections!AP69-infections!AO69</f>
        <v>0</v>
      </c>
      <c r="AQ69" s="3">
        <f>infections!AQ69-infections!AP69</f>
        <v>0</v>
      </c>
      <c r="AR69" s="3">
        <f>infections!AR69-infections!AQ69</f>
        <v>0</v>
      </c>
      <c r="AS69" s="3">
        <f>infections!AS69-infections!AR69</f>
        <v>0</v>
      </c>
      <c r="AT69" s="3">
        <f>infections!AT69-infections!AS69</f>
        <v>0</v>
      </c>
      <c r="AU69" s="3">
        <f>infections!AU69-infections!AT69</f>
        <v>0</v>
      </c>
      <c r="AV69" s="3">
        <f>infections!AV69-infections!AU69</f>
        <v>0</v>
      </c>
      <c r="AW69" s="3">
        <f>infections!AW69-infections!AV69</f>
        <v>0</v>
      </c>
      <c r="AX69" s="3">
        <f>infections!AX69-infections!AW69</f>
        <v>0</v>
      </c>
      <c r="AY69" s="3">
        <f>infections!AY69-infections!AX69</f>
        <v>0</v>
      </c>
      <c r="AZ69" s="3">
        <f>infections!AZ69-infections!AY69</f>
        <v>0</v>
      </c>
      <c r="BA69" s="3">
        <f>infections!BA69-infections!AZ69</f>
        <v>0</v>
      </c>
      <c r="BB69" s="3">
        <f>infections!BB69-infections!BA69</f>
        <v>0</v>
      </c>
      <c r="BC69" s="3">
        <f>infections!BC69-infections!BB69</f>
        <v>0</v>
      </c>
      <c r="BD69" s="3">
        <f>infections!BD69-infections!BC69</f>
        <v>0</v>
      </c>
      <c r="BE69" s="3">
        <f>infections!BE69-infections!BD69</f>
        <v>0</v>
      </c>
      <c r="BF69" s="3">
        <f>infections!BF69-infections!BE69</f>
        <v>0</v>
      </c>
      <c r="BG69" s="3">
        <f>infections!BG69-infections!BF69</f>
        <v>0</v>
      </c>
      <c r="BH69" s="3">
        <f>infections!BH69-infections!BG69</f>
        <v>0</v>
      </c>
      <c r="BI69" s="3">
        <f>infections!BI69-infections!BH69</f>
        <v>0</v>
      </c>
      <c r="BJ69" s="3">
        <f>infections!BJ69-infections!BI69</f>
        <v>0</v>
      </c>
      <c r="BK69" s="3">
        <f>infections!BK69-infections!BJ69</f>
        <v>0</v>
      </c>
      <c r="BL69" s="3">
        <f>infections!BL69-infections!BK69</f>
        <v>0</v>
      </c>
      <c r="BM69" s="3">
        <f>infections!BM69-infections!BL69</f>
        <v>0</v>
      </c>
      <c r="BN69" s="3">
        <f>infections!BN69-infections!BM69</f>
        <v>0</v>
      </c>
      <c r="BO69" s="3">
        <f>infections!BO69-infections!BN69</f>
        <v>0</v>
      </c>
      <c r="BP69" s="3">
        <f>infections!BP69-infections!BO69</f>
        <v>1</v>
      </c>
      <c r="BQ69" s="3">
        <f>infections!BQ69-infections!BP69</f>
        <v>1</v>
      </c>
      <c r="BR69" s="3">
        <f>infections!BR69-infections!BQ69</f>
        <v>0</v>
      </c>
      <c r="BS69" s="3">
        <f>infections!BS69-infections!BR69</f>
        <v>2</v>
      </c>
      <c r="BT69" s="3">
        <f>infections!BT69-infections!BS69</f>
        <v>1</v>
      </c>
      <c r="BU69" s="3">
        <f>infections!BU69-infections!BT69</f>
        <v>0</v>
      </c>
      <c r="BV69" s="3">
        <f>infections!BV69-infections!BU69</f>
        <v>0</v>
      </c>
      <c r="BW69" s="3">
        <f>infections!BW69-infections!BV69</f>
        <v>0</v>
      </c>
      <c r="BX69" s="3">
        <f>infections!BX69-infections!BW69</f>
        <v>0</v>
      </c>
      <c r="BY69" s="3">
        <f>infections!BY69-infections!BX69</f>
        <v>0</v>
      </c>
    </row>
    <row r="70">
      <c r="B70" s="1" t="str">
        <f>infections!B70</f>
        <v>China</v>
      </c>
      <c r="C70" s="4">
        <f>infections!C70</f>
        <v>41.2956</v>
      </c>
      <c r="D70" s="4">
        <f>infections!D70</f>
        <v>122.6085</v>
      </c>
      <c r="E70" s="4">
        <f>infections!E70</f>
        <v>2</v>
      </c>
      <c r="F70" s="3">
        <f>infections!F70-infections!E70</f>
        <v>1</v>
      </c>
      <c r="G70" s="3">
        <f>infections!G70-infections!F70</f>
        <v>1</v>
      </c>
      <c r="H70" s="3">
        <f>infections!H70-infections!G70</f>
        <v>13</v>
      </c>
      <c r="I70" s="3">
        <f>infections!I70-infections!H70</f>
        <v>4</v>
      </c>
      <c r="J70" s="3">
        <f>infections!J70-infections!I70</f>
        <v>6</v>
      </c>
      <c r="K70" s="3">
        <f>infections!K70-infections!J70</f>
        <v>7</v>
      </c>
      <c r="L70" s="3">
        <f>infections!L70-infections!K70</f>
        <v>5</v>
      </c>
      <c r="M70" s="3">
        <f>infections!M70-infections!L70</f>
        <v>2</v>
      </c>
      <c r="N70" s="3">
        <f>infections!N70-infections!M70</f>
        <v>7</v>
      </c>
      <c r="O70" s="3">
        <f>infections!O70-infections!N70</f>
        <v>16</v>
      </c>
      <c r="P70" s="3">
        <f>infections!P70-infections!O70</f>
        <v>6</v>
      </c>
      <c r="Q70" s="3">
        <f>infections!Q70-infections!P70</f>
        <v>4</v>
      </c>
      <c r="R70" s="3">
        <f>infections!R70-infections!Q70</f>
        <v>7</v>
      </c>
      <c r="S70" s="3">
        <f>infections!S70-infections!R70</f>
        <v>8</v>
      </c>
      <c r="T70" s="3">
        <f>infections!T70-infections!S70</f>
        <v>5</v>
      </c>
      <c r="U70" s="3">
        <f>infections!U70-infections!T70</f>
        <v>5</v>
      </c>
      <c r="V70" s="3">
        <f>infections!V70-infections!U70</f>
        <v>6</v>
      </c>
      <c r="W70" s="3">
        <f>infections!W70-infections!V70</f>
        <v>2</v>
      </c>
      <c r="X70" s="3">
        <f>infections!X70-infections!W70</f>
        <v>1</v>
      </c>
      <c r="Y70" s="3">
        <f>infections!Y70-infections!X70</f>
        <v>3</v>
      </c>
      <c r="Z70" s="3">
        <f>infections!Z70-infections!Y70</f>
        <v>5</v>
      </c>
      <c r="AA70" s="3">
        <f>infections!AA70-infections!Z70</f>
        <v>1</v>
      </c>
      <c r="AB70" s="3">
        <f>infections!AB70-infections!AA70</f>
        <v>2</v>
      </c>
      <c r="AC70" s="3">
        <f>infections!AC70-infections!AB70</f>
        <v>0</v>
      </c>
      <c r="AD70" s="3">
        <f>infections!AD70-infections!AC70</f>
        <v>2</v>
      </c>
      <c r="AE70" s="3">
        <f>infections!AE70-infections!AD70</f>
        <v>0</v>
      </c>
      <c r="AF70" s="3">
        <f>infections!AF70-infections!AE70</f>
        <v>0</v>
      </c>
      <c r="AG70" s="3">
        <f>infections!AG70-infections!AF70</f>
        <v>0</v>
      </c>
      <c r="AH70" s="3">
        <f>infections!AH70-infections!AG70</f>
        <v>0</v>
      </c>
      <c r="AI70" s="3">
        <f>infections!AI70-infections!AH70</f>
        <v>0</v>
      </c>
      <c r="AJ70" s="3">
        <f>infections!AJ70-infections!AI70</f>
        <v>0</v>
      </c>
      <c r="AK70" s="3">
        <f>infections!AK70-infections!AJ70</f>
        <v>0</v>
      </c>
      <c r="AL70" s="3">
        <f>infections!AL70-infections!AK70</f>
        <v>0</v>
      </c>
      <c r="AM70" s="3">
        <f>infections!AM70-infections!AL70</f>
        <v>0</v>
      </c>
      <c r="AN70" s="3">
        <f>infections!AN70-infections!AM70</f>
        <v>0</v>
      </c>
      <c r="AO70" s="3">
        <f>infections!AO70-infections!AN70</f>
        <v>0</v>
      </c>
      <c r="AP70" s="3">
        <f>infections!AP70-infections!AO70</f>
        <v>0</v>
      </c>
      <c r="AQ70" s="3">
        <f>infections!AQ70-infections!AP70</f>
        <v>0</v>
      </c>
      <c r="AR70" s="3">
        <f>infections!AR70-infections!AQ70</f>
        <v>1</v>
      </c>
      <c r="AS70" s="3">
        <f>infections!AS70-infections!AR70</f>
        <v>0</v>
      </c>
      <c r="AT70" s="3">
        <f>infections!AT70-infections!AS70</f>
        <v>3</v>
      </c>
      <c r="AU70" s="3">
        <f>infections!AU70-infections!AT70</f>
        <v>0</v>
      </c>
      <c r="AV70" s="3">
        <f>infections!AV70-infections!AU70</f>
        <v>0</v>
      </c>
      <c r="AW70" s="3">
        <f>infections!AW70-infections!AV70</f>
        <v>0</v>
      </c>
      <c r="AX70" s="3">
        <f>infections!AX70-infections!AW70</f>
        <v>0</v>
      </c>
      <c r="AY70" s="3">
        <f>infections!AY70-infections!AX70</f>
        <v>0</v>
      </c>
      <c r="AZ70" s="3">
        <f>infections!AZ70-infections!AY70</f>
        <v>0</v>
      </c>
      <c r="BA70" s="3">
        <f>infections!BA70-infections!AZ70</f>
        <v>0</v>
      </c>
      <c r="BB70" s="3">
        <f>infections!BB70-infections!BA70</f>
        <v>0</v>
      </c>
      <c r="BC70" s="3">
        <f>infections!BC70-infections!BB70</f>
        <v>0</v>
      </c>
      <c r="BD70" s="3">
        <f>infections!BD70-infections!BC70</f>
        <v>0</v>
      </c>
      <c r="BE70" s="3">
        <f>infections!BE70-infections!BD70</f>
        <v>0</v>
      </c>
      <c r="BF70" s="3">
        <f>infections!BF70-infections!BE70</f>
        <v>0</v>
      </c>
      <c r="BG70" s="3">
        <f>infections!BG70-infections!BF70</f>
        <v>0</v>
      </c>
      <c r="BH70" s="3">
        <f>infections!BH70-infections!BG70</f>
        <v>0</v>
      </c>
      <c r="BI70" s="3">
        <f>infections!BI70-infections!BH70</f>
        <v>0</v>
      </c>
      <c r="BJ70" s="3">
        <f>infections!BJ70-infections!BI70</f>
        <v>0</v>
      </c>
      <c r="BK70" s="3">
        <f>infections!BK70-infections!BJ70</f>
        <v>1</v>
      </c>
      <c r="BL70" s="3">
        <f>infections!BL70-infections!BK70</f>
        <v>0</v>
      </c>
      <c r="BM70" s="3">
        <f>infections!BM70-infections!BL70</f>
        <v>1</v>
      </c>
      <c r="BN70" s="3">
        <f>infections!BN70-infections!BM70</f>
        <v>0</v>
      </c>
      <c r="BO70" s="3">
        <f>infections!BO70-infections!BN70</f>
        <v>0</v>
      </c>
      <c r="BP70" s="3">
        <f>infections!BP70-infections!BO70</f>
        <v>0</v>
      </c>
      <c r="BQ70" s="3">
        <f>infections!BQ70-infections!BP70</f>
        <v>1</v>
      </c>
      <c r="BR70" s="3">
        <f>infections!BR70-infections!BQ70</f>
        <v>0</v>
      </c>
      <c r="BS70" s="3">
        <f>infections!BS70-infections!BR70</f>
        <v>4</v>
      </c>
      <c r="BT70" s="3">
        <f>infections!BT70-infections!BS70</f>
        <v>2</v>
      </c>
      <c r="BU70" s="3">
        <f>infections!BU70-infections!BT70</f>
        <v>2</v>
      </c>
      <c r="BV70" s="3">
        <f>infections!BV70-infections!BU70</f>
        <v>3</v>
      </c>
      <c r="BW70" s="3">
        <f>infections!BW70-infections!BV70</f>
        <v>1</v>
      </c>
      <c r="BX70" s="3">
        <f>infections!BX70-infections!BW70</f>
        <v>1</v>
      </c>
      <c r="BY70" s="3">
        <f>infections!BY70-infections!BX70</f>
        <v>0</v>
      </c>
    </row>
    <row r="71">
      <c r="B71" s="1" t="str">
        <f>infections!B71</f>
        <v>China</v>
      </c>
      <c r="C71" s="4">
        <f>infections!C71</f>
        <v>22.1667</v>
      </c>
      <c r="D71" s="4">
        <f>infections!D71</f>
        <v>113.55</v>
      </c>
      <c r="E71" s="4">
        <f>infections!E71</f>
        <v>1</v>
      </c>
      <c r="F71" s="3">
        <f>infections!F71-infections!E71</f>
        <v>1</v>
      </c>
      <c r="G71" s="3">
        <f>infections!G71-infections!F71</f>
        <v>0</v>
      </c>
      <c r="H71" s="3">
        <f>infections!H71-infections!G71</f>
        <v>0</v>
      </c>
      <c r="I71" s="3">
        <f>infections!I71-infections!H71</f>
        <v>3</v>
      </c>
      <c r="J71" s="3">
        <f>infections!J71-infections!I71</f>
        <v>1</v>
      </c>
      <c r="K71" s="3">
        <f>infections!K71-infections!J71</f>
        <v>1</v>
      </c>
      <c r="L71" s="3">
        <f>infections!L71-infections!K71</f>
        <v>0</v>
      </c>
      <c r="M71" s="3">
        <f>infections!M71-infections!L71</f>
        <v>0</v>
      </c>
      <c r="N71" s="3">
        <f>infections!N71-infections!M71</f>
        <v>0</v>
      </c>
      <c r="O71" s="3">
        <f>infections!O71-infections!N71</f>
        <v>0</v>
      </c>
      <c r="P71" s="3">
        <f>infections!P71-infections!O71</f>
        <v>1</v>
      </c>
      <c r="Q71" s="3">
        <f>infections!Q71-infections!P71</f>
        <v>0</v>
      </c>
      <c r="R71" s="3">
        <f>infections!R71-infections!Q71</f>
        <v>2</v>
      </c>
      <c r="S71" s="3">
        <f>infections!S71-infections!R71</f>
        <v>0</v>
      </c>
      <c r="T71" s="3">
        <f>infections!T71-infections!S71</f>
        <v>0</v>
      </c>
      <c r="U71" s="3">
        <f>infections!U71-infections!T71</f>
        <v>0</v>
      </c>
      <c r="V71" s="3">
        <f>infections!V71-infections!U71</f>
        <v>0</v>
      </c>
      <c r="W71" s="3">
        <f>infections!W71-infections!V71</f>
        <v>0</v>
      </c>
      <c r="X71" s="3">
        <f>infections!X71-infections!W71</f>
        <v>0</v>
      </c>
      <c r="Y71" s="3">
        <f>infections!Y71-infections!X71</f>
        <v>0</v>
      </c>
      <c r="Z71" s="3">
        <f>infections!Z71-infections!Y71</f>
        <v>0</v>
      </c>
      <c r="AA71" s="3">
        <f>infections!AA71-infections!Z71</f>
        <v>0</v>
      </c>
      <c r="AB71" s="3">
        <f>infections!AB71-infections!AA71</f>
        <v>0</v>
      </c>
      <c r="AC71" s="3">
        <f>infections!AC71-infections!AB71</f>
        <v>0</v>
      </c>
      <c r="AD71" s="3">
        <f>infections!AD71-infections!AC71</f>
        <v>0</v>
      </c>
      <c r="AE71" s="3">
        <f>infections!AE71-infections!AD71</f>
        <v>0</v>
      </c>
      <c r="AF71" s="3">
        <f>infections!AF71-infections!AE71</f>
        <v>0</v>
      </c>
      <c r="AG71" s="3">
        <f>infections!AG71-infections!AF71</f>
        <v>0</v>
      </c>
      <c r="AH71" s="3">
        <f>infections!AH71-infections!AG71</f>
        <v>0</v>
      </c>
      <c r="AI71" s="3">
        <f>infections!AI71-infections!AH71</f>
        <v>0</v>
      </c>
      <c r="AJ71" s="3">
        <f>infections!AJ71-infections!AI71</f>
        <v>0</v>
      </c>
      <c r="AK71" s="3">
        <f>infections!AK71-infections!AJ71</f>
        <v>0</v>
      </c>
      <c r="AL71" s="3">
        <f>infections!AL71-infections!AK71</f>
        <v>0</v>
      </c>
      <c r="AM71" s="3">
        <f>infections!AM71-infections!AL71</f>
        <v>0</v>
      </c>
      <c r="AN71" s="3">
        <f>infections!AN71-infections!AM71</f>
        <v>0</v>
      </c>
      <c r="AO71" s="3">
        <f>infections!AO71-infections!AN71</f>
        <v>0</v>
      </c>
      <c r="AP71" s="3">
        <f>infections!AP71-infections!AO71</f>
        <v>0</v>
      </c>
      <c r="AQ71" s="3">
        <f>infections!AQ71-infections!AP71</f>
        <v>0</v>
      </c>
      <c r="AR71" s="3">
        <f>infections!AR71-infections!AQ71</f>
        <v>0</v>
      </c>
      <c r="AS71" s="3">
        <f>infections!AS71-infections!AR71</f>
        <v>0</v>
      </c>
      <c r="AT71" s="3">
        <f>infections!AT71-infections!AS71</f>
        <v>0</v>
      </c>
      <c r="AU71" s="3">
        <f>infections!AU71-infections!AT71</f>
        <v>0</v>
      </c>
      <c r="AV71" s="3">
        <f>infections!AV71-infections!AU71</f>
        <v>0</v>
      </c>
      <c r="AW71" s="3">
        <f>infections!AW71-infections!AV71</f>
        <v>0</v>
      </c>
      <c r="AX71" s="3">
        <f>infections!AX71-infections!AW71</f>
        <v>0</v>
      </c>
      <c r="AY71" s="3">
        <f>infections!AY71-infections!AX71</f>
        <v>0</v>
      </c>
      <c r="AZ71" s="3">
        <f>infections!AZ71-infections!AY71</f>
        <v>0</v>
      </c>
      <c r="BA71" s="3">
        <f>infections!BA71-infections!AZ71</f>
        <v>0</v>
      </c>
      <c r="BB71" s="3">
        <f>infections!BB71-infections!BA71</f>
        <v>0</v>
      </c>
      <c r="BC71" s="3">
        <f>infections!BC71-infections!BB71</f>
        <v>0</v>
      </c>
      <c r="BD71" s="3">
        <f>infections!BD71-infections!BC71</f>
        <v>0</v>
      </c>
      <c r="BE71" s="3">
        <f>infections!BE71-infections!BD71</f>
        <v>0</v>
      </c>
      <c r="BF71" s="3">
        <f>infections!BF71-infections!BE71</f>
        <v>0</v>
      </c>
      <c r="BG71" s="3">
        <f>infections!BG71-infections!BF71</f>
        <v>1</v>
      </c>
      <c r="BH71" s="3">
        <f>infections!BH71-infections!BG71</f>
        <v>1</v>
      </c>
      <c r="BI71" s="3">
        <f>infections!BI71-infections!BH71</f>
        <v>3</v>
      </c>
      <c r="BJ71" s="3">
        <f>infections!BJ71-infections!BI71</f>
        <v>2</v>
      </c>
      <c r="BK71" s="3">
        <f>infections!BK71-infections!BJ71</f>
        <v>0</v>
      </c>
      <c r="BL71" s="3">
        <f>infections!BL71-infections!BK71</f>
        <v>1</v>
      </c>
      <c r="BM71" s="3">
        <f>infections!BM71-infections!BL71</f>
        <v>6</v>
      </c>
      <c r="BN71" s="3">
        <f>infections!BN71-infections!BM71</f>
        <v>0</v>
      </c>
      <c r="BO71" s="3">
        <f>infections!BO71-infections!BN71</f>
        <v>1</v>
      </c>
      <c r="BP71" s="3">
        <f>infections!BP71-infections!BO71</f>
        <v>5</v>
      </c>
      <c r="BQ71" s="3">
        <f>infections!BQ71-infections!BP71</f>
        <v>1</v>
      </c>
      <c r="BR71" s="3">
        <f>infections!BR71-infections!BQ71</f>
        <v>2</v>
      </c>
      <c r="BS71" s="3">
        <f>infections!BS71-infections!BR71</f>
        <v>4</v>
      </c>
      <c r="BT71" s="3">
        <f>infections!BT71-infections!BS71</f>
        <v>0</v>
      </c>
      <c r="BU71" s="3">
        <f>infections!BU71-infections!BT71</f>
        <v>1</v>
      </c>
      <c r="BV71" s="3">
        <f>infections!BV71-infections!BU71</f>
        <v>3</v>
      </c>
      <c r="BW71" s="3">
        <f>infections!BW71-infections!BV71</f>
        <v>0</v>
      </c>
      <c r="BX71" s="3">
        <f>infections!BX71-infections!BW71</f>
        <v>0</v>
      </c>
      <c r="BY71" s="3">
        <f>infections!BY71-infections!BX71</f>
        <v>2</v>
      </c>
    </row>
    <row r="72">
      <c r="B72" s="1" t="str">
        <f>infections!B72</f>
        <v>China</v>
      </c>
      <c r="C72" s="4">
        <f>infections!C72</f>
        <v>37.2692</v>
      </c>
      <c r="D72" s="4">
        <f>infections!D72</f>
        <v>106.1655</v>
      </c>
      <c r="E72" s="4">
        <f>infections!E72</f>
        <v>1</v>
      </c>
      <c r="F72" s="3">
        <f>infections!F72-infections!E72</f>
        <v>0</v>
      </c>
      <c r="G72" s="3">
        <f>infections!G72-infections!F72</f>
        <v>1</v>
      </c>
      <c r="H72" s="3">
        <f>infections!H72-infections!G72</f>
        <v>1</v>
      </c>
      <c r="I72" s="3">
        <f>infections!I72-infections!H72</f>
        <v>1</v>
      </c>
      <c r="J72" s="3">
        <f>infections!J72-infections!I72</f>
        <v>3</v>
      </c>
      <c r="K72" s="3">
        <f>infections!K72-infections!J72</f>
        <v>4</v>
      </c>
      <c r="L72" s="3">
        <f>infections!L72-infections!K72</f>
        <v>1</v>
      </c>
      <c r="M72" s="3">
        <f>infections!M72-infections!L72</f>
        <v>5</v>
      </c>
      <c r="N72" s="3">
        <f>infections!N72-infections!M72</f>
        <v>4</v>
      </c>
      <c r="O72" s="3">
        <f>infections!O72-infections!N72</f>
        <v>5</v>
      </c>
      <c r="P72" s="3">
        <f>infections!P72-infections!O72</f>
        <v>2</v>
      </c>
      <c r="Q72" s="3">
        <f>infections!Q72-infections!P72</f>
        <v>3</v>
      </c>
      <c r="R72" s="3">
        <f>infections!R72-infections!Q72</f>
        <v>3</v>
      </c>
      <c r="S72" s="3">
        <f>infections!S72-infections!R72</f>
        <v>0</v>
      </c>
      <c r="T72" s="3">
        <f>infections!T72-infections!S72</f>
        <v>6</v>
      </c>
      <c r="U72" s="3">
        <f>infections!U72-infections!T72</f>
        <v>3</v>
      </c>
      <c r="V72" s="3">
        <f>infections!V72-infections!U72</f>
        <v>2</v>
      </c>
      <c r="W72" s="3">
        <f>infections!W72-infections!V72</f>
        <v>0</v>
      </c>
      <c r="X72" s="3">
        <f>infections!X72-infections!W72</f>
        <v>4</v>
      </c>
      <c r="Y72" s="3">
        <f>infections!Y72-infections!X72</f>
        <v>4</v>
      </c>
      <c r="Z72" s="3">
        <f>infections!Z72-infections!Y72</f>
        <v>5</v>
      </c>
      <c r="AA72" s="3">
        <f>infections!AA72-infections!Z72</f>
        <v>6</v>
      </c>
      <c r="AB72" s="3">
        <f>infections!AB72-infections!AA72</f>
        <v>3</v>
      </c>
      <c r="AC72" s="3">
        <f>infections!AC72-infections!AB72</f>
        <v>3</v>
      </c>
      <c r="AD72" s="3">
        <f>infections!AD72-infections!AC72</f>
        <v>0</v>
      </c>
      <c r="AE72" s="3">
        <f>infections!AE72-infections!AD72</f>
        <v>0</v>
      </c>
      <c r="AF72" s="3">
        <f>infections!AF72-infections!AE72</f>
        <v>0</v>
      </c>
      <c r="AG72" s="3">
        <f>infections!AG72-infections!AF72</f>
        <v>1</v>
      </c>
      <c r="AH72" s="3">
        <f>infections!AH72-infections!AG72</f>
        <v>0</v>
      </c>
      <c r="AI72" s="3">
        <f>infections!AI72-infections!AH72</f>
        <v>0</v>
      </c>
      <c r="AJ72" s="3">
        <f>infections!AJ72-infections!AI72</f>
        <v>0</v>
      </c>
      <c r="AK72" s="3">
        <f>infections!AK72-infections!AJ72</f>
        <v>0</v>
      </c>
      <c r="AL72" s="3">
        <f>infections!AL72-infections!AK72</f>
        <v>0</v>
      </c>
      <c r="AM72" s="3">
        <f>infections!AM72-infections!AL72</f>
        <v>0</v>
      </c>
      <c r="AN72" s="3">
        <f>infections!AN72-infections!AM72</f>
        <v>0</v>
      </c>
      <c r="AO72" s="3">
        <f>infections!AO72-infections!AN72</f>
        <v>1</v>
      </c>
      <c r="AP72" s="3">
        <f>infections!AP72-infections!AO72</f>
        <v>0</v>
      </c>
      <c r="AQ72" s="3">
        <f>infections!AQ72-infections!AP72</f>
        <v>1</v>
      </c>
      <c r="AR72" s="3">
        <f>infections!AR72-infections!AQ72</f>
        <v>0</v>
      </c>
      <c r="AS72" s="3">
        <f>infections!AS72-infections!AR72</f>
        <v>1</v>
      </c>
      <c r="AT72" s="3">
        <f>infections!AT72-infections!AS72</f>
        <v>0</v>
      </c>
      <c r="AU72" s="3">
        <f>infections!AU72-infections!AT72</f>
        <v>1</v>
      </c>
      <c r="AV72" s="3">
        <f>infections!AV72-infections!AU72</f>
        <v>0</v>
      </c>
      <c r="AW72" s="3">
        <f>infections!AW72-infections!AV72</f>
        <v>0</v>
      </c>
      <c r="AX72" s="3">
        <f>infections!AX72-infections!AW72</f>
        <v>0</v>
      </c>
      <c r="AY72" s="3">
        <f>infections!AY72-infections!AX72</f>
        <v>0</v>
      </c>
      <c r="AZ72" s="3">
        <f>infections!AZ72-infections!AY72</f>
        <v>0</v>
      </c>
      <c r="BA72" s="3">
        <f>infections!BA72-infections!AZ72</f>
        <v>0</v>
      </c>
      <c r="BB72" s="3">
        <f>infections!BB72-infections!BA72</f>
        <v>0</v>
      </c>
      <c r="BC72" s="3">
        <f>infections!BC72-infections!BB72</f>
        <v>0</v>
      </c>
      <c r="BD72" s="3">
        <f>infections!BD72-infections!BC72</f>
        <v>0</v>
      </c>
      <c r="BE72" s="3">
        <f>infections!BE72-infections!BD72</f>
        <v>0</v>
      </c>
      <c r="BF72" s="3">
        <f>infections!BF72-infections!BE72</f>
        <v>0</v>
      </c>
      <c r="BG72" s="3">
        <f>infections!BG72-infections!BF72</f>
        <v>0</v>
      </c>
      <c r="BH72" s="3">
        <f>infections!BH72-infections!BG72</f>
        <v>0</v>
      </c>
      <c r="BI72" s="3">
        <f>infections!BI72-infections!BH72</f>
        <v>0</v>
      </c>
      <c r="BJ72" s="3">
        <f>infections!BJ72-infections!BI72</f>
        <v>0</v>
      </c>
      <c r="BK72" s="3">
        <f>infections!BK72-infections!BJ72</f>
        <v>0</v>
      </c>
      <c r="BL72" s="3">
        <f>infections!BL72-infections!BK72</f>
        <v>0</v>
      </c>
      <c r="BM72" s="3">
        <f>infections!BM72-infections!BL72</f>
        <v>0</v>
      </c>
      <c r="BN72" s="3">
        <f>infections!BN72-infections!BM72</f>
        <v>0</v>
      </c>
      <c r="BO72" s="3">
        <f>infections!BO72-infections!BN72</f>
        <v>0</v>
      </c>
      <c r="BP72" s="3">
        <f>infections!BP72-infections!BO72</f>
        <v>0</v>
      </c>
      <c r="BQ72" s="3">
        <f>infections!BQ72-infections!BP72</f>
        <v>0</v>
      </c>
      <c r="BR72" s="3">
        <f>infections!BR72-infections!BQ72</f>
        <v>0</v>
      </c>
      <c r="BS72" s="3">
        <f>infections!BS72-infections!BR72</f>
        <v>0</v>
      </c>
      <c r="BT72" s="3">
        <f>infections!BT72-infections!BS72</f>
        <v>0</v>
      </c>
      <c r="BU72" s="3">
        <f>infections!BU72-infections!BT72</f>
        <v>0</v>
      </c>
      <c r="BV72" s="3">
        <f>infections!BV72-infections!BU72</f>
        <v>0</v>
      </c>
      <c r="BW72" s="3">
        <f>infections!BW72-infections!BV72</f>
        <v>0</v>
      </c>
      <c r="BX72" s="3">
        <f>infections!BX72-infections!BW72</f>
        <v>0</v>
      </c>
      <c r="BY72" s="3">
        <f>infections!BY72-infections!BX72</f>
        <v>0</v>
      </c>
    </row>
    <row r="73">
      <c r="B73" s="1" t="str">
        <f>infections!B73</f>
        <v>China</v>
      </c>
      <c r="C73" s="4">
        <f>infections!C73</f>
        <v>35.7452</v>
      </c>
      <c r="D73" s="4">
        <f>infections!D73</f>
        <v>95.9956</v>
      </c>
      <c r="E73" s="4">
        <f>infections!E73</f>
        <v>0</v>
      </c>
      <c r="F73" s="3">
        <f>infections!F73-infections!E73</f>
        <v>0</v>
      </c>
      <c r="G73" s="3">
        <f>infections!G73-infections!F73</f>
        <v>0</v>
      </c>
      <c r="H73" s="3">
        <f>infections!H73-infections!G73</f>
        <v>1</v>
      </c>
      <c r="I73" s="3">
        <f>infections!I73-infections!H73</f>
        <v>0</v>
      </c>
      <c r="J73" s="3">
        <f>infections!J73-infections!I73</f>
        <v>5</v>
      </c>
      <c r="K73" s="3">
        <f>infections!K73-infections!J73</f>
        <v>0</v>
      </c>
      <c r="L73" s="3">
        <f>infections!L73-infections!K73</f>
        <v>0</v>
      </c>
      <c r="M73" s="3">
        <f>infections!M73-infections!L73</f>
        <v>2</v>
      </c>
      <c r="N73" s="3">
        <f>infections!N73-infections!M73</f>
        <v>0</v>
      </c>
      <c r="O73" s="3">
        <f>infections!O73-infections!N73</f>
        <v>1</v>
      </c>
      <c r="P73" s="3">
        <f>infections!P73-infections!O73</f>
        <v>2</v>
      </c>
      <c r="Q73" s="3">
        <f>infections!Q73-infections!P73</f>
        <v>2</v>
      </c>
      <c r="R73" s="3">
        <f>infections!R73-infections!Q73</f>
        <v>2</v>
      </c>
      <c r="S73" s="3">
        <f>infections!S73-infections!R73</f>
        <v>2</v>
      </c>
      <c r="T73" s="3">
        <f>infections!T73-infections!S73</f>
        <v>1</v>
      </c>
      <c r="U73" s="3">
        <f>infections!U73-infections!T73</f>
        <v>0</v>
      </c>
      <c r="V73" s="3">
        <f>infections!V73-infections!U73</f>
        <v>0</v>
      </c>
      <c r="W73" s="3">
        <f>infections!W73-infections!V73</f>
        <v>0</v>
      </c>
      <c r="X73" s="3">
        <f>infections!X73-infections!W73</f>
        <v>0</v>
      </c>
      <c r="Y73" s="3">
        <f>infections!Y73-infections!X73</f>
        <v>0</v>
      </c>
      <c r="Z73" s="3">
        <f>infections!Z73-infections!Y73</f>
        <v>0</v>
      </c>
      <c r="AA73" s="3">
        <f>infections!AA73-infections!Z73</f>
        <v>0</v>
      </c>
      <c r="AB73" s="3">
        <f>infections!AB73-infections!AA73</f>
        <v>0</v>
      </c>
      <c r="AC73" s="3">
        <f>infections!AC73-infections!AB73</f>
        <v>0</v>
      </c>
      <c r="AD73" s="3">
        <f>infections!AD73-infections!AC73</f>
        <v>0</v>
      </c>
      <c r="AE73" s="3">
        <f>infections!AE73-infections!AD73</f>
        <v>0</v>
      </c>
      <c r="AF73" s="3">
        <f>infections!AF73-infections!AE73</f>
        <v>0</v>
      </c>
      <c r="AG73" s="3">
        <f>infections!AG73-infections!AF73</f>
        <v>0</v>
      </c>
      <c r="AH73" s="3">
        <f>infections!AH73-infections!AG73</f>
        <v>0</v>
      </c>
      <c r="AI73" s="3">
        <f>infections!AI73-infections!AH73</f>
        <v>0</v>
      </c>
      <c r="AJ73" s="3">
        <f>infections!AJ73-infections!AI73</f>
        <v>0</v>
      </c>
      <c r="AK73" s="3">
        <f>infections!AK73-infections!AJ73</f>
        <v>0</v>
      </c>
      <c r="AL73" s="3">
        <f>infections!AL73-infections!AK73</f>
        <v>0</v>
      </c>
      <c r="AM73" s="3">
        <f>infections!AM73-infections!AL73</f>
        <v>0</v>
      </c>
      <c r="AN73" s="3">
        <f>infections!AN73-infections!AM73</f>
        <v>0</v>
      </c>
      <c r="AO73" s="3">
        <f>infections!AO73-infections!AN73</f>
        <v>0</v>
      </c>
      <c r="AP73" s="3">
        <f>infections!AP73-infections!AO73</f>
        <v>0</v>
      </c>
      <c r="AQ73" s="3">
        <f>infections!AQ73-infections!AP73</f>
        <v>0</v>
      </c>
      <c r="AR73" s="3">
        <f>infections!AR73-infections!AQ73</f>
        <v>0</v>
      </c>
      <c r="AS73" s="3">
        <f>infections!AS73-infections!AR73</f>
        <v>0</v>
      </c>
      <c r="AT73" s="3">
        <f>infections!AT73-infections!AS73</f>
        <v>0</v>
      </c>
      <c r="AU73" s="3">
        <f>infections!AU73-infections!AT73</f>
        <v>0</v>
      </c>
      <c r="AV73" s="3">
        <f>infections!AV73-infections!AU73</f>
        <v>0</v>
      </c>
      <c r="AW73" s="3">
        <f>infections!AW73-infections!AV73</f>
        <v>0</v>
      </c>
      <c r="AX73" s="3">
        <f>infections!AX73-infections!AW73</f>
        <v>0</v>
      </c>
      <c r="AY73" s="3">
        <f>infections!AY73-infections!AX73</f>
        <v>0</v>
      </c>
      <c r="AZ73" s="3">
        <f>infections!AZ73-infections!AY73</f>
        <v>0</v>
      </c>
      <c r="BA73" s="3">
        <f>infections!BA73-infections!AZ73</f>
        <v>0</v>
      </c>
      <c r="BB73" s="3">
        <f>infections!BB73-infections!BA73</f>
        <v>0</v>
      </c>
      <c r="BC73" s="3">
        <f>infections!BC73-infections!BB73</f>
        <v>0</v>
      </c>
      <c r="BD73" s="3">
        <f>infections!BD73-infections!BC73</f>
        <v>0</v>
      </c>
      <c r="BE73" s="3">
        <f>infections!BE73-infections!BD73</f>
        <v>0</v>
      </c>
      <c r="BF73" s="3">
        <f>infections!BF73-infections!BE73</f>
        <v>0</v>
      </c>
      <c r="BG73" s="3">
        <f>infections!BG73-infections!BF73</f>
        <v>0</v>
      </c>
      <c r="BH73" s="3">
        <f>infections!BH73-infections!BG73</f>
        <v>0</v>
      </c>
      <c r="BI73" s="3">
        <f>infections!BI73-infections!BH73</f>
        <v>0</v>
      </c>
      <c r="BJ73" s="3">
        <f>infections!BJ73-infections!BI73</f>
        <v>0</v>
      </c>
      <c r="BK73" s="3">
        <f>infections!BK73-infections!BJ73</f>
        <v>0</v>
      </c>
      <c r="BL73" s="3">
        <f>infections!BL73-infections!BK73</f>
        <v>0</v>
      </c>
      <c r="BM73" s="3">
        <f>infections!BM73-infections!BL73</f>
        <v>0</v>
      </c>
      <c r="BN73" s="3">
        <f>infections!BN73-infections!BM73</f>
        <v>0</v>
      </c>
      <c r="BO73" s="3">
        <f>infections!BO73-infections!BN73</f>
        <v>0</v>
      </c>
      <c r="BP73" s="3">
        <f>infections!BP73-infections!BO73</f>
        <v>0</v>
      </c>
      <c r="BQ73" s="3">
        <f>infections!BQ73-infections!BP73</f>
        <v>0</v>
      </c>
      <c r="BR73" s="3">
        <f>infections!BR73-infections!BQ73</f>
        <v>0</v>
      </c>
      <c r="BS73" s="3">
        <f>infections!BS73-infections!BR73</f>
        <v>0</v>
      </c>
      <c r="BT73" s="3">
        <f>infections!BT73-infections!BS73</f>
        <v>0</v>
      </c>
      <c r="BU73" s="3">
        <f>infections!BU73-infections!BT73</f>
        <v>0</v>
      </c>
      <c r="BV73" s="3">
        <f>infections!BV73-infections!BU73</f>
        <v>0</v>
      </c>
      <c r="BW73" s="3">
        <f>infections!BW73-infections!BV73</f>
        <v>0</v>
      </c>
      <c r="BX73" s="3">
        <f>infections!BX73-infections!BW73</f>
        <v>0</v>
      </c>
      <c r="BY73" s="3">
        <f>infections!BY73-infections!BX73</f>
        <v>0</v>
      </c>
    </row>
    <row r="74">
      <c r="B74" s="1" t="str">
        <f>infections!B74</f>
        <v>China</v>
      </c>
      <c r="C74" s="4">
        <f>infections!C74</f>
        <v>35.1917</v>
      </c>
      <c r="D74" s="4">
        <f>infections!D74</f>
        <v>108.8701</v>
      </c>
      <c r="E74" s="4">
        <f>infections!E74</f>
        <v>0</v>
      </c>
      <c r="F74" s="3">
        <f>infections!F74-infections!E74</f>
        <v>3</v>
      </c>
      <c r="G74" s="3">
        <f>infections!G74-infections!F74</f>
        <v>2</v>
      </c>
      <c r="H74" s="3">
        <f>infections!H74-infections!G74</f>
        <v>10</v>
      </c>
      <c r="I74" s="3">
        <f>infections!I74-infections!H74</f>
        <v>7</v>
      </c>
      <c r="J74" s="3">
        <f>infections!J74-infections!I74</f>
        <v>13</v>
      </c>
      <c r="K74" s="3">
        <f>infections!K74-infections!J74</f>
        <v>11</v>
      </c>
      <c r="L74" s="3">
        <f>infections!L74-infections!K74</f>
        <v>10</v>
      </c>
      <c r="M74" s="3">
        <f>infections!M74-infections!L74</f>
        <v>7</v>
      </c>
      <c r="N74" s="3">
        <f>infections!N74-infections!M74</f>
        <v>24</v>
      </c>
      <c r="O74" s="3">
        <f>infections!O74-infections!N74</f>
        <v>14</v>
      </c>
      <c r="P74" s="3">
        <f>infections!P74-infections!O74</f>
        <v>15</v>
      </c>
      <c r="Q74" s="3">
        <f>infections!Q74-infections!P74</f>
        <v>12</v>
      </c>
      <c r="R74" s="3">
        <f>infections!R74-infections!Q74</f>
        <v>14</v>
      </c>
      <c r="S74" s="3">
        <f>infections!S74-infections!R74</f>
        <v>23</v>
      </c>
      <c r="T74" s="3">
        <f>infections!T74-infections!S74</f>
        <v>8</v>
      </c>
      <c r="U74" s="3">
        <f>infections!U74-infections!T74</f>
        <v>11</v>
      </c>
      <c r="V74" s="3">
        <f>infections!V74-infections!U74</f>
        <v>11</v>
      </c>
      <c r="W74" s="3">
        <f>infections!W74-infections!V74</f>
        <v>13</v>
      </c>
      <c r="X74" s="3">
        <f>infections!X74-infections!W74</f>
        <v>5</v>
      </c>
      <c r="Y74" s="3">
        <f>infections!Y74-infections!X74</f>
        <v>6</v>
      </c>
      <c r="Z74" s="3">
        <f>infections!Z74-infections!Y74</f>
        <v>6</v>
      </c>
      <c r="AA74" s="3">
        <f>infections!AA74-infections!Z74</f>
        <v>4</v>
      </c>
      <c r="AB74" s="3">
        <f>infections!AB74-infections!AA74</f>
        <v>1</v>
      </c>
      <c r="AC74" s="3">
        <f>infections!AC74-infections!AB74</f>
        <v>2</v>
      </c>
      <c r="AD74" s="3">
        <f>infections!AD74-infections!AC74</f>
        <v>4</v>
      </c>
      <c r="AE74" s="3">
        <f>infections!AE74-infections!AD74</f>
        <v>4</v>
      </c>
      <c r="AF74" s="3">
        <f>infections!AF74-infections!AE74</f>
        <v>0</v>
      </c>
      <c r="AG74" s="3">
        <f>infections!AG74-infections!AF74</f>
        <v>2</v>
      </c>
      <c r="AH74" s="3">
        <f>infections!AH74-infections!AG74</f>
        <v>3</v>
      </c>
      <c r="AI74" s="3">
        <f>infections!AI74-infections!AH74</f>
        <v>0</v>
      </c>
      <c r="AJ74" s="3">
        <f>infections!AJ74-infections!AI74</f>
        <v>0</v>
      </c>
      <c r="AK74" s="3">
        <f>infections!AK74-infections!AJ74</f>
        <v>0</v>
      </c>
      <c r="AL74" s="3">
        <f>infections!AL74-infections!AK74</f>
        <v>0</v>
      </c>
      <c r="AM74" s="3">
        <f>infections!AM74-infections!AL74</f>
        <v>0</v>
      </c>
      <c r="AN74" s="3">
        <f>infections!AN74-infections!AM74</f>
        <v>0</v>
      </c>
      <c r="AO74" s="3">
        <f>infections!AO74-infections!AN74</f>
        <v>0</v>
      </c>
      <c r="AP74" s="3">
        <f>infections!AP74-infections!AO74</f>
        <v>0</v>
      </c>
      <c r="AQ74" s="3">
        <f>infections!AQ74-infections!AP74</f>
        <v>0</v>
      </c>
      <c r="AR74" s="3">
        <f>infections!AR74-infections!AQ74</f>
        <v>0</v>
      </c>
      <c r="AS74" s="3">
        <f>infections!AS74-infections!AR74</f>
        <v>0</v>
      </c>
      <c r="AT74" s="3">
        <f>infections!AT74-infections!AS74</f>
        <v>0</v>
      </c>
      <c r="AU74" s="3">
        <f>infections!AU74-infections!AT74</f>
        <v>0</v>
      </c>
      <c r="AV74" s="3">
        <f>infections!AV74-infections!AU74</f>
        <v>0</v>
      </c>
      <c r="AW74" s="3">
        <f>infections!AW74-infections!AV74</f>
        <v>0</v>
      </c>
      <c r="AX74" s="3">
        <f>infections!AX74-infections!AW74</f>
        <v>0</v>
      </c>
      <c r="AY74" s="3">
        <f>infections!AY74-infections!AX74</f>
        <v>0</v>
      </c>
      <c r="AZ74" s="3">
        <f>infections!AZ74-infections!AY74</f>
        <v>0</v>
      </c>
      <c r="BA74" s="3">
        <f>infections!BA74-infections!AZ74</f>
        <v>0</v>
      </c>
      <c r="BB74" s="3">
        <f>infections!BB74-infections!BA74</f>
        <v>0</v>
      </c>
      <c r="BC74" s="3">
        <f>infections!BC74-infections!BB74</f>
        <v>0</v>
      </c>
      <c r="BD74" s="3">
        <f>infections!BD74-infections!BC74</f>
        <v>0</v>
      </c>
      <c r="BE74" s="3">
        <f>infections!BE74-infections!BD74</f>
        <v>0</v>
      </c>
      <c r="BF74" s="3">
        <f>infections!BF74-infections!BE74</f>
        <v>0</v>
      </c>
      <c r="BG74" s="3">
        <f>infections!BG74-infections!BF74</f>
        <v>0</v>
      </c>
      <c r="BH74" s="3">
        <f>infections!BH74-infections!BG74</f>
        <v>1</v>
      </c>
      <c r="BI74" s="3">
        <f>infections!BI74-infections!BH74</f>
        <v>0</v>
      </c>
      <c r="BJ74" s="3">
        <f>infections!BJ74-infections!BI74</f>
        <v>0</v>
      </c>
      <c r="BK74" s="3">
        <f>infections!BK74-infections!BJ74</f>
        <v>1</v>
      </c>
      <c r="BL74" s="3">
        <f>infections!BL74-infections!BK74</f>
        <v>1</v>
      </c>
      <c r="BM74" s="3">
        <f>infections!BM74-infections!BL74</f>
        <v>0</v>
      </c>
      <c r="BN74" s="3">
        <f>infections!BN74-infections!BM74</f>
        <v>0</v>
      </c>
      <c r="BO74" s="3">
        <f>infections!BO74-infections!BN74</f>
        <v>1</v>
      </c>
      <c r="BP74" s="3">
        <f>infections!BP74-infections!BO74</f>
        <v>1</v>
      </c>
      <c r="BQ74" s="3">
        <f>infections!BQ74-infections!BP74</f>
        <v>3</v>
      </c>
      <c r="BR74" s="3">
        <f>infections!BR74-infections!BQ74</f>
        <v>0</v>
      </c>
      <c r="BS74" s="3">
        <f>infections!BS74-infections!BR74</f>
        <v>0</v>
      </c>
      <c r="BT74" s="3">
        <f>infections!BT74-infections!BS74</f>
        <v>0</v>
      </c>
      <c r="BU74" s="3">
        <f>infections!BU74-infections!BT74</f>
        <v>0</v>
      </c>
      <c r="BV74" s="3">
        <f>infections!BV74-infections!BU74</f>
        <v>0</v>
      </c>
      <c r="BW74" s="3">
        <f>infections!BW74-infections!BV74</f>
        <v>2</v>
      </c>
      <c r="BX74" s="3">
        <f>infections!BX74-infections!BW74</f>
        <v>0</v>
      </c>
      <c r="BY74" s="3">
        <f>infections!BY74-infections!BX74</f>
        <v>0</v>
      </c>
    </row>
    <row r="75">
      <c r="B75" s="1" t="str">
        <f>infections!B75</f>
        <v>China</v>
      </c>
      <c r="C75" s="4">
        <f>infections!C75</f>
        <v>36.3427</v>
      </c>
      <c r="D75" s="4">
        <f>infections!D75</f>
        <v>118.1498</v>
      </c>
      <c r="E75" s="4">
        <f>infections!E75</f>
        <v>2</v>
      </c>
      <c r="F75" s="3">
        <f>infections!F75-infections!E75</f>
        <v>4</v>
      </c>
      <c r="G75" s="3">
        <f>infections!G75-infections!F75</f>
        <v>9</v>
      </c>
      <c r="H75" s="3">
        <f>infections!H75-infections!G75</f>
        <v>12</v>
      </c>
      <c r="I75" s="3">
        <f>infections!I75-infections!H75</f>
        <v>19</v>
      </c>
      <c r="J75" s="3">
        <f>infections!J75-infections!I75</f>
        <v>29</v>
      </c>
      <c r="K75" s="3">
        <f>infections!K75-infections!J75</f>
        <v>20</v>
      </c>
      <c r="L75" s="3">
        <f>infections!L75-infections!K75</f>
        <v>35</v>
      </c>
      <c r="M75" s="3">
        <f>infections!M75-infections!L75</f>
        <v>28</v>
      </c>
      <c r="N75" s="3">
        <f>infections!N75-infections!M75</f>
        <v>26</v>
      </c>
      <c r="O75" s="3">
        <f>infections!O75-infections!N75</f>
        <v>22</v>
      </c>
      <c r="P75" s="3">
        <f>infections!P75-infections!O75</f>
        <v>24</v>
      </c>
      <c r="Q75" s="3">
        <f>infections!Q75-infections!P75</f>
        <v>29</v>
      </c>
      <c r="R75" s="3">
        <f>infections!R75-infections!Q75</f>
        <v>16</v>
      </c>
      <c r="S75" s="3">
        <f>infections!S75-infections!R75</f>
        <v>32</v>
      </c>
      <c r="T75" s="3">
        <f>infections!T75-infections!S75</f>
        <v>40</v>
      </c>
      <c r="U75" s="3">
        <f>infections!U75-infections!T75</f>
        <v>39</v>
      </c>
      <c r="V75" s="3">
        <f>infections!V75-infections!U75</f>
        <v>30</v>
      </c>
      <c r="W75" s="3">
        <f>infections!W75-infections!V75</f>
        <v>28</v>
      </c>
      <c r="X75" s="3">
        <f>infections!X75-infections!W75</f>
        <v>22</v>
      </c>
      <c r="Y75" s="3">
        <f>infections!Y75-infections!X75</f>
        <v>21</v>
      </c>
      <c r="Z75" s="3">
        <f>infections!Z75-infections!Y75</f>
        <v>10</v>
      </c>
      <c r="AA75" s="3">
        <f>infections!AA75-infections!Z75</f>
        <v>12</v>
      </c>
      <c r="AB75" s="3">
        <f>infections!AB75-infections!AA75</f>
        <v>14</v>
      </c>
      <c r="AC75" s="3">
        <f>infections!AC75-infections!AB75</f>
        <v>9</v>
      </c>
      <c r="AD75" s="3">
        <f>infections!AD75-infections!AC75</f>
        <v>5</v>
      </c>
      <c r="AE75" s="3">
        <f>infections!AE75-infections!AD75</f>
        <v>4</v>
      </c>
      <c r="AF75" s="3">
        <f>infections!AF75-infections!AE75</f>
        <v>2</v>
      </c>
      <c r="AG75" s="3">
        <f>infections!AG75-infections!AF75</f>
        <v>1</v>
      </c>
      <c r="AH75" s="3">
        <f>infections!AH75-infections!AG75</f>
        <v>2</v>
      </c>
      <c r="AI75" s="3">
        <f>infections!AI75-infections!AH75</f>
        <v>203</v>
      </c>
      <c r="AJ75" s="3">
        <f>infections!AJ75-infections!AI75</f>
        <v>1</v>
      </c>
      <c r="AK75" s="3">
        <f>infections!AK75-infections!AJ75</f>
        <v>4</v>
      </c>
      <c r="AL75" s="3">
        <f>infections!AL75-infections!AK75</f>
        <v>1</v>
      </c>
      <c r="AM75" s="3">
        <f>infections!AM75-infections!AL75</f>
        <v>1</v>
      </c>
      <c r="AN75" s="3">
        <f>infections!AN75-infections!AM75</f>
        <v>0</v>
      </c>
      <c r="AO75" s="3">
        <f>infections!AO75-infections!AN75</f>
        <v>0</v>
      </c>
      <c r="AP75" s="3">
        <f>infections!AP75-infections!AO75</f>
        <v>0</v>
      </c>
      <c r="AQ75" s="3">
        <f>infections!AQ75-infections!AP75</f>
        <v>0</v>
      </c>
      <c r="AR75" s="3">
        <f>infections!AR75-infections!AQ75</f>
        <v>2</v>
      </c>
      <c r="AS75" s="3">
        <f>infections!AS75-infections!AR75</f>
        <v>0</v>
      </c>
      <c r="AT75" s="3">
        <f>infections!AT75-infections!AS75</f>
        <v>0</v>
      </c>
      <c r="AU75" s="3">
        <f>infections!AU75-infections!AT75</f>
        <v>0</v>
      </c>
      <c r="AV75" s="3">
        <f>infections!AV75-infections!AU75</f>
        <v>0</v>
      </c>
      <c r="AW75" s="3">
        <f>infections!AW75-infections!AV75</f>
        <v>0</v>
      </c>
      <c r="AX75" s="3">
        <f>infections!AX75-infections!AW75</f>
        <v>0</v>
      </c>
      <c r="AY75" s="3">
        <f>infections!AY75-infections!AX75</f>
        <v>0</v>
      </c>
      <c r="AZ75" s="3">
        <f>infections!AZ75-infections!AY75</f>
        <v>0</v>
      </c>
      <c r="BA75" s="3">
        <f>infections!BA75-infections!AZ75</f>
        <v>0</v>
      </c>
      <c r="BB75" s="3">
        <f>infections!BB75-infections!BA75</f>
        <v>2</v>
      </c>
      <c r="BC75" s="3">
        <f>infections!BC75-infections!BB75</f>
        <v>0</v>
      </c>
      <c r="BD75" s="3">
        <f>infections!BD75-infections!BC75</f>
        <v>0</v>
      </c>
      <c r="BE75" s="3">
        <f>infections!BE75-infections!BD75</f>
        <v>0</v>
      </c>
      <c r="BF75" s="3">
        <f>infections!BF75-infections!BE75</f>
        <v>0</v>
      </c>
      <c r="BG75" s="3">
        <f>infections!BG75-infections!BF75</f>
        <v>0</v>
      </c>
      <c r="BH75" s="3">
        <f>infections!BH75-infections!BG75</f>
        <v>1</v>
      </c>
      <c r="BI75" s="3">
        <f>infections!BI75-infections!BH75</f>
        <v>0</v>
      </c>
      <c r="BJ75" s="3">
        <f>infections!BJ75-infections!BI75</f>
        <v>0</v>
      </c>
      <c r="BK75" s="3">
        <f>infections!BK75-infections!BJ75</f>
        <v>1</v>
      </c>
      <c r="BL75" s="3">
        <f>infections!BL75-infections!BK75</f>
        <v>2</v>
      </c>
      <c r="BM75" s="3">
        <f>infections!BM75-infections!BL75</f>
        <v>3</v>
      </c>
      <c r="BN75" s="3">
        <f>infections!BN75-infections!BM75</f>
        <v>1</v>
      </c>
      <c r="BO75" s="3">
        <f>infections!BO75-infections!BN75</f>
        <v>0</v>
      </c>
      <c r="BP75" s="3">
        <f>infections!BP75-infections!BO75</f>
        <v>1</v>
      </c>
      <c r="BQ75" s="3">
        <f>infections!BQ75-infections!BP75</f>
        <v>2</v>
      </c>
      <c r="BR75" s="3">
        <f>infections!BR75-infections!BQ75</f>
        <v>1</v>
      </c>
      <c r="BS75" s="3">
        <f>infections!BS75-infections!BR75</f>
        <v>0</v>
      </c>
      <c r="BT75" s="3">
        <f>infections!BT75-infections!BS75</f>
        <v>0</v>
      </c>
      <c r="BU75" s="3">
        <f>infections!BU75-infections!BT75</f>
        <v>1</v>
      </c>
      <c r="BV75" s="3">
        <f>infections!BV75-infections!BU75</f>
        <v>1</v>
      </c>
      <c r="BW75" s="3">
        <f>infections!BW75-infections!BV75</f>
        <v>0</v>
      </c>
      <c r="BX75" s="3">
        <f>infections!BX75-infections!BW75</f>
        <v>1</v>
      </c>
      <c r="BY75" s="3">
        <f>infections!BY75-infections!BX75</f>
        <v>3</v>
      </c>
    </row>
    <row r="76">
      <c r="B76" s="1" t="str">
        <f>infections!B76</f>
        <v>China</v>
      </c>
      <c r="C76" s="4">
        <f>infections!C76</f>
        <v>31.202</v>
      </c>
      <c r="D76" s="4">
        <f>infections!D76</f>
        <v>121.4491</v>
      </c>
      <c r="E76" s="4">
        <f>infections!E76</f>
        <v>9</v>
      </c>
      <c r="F76" s="3">
        <f>infections!F76-infections!E76</f>
        <v>7</v>
      </c>
      <c r="G76" s="3">
        <f>infections!G76-infections!F76</f>
        <v>4</v>
      </c>
      <c r="H76" s="3">
        <f>infections!H76-infections!G76</f>
        <v>13</v>
      </c>
      <c r="I76" s="3">
        <f>infections!I76-infections!H76</f>
        <v>7</v>
      </c>
      <c r="J76" s="3">
        <f>infections!J76-infections!I76</f>
        <v>13</v>
      </c>
      <c r="K76" s="3">
        <f>infections!K76-infections!J76</f>
        <v>13</v>
      </c>
      <c r="L76" s="3">
        <f>infections!L76-infections!K76</f>
        <v>30</v>
      </c>
      <c r="M76" s="3">
        <f>infections!M76-infections!L76</f>
        <v>16</v>
      </c>
      <c r="N76" s="3">
        <f>infections!N76-infections!M76</f>
        <v>23</v>
      </c>
      <c r="O76" s="3">
        <f>infections!O76-infections!N76</f>
        <v>34</v>
      </c>
      <c r="P76" s="3">
        <f>infections!P76-infections!O76</f>
        <v>13</v>
      </c>
      <c r="Q76" s="3">
        <f>infections!Q76-infections!P76</f>
        <v>21</v>
      </c>
      <c r="R76" s="3">
        <f>infections!R76-infections!Q76</f>
        <v>16</v>
      </c>
      <c r="S76" s="3">
        <f>infections!S76-infections!R76</f>
        <v>24</v>
      </c>
      <c r="T76" s="3">
        <f>infections!T76-infections!S76</f>
        <v>14</v>
      </c>
      <c r="U76" s="3">
        <f>infections!U76-infections!T76</f>
        <v>20</v>
      </c>
      <c r="V76" s="3">
        <f>infections!V76-infections!U76</f>
        <v>9</v>
      </c>
      <c r="W76" s="3">
        <f>infections!W76-infections!V76</f>
        <v>7</v>
      </c>
      <c r="X76" s="3">
        <f>infections!X76-infections!W76</f>
        <v>6</v>
      </c>
      <c r="Y76" s="3">
        <f>infections!Y76-infections!X76</f>
        <v>4</v>
      </c>
      <c r="Z76" s="3">
        <f>infections!Z76-infections!Y76</f>
        <v>8</v>
      </c>
      <c r="AA76" s="3">
        <f>infections!AA76-infections!Z76</f>
        <v>4</v>
      </c>
      <c r="AB76" s="3">
        <f>infections!AB76-infections!AA76</f>
        <v>3</v>
      </c>
      <c r="AC76" s="3">
        <f>infections!AC76-infections!AB76</f>
        <v>8</v>
      </c>
      <c r="AD76" s="3">
        <f>infections!AD76-infections!AC76</f>
        <v>2</v>
      </c>
      <c r="AE76" s="3">
        <f>infections!AE76-infections!AD76</f>
        <v>5</v>
      </c>
      <c r="AF76" s="3">
        <f>infections!AF76-infections!AE76</f>
        <v>0</v>
      </c>
      <c r="AG76" s="3">
        <f>infections!AG76-infections!AF76</f>
        <v>0</v>
      </c>
      <c r="AH76" s="3">
        <f>infections!AH76-infections!AG76</f>
        <v>1</v>
      </c>
      <c r="AI76" s="3">
        <f>infections!AI76-infections!AH76</f>
        <v>0</v>
      </c>
      <c r="AJ76" s="3">
        <f>infections!AJ76-infections!AI76</f>
        <v>1</v>
      </c>
      <c r="AK76" s="3">
        <f>infections!AK76-infections!AJ76</f>
        <v>0</v>
      </c>
      <c r="AL76" s="3">
        <f>infections!AL76-infections!AK76</f>
        <v>0</v>
      </c>
      <c r="AM76" s="3">
        <f>infections!AM76-infections!AL76</f>
        <v>1</v>
      </c>
      <c r="AN76" s="3">
        <f>infections!AN76-infections!AM76</f>
        <v>1</v>
      </c>
      <c r="AO76" s="3">
        <f>infections!AO76-infections!AN76</f>
        <v>0</v>
      </c>
      <c r="AP76" s="3">
        <f>infections!AP76-infections!AO76</f>
        <v>0</v>
      </c>
      <c r="AQ76" s="3">
        <f>infections!AQ76-infections!AP76</f>
        <v>0</v>
      </c>
      <c r="AR76" s="3">
        <f>infections!AR76-infections!AQ76</f>
        <v>0</v>
      </c>
      <c r="AS76" s="3">
        <f>infections!AS76-infections!AR76</f>
        <v>0</v>
      </c>
      <c r="AT76" s="3">
        <f>infections!AT76-infections!AS76</f>
        <v>1</v>
      </c>
      <c r="AU76" s="3">
        <f>infections!AU76-infections!AT76</f>
        <v>0</v>
      </c>
      <c r="AV76" s="3">
        <f>infections!AV76-infections!AU76</f>
        <v>1</v>
      </c>
      <c r="AW76" s="3">
        <f>infections!AW76-infections!AV76</f>
        <v>3</v>
      </c>
      <c r="AX76" s="3">
        <f>infections!AX76-infections!AW76</f>
        <v>0</v>
      </c>
      <c r="AY76" s="3">
        <f>infections!AY76-infections!AX76</f>
        <v>0</v>
      </c>
      <c r="AZ76" s="3">
        <f>infections!AZ76-infections!AY76</f>
        <v>0</v>
      </c>
      <c r="BA76" s="3">
        <f>infections!BA76-infections!AZ76</f>
        <v>2</v>
      </c>
      <c r="BB76" s="3">
        <f>infections!BB76-infections!BA76</f>
        <v>0</v>
      </c>
      <c r="BC76" s="3">
        <f>infections!BC76-infections!BB76</f>
        <v>0</v>
      </c>
      <c r="BD76" s="3">
        <f>infections!BD76-infections!BC76</f>
        <v>2</v>
      </c>
      <c r="BE76" s="3">
        <f>infections!BE76-infections!BD76</f>
        <v>7</v>
      </c>
      <c r="BF76" s="3">
        <f>infections!BF76-infections!BE76</f>
        <v>0</v>
      </c>
      <c r="BG76" s="3">
        <f>infections!BG76-infections!BF76</f>
        <v>2</v>
      </c>
      <c r="BH76" s="3">
        <f>infections!BH76-infections!BG76</f>
        <v>3</v>
      </c>
      <c r="BI76" s="3">
        <f>infections!BI76-infections!BH76</f>
        <v>3</v>
      </c>
      <c r="BJ76" s="3">
        <f>infections!BJ76-infections!BI76</f>
        <v>2</v>
      </c>
      <c r="BK76" s="3">
        <f>infections!BK76-infections!BJ76</f>
        <v>8</v>
      </c>
      <c r="BL76" s="3">
        <f>infections!BL76-infections!BK76</f>
        <v>9</v>
      </c>
      <c r="BM76" s="3">
        <f>infections!BM76-infections!BL76</f>
        <v>24</v>
      </c>
      <c r="BN76" s="3">
        <f>infections!BN76-infections!BM76</f>
        <v>0</v>
      </c>
      <c r="BO76" s="3">
        <f>infections!BO76-infections!BN76</f>
        <v>10</v>
      </c>
      <c r="BP76" s="3">
        <f>infections!BP76-infections!BO76</f>
        <v>19</v>
      </c>
      <c r="BQ76" s="3">
        <f>infections!BQ76-infections!BP76</f>
        <v>18</v>
      </c>
      <c r="BR76" s="3">
        <f>infections!BR76-infections!BQ76</f>
        <v>17</v>
      </c>
      <c r="BS76" s="3">
        <f>infections!BS76-infections!BR76</f>
        <v>17</v>
      </c>
      <c r="BT76" s="3">
        <f>infections!BT76-infections!BS76</f>
        <v>7</v>
      </c>
      <c r="BU76" s="3">
        <f>infections!BU76-infections!BT76</f>
        <v>6</v>
      </c>
      <c r="BV76" s="3">
        <f>infections!BV76-infections!BU76</f>
        <v>11</v>
      </c>
      <c r="BW76" s="3">
        <f>infections!BW76-infections!BV76</f>
        <v>7</v>
      </c>
      <c r="BX76" s="3">
        <f>infections!BX76-infections!BW76</f>
        <v>6</v>
      </c>
      <c r="BY76" s="3">
        <f>infections!BY76-infections!BX76</f>
        <v>4</v>
      </c>
    </row>
    <row r="77">
      <c r="B77" s="1" t="str">
        <f>infections!B77</f>
        <v>China</v>
      </c>
      <c r="C77" s="4">
        <f>infections!C77</f>
        <v>37.5777</v>
      </c>
      <c r="D77" s="4">
        <f>infections!D77</f>
        <v>112.2922</v>
      </c>
      <c r="E77" s="4">
        <f>infections!E77</f>
        <v>1</v>
      </c>
      <c r="F77" s="3">
        <f>infections!F77-infections!E77</f>
        <v>0</v>
      </c>
      <c r="G77" s="3">
        <f>infections!G77-infections!F77</f>
        <v>0</v>
      </c>
      <c r="H77" s="3">
        <f>infections!H77-infections!G77</f>
        <v>5</v>
      </c>
      <c r="I77" s="3">
        <f>infections!I77-infections!H77</f>
        <v>3</v>
      </c>
      <c r="J77" s="3">
        <f>infections!J77-infections!I77</f>
        <v>4</v>
      </c>
      <c r="K77" s="3">
        <f>infections!K77-infections!J77</f>
        <v>14</v>
      </c>
      <c r="L77" s="3">
        <f>infections!L77-infections!K77</f>
        <v>0</v>
      </c>
      <c r="M77" s="3">
        <f>infections!M77-infections!L77</f>
        <v>8</v>
      </c>
      <c r="N77" s="3">
        <f>infections!N77-infections!M77</f>
        <v>4</v>
      </c>
      <c r="O77" s="3">
        <f>infections!O77-infections!N77</f>
        <v>8</v>
      </c>
      <c r="P77" s="3">
        <f>infections!P77-infections!O77</f>
        <v>19</v>
      </c>
      <c r="Q77" s="3">
        <f>infections!Q77-infections!P77</f>
        <v>8</v>
      </c>
      <c r="R77" s="3">
        <f>infections!R77-infections!Q77</f>
        <v>7</v>
      </c>
      <c r="S77" s="3">
        <f>infections!S77-infections!R77</f>
        <v>0</v>
      </c>
      <c r="T77" s="3">
        <f>infections!T77-infections!S77</f>
        <v>15</v>
      </c>
      <c r="U77" s="3">
        <f>infections!U77-infections!T77</f>
        <v>8</v>
      </c>
      <c r="V77" s="3">
        <f>infections!V77-infections!U77</f>
        <v>11</v>
      </c>
      <c r="W77" s="3">
        <f>infections!W77-infections!V77</f>
        <v>4</v>
      </c>
      <c r="X77" s="3">
        <f>infections!X77-infections!W77</f>
        <v>0</v>
      </c>
      <c r="Y77" s="3">
        <f>infections!Y77-infections!X77</f>
        <v>5</v>
      </c>
      <c r="Z77" s="3">
        <f>infections!Z77-infections!Y77</f>
        <v>2</v>
      </c>
      <c r="AA77" s="3">
        <f>infections!AA77-infections!Z77</f>
        <v>0</v>
      </c>
      <c r="AB77" s="3">
        <f>infections!AB77-infections!AA77</f>
        <v>1</v>
      </c>
      <c r="AC77" s="3">
        <f>infections!AC77-infections!AB77</f>
        <v>1</v>
      </c>
      <c r="AD77" s="3">
        <f>infections!AD77-infections!AC77</f>
        <v>1</v>
      </c>
      <c r="AE77" s="3">
        <f>infections!AE77-infections!AD77</f>
        <v>1</v>
      </c>
      <c r="AF77" s="3">
        <f>infections!AF77-infections!AE77</f>
        <v>1</v>
      </c>
      <c r="AG77" s="3">
        <f>infections!AG77-infections!AF77</f>
        <v>0</v>
      </c>
      <c r="AH77" s="3">
        <f>infections!AH77-infections!AG77</f>
        <v>1</v>
      </c>
      <c r="AI77" s="3">
        <f>infections!AI77-infections!AH77</f>
        <v>0</v>
      </c>
      <c r="AJ77" s="3">
        <f>infections!AJ77-infections!AI77</f>
        <v>0</v>
      </c>
      <c r="AK77" s="3">
        <f>infections!AK77-infections!AJ77</f>
        <v>0</v>
      </c>
      <c r="AL77" s="3">
        <f>infections!AL77-infections!AK77</f>
        <v>1</v>
      </c>
      <c r="AM77" s="3">
        <f>infections!AM77-infections!AL77</f>
        <v>0</v>
      </c>
      <c r="AN77" s="3">
        <f>infections!AN77-infections!AM77</f>
        <v>0</v>
      </c>
      <c r="AO77" s="3">
        <f>infections!AO77-infections!AN77</f>
        <v>0</v>
      </c>
      <c r="AP77" s="3">
        <f>infections!AP77-infections!AO77</f>
        <v>0</v>
      </c>
      <c r="AQ77" s="3">
        <f>infections!AQ77-infections!AP77</f>
        <v>0</v>
      </c>
      <c r="AR77" s="3">
        <f>infections!AR77-infections!AQ77</f>
        <v>0</v>
      </c>
      <c r="AS77" s="3">
        <f>infections!AS77-infections!AR77</f>
        <v>0</v>
      </c>
      <c r="AT77" s="3">
        <f>infections!AT77-infections!AS77</f>
        <v>0</v>
      </c>
      <c r="AU77" s="3">
        <f>infections!AU77-infections!AT77</f>
        <v>0</v>
      </c>
      <c r="AV77" s="3">
        <f>infections!AV77-infections!AU77</f>
        <v>0</v>
      </c>
      <c r="AW77" s="3">
        <f>infections!AW77-infections!AV77</f>
        <v>0</v>
      </c>
      <c r="AX77" s="3">
        <f>infections!AX77-infections!AW77</f>
        <v>0</v>
      </c>
      <c r="AY77" s="3">
        <f>infections!AY77-infections!AX77</f>
        <v>0</v>
      </c>
      <c r="AZ77" s="3">
        <f>infections!AZ77-infections!AY77</f>
        <v>0</v>
      </c>
      <c r="BA77" s="3">
        <f>infections!BA77-infections!AZ77</f>
        <v>0</v>
      </c>
      <c r="BB77" s="3">
        <f>infections!BB77-infections!BA77</f>
        <v>0</v>
      </c>
      <c r="BC77" s="3">
        <f>infections!BC77-infections!BB77</f>
        <v>0</v>
      </c>
      <c r="BD77" s="3">
        <f>infections!BD77-infections!BC77</f>
        <v>0</v>
      </c>
      <c r="BE77" s="3">
        <f>infections!BE77-infections!BD77</f>
        <v>0</v>
      </c>
      <c r="BF77" s="3">
        <f>infections!BF77-infections!BE77</f>
        <v>0</v>
      </c>
      <c r="BG77" s="3">
        <f>infections!BG77-infections!BF77</f>
        <v>0</v>
      </c>
      <c r="BH77" s="3">
        <f>infections!BH77-infections!BG77</f>
        <v>0</v>
      </c>
      <c r="BI77" s="3">
        <f>infections!BI77-infections!BH77</f>
        <v>0</v>
      </c>
      <c r="BJ77" s="3">
        <f>infections!BJ77-infections!BI77</f>
        <v>0</v>
      </c>
      <c r="BK77" s="3">
        <f>infections!BK77-infections!BJ77</f>
        <v>0</v>
      </c>
      <c r="BL77" s="3">
        <f>infections!BL77-infections!BK77</f>
        <v>0</v>
      </c>
      <c r="BM77" s="3">
        <f>infections!BM77-infections!BL77</f>
        <v>0</v>
      </c>
      <c r="BN77" s="3">
        <f>infections!BN77-infections!BM77</f>
        <v>1</v>
      </c>
      <c r="BO77" s="3">
        <f>infections!BO77-infections!BN77</f>
        <v>0</v>
      </c>
      <c r="BP77" s="3">
        <f>infections!BP77-infections!BO77</f>
        <v>0</v>
      </c>
      <c r="BQ77" s="3">
        <f>infections!BQ77-infections!BP77</f>
        <v>1</v>
      </c>
      <c r="BR77" s="3">
        <f>infections!BR77-infections!BQ77</f>
        <v>0</v>
      </c>
      <c r="BS77" s="3">
        <f>infections!BS77-infections!BR77</f>
        <v>0</v>
      </c>
      <c r="BT77" s="3">
        <f>infections!BT77-infections!BS77</f>
        <v>1</v>
      </c>
      <c r="BU77" s="3">
        <f>infections!BU77-infections!BT77</f>
        <v>0</v>
      </c>
      <c r="BV77" s="3">
        <f>infections!BV77-infections!BU77</f>
        <v>0</v>
      </c>
      <c r="BW77" s="3">
        <f>infections!BW77-infections!BV77</f>
        <v>1</v>
      </c>
      <c r="BX77" s="3">
        <f>infections!BX77-infections!BW77</f>
        <v>0</v>
      </c>
      <c r="BY77" s="3">
        <f>infections!BY77-infections!BX77</f>
        <v>0</v>
      </c>
    </row>
    <row r="78">
      <c r="B78" s="1" t="str">
        <f>infections!B78</f>
        <v>China</v>
      </c>
      <c r="C78" s="4">
        <f>infections!C78</f>
        <v>30.6171</v>
      </c>
      <c r="D78" s="4">
        <f>infections!D78</f>
        <v>102.7103</v>
      </c>
      <c r="E78" s="4">
        <f>infections!E78</f>
        <v>5</v>
      </c>
      <c r="F78" s="3">
        <f>infections!F78-infections!E78</f>
        <v>3</v>
      </c>
      <c r="G78" s="3">
        <f>infections!G78-infections!F78</f>
        <v>7</v>
      </c>
      <c r="H78" s="3">
        <f>infections!H78-infections!G78</f>
        <v>13</v>
      </c>
      <c r="I78" s="3">
        <f>infections!I78-infections!H78</f>
        <v>16</v>
      </c>
      <c r="J78" s="3">
        <f>infections!J78-infections!I78</f>
        <v>25</v>
      </c>
      <c r="K78" s="3">
        <f>infections!K78-infections!J78</f>
        <v>21</v>
      </c>
      <c r="L78" s="3">
        <f>infections!L78-infections!K78</f>
        <v>18</v>
      </c>
      <c r="M78" s="3">
        <f>infections!M78-infections!L78</f>
        <v>34</v>
      </c>
      <c r="N78" s="3">
        <f>infections!N78-infections!M78</f>
        <v>35</v>
      </c>
      <c r="O78" s="3">
        <f>infections!O78-infections!N78</f>
        <v>30</v>
      </c>
      <c r="P78" s="3">
        <f>infections!P78-infections!O78</f>
        <v>24</v>
      </c>
      <c r="Q78" s="3">
        <f>infections!Q78-infections!P78</f>
        <v>23</v>
      </c>
      <c r="R78" s="3">
        <f>infections!R78-infections!Q78</f>
        <v>28</v>
      </c>
      <c r="S78" s="3">
        <f>infections!S78-infections!R78</f>
        <v>19</v>
      </c>
      <c r="T78" s="3">
        <f>infections!T78-infections!S78</f>
        <v>20</v>
      </c>
      <c r="U78" s="3">
        <f>infections!U78-infections!T78</f>
        <v>23</v>
      </c>
      <c r="V78" s="3">
        <f>infections!V78-infections!U78</f>
        <v>20</v>
      </c>
      <c r="W78" s="3">
        <f>infections!W78-infections!V78</f>
        <v>22</v>
      </c>
      <c r="X78" s="3">
        <f>infections!X78-infections!W78</f>
        <v>19</v>
      </c>
      <c r="Y78" s="3">
        <f>infections!Y78-infections!X78</f>
        <v>12</v>
      </c>
      <c r="Z78" s="3">
        <f>infections!Z78-infections!Y78</f>
        <v>19</v>
      </c>
      <c r="AA78" s="3">
        <f>infections!AA78-infections!Z78</f>
        <v>15</v>
      </c>
      <c r="AB78" s="3">
        <f>infections!AB78-infections!AA78</f>
        <v>12</v>
      </c>
      <c r="AC78" s="3">
        <f>infections!AC78-infections!AB78</f>
        <v>7</v>
      </c>
      <c r="AD78" s="3">
        <f>infections!AD78-infections!AC78</f>
        <v>11</v>
      </c>
      <c r="AE78" s="3">
        <f>infections!AE78-infections!AD78</f>
        <v>14</v>
      </c>
      <c r="AF78" s="3">
        <f>infections!AF78-infections!AE78</f>
        <v>13</v>
      </c>
      <c r="AG78" s="3">
        <f>infections!AG78-infections!AF78</f>
        <v>6</v>
      </c>
      <c r="AH78" s="3">
        <f>infections!AH78-infections!AG78</f>
        <v>6</v>
      </c>
      <c r="AI78" s="3">
        <f>infections!AI78-infections!AH78</f>
        <v>5</v>
      </c>
      <c r="AJ78" s="3">
        <f>infections!AJ78-infections!AI78</f>
        <v>1</v>
      </c>
      <c r="AK78" s="3">
        <f>infections!AK78-infections!AJ78</f>
        <v>0</v>
      </c>
      <c r="AL78" s="3">
        <f>infections!AL78-infections!AK78</f>
        <v>1</v>
      </c>
      <c r="AM78" s="3">
        <f>infections!AM78-infections!AL78</f>
        <v>2</v>
      </c>
      <c r="AN78" s="3">
        <f>infections!AN78-infections!AM78</f>
        <v>2</v>
      </c>
      <c r="AO78" s="3">
        <f>infections!AO78-infections!AN78</f>
        <v>3</v>
      </c>
      <c r="AP78" s="3">
        <f>infections!AP78-infections!AO78</f>
        <v>4</v>
      </c>
      <c r="AQ78" s="3">
        <f>infections!AQ78-infections!AP78</f>
        <v>0</v>
      </c>
      <c r="AR78" s="3">
        <f>infections!AR78-infections!AQ78</f>
        <v>0</v>
      </c>
      <c r="AS78" s="3">
        <f>infections!AS78-infections!AR78</f>
        <v>0</v>
      </c>
      <c r="AT78" s="3">
        <f>infections!AT78-infections!AS78</f>
        <v>0</v>
      </c>
      <c r="AU78" s="3">
        <f>infections!AU78-infections!AT78</f>
        <v>0</v>
      </c>
      <c r="AV78" s="3">
        <f>infections!AV78-infections!AU78</f>
        <v>1</v>
      </c>
      <c r="AW78" s="3">
        <f>infections!AW78-infections!AV78</f>
        <v>0</v>
      </c>
      <c r="AX78" s="3">
        <f>infections!AX78-infections!AW78</f>
        <v>0</v>
      </c>
      <c r="AY78" s="3">
        <f>infections!AY78-infections!AX78</f>
        <v>0</v>
      </c>
      <c r="AZ78" s="3">
        <f>infections!AZ78-infections!AY78</f>
        <v>0</v>
      </c>
      <c r="BA78" s="3">
        <f>infections!BA78-infections!AZ78</f>
        <v>0</v>
      </c>
      <c r="BB78" s="3">
        <f>infections!BB78-infections!BA78</f>
        <v>0</v>
      </c>
      <c r="BC78" s="3">
        <f>infections!BC78-infections!BB78</f>
        <v>0</v>
      </c>
      <c r="BD78" s="3">
        <f>infections!BD78-infections!BC78</f>
        <v>0</v>
      </c>
      <c r="BE78" s="3">
        <f>infections!BE78-infections!BD78</f>
        <v>0</v>
      </c>
      <c r="BF78" s="3">
        <f>infections!BF78-infections!BE78</f>
        <v>0</v>
      </c>
      <c r="BG78" s="3">
        <f>infections!BG78-infections!BF78</f>
        <v>0</v>
      </c>
      <c r="BH78" s="3">
        <f>infections!BH78-infections!BG78</f>
        <v>1</v>
      </c>
      <c r="BI78" s="3">
        <f>infections!BI78-infections!BH78</f>
        <v>0</v>
      </c>
      <c r="BJ78" s="3">
        <f>infections!BJ78-infections!BI78</f>
        <v>0</v>
      </c>
      <c r="BK78" s="3">
        <f>infections!BK78-infections!BJ78</f>
        <v>1</v>
      </c>
      <c r="BL78" s="3">
        <f>infections!BL78-infections!BK78</f>
        <v>1</v>
      </c>
      <c r="BM78" s="3">
        <f>infections!BM78-infections!BL78</f>
        <v>1</v>
      </c>
      <c r="BN78" s="3">
        <f>infections!BN78-infections!BM78</f>
        <v>0</v>
      </c>
      <c r="BO78" s="3">
        <f>infections!BO78-infections!BN78</f>
        <v>2</v>
      </c>
      <c r="BP78" s="3">
        <f>infections!BP78-infections!BO78</f>
        <v>2</v>
      </c>
      <c r="BQ78" s="3">
        <f>infections!BQ78-infections!BP78</f>
        <v>0</v>
      </c>
      <c r="BR78" s="3">
        <f>infections!BR78-infections!BQ78</f>
        <v>1</v>
      </c>
      <c r="BS78" s="3">
        <f>infections!BS78-infections!BR78</f>
        <v>0</v>
      </c>
      <c r="BT78" s="3">
        <f>infections!BT78-infections!BS78</f>
        <v>2</v>
      </c>
      <c r="BU78" s="3">
        <f>infections!BU78-infections!BT78</f>
        <v>0</v>
      </c>
      <c r="BV78" s="3">
        <f>infections!BV78-infections!BU78</f>
        <v>0</v>
      </c>
      <c r="BW78" s="3">
        <f>infections!BW78-infections!BV78</f>
        <v>2</v>
      </c>
      <c r="BX78" s="3">
        <f>infections!BX78-infections!BW78</f>
        <v>2</v>
      </c>
      <c r="BY78" s="3">
        <f>infections!BY78-infections!BX78</f>
        <v>1</v>
      </c>
    </row>
    <row r="79">
      <c r="B79" s="1" t="str">
        <f>infections!B79</f>
        <v>China</v>
      </c>
      <c r="C79" s="4">
        <f>infections!C79</f>
        <v>39.3054</v>
      </c>
      <c r="D79" s="4">
        <f>infections!D79</f>
        <v>117.323</v>
      </c>
      <c r="E79" s="4">
        <f>infections!E79</f>
        <v>4</v>
      </c>
      <c r="F79" s="3">
        <f>infections!F79-infections!E79</f>
        <v>0</v>
      </c>
      <c r="G79" s="3">
        <f>infections!G79-infections!F79</f>
        <v>4</v>
      </c>
      <c r="H79" s="3">
        <f>infections!H79-infections!G79</f>
        <v>2</v>
      </c>
      <c r="I79" s="3">
        <f>infections!I79-infections!H79</f>
        <v>4</v>
      </c>
      <c r="J79" s="3">
        <f>infections!J79-infections!I79</f>
        <v>9</v>
      </c>
      <c r="K79" s="3">
        <f>infections!K79-infections!J79</f>
        <v>1</v>
      </c>
      <c r="L79" s="3">
        <f>infections!L79-infections!K79</f>
        <v>3</v>
      </c>
      <c r="M79" s="3">
        <f>infections!M79-infections!L79</f>
        <v>4</v>
      </c>
      <c r="N79" s="3">
        <f>infections!N79-infections!M79</f>
        <v>1</v>
      </c>
      <c r="O79" s="3">
        <f>infections!O79-infections!N79</f>
        <v>9</v>
      </c>
      <c r="P79" s="3">
        <f>infections!P79-infections!O79</f>
        <v>7</v>
      </c>
      <c r="Q79" s="3">
        <f>infections!Q79-infections!P79</f>
        <v>12</v>
      </c>
      <c r="R79" s="3">
        <f>infections!R79-infections!Q79</f>
        <v>7</v>
      </c>
      <c r="S79" s="3">
        <f>infections!S79-infections!R79</f>
        <v>2</v>
      </c>
      <c r="T79" s="3">
        <f>infections!T79-infections!S79</f>
        <v>10</v>
      </c>
      <c r="U79" s="3">
        <f>infections!U79-infections!T79</f>
        <v>2</v>
      </c>
      <c r="V79" s="3">
        <f>infections!V79-infections!U79</f>
        <v>7</v>
      </c>
      <c r="W79" s="3">
        <f>infections!W79-infections!V79</f>
        <v>3</v>
      </c>
      <c r="X79" s="3">
        <f>infections!X79-infections!W79</f>
        <v>4</v>
      </c>
      <c r="Y79" s="3">
        <f>infections!Y79-infections!X79</f>
        <v>11</v>
      </c>
      <c r="Z79" s="3">
        <f>infections!Z79-infections!Y79</f>
        <v>6</v>
      </c>
      <c r="AA79" s="3">
        <f>infections!AA79-infections!Z79</f>
        <v>7</v>
      </c>
      <c r="AB79" s="3">
        <f>infections!AB79-infections!AA79</f>
        <v>1</v>
      </c>
      <c r="AC79" s="3">
        <f>infections!AC79-infections!AB79</f>
        <v>2</v>
      </c>
      <c r="AD79" s="3">
        <f>infections!AD79-infections!AC79</f>
        <v>2</v>
      </c>
      <c r="AE79" s="3">
        <f>infections!AE79-infections!AD79</f>
        <v>1</v>
      </c>
      <c r="AF79" s="3">
        <f>infections!AF79-infections!AE79</f>
        <v>3</v>
      </c>
      <c r="AG79" s="3">
        <f>infections!AG79-infections!AF79</f>
        <v>2</v>
      </c>
      <c r="AH79" s="3">
        <f>infections!AH79-infections!AG79</f>
        <v>1</v>
      </c>
      <c r="AI79" s="3">
        <f>infections!AI79-infections!AH79</f>
        <v>1</v>
      </c>
      <c r="AJ79" s="3">
        <f>infections!AJ79-infections!AI79</f>
        <v>3</v>
      </c>
      <c r="AK79" s="3">
        <f>infections!AK79-infections!AJ79</f>
        <v>0</v>
      </c>
      <c r="AL79" s="3">
        <f>infections!AL79-infections!AK79</f>
        <v>0</v>
      </c>
      <c r="AM79" s="3">
        <f>infections!AM79-infections!AL79</f>
        <v>0</v>
      </c>
      <c r="AN79" s="3">
        <f>infections!AN79-infections!AM79</f>
        <v>0</v>
      </c>
      <c r="AO79" s="3">
        <f>infections!AO79-infections!AN79</f>
        <v>1</v>
      </c>
      <c r="AP79" s="3">
        <f>infections!AP79-infections!AO79</f>
        <v>0</v>
      </c>
      <c r="AQ79" s="3">
        <f>infections!AQ79-infections!AP79</f>
        <v>0</v>
      </c>
      <c r="AR79" s="3">
        <f>infections!AR79-infections!AQ79</f>
        <v>0</v>
      </c>
      <c r="AS79" s="3">
        <f>infections!AS79-infections!AR79</f>
        <v>0</v>
      </c>
      <c r="AT79" s="3">
        <f>infections!AT79-infections!AS79</f>
        <v>0</v>
      </c>
      <c r="AU79" s="3">
        <f>infections!AU79-infections!AT79</f>
        <v>0</v>
      </c>
      <c r="AV79" s="3">
        <f>infections!AV79-infections!AU79</f>
        <v>0</v>
      </c>
      <c r="AW79" s="3">
        <f>infections!AW79-infections!AV79</f>
        <v>0</v>
      </c>
      <c r="AX79" s="3">
        <f>infections!AX79-infections!AW79</f>
        <v>0</v>
      </c>
      <c r="AY79" s="3">
        <f>infections!AY79-infections!AX79</f>
        <v>0</v>
      </c>
      <c r="AZ79" s="3">
        <f>infections!AZ79-infections!AY79</f>
        <v>0</v>
      </c>
      <c r="BA79" s="3">
        <f>infections!BA79-infections!AZ79</f>
        <v>0</v>
      </c>
      <c r="BB79" s="3">
        <f>infections!BB79-infections!BA79</f>
        <v>0</v>
      </c>
      <c r="BC79" s="3">
        <f>infections!BC79-infections!BB79</f>
        <v>0</v>
      </c>
      <c r="BD79" s="3">
        <f>infections!BD79-infections!BC79</f>
        <v>0</v>
      </c>
      <c r="BE79" s="3">
        <f>infections!BE79-infections!BD79</f>
        <v>0</v>
      </c>
      <c r="BF79" s="3">
        <f>infections!BF79-infections!BE79</f>
        <v>0</v>
      </c>
      <c r="BG79" s="3">
        <f>infections!BG79-infections!BF79</f>
        <v>0</v>
      </c>
      <c r="BH79" s="3">
        <f>infections!BH79-infections!BG79</f>
        <v>0</v>
      </c>
      <c r="BI79" s="3">
        <f>infections!BI79-infections!BH79</f>
        <v>0</v>
      </c>
      <c r="BJ79" s="3">
        <f>infections!BJ79-infections!BI79</f>
        <v>1</v>
      </c>
      <c r="BK79" s="3">
        <f>infections!BK79-infections!BJ79</f>
        <v>0</v>
      </c>
      <c r="BL79" s="3">
        <f>infections!BL79-infections!BK79</f>
        <v>0</v>
      </c>
      <c r="BM79" s="3">
        <f>infections!BM79-infections!BL79</f>
        <v>0</v>
      </c>
      <c r="BN79" s="3">
        <f>infections!BN79-infections!BM79</f>
        <v>4</v>
      </c>
      <c r="BO79" s="3">
        <f>infections!BO79-infections!BN79</f>
        <v>4</v>
      </c>
      <c r="BP79" s="3">
        <f>infections!BP79-infections!BO79</f>
        <v>0</v>
      </c>
      <c r="BQ79" s="3">
        <f>infections!BQ79-infections!BP79</f>
        <v>6</v>
      </c>
      <c r="BR79" s="3">
        <f>infections!BR79-infections!BQ79</f>
        <v>4</v>
      </c>
      <c r="BS79" s="3">
        <f>infections!BS79-infections!BR79</f>
        <v>6</v>
      </c>
      <c r="BT79" s="3">
        <f>infections!BT79-infections!BS79</f>
        <v>5</v>
      </c>
      <c r="BU79" s="3">
        <f>infections!BU79-infections!BT79</f>
        <v>8</v>
      </c>
      <c r="BV79" s="3">
        <f>infections!BV79-infections!BU79</f>
        <v>0</v>
      </c>
      <c r="BW79" s="3">
        <f>infections!BW79-infections!BV79</f>
        <v>2</v>
      </c>
      <c r="BX79" s="3">
        <f>infections!BX79-infections!BW79</f>
        <v>0</v>
      </c>
      <c r="BY79" s="3">
        <f>infections!BY79-infections!BX79</f>
        <v>4</v>
      </c>
    </row>
    <row r="80">
      <c r="B80" s="1" t="str">
        <f>infections!B80</f>
        <v>China</v>
      </c>
      <c r="C80" s="4">
        <f>infections!C80</f>
        <v>31.6927</v>
      </c>
      <c r="D80" s="4">
        <f>infections!D80</f>
        <v>88.0924</v>
      </c>
      <c r="E80" s="4">
        <f>infections!E80</f>
        <v>0</v>
      </c>
      <c r="F80" s="3">
        <f>infections!F80-infections!E80</f>
        <v>0</v>
      </c>
      <c r="G80" s="3">
        <f>infections!G80-infections!F80</f>
        <v>0</v>
      </c>
      <c r="H80" s="3">
        <f>infections!H80-infections!G80</f>
        <v>0</v>
      </c>
      <c r="I80" s="3">
        <f>infections!I80-infections!H80</f>
        <v>0</v>
      </c>
      <c r="J80" s="3">
        <f>infections!J80-infections!I80</f>
        <v>0</v>
      </c>
      <c r="K80" s="3">
        <f>infections!K80-infections!J80</f>
        <v>0</v>
      </c>
      <c r="L80" s="3">
        <f>infections!L80-infections!K80</f>
        <v>0</v>
      </c>
      <c r="M80" s="3">
        <f>infections!M80-infections!L80</f>
        <v>1</v>
      </c>
      <c r="N80" s="3">
        <f>infections!N80-infections!M80</f>
        <v>0</v>
      </c>
      <c r="O80" s="3">
        <f>infections!O80-infections!N80</f>
        <v>0</v>
      </c>
      <c r="P80" s="3">
        <f>infections!P80-infections!O80</f>
        <v>0</v>
      </c>
      <c r="Q80" s="3">
        <f>infections!Q80-infections!P80</f>
        <v>0</v>
      </c>
      <c r="R80" s="3">
        <f>infections!R80-infections!Q80</f>
        <v>0</v>
      </c>
      <c r="S80" s="3">
        <f>infections!S80-infections!R80</f>
        <v>0</v>
      </c>
      <c r="T80" s="3">
        <f>infections!T80-infections!S80</f>
        <v>0</v>
      </c>
      <c r="U80" s="3">
        <f>infections!U80-infections!T80</f>
        <v>0</v>
      </c>
      <c r="V80" s="3">
        <f>infections!V80-infections!U80</f>
        <v>0</v>
      </c>
      <c r="W80" s="3">
        <f>infections!W80-infections!V80</f>
        <v>0</v>
      </c>
      <c r="X80" s="3">
        <f>infections!X80-infections!W80</f>
        <v>0</v>
      </c>
      <c r="Y80" s="3">
        <f>infections!Y80-infections!X80</f>
        <v>0</v>
      </c>
      <c r="Z80" s="3">
        <f>infections!Z80-infections!Y80</f>
        <v>0</v>
      </c>
      <c r="AA80" s="3">
        <f>infections!AA80-infections!Z80</f>
        <v>0</v>
      </c>
      <c r="AB80" s="3">
        <f>infections!AB80-infections!AA80</f>
        <v>0</v>
      </c>
      <c r="AC80" s="3">
        <f>infections!AC80-infections!AB80</f>
        <v>0</v>
      </c>
      <c r="AD80" s="3">
        <f>infections!AD80-infections!AC80</f>
        <v>0</v>
      </c>
      <c r="AE80" s="3">
        <f>infections!AE80-infections!AD80</f>
        <v>0</v>
      </c>
      <c r="AF80" s="3">
        <f>infections!AF80-infections!AE80</f>
        <v>0</v>
      </c>
      <c r="AG80" s="3">
        <f>infections!AG80-infections!AF80</f>
        <v>0</v>
      </c>
      <c r="AH80" s="3">
        <f>infections!AH80-infections!AG80</f>
        <v>0</v>
      </c>
      <c r="AI80" s="3">
        <f>infections!AI80-infections!AH80</f>
        <v>0</v>
      </c>
      <c r="AJ80" s="3">
        <f>infections!AJ80-infections!AI80</f>
        <v>0</v>
      </c>
      <c r="AK80" s="3">
        <f>infections!AK80-infections!AJ80</f>
        <v>0</v>
      </c>
      <c r="AL80" s="3">
        <f>infections!AL80-infections!AK80</f>
        <v>0</v>
      </c>
      <c r="AM80" s="3">
        <f>infections!AM80-infections!AL80</f>
        <v>0</v>
      </c>
      <c r="AN80" s="3">
        <f>infections!AN80-infections!AM80</f>
        <v>0</v>
      </c>
      <c r="AO80" s="3">
        <f>infections!AO80-infections!AN80</f>
        <v>0</v>
      </c>
      <c r="AP80" s="3">
        <f>infections!AP80-infections!AO80</f>
        <v>0</v>
      </c>
      <c r="AQ80" s="3">
        <f>infections!AQ80-infections!AP80</f>
        <v>0</v>
      </c>
      <c r="AR80" s="3">
        <f>infections!AR80-infections!AQ80</f>
        <v>0</v>
      </c>
      <c r="AS80" s="3">
        <f>infections!AS80-infections!AR80</f>
        <v>0</v>
      </c>
      <c r="AT80" s="3">
        <f>infections!AT80-infections!AS80</f>
        <v>0</v>
      </c>
      <c r="AU80" s="3">
        <f>infections!AU80-infections!AT80</f>
        <v>0</v>
      </c>
      <c r="AV80" s="3">
        <f>infections!AV80-infections!AU80</f>
        <v>0</v>
      </c>
      <c r="AW80" s="3">
        <f>infections!AW80-infections!AV80</f>
        <v>0</v>
      </c>
      <c r="AX80" s="3">
        <f>infections!AX80-infections!AW80</f>
        <v>0</v>
      </c>
      <c r="AY80" s="3">
        <f>infections!AY80-infections!AX80</f>
        <v>0</v>
      </c>
      <c r="AZ80" s="3">
        <f>infections!AZ80-infections!AY80</f>
        <v>0</v>
      </c>
      <c r="BA80" s="3">
        <f>infections!BA80-infections!AZ80</f>
        <v>0</v>
      </c>
      <c r="BB80" s="3">
        <f>infections!BB80-infections!BA80</f>
        <v>0</v>
      </c>
      <c r="BC80" s="3">
        <f>infections!BC80-infections!BB80</f>
        <v>0</v>
      </c>
      <c r="BD80" s="3">
        <f>infections!BD80-infections!BC80</f>
        <v>0</v>
      </c>
      <c r="BE80" s="3">
        <f>infections!BE80-infections!BD80</f>
        <v>0</v>
      </c>
      <c r="BF80" s="3">
        <f>infections!BF80-infections!BE80</f>
        <v>0</v>
      </c>
      <c r="BG80" s="3">
        <f>infections!BG80-infections!BF80</f>
        <v>0</v>
      </c>
      <c r="BH80" s="3">
        <f>infections!BH80-infections!BG80</f>
        <v>0</v>
      </c>
      <c r="BI80" s="3">
        <f>infections!BI80-infections!BH80</f>
        <v>0</v>
      </c>
      <c r="BJ80" s="3">
        <f>infections!BJ80-infections!BI80</f>
        <v>0</v>
      </c>
      <c r="BK80" s="3">
        <f>infections!BK80-infections!BJ80</f>
        <v>0</v>
      </c>
      <c r="BL80" s="3">
        <f>infections!BL80-infections!BK80</f>
        <v>0</v>
      </c>
      <c r="BM80" s="3">
        <f>infections!BM80-infections!BL80</f>
        <v>0</v>
      </c>
      <c r="BN80" s="3">
        <f>infections!BN80-infections!BM80</f>
        <v>0</v>
      </c>
      <c r="BO80" s="3">
        <f>infections!BO80-infections!BN80</f>
        <v>0</v>
      </c>
      <c r="BP80" s="3">
        <f>infections!BP80-infections!BO80</f>
        <v>0</v>
      </c>
      <c r="BQ80" s="3">
        <f>infections!BQ80-infections!BP80</f>
        <v>0</v>
      </c>
      <c r="BR80" s="3">
        <f>infections!BR80-infections!BQ80</f>
        <v>0</v>
      </c>
      <c r="BS80" s="3">
        <f>infections!BS80-infections!BR80</f>
        <v>0</v>
      </c>
      <c r="BT80" s="3">
        <f>infections!BT80-infections!BS80</f>
        <v>0</v>
      </c>
      <c r="BU80" s="3">
        <f>infections!BU80-infections!BT80</f>
        <v>0</v>
      </c>
      <c r="BV80" s="3">
        <f>infections!BV80-infections!BU80</f>
        <v>0</v>
      </c>
      <c r="BW80" s="3">
        <f>infections!BW80-infections!BV80</f>
        <v>0</v>
      </c>
      <c r="BX80" s="3">
        <f>infections!BX80-infections!BW80</f>
        <v>0</v>
      </c>
      <c r="BY80" s="3">
        <f>infections!BY80-infections!BX80</f>
        <v>0</v>
      </c>
    </row>
    <row r="81">
      <c r="B81" s="1" t="str">
        <f>infections!B81</f>
        <v>China</v>
      </c>
      <c r="C81" s="4">
        <f>infections!C81</f>
        <v>41.1129</v>
      </c>
      <c r="D81" s="4">
        <f>infections!D81</f>
        <v>85.2401</v>
      </c>
      <c r="E81" s="4">
        <f>infections!E81</f>
        <v>0</v>
      </c>
      <c r="F81" s="3">
        <f>infections!F81-infections!E81</f>
        <v>2</v>
      </c>
      <c r="G81" s="3">
        <f>infections!G81-infections!F81</f>
        <v>0</v>
      </c>
      <c r="H81" s="3">
        <f>infections!H81-infections!G81</f>
        <v>1</v>
      </c>
      <c r="I81" s="3">
        <f>infections!I81-infections!H81</f>
        <v>1</v>
      </c>
      <c r="J81" s="3">
        <f>infections!J81-infections!I81</f>
        <v>1</v>
      </c>
      <c r="K81" s="3">
        <f>infections!K81-infections!J81</f>
        <v>5</v>
      </c>
      <c r="L81" s="3">
        <f>infections!L81-infections!K81</f>
        <v>3</v>
      </c>
      <c r="M81" s="3">
        <f>infections!M81-infections!L81</f>
        <v>1</v>
      </c>
      <c r="N81" s="3">
        <f>infections!N81-infections!M81</f>
        <v>3</v>
      </c>
      <c r="O81" s="3">
        <f>infections!O81-infections!N81</f>
        <v>1</v>
      </c>
      <c r="P81" s="3">
        <f>infections!P81-infections!O81</f>
        <v>3</v>
      </c>
      <c r="Q81" s="3">
        <f>infections!Q81-infections!P81</f>
        <v>3</v>
      </c>
      <c r="R81" s="3">
        <f>infections!R81-infections!Q81</f>
        <v>5</v>
      </c>
      <c r="S81" s="3">
        <f>infections!S81-infections!R81</f>
        <v>3</v>
      </c>
      <c r="T81" s="3">
        <f>infections!T81-infections!S81</f>
        <v>4</v>
      </c>
      <c r="U81" s="3">
        <f>infections!U81-infections!T81</f>
        <v>3</v>
      </c>
      <c r="V81" s="3">
        <f>infections!V81-infections!U81</f>
        <v>3</v>
      </c>
      <c r="W81" s="3">
        <f>infections!W81-infections!V81</f>
        <v>3</v>
      </c>
      <c r="X81" s="3">
        <f>infections!X81-infections!W81</f>
        <v>4</v>
      </c>
      <c r="Y81" s="3">
        <f>infections!Y81-infections!X81</f>
        <v>6</v>
      </c>
      <c r="Z81" s="3">
        <f>infections!Z81-infections!Y81</f>
        <v>4</v>
      </c>
      <c r="AA81" s="3">
        <f>infections!AA81-infections!Z81</f>
        <v>4</v>
      </c>
      <c r="AB81" s="3">
        <f>infections!AB81-infections!AA81</f>
        <v>2</v>
      </c>
      <c r="AC81" s="3">
        <f>infections!AC81-infections!AB81</f>
        <v>5</v>
      </c>
      <c r="AD81" s="3">
        <f>infections!AD81-infections!AC81</f>
        <v>1</v>
      </c>
      <c r="AE81" s="3">
        <f>infections!AE81-infections!AD81</f>
        <v>4</v>
      </c>
      <c r="AF81" s="3">
        <f>infections!AF81-infections!AE81</f>
        <v>1</v>
      </c>
      <c r="AG81" s="3">
        <f>infections!AG81-infections!AF81</f>
        <v>0</v>
      </c>
      <c r="AH81" s="3">
        <f>infections!AH81-infections!AG81</f>
        <v>0</v>
      </c>
      <c r="AI81" s="3">
        <f>infections!AI81-infections!AH81</f>
        <v>0</v>
      </c>
      <c r="AJ81" s="3">
        <f>infections!AJ81-infections!AI81</f>
        <v>0</v>
      </c>
      <c r="AK81" s="3">
        <f>infections!AK81-infections!AJ81</f>
        <v>0</v>
      </c>
      <c r="AL81" s="3">
        <f>infections!AL81-infections!AK81</f>
        <v>0</v>
      </c>
      <c r="AM81" s="3">
        <f>infections!AM81-infections!AL81</f>
        <v>0</v>
      </c>
      <c r="AN81" s="3">
        <f>infections!AN81-infections!AM81</f>
        <v>0</v>
      </c>
      <c r="AO81" s="3">
        <f>infections!AO81-infections!AN81</f>
        <v>0</v>
      </c>
      <c r="AP81" s="3">
        <f>infections!AP81-infections!AO81</f>
        <v>0</v>
      </c>
      <c r="AQ81" s="3">
        <f>infections!AQ81-infections!AP81</f>
        <v>0</v>
      </c>
      <c r="AR81" s="3">
        <f>infections!AR81-infections!AQ81</f>
        <v>0</v>
      </c>
      <c r="AS81" s="3">
        <f>infections!AS81-infections!AR81</f>
        <v>0</v>
      </c>
      <c r="AT81" s="3">
        <f>infections!AT81-infections!AS81</f>
        <v>0</v>
      </c>
      <c r="AU81" s="3">
        <f>infections!AU81-infections!AT81</f>
        <v>0</v>
      </c>
      <c r="AV81" s="3">
        <f>infections!AV81-infections!AU81</f>
        <v>0</v>
      </c>
      <c r="AW81" s="3">
        <f>infections!AW81-infections!AV81</f>
        <v>0</v>
      </c>
      <c r="AX81" s="3">
        <f>infections!AX81-infections!AW81</f>
        <v>0</v>
      </c>
      <c r="AY81" s="3">
        <f>infections!AY81-infections!AX81</f>
        <v>0</v>
      </c>
      <c r="AZ81" s="3">
        <f>infections!AZ81-infections!AY81</f>
        <v>0</v>
      </c>
      <c r="BA81" s="3">
        <f>infections!BA81-infections!AZ81</f>
        <v>0</v>
      </c>
      <c r="BB81" s="3">
        <f>infections!BB81-infections!BA81</f>
        <v>0</v>
      </c>
      <c r="BC81" s="3">
        <f>infections!BC81-infections!BB81</f>
        <v>0</v>
      </c>
      <c r="BD81" s="3">
        <f>infections!BD81-infections!BC81</f>
        <v>0</v>
      </c>
      <c r="BE81" s="3">
        <f>infections!BE81-infections!BD81</f>
        <v>0</v>
      </c>
      <c r="BF81" s="3">
        <f>infections!BF81-infections!BE81</f>
        <v>0</v>
      </c>
      <c r="BG81" s="3">
        <f>infections!BG81-infections!BF81</f>
        <v>0</v>
      </c>
      <c r="BH81" s="3">
        <f>infections!BH81-infections!BG81</f>
        <v>0</v>
      </c>
      <c r="BI81" s="3">
        <f>infections!BI81-infections!BH81</f>
        <v>0</v>
      </c>
      <c r="BJ81" s="3">
        <f>infections!BJ81-infections!BI81</f>
        <v>0</v>
      </c>
      <c r="BK81" s="3">
        <f>infections!BK81-infections!BJ81</f>
        <v>0</v>
      </c>
      <c r="BL81" s="3">
        <f>infections!BL81-infections!BK81</f>
        <v>0</v>
      </c>
      <c r="BM81" s="3">
        <f>infections!BM81-infections!BL81</f>
        <v>0</v>
      </c>
      <c r="BN81" s="3">
        <f>infections!BN81-infections!BM81</f>
        <v>0</v>
      </c>
      <c r="BO81" s="3">
        <f>infections!BO81-infections!BN81</f>
        <v>0</v>
      </c>
      <c r="BP81" s="3">
        <f>infections!BP81-infections!BO81</f>
        <v>0</v>
      </c>
      <c r="BQ81" s="3">
        <f>infections!BQ81-infections!BP81</f>
        <v>0</v>
      </c>
      <c r="BR81" s="3">
        <f>infections!BR81-infections!BQ81</f>
        <v>0</v>
      </c>
      <c r="BS81" s="3">
        <f>infections!BS81-infections!BR81</f>
        <v>0</v>
      </c>
      <c r="BT81" s="3">
        <f>infections!BT81-infections!BS81</f>
        <v>0</v>
      </c>
      <c r="BU81" s="3">
        <f>infections!BU81-infections!BT81</f>
        <v>0</v>
      </c>
      <c r="BV81" s="3">
        <f>infections!BV81-infections!BU81</f>
        <v>0</v>
      </c>
      <c r="BW81" s="3">
        <f>infections!BW81-infections!BV81</f>
        <v>0</v>
      </c>
      <c r="BX81" s="3">
        <f>infections!BX81-infections!BW81</f>
        <v>0</v>
      </c>
      <c r="BY81" s="3">
        <f>infections!BY81-infections!BX81</f>
        <v>0</v>
      </c>
    </row>
    <row r="82">
      <c r="B82" s="1" t="str">
        <f>infections!B82</f>
        <v>China</v>
      </c>
      <c r="C82" s="4">
        <f>infections!C82</f>
        <v>24.974</v>
      </c>
      <c r="D82" s="4">
        <f>infections!D82</f>
        <v>101.487</v>
      </c>
      <c r="E82" s="4">
        <f>infections!E82</f>
        <v>1</v>
      </c>
      <c r="F82" s="3">
        <f>infections!F82-infections!E82</f>
        <v>1</v>
      </c>
      <c r="G82" s="3">
        <f>infections!G82-infections!F82</f>
        <v>3</v>
      </c>
      <c r="H82" s="3">
        <f>infections!H82-infections!G82</f>
        <v>6</v>
      </c>
      <c r="I82" s="3">
        <f>infections!I82-infections!H82</f>
        <v>5</v>
      </c>
      <c r="J82" s="3">
        <f>infections!J82-infections!I82</f>
        <v>10</v>
      </c>
      <c r="K82" s="3">
        <f>infections!K82-infections!J82</f>
        <v>18</v>
      </c>
      <c r="L82" s="3">
        <f>infections!L82-infections!K82</f>
        <v>11</v>
      </c>
      <c r="M82" s="3">
        <f>infections!M82-infections!L82</f>
        <v>15</v>
      </c>
      <c r="N82" s="3">
        <f>infections!N82-infections!M82</f>
        <v>13</v>
      </c>
      <c r="O82" s="3">
        <f>infections!O82-infections!N82</f>
        <v>10</v>
      </c>
      <c r="P82" s="3">
        <f>infections!P82-infections!O82</f>
        <v>12</v>
      </c>
      <c r="Q82" s="3">
        <f>infections!Q82-infections!P82</f>
        <v>12</v>
      </c>
      <c r="R82" s="3">
        <f>infections!R82-infections!Q82</f>
        <v>5</v>
      </c>
      <c r="S82" s="3">
        <f>infections!S82-infections!R82</f>
        <v>6</v>
      </c>
      <c r="T82" s="3">
        <f>infections!T82-infections!S82</f>
        <v>5</v>
      </c>
      <c r="U82" s="3">
        <f>infections!U82-infections!T82</f>
        <v>5</v>
      </c>
      <c r="V82" s="3">
        <f>infections!V82-infections!U82</f>
        <v>0</v>
      </c>
      <c r="W82" s="3">
        <f>infections!W82-infections!V82</f>
        <v>3</v>
      </c>
      <c r="X82" s="3">
        <f>infections!X82-infections!W82</f>
        <v>8</v>
      </c>
      <c r="Y82" s="3">
        <f>infections!Y82-infections!X82</f>
        <v>4</v>
      </c>
      <c r="Z82" s="3">
        <f>infections!Z82-infections!Y82</f>
        <v>1</v>
      </c>
      <c r="AA82" s="3">
        <f>infections!AA82-infections!Z82</f>
        <v>2</v>
      </c>
      <c r="AB82" s="3">
        <f>infections!AB82-infections!AA82</f>
        <v>6</v>
      </c>
      <c r="AC82" s="3">
        <f>infections!AC82-infections!AB82</f>
        <v>6</v>
      </c>
      <c r="AD82" s="3">
        <f>infections!AD82-infections!AC82</f>
        <v>3</v>
      </c>
      <c r="AE82" s="3">
        <f>infections!AE82-infections!AD82</f>
        <v>0</v>
      </c>
      <c r="AF82" s="3">
        <f>infections!AF82-infections!AE82</f>
        <v>1</v>
      </c>
      <c r="AG82" s="3">
        <f>infections!AG82-infections!AF82</f>
        <v>0</v>
      </c>
      <c r="AH82" s="3">
        <f>infections!AH82-infections!AG82</f>
        <v>2</v>
      </c>
      <c r="AI82" s="3">
        <f>infections!AI82-infections!AH82</f>
        <v>0</v>
      </c>
      <c r="AJ82" s="3">
        <f>infections!AJ82-infections!AI82</f>
        <v>0</v>
      </c>
      <c r="AK82" s="3">
        <f>infections!AK82-infections!AJ82</f>
        <v>0</v>
      </c>
      <c r="AL82" s="3">
        <f>infections!AL82-infections!AK82</f>
        <v>0</v>
      </c>
      <c r="AM82" s="3">
        <f>infections!AM82-infections!AL82</f>
        <v>0</v>
      </c>
      <c r="AN82" s="3">
        <f>infections!AN82-infections!AM82</f>
        <v>0</v>
      </c>
      <c r="AO82" s="3">
        <f>infections!AO82-infections!AN82</f>
        <v>0</v>
      </c>
      <c r="AP82" s="3">
        <f>infections!AP82-infections!AO82</f>
        <v>0</v>
      </c>
      <c r="AQ82" s="3">
        <f>infections!AQ82-infections!AP82</f>
        <v>0</v>
      </c>
      <c r="AR82" s="3">
        <f>infections!AR82-infections!AQ82</f>
        <v>0</v>
      </c>
      <c r="AS82" s="3">
        <f>infections!AS82-infections!AR82</f>
        <v>0</v>
      </c>
      <c r="AT82" s="3">
        <f>infections!AT82-infections!AS82</f>
        <v>0</v>
      </c>
      <c r="AU82" s="3">
        <f>infections!AU82-infections!AT82</f>
        <v>0</v>
      </c>
      <c r="AV82" s="3">
        <f>infections!AV82-infections!AU82</f>
        <v>0</v>
      </c>
      <c r="AW82" s="3">
        <f>infections!AW82-infections!AV82</f>
        <v>0</v>
      </c>
      <c r="AX82" s="3">
        <f>infections!AX82-infections!AW82</f>
        <v>0</v>
      </c>
      <c r="AY82" s="3">
        <f>infections!AY82-infections!AX82</f>
        <v>0</v>
      </c>
      <c r="AZ82" s="3">
        <f>infections!AZ82-infections!AY82</f>
        <v>0</v>
      </c>
      <c r="BA82" s="3">
        <f>infections!BA82-infections!AZ82</f>
        <v>0</v>
      </c>
      <c r="BB82" s="3">
        <f>infections!BB82-infections!BA82</f>
        <v>0</v>
      </c>
      <c r="BC82" s="3">
        <f>infections!BC82-infections!BB82</f>
        <v>0</v>
      </c>
      <c r="BD82" s="3">
        <f>infections!BD82-infections!BC82</f>
        <v>0</v>
      </c>
      <c r="BE82" s="3">
        <f>infections!BE82-infections!BD82</f>
        <v>0</v>
      </c>
      <c r="BF82" s="3">
        <f>infections!BF82-infections!BE82</f>
        <v>0</v>
      </c>
      <c r="BG82" s="3">
        <f>infections!BG82-infections!BF82</f>
        <v>2</v>
      </c>
      <c r="BH82" s="3">
        <f>infections!BH82-infections!BG82</f>
        <v>0</v>
      </c>
      <c r="BI82" s="3">
        <f>infections!BI82-infections!BH82</f>
        <v>0</v>
      </c>
      <c r="BJ82" s="3">
        <f>infections!BJ82-infections!BI82</f>
        <v>0</v>
      </c>
      <c r="BK82" s="3">
        <f>infections!BK82-infections!BJ82</f>
        <v>0</v>
      </c>
      <c r="BL82" s="3">
        <f>infections!BL82-infections!BK82</f>
        <v>0</v>
      </c>
      <c r="BM82" s="3">
        <f>infections!BM82-infections!BL82</f>
        <v>0</v>
      </c>
      <c r="BN82" s="3">
        <f>infections!BN82-infections!BM82</f>
        <v>0</v>
      </c>
      <c r="BO82" s="3">
        <f>infections!BO82-infections!BN82</f>
        <v>0</v>
      </c>
      <c r="BP82" s="3">
        <f>infections!BP82-infections!BO82</f>
        <v>0</v>
      </c>
      <c r="BQ82" s="3">
        <f>infections!BQ82-infections!BP82</f>
        <v>2</v>
      </c>
      <c r="BR82" s="3">
        <f>infections!BR82-infections!BQ82</f>
        <v>2</v>
      </c>
      <c r="BS82" s="3">
        <f>infections!BS82-infections!BR82</f>
        <v>0</v>
      </c>
      <c r="BT82" s="3">
        <f>infections!BT82-infections!BS82</f>
        <v>0</v>
      </c>
      <c r="BU82" s="3">
        <f>infections!BU82-infections!BT82</f>
        <v>0</v>
      </c>
      <c r="BV82" s="3">
        <f>infections!BV82-infections!BU82</f>
        <v>2</v>
      </c>
      <c r="BW82" s="3">
        <f>infections!BW82-infections!BV82</f>
        <v>0</v>
      </c>
      <c r="BX82" s="3">
        <f>infections!BX82-infections!BW82</f>
        <v>1</v>
      </c>
      <c r="BY82" s="3">
        <f>infections!BY82-infections!BX82</f>
        <v>1</v>
      </c>
    </row>
    <row r="83">
      <c r="B83" s="1" t="str">
        <f>infections!B83</f>
        <v>China</v>
      </c>
      <c r="C83" s="4">
        <f>infections!C83</f>
        <v>29.1832</v>
      </c>
      <c r="D83" s="4">
        <f>infections!D83</f>
        <v>120.0934</v>
      </c>
      <c r="E83" s="4">
        <f>infections!E83</f>
        <v>10</v>
      </c>
      <c r="F83" s="3">
        <f>infections!F83-infections!E83</f>
        <v>17</v>
      </c>
      <c r="G83" s="3">
        <f>infections!G83-infections!F83</f>
        <v>16</v>
      </c>
      <c r="H83" s="3">
        <f>infections!H83-infections!G83</f>
        <v>19</v>
      </c>
      <c r="I83" s="3">
        <f>infections!I83-infections!H83</f>
        <v>42</v>
      </c>
      <c r="J83" s="3">
        <f>infections!J83-infections!I83</f>
        <v>24</v>
      </c>
      <c r="K83" s="3">
        <f>infections!K83-infections!J83</f>
        <v>45</v>
      </c>
      <c r="L83" s="3">
        <f>infections!L83-infections!K83</f>
        <v>123</v>
      </c>
      <c r="M83" s="3">
        <f>infections!M83-infections!L83</f>
        <v>132</v>
      </c>
      <c r="N83" s="3">
        <f>infections!N83-infections!M83</f>
        <v>110</v>
      </c>
      <c r="O83" s="3">
        <f>infections!O83-infections!N83</f>
        <v>61</v>
      </c>
      <c r="P83" s="3">
        <f>infections!P83-infections!O83</f>
        <v>62</v>
      </c>
      <c r="Q83" s="3">
        <f>infections!Q83-infections!P83</f>
        <v>63</v>
      </c>
      <c r="R83" s="3">
        <f>infections!R83-infections!Q83</f>
        <v>105</v>
      </c>
      <c r="S83" s="3">
        <f>infections!S83-infections!R83</f>
        <v>66</v>
      </c>
      <c r="T83" s="3">
        <f>infections!T83-infections!S83</f>
        <v>59</v>
      </c>
      <c r="U83" s="3">
        <f>infections!U83-infections!T83</f>
        <v>52</v>
      </c>
      <c r="V83" s="3">
        <f>infections!V83-infections!U83</f>
        <v>42</v>
      </c>
      <c r="W83" s="3">
        <f>infections!W83-infections!V83</f>
        <v>27</v>
      </c>
      <c r="X83" s="3">
        <f>infections!X83-infections!W83</f>
        <v>17</v>
      </c>
      <c r="Y83" s="3">
        <f>infections!Y83-infections!X83</f>
        <v>25</v>
      </c>
      <c r="Z83" s="3">
        <f>infections!Z83-infections!Y83</f>
        <v>14</v>
      </c>
      <c r="AA83" s="3">
        <f>infections!AA83-infections!Z83</f>
        <v>14</v>
      </c>
      <c r="AB83" s="3">
        <f>infections!AB83-infections!AA83</f>
        <v>10</v>
      </c>
      <c r="AC83" s="3">
        <f>infections!AC83-infections!AB83</f>
        <v>7</v>
      </c>
      <c r="AD83" s="3">
        <f>infections!AD83-infections!AC83</f>
        <v>5</v>
      </c>
      <c r="AE83" s="3">
        <f>infections!AE83-infections!AD83</f>
        <v>4</v>
      </c>
      <c r="AF83" s="3">
        <f>infections!AF83-infections!AE83</f>
        <v>1</v>
      </c>
      <c r="AG83" s="3">
        <f>infections!AG83-infections!AF83</f>
        <v>2</v>
      </c>
      <c r="AH83" s="3">
        <f>infections!AH83-infections!AG83</f>
        <v>1</v>
      </c>
      <c r="AI83" s="3">
        <f>infections!AI83-infections!AH83</f>
        <v>28</v>
      </c>
      <c r="AJ83" s="3">
        <f>infections!AJ83-infections!AI83</f>
        <v>2</v>
      </c>
      <c r="AK83" s="3">
        <f>infections!AK83-infections!AJ83</f>
        <v>0</v>
      </c>
      <c r="AL83" s="3">
        <f>infections!AL83-infections!AK83</f>
        <v>0</v>
      </c>
      <c r="AM83" s="3">
        <f>infections!AM83-infections!AL83</f>
        <v>0</v>
      </c>
      <c r="AN83" s="3">
        <f>infections!AN83-infections!AM83</f>
        <v>0</v>
      </c>
      <c r="AO83" s="3">
        <f>infections!AO83-infections!AN83</f>
        <v>0</v>
      </c>
      <c r="AP83" s="3">
        <f>infections!AP83-infections!AO83</f>
        <v>0</v>
      </c>
      <c r="AQ83" s="3">
        <f>infections!AQ83-infections!AP83</f>
        <v>0</v>
      </c>
      <c r="AR83" s="3">
        <f>infections!AR83-infections!AQ83</f>
        <v>0</v>
      </c>
      <c r="AS83" s="3">
        <f>infections!AS83-infections!AR83</f>
        <v>1</v>
      </c>
      <c r="AT83" s="3">
        <f>infections!AT83-infections!AS83</f>
        <v>7</v>
      </c>
      <c r="AU83" s="3">
        <f>infections!AU83-infections!AT83</f>
        <v>0</v>
      </c>
      <c r="AV83" s="3">
        <f>infections!AV83-infections!AU83</f>
        <v>2</v>
      </c>
      <c r="AW83" s="3">
        <f>infections!AW83-infections!AV83</f>
        <v>0</v>
      </c>
      <c r="AX83" s="3">
        <f>infections!AX83-infections!AW83</f>
        <v>0</v>
      </c>
      <c r="AY83" s="3">
        <f>infections!AY83-infections!AX83</f>
        <v>0</v>
      </c>
      <c r="AZ83" s="3">
        <f>infections!AZ83-infections!AY83</f>
        <v>0</v>
      </c>
      <c r="BA83" s="3">
        <f>infections!BA83-infections!AZ83</f>
        <v>0</v>
      </c>
      <c r="BB83" s="3">
        <f>infections!BB83-infections!BA83</f>
        <v>0</v>
      </c>
      <c r="BC83" s="3">
        <f>infections!BC83-infections!BB83</f>
        <v>0</v>
      </c>
      <c r="BD83" s="3">
        <f>infections!BD83-infections!BC83</f>
        <v>0</v>
      </c>
      <c r="BE83" s="3">
        <f>infections!BE83-infections!BD83</f>
        <v>12</v>
      </c>
      <c r="BF83" s="3">
        <f>infections!BF83-infections!BE83</f>
        <v>4</v>
      </c>
      <c r="BG83" s="3">
        <f>infections!BG83-infections!BF83</f>
        <v>0</v>
      </c>
      <c r="BH83" s="3">
        <f>infections!BH83-infections!BG83</f>
        <v>1</v>
      </c>
      <c r="BI83" s="3">
        <f>infections!BI83-infections!BH83</f>
        <v>0</v>
      </c>
      <c r="BJ83" s="3">
        <f>infections!BJ83-infections!BI83</f>
        <v>1</v>
      </c>
      <c r="BK83" s="3">
        <f>infections!BK83-infections!BJ83</f>
        <v>1</v>
      </c>
      <c r="BL83" s="3">
        <f>infections!BL83-infections!BK83</f>
        <v>2</v>
      </c>
      <c r="BM83" s="3">
        <f>infections!BM83-infections!BL83</f>
        <v>2</v>
      </c>
      <c r="BN83" s="3">
        <f>infections!BN83-infections!BM83</f>
        <v>0</v>
      </c>
      <c r="BO83" s="3">
        <f>infections!BO83-infections!BN83</f>
        <v>2</v>
      </c>
      <c r="BP83" s="3">
        <f>infections!BP83-infections!BO83</f>
        <v>1</v>
      </c>
      <c r="BQ83" s="3">
        <f>infections!BQ83-infections!BP83</f>
        <v>2</v>
      </c>
      <c r="BR83" s="3">
        <f>infections!BR83-infections!BQ83</f>
        <v>4</v>
      </c>
      <c r="BS83" s="3">
        <f>infections!BS83-infections!BR83</f>
        <v>4</v>
      </c>
      <c r="BT83" s="3">
        <f>infections!BT83-infections!BS83</f>
        <v>3</v>
      </c>
      <c r="BU83" s="3">
        <f>infections!BU83-infections!BT83</f>
        <v>1</v>
      </c>
      <c r="BV83" s="3">
        <f>infections!BV83-infections!BU83</f>
        <v>2</v>
      </c>
      <c r="BW83" s="3">
        <f>infections!BW83-infections!BV83</f>
        <v>0</v>
      </c>
      <c r="BX83" s="3">
        <f>infections!BX83-infections!BW83</f>
        <v>1</v>
      </c>
      <c r="BY83" s="3">
        <f>infections!BY83-infections!BX83</f>
        <v>2</v>
      </c>
    </row>
    <row r="84">
      <c r="B84" s="1" t="str">
        <f>infections!B84</f>
        <v>Colombia</v>
      </c>
      <c r="C84" s="4">
        <f>infections!C84</f>
        <v>4.5709</v>
      </c>
      <c r="D84" s="4">
        <f>infections!D84</f>
        <v>-74.2973</v>
      </c>
      <c r="E84" s="4">
        <f>infections!E84</f>
        <v>0</v>
      </c>
      <c r="F84" s="3">
        <f>infections!F84-infections!E84</f>
        <v>0</v>
      </c>
      <c r="G84" s="3">
        <f>infections!G84-infections!F84</f>
        <v>0</v>
      </c>
      <c r="H84" s="3">
        <f>infections!H84-infections!G84</f>
        <v>0</v>
      </c>
      <c r="I84" s="3">
        <f>infections!I84-infections!H84</f>
        <v>0</v>
      </c>
      <c r="J84" s="3">
        <f>infections!J84-infections!I84</f>
        <v>0</v>
      </c>
      <c r="K84" s="3">
        <f>infections!K84-infections!J84</f>
        <v>0</v>
      </c>
      <c r="L84" s="3">
        <f>infections!L84-infections!K84</f>
        <v>0</v>
      </c>
      <c r="M84" s="3">
        <f>infections!M84-infections!L84</f>
        <v>0</v>
      </c>
      <c r="N84" s="3">
        <f>infections!N84-infections!M84</f>
        <v>0</v>
      </c>
      <c r="O84" s="3">
        <f>infections!O84-infections!N84</f>
        <v>0</v>
      </c>
      <c r="P84" s="3">
        <f>infections!P84-infections!O84</f>
        <v>0</v>
      </c>
      <c r="Q84" s="3">
        <f>infections!Q84-infections!P84</f>
        <v>0</v>
      </c>
      <c r="R84" s="3">
        <f>infections!R84-infections!Q84</f>
        <v>0</v>
      </c>
      <c r="S84" s="3">
        <f>infections!S84-infections!R84</f>
        <v>0</v>
      </c>
      <c r="T84" s="3">
        <f>infections!T84-infections!S84</f>
        <v>0</v>
      </c>
      <c r="U84" s="3">
        <f>infections!U84-infections!T84</f>
        <v>0</v>
      </c>
      <c r="V84" s="3">
        <f>infections!V84-infections!U84</f>
        <v>0</v>
      </c>
      <c r="W84" s="3">
        <f>infections!W84-infections!V84</f>
        <v>0</v>
      </c>
      <c r="X84" s="3">
        <f>infections!X84-infections!W84</f>
        <v>0</v>
      </c>
      <c r="Y84" s="3">
        <f>infections!Y84-infections!X84</f>
        <v>0</v>
      </c>
      <c r="Z84" s="3">
        <f>infections!Z84-infections!Y84</f>
        <v>0</v>
      </c>
      <c r="AA84" s="3">
        <f>infections!AA84-infections!Z84</f>
        <v>0</v>
      </c>
      <c r="AB84" s="3">
        <f>infections!AB84-infections!AA84</f>
        <v>0</v>
      </c>
      <c r="AC84" s="3">
        <f>infections!AC84-infections!AB84</f>
        <v>0</v>
      </c>
      <c r="AD84" s="3">
        <f>infections!AD84-infections!AC84</f>
        <v>0</v>
      </c>
      <c r="AE84" s="3">
        <f>infections!AE84-infections!AD84</f>
        <v>0</v>
      </c>
      <c r="AF84" s="3">
        <f>infections!AF84-infections!AE84</f>
        <v>0</v>
      </c>
      <c r="AG84" s="3">
        <f>infections!AG84-infections!AF84</f>
        <v>0</v>
      </c>
      <c r="AH84" s="3">
        <f>infections!AH84-infections!AG84</f>
        <v>0</v>
      </c>
      <c r="AI84" s="3">
        <f>infections!AI84-infections!AH84</f>
        <v>0</v>
      </c>
      <c r="AJ84" s="3">
        <f>infections!AJ84-infections!AI84</f>
        <v>0</v>
      </c>
      <c r="AK84" s="3">
        <f>infections!AK84-infections!AJ84</f>
        <v>0</v>
      </c>
      <c r="AL84" s="3">
        <f>infections!AL84-infections!AK84</f>
        <v>0</v>
      </c>
      <c r="AM84" s="3">
        <f>infections!AM84-infections!AL84</f>
        <v>0</v>
      </c>
      <c r="AN84" s="3">
        <f>infections!AN84-infections!AM84</f>
        <v>0</v>
      </c>
      <c r="AO84" s="3">
        <f>infections!AO84-infections!AN84</f>
        <v>0</v>
      </c>
      <c r="AP84" s="3">
        <f>infections!AP84-infections!AO84</f>
        <v>0</v>
      </c>
      <c r="AQ84" s="3">
        <f>infections!AQ84-infections!AP84</f>
        <v>0</v>
      </c>
      <c r="AR84" s="3">
        <f>infections!AR84-infections!AQ84</f>
        <v>0</v>
      </c>
      <c r="AS84" s="3">
        <f>infections!AS84-infections!AR84</f>
        <v>0</v>
      </c>
      <c r="AT84" s="3">
        <f>infections!AT84-infections!AS84</f>
        <v>0</v>
      </c>
      <c r="AU84" s="3">
        <f>infections!AU84-infections!AT84</f>
        <v>0</v>
      </c>
      <c r="AV84" s="3">
        <f>infections!AV84-infections!AU84</f>
        <v>0</v>
      </c>
      <c r="AW84" s="3">
        <f>infections!AW84-infections!AV84</f>
        <v>1</v>
      </c>
      <c r="AX84" s="3">
        <f>infections!AX84-infections!AW84</f>
        <v>0</v>
      </c>
      <c r="AY84" s="3">
        <f>infections!AY84-infections!AX84</f>
        <v>0</v>
      </c>
      <c r="AZ84" s="3">
        <f>infections!AZ84-infections!AY84</f>
        <v>0</v>
      </c>
      <c r="BA84" s="3">
        <f>infections!BA84-infections!AZ84</f>
        <v>2</v>
      </c>
      <c r="BB84" s="3">
        <f>infections!BB84-infections!BA84</f>
        <v>6</v>
      </c>
      <c r="BC84" s="3">
        <f>infections!BC84-infections!BB84</f>
        <v>0</v>
      </c>
      <c r="BD84" s="3">
        <f>infections!BD84-infections!BC84</f>
        <v>4</v>
      </c>
      <c r="BE84" s="3">
        <f>infections!BE84-infections!BD84</f>
        <v>9</v>
      </c>
      <c r="BF84" s="3">
        <f>infections!BF84-infections!BE84</f>
        <v>12</v>
      </c>
      <c r="BG84" s="3">
        <f>infections!BG84-infections!BF84</f>
        <v>20</v>
      </c>
      <c r="BH84" s="3">
        <f>infections!BH84-infections!BG84</f>
        <v>11</v>
      </c>
      <c r="BI84" s="3">
        <f>infections!BI84-infections!BH84</f>
        <v>28</v>
      </c>
      <c r="BJ84" s="3">
        <f>infections!BJ84-infections!BI84</f>
        <v>9</v>
      </c>
      <c r="BK84" s="3">
        <f>infections!BK84-infections!BJ84</f>
        <v>26</v>
      </c>
      <c r="BL84" s="3">
        <f>infections!BL84-infections!BK84</f>
        <v>68</v>
      </c>
      <c r="BM84" s="3">
        <f>infections!BM84-infections!BL84</f>
        <v>35</v>
      </c>
      <c r="BN84" s="3">
        <f>infections!BN84-infections!BM84</f>
        <v>46</v>
      </c>
      <c r="BO84" s="3">
        <f>infections!BO84-infections!BN84</f>
        <v>101</v>
      </c>
      <c r="BP84" s="3">
        <f>infections!BP84-infections!BO84</f>
        <v>92</v>
      </c>
      <c r="BQ84" s="3">
        <f>infections!BQ84-infections!BP84</f>
        <v>21</v>
      </c>
      <c r="BR84" s="3">
        <f>infections!BR84-infections!BQ84</f>
        <v>48</v>
      </c>
      <c r="BS84" s="3">
        <f>infections!BS84-infections!BR84</f>
        <v>69</v>
      </c>
      <c r="BT84" s="3">
        <f>infections!BT84-infections!BS84</f>
        <v>94</v>
      </c>
      <c r="BU84" s="3">
        <f>infections!BU84-infections!BT84</f>
        <v>96</v>
      </c>
      <c r="BV84" s="3">
        <f>infections!BV84-infections!BU84</f>
        <v>108</v>
      </c>
      <c r="BW84" s="3">
        <f>infections!BW84-infections!BV84</f>
        <v>159</v>
      </c>
      <c r="BX84" s="3">
        <f>infections!BX84-infections!BW84</f>
        <v>96</v>
      </c>
      <c r="BY84" s="3">
        <f>infections!BY84-infections!BX84</f>
        <v>106</v>
      </c>
    </row>
    <row r="85">
      <c r="B85" s="1" t="str">
        <f>infections!B85</f>
        <v>Congo (Brazzaville)</v>
      </c>
      <c r="C85" s="4">
        <f>infections!C85</f>
        <v>-4.0383</v>
      </c>
      <c r="D85" s="4">
        <f>infections!D85</f>
        <v>21.7587</v>
      </c>
      <c r="E85" s="4">
        <f>infections!E85</f>
        <v>0</v>
      </c>
      <c r="F85" s="3">
        <f>infections!F85-infections!E85</f>
        <v>0</v>
      </c>
      <c r="G85" s="3">
        <f>infections!G85-infections!F85</f>
        <v>0</v>
      </c>
      <c r="H85" s="3">
        <f>infections!H85-infections!G85</f>
        <v>0</v>
      </c>
      <c r="I85" s="3">
        <f>infections!I85-infections!H85</f>
        <v>0</v>
      </c>
      <c r="J85" s="3">
        <f>infections!J85-infections!I85</f>
        <v>0</v>
      </c>
      <c r="K85" s="3">
        <f>infections!K85-infections!J85</f>
        <v>0</v>
      </c>
      <c r="L85" s="3">
        <f>infections!L85-infections!K85</f>
        <v>0</v>
      </c>
      <c r="M85" s="3">
        <f>infections!M85-infections!L85</f>
        <v>0</v>
      </c>
      <c r="N85" s="3">
        <f>infections!N85-infections!M85</f>
        <v>0</v>
      </c>
      <c r="O85" s="3">
        <f>infections!O85-infections!N85</f>
        <v>0</v>
      </c>
      <c r="P85" s="3">
        <f>infections!P85-infections!O85</f>
        <v>0</v>
      </c>
      <c r="Q85" s="3">
        <f>infections!Q85-infections!P85</f>
        <v>0</v>
      </c>
      <c r="R85" s="3">
        <f>infections!R85-infections!Q85</f>
        <v>0</v>
      </c>
      <c r="S85" s="3">
        <f>infections!S85-infections!R85</f>
        <v>0</v>
      </c>
      <c r="T85" s="3">
        <f>infections!T85-infections!S85</f>
        <v>0</v>
      </c>
      <c r="U85" s="3">
        <f>infections!U85-infections!T85</f>
        <v>0</v>
      </c>
      <c r="V85" s="3">
        <f>infections!V85-infections!U85</f>
        <v>0</v>
      </c>
      <c r="W85" s="3">
        <f>infections!W85-infections!V85</f>
        <v>0</v>
      </c>
      <c r="X85" s="3">
        <f>infections!X85-infections!W85</f>
        <v>0</v>
      </c>
      <c r="Y85" s="3">
        <f>infections!Y85-infections!X85</f>
        <v>0</v>
      </c>
      <c r="Z85" s="3">
        <f>infections!Z85-infections!Y85</f>
        <v>0</v>
      </c>
      <c r="AA85" s="3">
        <f>infections!AA85-infections!Z85</f>
        <v>0</v>
      </c>
      <c r="AB85" s="3">
        <f>infections!AB85-infections!AA85</f>
        <v>0</v>
      </c>
      <c r="AC85" s="3">
        <f>infections!AC85-infections!AB85</f>
        <v>0</v>
      </c>
      <c r="AD85" s="3">
        <f>infections!AD85-infections!AC85</f>
        <v>0</v>
      </c>
      <c r="AE85" s="3">
        <f>infections!AE85-infections!AD85</f>
        <v>0</v>
      </c>
      <c r="AF85" s="3">
        <f>infections!AF85-infections!AE85</f>
        <v>0</v>
      </c>
      <c r="AG85" s="3">
        <f>infections!AG85-infections!AF85</f>
        <v>0</v>
      </c>
      <c r="AH85" s="3">
        <f>infections!AH85-infections!AG85</f>
        <v>0</v>
      </c>
      <c r="AI85" s="3">
        <f>infections!AI85-infections!AH85</f>
        <v>0</v>
      </c>
      <c r="AJ85" s="3">
        <f>infections!AJ85-infections!AI85</f>
        <v>0</v>
      </c>
      <c r="AK85" s="3">
        <f>infections!AK85-infections!AJ85</f>
        <v>0</v>
      </c>
      <c r="AL85" s="3">
        <f>infections!AL85-infections!AK85</f>
        <v>0</v>
      </c>
      <c r="AM85" s="3">
        <f>infections!AM85-infections!AL85</f>
        <v>0</v>
      </c>
      <c r="AN85" s="3">
        <f>infections!AN85-infections!AM85</f>
        <v>0</v>
      </c>
      <c r="AO85" s="3">
        <f>infections!AO85-infections!AN85</f>
        <v>0</v>
      </c>
      <c r="AP85" s="3">
        <f>infections!AP85-infections!AO85</f>
        <v>0</v>
      </c>
      <c r="AQ85" s="3">
        <f>infections!AQ85-infections!AP85</f>
        <v>0</v>
      </c>
      <c r="AR85" s="3">
        <f>infections!AR85-infections!AQ85</f>
        <v>0</v>
      </c>
      <c r="AS85" s="3">
        <f>infections!AS85-infections!AR85</f>
        <v>0</v>
      </c>
      <c r="AT85" s="3">
        <f>infections!AT85-infections!AS85</f>
        <v>0</v>
      </c>
      <c r="AU85" s="3">
        <f>infections!AU85-infections!AT85</f>
        <v>0</v>
      </c>
      <c r="AV85" s="3">
        <f>infections!AV85-infections!AU85</f>
        <v>0</v>
      </c>
      <c r="AW85" s="3">
        <f>infections!AW85-infections!AV85</f>
        <v>0</v>
      </c>
      <c r="AX85" s="3">
        <f>infections!AX85-infections!AW85</f>
        <v>0</v>
      </c>
      <c r="AY85" s="3">
        <f>infections!AY85-infections!AX85</f>
        <v>0</v>
      </c>
      <c r="AZ85" s="3">
        <f>infections!AZ85-infections!AY85</f>
        <v>0</v>
      </c>
      <c r="BA85" s="3">
        <f>infections!BA85-infections!AZ85</f>
        <v>0</v>
      </c>
      <c r="BB85" s="3">
        <f>infections!BB85-infections!BA85</f>
        <v>0</v>
      </c>
      <c r="BC85" s="3">
        <f>infections!BC85-infections!BB85</f>
        <v>0</v>
      </c>
      <c r="BD85" s="3">
        <f>infections!BD85-infections!BC85</f>
        <v>0</v>
      </c>
      <c r="BE85" s="3">
        <f>infections!BE85-infections!BD85</f>
        <v>0</v>
      </c>
      <c r="BF85" s="3">
        <f>infections!BF85-infections!BE85</f>
        <v>1</v>
      </c>
      <c r="BG85" s="3">
        <f>infections!BG85-infections!BF85</f>
        <v>0</v>
      </c>
      <c r="BH85" s="3">
        <f>infections!BH85-infections!BG85</f>
        <v>0</v>
      </c>
      <c r="BI85" s="3">
        <f>infections!BI85-infections!BH85</f>
        <v>0</v>
      </c>
      <c r="BJ85" s="3">
        <f>infections!BJ85-infections!BI85</f>
        <v>2</v>
      </c>
      <c r="BK85" s="3">
        <f>infections!BK85-infections!BJ85</f>
        <v>0</v>
      </c>
      <c r="BL85" s="3">
        <f>infections!BL85-infections!BK85</f>
        <v>0</v>
      </c>
      <c r="BM85" s="3">
        <f>infections!BM85-infections!BL85</f>
        <v>0</v>
      </c>
      <c r="BN85" s="3">
        <f>infections!BN85-infections!BM85</f>
        <v>1</v>
      </c>
      <c r="BO85" s="3">
        <f>infections!BO85-infections!BN85</f>
        <v>0</v>
      </c>
      <c r="BP85" s="3">
        <f>infections!BP85-infections!BO85</f>
        <v>0</v>
      </c>
      <c r="BQ85" s="3">
        <f>infections!BQ85-infections!BP85</f>
        <v>0</v>
      </c>
      <c r="BR85" s="3">
        <f>infections!BR85-infections!BQ85</f>
        <v>0</v>
      </c>
      <c r="BS85" s="3">
        <f>infections!BS85-infections!BR85</f>
        <v>0</v>
      </c>
      <c r="BT85" s="3">
        <f>infections!BT85-infections!BS85</f>
        <v>15</v>
      </c>
      <c r="BU85" s="3">
        <f>infections!BU85-infections!BT85</f>
        <v>0</v>
      </c>
      <c r="BV85" s="3">
        <f>infections!BV85-infections!BU85</f>
        <v>0</v>
      </c>
      <c r="BW85" s="3">
        <f>infections!BW85-infections!BV85</f>
        <v>0</v>
      </c>
      <c r="BX85" s="3">
        <f>infections!BX85-infections!BW85</f>
        <v>3</v>
      </c>
      <c r="BY85" s="3">
        <f>infections!BY85-infections!BX85</f>
        <v>0</v>
      </c>
    </row>
    <row r="86">
      <c r="B86" s="1" t="str">
        <f>infections!B86</f>
        <v>Congo (Kinshasa)</v>
      </c>
      <c r="C86" s="4">
        <f>infections!C86</f>
        <v>-4.0383</v>
      </c>
      <c r="D86" s="4">
        <f>infections!D86</f>
        <v>21.7587</v>
      </c>
      <c r="E86" s="4">
        <f>infections!E86</f>
        <v>0</v>
      </c>
      <c r="F86" s="3">
        <f>infections!F86-infections!E86</f>
        <v>0</v>
      </c>
      <c r="G86" s="3">
        <f>infections!G86-infections!F86</f>
        <v>0</v>
      </c>
      <c r="H86" s="3">
        <f>infections!H86-infections!G86</f>
        <v>0</v>
      </c>
      <c r="I86" s="3">
        <f>infections!I86-infections!H86</f>
        <v>0</v>
      </c>
      <c r="J86" s="3">
        <f>infections!J86-infections!I86</f>
        <v>0</v>
      </c>
      <c r="K86" s="3">
        <f>infections!K86-infections!J86</f>
        <v>0</v>
      </c>
      <c r="L86" s="3">
        <f>infections!L86-infections!K86</f>
        <v>0</v>
      </c>
      <c r="M86" s="3">
        <f>infections!M86-infections!L86</f>
        <v>0</v>
      </c>
      <c r="N86" s="3">
        <f>infections!N86-infections!M86</f>
        <v>0</v>
      </c>
      <c r="O86" s="3">
        <f>infections!O86-infections!N86</f>
        <v>0</v>
      </c>
      <c r="P86" s="3">
        <f>infections!P86-infections!O86</f>
        <v>0</v>
      </c>
      <c r="Q86" s="3">
        <f>infections!Q86-infections!P86</f>
        <v>0</v>
      </c>
      <c r="R86" s="3">
        <f>infections!R86-infections!Q86</f>
        <v>0</v>
      </c>
      <c r="S86" s="3">
        <f>infections!S86-infections!R86</f>
        <v>0</v>
      </c>
      <c r="T86" s="3">
        <f>infections!T86-infections!S86</f>
        <v>0</v>
      </c>
      <c r="U86" s="3">
        <f>infections!U86-infections!T86</f>
        <v>0</v>
      </c>
      <c r="V86" s="3">
        <f>infections!V86-infections!U86</f>
        <v>0</v>
      </c>
      <c r="W86" s="3">
        <f>infections!W86-infections!V86</f>
        <v>0</v>
      </c>
      <c r="X86" s="3">
        <f>infections!X86-infections!W86</f>
        <v>0</v>
      </c>
      <c r="Y86" s="3">
        <f>infections!Y86-infections!X86</f>
        <v>0</v>
      </c>
      <c r="Z86" s="3">
        <f>infections!Z86-infections!Y86</f>
        <v>0</v>
      </c>
      <c r="AA86" s="3">
        <f>infections!AA86-infections!Z86</f>
        <v>0</v>
      </c>
      <c r="AB86" s="3">
        <f>infections!AB86-infections!AA86</f>
        <v>0</v>
      </c>
      <c r="AC86" s="3">
        <f>infections!AC86-infections!AB86</f>
        <v>0</v>
      </c>
      <c r="AD86" s="3">
        <f>infections!AD86-infections!AC86</f>
        <v>0</v>
      </c>
      <c r="AE86" s="3">
        <f>infections!AE86-infections!AD86</f>
        <v>0</v>
      </c>
      <c r="AF86" s="3">
        <f>infections!AF86-infections!AE86</f>
        <v>0</v>
      </c>
      <c r="AG86" s="3">
        <f>infections!AG86-infections!AF86</f>
        <v>0</v>
      </c>
      <c r="AH86" s="3">
        <f>infections!AH86-infections!AG86</f>
        <v>0</v>
      </c>
      <c r="AI86" s="3">
        <f>infections!AI86-infections!AH86</f>
        <v>0</v>
      </c>
      <c r="AJ86" s="3">
        <f>infections!AJ86-infections!AI86</f>
        <v>0</v>
      </c>
      <c r="AK86" s="3">
        <f>infections!AK86-infections!AJ86</f>
        <v>0</v>
      </c>
      <c r="AL86" s="3">
        <f>infections!AL86-infections!AK86</f>
        <v>0</v>
      </c>
      <c r="AM86" s="3">
        <f>infections!AM86-infections!AL86</f>
        <v>0</v>
      </c>
      <c r="AN86" s="3">
        <f>infections!AN86-infections!AM86</f>
        <v>0</v>
      </c>
      <c r="AO86" s="3">
        <f>infections!AO86-infections!AN86</f>
        <v>0</v>
      </c>
      <c r="AP86" s="3">
        <f>infections!AP86-infections!AO86</f>
        <v>0</v>
      </c>
      <c r="AQ86" s="3">
        <f>infections!AQ86-infections!AP86</f>
        <v>0</v>
      </c>
      <c r="AR86" s="3">
        <f>infections!AR86-infections!AQ86</f>
        <v>0</v>
      </c>
      <c r="AS86" s="3">
        <f>infections!AS86-infections!AR86</f>
        <v>0</v>
      </c>
      <c r="AT86" s="3">
        <f>infections!AT86-infections!AS86</f>
        <v>0</v>
      </c>
      <c r="AU86" s="3">
        <f>infections!AU86-infections!AT86</f>
        <v>0</v>
      </c>
      <c r="AV86" s="3">
        <f>infections!AV86-infections!AU86</f>
        <v>0</v>
      </c>
      <c r="AW86" s="3">
        <f>infections!AW86-infections!AV86</f>
        <v>0</v>
      </c>
      <c r="AX86" s="3">
        <f>infections!AX86-infections!AW86</f>
        <v>0</v>
      </c>
      <c r="AY86" s="3">
        <f>infections!AY86-infections!AX86</f>
        <v>0</v>
      </c>
      <c r="AZ86" s="3">
        <f>infections!AZ86-infections!AY86</f>
        <v>0</v>
      </c>
      <c r="BA86" s="3">
        <f>infections!BA86-infections!AZ86</f>
        <v>0</v>
      </c>
      <c r="BB86" s="3">
        <f>infections!BB86-infections!BA86</f>
        <v>1</v>
      </c>
      <c r="BC86" s="3">
        <f>infections!BC86-infections!BB86</f>
        <v>0</v>
      </c>
      <c r="BD86" s="3">
        <f>infections!BD86-infections!BC86</f>
        <v>1</v>
      </c>
      <c r="BE86" s="3">
        <f>infections!BE86-infections!BD86</f>
        <v>0</v>
      </c>
      <c r="BF86" s="3">
        <f>infections!BF86-infections!BE86</f>
        <v>0</v>
      </c>
      <c r="BG86" s="3">
        <f>infections!BG86-infections!BF86</f>
        <v>0</v>
      </c>
      <c r="BH86" s="3">
        <f>infections!BH86-infections!BG86</f>
        <v>1</v>
      </c>
      <c r="BI86" s="3">
        <f>infections!BI86-infections!BH86</f>
        <v>1</v>
      </c>
      <c r="BJ86" s="3">
        <f>infections!BJ86-infections!BI86</f>
        <v>10</v>
      </c>
      <c r="BK86" s="3">
        <f>infections!BK86-infections!BJ86</f>
        <v>4</v>
      </c>
      <c r="BL86" s="3">
        <f>infections!BL86-infections!BK86</f>
        <v>5</v>
      </c>
      <c r="BM86" s="3">
        <f>infections!BM86-infections!BL86</f>
        <v>7</v>
      </c>
      <c r="BN86" s="3">
        <f>infections!BN86-infections!BM86</f>
        <v>6</v>
      </c>
      <c r="BO86" s="3">
        <f>infections!BO86-infections!BN86</f>
        <v>9</v>
      </c>
      <c r="BP86" s="3">
        <f>infections!BP86-infections!BO86</f>
        <v>3</v>
      </c>
      <c r="BQ86" s="3">
        <f>infections!BQ86-infections!BP86</f>
        <v>3</v>
      </c>
      <c r="BR86" s="3">
        <f>infections!BR86-infections!BQ86</f>
        <v>0</v>
      </c>
      <c r="BS86" s="3">
        <f>infections!BS86-infections!BR86</f>
        <v>14</v>
      </c>
      <c r="BT86" s="3">
        <f>infections!BT86-infections!BS86</f>
        <v>0</v>
      </c>
      <c r="BU86" s="3">
        <f>infections!BU86-infections!BT86</f>
        <v>16</v>
      </c>
      <c r="BV86" s="3">
        <f>infections!BV86-infections!BU86</f>
        <v>17</v>
      </c>
      <c r="BW86" s="3">
        <f>infections!BW86-infections!BV86</f>
        <v>11</v>
      </c>
      <c r="BX86" s="3">
        <f>infections!BX86-infections!BW86</f>
        <v>25</v>
      </c>
      <c r="BY86" s="3">
        <f>infections!BY86-infections!BX86</f>
        <v>0</v>
      </c>
    </row>
    <row r="87">
      <c r="B87" s="1" t="str">
        <f>infections!B87</f>
        <v>Costa Rica</v>
      </c>
      <c r="C87" s="4">
        <f>infections!C87</f>
        <v>9.7489</v>
      </c>
      <c r="D87" s="4">
        <f>infections!D87</f>
        <v>-83.7534</v>
      </c>
      <c r="E87" s="4">
        <f>infections!E87</f>
        <v>0</v>
      </c>
      <c r="F87" s="3">
        <f>infections!F87-infections!E87</f>
        <v>0</v>
      </c>
      <c r="G87" s="3">
        <f>infections!G87-infections!F87</f>
        <v>0</v>
      </c>
      <c r="H87" s="3">
        <f>infections!H87-infections!G87</f>
        <v>0</v>
      </c>
      <c r="I87" s="3">
        <f>infections!I87-infections!H87</f>
        <v>0</v>
      </c>
      <c r="J87" s="3">
        <f>infections!J87-infections!I87</f>
        <v>0</v>
      </c>
      <c r="K87" s="3">
        <f>infections!K87-infections!J87</f>
        <v>0</v>
      </c>
      <c r="L87" s="3">
        <f>infections!L87-infections!K87</f>
        <v>0</v>
      </c>
      <c r="M87" s="3">
        <f>infections!M87-infections!L87</f>
        <v>0</v>
      </c>
      <c r="N87" s="3">
        <f>infections!N87-infections!M87</f>
        <v>0</v>
      </c>
      <c r="O87" s="3">
        <f>infections!O87-infections!N87</f>
        <v>0</v>
      </c>
      <c r="P87" s="3">
        <f>infections!P87-infections!O87</f>
        <v>0</v>
      </c>
      <c r="Q87" s="3">
        <f>infections!Q87-infections!P87</f>
        <v>0</v>
      </c>
      <c r="R87" s="3">
        <f>infections!R87-infections!Q87</f>
        <v>0</v>
      </c>
      <c r="S87" s="3">
        <f>infections!S87-infections!R87</f>
        <v>0</v>
      </c>
      <c r="T87" s="3">
        <f>infections!T87-infections!S87</f>
        <v>0</v>
      </c>
      <c r="U87" s="3">
        <f>infections!U87-infections!T87</f>
        <v>0</v>
      </c>
      <c r="V87" s="3">
        <f>infections!V87-infections!U87</f>
        <v>0</v>
      </c>
      <c r="W87" s="3">
        <f>infections!W87-infections!V87</f>
        <v>0</v>
      </c>
      <c r="X87" s="3">
        <f>infections!X87-infections!W87</f>
        <v>0</v>
      </c>
      <c r="Y87" s="3">
        <f>infections!Y87-infections!X87</f>
        <v>0</v>
      </c>
      <c r="Z87" s="3">
        <f>infections!Z87-infections!Y87</f>
        <v>0</v>
      </c>
      <c r="AA87" s="3">
        <f>infections!AA87-infections!Z87</f>
        <v>0</v>
      </c>
      <c r="AB87" s="3">
        <f>infections!AB87-infections!AA87</f>
        <v>0</v>
      </c>
      <c r="AC87" s="3">
        <f>infections!AC87-infections!AB87</f>
        <v>0</v>
      </c>
      <c r="AD87" s="3">
        <f>infections!AD87-infections!AC87</f>
        <v>0</v>
      </c>
      <c r="AE87" s="3">
        <f>infections!AE87-infections!AD87</f>
        <v>0</v>
      </c>
      <c r="AF87" s="3">
        <f>infections!AF87-infections!AE87</f>
        <v>0</v>
      </c>
      <c r="AG87" s="3">
        <f>infections!AG87-infections!AF87</f>
        <v>0</v>
      </c>
      <c r="AH87" s="3">
        <f>infections!AH87-infections!AG87</f>
        <v>0</v>
      </c>
      <c r="AI87" s="3">
        <f>infections!AI87-infections!AH87</f>
        <v>0</v>
      </c>
      <c r="AJ87" s="3">
        <f>infections!AJ87-infections!AI87</f>
        <v>0</v>
      </c>
      <c r="AK87" s="3">
        <f>infections!AK87-infections!AJ87</f>
        <v>0</v>
      </c>
      <c r="AL87" s="3">
        <f>infections!AL87-infections!AK87</f>
        <v>0</v>
      </c>
      <c r="AM87" s="3">
        <f>infections!AM87-infections!AL87</f>
        <v>0</v>
      </c>
      <c r="AN87" s="3">
        <f>infections!AN87-infections!AM87</f>
        <v>0</v>
      </c>
      <c r="AO87" s="3">
        <f>infections!AO87-infections!AN87</f>
        <v>0</v>
      </c>
      <c r="AP87" s="3">
        <f>infections!AP87-infections!AO87</f>
        <v>0</v>
      </c>
      <c r="AQ87" s="3">
        <f>infections!AQ87-infections!AP87</f>
        <v>0</v>
      </c>
      <c r="AR87" s="3">
        <f>infections!AR87-infections!AQ87</f>
        <v>0</v>
      </c>
      <c r="AS87" s="3">
        <f>infections!AS87-infections!AR87</f>
        <v>0</v>
      </c>
      <c r="AT87" s="3">
        <f>infections!AT87-infections!AS87</f>
        <v>0</v>
      </c>
      <c r="AU87" s="3">
        <f>infections!AU87-infections!AT87</f>
        <v>0</v>
      </c>
      <c r="AV87" s="3">
        <f>infections!AV87-infections!AU87</f>
        <v>0</v>
      </c>
      <c r="AW87" s="3">
        <f>infections!AW87-infections!AV87</f>
        <v>1</v>
      </c>
      <c r="AX87" s="3">
        <f>infections!AX87-infections!AW87</f>
        <v>0</v>
      </c>
      <c r="AY87" s="3">
        <f>infections!AY87-infections!AX87</f>
        <v>4</v>
      </c>
      <c r="AZ87" s="3">
        <f>infections!AZ87-infections!AY87</f>
        <v>4</v>
      </c>
      <c r="BA87" s="3">
        <f>infections!BA87-infections!AZ87</f>
        <v>0</v>
      </c>
      <c r="BB87" s="3">
        <f>infections!BB87-infections!BA87</f>
        <v>4</v>
      </c>
      <c r="BC87" s="3">
        <f>infections!BC87-infections!BB87</f>
        <v>9</v>
      </c>
      <c r="BD87" s="3">
        <f>infections!BD87-infections!BC87</f>
        <v>1</v>
      </c>
      <c r="BE87" s="3">
        <f>infections!BE87-infections!BD87</f>
        <v>3</v>
      </c>
      <c r="BF87" s="3">
        <f>infections!BF87-infections!BE87</f>
        <v>1</v>
      </c>
      <c r="BG87" s="3">
        <f>infections!BG87-infections!BF87</f>
        <v>8</v>
      </c>
      <c r="BH87" s="3">
        <f>infections!BH87-infections!BG87</f>
        <v>6</v>
      </c>
      <c r="BI87" s="3">
        <f>infections!BI87-infections!BH87</f>
        <v>9</v>
      </c>
      <c r="BJ87" s="3">
        <f>infections!BJ87-infections!BI87</f>
        <v>19</v>
      </c>
      <c r="BK87" s="3">
        <f>infections!BK87-infections!BJ87</f>
        <v>20</v>
      </c>
      <c r="BL87" s="3">
        <f>infections!BL87-infections!BK87</f>
        <v>28</v>
      </c>
      <c r="BM87" s="3">
        <f>infections!BM87-infections!BL87</f>
        <v>17</v>
      </c>
      <c r="BN87" s="3">
        <f>infections!BN87-infections!BM87</f>
        <v>24</v>
      </c>
      <c r="BO87" s="3">
        <f>infections!BO87-infections!BN87</f>
        <v>19</v>
      </c>
      <c r="BP87" s="3">
        <f>infections!BP87-infections!BO87</f>
        <v>24</v>
      </c>
      <c r="BQ87" s="3">
        <f>infections!BQ87-infections!BP87</f>
        <v>30</v>
      </c>
      <c r="BR87" s="3">
        <f>infections!BR87-infections!BQ87</f>
        <v>32</v>
      </c>
      <c r="BS87" s="3">
        <f>infections!BS87-infections!BR87</f>
        <v>32</v>
      </c>
      <c r="BT87" s="3">
        <f>infections!BT87-infections!BS87</f>
        <v>19</v>
      </c>
      <c r="BU87" s="3">
        <f>infections!BU87-infections!BT87</f>
        <v>16</v>
      </c>
      <c r="BV87" s="3">
        <f>infections!BV87-infections!BU87</f>
        <v>17</v>
      </c>
      <c r="BW87" s="3">
        <f>infections!BW87-infections!BV87</f>
        <v>28</v>
      </c>
      <c r="BX87" s="3">
        <f>infections!BX87-infections!BW87</f>
        <v>21</v>
      </c>
      <c r="BY87" s="3">
        <f>infections!BY87-infections!BX87</f>
        <v>20</v>
      </c>
    </row>
    <row r="88">
      <c r="B88" s="1" t="str">
        <f>infections!B88</f>
        <v>Cote d'Ivoire</v>
      </c>
      <c r="C88" s="4">
        <f>infections!C88</f>
        <v>7.54</v>
      </c>
      <c r="D88" s="4">
        <f>infections!D88</f>
        <v>-5.5471</v>
      </c>
      <c r="E88" s="4">
        <f>infections!E88</f>
        <v>0</v>
      </c>
      <c r="F88" s="3">
        <f>infections!F88-infections!E88</f>
        <v>0</v>
      </c>
      <c r="G88" s="3">
        <f>infections!G88-infections!F88</f>
        <v>0</v>
      </c>
      <c r="H88" s="3">
        <f>infections!H88-infections!G88</f>
        <v>0</v>
      </c>
      <c r="I88" s="3">
        <f>infections!I88-infections!H88</f>
        <v>0</v>
      </c>
      <c r="J88" s="3">
        <f>infections!J88-infections!I88</f>
        <v>0</v>
      </c>
      <c r="K88" s="3">
        <f>infections!K88-infections!J88</f>
        <v>0</v>
      </c>
      <c r="L88" s="3">
        <f>infections!L88-infections!K88</f>
        <v>0</v>
      </c>
      <c r="M88" s="3">
        <f>infections!M88-infections!L88</f>
        <v>0</v>
      </c>
      <c r="N88" s="3">
        <f>infections!N88-infections!M88</f>
        <v>0</v>
      </c>
      <c r="O88" s="3">
        <f>infections!O88-infections!N88</f>
        <v>0</v>
      </c>
      <c r="P88" s="3">
        <f>infections!P88-infections!O88</f>
        <v>0</v>
      </c>
      <c r="Q88" s="3">
        <f>infections!Q88-infections!P88</f>
        <v>0</v>
      </c>
      <c r="R88" s="3">
        <f>infections!R88-infections!Q88</f>
        <v>0</v>
      </c>
      <c r="S88" s="3">
        <f>infections!S88-infections!R88</f>
        <v>0</v>
      </c>
      <c r="T88" s="3">
        <f>infections!T88-infections!S88</f>
        <v>0</v>
      </c>
      <c r="U88" s="3">
        <f>infections!U88-infections!T88</f>
        <v>0</v>
      </c>
      <c r="V88" s="3">
        <f>infections!V88-infections!U88</f>
        <v>0</v>
      </c>
      <c r="W88" s="3">
        <f>infections!W88-infections!V88</f>
        <v>0</v>
      </c>
      <c r="X88" s="3">
        <f>infections!X88-infections!W88</f>
        <v>0</v>
      </c>
      <c r="Y88" s="3">
        <f>infections!Y88-infections!X88</f>
        <v>0</v>
      </c>
      <c r="Z88" s="3">
        <f>infections!Z88-infections!Y88</f>
        <v>0</v>
      </c>
      <c r="AA88" s="3">
        <f>infections!AA88-infections!Z88</f>
        <v>0</v>
      </c>
      <c r="AB88" s="3">
        <f>infections!AB88-infections!AA88</f>
        <v>0</v>
      </c>
      <c r="AC88" s="3">
        <f>infections!AC88-infections!AB88</f>
        <v>0</v>
      </c>
      <c r="AD88" s="3">
        <f>infections!AD88-infections!AC88</f>
        <v>0</v>
      </c>
      <c r="AE88" s="3">
        <f>infections!AE88-infections!AD88</f>
        <v>0</v>
      </c>
      <c r="AF88" s="3">
        <f>infections!AF88-infections!AE88</f>
        <v>0</v>
      </c>
      <c r="AG88" s="3">
        <f>infections!AG88-infections!AF88</f>
        <v>0</v>
      </c>
      <c r="AH88" s="3">
        <f>infections!AH88-infections!AG88</f>
        <v>0</v>
      </c>
      <c r="AI88" s="3">
        <f>infections!AI88-infections!AH88</f>
        <v>0</v>
      </c>
      <c r="AJ88" s="3">
        <f>infections!AJ88-infections!AI88</f>
        <v>0</v>
      </c>
      <c r="AK88" s="3">
        <f>infections!AK88-infections!AJ88</f>
        <v>0</v>
      </c>
      <c r="AL88" s="3">
        <f>infections!AL88-infections!AK88</f>
        <v>0</v>
      </c>
      <c r="AM88" s="3">
        <f>infections!AM88-infections!AL88</f>
        <v>0</v>
      </c>
      <c r="AN88" s="3">
        <f>infections!AN88-infections!AM88</f>
        <v>0</v>
      </c>
      <c r="AO88" s="3">
        <f>infections!AO88-infections!AN88</f>
        <v>0</v>
      </c>
      <c r="AP88" s="3">
        <f>infections!AP88-infections!AO88</f>
        <v>0</v>
      </c>
      <c r="AQ88" s="3">
        <f>infections!AQ88-infections!AP88</f>
        <v>0</v>
      </c>
      <c r="AR88" s="3">
        <f>infections!AR88-infections!AQ88</f>
        <v>0</v>
      </c>
      <c r="AS88" s="3">
        <f>infections!AS88-infections!AR88</f>
        <v>0</v>
      </c>
      <c r="AT88" s="3">
        <f>infections!AT88-infections!AS88</f>
        <v>0</v>
      </c>
      <c r="AU88" s="3">
        <f>infections!AU88-infections!AT88</f>
        <v>0</v>
      </c>
      <c r="AV88" s="3">
        <f>infections!AV88-infections!AU88</f>
        <v>0</v>
      </c>
      <c r="AW88" s="3">
        <f>infections!AW88-infections!AV88</f>
        <v>0</v>
      </c>
      <c r="AX88" s="3">
        <f>infections!AX88-infections!AW88</f>
        <v>0</v>
      </c>
      <c r="AY88" s="3">
        <f>infections!AY88-infections!AX88</f>
        <v>0</v>
      </c>
      <c r="AZ88" s="3">
        <f>infections!AZ88-infections!AY88</f>
        <v>0</v>
      </c>
      <c r="BA88" s="3">
        <f>infections!BA88-infections!AZ88</f>
        <v>0</v>
      </c>
      <c r="BB88" s="3">
        <f>infections!BB88-infections!BA88</f>
        <v>1</v>
      </c>
      <c r="BC88" s="3">
        <f>infections!BC88-infections!BB88</f>
        <v>0</v>
      </c>
      <c r="BD88" s="3">
        <f>infections!BD88-infections!BC88</f>
        <v>0</v>
      </c>
      <c r="BE88" s="3">
        <f>infections!BE88-infections!BD88</f>
        <v>0</v>
      </c>
      <c r="BF88" s="3">
        <f>infections!BF88-infections!BE88</f>
        <v>0</v>
      </c>
      <c r="BG88" s="3">
        <f>infections!BG88-infections!BF88</f>
        <v>0</v>
      </c>
      <c r="BH88" s="3">
        <f>infections!BH88-infections!BG88</f>
        <v>4</v>
      </c>
      <c r="BI88" s="3">
        <f>infections!BI88-infections!BH88</f>
        <v>1</v>
      </c>
      <c r="BJ88" s="3">
        <f>infections!BJ88-infections!BI88</f>
        <v>3</v>
      </c>
      <c r="BK88" s="3">
        <f>infections!BK88-infections!BJ88</f>
        <v>0</v>
      </c>
      <c r="BL88" s="3">
        <f>infections!BL88-infections!BK88</f>
        <v>5</v>
      </c>
      <c r="BM88" s="3">
        <f>infections!BM88-infections!BL88</f>
        <v>0</v>
      </c>
      <c r="BN88" s="3">
        <f>infections!BN88-infections!BM88</f>
        <v>11</v>
      </c>
      <c r="BO88" s="3">
        <f>infections!BO88-infections!BN88</f>
        <v>48</v>
      </c>
      <c r="BP88" s="3">
        <f>infections!BP88-infections!BO88</f>
        <v>7</v>
      </c>
      <c r="BQ88" s="3">
        <f>infections!BQ88-infections!BP88</f>
        <v>16</v>
      </c>
      <c r="BR88" s="3">
        <f>infections!BR88-infections!BQ88</f>
        <v>5</v>
      </c>
      <c r="BS88" s="3">
        <f>infections!BS88-infections!BR88</f>
        <v>0</v>
      </c>
      <c r="BT88" s="3">
        <f>infections!BT88-infections!BS88</f>
        <v>64</v>
      </c>
      <c r="BU88" s="3">
        <f>infections!BU88-infections!BT88</f>
        <v>3</v>
      </c>
      <c r="BV88" s="3">
        <f>infections!BV88-infections!BU88</f>
        <v>11</v>
      </c>
      <c r="BW88" s="3">
        <f>infections!BW88-infections!BV88</f>
        <v>11</v>
      </c>
      <c r="BX88" s="3">
        <f>infections!BX88-infections!BW88</f>
        <v>4</v>
      </c>
      <c r="BY88" s="3">
        <f>infections!BY88-infections!BX88</f>
        <v>24</v>
      </c>
    </row>
    <row r="89">
      <c r="B89" s="1" t="str">
        <f>infections!B89</f>
        <v>Croatia</v>
      </c>
      <c r="C89" s="4">
        <f>infections!C89</f>
        <v>45.1</v>
      </c>
      <c r="D89" s="4">
        <f>infections!D89</f>
        <v>15.2</v>
      </c>
      <c r="E89" s="4">
        <f>infections!E89</f>
        <v>0</v>
      </c>
      <c r="F89" s="3">
        <f>infections!F89-infections!E89</f>
        <v>0</v>
      </c>
      <c r="G89" s="3">
        <f>infections!G89-infections!F89</f>
        <v>0</v>
      </c>
      <c r="H89" s="3">
        <f>infections!H89-infections!G89</f>
        <v>0</v>
      </c>
      <c r="I89" s="3">
        <f>infections!I89-infections!H89</f>
        <v>0</v>
      </c>
      <c r="J89" s="3">
        <f>infections!J89-infections!I89</f>
        <v>0</v>
      </c>
      <c r="K89" s="3">
        <f>infections!K89-infections!J89</f>
        <v>0</v>
      </c>
      <c r="L89" s="3">
        <f>infections!L89-infections!K89</f>
        <v>0</v>
      </c>
      <c r="M89" s="3">
        <f>infections!M89-infections!L89</f>
        <v>0</v>
      </c>
      <c r="N89" s="3">
        <f>infections!N89-infections!M89</f>
        <v>0</v>
      </c>
      <c r="O89" s="3">
        <f>infections!O89-infections!N89</f>
        <v>0</v>
      </c>
      <c r="P89" s="3">
        <f>infections!P89-infections!O89</f>
        <v>0</v>
      </c>
      <c r="Q89" s="3">
        <f>infections!Q89-infections!P89</f>
        <v>0</v>
      </c>
      <c r="R89" s="3">
        <f>infections!R89-infections!Q89</f>
        <v>0</v>
      </c>
      <c r="S89" s="3">
        <f>infections!S89-infections!R89</f>
        <v>0</v>
      </c>
      <c r="T89" s="3">
        <f>infections!T89-infections!S89</f>
        <v>0</v>
      </c>
      <c r="U89" s="3">
        <f>infections!U89-infections!T89</f>
        <v>0</v>
      </c>
      <c r="V89" s="3">
        <f>infections!V89-infections!U89</f>
        <v>0</v>
      </c>
      <c r="W89" s="3">
        <f>infections!W89-infections!V89</f>
        <v>0</v>
      </c>
      <c r="X89" s="3">
        <f>infections!X89-infections!W89</f>
        <v>0</v>
      </c>
      <c r="Y89" s="3">
        <f>infections!Y89-infections!X89</f>
        <v>0</v>
      </c>
      <c r="Z89" s="3">
        <f>infections!Z89-infections!Y89</f>
        <v>0</v>
      </c>
      <c r="AA89" s="3">
        <f>infections!AA89-infections!Z89</f>
        <v>0</v>
      </c>
      <c r="AB89" s="3">
        <f>infections!AB89-infections!AA89</f>
        <v>0</v>
      </c>
      <c r="AC89" s="3">
        <f>infections!AC89-infections!AB89</f>
        <v>0</v>
      </c>
      <c r="AD89" s="3">
        <f>infections!AD89-infections!AC89</f>
        <v>0</v>
      </c>
      <c r="AE89" s="3">
        <f>infections!AE89-infections!AD89</f>
        <v>0</v>
      </c>
      <c r="AF89" s="3">
        <f>infections!AF89-infections!AE89</f>
        <v>0</v>
      </c>
      <c r="AG89" s="3">
        <f>infections!AG89-infections!AF89</f>
        <v>0</v>
      </c>
      <c r="AH89" s="3">
        <f>infections!AH89-infections!AG89</f>
        <v>0</v>
      </c>
      <c r="AI89" s="3">
        <f>infections!AI89-infections!AH89</f>
        <v>0</v>
      </c>
      <c r="AJ89" s="3">
        <f>infections!AJ89-infections!AI89</f>
        <v>0</v>
      </c>
      <c r="AK89" s="3">
        <f>infections!AK89-infections!AJ89</f>
        <v>0</v>
      </c>
      <c r="AL89" s="3">
        <f>infections!AL89-infections!AK89</f>
        <v>0</v>
      </c>
      <c r="AM89" s="3">
        <f>infections!AM89-infections!AL89</f>
        <v>1</v>
      </c>
      <c r="AN89" s="3">
        <f>infections!AN89-infections!AM89</f>
        <v>2</v>
      </c>
      <c r="AO89" s="3">
        <f>infections!AO89-infections!AN89</f>
        <v>0</v>
      </c>
      <c r="AP89" s="3">
        <f>infections!AP89-infections!AO89</f>
        <v>2</v>
      </c>
      <c r="AQ89" s="3">
        <f>infections!AQ89-infections!AP89</f>
        <v>1</v>
      </c>
      <c r="AR89" s="3">
        <f>infections!AR89-infections!AQ89</f>
        <v>1</v>
      </c>
      <c r="AS89" s="3">
        <f>infections!AS89-infections!AR89</f>
        <v>0</v>
      </c>
      <c r="AT89" s="3">
        <f>infections!AT89-infections!AS89</f>
        <v>2</v>
      </c>
      <c r="AU89" s="3">
        <f>infections!AU89-infections!AT89</f>
        <v>1</v>
      </c>
      <c r="AV89" s="3">
        <f>infections!AV89-infections!AU89</f>
        <v>0</v>
      </c>
      <c r="AW89" s="3">
        <f>infections!AW89-infections!AV89</f>
        <v>1</v>
      </c>
      <c r="AX89" s="3">
        <f>infections!AX89-infections!AW89</f>
        <v>1</v>
      </c>
      <c r="AY89" s="3">
        <f>infections!AY89-infections!AX89</f>
        <v>0</v>
      </c>
      <c r="AZ89" s="3">
        <f>infections!AZ89-infections!AY89</f>
        <v>0</v>
      </c>
      <c r="BA89" s="3">
        <f>infections!BA89-infections!AZ89</f>
        <v>2</v>
      </c>
      <c r="BB89" s="3">
        <f>infections!BB89-infections!BA89</f>
        <v>5</v>
      </c>
      <c r="BC89" s="3">
        <f>infections!BC89-infections!BB89</f>
        <v>0</v>
      </c>
      <c r="BD89" s="3">
        <f>infections!BD89-infections!BC89</f>
        <v>13</v>
      </c>
      <c r="BE89" s="3">
        <f>infections!BE89-infections!BD89</f>
        <v>6</v>
      </c>
      <c r="BF89" s="3">
        <f>infections!BF89-infections!BE89</f>
        <v>11</v>
      </c>
      <c r="BG89" s="3">
        <f>infections!BG89-infections!BF89</f>
        <v>8</v>
      </c>
      <c r="BH89" s="3">
        <f>infections!BH89-infections!BG89</f>
        <v>8</v>
      </c>
      <c r="BI89" s="3">
        <f>infections!BI89-infections!BH89</f>
        <v>16</v>
      </c>
      <c r="BJ89" s="3">
        <f>infections!BJ89-infections!BI89</f>
        <v>24</v>
      </c>
      <c r="BK89" s="3">
        <f>infections!BK89-infections!BJ89</f>
        <v>23</v>
      </c>
      <c r="BL89" s="3">
        <f>infections!BL89-infections!BK89</f>
        <v>78</v>
      </c>
      <c r="BM89" s="3">
        <f>infections!BM89-infections!BL89</f>
        <v>48</v>
      </c>
      <c r="BN89" s="3">
        <f>infections!BN89-infections!BM89</f>
        <v>61</v>
      </c>
      <c r="BO89" s="3">
        <f>infections!BO89-infections!BN89</f>
        <v>67</v>
      </c>
      <c r="BP89" s="3">
        <f>infections!BP89-infections!BO89</f>
        <v>60</v>
      </c>
      <c r="BQ89" s="3">
        <f>infections!BQ89-infections!BP89</f>
        <v>53</v>
      </c>
      <c r="BR89" s="3">
        <f>infections!BR89-infections!BQ89</f>
        <v>91</v>
      </c>
      <c r="BS89" s="3">
        <f>infections!BS89-infections!BR89</f>
        <v>71</v>
      </c>
      <c r="BT89" s="3">
        <f>infections!BT89-infections!BS89</f>
        <v>56</v>
      </c>
      <c r="BU89" s="3">
        <f>infections!BU89-infections!BT89</f>
        <v>77</v>
      </c>
      <c r="BV89" s="3">
        <f>infections!BV89-infections!BU89</f>
        <v>77</v>
      </c>
      <c r="BW89" s="3">
        <f>infections!BW89-infections!BV89</f>
        <v>96</v>
      </c>
      <c r="BX89" s="3">
        <f>infections!BX89-infections!BW89</f>
        <v>48</v>
      </c>
      <c r="BY89" s="3">
        <f>infections!BY89-infections!BX89</f>
        <v>68</v>
      </c>
    </row>
    <row r="90">
      <c r="B90" s="1" t="str">
        <f>infections!B90</f>
        <v>Diamond Princess</v>
      </c>
      <c r="C90" s="4">
        <f>infections!C90</f>
        <v>0</v>
      </c>
      <c r="D90" s="4">
        <f>infections!D90</f>
        <v>0</v>
      </c>
      <c r="E90" s="4">
        <f>infections!E90</f>
        <v>0</v>
      </c>
      <c r="F90" s="3">
        <f>infections!F90-infections!E90</f>
        <v>0</v>
      </c>
      <c r="G90" s="3">
        <f>infections!G90-infections!F90</f>
        <v>0</v>
      </c>
      <c r="H90" s="3">
        <f>infections!H90-infections!G90</f>
        <v>0</v>
      </c>
      <c r="I90" s="3">
        <f>infections!I90-infections!H90</f>
        <v>0</v>
      </c>
      <c r="J90" s="3">
        <f>infections!J90-infections!I90</f>
        <v>0</v>
      </c>
      <c r="K90" s="3">
        <f>infections!K90-infections!J90</f>
        <v>0</v>
      </c>
      <c r="L90" s="3">
        <f>infections!L90-infections!K90</f>
        <v>0</v>
      </c>
      <c r="M90" s="3">
        <f>infections!M90-infections!L90</f>
        <v>0</v>
      </c>
      <c r="N90" s="3">
        <f>infections!N90-infections!M90</f>
        <v>0</v>
      </c>
      <c r="O90" s="3">
        <f>infections!O90-infections!N90</f>
        <v>0</v>
      </c>
      <c r="P90" s="3">
        <f>infections!P90-infections!O90</f>
        <v>0</v>
      </c>
      <c r="Q90" s="3">
        <f>infections!Q90-infections!P90</f>
        <v>0</v>
      </c>
      <c r="R90" s="3">
        <f>infections!R90-infections!Q90</f>
        <v>0</v>
      </c>
      <c r="S90" s="3">
        <f>infections!S90-infections!R90</f>
        <v>0</v>
      </c>
      <c r="T90" s="3">
        <f>infections!T90-infections!S90</f>
        <v>0</v>
      </c>
      <c r="U90" s="3">
        <f>infections!U90-infections!T90</f>
        <v>61</v>
      </c>
      <c r="V90" s="3">
        <f>infections!V90-infections!U90</f>
        <v>0</v>
      </c>
      <c r="W90" s="3">
        <f>infections!W90-infections!V90</f>
        <v>3</v>
      </c>
      <c r="X90" s="3">
        <f>infections!X90-infections!W90</f>
        <v>71</v>
      </c>
      <c r="Y90" s="3">
        <f>infections!Y90-infections!X90</f>
        <v>0</v>
      </c>
      <c r="Z90" s="3">
        <f>infections!Z90-infections!Y90</f>
        <v>40</v>
      </c>
      <c r="AA90" s="3">
        <f>infections!AA90-infections!Z90</f>
        <v>0</v>
      </c>
      <c r="AB90" s="3">
        <f>infections!AB90-infections!AA90</f>
        <v>43</v>
      </c>
      <c r="AC90" s="3">
        <f>infections!AC90-infections!AB90</f>
        <v>67</v>
      </c>
      <c r="AD90" s="3">
        <f>infections!AD90-infections!AC90</f>
        <v>70</v>
      </c>
      <c r="AE90" s="3">
        <f>infections!AE90-infections!AD90</f>
        <v>99</v>
      </c>
      <c r="AF90" s="3">
        <f>infections!AF90-infections!AE90</f>
        <v>88</v>
      </c>
      <c r="AG90" s="3">
        <f>infections!AG90-infections!AF90</f>
        <v>79</v>
      </c>
      <c r="AH90" s="3">
        <f>infections!AH90-infections!AG90</f>
        <v>13</v>
      </c>
      <c r="AI90" s="3">
        <f>infections!AI90-infections!AH90</f>
        <v>0</v>
      </c>
      <c r="AJ90" s="3">
        <f>infections!AJ90-infections!AI90</f>
        <v>0</v>
      </c>
      <c r="AK90" s="3">
        <f>infections!AK90-infections!AJ90</f>
        <v>57</v>
      </c>
      <c r="AL90" s="3">
        <f>infections!AL90-infections!AK90</f>
        <v>0</v>
      </c>
      <c r="AM90" s="3">
        <f>infections!AM90-infections!AL90</f>
        <v>0</v>
      </c>
      <c r="AN90" s="3">
        <f>infections!AN90-infections!AM90</f>
        <v>14</v>
      </c>
      <c r="AO90" s="3">
        <f>infections!AO90-infections!AN90</f>
        <v>0</v>
      </c>
      <c r="AP90" s="3">
        <f>infections!AP90-infections!AO90</f>
        <v>0</v>
      </c>
      <c r="AQ90" s="3">
        <f>infections!AQ90-infections!AP90</f>
        <v>0</v>
      </c>
      <c r="AR90" s="3">
        <f>infections!AR90-infections!AQ90</f>
        <v>0</v>
      </c>
      <c r="AS90" s="3">
        <f>infections!AS90-infections!AR90</f>
        <v>0</v>
      </c>
      <c r="AT90" s="3">
        <f>infections!AT90-infections!AS90</f>
        <v>1</v>
      </c>
      <c r="AU90" s="3">
        <f>infections!AU90-infections!AT90</f>
        <v>0</v>
      </c>
      <c r="AV90" s="3">
        <f>infections!AV90-infections!AU90</f>
        <v>0</v>
      </c>
      <c r="AW90" s="3">
        <f>infections!AW90-infections!AV90</f>
        <v>0</v>
      </c>
      <c r="AX90" s="3">
        <f>infections!AX90-infections!AW90</f>
        <v>0</v>
      </c>
      <c r="AY90" s="3">
        <f>infections!AY90-infections!AX90</f>
        <v>0</v>
      </c>
      <c r="AZ90" s="3">
        <f>infections!AZ90-infections!AY90</f>
        <v>0</v>
      </c>
      <c r="BA90" s="3">
        <f>infections!BA90-infections!AZ90</f>
        <v>0</v>
      </c>
      <c r="BB90" s="3">
        <f>infections!BB90-infections!BA90</f>
        <v>0</v>
      </c>
      <c r="BC90" s="3">
        <f>infections!BC90-infections!BB90</f>
        <v>0</v>
      </c>
      <c r="BD90" s="3">
        <f>infections!BD90-infections!BC90</f>
        <v>0</v>
      </c>
      <c r="BE90" s="3">
        <f>infections!BE90-infections!BD90</f>
        <v>0</v>
      </c>
      <c r="BF90" s="3">
        <f>infections!BF90-infections!BE90</f>
        <v>0</v>
      </c>
      <c r="BG90" s="3">
        <f>infections!BG90-infections!BF90</f>
        <v>0</v>
      </c>
      <c r="BH90" s="3">
        <f>infections!BH90-infections!BG90</f>
        <v>0</v>
      </c>
      <c r="BI90" s="3">
        <f>infections!BI90-infections!BH90</f>
        <v>6</v>
      </c>
      <c r="BJ90" s="3">
        <f>infections!BJ90-infections!BI90</f>
        <v>0</v>
      </c>
      <c r="BK90" s="3">
        <f>infections!BK90-infections!BJ90</f>
        <v>0</v>
      </c>
      <c r="BL90" s="3">
        <f>infections!BL90-infections!BK90</f>
        <v>0</v>
      </c>
      <c r="BM90" s="3">
        <f>infections!BM90-infections!BL90</f>
        <v>0</v>
      </c>
      <c r="BN90" s="3">
        <f>infections!BN90-infections!BM90</f>
        <v>0</v>
      </c>
      <c r="BO90" s="3">
        <f>infections!BO90-infections!BN90</f>
        <v>0</v>
      </c>
      <c r="BP90" s="3">
        <f>infections!BP90-infections!BO90</f>
        <v>0</v>
      </c>
      <c r="BQ90" s="3">
        <f>infections!BQ90-infections!BP90</f>
        <v>0</v>
      </c>
      <c r="BR90" s="3">
        <f>infections!BR90-infections!BQ90</f>
        <v>0</v>
      </c>
      <c r="BS90" s="3">
        <f>infections!BS90-infections!BR90</f>
        <v>0</v>
      </c>
      <c r="BT90" s="3">
        <f>infections!BT90-infections!BS90</f>
        <v>0</v>
      </c>
      <c r="BU90" s="3">
        <f>infections!BU90-infections!BT90</f>
        <v>0</v>
      </c>
      <c r="BV90" s="3">
        <f>infections!BV90-infections!BU90</f>
        <v>0</v>
      </c>
      <c r="BW90" s="3">
        <f>infections!BW90-infections!BV90</f>
        <v>0</v>
      </c>
      <c r="BX90" s="3">
        <f>infections!BX90-infections!BW90</f>
        <v>0</v>
      </c>
      <c r="BY90" s="3">
        <f>infections!BY90-infections!BX90</f>
        <v>0</v>
      </c>
    </row>
    <row r="91">
      <c r="B91" s="1" t="str">
        <f>infections!B91</f>
        <v>Cuba</v>
      </c>
      <c r="C91" s="4">
        <f>infections!C91</f>
        <v>22</v>
      </c>
      <c r="D91" s="4">
        <f>infections!D91</f>
        <v>-80</v>
      </c>
      <c r="E91" s="4">
        <f>infections!E91</f>
        <v>0</v>
      </c>
      <c r="F91" s="3">
        <f>infections!F91-infections!E91</f>
        <v>0</v>
      </c>
      <c r="G91" s="3">
        <f>infections!G91-infections!F91</f>
        <v>0</v>
      </c>
      <c r="H91" s="3">
        <f>infections!H91-infections!G91</f>
        <v>0</v>
      </c>
      <c r="I91" s="3">
        <f>infections!I91-infections!H91</f>
        <v>0</v>
      </c>
      <c r="J91" s="3">
        <f>infections!J91-infections!I91</f>
        <v>0</v>
      </c>
      <c r="K91" s="3">
        <f>infections!K91-infections!J91</f>
        <v>0</v>
      </c>
      <c r="L91" s="3">
        <f>infections!L91-infections!K91</f>
        <v>0</v>
      </c>
      <c r="M91" s="3">
        <f>infections!M91-infections!L91</f>
        <v>0</v>
      </c>
      <c r="N91" s="3">
        <f>infections!N91-infections!M91</f>
        <v>0</v>
      </c>
      <c r="O91" s="3">
        <f>infections!O91-infections!N91</f>
        <v>0</v>
      </c>
      <c r="P91" s="3">
        <f>infections!P91-infections!O91</f>
        <v>0</v>
      </c>
      <c r="Q91" s="3">
        <f>infections!Q91-infections!P91</f>
        <v>0</v>
      </c>
      <c r="R91" s="3">
        <f>infections!R91-infections!Q91</f>
        <v>0</v>
      </c>
      <c r="S91" s="3">
        <f>infections!S91-infections!R91</f>
        <v>0</v>
      </c>
      <c r="T91" s="3">
        <f>infections!T91-infections!S91</f>
        <v>0</v>
      </c>
      <c r="U91" s="3">
        <f>infections!U91-infections!T91</f>
        <v>0</v>
      </c>
      <c r="V91" s="3">
        <f>infections!V91-infections!U91</f>
        <v>0</v>
      </c>
      <c r="W91" s="3">
        <f>infections!W91-infections!V91</f>
        <v>0</v>
      </c>
      <c r="X91" s="3">
        <f>infections!X91-infections!W91</f>
        <v>0</v>
      </c>
      <c r="Y91" s="3">
        <f>infections!Y91-infections!X91</f>
        <v>0</v>
      </c>
      <c r="Z91" s="3">
        <f>infections!Z91-infections!Y91</f>
        <v>0</v>
      </c>
      <c r="AA91" s="3">
        <f>infections!AA91-infections!Z91</f>
        <v>0</v>
      </c>
      <c r="AB91" s="3">
        <f>infections!AB91-infections!AA91</f>
        <v>0</v>
      </c>
      <c r="AC91" s="3">
        <f>infections!AC91-infections!AB91</f>
        <v>0</v>
      </c>
      <c r="AD91" s="3">
        <f>infections!AD91-infections!AC91</f>
        <v>0</v>
      </c>
      <c r="AE91" s="3">
        <f>infections!AE91-infections!AD91</f>
        <v>0</v>
      </c>
      <c r="AF91" s="3">
        <f>infections!AF91-infections!AE91</f>
        <v>0</v>
      </c>
      <c r="AG91" s="3">
        <f>infections!AG91-infections!AF91</f>
        <v>0</v>
      </c>
      <c r="AH91" s="3">
        <f>infections!AH91-infections!AG91</f>
        <v>0</v>
      </c>
      <c r="AI91" s="3">
        <f>infections!AI91-infections!AH91</f>
        <v>0</v>
      </c>
      <c r="AJ91" s="3">
        <f>infections!AJ91-infections!AI91</f>
        <v>0</v>
      </c>
      <c r="AK91" s="3">
        <f>infections!AK91-infections!AJ91</f>
        <v>0</v>
      </c>
      <c r="AL91" s="3">
        <f>infections!AL91-infections!AK91</f>
        <v>0</v>
      </c>
      <c r="AM91" s="3">
        <f>infections!AM91-infections!AL91</f>
        <v>0</v>
      </c>
      <c r="AN91" s="3">
        <f>infections!AN91-infections!AM91</f>
        <v>0</v>
      </c>
      <c r="AO91" s="3">
        <f>infections!AO91-infections!AN91</f>
        <v>0</v>
      </c>
      <c r="AP91" s="3">
        <f>infections!AP91-infections!AO91</f>
        <v>0</v>
      </c>
      <c r="AQ91" s="3">
        <f>infections!AQ91-infections!AP91</f>
        <v>0</v>
      </c>
      <c r="AR91" s="3">
        <f>infections!AR91-infections!AQ91</f>
        <v>0</v>
      </c>
      <c r="AS91" s="3">
        <f>infections!AS91-infections!AR91</f>
        <v>0</v>
      </c>
      <c r="AT91" s="3">
        <f>infections!AT91-infections!AS91</f>
        <v>0</v>
      </c>
      <c r="AU91" s="3">
        <f>infections!AU91-infections!AT91</f>
        <v>0</v>
      </c>
      <c r="AV91" s="3">
        <f>infections!AV91-infections!AU91</f>
        <v>0</v>
      </c>
      <c r="AW91" s="3">
        <f>infections!AW91-infections!AV91</f>
        <v>0</v>
      </c>
      <c r="AX91" s="3">
        <f>infections!AX91-infections!AW91</f>
        <v>0</v>
      </c>
      <c r="AY91" s="3">
        <f>infections!AY91-infections!AX91</f>
        <v>0</v>
      </c>
      <c r="AZ91" s="3">
        <f>infections!AZ91-infections!AY91</f>
        <v>0</v>
      </c>
      <c r="BA91" s="3">
        <f>infections!BA91-infections!AZ91</f>
        <v>0</v>
      </c>
      <c r="BB91" s="3">
        <f>infections!BB91-infections!BA91</f>
        <v>0</v>
      </c>
      <c r="BC91" s="3">
        <f>infections!BC91-infections!BB91</f>
        <v>3</v>
      </c>
      <c r="BD91" s="3">
        <f>infections!BD91-infections!BC91</f>
        <v>1</v>
      </c>
      <c r="BE91" s="3">
        <f>infections!BE91-infections!BD91</f>
        <v>0</v>
      </c>
      <c r="BF91" s="3">
        <f>infections!BF91-infections!BE91</f>
        <v>0</v>
      </c>
      <c r="BG91" s="3">
        <f>infections!BG91-infections!BF91</f>
        <v>0</v>
      </c>
      <c r="BH91" s="3">
        <f>infections!BH91-infections!BG91</f>
        <v>1</v>
      </c>
      <c r="BI91" s="3">
        <f>infections!BI91-infections!BH91</f>
        <v>2</v>
      </c>
      <c r="BJ91" s="3">
        <f>infections!BJ91-infections!BI91</f>
        <v>4</v>
      </c>
      <c r="BK91" s="3">
        <f>infections!BK91-infections!BJ91</f>
        <v>5</v>
      </c>
      <c r="BL91" s="3">
        <f>infections!BL91-infections!BK91</f>
        <v>5</v>
      </c>
      <c r="BM91" s="3">
        <f>infections!BM91-infections!BL91</f>
        <v>14</v>
      </c>
      <c r="BN91" s="3">
        <f>infections!BN91-infections!BM91</f>
        <v>5</v>
      </c>
      <c r="BO91" s="3">
        <f>infections!BO91-infections!BN91</f>
        <v>8</v>
      </c>
      <c r="BP91" s="3">
        <f>infections!BP91-infections!BO91</f>
        <v>9</v>
      </c>
      <c r="BQ91" s="3">
        <f>infections!BQ91-infections!BP91</f>
        <v>10</v>
      </c>
      <c r="BR91" s="3">
        <f>infections!BR91-infections!BQ91</f>
        <v>13</v>
      </c>
      <c r="BS91" s="3">
        <f>infections!BS91-infections!BR91</f>
        <v>39</v>
      </c>
      <c r="BT91" s="3">
        <f>infections!BT91-infections!BS91</f>
        <v>20</v>
      </c>
      <c r="BU91" s="3">
        <f>infections!BU91-infections!BT91</f>
        <v>31</v>
      </c>
      <c r="BV91" s="3">
        <f>infections!BV91-infections!BU91</f>
        <v>16</v>
      </c>
      <c r="BW91" s="3">
        <f>infections!BW91-infections!BV91</f>
        <v>26</v>
      </c>
      <c r="BX91" s="3">
        <f>infections!BX91-infections!BW91</f>
        <v>21</v>
      </c>
      <c r="BY91" s="3">
        <f>infections!BY91-infections!BX91</f>
        <v>36</v>
      </c>
    </row>
    <row r="92">
      <c r="B92" s="1" t="str">
        <f>infections!B92</f>
        <v>Cyprus</v>
      </c>
      <c r="C92" s="4">
        <f>infections!C92</f>
        <v>35.1264</v>
      </c>
      <c r="D92" s="4">
        <f>infections!D92</f>
        <v>33.4299</v>
      </c>
      <c r="E92" s="4">
        <f>infections!E92</f>
        <v>0</v>
      </c>
      <c r="F92" s="3">
        <f>infections!F92-infections!E92</f>
        <v>0</v>
      </c>
      <c r="G92" s="3">
        <f>infections!G92-infections!F92</f>
        <v>0</v>
      </c>
      <c r="H92" s="3">
        <f>infections!H92-infections!G92</f>
        <v>0</v>
      </c>
      <c r="I92" s="3">
        <f>infections!I92-infections!H92</f>
        <v>0</v>
      </c>
      <c r="J92" s="3">
        <f>infections!J92-infections!I92</f>
        <v>0</v>
      </c>
      <c r="K92" s="3">
        <f>infections!K92-infections!J92</f>
        <v>0</v>
      </c>
      <c r="L92" s="3">
        <f>infections!L92-infections!K92</f>
        <v>0</v>
      </c>
      <c r="M92" s="3">
        <f>infections!M92-infections!L92</f>
        <v>0</v>
      </c>
      <c r="N92" s="3">
        <f>infections!N92-infections!M92</f>
        <v>0</v>
      </c>
      <c r="O92" s="3">
        <f>infections!O92-infections!N92</f>
        <v>0</v>
      </c>
      <c r="P92" s="3">
        <f>infections!P92-infections!O92</f>
        <v>0</v>
      </c>
      <c r="Q92" s="3">
        <f>infections!Q92-infections!P92</f>
        <v>0</v>
      </c>
      <c r="R92" s="3">
        <f>infections!R92-infections!Q92</f>
        <v>0</v>
      </c>
      <c r="S92" s="3">
        <f>infections!S92-infections!R92</f>
        <v>0</v>
      </c>
      <c r="T92" s="3">
        <f>infections!T92-infections!S92</f>
        <v>0</v>
      </c>
      <c r="U92" s="3">
        <f>infections!U92-infections!T92</f>
        <v>0</v>
      </c>
      <c r="V92" s="3">
        <f>infections!V92-infections!U92</f>
        <v>0</v>
      </c>
      <c r="W92" s="3">
        <f>infections!W92-infections!V92</f>
        <v>0</v>
      </c>
      <c r="X92" s="3">
        <f>infections!X92-infections!W92</f>
        <v>0</v>
      </c>
      <c r="Y92" s="3">
        <f>infections!Y92-infections!X92</f>
        <v>0</v>
      </c>
      <c r="Z92" s="3">
        <f>infections!Z92-infections!Y92</f>
        <v>0</v>
      </c>
      <c r="AA92" s="3">
        <f>infections!AA92-infections!Z92</f>
        <v>0</v>
      </c>
      <c r="AB92" s="3">
        <f>infections!AB92-infections!AA92</f>
        <v>0</v>
      </c>
      <c r="AC92" s="3">
        <f>infections!AC92-infections!AB92</f>
        <v>0</v>
      </c>
      <c r="AD92" s="3">
        <f>infections!AD92-infections!AC92</f>
        <v>0</v>
      </c>
      <c r="AE92" s="3">
        <f>infections!AE92-infections!AD92</f>
        <v>0</v>
      </c>
      <c r="AF92" s="3">
        <f>infections!AF92-infections!AE92</f>
        <v>0</v>
      </c>
      <c r="AG92" s="3">
        <f>infections!AG92-infections!AF92</f>
        <v>0</v>
      </c>
      <c r="AH92" s="3">
        <f>infections!AH92-infections!AG92</f>
        <v>0</v>
      </c>
      <c r="AI92" s="3">
        <f>infections!AI92-infections!AH92</f>
        <v>0</v>
      </c>
      <c r="AJ92" s="3">
        <f>infections!AJ92-infections!AI92</f>
        <v>0</v>
      </c>
      <c r="AK92" s="3">
        <f>infections!AK92-infections!AJ92</f>
        <v>0</v>
      </c>
      <c r="AL92" s="3">
        <f>infections!AL92-infections!AK92</f>
        <v>0</v>
      </c>
      <c r="AM92" s="3">
        <f>infections!AM92-infections!AL92</f>
        <v>0</v>
      </c>
      <c r="AN92" s="3">
        <f>infections!AN92-infections!AM92</f>
        <v>0</v>
      </c>
      <c r="AO92" s="3">
        <f>infections!AO92-infections!AN92</f>
        <v>0</v>
      </c>
      <c r="AP92" s="3">
        <f>infections!AP92-infections!AO92</f>
        <v>0</v>
      </c>
      <c r="AQ92" s="3">
        <f>infections!AQ92-infections!AP92</f>
        <v>0</v>
      </c>
      <c r="AR92" s="3">
        <f>infections!AR92-infections!AQ92</f>
        <v>0</v>
      </c>
      <c r="AS92" s="3">
        <f>infections!AS92-infections!AR92</f>
        <v>0</v>
      </c>
      <c r="AT92" s="3">
        <f>infections!AT92-infections!AS92</f>
        <v>0</v>
      </c>
      <c r="AU92" s="3">
        <f>infections!AU92-infections!AT92</f>
        <v>0</v>
      </c>
      <c r="AV92" s="3">
        <f>infections!AV92-infections!AU92</f>
        <v>0</v>
      </c>
      <c r="AW92" s="3">
        <f>infections!AW92-infections!AV92</f>
        <v>0</v>
      </c>
      <c r="AX92" s="3">
        <f>infections!AX92-infections!AW92</f>
        <v>0</v>
      </c>
      <c r="AY92" s="3">
        <f>infections!AY92-infections!AX92</f>
        <v>0</v>
      </c>
      <c r="AZ92" s="3">
        <f>infections!AZ92-infections!AY92</f>
        <v>2</v>
      </c>
      <c r="BA92" s="3">
        <f>infections!BA92-infections!AZ92</f>
        <v>1</v>
      </c>
      <c r="BB92" s="3">
        <f>infections!BB92-infections!BA92</f>
        <v>3</v>
      </c>
      <c r="BC92" s="3">
        <f>infections!BC92-infections!BB92</f>
        <v>0</v>
      </c>
      <c r="BD92" s="3">
        <f>infections!BD92-infections!BC92</f>
        <v>8</v>
      </c>
      <c r="BE92" s="3">
        <f>infections!BE92-infections!BD92</f>
        <v>12</v>
      </c>
      <c r="BF92" s="3">
        <f>infections!BF92-infections!BE92</f>
        <v>0</v>
      </c>
      <c r="BG92" s="3">
        <f>infections!BG92-infections!BF92</f>
        <v>7</v>
      </c>
      <c r="BH92" s="3">
        <f>infections!BH92-infections!BG92</f>
        <v>13</v>
      </c>
      <c r="BI92" s="3">
        <f>infections!BI92-infections!BH92</f>
        <v>3</v>
      </c>
      <c r="BJ92" s="3">
        <f>infections!BJ92-infections!BI92</f>
        <v>18</v>
      </c>
      <c r="BK92" s="3">
        <f>infections!BK92-infections!BJ92</f>
        <v>0</v>
      </c>
      <c r="BL92" s="3">
        <f>infections!BL92-infections!BK92</f>
        <v>17</v>
      </c>
      <c r="BM92" s="3">
        <f>infections!BM92-infections!BL92</f>
        <v>11</v>
      </c>
      <c r="BN92" s="3">
        <f>infections!BN92-infections!BM92</f>
        <v>21</v>
      </c>
      <c r="BO92" s="3">
        <f>infections!BO92-infections!BN92</f>
        <v>8</v>
      </c>
      <c r="BP92" s="3">
        <f>infections!BP92-infections!BO92</f>
        <v>8</v>
      </c>
      <c r="BQ92" s="3">
        <f>infections!BQ92-infections!BP92</f>
        <v>14</v>
      </c>
      <c r="BR92" s="3">
        <f>infections!BR92-infections!BQ92</f>
        <v>16</v>
      </c>
      <c r="BS92" s="3">
        <f>infections!BS92-infections!BR92</f>
        <v>17</v>
      </c>
      <c r="BT92" s="3">
        <f>infections!BT92-infections!BS92</f>
        <v>35</v>
      </c>
      <c r="BU92" s="3">
        <f>infections!BU92-infections!BT92</f>
        <v>16</v>
      </c>
      <c r="BV92" s="3">
        <f>infections!BV92-infections!BU92</f>
        <v>32</v>
      </c>
      <c r="BW92" s="3">
        <f>infections!BW92-infections!BV92</f>
        <v>58</v>
      </c>
      <c r="BX92" s="3">
        <f>infections!BX92-infections!BW92</f>
        <v>36</v>
      </c>
      <c r="BY92" s="3">
        <f>infections!BY92-infections!BX92</f>
        <v>40</v>
      </c>
    </row>
    <row r="93">
      <c r="B93" s="1" t="str">
        <f>infections!B93</f>
        <v>Czechia</v>
      </c>
      <c r="C93" s="4">
        <f>infections!C93</f>
        <v>49.8175</v>
      </c>
      <c r="D93" s="4">
        <f>infections!D93</f>
        <v>15.473</v>
      </c>
      <c r="E93" s="4">
        <f>infections!E93</f>
        <v>0</v>
      </c>
      <c r="F93" s="3">
        <f>infections!F93-infections!E93</f>
        <v>0</v>
      </c>
      <c r="G93" s="3">
        <f>infections!G93-infections!F93</f>
        <v>0</v>
      </c>
      <c r="H93" s="3">
        <f>infections!H93-infections!G93</f>
        <v>0</v>
      </c>
      <c r="I93" s="3">
        <f>infections!I93-infections!H93</f>
        <v>0</v>
      </c>
      <c r="J93" s="3">
        <f>infections!J93-infections!I93</f>
        <v>0</v>
      </c>
      <c r="K93" s="3">
        <f>infections!K93-infections!J93</f>
        <v>0</v>
      </c>
      <c r="L93" s="3">
        <f>infections!L93-infections!K93</f>
        <v>0</v>
      </c>
      <c r="M93" s="3">
        <f>infections!M93-infections!L93</f>
        <v>0</v>
      </c>
      <c r="N93" s="3">
        <f>infections!N93-infections!M93</f>
        <v>0</v>
      </c>
      <c r="O93" s="3">
        <f>infections!O93-infections!N93</f>
        <v>0</v>
      </c>
      <c r="P93" s="3">
        <f>infections!P93-infections!O93</f>
        <v>0</v>
      </c>
      <c r="Q93" s="3">
        <f>infections!Q93-infections!P93</f>
        <v>0</v>
      </c>
      <c r="R93" s="3">
        <f>infections!R93-infections!Q93</f>
        <v>0</v>
      </c>
      <c r="S93" s="3">
        <f>infections!S93-infections!R93</f>
        <v>0</v>
      </c>
      <c r="T93" s="3">
        <f>infections!T93-infections!S93</f>
        <v>0</v>
      </c>
      <c r="U93" s="3">
        <f>infections!U93-infections!T93</f>
        <v>0</v>
      </c>
      <c r="V93" s="3">
        <f>infections!V93-infections!U93</f>
        <v>0</v>
      </c>
      <c r="W93" s="3">
        <f>infections!W93-infections!V93</f>
        <v>0</v>
      </c>
      <c r="X93" s="3">
        <f>infections!X93-infections!W93</f>
        <v>0</v>
      </c>
      <c r="Y93" s="3">
        <f>infections!Y93-infections!X93</f>
        <v>0</v>
      </c>
      <c r="Z93" s="3">
        <f>infections!Z93-infections!Y93</f>
        <v>0</v>
      </c>
      <c r="AA93" s="3">
        <f>infections!AA93-infections!Z93</f>
        <v>0</v>
      </c>
      <c r="AB93" s="3">
        <f>infections!AB93-infections!AA93</f>
        <v>0</v>
      </c>
      <c r="AC93" s="3">
        <f>infections!AC93-infections!AB93</f>
        <v>0</v>
      </c>
      <c r="AD93" s="3">
        <f>infections!AD93-infections!AC93</f>
        <v>0</v>
      </c>
      <c r="AE93" s="3">
        <f>infections!AE93-infections!AD93</f>
        <v>0</v>
      </c>
      <c r="AF93" s="3">
        <f>infections!AF93-infections!AE93</f>
        <v>0</v>
      </c>
      <c r="AG93" s="3">
        <f>infections!AG93-infections!AF93</f>
        <v>0</v>
      </c>
      <c r="AH93" s="3">
        <f>infections!AH93-infections!AG93</f>
        <v>0</v>
      </c>
      <c r="AI93" s="3">
        <f>infections!AI93-infections!AH93</f>
        <v>0</v>
      </c>
      <c r="AJ93" s="3">
        <f>infections!AJ93-infections!AI93</f>
        <v>0</v>
      </c>
      <c r="AK93" s="3">
        <f>infections!AK93-infections!AJ93</f>
        <v>0</v>
      </c>
      <c r="AL93" s="3">
        <f>infections!AL93-infections!AK93</f>
        <v>0</v>
      </c>
      <c r="AM93" s="3">
        <f>infections!AM93-infections!AL93</f>
        <v>0</v>
      </c>
      <c r="AN93" s="3">
        <f>infections!AN93-infections!AM93</f>
        <v>0</v>
      </c>
      <c r="AO93" s="3">
        <f>infections!AO93-infections!AN93</f>
        <v>0</v>
      </c>
      <c r="AP93" s="3">
        <f>infections!AP93-infections!AO93</f>
        <v>0</v>
      </c>
      <c r="AQ93" s="3">
        <f>infections!AQ93-infections!AP93</f>
        <v>0</v>
      </c>
      <c r="AR93" s="3">
        <f>infections!AR93-infections!AQ93</f>
        <v>3</v>
      </c>
      <c r="AS93" s="3">
        <f>infections!AS93-infections!AR93</f>
        <v>0</v>
      </c>
      <c r="AT93" s="3">
        <f>infections!AT93-infections!AS93</f>
        <v>2</v>
      </c>
      <c r="AU93" s="3">
        <f>infections!AU93-infections!AT93</f>
        <v>3</v>
      </c>
      <c r="AV93" s="3">
        <f>infections!AV93-infections!AU93</f>
        <v>4</v>
      </c>
      <c r="AW93" s="3">
        <f>infections!AW93-infections!AV93</f>
        <v>6</v>
      </c>
      <c r="AX93" s="3">
        <f>infections!AX93-infections!AW93</f>
        <v>1</v>
      </c>
      <c r="AY93" s="3">
        <f>infections!AY93-infections!AX93</f>
        <v>12</v>
      </c>
      <c r="AZ93" s="3">
        <f>infections!AZ93-infections!AY93</f>
        <v>0</v>
      </c>
      <c r="BA93" s="3">
        <f>infections!BA93-infections!AZ93</f>
        <v>10</v>
      </c>
      <c r="BB93" s="3">
        <f>infections!BB93-infections!BA93</f>
        <v>50</v>
      </c>
      <c r="BC93" s="3">
        <f>infections!BC93-infections!BB93</f>
        <v>3</v>
      </c>
      <c r="BD93" s="3">
        <f>infections!BD93-infections!BC93</f>
        <v>47</v>
      </c>
      <c r="BE93" s="3">
        <f>infections!BE93-infections!BD93</f>
        <v>48</v>
      </c>
      <c r="BF93" s="3">
        <f>infections!BF93-infections!BE93</f>
        <v>64</v>
      </c>
      <c r="BG93" s="3">
        <f>infections!BG93-infections!BF93</f>
        <v>45</v>
      </c>
      <c r="BH93" s="3">
        <f>infections!BH93-infections!BG93</f>
        <v>98</v>
      </c>
      <c r="BI93" s="3">
        <f>infections!BI93-infections!BH93</f>
        <v>68</v>
      </c>
      <c r="BJ93" s="3">
        <f>infections!BJ93-infections!BI93</f>
        <v>230</v>
      </c>
      <c r="BK93" s="3">
        <f>infections!BK93-infections!BJ93</f>
        <v>139</v>
      </c>
      <c r="BL93" s="3">
        <f>infections!BL93-infections!BK93</f>
        <v>162</v>
      </c>
      <c r="BM93" s="3">
        <f>infections!BM93-infections!BL93</f>
        <v>125</v>
      </c>
      <c r="BN93" s="3">
        <f>infections!BN93-infections!BM93</f>
        <v>116</v>
      </c>
      <c r="BO93" s="3">
        <f>infections!BO93-infections!BN93</f>
        <v>158</v>
      </c>
      <c r="BP93" s="3">
        <f>infections!BP93-infections!BO93</f>
        <v>260</v>
      </c>
      <c r="BQ93" s="3">
        <f>infections!BQ93-infections!BP93</f>
        <v>271</v>
      </c>
      <c r="BR93" s="3">
        <f>infections!BR93-infections!BQ93</f>
        <v>354</v>
      </c>
      <c r="BS93" s="3">
        <f>infections!BS93-infections!BR93</f>
        <v>352</v>
      </c>
      <c r="BT93" s="3">
        <f>infections!BT93-infections!BS93</f>
        <v>186</v>
      </c>
      <c r="BU93" s="3">
        <f>infections!BU93-infections!BT93</f>
        <v>184</v>
      </c>
      <c r="BV93" s="3">
        <f>infections!BV93-infections!BU93</f>
        <v>307</v>
      </c>
      <c r="BW93" s="3">
        <f>infections!BW93-infections!BV93</f>
        <v>200</v>
      </c>
      <c r="BX93" s="3">
        <f>infections!BX93-infections!BW93</f>
        <v>350</v>
      </c>
      <c r="BY93" s="3">
        <f>infections!BY93-infections!BX93</f>
        <v>233</v>
      </c>
    </row>
    <row r="94">
      <c r="B94" s="1" t="str">
        <f>infections!B94</f>
        <v>Denmark</v>
      </c>
      <c r="C94" s="4">
        <f>infections!C94</f>
        <v>61.8926</v>
      </c>
      <c r="D94" s="4">
        <f>infections!D94</f>
        <v>-6.9118</v>
      </c>
      <c r="E94" s="4">
        <f>infections!E94</f>
        <v>0</v>
      </c>
      <c r="F94" s="3">
        <f>infections!F94-infections!E94</f>
        <v>0</v>
      </c>
      <c r="G94" s="3">
        <f>infections!G94-infections!F94</f>
        <v>0</v>
      </c>
      <c r="H94" s="3">
        <f>infections!H94-infections!G94</f>
        <v>0</v>
      </c>
      <c r="I94" s="3">
        <f>infections!I94-infections!H94</f>
        <v>0</v>
      </c>
      <c r="J94" s="3">
        <f>infections!J94-infections!I94</f>
        <v>0</v>
      </c>
      <c r="K94" s="3">
        <f>infections!K94-infections!J94</f>
        <v>0</v>
      </c>
      <c r="L94" s="3">
        <f>infections!L94-infections!K94</f>
        <v>0</v>
      </c>
      <c r="M94" s="3">
        <f>infections!M94-infections!L94</f>
        <v>0</v>
      </c>
      <c r="N94" s="3">
        <f>infections!N94-infections!M94</f>
        <v>0</v>
      </c>
      <c r="O94" s="3">
        <f>infections!O94-infections!N94</f>
        <v>0</v>
      </c>
      <c r="P94" s="3">
        <f>infections!P94-infections!O94</f>
        <v>0</v>
      </c>
      <c r="Q94" s="3">
        <f>infections!Q94-infections!P94</f>
        <v>0</v>
      </c>
      <c r="R94" s="3">
        <f>infections!R94-infections!Q94</f>
        <v>0</v>
      </c>
      <c r="S94" s="3">
        <f>infections!S94-infections!R94</f>
        <v>0</v>
      </c>
      <c r="T94" s="3">
        <f>infections!T94-infections!S94</f>
        <v>0</v>
      </c>
      <c r="U94" s="3">
        <f>infections!U94-infections!T94</f>
        <v>0</v>
      </c>
      <c r="V94" s="3">
        <f>infections!V94-infections!U94</f>
        <v>0</v>
      </c>
      <c r="W94" s="3">
        <f>infections!W94-infections!V94</f>
        <v>0</v>
      </c>
      <c r="X94" s="3">
        <f>infections!X94-infections!W94</f>
        <v>0</v>
      </c>
      <c r="Y94" s="3">
        <f>infections!Y94-infections!X94</f>
        <v>0</v>
      </c>
      <c r="Z94" s="3">
        <f>infections!Z94-infections!Y94</f>
        <v>0</v>
      </c>
      <c r="AA94" s="3">
        <f>infections!AA94-infections!Z94</f>
        <v>0</v>
      </c>
      <c r="AB94" s="3">
        <f>infections!AB94-infections!AA94</f>
        <v>0</v>
      </c>
      <c r="AC94" s="3">
        <f>infections!AC94-infections!AB94</f>
        <v>0</v>
      </c>
      <c r="AD94" s="3">
        <f>infections!AD94-infections!AC94</f>
        <v>0</v>
      </c>
      <c r="AE94" s="3">
        <f>infections!AE94-infections!AD94</f>
        <v>0</v>
      </c>
      <c r="AF94" s="3">
        <f>infections!AF94-infections!AE94</f>
        <v>0</v>
      </c>
      <c r="AG94" s="3">
        <f>infections!AG94-infections!AF94</f>
        <v>0</v>
      </c>
      <c r="AH94" s="3">
        <f>infections!AH94-infections!AG94</f>
        <v>0</v>
      </c>
      <c r="AI94" s="3">
        <f>infections!AI94-infections!AH94</f>
        <v>0</v>
      </c>
      <c r="AJ94" s="3">
        <f>infections!AJ94-infections!AI94</f>
        <v>0</v>
      </c>
      <c r="AK94" s="3">
        <f>infections!AK94-infections!AJ94</f>
        <v>0</v>
      </c>
      <c r="AL94" s="3">
        <f>infections!AL94-infections!AK94</f>
        <v>0</v>
      </c>
      <c r="AM94" s="3">
        <f>infections!AM94-infections!AL94</f>
        <v>0</v>
      </c>
      <c r="AN94" s="3">
        <f>infections!AN94-infections!AM94</f>
        <v>0</v>
      </c>
      <c r="AO94" s="3">
        <f>infections!AO94-infections!AN94</f>
        <v>0</v>
      </c>
      <c r="AP94" s="3">
        <f>infections!AP94-infections!AO94</f>
        <v>0</v>
      </c>
      <c r="AQ94" s="3">
        <f>infections!AQ94-infections!AP94</f>
        <v>0</v>
      </c>
      <c r="AR94" s="3">
        <f>infections!AR94-infections!AQ94</f>
        <v>0</v>
      </c>
      <c r="AS94" s="3">
        <f>infections!AS94-infections!AR94</f>
        <v>0</v>
      </c>
      <c r="AT94" s="3">
        <f>infections!AT94-infections!AS94</f>
        <v>0</v>
      </c>
      <c r="AU94" s="3">
        <f>infections!AU94-infections!AT94</f>
        <v>1</v>
      </c>
      <c r="AV94" s="3">
        <f>infections!AV94-infections!AU94</f>
        <v>0</v>
      </c>
      <c r="AW94" s="3">
        <f>infections!AW94-infections!AV94</f>
        <v>0</v>
      </c>
      <c r="AX94" s="3">
        <f>infections!AX94-infections!AW94</f>
        <v>0</v>
      </c>
      <c r="AY94" s="3">
        <f>infections!AY94-infections!AX94</f>
        <v>1</v>
      </c>
      <c r="AZ94" s="3">
        <f>infections!AZ94-infections!AY94</f>
        <v>0</v>
      </c>
      <c r="BA94" s="3">
        <f>infections!BA94-infections!AZ94</f>
        <v>0</v>
      </c>
      <c r="BB94" s="3">
        <f>infections!BB94-infections!BA94</f>
        <v>0</v>
      </c>
      <c r="BC94" s="3">
        <f>infections!BC94-infections!BB94</f>
        <v>0</v>
      </c>
      <c r="BD94" s="3">
        <f>infections!BD94-infections!BC94</f>
        <v>1</v>
      </c>
      <c r="BE94" s="3">
        <f>infections!BE94-infections!BD94</f>
        <v>6</v>
      </c>
      <c r="BF94" s="3">
        <f>infections!BF94-infections!BE94</f>
        <v>2</v>
      </c>
      <c r="BG94" s="3">
        <f>infections!BG94-infections!BF94</f>
        <v>7</v>
      </c>
      <c r="BH94" s="3">
        <f>infections!BH94-infections!BG94</f>
        <v>29</v>
      </c>
      <c r="BI94" s="3">
        <f>infections!BI94-infections!BH94</f>
        <v>11</v>
      </c>
      <c r="BJ94" s="3">
        <f>infections!BJ94-infections!BI94</f>
        <v>14</v>
      </c>
      <c r="BK94" s="3">
        <f>infections!BK94-infections!BJ94</f>
        <v>8</v>
      </c>
      <c r="BL94" s="3">
        <f>infections!BL94-infections!BK94</f>
        <v>12</v>
      </c>
      <c r="BM94" s="3">
        <f>infections!BM94-infections!BL94</f>
        <v>23</v>
      </c>
      <c r="BN94" s="3">
        <f>infections!BN94-infections!BM94</f>
        <v>3</v>
      </c>
      <c r="BO94" s="3">
        <f>infections!BO94-infections!BN94</f>
        <v>4</v>
      </c>
      <c r="BP94" s="3">
        <f>infections!BP94-infections!BO94</f>
        <v>10</v>
      </c>
      <c r="BQ94" s="3">
        <f>infections!BQ94-infections!BP94</f>
        <v>8</v>
      </c>
      <c r="BR94" s="3">
        <f>infections!BR94-infections!BQ94</f>
        <v>4</v>
      </c>
      <c r="BS94" s="3">
        <f>infections!BS94-infections!BR94</f>
        <v>11</v>
      </c>
      <c r="BT94" s="3">
        <f>infections!BT94-infections!BS94</f>
        <v>4</v>
      </c>
      <c r="BU94" s="3">
        <f>infections!BU94-infections!BT94</f>
        <v>9</v>
      </c>
      <c r="BV94" s="3">
        <f>infections!BV94-infections!BU94</f>
        <v>1</v>
      </c>
      <c r="BW94" s="3">
        <f>infections!BW94-infections!BV94</f>
        <v>4</v>
      </c>
      <c r="BX94" s="3">
        <f>infections!BX94-infections!BW94</f>
        <v>4</v>
      </c>
      <c r="BY94" s="3">
        <f>infections!BY94-infections!BX94</f>
        <v>2</v>
      </c>
    </row>
    <row r="95">
      <c r="B95" s="1" t="str">
        <f>infections!B95</f>
        <v>Denmark</v>
      </c>
      <c r="C95" s="4">
        <f>infections!C95</f>
        <v>71.7069</v>
      </c>
      <c r="D95" s="4">
        <f>infections!D95</f>
        <v>-42.6043</v>
      </c>
      <c r="E95" s="4">
        <f>infections!E95</f>
        <v>0</v>
      </c>
      <c r="F95" s="3">
        <f>infections!F95-infections!E95</f>
        <v>0</v>
      </c>
      <c r="G95" s="3">
        <f>infections!G95-infections!F95</f>
        <v>0</v>
      </c>
      <c r="H95" s="3">
        <f>infections!H95-infections!G95</f>
        <v>0</v>
      </c>
      <c r="I95" s="3">
        <f>infections!I95-infections!H95</f>
        <v>0</v>
      </c>
      <c r="J95" s="3">
        <f>infections!J95-infections!I95</f>
        <v>0</v>
      </c>
      <c r="K95" s="3">
        <f>infections!K95-infections!J95</f>
        <v>0</v>
      </c>
      <c r="L95" s="3">
        <f>infections!L95-infections!K95</f>
        <v>0</v>
      </c>
      <c r="M95" s="3">
        <f>infections!M95-infections!L95</f>
        <v>0</v>
      </c>
      <c r="N95" s="3">
        <f>infections!N95-infections!M95</f>
        <v>0</v>
      </c>
      <c r="O95" s="3">
        <f>infections!O95-infections!N95</f>
        <v>0</v>
      </c>
      <c r="P95" s="3">
        <f>infections!P95-infections!O95</f>
        <v>0</v>
      </c>
      <c r="Q95" s="3">
        <f>infections!Q95-infections!P95</f>
        <v>0</v>
      </c>
      <c r="R95" s="3">
        <f>infections!R95-infections!Q95</f>
        <v>0</v>
      </c>
      <c r="S95" s="3">
        <f>infections!S95-infections!R95</f>
        <v>0</v>
      </c>
      <c r="T95" s="3">
        <f>infections!T95-infections!S95</f>
        <v>0</v>
      </c>
      <c r="U95" s="3">
        <f>infections!U95-infections!T95</f>
        <v>0</v>
      </c>
      <c r="V95" s="3">
        <f>infections!V95-infections!U95</f>
        <v>0</v>
      </c>
      <c r="W95" s="3">
        <f>infections!W95-infections!V95</f>
        <v>0</v>
      </c>
      <c r="X95" s="3">
        <f>infections!X95-infections!W95</f>
        <v>0</v>
      </c>
      <c r="Y95" s="3">
        <f>infections!Y95-infections!X95</f>
        <v>0</v>
      </c>
      <c r="Z95" s="3">
        <f>infections!Z95-infections!Y95</f>
        <v>0</v>
      </c>
      <c r="AA95" s="3">
        <f>infections!AA95-infections!Z95</f>
        <v>0</v>
      </c>
      <c r="AB95" s="3">
        <f>infections!AB95-infections!AA95</f>
        <v>0</v>
      </c>
      <c r="AC95" s="3">
        <f>infections!AC95-infections!AB95</f>
        <v>0</v>
      </c>
      <c r="AD95" s="3">
        <f>infections!AD95-infections!AC95</f>
        <v>0</v>
      </c>
      <c r="AE95" s="3">
        <f>infections!AE95-infections!AD95</f>
        <v>0</v>
      </c>
      <c r="AF95" s="3">
        <f>infections!AF95-infections!AE95</f>
        <v>0</v>
      </c>
      <c r="AG95" s="3">
        <f>infections!AG95-infections!AF95</f>
        <v>0</v>
      </c>
      <c r="AH95" s="3">
        <f>infections!AH95-infections!AG95</f>
        <v>0</v>
      </c>
      <c r="AI95" s="3">
        <f>infections!AI95-infections!AH95</f>
        <v>0</v>
      </c>
      <c r="AJ95" s="3">
        <f>infections!AJ95-infections!AI95</f>
        <v>0</v>
      </c>
      <c r="AK95" s="3">
        <f>infections!AK95-infections!AJ95</f>
        <v>0</v>
      </c>
      <c r="AL95" s="3">
        <f>infections!AL95-infections!AK95</f>
        <v>0</v>
      </c>
      <c r="AM95" s="3">
        <f>infections!AM95-infections!AL95</f>
        <v>0</v>
      </c>
      <c r="AN95" s="3">
        <f>infections!AN95-infections!AM95</f>
        <v>0</v>
      </c>
      <c r="AO95" s="3">
        <f>infections!AO95-infections!AN95</f>
        <v>0</v>
      </c>
      <c r="AP95" s="3">
        <f>infections!AP95-infections!AO95</f>
        <v>0</v>
      </c>
      <c r="AQ95" s="3">
        <f>infections!AQ95-infections!AP95</f>
        <v>0</v>
      </c>
      <c r="AR95" s="3">
        <f>infections!AR95-infections!AQ95</f>
        <v>0</v>
      </c>
      <c r="AS95" s="3">
        <f>infections!AS95-infections!AR95</f>
        <v>0</v>
      </c>
      <c r="AT95" s="3">
        <f>infections!AT95-infections!AS95</f>
        <v>0</v>
      </c>
      <c r="AU95" s="3">
        <f>infections!AU95-infections!AT95</f>
        <v>0</v>
      </c>
      <c r="AV95" s="3">
        <f>infections!AV95-infections!AU95</f>
        <v>0</v>
      </c>
      <c r="AW95" s="3">
        <f>infections!AW95-infections!AV95</f>
        <v>0</v>
      </c>
      <c r="AX95" s="3">
        <f>infections!AX95-infections!AW95</f>
        <v>0</v>
      </c>
      <c r="AY95" s="3">
        <f>infections!AY95-infections!AX95</f>
        <v>0</v>
      </c>
      <c r="AZ95" s="3">
        <f>infections!AZ95-infections!AY95</f>
        <v>0</v>
      </c>
      <c r="BA95" s="3">
        <f>infections!BA95-infections!AZ95</f>
        <v>0</v>
      </c>
      <c r="BB95" s="3">
        <f>infections!BB95-infections!BA95</f>
        <v>0</v>
      </c>
      <c r="BC95" s="3">
        <f>infections!BC95-infections!BB95</f>
        <v>0</v>
      </c>
      <c r="BD95" s="3">
        <f>infections!BD95-infections!BC95</f>
        <v>0</v>
      </c>
      <c r="BE95" s="3">
        <f>infections!BE95-infections!BD95</f>
        <v>0</v>
      </c>
      <c r="BF95" s="3">
        <f>infections!BF95-infections!BE95</f>
        <v>0</v>
      </c>
      <c r="BG95" s="3">
        <f>infections!BG95-infections!BF95</f>
        <v>1</v>
      </c>
      <c r="BH95" s="3">
        <f>infections!BH95-infections!BG95</f>
        <v>0</v>
      </c>
      <c r="BI95" s="3">
        <f>infections!BI95-infections!BH95</f>
        <v>0</v>
      </c>
      <c r="BJ95" s="3">
        <f>infections!BJ95-infections!BI95</f>
        <v>1</v>
      </c>
      <c r="BK95" s="3">
        <f>infections!BK95-infections!BJ95</f>
        <v>0</v>
      </c>
      <c r="BL95" s="3">
        <f>infections!BL95-infections!BK95</f>
        <v>0</v>
      </c>
      <c r="BM95" s="3">
        <f>infections!BM95-infections!BL95</f>
        <v>2</v>
      </c>
      <c r="BN95" s="3">
        <f>infections!BN95-infections!BM95</f>
        <v>0</v>
      </c>
      <c r="BO95" s="3">
        <f>infections!BO95-infections!BN95</f>
        <v>1</v>
      </c>
      <c r="BP95" s="3">
        <f>infections!BP95-infections!BO95</f>
        <v>1</v>
      </c>
      <c r="BQ95" s="3">
        <f>infections!BQ95-infections!BP95</f>
        <v>0</v>
      </c>
      <c r="BR95" s="3">
        <f>infections!BR95-infections!BQ95</f>
        <v>4</v>
      </c>
      <c r="BS95" s="3">
        <f>infections!BS95-infections!BR95</f>
        <v>0</v>
      </c>
      <c r="BT95" s="3">
        <f>infections!BT95-infections!BS95</f>
        <v>0</v>
      </c>
      <c r="BU95" s="3">
        <f>infections!BU95-infections!BT95</f>
        <v>0</v>
      </c>
      <c r="BV95" s="3">
        <f>infections!BV95-infections!BU95</f>
        <v>0</v>
      </c>
      <c r="BW95" s="3">
        <f>infections!BW95-infections!BV95</f>
        <v>0</v>
      </c>
      <c r="BX95" s="3">
        <f>infections!BX95-infections!BW95</f>
        <v>0</v>
      </c>
      <c r="BY95" s="3">
        <f>infections!BY95-infections!BX95</f>
        <v>0</v>
      </c>
    </row>
    <row r="96">
      <c r="B96" s="1" t="str">
        <f>infections!B96</f>
        <v>Denmark</v>
      </c>
      <c r="C96" s="4">
        <f>infections!C96</f>
        <v>56.2639</v>
      </c>
      <c r="D96" s="4">
        <f>infections!D96</f>
        <v>9.5018</v>
      </c>
      <c r="E96" s="4">
        <f>infections!E96</f>
        <v>0</v>
      </c>
      <c r="F96" s="3">
        <f>infections!F96-infections!E96</f>
        <v>0</v>
      </c>
      <c r="G96" s="3">
        <f>infections!G96-infections!F96</f>
        <v>0</v>
      </c>
      <c r="H96" s="3">
        <f>infections!H96-infections!G96</f>
        <v>0</v>
      </c>
      <c r="I96" s="3">
        <f>infections!I96-infections!H96</f>
        <v>0</v>
      </c>
      <c r="J96" s="3">
        <f>infections!J96-infections!I96</f>
        <v>0</v>
      </c>
      <c r="K96" s="3">
        <f>infections!K96-infections!J96</f>
        <v>0</v>
      </c>
      <c r="L96" s="3">
        <f>infections!L96-infections!K96</f>
        <v>0</v>
      </c>
      <c r="M96" s="3">
        <f>infections!M96-infections!L96</f>
        <v>0</v>
      </c>
      <c r="N96" s="3">
        <f>infections!N96-infections!M96</f>
        <v>0</v>
      </c>
      <c r="O96" s="3">
        <f>infections!O96-infections!N96</f>
        <v>0</v>
      </c>
      <c r="P96" s="3">
        <f>infections!P96-infections!O96</f>
        <v>0</v>
      </c>
      <c r="Q96" s="3">
        <f>infections!Q96-infections!P96</f>
        <v>0</v>
      </c>
      <c r="R96" s="3">
        <f>infections!R96-infections!Q96</f>
        <v>0</v>
      </c>
      <c r="S96" s="3">
        <f>infections!S96-infections!R96</f>
        <v>0</v>
      </c>
      <c r="T96" s="3">
        <f>infections!T96-infections!S96</f>
        <v>0</v>
      </c>
      <c r="U96" s="3">
        <f>infections!U96-infections!T96</f>
        <v>0</v>
      </c>
      <c r="V96" s="3">
        <f>infections!V96-infections!U96</f>
        <v>0</v>
      </c>
      <c r="W96" s="3">
        <f>infections!W96-infections!V96</f>
        <v>0</v>
      </c>
      <c r="X96" s="3">
        <f>infections!X96-infections!W96</f>
        <v>0</v>
      </c>
      <c r="Y96" s="3">
        <f>infections!Y96-infections!X96</f>
        <v>0</v>
      </c>
      <c r="Z96" s="3">
        <f>infections!Z96-infections!Y96</f>
        <v>0</v>
      </c>
      <c r="AA96" s="3">
        <f>infections!AA96-infections!Z96</f>
        <v>0</v>
      </c>
      <c r="AB96" s="3">
        <f>infections!AB96-infections!AA96</f>
        <v>0</v>
      </c>
      <c r="AC96" s="3">
        <f>infections!AC96-infections!AB96</f>
        <v>0</v>
      </c>
      <c r="AD96" s="3">
        <f>infections!AD96-infections!AC96</f>
        <v>0</v>
      </c>
      <c r="AE96" s="3">
        <f>infections!AE96-infections!AD96</f>
        <v>0</v>
      </c>
      <c r="AF96" s="3">
        <f>infections!AF96-infections!AE96</f>
        <v>0</v>
      </c>
      <c r="AG96" s="3">
        <f>infections!AG96-infections!AF96</f>
        <v>0</v>
      </c>
      <c r="AH96" s="3">
        <f>infections!AH96-infections!AG96</f>
        <v>0</v>
      </c>
      <c r="AI96" s="3">
        <f>infections!AI96-infections!AH96</f>
        <v>0</v>
      </c>
      <c r="AJ96" s="3">
        <f>infections!AJ96-infections!AI96</f>
        <v>0</v>
      </c>
      <c r="AK96" s="3">
        <f>infections!AK96-infections!AJ96</f>
        <v>0</v>
      </c>
      <c r="AL96" s="3">
        <f>infections!AL96-infections!AK96</f>
        <v>0</v>
      </c>
      <c r="AM96" s="3">
        <f>infections!AM96-infections!AL96</f>
        <v>0</v>
      </c>
      <c r="AN96" s="3">
        <f>infections!AN96-infections!AM96</f>
        <v>0</v>
      </c>
      <c r="AO96" s="3">
        <f>infections!AO96-infections!AN96</f>
        <v>1</v>
      </c>
      <c r="AP96" s="3">
        <f>infections!AP96-infections!AO96</f>
        <v>0</v>
      </c>
      <c r="AQ96" s="3">
        <f>infections!AQ96-infections!AP96</f>
        <v>2</v>
      </c>
      <c r="AR96" s="3">
        <f>infections!AR96-infections!AQ96</f>
        <v>1</v>
      </c>
      <c r="AS96" s="3">
        <f>infections!AS96-infections!AR96</f>
        <v>0</v>
      </c>
      <c r="AT96" s="3">
        <f>infections!AT96-infections!AS96</f>
        <v>2</v>
      </c>
      <c r="AU96" s="3">
        <f>infections!AU96-infections!AT96</f>
        <v>4</v>
      </c>
      <c r="AV96" s="3">
        <f>infections!AV96-infections!AU96</f>
        <v>0</v>
      </c>
      <c r="AW96" s="3">
        <f>infections!AW96-infections!AV96</f>
        <v>13</v>
      </c>
      <c r="AX96" s="3">
        <f>infections!AX96-infections!AW96</f>
        <v>0</v>
      </c>
      <c r="AY96" s="3">
        <f>infections!AY96-infections!AX96</f>
        <v>12</v>
      </c>
      <c r="AZ96" s="3">
        <f>infections!AZ96-infections!AY96</f>
        <v>55</v>
      </c>
      <c r="BA96" s="3">
        <f>infections!BA96-infections!AZ96</f>
        <v>172</v>
      </c>
      <c r="BB96" s="3">
        <f>infections!BB96-infections!BA96</f>
        <v>180</v>
      </c>
      <c r="BC96" s="3">
        <f>infections!BC96-infections!BB96</f>
        <v>173</v>
      </c>
      <c r="BD96" s="3">
        <f>infections!BD96-infections!BC96</f>
        <v>186</v>
      </c>
      <c r="BE96" s="3">
        <f>infections!BE96-infections!BD96</f>
        <v>26</v>
      </c>
      <c r="BF96" s="3">
        <f>infections!BF96-infections!BE96</f>
        <v>37</v>
      </c>
      <c r="BG96" s="3">
        <f>infections!BG96-infections!BF96</f>
        <v>50</v>
      </c>
      <c r="BH96" s="3">
        <f>infections!BH96-infections!BG96</f>
        <v>63</v>
      </c>
      <c r="BI96" s="3">
        <f>infections!BI96-infections!BH96</f>
        <v>80</v>
      </c>
      <c r="BJ96" s="3">
        <f>infections!BJ96-infections!BI96</f>
        <v>94</v>
      </c>
      <c r="BK96" s="3">
        <f>infections!BK96-infections!BJ96</f>
        <v>104</v>
      </c>
      <c r="BL96" s="3">
        <f>infections!BL96-infections!BK96</f>
        <v>71</v>
      </c>
      <c r="BM96" s="3">
        <f>infections!BM96-infections!BL96</f>
        <v>69</v>
      </c>
      <c r="BN96" s="3">
        <f>infections!BN96-infections!BM96</f>
        <v>55</v>
      </c>
      <c r="BO96" s="3">
        <f>infections!BO96-infections!BN96</f>
        <v>141</v>
      </c>
      <c r="BP96" s="3">
        <f>infections!BP96-infections!BO96</f>
        <v>133</v>
      </c>
      <c r="BQ96" s="3">
        <f>infections!BQ96-infections!BP96</f>
        <v>153</v>
      </c>
      <c r="BR96" s="3">
        <f>infections!BR96-infections!BQ96</f>
        <v>169</v>
      </c>
      <c r="BS96" s="3">
        <f>infections!BS96-infections!BR96</f>
        <v>155</v>
      </c>
      <c r="BT96" s="3">
        <f>infections!BT96-infections!BS96</f>
        <v>194</v>
      </c>
      <c r="BU96" s="3">
        <f>infections!BU96-infections!BT96</f>
        <v>182</v>
      </c>
      <c r="BV96" s="3">
        <f>infections!BV96-infections!BU96</f>
        <v>283</v>
      </c>
      <c r="BW96" s="3">
        <f>infections!BW96-infections!BV96</f>
        <v>247</v>
      </c>
      <c r="BX96" s="3">
        <f>infections!BX96-infections!BW96</f>
        <v>279</v>
      </c>
      <c r="BY96" s="3">
        <f>infections!BY96-infections!BX96</f>
        <v>371</v>
      </c>
    </row>
    <row r="97">
      <c r="B97" s="1" t="str">
        <f>infections!B97</f>
        <v>Djibouti</v>
      </c>
      <c r="C97" s="4">
        <f>infections!C97</f>
        <v>11.8251</v>
      </c>
      <c r="D97" s="4">
        <f>infections!D97</f>
        <v>42.5903</v>
      </c>
      <c r="E97" s="4">
        <f>infections!E97</f>
        <v>0</v>
      </c>
      <c r="F97" s="3">
        <f>infections!F97-infections!E97</f>
        <v>0</v>
      </c>
      <c r="G97" s="3">
        <f>infections!G97-infections!F97</f>
        <v>0</v>
      </c>
      <c r="H97" s="3">
        <f>infections!H97-infections!G97</f>
        <v>0</v>
      </c>
      <c r="I97" s="3">
        <f>infections!I97-infections!H97</f>
        <v>0</v>
      </c>
      <c r="J97" s="3">
        <f>infections!J97-infections!I97</f>
        <v>0</v>
      </c>
      <c r="K97" s="3">
        <f>infections!K97-infections!J97</f>
        <v>0</v>
      </c>
      <c r="L97" s="3">
        <f>infections!L97-infections!K97</f>
        <v>0</v>
      </c>
      <c r="M97" s="3">
        <f>infections!M97-infections!L97</f>
        <v>0</v>
      </c>
      <c r="N97" s="3">
        <f>infections!N97-infections!M97</f>
        <v>0</v>
      </c>
      <c r="O97" s="3">
        <f>infections!O97-infections!N97</f>
        <v>0</v>
      </c>
      <c r="P97" s="3">
        <f>infections!P97-infections!O97</f>
        <v>0</v>
      </c>
      <c r="Q97" s="3">
        <f>infections!Q97-infections!P97</f>
        <v>0</v>
      </c>
      <c r="R97" s="3">
        <f>infections!R97-infections!Q97</f>
        <v>0</v>
      </c>
      <c r="S97" s="3">
        <f>infections!S97-infections!R97</f>
        <v>0</v>
      </c>
      <c r="T97" s="3">
        <f>infections!T97-infections!S97</f>
        <v>0</v>
      </c>
      <c r="U97" s="3">
        <f>infections!U97-infections!T97</f>
        <v>0</v>
      </c>
      <c r="V97" s="3">
        <f>infections!V97-infections!U97</f>
        <v>0</v>
      </c>
      <c r="W97" s="3">
        <f>infections!W97-infections!V97</f>
        <v>0</v>
      </c>
      <c r="X97" s="3">
        <f>infections!X97-infections!W97</f>
        <v>0</v>
      </c>
      <c r="Y97" s="3">
        <f>infections!Y97-infections!X97</f>
        <v>0</v>
      </c>
      <c r="Z97" s="3">
        <f>infections!Z97-infections!Y97</f>
        <v>0</v>
      </c>
      <c r="AA97" s="3">
        <f>infections!AA97-infections!Z97</f>
        <v>0</v>
      </c>
      <c r="AB97" s="3">
        <f>infections!AB97-infections!AA97</f>
        <v>0</v>
      </c>
      <c r="AC97" s="3">
        <f>infections!AC97-infections!AB97</f>
        <v>0</v>
      </c>
      <c r="AD97" s="3">
        <f>infections!AD97-infections!AC97</f>
        <v>0</v>
      </c>
      <c r="AE97" s="3">
        <f>infections!AE97-infections!AD97</f>
        <v>0</v>
      </c>
      <c r="AF97" s="3">
        <f>infections!AF97-infections!AE97</f>
        <v>0</v>
      </c>
      <c r="AG97" s="3">
        <f>infections!AG97-infections!AF97</f>
        <v>0</v>
      </c>
      <c r="AH97" s="3">
        <f>infections!AH97-infections!AG97</f>
        <v>0</v>
      </c>
      <c r="AI97" s="3">
        <f>infections!AI97-infections!AH97</f>
        <v>0</v>
      </c>
      <c r="AJ97" s="3">
        <f>infections!AJ97-infections!AI97</f>
        <v>0</v>
      </c>
      <c r="AK97" s="3">
        <f>infections!AK97-infections!AJ97</f>
        <v>0</v>
      </c>
      <c r="AL97" s="3">
        <f>infections!AL97-infections!AK97</f>
        <v>0</v>
      </c>
      <c r="AM97" s="3">
        <f>infections!AM97-infections!AL97</f>
        <v>0</v>
      </c>
      <c r="AN97" s="3">
        <f>infections!AN97-infections!AM97</f>
        <v>0</v>
      </c>
      <c r="AO97" s="3">
        <f>infections!AO97-infections!AN97</f>
        <v>0</v>
      </c>
      <c r="AP97" s="3">
        <f>infections!AP97-infections!AO97</f>
        <v>0</v>
      </c>
      <c r="AQ97" s="3">
        <f>infections!AQ97-infections!AP97</f>
        <v>0</v>
      </c>
      <c r="AR97" s="3">
        <f>infections!AR97-infections!AQ97</f>
        <v>0</v>
      </c>
      <c r="AS97" s="3">
        <f>infections!AS97-infections!AR97</f>
        <v>0</v>
      </c>
      <c r="AT97" s="3">
        <f>infections!AT97-infections!AS97</f>
        <v>0</v>
      </c>
      <c r="AU97" s="3">
        <f>infections!AU97-infections!AT97</f>
        <v>0</v>
      </c>
      <c r="AV97" s="3">
        <f>infections!AV97-infections!AU97</f>
        <v>0</v>
      </c>
      <c r="AW97" s="3">
        <f>infections!AW97-infections!AV97</f>
        <v>0</v>
      </c>
      <c r="AX97" s="3">
        <f>infections!AX97-infections!AW97</f>
        <v>0</v>
      </c>
      <c r="AY97" s="3">
        <f>infections!AY97-infections!AX97</f>
        <v>0</v>
      </c>
      <c r="AZ97" s="3">
        <f>infections!AZ97-infections!AY97</f>
        <v>0</v>
      </c>
      <c r="BA97" s="3">
        <f>infections!BA97-infections!AZ97</f>
        <v>0</v>
      </c>
      <c r="BB97" s="3">
        <f>infections!BB97-infections!BA97</f>
        <v>0</v>
      </c>
      <c r="BC97" s="3">
        <f>infections!BC97-infections!BB97</f>
        <v>0</v>
      </c>
      <c r="BD97" s="3">
        <f>infections!BD97-infections!BC97</f>
        <v>0</v>
      </c>
      <c r="BE97" s="3">
        <f>infections!BE97-infections!BD97</f>
        <v>0</v>
      </c>
      <c r="BF97" s="3">
        <f>infections!BF97-infections!BE97</f>
        <v>0</v>
      </c>
      <c r="BG97" s="3">
        <f>infections!BG97-infections!BF97</f>
        <v>0</v>
      </c>
      <c r="BH97" s="3">
        <f>infections!BH97-infections!BG97</f>
        <v>0</v>
      </c>
      <c r="BI97" s="3">
        <f>infections!BI97-infections!BH97</f>
        <v>1</v>
      </c>
      <c r="BJ97" s="3">
        <f>infections!BJ97-infections!BI97</f>
        <v>0</v>
      </c>
      <c r="BK97" s="3">
        <f>infections!BK97-infections!BJ97</f>
        <v>0</v>
      </c>
      <c r="BL97" s="3">
        <f>infections!BL97-infections!BK97</f>
        <v>0</v>
      </c>
      <c r="BM97" s="3">
        <f>infections!BM97-infections!BL97</f>
        <v>0</v>
      </c>
      <c r="BN97" s="3">
        <f>infections!BN97-infections!BM97</f>
        <v>2</v>
      </c>
      <c r="BO97" s="3">
        <f>infections!BO97-infections!BN97</f>
        <v>0</v>
      </c>
      <c r="BP97" s="3">
        <f>infections!BP97-infections!BO97</f>
        <v>8</v>
      </c>
      <c r="BQ97" s="3">
        <f>infections!BQ97-infections!BP97</f>
        <v>0</v>
      </c>
      <c r="BR97" s="3">
        <f>infections!BR97-infections!BQ97</f>
        <v>1</v>
      </c>
      <c r="BS97" s="3">
        <f>infections!BS97-infections!BR97</f>
        <v>2</v>
      </c>
      <c r="BT97" s="3">
        <f>infections!BT97-infections!BS97</f>
        <v>4</v>
      </c>
      <c r="BU97" s="3">
        <f>infections!BU97-infections!BT97</f>
        <v>0</v>
      </c>
      <c r="BV97" s="3">
        <f>infections!BV97-infections!BU97</f>
        <v>12</v>
      </c>
      <c r="BW97" s="3">
        <f>infections!BW97-infections!BV97</f>
        <v>3</v>
      </c>
      <c r="BX97" s="3">
        <f>infections!BX97-infections!BW97</f>
        <v>7</v>
      </c>
      <c r="BY97" s="3">
        <f>infections!BY97-infections!BX97</f>
        <v>9</v>
      </c>
    </row>
    <row r="98">
      <c r="B98" s="1" t="str">
        <f>infections!B98</f>
        <v>Dominican Republic</v>
      </c>
      <c r="C98" s="4">
        <f>infections!C98</f>
        <v>18.7357</v>
      </c>
      <c r="D98" s="4">
        <f>infections!D98</f>
        <v>-70.1627</v>
      </c>
      <c r="E98" s="4">
        <f>infections!E98</f>
        <v>0</v>
      </c>
      <c r="F98" s="3">
        <f>infections!F98-infections!E98</f>
        <v>0</v>
      </c>
      <c r="G98" s="3">
        <f>infections!G98-infections!F98</f>
        <v>0</v>
      </c>
      <c r="H98" s="3">
        <f>infections!H98-infections!G98</f>
        <v>0</v>
      </c>
      <c r="I98" s="3">
        <f>infections!I98-infections!H98</f>
        <v>0</v>
      </c>
      <c r="J98" s="3">
        <f>infections!J98-infections!I98</f>
        <v>0</v>
      </c>
      <c r="K98" s="3">
        <f>infections!K98-infections!J98</f>
        <v>0</v>
      </c>
      <c r="L98" s="3">
        <f>infections!L98-infections!K98</f>
        <v>0</v>
      </c>
      <c r="M98" s="3">
        <f>infections!M98-infections!L98</f>
        <v>0</v>
      </c>
      <c r="N98" s="3">
        <f>infections!N98-infections!M98</f>
        <v>0</v>
      </c>
      <c r="O98" s="3">
        <f>infections!O98-infections!N98</f>
        <v>0</v>
      </c>
      <c r="P98" s="3">
        <f>infections!P98-infections!O98</f>
        <v>0</v>
      </c>
      <c r="Q98" s="3">
        <f>infections!Q98-infections!P98</f>
        <v>0</v>
      </c>
      <c r="R98" s="3">
        <f>infections!R98-infections!Q98</f>
        <v>0</v>
      </c>
      <c r="S98" s="3">
        <f>infections!S98-infections!R98</f>
        <v>0</v>
      </c>
      <c r="T98" s="3">
        <f>infections!T98-infections!S98</f>
        <v>0</v>
      </c>
      <c r="U98" s="3">
        <f>infections!U98-infections!T98</f>
        <v>0</v>
      </c>
      <c r="V98" s="3">
        <f>infections!V98-infections!U98</f>
        <v>0</v>
      </c>
      <c r="W98" s="3">
        <f>infections!W98-infections!V98</f>
        <v>0</v>
      </c>
      <c r="X98" s="3">
        <f>infections!X98-infections!W98</f>
        <v>0</v>
      </c>
      <c r="Y98" s="3">
        <f>infections!Y98-infections!X98</f>
        <v>0</v>
      </c>
      <c r="Z98" s="3">
        <f>infections!Z98-infections!Y98</f>
        <v>0</v>
      </c>
      <c r="AA98" s="3">
        <f>infections!AA98-infections!Z98</f>
        <v>0</v>
      </c>
      <c r="AB98" s="3">
        <f>infections!AB98-infections!AA98</f>
        <v>0</v>
      </c>
      <c r="AC98" s="3">
        <f>infections!AC98-infections!AB98</f>
        <v>0</v>
      </c>
      <c r="AD98" s="3">
        <f>infections!AD98-infections!AC98</f>
        <v>0</v>
      </c>
      <c r="AE98" s="3">
        <f>infections!AE98-infections!AD98</f>
        <v>0</v>
      </c>
      <c r="AF98" s="3">
        <f>infections!AF98-infections!AE98</f>
        <v>0</v>
      </c>
      <c r="AG98" s="3">
        <f>infections!AG98-infections!AF98</f>
        <v>0</v>
      </c>
      <c r="AH98" s="3">
        <f>infections!AH98-infections!AG98</f>
        <v>0</v>
      </c>
      <c r="AI98" s="3">
        <f>infections!AI98-infections!AH98</f>
        <v>0</v>
      </c>
      <c r="AJ98" s="3">
        <f>infections!AJ98-infections!AI98</f>
        <v>0</v>
      </c>
      <c r="AK98" s="3">
        <f>infections!AK98-infections!AJ98</f>
        <v>0</v>
      </c>
      <c r="AL98" s="3">
        <f>infections!AL98-infections!AK98</f>
        <v>0</v>
      </c>
      <c r="AM98" s="3">
        <f>infections!AM98-infections!AL98</f>
        <v>0</v>
      </c>
      <c r="AN98" s="3">
        <f>infections!AN98-infections!AM98</f>
        <v>0</v>
      </c>
      <c r="AO98" s="3">
        <f>infections!AO98-infections!AN98</f>
        <v>0</v>
      </c>
      <c r="AP98" s="3">
        <f>infections!AP98-infections!AO98</f>
        <v>0</v>
      </c>
      <c r="AQ98" s="3">
        <f>infections!AQ98-infections!AP98</f>
        <v>0</v>
      </c>
      <c r="AR98" s="3">
        <f>infections!AR98-infections!AQ98</f>
        <v>1</v>
      </c>
      <c r="AS98" s="3">
        <f>infections!AS98-infections!AR98</f>
        <v>0</v>
      </c>
      <c r="AT98" s="3">
        <f>infections!AT98-infections!AS98</f>
        <v>0</v>
      </c>
      <c r="AU98" s="3">
        <f>infections!AU98-infections!AT98</f>
        <v>0</v>
      </c>
      <c r="AV98" s="3">
        <f>infections!AV98-infections!AU98</f>
        <v>0</v>
      </c>
      <c r="AW98" s="3">
        <f>infections!AW98-infections!AV98</f>
        <v>1</v>
      </c>
      <c r="AX98" s="3">
        <f>infections!AX98-infections!AW98</f>
        <v>0</v>
      </c>
      <c r="AY98" s="3">
        <f>infections!AY98-infections!AX98</f>
        <v>3</v>
      </c>
      <c r="AZ98" s="3">
        <f>infections!AZ98-infections!AY98</f>
        <v>0</v>
      </c>
      <c r="BA98" s="3">
        <f>infections!BA98-infections!AZ98</f>
        <v>0</v>
      </c>
      <c r="BB98" s="3">
        <f>infections!BB98-infections!BA98</f>
        <v>0</v>
      </c>
      <c r="BC98" s="3">
        <f>infections!BC98-infections!BB98</f>
        <v>0</v>
      </c>
      <c r="BD98" s="3">
        <f>infections!BD98-infections!BC98</f>
        <v>0</v>
      </c>
      <c r="BE98" s="3">
        <f>infections!BE98-infections!BD98</f>
        <v>6</v>
      </c>
      <c r="BF98" s="3">
        <f>infections!BF98-infections!BE98</f>
        <v>0</v>
      </c>
      <c r="BG98" s="3">
        <f>infections!BG98-infections!BF98</f>
        <v>0</v>
      </c>
      <c r="BH98" s="3">
        <f>infections!BH98-infections!BG98</f>
        <v>10</v>
      </c>
      <c r="BI98" s="3">
        <f>infections!BI98-infections!BH98</f>
        <v>0</v>
      </c>
      <c r="BJ98" s="3">
        <f>infections!BJ98-infections!BI98</f>
        <v>13</v>
      </c>
      <c r="BK98" s="3">
        <f>infections!BK98-infections!BJ98</f>
        <v>38</v>
      </c>
      <c r="BL98" s="3">
        <f>infections!BL98-infections!BK98</f>
        <v>40</v>
      </c>
      <c r="BM98" s="3">
        <f>infections!BM98-infections!BL98</f>
        <v>90</v>
      </c>
      <c r="BN98" s="3">
        <f>infections!BN98-infections!BM98</f>
        <v>43</v>
      </c>
      <c r="BO98" s="3">
        <f>infections!BO98-infections!BN98</f>
        <v>67</v>
      </c>
      <c r="BP98" s="3">
        <f>infections!BP98-infections!BO98</f>
        <v>80</v>
      </c>
      <c r="BQ98" s="3">
        <f>infections!BQ98-infections!BP98</f>
        <v>96</v>
      </c>
      <c r="BR98" s="3">
        <f>infections!BR98-infections!BQ98</f>
        <v>93</v>
      </c>
      <c r="BS98" s="3">
        <f>infections!BS98-infections!BR98</f>
        <v>138</v>
      </c>
      <c r="BT98" s="3">
        <f>infections!BT98-infections!BS98</f>
        <v>140</v>
      </c>
      <c r="BU98" s="3">
        <f>infections!BU98-infections!BT98</f>
        <v>42</v>
      </c>
      <c r="BV98" s="3">
        <f>infections!BV98-infections!BU98</f>
        <v>208</v>
      </c>
      <c r="BW98" s="3">
        <f>infections!BW98-infections!BV98</f>
        <v>175</v>
      </c>
      <c r="BX98" s="3">
        <f>infections!BX98-infections!BW98</f>
        <v>96</v>
      </c>
      <c r="BY98" s="3">
        <f>infections!BY98-infections!BX98</f>
        <v>108</v>
      </c>
    </row>
    <row r="99">
      <c r="B99" s="1" t="str">
        <f>infections!B99</f>
        <v>Ecuador</v>
      </c>
      <c r="C99" s="4">
        <f>infections!C99</f>
        <v>-1.8312</v>
      </c>
      <c r="D99" s="4">
        <f>infections!D99</f>
        <v>-78.1834</v>
      </c>
      <c r="E99" s="4">
        <f>infections!E99</f>
        <v>0</v>
      </c>
      <c r="F99" s="3">
        <f>infections!F99-infections!E99</f>
        <v>0</v>
      </c>
      <c r="G99" s="3">
        <f>infections!G99-infections!F99</f>
        <v>0</v>
      </c>
      <c r="H99" s="3">
        <f>infections!H99-infections!G99</f>
        <v>0</v>
      </c>
      <c r="I99" s="3">
        <f>infections!I99-infections!H99</f>
        <v>0</v>
      </c>
      <c r="J99" s="3">
        <f>infections!J99-infections!I99</f>
        <v>0</v>
      </c>
      <c r="K99" s="3">
        <f>infections!K99-infections!J99</f>
        <v>0</v>
      </c>
      <c r="L99" s="3">
        <f>infections!L99-infections!K99</f>
        <v>0</v>
      </c>
      <c r="M99" s="3">
        <f>infections!M99-infections!L99</f>
        <v>0</v>
      </c>
      <c r="N99" s="3">
        <f>infections!N99-infections!M99</f>
        <v>0</v>
      </c>
      <c r="O99" s="3">
        <f>infections!O99-infections!N99</f>
        <v>0</v>
      </c>
      <c r="P99" s="3">
        <f>infections!P99-infections!O99</f>
        <v>0</v>
      </c>
      <c r="Q99" s="3">
        <f>infections!Q99-infections!P99</f>
        <v>0</v>
      </c>
      <c r="R99" s="3">
        <f>infections!R99-infections!Q99</f>
        <v>0</v>
      </c>
      <c r="S99" s="3">
        <f>infections!S99-infections!R99</f>
        <v>0</v>
      </c>
      <c r="T99" s="3">
        <f>infections!T99-infections!S99</f>
        <v>0</v>
      </c>
      <c r="U99" s="3">
        <f>infections!U99-infections!T99</f>
        <v>0</v>
      </c>
      <c r="V99" s="3">
        <f>infections!V99-infections!U99</f>
        <v>0</v>
      </c>
      <c r="W99" s="3">
        <f>infections!W99-infections!V99</f>
        <v>0</v>
      </c>
      <c r="X99" s="3">
        <f>infections!X99-infections!W99</f>
        <v>0</v>
      </c>
      <c r="Y99" s="3">
        <f>infections!Y99-infections!X99</f>
        <v>0</v>
      </c>
      <c r="Z99" s="3">
        <f>infections!Z99-infections!Y99</f>
        <v>0</v>
      </c>
      <c r="AA99" s="3">
        <f>infections!AA99-infections!Z99</f>
        <v>0</v>
      </c>
      <c r="AB99" s="3">
        <f>infections!AB99-infections!AA99</f>
        <v>0</v>
      </c>
      <c r="AC99" s="3">
        <f>infections!AC99-infections!AB99</f>
        <v>0</v>
      </c>
      <c r="AD99" s="3">
        <f>infections!AD99-infections!AC99</f>
        <v>0</v>
      </c>
      <c r="AE99" s="3">
        <f>infections!AE99-infections!AD99</f>
        <v>0</v>
      </c>
      <c r="AF99" s="3">
        <f>infections!AF99-infections!AE99</f>
        <v>0</v>
      </c>
      <c r="AG99" s="3">
        <f>infections!AG99-infections!AF99</f>
        <v>0</v>
      </c>
      <c r="AH99" s="3">
        <f>infections!AH99-infections!AG99</f>
        <v>0</v>
      </c>
      <c r="AI99" s="3">
        <f>infections!AI99-infections!AH99</f>
        <v>0</v>
      </c>
      <c r="AJ99" s="3">
        <f>infections!AJ99-infections!AI99</f>
        <v>0</v>
      </c>
      <c r="AK99" s="3">
        <f>infections!AK99-infections!AJ99</f>
        <v>0</v>
      </c>
      <c r="AL99" s="3">
        <f>infections!AL99-infections!AK99</f>
        <v>0</v>
      </c>
      <c r="AM99" s="3">
        <f>infections!AM99-infections!AL99</f>
        <v>0</v>
      </c>
      <c r="AN99" s="3">
        <f>infections!AN99-infections!AM99</f>
        <v>0</v>
      </c>
      <c r="AO99" s="3">
        <f>infections!AO99-infections!AN99</f>
        <v>0</v>
      </c>
      <c r="AP99" s="3">
        <f>infections!AP99-infections!AO99</f>
        <v>0</v>
      </c>
      <c r="AQ99" s="3">
        <f>infections!AQ99-infections!AP99</f>
        <v>0</v>
      </c>
      <c r="AR99" s="3">
        <f>infections!AR99-infections!AQ99</f>
        <v>6</v>
      </c>
      <c r="AS99" s="3">
        <f>infections!AS99-infections!AR99</f>
        <v>0</v>
      </c>
      <c r="AT99" s="3">
        <f>infections!AT99-infections!AS99</f>
        <v>1</v>
      </c>
      <c r="AU99" s="3">
        <f>infections!AU99-infections!AT99</f>
        <v>3</v>
      </c>
      <c r="AV99" s="3">
        <f>infections!AV99-infections!AU99</f>
        <v>3</v>
      </c>
      <c r="AW99" s="3">
        <f>infections!AW99-infections!AV99</f>
        <v>0</v>
      </c>
      <c r="AX99" s="3">
        <f>infections!AX99-infections!AW99</f>
        <v>0</v>
      </c>
      <c r="AY99" s="3">
        <f>infections!AY99-infections!AX99</f>
        <v>1</v>
      </c>
      <c r="AZ99" s="3">
        <f>infections!AZ99-infections!AY99</f>
        <v>1</v>
      </c>
      <c r="BA99" s="3">
        <f>infections!BA99-infections!AZ99</f>
        <v>0</v>
      </c>
      <c r="BB99" s="3">
        <f>infections!BB99-infections!BA99</f>
        <v>2</v>
      </c>
      <c r="BC99" s="3">
        <f>infections!BC99-infections!BB99</f>
        <v>0</v>
      </c>
      <c r="BD99" s="3">
        <f>infections!BD99-infections!BC99</f>
        <v>0</v>
      </c>
      <c r="BE99" s="3">
        <f>infections!BE99-infections!BD99</f>
        <v>11</v>
      </c>
      <c r="BF99" s="3">
        <f>infections!BF99-infections!BE99</f>
        <v>0</v>
      </c>
      <c r="BG99" s="3">
        <f>infections!BG99-infections!BF99</f>
        <v>9</v>
      </c>
      <c r="BH99" s="3">
        <f>infections!BH99-infections!BG99</f>
        <v>21</v>
      </c>
      <c r="BI99" s="3">
        <f>infections!BI99-infections!BH99</f>
        <v>53</v>
      </c>
      <c r="BJ99" s="3">
        <f>infections!BJ99-infections!BI99</f>
        <v>88</v>
      </c>
      <c r="BK99" s="3">
        <f>infections!BK99-infections!BJ99</f>
        <v>168</v>
      </c>
      <c r="BL99" s="3">
        <f>infections!BL99-infections!BK99</f>
        <v>139</v>
      </c>
      <c r="BM99" s="3">
        <f>infections!BM99-infections!BL99</f>
        <v>283</v>
      </c>
      <c r="BN99" s="3">
        <f>infections!BN99-infections!BM99</f>
        <v>192</v>
      </c>
      <c r="BO99" s="3">
        <f>infections!BO99-infections!BN99</f>
        <v>101</v>
      </c>
      <c r="BP99" s="3">
        <f>infections!BP99-infections!BO99</f>
        <v>91</v>
      </c>
      <c r="BQ99" s="3">
        <f>infections!BQ99-infections!BP99</f>
        <v>230</v>
      </c>
      <c r="BR99" s="3">
        <f>infections!BR99-infections!BQ99</f>
        <v>192</v>
      </c>
      <c r="BS99" s="3">
        <f>infections!BS99-infections!BR99</f>
        <v>228</v>
      </c>
      <c r="BT99" s="3">
        <f>infections!BT99-infections!BS99</f>
        <v>101</v>
      </c>
      <c r="BU99" s="3">
        <f>infections!BU99-infections!BT99</f>
        <v>38</v>
      </c>
      <c r="BV99" s="3">
        <f>infections!BV99-infections!BU99</f>
        <v>278</v>
      </c>
      <c r="BW99" s="3">
        <f>infections!BW99-infections!BV99</f>
        <v>508</v>
      </c>
      <c r="BX99" s="3">
        <f>infections!BX99-infections!BW99</f>
        <v>415</v>
      </c>
      <c r="BY99" s="3">
        <f>infections!BY99-infections!BX99</f>
        <v>205</v>
      </c>
    </row>
    <row r="100">
      <c r="B100" s="1" t="str">
        <f>infections!B100</f>
        <v>Egypt</v>
      </c>
      <c r="C100" s="4">
        <f>infections!C100</f>
        <v>26</v>
      </c>
      <c r="D100" s="4">
        <f>infections!D100</f>
        <v>30</v>
      </c>
      <c r="E100" s="4">
        <f>infections!E100</f>
        <v>0</v>
      </c>
      <c r="F100" s="3">
        <f>infections!F100-infections!E100</f>
        <v>0</v>
      </c>
      <c r="G100" s="3">
        <f>infections!G100-infections!F100</f>
        <v>0</v>
      </c>
      <c r="H100" s="3">
        <f>infections!H100-infections!G100</f>
        <v>0</v>
      </c>
      <c r="I100" s="3">
        <f>infections!I100-infections!H100</f>
        <v>0</v>
      </c>
      <c r="J100" s="3">
        <f>infections!J100-infections!I100</f>
        <v>0</v>
      </c>
      <c r="K100" s="3">
        <f>infections!K100-infections!J100</f>
        <v>0</v>
      </c>
      <c r="L100" s="3">
        <f>infections!L100-infections!K100</f>
        <v>0</v>
      </c>
      <c r="M100" s="3">
        <f>infections!M100-infections!L100</f>
        <v>0</v>
      </c>
      <c r="N100" s="3">
        <f>infections!N100-infections!M100</f>
        <v>0</v>
      </c>
      <c r="O100" s="3">
        <f>infections!O100-infections!N100</f>
        <v>0</v>
      </c>
      <c r="P100" s="3">
        <f>infections!P100-infections!O100</f>
        <v>0</v>
      </c>
      <c r="Q100" s="3">
        <f>infections!Q100-infections!P100</f>
        <v>0</v>
      </c>
      <c r="R100" s="3">
        <f>infections!R100-infections!Q100</f>
        <v>0</v>
      </c>
      <c r="S100" s="3">
        <f>infections!S100-infections!R100</f>
        <v>0</v>
      </c>
      <c r="T100" s="3">
        <f>infections!T100-infections!S100</f>
        <v>0</v>
      </c>
      <c r="U100" s="3">
        <f>infections!U100-infections!T100</f>
        <v>0</v>
      </c>
      <c r="V100" s="3">
        <f>infections!V100-infections!U100</f>
        <v>0</v>
      </c>
      <c r="W100" s="3">
        <f>infections!W100-infections!V100</f>
        <v>0</v>
      </c>
      <c r="X100" s="3">
        <f>infections!X100-infections!W100</f>
        <v>0</v>
      </c>
      <c r="Y100" s="3">
        <f>infections!Y100-infections!X100</f>
        <v>0</v>
      </c>
      <c r="Z100" s="3">
        <f>infections!Z100-infections!Y100</f>
        <v>0</v>
      </c>
      <c r="AA100" s="3">
        <f>infections!AA100-infections!Z100</f>
        <v>0</v>
      </c>
      <c r="AB100" s="3">
        <f>infections!AB100-infections!AA100</f>
        <v>1</v>
      </c>
      <c r="AC100" s="3">
        <f>infections!AC100-infections!AB100</f>
        <v>0</v>
      </c>
      <c r="AD100" s="3">
        <f>infections!AD100-infections!AC100</f>
        <v>0</v>
      </c>
      <c r="AE100" s="3">
        <f>infections!AE100-infections!AD100</f>
        <v>0</v>
      </c>
      <c r="AF100" s="3">
        <f>infections!AF100-infections!AE100</f>
        <v>0</v>
      </c>
      <c r="AG100" s="3">
        <f>infections!AG100-infections!AF100</f>
        <v>0</v>
      </c>
      <c r="AH100" s="3">
        <f>infections!AH100-infections!AG100</f>
        <v>0</v>
      </c>
      <c r="AI100" s="3">
        <f>infections!AI100-infections!AH100</f>
        <v>0</v>
      </c>
      <c r="AJ100" s="3">
        <f>infections!AJ100-infections!AI100</f>
        <v>0</v>
      </c>
      <c r="AK100" s="3">
        <f>infections!AK100-infections!AJ100</f>
        <v>0</v>
      </c>
      <c r="AL100" s="3">
        <f>infections!AL100-infections!AK100</f>
        <v>0</v>
      </c>
      <c r="AM100" s="3">
        <f>infections!AM100-infections!AL100</f>
        <v>0</v>
      </c>
      <c r="AN100" s="3">
        <f>infections!AN100-infections!AM100</f>
        <v>0</v>
      </c>
      <c r="AO100" s="3">
        <f>infections!AO100-infections!AN100</f>
        <v>0</v>
      </c>
      <c r="AP100" s="3">
        <f>infections!AP100-infections!AO100</f>
        <v>0</v>
      </c>
      <c r="AQ100" s="3">
        <f>infections!AQ100-infections!AP100</f>
        <v>0</v>
      </c>
      <c r="AR100" s="3">
        <f>infections!AR100-infections!AQ100</f>
        <v>1</v>
      </c>
      <c r="AS100" s="3">
        <f>infections!AS100-infections!AR100</f>
        <v>0</v>
      </c>
      <c r="AT100" s="3">
        <f>infections!AT100-infections!AS100</f>
        <v>0</v>
      </c>
      <c r="AU100" s="3">
        <f>infections!AU100-infections!AT100</f>
        <v>0</v>
      </c>
      <c r="AV100" s="3">
        <f>infections!AV100-infections!AU100</f>
        <v>1</v>
      </c>
      <c r="AW100" s="3">
        <f>infections!AW100-infections!AV100</f>
        <v>12</v>
      </c>
      <c r="AX100" s="3">
        <f>infections!AX100-infections!AW100</f>
        <v>0</v>
      </c>
      <c r="AY100" s="3">
        <f>infections!AY100-infections!AX100</f>
        <v>34</v>
      </c>
      <c r="AZ100" s="3">
        <f>infections!AZ100-infections!AY100</f>
        <v>6</v>
      </c>
      <c r="BA100" s="3">
        <f>infections!BA100-infections!AZ100</f>
        <v>4</v>
      </c>
      <c r="BB100" s="3">
        <f>infections!BB100-infections!BA100</f>
        <v>1</v>
      </c>
      <c r="BC100" s="3">
        <f>infections!BC100-infections!BB100</f>
        <v>7</v>
      </c>
      <c r="BD100" s="3">
        <f>infections!BD100-infections!BC100</f>
        <v>13</v>
      </c>
      <c r="BE100" s="3">
        <f>infections!BE100-infections!BD100</f>
        <v>29</v>
      </c>
      <c r="BF100" s="3">
        <f>infections!BF100-infections!BE100</f>
        <v>1</v>
      </c>
      <c r="BG100" s="3">
        <f>infections!BG100-infections!BF100</f>
        <v>40</v>
      </c>
      <c r="BH100" s="3">
        <f>infections!BH100-infections!BG100</f>
        <v>46</v>
      </c>
      <c r="BI100" s="3">
        <f>infections!BI100-infections!BH100</f>
        <v>0</v>
      </c>
      <c r="BJ100" s="3">
        <f>infections!BJ100-infections!BI100</f>
        <v>60</v>
      </c>
      <c r="BK100" s="3">
        <f>infections!BK100-infections!BJ100</f>
        <v>29</v>
      </c>
      <c r="BL100" s="3">
        <f>infections!BL100-infections!BK100</f>
        <v>9</v>
      </c>
      <c r="BM100" s="3">
        <f>infections!BM100-infections!BL100</f>
        <v>33</v>
      </c>
      <c r="BN100" s="3">
        <f>infections!BN100-infections!BM100</f>
        <v>39</v>
      </c>
      <c r="BO100" s="3">
        <f>infections!BO100-infections!BN100</f>
        <v>36</v>
      </c>
      <c r="BP100" s="3">
        <f>infections!BP100-infections!BO100</f>
        <v>54</v>
      </c>
      <c r="BQ100" s="3">
        <f>infections!BQ100-infections!BP100</f>
        <v>39</v>
      </c>
      <c r="BR100" s="3">
        <f>infections!BR100-infections!BQ100</f>
        <v>41</v>
      </c>
      <c r="BS100" s="3">
        <f>infections!BS100-infections!BR100</f>
        <v>40</v>
      </c>
      <c r="BT100" s="3">
        <f>infections!BT100-infections!BS100</f>
        <v>33</v>
      </c>
      <c r="BU100" s="3">
        <f>infections!BU100-infections!BT100</f>
        <v>47</v>
      </c>
      <c r="BV100" s="3">
        <f>infections!BV100-infections!BU100</f>
        <v>54</v>
      </c>
      <c r="BW100" s="3">
        <f>infections!BW100-infections!BV100</f>
        <v>69</v>
      </c>
      <c r="BX100" s="3">
        <f>infections!BX100-infections!BW100</f>
        <v>86</v>
      </c>
      <c r="BY100" s="3">
        <f>infections!BY100-infections!BX100</f>
        <v>120</v>
      </c>
    </row>
    <row r="101">
      <c r="B101" s="1" t="str">
        <f>infections!B101</f>
        <v>El Salvador</v>
      </c>
      <c r="C101" s="4">
        <f>infections!C101</f>
        <v>13.7942</v>
      </c>
      <c r="D101" s="4">
        <f>infections!D101</f>
        <v>-88.8965</v>
      </c>
      <c r="E101" s="4">
        <f>infections!E101</f>
        <v>0</v>
      </c>
      <c r="F101" s="3">
        <f>infections!F101-infections!E101</f>
        <v>0</v>
      </c>
      <c r="G101" s="3">
        <f>infections!G101-infections!F101</f>
        <v>0</v>
      </c>
      <c r="H101" s="3">
        <f>infections!H101-infections!G101</f>
        <v>0</v>
      </c>
      <c r="I101" s="3">
        <f>infections!I101-infections!H101</f>
        <v>0</v>
      </c>
      <c r="J101" s="3">
        <f>infections!J101-infections!I101</f>
        <v>0</v>
      </c>
      <c r="K101" s="3">
        <f>infections!K101-infections!J101</f>
        <v>0</v>
      </c>
      <c r="L101" s="3">
        <f>infections!L101-infections!K101</f>
        <v>0</v>
      </c>
      <c r="M101" s="3">
        <f>infections!M101-infections!L101</f>
        <v>0</v>
      </c>
      <c r="N101" s="3">
        <f>infections!N101-infections!M101</f>
        <v>0</v>
      </c>
      <c r="O101" s="3">
        <f>infections!O101-infections!N101</f>
        <v>0</v>
      </c>
      <c r="P101" s="3">
        <f>infections!P101-infections!O101</f>
        <v>0</v>
      </c>
      <c r="Q101" s="3">
        <f>infections!Q101-infections!P101</f>
        <v>0</v>
      </c>
      <c r="R101" s="3">
        <f>infections!R101-infections!Q101</f>
        <v>0</v>
      </c>
      <c r="S101" s="3">
        <f>infections!S101-infections!R101</f>
        <v>0</v>
      </c>
      <c r="T101" s="3">
        <f>infections!T101-infections!S101</f>
        <v>0</v>
      </c>
      <c r="U101" s="3">
        <f>infections!U101-infections!T101</f>
        <v>0</v>
      </c>
      <c r="V101" s="3">
        <f>infections!V101-infections!U101</f>
        <v>0</v>
      </c>
      <c r="W101" s="3">
        <f>infections!W101-infections!V101</f>
        <v>0</v>
      </c>
      <c r="X101" s="3">
        <f>infections!X101-infections!W101</f>
        <v>0</v>
      </c>
      <c r="Y101" s="3">
        <f>infections!Y101-infections!X101</f>
        <v>0</v>
      </c>
      <c r="Z101" s="3">
        <f>infections!Z101-infections!Y101</f>
        <v>0</v>
      </c>
      <c r="AA101" s="3">
        <f>infections!AA101-infections!Z101</f>
        <v>0</v>
      </c>
      <c r="AB101" s="3">
        <f>infections!AB101-infections!AA101</f>
        <v>0</v>
      </c>
      <c r="AC101" s="3">
        <f>infections!AC101-infections!AB101</f>
        <v>0</v>
      </c>
      <c r="AD101" s="3">
        <f>infections!AD101-infections!AC101</f>
        <v>0</v>
      </c>
      <c r="AE101" s="3">
        <f>infections!AE101-infections!AD101</f>
        <v>0</v>
      </c>
      <c r="AF101" s="3">
        <f>infections!AF101-infections!AE101</f>
        <v>0</v>
      </c>
      <c r="AG101" s="3">
        <f>infections!AG101-infections!AF101</f>
        <v>0</v>
      </c>
      <c r="AH101" s="3">
        <f>infections!AH101-infections!AG101</f>
        <v>0</v>
      </c>
      <c r="AI101" s="3">
        <f>infections!AI101-infections!AH101</f>
        <v>0</v>
      </c>
      <c r="AJ101" s="3">
        <f>infections!AJ101-infections!AI101</f>
        <v>0</v>
      </c>
      <c r="AK101" s="3">
        <f>infections!AK101-infections!AJ101</f>
        <v>0</v>
      </c>
      <c r="AL101" s="3">
        <f>infections!AL101-infections!AK101</f>
        <v>0</v>
      </c>
      <c r="AM101" s="3">
        <f>infections!AM101-infections!AL101</f>
        <v>0</v>
      </c>
      <c r="AN101" s="3">
        <f>infections!AN101-infections!AM101</f>
        <v>0</v>
      </c>
      <c r="AO101" s="3">
        <f>infections!AO101-infections!AN101</f>
        <v>0</v>
      </c>
      <c r="AP101" s="3">
        <f>infections!AP101-infections!AO101</f>
        <v>0</v>
      </c>
      <c r="AQ101" s="3">
        <f>infections!AQ101-infections!AP101</f>
        <v>0</v>
      </c>
      <c r="AR101" s="3">
        <f>infections!AR101-infections!AQ101</f>
        <v>0</v>
      </c>
      <c r="AS101" s="3">
        <f>infections!AS101-infections!AR101</f>
        <v>0</v>
      </c>
      <c r="AT101" s="3">
        <f>infections!AT101-infections!AS101</f>
        <v>0</v>
      </c>
      <c r="AU101" s="3">
        <f>infections!AU101-infections!AT101</f>
        <v>0</v>
      </c>
      <c r="AV101" s="3">
        <f>infections!AV101-infections!AU101</f>
        <v>0</v>
      </c>
      <c r="AW101" s="3">
        <f>infections!AW101-infections!AV101</f>
        <v>0</v>
      </c>
      <c r="AX101" s="3">
        <f>infections!AX101-infections!AW101</f>
        <v>0</v>
      </c>
      <c r="AY101" s="3">
        <f>infections!AY101-infections!AX101</f>
        <v>0</v>
      </c>
      <c r="AZ101" s="3">
        <f>infections!AZ101-infections!AY101</f>
        <v>0</v>
      </c>
      <c r="BA101" s="3">
        <f>infections!BA101-infections!AZ101</f>
        <v>0</v>
      </c>
      <c r="BB101" s="3">
        <f>infections!BB101-infections!BA101</f>
        <v>0</v>
      </c>
      <c r="BC101" s="3">
        <f>infections!BC101-infections!BB101</f>
        <v>0</v>
      </c>
      <c r="BD101" s="3">
        <f>infections!BD101-infections!BC101</f>
        <v>0</v>
      </c>
      <c r="BE101" s="3">
        <f>infections!BE101-infections!BD101</f>
        <v>0</v>
      </c>
      <c r="BF101" s="3">
        <f>infections!BF101-infections!BE101</f>
        <v>0</v>
      </c>
      <c r="BG101" s="3">
        <f>infections!BG101-infections!BF101</f>
        <v>0</v>
      </c>
      <c r="BH101" s="3">
        <f>infections!BH101-infections!BG101</f>
        <v>0</v>
      </c>
      <c r="BI101" s="3">
        <f>infections!BI101-infections!BH101</f>
        <v>0</v>
      </c>
      <c r="BJ101" s="3">
        <f>infections!BJ101-infections!BI101</f>
        <v>1</v>
      </c>
      <c r="BK101" s="3">
        <f>infections!BK101-infections!BJ101</f>
        <v>0</v>
      </c>
      <c r="BL101" s="3">
        <f>infections!BL101-infections!BK101</f>
        <v>2</v>
      </c>
      <c r="BM101" s="3">
        <f>infections!BM101-infections!BL101</f>
        <v>0</v>
      </c>
      <c r="BN101" s="3">
        <f>infections!BN101-infections!BM101</f>
        <v>0</v>
      </c>
      <c r="BO101" s="3">
        <f>infections!BO101-infections!BN101</f>
        <v>2</v>
      </c>
      <c r="BP101" s="3">
        <f>infections!BP101-infections!BO101</f>
        <v>4</v>
      </c>
      <c r="BQ101" s="3">
        <f>infections!BQ101-infections!BP101</f>
        <v>4</v>
      </c>
      <c r="BR101" s="3">
        <f>infections!BR101-infections!BQ101</f>
        <v>0</v>
      </c>
      <c r="BS101" s="3">
        <f>infections!BS101-infections!BR101</f>
        <v>6</v>
      </c>
      <c r="BT101" s="3">
        <f>infections!BT101-infections!BS101</f>
        <v>5</v>
      </c>
      <c r="BU101" s="3">
        <f>infections!BU101-infections!BT101</f>
        <v>6</v>
      </c>
      <c r="BV101" s="3">
        <f>infections!BV101-infections!BU101</f>
        <v>2</v>
      </c>
      <c r="BW101" s="3">
        <f>infections!BW101-infections!BV101</f>
        <v>0</v>
      </c>
      <c r="BX101" s="3">
        <f>infections!BX101-infections!BW101</f>
        <v>9</v>
      </c>
      <c r="BY101" s="3">
        <f>infections!BY101-infections!BX101</f>
        <v>5</v>
      </c>
    </row>
    <row r="102">
      <c r="B102" s="1" t="str">
        <f>infections!B102</f>
        <v>Equatorial Guinea</v>
      </c>
      <c r="C102" s="4">
        <f>infections!C102</f>
        <v>1.5</v>
      </c>
      <c r="D102" s="4">
        <f>infections!D102</f>
        <v>10</v>
      </c>
      <c r="E102" s="4">
        <f>infections!E102</f>
        <v>0</v>
      </c>
      <c r="F102" s="3">
        <f>infections!F102-infections!E102</f>
        <v>0</v>
      </c>
      <c r="G102" s="3">
        <f>infections!G102-infections!F102</f>
        <v>0</v>
      </c>
      <c r="H102" s="3">
        <f>infections!H102-infections!G102</f>
        <v>0</v>
      </c>
      <c r="I102" s="3">
        <f>infections!I102-infections!H102</f>
        <v>0</v>
      </c>
      <c r="J102" s="3">
        <f>infections!J102-infections!I102</f>
        <v>0</v>
      </c>
      <c r="K102" s="3">
        <f>infections!K102-infections!J102</f>
        <v>0</v>
      </c>
      <c r="L102" s="3">
        <f>infections!L102-infections!K102</f>
        <v>0</v>
      </c>
      <c r="M102" s="3">
        <f>infections!M102-infections!L102</f>
        <v>0</v>
      </c>
      <c r="N102" s="3">
        <f>infections!N102-infections!M102</f>
        <v>0</v>
      </c>
      <c r="O102" s="3">
        <f>infections!O102-infections!N102</f>
        <v>0</v>
      </c>
      <c r="P102" s="3">
        <f>infections!P102-infections!O102</f>
        <v>0</v>
      </c>
      <c r="Q102" s="3">
        <f>infections!Q102-infections!P102</f>
        <v>0</v>
      </c>
      <c r="R102" s="3">
        <f>infections!R102-infections!Q102</f>
        <v>0</v>
      </c>
      <c r="S102" s="3">
        <f>infections!S102-infections!R102</f>
        <v>0</v>
      </c>
      <c r="T102" s="3">
        <f>infections!T102-infections!S102</f>
        <v>0</v>
      </c>
      <c r="U102" s="3">
        <f>infections!U102-infections!T102</f>
        <v>0</v>
      </c>
      <c r="V102" s="3">
        <f>infections!V102-infections!U102</f>
        <v>0</v>
      </c>
      <c r="W102" s="3">
        <f>infections!W102-infections!V102</f>
        <v>0</v>
      </c>
      <c r="X102" s="3">
        <f>infections!X102-infections!W102</f>
        <v>0</v>
      </c>
      <c r="Y102" s="3">
        <f>infections!Y102-infections!X102</f>
        <v>0</v>
      </c>
      <c r="Z102" s="3">
        <f>infections!Z102-infections!Y102</f>
        <v>0</v>
      </c>
      <c r="AA102" s="3">
        <f>infections!AA102-infections!Z102</f>
        <v>0</v>
      </c>
      <c r="AB102" s="3">
        <f>infections!AB102-infections!AA102</f>
        <v>0</v>
      </c>
      <c r="AC102" s="3">
        <f>infections!AC102-infections!AB102</f>
        <v>0</v>
      </c>
      <c r="AD102" s="3">
        <f>infections!AD102-infections!AC102</f>
        <v>0</v>
      </c>
      <c r="AE102" s="3">
        <f>infections!AE102-infections!AD102</f>
        <v>0</v>
      </c>
      <c r="AF102" s="3">
        <f>infections!AF102-infections!AE102</f>
        <v>0</v>
      </c>
      <c r="AG102" s="3">
        <f>infections!AG102-infections!AF102</f>
        <v>0</v>
      </c>
      <c r="AH102" s="3">
        <f>infections!AH102-infections!AG102</f>
        <v>0</v>
      </c>
      <c r="AI102" s="3">
        <f>infections!AI102-infections!AH102</f>
        <v>0</v>
      </c>
      <c r="AJ102" s="3">
        <f>infections!AJ102-infections!AI102</f>
        <v>0</v>
      </c>
      <c r="AK102" s="3">
        <f>infections!AK102-infections!AJ102</f>
        <v>0</v>
      </c>
      <c r="AL102" s="3">
        <f>infections!AL102-infections!AK102</f>
        <v>0</v>
      </c>
      <c r="AM102" s="3">
        <f>infections!AM102-infections!AL102</f>
        <v>0</v>
      </c>
      <c r="AN102" s="3">
        <f>infections!AN102-infections!AM102</f>
        <v>0</v>
      </c>
      <c r="AO102" s="3">
        <f>infections!AO102-infections!AN102</f>
        <v>0</v>
      </c>
      <c r="AP102" s="3">
        <f>infections!AP102-infections!AO102</f>
        <v>0</v>
      </c>
      <c r="AQ102" s="3">
        <f>infections!AQ102-infections!AP102</f>
        <v>0</v>
      </c>
      <c r="AR102" s="3">
        <f>infections!AR102-infections!AQ102</f>
        <v>0</v>
      </c>
      <c r="AS102" s="3">
        <f>infections!AS102-infections!AR102</f>
        <v>0</v>
      </c>
      <c r="AT102" s="3">
        <f>infections!AT102-infections!AS102</f>
        <v>0</v>
      </c>
      <c r="AU102" s="3">
        <f>infections!AU102-infections!AT102</f>
        <v>0</v>
      </c>
      <c r="AV102" s="3">
        <f>infections!AV102-infections!AU102</f>
        <v>0</v>
      </c>
      <c r="AW102" s="3">
        <f>infections!AW102-infections!AV102</f>
        <v>0</v>
      </c>
      <c r="AX102" s="3">
        <f>infections!AX102-infections!AW102</f>
        <v>0</v>
      </c>
      <c r="AY102" s="3">
        <f>infections!AY102-infections!AX102</f>
        <v>0</v>
      </c>
      <c r="AZ102" s="3">
        <f>infections!AZ102-infections!AY102</f>
        <v>0</v>
      </c>
      <c r="BA102" s="3">
        <f>infections!BA102-infections!AZ102</f>
        <v>0</v>
      </c>
      <c r="BB102" s="3">
        <f>infections!BB102-infections!BA102</f>
        <v>0</v>
      </c>
      <c r="BC102" s="3">
        <f>infections!BC102-infections!BB102</f>
        <v>0</v>
      </c>
      <c r="BD102" s="3">
        <f>infections!BD102-infections!BC102</f>
        <v>0</v>
      </c>
      <c r="BE102" s="3">
        <f>infections!BE102-infections!BD102</f>
        <v>0</v>
      </c>
      <c r="BF102" s="3">
        <f>infections!BF102-infections!BE102</f>
        <v>1</v>
      </c>
      <c r="BG102" s="3">
        <f>infections!BG102-infections!BF102</f>
        <v>0</v>
      </c>
      <c r="BH102" s="3">
        <f>infections!BH102-infections!BG102</f>
        <v>0</v>
      </c>
      <c r="BI102" s="3">
        <f>infections!BI102-infections!BH102</f>
        <v>3</v>
      </c>
      <c r="BJ102" s="3">
        <f>infections!BJ102-infections!BI102</f>
        <v>2</v>
      </c>
      <c r="BK102" s="3">
        <f>infections!BK102-infections!BJ102</f>
        <v>0</v>
      </c>
      <c r="BL102" s="3">
        <f>infections!BL102-infections!BK102</f>
        <v>0</v>
      </c>
      <c r="BM102" s="3">
        <f>infections!BM102-infections!BL102</f>
        <v>0</v>
      </c>
      <c r="BN102" s="3">
        <f>infections!BN102-infections!BM102</f>
        <v>3</v>
      </c>
      <c r="BO102" s="3">
        <f>infections!BO102-infections!BN102</f>
        <v>0</v>
      </c>
      <c r="BP102" s="3">
        <f>infections!BP102-infections!BO102</f>
        <v>0</v>
      </c>
      <c r="BQ102" s="3">
        <f>infections!BQ102-infections!BP102</f>
        <v>3</v>
      </c>
      <c r="BR102" s="3">
        <f>infections!BR102-infections!BQ102</f>
        <v>0</v>
      </c>
      <c r="BS102" s="3">
        <f>infections!BS102-infections!BR102</f>
        <v>0</v>
      </c>
      <c r="BT102" s="3">
        <f>infections!BT102-infections!BS102</f>
        <v>0</v>
      </c>
      <c r="BU102" s="3">
        <f>infections!BU102-infections!BT102</f>
        <v>0</v>
      </c>
      <c r="BV102" s="3">
        <f>infections!BV102-infections!BU102</f>
        <v>0</v>
      </c>
      <c r="BW102" s="3">
        <f>infections!BW102-infections!BV102</f>
        <v>3</v>
      </c>
      <c r="BX102" s="3">
        <f>infections!BX102-infections!BW102</f>
        <v>0</v>
      </c>
      <c r="BY102" s="3">
        <f>infections!BY102-infections!BX102</f>
        <v>1</v>
      </c>
    </row>
    <row r="103">
      <c r="B103" s="1" t="str">
        <f>infections!B103</f>
        <v>Eritrea</v>
      </c>
      <c r="C103" s="4">
        <f>infections!C103</f>
        <v>15.1794</v>
      </c>
      <c r="D103" s="4">
        <f>infections!D103</f>
        <v>39.7823</v>
      </c>
      <c r="E103" s="4">
        <f>infections!E103</f>
        <v>0</v>
      </c>
      <c r="F103" s="3">
        <f>infections!F103-infections!E103</f>
        <v>0</v>
      </c>
      <c r="G103" s="3">
        <f>infections!G103-infections!F103</f>
        <v>0</v>
      </c>
      <c r="H103" s="3">
        <f>infections!H103-infections!G103</f>
        <v>0</v>
      </c>
      <c r="I103" s="3">
        <f>infections!I103-infections!H103</f>
        <v>0</v>
      </c>
      <c r="J103" s="3">
        <f>infections!J103-infections!I103</f>
        <v>0</v>
      </c>
      <c r="K103" s="3">
        <f>infections!K103-infections!J103</f>
        <v>0</v>
      </c>
      <c r="L103" s="3">
        <f>infections!L103-infections!K103</f>
        <v>0</v>
      </c>
      <c r="M103" s="3">
        <f>infections!M103-infections!L103</f>
        <v>0</v>
      </c>
      <c r="N103" s="3">
        <f>infections!N103-infections!M103</f>
        <v>0</v>
      </c>
      <c r="O103" s="3">
        <f>infections!O103-infections!N103</f>
        <v>0</v>
      </c>
      <c r="P103" s="3">
        <f>infections!P103-infections!O103</f>
        <v>0</v>
      </c>
      <c r="Q103" s="3">
        <f>infections!Q103-infections!P103</f>
        <v>0</v>
      </c>
      <c r="R103" s="3">
        <f>infections!R103-infections!Q103</f>
        <v>0</v>
      </c>
      <c r="S103" s="3">
        <f>infections!S103-infections!R103</f>
        <v>0</v>
      </c>
      <c r="T103" s="3">
        <f>infections!T103-infections!S103</f>
        <v>0</v>
      </c>
      <c r="U103" s="3">
        <f>infections!U103-infections!T103</f>
        <v>0</v>
      </c>
      <c r="V103" s="3">
        <f>infections!V103-infections!U103</f>
        <v>0</v>
      </c>
      <c r="W103" s="3">
        <f>infections!W103-infections!V103</f>
        <v>0</v>
      </c>
      <c r="X103" s="3">
        <f>infections!X103-infections!W103</f>
        <v>0</v>
      </c>
      <c r="Y103" s="3">
        <f>infections!Y103-infections!X103</f>
        <v>0</v>
      </c>
      <c r="Z103" s="3">
        <f>infections!Z103-infections!Y103</f>
        <v>0</v>
      </c>
      <c r="AA103" s="3">
        <f>infections!AA103-infections!Z103</f>
        <v>0</v>
      </c>
      <c r="AB103" s="3">
        <f>infections!AB103-infections!AA103</f>
        <v>0</v>
      </c>
      <c r="AC103" s="3">
        <f>infections!AC103-infections!AB103</f>
        <v>0</v>
      </c>
      <c r="AD103" s="3">
        <f>infections!AD103-infections!AC103</f>
        <v>0</v>
      </c>
      <c r="AE103" s="3">
        <f>infections!AE103-infections!AD103</f>
        <v>0</v>
      </c>
      <c r="AF103" s="3">
        <f>infections!AF103-infections!AE103</f>
        <v>0</v>
      </c>
      <c r="AG103" s="3">
        <f>infections!AG103-infections!AF103</f>
        <v>0</v>
      </c>
      <c r="AH103" s="3">
        <f>infections!AH103-infections!AG103</f>
        <v>0</v>
      </c>
      <c r="AI103" s="3">
        <f>infections!AI103-infections!AH103</f>
        <v>0</v>
      </c>
      <c r="AJ103" s="3">
        <f>infections!AJ103-infections!AI103</f>
        <v>0</v>
      </c>
      <c r="AK103" s="3">
        <f>infections!AK103-infections!AJ103</f>
        <v>0</v>
      </c>
      <c r="AL103" s="3">
        <f>infections!AL103-infections!AK103</f>
        <v>0</v>
      </c>
      <c r="AM103" s="3">
        <f>infections!AM103-infections!AL103</f>
        <v>0</v>
      </c>
      <c r="AN103" s="3">
        <f>infections!AN103-infections!AM103</f>
        <v>0</v>
      </c>
      <c r="AO103" s="3">
        <f>infections!AO103-infections!AN103</f>
        <v>0</v>
      </c>
      <c r="AP103" s="3">
        <f>infections!AP103-infections!AO103</f>
        <v>0</v>
      </c>
      <c r="AQ103" s="3">
        <f>infections!AQ103-infections!AP103</f>
        <v>0</v>
      </c>
      <c r="AR103" s="3">
        <f>infections!AR103-infections!AQ103</f>
        <v>0</v>
      </c>
      <c r="AS103" s="3">
        <f>infections!AS103-infections!AR103</f>
        <v>0</v>
      </c>
      <c r="AT103" s="3">
        <f>infections!AT103-infections!AS103</f>
        <v>0</v>
      </c>
      <c r="AU103" s="3">
        <f>infections!AU103-infections!AT103</f>
        <v>0</v>
      </c>
      <c r="AV103" s="3">
        <f>infections!AV103-infections!AU103</f>
        <v>0</v>
      </c>
      <c r="AW103" s="3">
        <f>infections!AW103-infections!AV103</f>
        <v>0</v>
      </c>
      <c r="AX103" s="3">
        <f>infections!AX103-infections!AW103</f>
        <v>0</v>
      </c>
      <c r="AY103" s="3">
        <f>infections!AY103-infections!AX103</f>
        <v>0</v>
      </c>
      <c r="AZ103" s="3">
        <f>infections!AZ103-infections!AY103</f>
        <v>0</v>
      </c>
      <c r="BA103" s="3">
        <f>infections!BA103-infections!AZ103</f>
        <v>0</v>
      </c>
      <c r="BB103" s="3">
        <f>infections!BB103-infections!BA103</f>
        <v>0</v>
      </c>
      <c r="BC103" s="3">
        <f>infections!BC103-infections!BB103</f>
        <v>0</v>
      </c>
      <c r="BD103" s="3">
        <f>infections!BD103-infections!BC103</f>
        <v>0</v>
      </c>
      <c r="BE103" s="3">
        <f>infections!BE103-infections!BD103</f>
        <v>0</v>
      </c>
      <c r="BF103" s="3">
        <f>infections!BF103-infections!BE103</f>
        <v>0</v>
      </c>
      <c r="BG103" s="3">
        <f>infections!BG103-infections!BF103</f>
        <v>0</v>
      </c>
      <c r="BH103" s="3">
        <f>infections!BH103-infections!BG103</f>
        <v>0</v>
      </c>
      <c r="BI103" s="3">
        <f>infections!BI103-infections!BH103</f>
        <v>0</v>
      </c>
      <c r="BJ103" s="3">
        <f>infections!BJ103-infections!BI103</f>
        <v>0</v>
      </c>
      <c r="BK103" s="3">
        <f>infections!BK103-infections!BJ103</f>
        <v>0</v>
      </c>
      <c r="BL103" s="3">
        <f>infections!BL103-infections!BK103</f>
        <v>1</v>
      </c>
      <c r="BM103" s="3">
        <f>infections!BM103-infections!BL103</f>
        <v>0</v>
      </c>
      <c r="BN103" s="3">
        <f>infections!BN103-infections!BM103</f>
        <v>0</v>
      </c>
      <c r="BO103" s="3">
        <f>infections!BO103-infections!BN103</f>
        <v>0</v>
      </c>
      <c r="BP103" s="3">
        <f>infections!BP103-infections!BO103</f>
        <v>3</v>
      </c>
      <c r="BQ103" s="3">
        <f>infections!BQ103-infections!BP103</f>
        <v>2</v>
      </c>
      <c r="BR103" s="3">
        <f>infections!BR103-infections!BQ103</f>
        <v>0</v>
      </c>
      <c r="BS103" s="3">
        <f>infections!BS103-infections!BR103</f>
        <v>0</v>
      </c>
      <c r="BT103" s="3">
        <f>infections!BT103-infections!BS103</f>
        <v>6</v>
      </c>
      <c r="BU103" s="3">
        <f>infections!BU103-infections!BT103</f>
        <v>0</v>
      </c>
      <c r="BV103" s="3">
        <f>infections!BV103-infections!BU103</f>
        <v>3</v>
      </c>
      <c r="BW103" s="3">
        <f>infections!BW103-infections!BV103</f>
        <v>0</v>
      </c>
      <c r="BX103" s="3">
        <f>infections!BX103-infections!BW103</f>
        <v>7</v>
      </c>
      <c r="BY103" s="3">
        <f>infections!BY103-infections!BX103</f>
        <v>0</v>
      </c>
    </row>
    <row r="104">
      <c r="B104" s="1" t="str">
        <f>infections!B104</f>
        <v>Estonia</v>
      </c>
      <c r="C104" s="4">
        <f>infections!C104</f>
        <v>58.5953</v>
      </c>
      <c r="D104" s="4">
        <f>infections!D104</f>
        <v>25.0136</v>
      </c>
      <c r="E104" s="4">
        <f>infections!E104</f>
        <v>0</v>
      </c>
      <c r="F104" s="3">
        <f>infections!F104-infections!E104</f>
        <v>0</v>
      </c>
      <c r="G104" s="3">
        <f>infections!G104-infections!F104</f>
        <v>0</v>
      </c>
      <c r="H104" s="3">
        <f>infections!H104-infections!G104</f>
        <v>0</v>
      </c>
      <c r="I104" s="3">
        <f>infections!I104-infections!H104</f>
        <v>0</v>
      </c>
      <c r="J104" s="3">
        <f>infections!J104-infections!I104</f>
        <v>0</v>
      </c>
      <c r="K104" s="3">
        <f>infections!K104-infections!J104</f>
        <v>0</v>
      </c>
      <c r="L104" s="3">
        <f>infections!L104-infections!K104</f>
        <v>0</v>
      </c>
      <c r="M104" s="3">
        <f>infections!M104-infections!L104</f>
        <v>0</v>
      </c>
      <c r="N104" s="3">
        <f>infections!N104-infections!M104</f>
        <v>0</v>
      </c>
      <c r="O104" s="3">
        <f>infections!O104-infections!N104</f>
        <v>0</v>
      </c>
      <c r="P104" s="3">
        <f>infections!P104-infections!O104</f>
        <v>0</v>
      </c>
      <c r="Q104" s="3">
        <f>infections!Q104-infections!P104</f>
        <v>0</v>
      </c>
      <c r="R104" s="3">
        <f>infections!R104-infections!Q104</f>
        <v>0</v>
      </c>
      <c r="S104" s="3">
        <f>infections!S104-infections!R104</f>
        <v>0</v>
      </c>
      <c r="T104" s="3">
        <f>infections!T104-infections!S104</f>
        <v>0</v>
      </c>
      <c r="U104" s="3">
        <f>infections!U104-infections!T104</f>
        <v>0</v>
      </c>
      <c r="V104" s="3">
        <f>infections!V104-infections!U104</f>
        <v>0</v>
      </c>
      <c r="W104" s="3">
        <f>infections!W104-infections!V104</f>
        <v>0</v>
      </c>
      <c r="X104" s="3">
        <f>infections!X104-infections!W104</f>
        <v>0</v>
      </c>
      <c r="Y104" s="3">
        <f>infections!Y104-infections!X104</f>
        <v>0</v>
      </c>
      <c r="Z104" s="3">
        <f>infections!Z104-infections!Y104</f>
        <v>0</v>
      </c>
      <c r="AA104" s="3">
        <f>infections!AA104-infections!Z104</f>
        <v>0</v>
      </c>
      <c r="AB104" s="3">
        <f>infections!AB104-infections!AA104</f>
        <v>0</v>
      </c>
      <c r="AC104" s="3">
        <f>infections!AC104-infections!AB104</f>
        <v>0</v>
      </c>
      <c r="AD104" s="3">
        <f>infections!AD104-infections!AC104</f>
        <v>0</v>
      </c>
      <c r="AE104" s="3">
        <f>infections!AE104-infections!AD104</f>
        <v>0</v>
      </c>
      <c r="AF104" s="3">
        <f>infections!AF104-infections!AE104</f>
        <v>0</v>
      </c>
      <c r="AG104" s="3">
        <f>infections!AG104-infections!AF104</f>
        <v>0</v>
      </c>
      <c r="AH104" s="3">
        <f>infections!AH104-infections!AG104</f>
        <v>0</v>
      </c>
      <c r="AI104" s="3">
        <f>infections!AI104-infections!AH104</f>
        <v>0</v>
      </c>
      <c r="AJ104" s="3">
        <f>infections!AJ104-infections!AI104</f>
        <v>0</v>
      </c>
      <c r="AK104" s="3">
        <f>infections!AK104-infections!AJ104</f>
        <v>0</v>
      </c>
      <c r="AL104" s="3">
        <f>infections!AL104-infections!AK104</f>
        <v>0</v>
      </c>
      <c r="AM104" s="3">
        <f>infections!AM104-infections!AL104</f>
        <v>0</v>
      </c>
      <c r="AN104" s="3">
        <f>infections!AN104-infections!AM104</f>
        <v>0</v>
      </c>
      <c r="AO104" s="3">
        <f>infections!AO104-infections!AN104</f>
        <v>1</v>
      </c>
      <c r="AP104" s="3">
        <f>infections!AP104-infections!AO104</f>
        <v>0</v>
      </c>
      <c r="AQ104" s="3">
        <f>infections!AQ104-infections!AP104</f>
        <v>0</v>
      </c>
      <c r="AR104" s="3">
        <f>infections!AR104-infections!AQ104</f>
        <v>0</v>
      </c>
      <c r="AS104" s="3">
        <f>infections!AS104-infections!AR104</f>
        <v>0</v>
      </c>
      <c r="AT104" s="3">
        <f>infections!AT104-infections!AS104</f>
        <v>1</v>
      </c>
      <c r="AU104" s="3">
        <f>infections!AU104-infections!AT104</f>
        <v>0</v>
      </c>
      <c r="AV104" s="3">
        <f>infections!AV104-infections!AU104</f>
        <v>1</v>
      </c>
      <c r="AW104" s="3">
        <f>infections!AW104-infections!AV104</f>
        <v>7</v>
      </c>
      <c r="AX104" s="3">
        <f>infections!AX104-infections!AW104</f>
        <v>0</v>
      </c>
      <c r="AY104" s="3">
        <f>infections!AY104-infections!AX104</f>
        <v>0</v>
      </c>
      <c r="AZ104" s="3">
        <f>infections!AZ104-infections!AY104</f>
        <v>0</v>
      </c>
      <c r="BA104" s="3">
        <f>infections!BA104-infections!AZ104</f>
        <v>2</v>
      </c>
      <c r="BB104" s="3">
        <f>infections!BB104-infections!BA104</f>
        <v>4</v>
      </c>
      <c r="BC104" s="3">
        <f>infections!BC104-infections!BB104</f>
        <v>0</v>
      </c>
      <c r="BD104" s="3">
        <f>infections!BD104-infections!BC104</f>
        <v>63</v>
      </c>
      <c r="BE104" s="3">
        <f>infections!BE104-infections!BD104</f>
        <v>36</v>
      </c>
      <c r="BF104" s="3">
        <f>infections!BF104-infections!BE104</f>
        <v>56</v>
      </c>
      <c r="BG104" s="3">
        <f>infections!BG104-infections!BF104</f>
        <v>34</v>
      </c>
      <c r="BH104" s="3">
        <f>infections!BH104-infections!BG104</f>
        <v>20</v>
      </c>
      <c r="BI104" s="3">
        <f>infections!BI104-infections!BH104</f>
        <v>33</v>
      </c>
      <c r="BJ104" s="3">
        <f>infections!BJ104-infections!BI104</f>
        <v>9</v>
      </c>
      <c r="BK104" s="3">
        <f>infections!BK104-infections!BJ104</f>
        <v>16</v>
      </c>
      <c r="BL104" s="3">
        <f>infections!BL104-infections!BK104</f>
        <v>23</v>
      </c>
      <c r="BM104" s="3">
        <f>infections!BM104-infections!BL104</f>
        <v>20</v>
      </c>
      <c r="BN104" s="3">
        <f>infections!BN104-infections!BM104</f>
        <v>26</v>
      </c>
      <c r="BO104" s="3">
        <f>infections!BO104-infections!BN104</f>
        <v>17</v>
      </c>
      <c r="BP104" s="3">
        <f>infections!BP104-infections!BO104</f>
        <v>35</v>
      </c>
      <c r="BQ104" s="3">
        <f>infections!BQ104-infections!BP104</f>
        <v>134</v>
      </c>
      <c r="BR104" s="3">
        <f>infections!BR104-infections!BQ104</f>
        <v>37</v>
      </c>
      <c r="BS104" s="3">
        <f>infections!BS104-infections!BR104</f>
        <v>70</v>
      </c>
      <c r="BT104" s="3">
        <f>infections!BT104-infections!BS104</f>
        <v>34</v>
      </c>
      <c r="BU104" s="3">
        <f>infections!BU104-infections!BT104</f>
        <v>36</v>
      </c>
      <c r="BV104" s="3">
        <f>infections!BV104-infections!BU104</f>
        <v>30</v>
      </c>
      <c r="BW104" s="3">
        <f>infections!BW104-infections!BV104</f>
        <v>34</v>
      </c>
      <c r="BX104" s="3">
        <f>infections!BX104-infections!BW104</f>
        <v>79</v>
      </c>
      <c r="BY104" s="3">
        <f>infections!BY104-infections!BX104</f>
        <v>103</v>
      </c>
    </row>
    <row r="105">
      <c r="B105" s="1" t="str">
        <f>infections!B105</f>
        <v>Eswatini</v>
      </c>
      <c r="C105" s="4">
        <f>infections!C105</f>
        <v>-26.5225</v>
      </c>
      <c r="D105" s="4">
        <f>infections!D105</f>
        <v>31.4659</v>
      </c>
      <c r="E105" s="4">
        <f>infections!E105</f>
        <v>0</v>
      </c>
      <c r="F105" s="3">
        <f>infections!F105-infections!E105</f>
        <v>0</v>
      </c>
      <c r="G105" s="3">
        <f>infections!G105-infections!F105</f>
        <v>0</v>
      </c>
      <c r="H105" s="3">
        <f>infections!H105-infections!G105</f>
        <v>0</v>
      </c>
      <c r="I105" s="3">
        <f>infections!I105-infections!H105</f>
        <v>0</v>
      </c>
      <c r="J105" s="3">
        <f>infections!J105-infections!I105</f>
        <v>0</v>
      </c>
      <c r="K105" s="3">
        <f>infections!K105-infections!J105</f>
        <v>0</v>
      </c>
      <c r="L105" s="3">
        <f>infections!L105-infections!K105</f>
        <v>0</v>
      </c>
      <c r="M105" s="3">
        <f>infections!M105-infections!L105</f>
        <v>0</v>
      </c>
      <c r="N105" s="3">
        <f>infections!N105-infections!M105</f>
        <v>0</v>
      </c>
      <c r="O105" s="3">
        <f>infections!O105-infections!N105</f>
        <v>0</v>
      </c>
      <c r="P105" s="3">
        <f>infections!P105-infections!O105</f>
        <v>0</v>
      </c>
      <c r="Q105" s="3">
        <f>infections!Q105-infections!P105</f>
        <v>0</v>
      </c>
      <c r="R105" s="3">
        <f>infections!R105-infections!Q105</f>
        <v>0</v>
      </c>
      <c r="S105" s="3">
        <f>infections!S105-infections!R105</f>
        <v>0</v>
      </c>
      <c r="T105" s="3">
        <f>infections!T105-infections!S105</f>
        <v>0</v>
      </c>
      <c r="U105" s="3">
        <f>infections!U105-infections!T105</f>
        <v>0</v>
      </c>
      <c r="V105" s="3">
        <f>infections!V105-infections!U105</f>
        <v>0</v>
      </c>
      <c r="W105" s="3">
        <f>infections!W105-infections!V105</f>
        <v>0</v>
      </c>
      <c r="X105" s="3">
        <f>infections!X105-infections!W105</f>
        <v>0</v>
      </c>
      <c r="Y105" s="3">
        <f>infections!Y105-infections!X105</f>
        <v>0</v>
      </c>
      <c r="Z105" s="3">
        <f>infections!Z105-infections!Y105</f>
        <v>0</v>
      </c>
      <c r="AA105" s="3">
        <f>infections!AA105-infections!Z105</f>
        <v>0</v>
      </c>
      <c r="AB105" s="3">
        <f>infections!AB105-infections!AA105</f>
        <v>0</v>
      </c>
      <c r="AC105" s="3">
        <f>infections!AC105-infections!AB105</f>
        <v>0</v>
      </c>
      <c r="AD105" s="3">
        <f>infections!AD105-infections!AC105</f>
        <v>0</v>
      </c>
      <c r="AE105" s="3">
        <f>infections!AE105-infections!AD105</f>
        <v>0</v>
      </c>
      <c r="AF105" s="3">
        <f>infections!AF105-infections!AE105</f>
        <v>0</v>
      </c>
      <c r="AG105" s="3">
        <f>infections!AG105-infections!AF105</f>
        <v>0</v>
      </c>
      <c r="AH105" s="3">
        <f>infections!AH105-infections!AG105</f>
        <v>0</v>
      </c>
      <c r="AI105" s="3">
        <f>infections!AI105-infections!AH105</f>
        <v>0</v>
      </c>
      <c r="AJ105" s="3">
        <f>infections!AJ105-infections!AI105</f>
        <v>0</v>
      </c>
      <c r="AK105" s="3">
        <f>infections!AK105-infections!AJ105</f>
        <v>0</v>
      </c>
      <c r="AL105" s="3">
        <f>infections!AL105-infections!AK105</f>
        <v>0</v>
      </c>
      <c r="AM105" s="3">
        <f>infections!AM105-infections!AL105</f>
        <v>0</v>
      </c>
      <c r="AN105" s="3">
        <f>infections!AN105-infections!AM105</f>
        <v>0</v>
      </c>
      <c r="AO105" s="3">
        <f>infections!AO105-infections!AN105</f>
        <v>0</v>
      </c>
      <c r="AP105" s="3">
        <f>infections!AP105-infections!AO105</f>
        <v>0</v>
      </c>
      <c r="AQ105" s="3">
        <f>infections!AQ105-infections!AP105</f>
        <v>0</v>
      </c>
      <c r="AR105" s="3">
        <f>infections!AR105-infections!AQ105</f>
        <v>0</v>
      </c>
      <c r="AS105" s="3">
        <f>infections!AS105-infections!AR105</f>
        <v>0</v>
      </c>
      <c r="AT105" s="3">
        <f>infections!AT105-infections!AS105</f>
        <v>0</v>
      </c>
      <c r="AU105" s="3">
        <f>infections!AU105-infections!AT105</f>
        <v>0</v>
      </c>
      <c r="AV105" s="3">
        <f>infections!AV105-infections!AU105</f>
        <v>0</v>
      </c>
      <c r="AW105" s="3">
        <f>infections!AW105-infections!AV105</f>
        <v>0</v>
      </c>
      <c r="AX105" s="3">
        <f>infections!AX105-infections!AW105</f>
        <v>0</v>
      </c>
      <c r="AY105" s="3">
        <f>infections!AY105-infections!AX105</f>
        <v>0</v>
      </c>
      <c r="AZ105" s="3">
        <f>infections!AZ105-infections!AY105</f>
        <v>0</v>
      </c>
      <c r="BA105" s="3">
        <f>infections!BA105-infections!AZ105</f>
        <v>0</v>
      </c>
      <c r="BB105" s="3">
        <f>infections!BB105-infections!BA105</f>
        <v>0</v>
      </c>
      <c r="BC105" s="3">
        <f>infections!BC105-infections!BB105</f>
        <v>0</v>
      </c>
      <c r="BD105" s="3">
        <f>infections!BD105-infections!BC105</f>
        <v>0</v>
      </c>
      <c r="BE105" s="3">
        <f>infections!BE105-infections!BD105</f>
        <v>1</v>
      </c>
      <c r="BF105" s="3">
        <f>infections!BF105-infections!BE105</f>
        <v>0</v>
      </c>
      <c r="BG105" s="3">
        <f>infections!BG105-infections!BF105</f>
        <v>0</v>
      </c>
      <c r="BH105" s="3">
        <f>infections!BH105-infections!BG105</f>
        <v>0</v>
      </c>
      <c r="BI105" s="3">
        <f>infections!BI105-infections!BH105</f>
        <v>0</v>
      </c>
      <c r="BJ105" s="3">
        <f>infections!BJ105-infections!BI105</f>
        <v>0</v>
      </c>
      <c r="BK105" s="3">
        <f>infections!BK105-infections!BJ105</f>
        <v>0</v>
      </c>
      <c r="BL105" s="3">
        <f>infections!BL105-infections!BK105</f>
        <v>0</v>
      </c>
      <c r="BM105" s="3">
        <f>infections!BM105-infections!BL105</f>
        <v>3</v>
      </c>
      <c r="BN105" s="3">
        <f>infections!BN105-infections!BM105</f>
        <v>0</v>
      </c>
      <c r="BO105" s="3">
        <f>infections!BO105-infections!BN105</f>
        <v>0</v>
      </c>
      <c r="BP105" s="3">
        <f>infections!BP105-infections!BO105</f>
        <v>0</v>
      </c>
      <c r="BQ105" s="3">
        <f>infections!BQ105-infections!BP105</f>
        <v>2</v>
      </c>
      <c r="BR105" s="3">
        <f>infections!BR105-infections!BQ105</f>
        <v>3</v>
      </c>
      <c r="BS105" s="3">
        <f>infections!BS105-infections!BR105</f>
        <v>0</v>
      </c>
      <c r="BT105" s="3">
        <f>infections!BT105-infections!BS105</f>
        <v>0</v>
      </c>
      <c r="BU105" s="3">
        <f>infections!BU105-infections!BT105</f>
        <v>0</v>
      </c>
      <c r="BV105" s="3">
        <f>infections!BV105-infections!BU105</f>
        <v>0</v>
      </c>
      <c r="BW105" s="3">
        <f>infections!BW105-infections!BV105</f>
        <v>0</v>
      </c>
      <c r="BX105" s="3">
        <f>infections!BX105-infections!BW105</f>
        <v>0</v>
      </c>
      <c r="BY105" s="3">
        <f>infections!BY105-infections!BX105</f>
        <v>0</v>
      </c>
    </row>
    <row r="106">
      <c r="B106" s="1" t="str">
        <f>infections!B106</f>
        <v>Ethiopia</v>
      </c>
      <c r="C106" s="4">
        <f>infections!C106</f>
        <v>9.145</v>
      </c>
      <c r="D106" s="4">
        <f>infections!D106</f>
        <v>40.4897</v>
      </c>
      <c r="E106" s="4">
        <f>infections!E106</f>
        <v>0</v>
      </c>
      <c r="F106" s="3">
        <f>infections!F106-infections!E106</f>
        <v>0</v>
      </c>
      <c r="G106" s="3">
        <f>infections!G106-infections!F106</f>
        <v>0</v>
      </c>
      <c r="H106" s="3">
        <f>infections!H106-infections!G106</f>
        <v>0</v>
      </c>
      <c r="I106" s="3">
        <f>infections!I106-infections!H106</f>
        <v>0</v>
      </c>
      <c r="J106" s="3">
        <f>infections!J106-infections!I106</f>
        <v>0</v>
      </c>
      <c r="K106" s="3">
        <f>infections!K106-infections!J106</f>
        <v>0</v>
      </c>
      <c r="L106" s="3">
        <f>infections!L106-infections!K106</f>
        <v>0</v>
      </c>
      <c r="M106" s="3">
        <f>infections!M106-infections!L106</f>
        <v>0</v>
      </c>
      <c r="N106" s="3">
        <f>infections!N106-infections!M106</f>
        <v>0</v>
      </c>
      <c r="O106" s="3">
        <f>infections!O106-infections!N106</f>
        <v>0</v>
      </c>
      <c r="P106" s="3">
        <f>infections!P106-infections!O106</f>
        <v>0</v>
      </c>
      <c r="Q106" s="3">
        <f>infections!Q106-infections!P106</f>
        <v>0</v>
      </c>
      <c r="R106" s="3">
        <f>infections!R106-infections!Q106</f>
        <v>0</v>
      </c>
      <c r="S106" s="3">
        <f>infections!S106-infections!R106</f>
        <v>0</v>
      </c>
      <c r="T106" s="3">
        <f>infections!T106-infections!S106</f>
        <v>0</v>
      </c>
      <c r="U106" s="3">
        <f>infections!U106-infections!T106</f>
        <v>0</v>
      </c>
      <c r="V106" s="3">
        <f>infections!V106-infections!U106</f>
        <v>0</v>
      </c>
      <c r="W106" s="3">
        <f>infections!W106-infections!V106</f>
        <v>0</v>
      </c>
      <c r="X106" s="3">
        <f>infections!X106-infections!W106</f>
        <v>0</v>
      </c>
      <c r="Y106" s="3">
        <f>infections!Y106-infections!X106</f>
        <v>0</v>
      </c>
      <c r="Z106" s="3">
        <f>infections!Z106-infections!Y106</f>
        <v>0</v>
      </c>
      <c r="AA106" s="3">
        <f>infections!AA106-infections!Z106</f>
        <v>0</v>
      </c>
      <c r="AB106" s="3">
        <f>infections!AB106-infections!AA106</f>
        <v>0</v>
      </c>
      <c r="AC106" s="3">
        <f>infections!AC106-infections!AB106</f>
        <v>0</v>
      </c>
      <c r="AD106" s="3">
        <f>infections!AD106-infections!AC106</f>
        <v>0</v>
      </c>
      <c r="AE106" s="3">
        <f>infections!AE106-infections!AD106</f>
        <v>0</v>
      </c>
      <c r="AF106" s="3">
        <f>infections!AF106-infections!AE106</f>
        <v>0</v>
      </c>
      <c r="AG106" s="3">
        <f>infections!AG106-infections!AF106</f>
        <v>0</v>
      </c>
      <c r="AH106" s="3">
        <f>infections!AH106-infections!AG106</f>
        <v>0</v>
      </c>
      <c r="AI106" s="3">
        <f>infections!AI106-infections!AH106</f>
        <v>0</v>
      </c>
      <c r="AJ106" s="3">
        <f>infections!AJ106-infections!AI106</f>
        <v>0</v>
      </c>
      <c r="AK106" s="3">
        <f>infections!AK106-infections!AJ106</f>
        <v>0</v>
      </c>
      <c r="AL106" s="3">
        <f>infections!AL106-infections!AK106</f>
        <v>0</v>
      </c>
      <c r="AM106" s="3">
        <f>infections!AM106-infections!AL106</f>
        <v>0</v>
      </c>
      <c r="AN106" s="3">
        <f>infections!AN106-infections!AM106</f>
        <v>0</v>
      </c>
      <c r="AO106" s="3">
        <f>infections!AO106-infections!AN106</f>
        <v>0</v>
      </c>
      <c r="AP106" s="3">
        <f>infections!AP106-infections!AO106</f>
        <v>0</v>
      </c>
      <c r="AQ106" s="3">
        <f>infections!AQ106-infections!AP106</f>
        <v>0</v>
      </c>
      <c r="AR106" s="3">
        <f>infections!AR106-infections!AQ106</f>
        <v>0</v>
      </c>
      <c r="AS106" s="3">
        <f>infections!AS106-infections!AR106</f>
        <v>0</v>
      </c>
      <c r="AT106" s="3">
        <f>infections!AT106-infections!AS106</f>
        <v>0</v>
      </c>
      <c r="AU106" s="3">
        <f>infections!AU106-infections!AT106</f>
        <v>0</v>
      </c>
      <c r="AV106" s="3">
        <f>infections!AV106-infections!AU106</f>
        <v>0</v>
      </c>
      <c r="AW106" s="3">
        <f>infections!AW106-infections!AV106</f>
        <v>0</v>
      </c>
      <c r="AX106" s="3">
        <f>infections!AX106-infections!AW106</f>
        <v>0</v>
      </c>
      <c r="AY106" s="3">
        <f>infections!AY106-infections!AX106</f>
        <v>0</v>
      </c>
      <c r="AZ106" s="3">
        <f>infections!AZ106-infections!AY106</f>
        <v>0</v>
      </c>
      <c r="BA106" s="3">
        <f>infections!BA106-infections!AZ106</f>
        <v>0</v>
      </c>
      <c r="BB106" s="3">
        <f>infections!BB106-infections!BA106</f>
        <v>0</v>
      </c>
      <c r="BC106" s="3">
        <f>infections!BC106-infections!BB106</f>
        <v>0</v>
      </c>
      <c r="BD106" s="3">
        <f>infections!BD106-infections!BC106</f>
        <v>1</v>
      </c>
      <c r="BE106" s="3">
        <f>infections!BE106-infections!BD106</f>
        <v>0</v>
      </c>
      <c r="BF106" s="3">
        <f>infections!BF106-infections!BE106</f>
        <v>0</v>
      </c>
      <c r="BG106" s="3">
        <f>infections!BG106-infections!BF106</f>
        <v>4</v>
      </c>
      <c r="BH106" s="3">
        <f>infections!BH106-infections!BG106</f>
        <v>0</v>
      </c>
      <c r="BI106" s="3">
        <f>infections!BI106-infections!BH106</f>
        <v>1</v>
      </c>
      <c r="BJ106" s="3">
        <f>infections!BJ106-infections!BI106</f>
        <v>0</v>
      </c>
      <c r="BK106" s="3">
        <f>infections!BK106-infections!BJ106</f>
        <v>3</v>
      </c>
      <c r="BL106" s="3">
        <f>infections!BL106-infections!BK106</f>
        <v>0</v>
      </c>
      <c r="BM106" s="3">
        <f>infections!BM106-infections!BL106</f>
        <v>2</v>
      </c>
      <c r="BN106" s="3">
        <f>infections!BN106-infections!BM106</f>
        <v>0</v>
      </c>
      <c r="BO106" s="3">
        <f>infections!BO106-infections!BN106</f>
        <v>1</v>
      </c>
      <c r="BP106" s="3">
        <f>infections!BP106-infections!BO106</f>
        <v>0</v>
      </c>
      <c r="BQ106" s="3">
        <f>infections!BQ106-infections!BP106</f>
        <v>0</v>
      </c>
      <c r="BR106" s="3">
        <f>infections!BR106-infections!BQ106</f>
        <v>4</v>
      </c>
      <c r="BS106" s="3">
        <f>infections!BS106-infections!BR106</f>
        <v>0</v>
      </c>
      <c r="BT106" s="3">
        <f>infections!BT106-infections!BS106</f>
        <v>5</v>
      </c>
      <c r="BU106" s="3">
        <f>infections!BU106-infections!BT106</f>
        <v>2</v>
      </c>
      <c r="BV106" s="3">
        <f>infections!BV106-infections!BU106</f>
        <v>3</v>
      </c>
      <c r="BW106" s="3">
        <f>infections!BW106-infections!BV106</f>
        <v>3</v>
      </c>
      <c r="BX106" s="3">
        <f>infections!BX106-infections!BW106</f>
        <v>0</v>
      </c>
      <c r="BY106" s="3">
        <f>infections!BY106-infections!BX106</f>
        <v>6</v>
      </c>
    </row>
    <row r="107">
      <c r="B107" s="1" t="str">
        <f>infections!B107</f>
        <v>Fiji</v>
      </c>
      <c r="C107" s="4">
        <f>infections!C107</f>
        <v>-17.7134</v>
      </c>
      <c r="D107" s="4">
        <f>infections!D107</f>
        <v>178.065</v>
      </c>
      <c r="E107" s="4">
        <f>infections!E107</f>
        <v>0</v>
      </c>
      <c r="F107" s="3">
        <f>infections!F107-infections!E107</f>
        <v>0</v>
      </c>
      <c r="G107" s="3">
        <f>infections!G107-infections!F107</f>
        <v>0</v>
      </c>
      <c r="H107" s="3">
        <f>infections!H107-infections!G107</f>
        <v>0</v>
      </c>
      <c r="I107" s="3">
        <f>infections!I107-infections!H107</f>
        <v>0</v>
      </c>
      <c r="J107" s="3">
        <f>infections!J107-infections!I107</f>
        <v>0</v>
      </c>
      <c r="K107" s="3">
        <f>infections!K107-infections!J107</f>
        <v>0</v>
      </c>
      <c r="L107" s="3">
        <f>infections!L107-infections!K107</f>
        <v>0</v>
      </c>
      <c r="M107" s="3">
        <f>infections!M107-infections!L107</f>
        <v>0</v>
      </c>
      <c r="N107" s="3">
        <f>infections!N107-infections!M107</f>
        <v>0</v>
      </c>
      <c r="O107" s="3">
        <f>infections!O107-infections!N107</f>
        <v>0</v>
      </c>
      <c r="P107" s="3">
        <f>infections!P107-infections!O107</f>
        <v>0</v>
      </c>
      <c r="Q107" s="3">
        <f>infections!Q107-infections!P107</f>
        <v>0</v>
      </c>
      <c r="R107" s="3">
        <f>infections!R107-infections!Q107</f>
        <v>0</v>
      </c>
      <c r="S107" s="3">
        <f>infections!S107-infections!R107</f>
        <v>0</v>
      </c>
      <c r="T107" s="3">
        <f>infections!T107-infections!S107</f>
        <v>0</v>
      </c>
      <c r="U107" s="3">
        <f>infections!U107-infections!T107</f>
        <v>0</v>
      </c>
      <c r="V107" s="3">
        <f>infections!V107-infections!U107</f>
        <v>0</v>
      </c>
      <c r="W107" s="3">
        <f>infections!W107-infections!V107</f>
        <v>0</v>
      </c>
      <c r="X107" s="3">
        <f>infections!X107-infections!W107</f>
        <v>0</v>
      </c>
      <c r="Y107" s="3">
        <f>infections!Y107-infections!X107</f>
        <v>0</v>
      </c>
      <c r="Z107" s="3">
        <f>infections!Z107-infections!Y107</f>
        <v>0</v>
      </c>
      <c r="AA107" s="3">
        <f>infections!AA107-infections!Z107</f>
        <v>0</v>
      </c>
      <c r="AB107" s="3">
        <f>infections!AB107-infections!AA107</f>
        <v>0</v>
      </c>
      <c r="AC107" s="3">
        <f>infections!AC107-infections!AB107</f>
        <v>0</v>
      </c>
      <c r="AD107" s="3">
        <f>infections!AD107-infections!AC107</f>
        <v>0</v>
      </c>
      <c r="AE107" s="3">
        <f>infections!AE107-infections!AD107</f>
        <v>0</v>
      </c>
      <c r="AF107" s="3">
        <f>infections!AF107-infections!AE107</f>
        <v>0</v>
      </c>
      <c r="AG107" s="3">
        <f>infections!AG107-infections!AF107</f>
        <v>0</v>
      </c>
      <c r="AH107" s="3">
        <f>infections!AH107-infections!AG107</f>
        <v>0</v>
      </c>
      <c r="AI107" s="3">
        <f>infections!AI107-infections!AH107</f>
        <v>0</v>
      </c>
      <c r="AJ107" s="3">
        <f>infections!AJ107-infections!AI107</f>
        <v>0</v>
      </c>
      <c r="AK107" s="3">
        <f>infections!AK107-infections!AJ107</f>
        <v>0</v>
      </c>
      <c r="AL107" s="3">
        <f>infections!AL107-infections!AK107</f>
        <v>0</v>
      </c>
      <c r="AM107" s="3">
        <f>infections!AM107-infections!AL107</f>
        <v>0</v>
      </c>
      <c r="AN107" s="3">
        <f>infections!AN107-infections!AM107</f>
        <v>0</v>
      </c>
      <c r="AO107" s="3">
        <f>infections!AO107-infections!AN107</f>
        <v>0</v>
      </c>
      <c r="AP107" s="3">
        <f>infections!AP107-infections!AO107</f>
        <v>0</v>
      </c>
      <c r="AQ107" s="3">
        <f>infections!AQ107-infections!AP107</f>
        <v>0</v>
      </c>
      <c r="AR107" s="3">
        <f>infections!AR107-infections!AQ107</f>
        <v>0</v>
      </c>
      <c r="AS107" s="3">
        <f>infections!AS107-infections!AR107</f>
        <v>0</v>
      </c>
      <c r="AT107" s="3">
        <f>infections!AT107-infections!AS107</f>
        <v>0</v>
      </c>
      <c r="AU107" s="3">
        <f>infections!AU107-infections!AT107</f>
        <v>0</v>
      </c>
      <c r="AV107" s="3">
        <f>infections!AV107-infections!AU107</f>
        <v>0</v>
      </c>
      <c r="AW107" s="3">
        <f>infections!AW107-infections!AV107</f>
        <v>0</v>
      </c>
      <c r="AX107" s="3">
        <f>infections!AX107-infections!AW107</f>
        <v>0</v>
      </c>
      <c r="AY107" s="3">
        <f>infections!AY107-infections!AX107</f>
        <v>0</v>
      </c>
      <c r="AZ107" s="3">
        <f>infections!AZ107-infections!AY107</f>
        <v>0</v>
      </c>
      <c r="BA107" s="3">
        <f>infections!BA107-infections!AZ107</f>
        <v>0</v>
      </c>
      <c r="BB107" s="3">
        <f>infections!BB107-infections!BA107</f>
        <v>0</v>
      </c>
      <c r="BC107" s="3">
        <f>infections!BC107-infections!BB107</f>
        <v>0</v>
      </c>
      <c r="BD107" s="3">
        <f>infections!BD107-infections!BC107</f>
        <v>0</v>
      </c>
      <c r="BE107" s="3">
        <f>infections!BE107-infections!BD107</f>
        <v>0</v>
      </c>
      <c r="BF107" s="3">
        <f>infections!BF107-infections!BE107</f>
        <v>0</v>
      </c>
      <c r="BG107" s="3">
        <f>infections!BG107-infections!BF107</f>
        <v>0</v>
      </c>
      <c r="BH107" s="3">
        <f>infections!BH107-infections!BG107</f>
        <v>0</v>
      </c>
      <c r="BI107" s="3">
        <f>infections!BI107-infections!BH107</f>
        <v>0</v>
      </c>
      <c r="BJ107" s="3">
        <f>infections!BJ107-infections!BI107</f>
        <v>1</v>
      </c>
      <c r="BK107" s="3">
        <f>infections!BK107-infections!BJ107</f>
        <v>0</v>
      </c>
      <c r="BL107" s="3">
        <f>infections!BL107-infections!BK107</f>
        <v>0</v>
      </c>
      <c r="BM107" s="3">
        <f>infections!BM107-infections!BL107</f>
        <v>1</v>
      </c>
      <c r="BN107" s="3">
        <f>infections!BN107-infections!BM107</f>
        <v>1</v>
      </c>
      <c r="BO107" s="3">
        <f>infections!BO107-infections!BN107</f>
        <v>1</v>
      </c>
      <c r="BP107" s="3">
        <f>infections!BP107-infections!BO107</f>
        <v>1</v>
      </c>
      <c r="BQ107" s="3">
        <f>infections!BQ107-infections!BP107</f>
        <v>0</v>
      </c>
      <c r="BR107" s="3">
        <f>infections!BR107-infections!BQ107</f>
        <v>0</v>
      </c>
      <c r="BS107" s="3">
        <f>infections!BS107-infections!BR107</f>
        <v>0</v>
      </c>
      <c r="BT107" s="3">
        <f>infections!BT107-infections!BS107</f>
        <v>0</v>
      </c>
      <c r="BU107" s="3">
        <f>infections!BU107-infections!BT107</f>
        <v>0</v>
      </c>
      <c r="BV107" s="3">
        <f>infections!BV107-infections!BU107</f>
        <v>0</v>
      </c>
      <c r="BW107" s="3">
        <f>infections!BW107-infections!BV107</f>
        <v>0</v>
      </c>
      <c r="BX107" s="3">
        <f>infections!BX107-infections!BW107</f>
        <v>2</v>
      </c>
      <c r="BY107" s="3">
        <f>infections!BY107-infections!BX107</f>
        <v>0</v>
      </c>
    </row>
    <row r="108">
      <c r="B108" s="1" t="str">
        <f>infections!B108</f>
        <v>Finland</v>
      </c>
      <c r="C108" s="4">
        <f>infections!C108</f>
        <v>64</v>
      </c>
      <c r="D108" s="4">
        <f>infections!D108</f>
        <v>26</v>
      </c>
      <c r="E108" s="4">
        <f>infections!E108</f>
        <v>0</v>
      </c>
      <c r="F108" s="3">
        <f>infections!F108-infections!E108</f>
        <v>0</v>
      </c>
      <c r="G108" s="3">
        <f>infections!G108-infections!F108</f>
        <v>0</v>
      </c>
      <c r="H108" s="3">
        <f>infections!H108-infections!G108</f>
        <v>0</v>
      </c>
      <c r="I108" s="3">
        <f>infections!I108-infections!H108</f>
        <v>0</v>
      </c>
      <c r="J108" s="3">
        <f>infections!J108-infections!I108</f>
        <v>0</v>
      </c>
      <c r="K108" s="3">
        <f>infections!K108-infections!J108</f>
        <v>0</v>
      </c>
      <c r="L108" s="3">
        <f>infections!L108-infections!K108</f>
        <v>1</v>
      </c>
      <c r="M108" s="3">
        <f>infections!M108-infections!L108</f>
        <v>0</v>
      </c>
      <c r="N108" s="3">
        <f>infections!N108-infections!M108</f>
        <v>0</v>
      </c>
      <c r="O108" s="3">
        <f>infections!O108-infections!N108</f>
        <v>0</v>
      </c>
      <c r="P108" s="3">
        <f>infections!P108-infections!O108</f>
        <v>0</v>
      </c>
      <c r="Q108" s="3">
        <f>infections!Q108-infections!P108</f>
        <v>0</v>
      </c>
      <c r="R108" s="3">
        <f>infections!R108-infections!Q108</f>
        <v>0</v>
      </c>
      <c r="S108" s="3">
        <f>infections!S108-infections!R108</f>
        <v>0</v>
      </c>
      <c r="T108" s="3">
        <f>infections!T108-infections!S108</f>
        <v>0</v>
      </c>
      <c r="U108" s="3">
        <f>infections!U108-infections!T108</f>
        <v>0</v>
      </c>
      <c r="V108" s="3">
        <f>infections!V108-infections!U108</f>
        <v>0</v>
      </c>
      <c r="W108" s="3">
        <f>infections!W108-infections!V108</f>
        <v>0</v>
      </c>
      <c r="X108" s="3">
        <f>infections!X108-infections!W108</f>
        <v>0</v>
      </c>
      <c r="Y108" s="3">
        <f>infections!Y108-infections!X108</f>
        <v>0</v>
      </c>
      <c r="Z108" s="3">
        <f>infections!Z108-infections!Y108</f>
        <v>0</v>
      </c>
      <c r="AA108" s="3">
        <f>infections!AA108-infections!Z108</f>
        <v>0</v>
      </c>
      <c r="AB108" s="3">
        <f>infections!AB108-infections!AA108</f>
        <v>0</v>
      </c>
      <c r="AC108" s="3">
        <f>infections!AC108-infections!AB108</f>
        <v>0</v>
      </c>
      <c r="AD108" s="3">
        <f>infections!AD108-infections!AC108</f>
        <v>0</v>
      </c>
      <c r="AE108" s="3">
        <f>infections!AE108-infections!AD108</f>
        <v>0</v>
      </c>
      <c r="AF108" s="3">
        <f>infections!AF108-infections!AE108</f>
        <v>0</v>
      </c>
      <c r="AG108" s="3">
        <f>infections!AG108-infections!AF108</f>
        <v>0</v>
      </c>
      <c r="AH108" s="3">
        <f>infections!AH108-infections!AG108</f>
        <v>0</v>
      </c>
      <c r="AI108" s="3">
        <f>infections!AI108-infections!AH108</f>
        <v>0</v>
      </c>
      <c r="AJ108" s="3">
        <f>infections!AJ108-infections!AI108</f>
        <v>0</v>
      </c>
      <c r="AK108" s="3">
        <f>infections!AK108-infections!AJ108</f>
        <v>0</v>
      </c>
      <c r="AL108" s="3">
        <f>infections!AL108-infections!AK108</f>
        <v>0</v>
      </c>
      <c r="AM108" s="3">
        <f>infections!AM108-infections!AL108</f>
        <v>0</v>
      </c>
      <c r="AN108" s="3">
        <f>infections!AN108-infections!AM108</f>
        <v>1</v>
      </c>
      <c r="AO108" s="3">
        <f>infections!AO108-infections!AN108</f>
        <v>0</v>
      </c>
      <c r="AP108" s="3">
        <f>infections!AP108-infections!AO108</f>
        <v>0</v>
      </c>
      <c r="AQ108" s="3">
        <f>infections!AQ108-infections!AP108</f>
        <v>1</v>
      </c>
      <c r="AR108" s="3">
        <f>infections!AR108-infections!AQ108</f>
        <v>3</v>
      </c>
      <c r="AS108" s="3">
        <f>infections!AS108-infections!AR108</f>
        <v>0</v>
      </c>
      <c r="AT108" s="3">
        <f>infections!AT108-infections!AS108</f>
        <v>0</v>
      </c>
      <c r="AU108" s="3">
        <f>infections!AU108-infections!AT108</f>
        <v>0</v>
      </c>
      <c r="AV108" s="3">
        <f>infections!AV108-infections!AU108</f>
        <v>6</v>
      </c>
      <c r="AW108" s="3">
        <f>infections!AW108-infections!AV108</f>
        <v>3</v>
      </c>
      <c r="AX108" s="3">
        <f>infections!AX108-infections!AW108</f>
        <v>0</v>
      </c>
      <c r="AY108" s="3">
        <f>infections!AY108-infections!AX108</f>
        <v>8</v>
      </c>
      <c r="AZ108" s="3">
        <f>infections!AZ108-infections!AY108</f>
        <v>7</v>
      </c>
      <c r="BA108" s="3">
        <f>infections!BA108-infections!AZ108</f>
        <v>10</v>
      </c>
      <c r="BB108" s="3">
        <f>infections!BB108-infections!BA108</f>
        <v>19</v>
      </c>
      <c r="BC108" s="3">
        <f>infections!BC108-infections!BB108</f>
        <v>0</v>
      </c>
      <c r="BD108" s="3">
        <f>infections!BD108-infections!BC108</f>
        <v>96</v>
      </c>
      <c r="BE108" s="3">
        <f>infections!BE108-infections!BD108</f>
        <v>70</v>
      </c>
      <c r="BF108" s="3">
        <f>infections!BF108-infections!BE108</f>
        <v>19</v>
      </c>
      <c r="BG108" s="3">
        <f>infections!BG108-infections!BF108</f>
        <v>33</v>
      </c>
      <c r="BH108" s="3">
        <f>infections!BH108-infections!BG108</f>
        <v>44</v>
      </c>
      <c r="BI108" s="3">
        <f>infections!BI108-infections!BH108</f>
        <v>15</v>
      </c>
      <c r="BJ108" s="3">
        <f>infections!BJ108-infections!BI108</f>
        <v>64</v>
      </c>
      <c r="BK108" s="3">
        <f>infections!BK108-infections!BJ108</f>
        <v>50</v>
      </c>
      <c r="BL108" s="3">
        <f>infections!BL108-infections!BK108</f>
        <v>73</v>
      </c>
      <c r="BM108" s="3">
        <f>infections!BM108-infections!BL108</f>
        <v>103</v>
      </c>
      <c r="BN108" s="3">
        <f>infections!BN108-infections!BM108</f>
        <v>74</v>
      </c>
      <c r="BO108" s="3">
        <f>infections!BO108-infections!BN108</f>
        <v>92</v>
      </c>
      <c r="BP108" s="3">
        <f>infections!BP108-infections!BO108</f>
        <v>88</v>
      </c>
      <c r="BQ108" s="3">
        <f>infections!BQ108-infections!BP108</f>
        <v>78</v>
      </c>
      <c r="BR108" s="3">
        <f>infections!BR108-infections!BQ108</f>
        <v>83</v>
      </c>
      <c r="BS108" s="3">
        <f>infections!BS108-infections!BR108</f>
        <v>126</v>
      </c>
      <c r="BT108" s="3">
        <f>infections!BT108-infections!BS108</f>
        <v>73</v>
      </c>
      <c r="BU108" s="3">
        <f>infections!BU108-infections!BT108</f>
        <v>112</v>
      </c>
      <c r="BV108" s="3">
        <f>infections!BV108-infections!BU108</f>
        <v>66</v>
      </c>
      <c r="BW108" s="3">
        <f>infections!BW108-infections!BV108</f>
        <v>28</v>
      </c>
      <c r="BX108" s="3">
        <f>infections!BX108-infections!BW108</f>
        <v>72</v>
      </c>
      <c r="BY108" s="3">
        <f>infections!BY108-infections!BX108</f>
        <v>97</v>
      </c>
    </row>
    <row r="109">
      <c r="B109" s="1" t="str">
        <f>infections!B109</f>
        <v>France</v>
      </c>
      <c r="C109" s="4">
        <f>infections!C109</f>
        <v>3.9339</v>
      </c>
      <c r="D109" s="4">
        <f>infections!D109</f>
        <v>-53.1258</v>
      </c>
      <c r="E109" s="4">
        <f>infections!E109</f>
        <v>0</v>
      </c>
      <c r="F109" s="3">
        <f>infections!F109-infections!E109</f>
        <v>0</v>
      </c>
      <c r="G109" s="3">
        <f>infections!G109-infections!F109</f>
        <v>0</v>
      </c>
      <c r="H109" s="3">
        <f>infections!H109-infections!G109</f>
        <v>0</v>
      </c>
      <c r="I109" s="3">
        <f>infections!I109-infections!H109</f>
        <v>0</v>
      </c>
      <c r="J109" s="3">
        <f>infections!J109-infections!I109</f>
        <v>0</v>
      </c>
      <c r="K109" s="3">
        <f>infections!K109-infections!J109</f>
        <v>0</v>
      </c>
      <c r="L109" s="3">
        <f>infections!L109-infections!K109</f>
        <v>0</v>
      </c>
      <c r="M109" s="3">
        <f>infections!M109-infections!L109</f>
        <v>0</v>
      </c>
      <c r="N109" s="3">
        <f>infections!N109-infections!M109</f>
        <v>0</v>
      </c>
      <c r="O109" s="3">
        <f>infections!O109-infections!N109</f>
        <v>0</v>
      </c>
      <c r="P109" s="3">
        <f>infections!P109-infections!O109</f>
        <v>0</v>
      </c>
      <c r="Q109" s="3">
        <f>infections!Q109-infections!P109</f>
        <v>0</v>
      </c>
      <c r="R109" s="3">
        <f>infections!R109-infections!Q109</f>
        <v>0</v>
      </c>
      <c r="S109" s="3">
        <f>infections!S109-infections!R109</f>
        <v>0</v>
      </c>
      <c r="T109" s="3">
        <f>infections!T109-infections!S109</f>
        <v>0</v>
      </c>
      <c r="U109" s="3">
        <f>infections!U109-infections!T109</f>
        <v>0</v>
      </c>
      <c r="V109" s="3">
        <f>infections!V109-infections!U109</f>
        <v>0</v>
      </c>
      <c r="W109" s="3">
        <f>infections!W109-infections!V109</f>
        <v>0</v>
      </c>
      <c r="X109" s="3">
        <f>infections!X109-infections!W109</f>
        <v>0</v>
      </c>
      <c r="Y109" s="3">
        <f>infections!Y109-infections!X109</f>
        <v>0</v>
      </c>
      <c r="Z109" s="3">
        <f>infections!Z109-infections!Y109</f>
        <v>0</v>
      </c>
      <c r="AA109" s="3">
        <f>infections!AA109-infections!Z109</f>
        <v>0</v>
      </c>
      <c r="AB109" s="3">
        <f>infections!AB109-infections!AA109</f>
        <v>0</v>
      </c>
      <c r="AC109" s="3">
        <f>infections!AC109-infections!AB109</f>
        <v>0</v>
      </c>
      <c r="AD109" s="3">
        <f>infections!AD109-infections!AC109</f>
        <v>0</v>
      </c>
      <c r="AE109" s="3">
        <f>infections!AE109-infections!AD109</f>
        <v>0</v>
      </c>
      <c r="AF109" s="3">
        <f>infections!AF109-infections!AE109</f>
        <v>0</v>
      </c>
      <c r="AG109" s="3">
        <f>infections!AG109-infections!AF109</f>
        <v>0</v>
      </c>
      <c r="AH109" s="3">
        <f>infections!AH109-infections!AG109</f>
        <v>0</v>
      </c>
      <c r="AI109" s="3">
        <f>infections!AI109-infections!AH109</f>
        <v>0</v>
      </c>
      <c r="AJ109" s="3">
        <f>infections!AJ109-infections!AI109</f>
        <v>0</v>
      </c>
      <c r="AK109" s="3">
        <f>infections!AK109-infections!AJ109</f>
        <v>0</v>
      </c>
      <c r="AL109" s="3">
        <f>infections!AL109-infections!AK109</f>
        <v>0</v>
      </c>
      <c r="AM109" s="3">
        <f>infections!AM109-infections!AL109</f>
        <v>0</v>
      </c>
      <c r="AN109" s="3">
        <f>infections!AN109-infections!AM109</f>
        <v>0</v>
      </c>
      <c r="AO109" s="3">
        <f>infections!AO109-infections!AN109</f>
        <v>0</v>
      </c>
      <c r="AP109" s="3">
        <f>infections!AP109-infections!AO109</f>
        <v>0</v>
      </c>
      <c r="AQ109" s="3">
        <f>infections!AQ109-infections!AP109</f>
        <v>0</v>
      </c>
      <c r="AR109" s="3">
        <f>infections!AR109-infections!AQ109</f>
        <v>0</v>
      </c>
      <c r="AS109" s="3">
        <f>infections!AS109-infections!AR109</f>
        <v>0</v>
      </c>
      <c r="AT109" s="3">
        <f>infections!AT109-infections!AS109</f>
        <v>0</v>
      </c>
      <c r="AU109" s="3">
        <f>infections!AU109-infections!AT109</f>
        <v>0</v>
      </c>
      <c r="AV109" s="3">
        <f>infections!AV109-infections!AU109</f>
        <v>0</v>
      </c>
      <c r="AW109" s="3">
        <f>infections!AW109-infections!AV109</f>
        <v>0</v>
      </c>
      <c r="AX109" s="3">
        <f>infections!AX109-infections!AW109</f>
        <v>5</v>
      </c>
      <c r="AY109" s="3">
        <f>infections!AY109-infections!AX109</f>
        <v>0</v>
      </c>
      <c r="AZ109" s="3">
        <f>infections!AZ109-infections!AY109</f>
        <v>0</v>
      </c>
      <c r="BA109" s="3">
        <f>infections!BA109-infections!AZ109</f>
        <v>0</v>
      </c>
      <c r="BB109" s="3">
        <f>infections!BB109-infections!BA109</f>
        <v>0</v>
      </c>
      <c r="BC109" s="3">
        <f>infections!BC109-infections!BB109</f>
        <v>0</v>
      </c>
      <c r="BD109" s="3">
        <f>infections!BD109-infections!BC109</f>
        <v>0</v>
      </c>
      <c r="BE109" s="3">
        <f>infections!BE109-infections!BD109</f>
        <v>0</v>
      </c>
      <c r="BF109" s="3">
        <f>infections!BF109-infections!BE109</f>
        <v>2</v>
      </c>
      <c r="BG109" s="3">
        <f>infections!BG109-infections!BF109</f>
        <v>4</v>
      </c>
      <c r="BH109" s="3">
        <f>infections!BH109-infections!BG109</f>
        <v>0</v>
      </c>
      <c r="BI109" s="3">
        <f>infections!BI109-infections!BH109</f>
        <v>0</v>
      </c>
      <c r="BJ109" s="3">
        <f>infections!BJ109-infections!BI109</f>
        <v>0</v>
      </c>
      <c r="BK109" s="3">
        <f>infections!BK109-infections!BJ109</f>
        <v>4</v>
      </c>
      <c r="BL109" s="3">
        <f>infections!BL109-infections!BK109</f>
        <v>3</v>
      </c>
      <c r="BM109" s="3">
        <f>infections!BM109-infections!BL109</f>
        <v>0</v>
      </c>
      <c r="BN109" s="3">
        <f>infections!BN109-infections!BM109</f>
        <v>2</v>
      </c>
      <c r="BO109" s="3">
        <f>infections!BO109-infections!BN109</f>
        <v>3</v>
      </c>
      <c r="BP109" s="3">
        <f>infections!BP109-infections!BO109</f>
        <v>5</v>
      </c>
      <c r="BQ109" s="3">
        <f>infections!BQ109-infections!BP109</f>
        <v>0</v>
      </c>
      <c r="BR109" s="3">
        <f>infections!BR109-infections!BQ109</f>
        <v>0</v>
      </c>
      <c r="BS109" s="3">
        <f>infections!BS109-infections!BR109</f>
        <v>0</v>
      </c>
      <c r="BT109" s="3">
        <f>infections!BT109-infections!BS109</f>
        <v>0</v>
      </c>
      <c r="BU109" s="3">
        <f>infections!BU109-infections!BT109</f>
        <v>15</v>
      </c>
      <c r="BV109" s="3">
        <f>infections!BV109-infections!BU109</f>
        <v>0</v>
      </c>
      <c r="BW109" s="3">
        <f>infections!BW109-infections!BV109</f>
        <v>8</v>
      </c>
      <c r="BX109" s="3">
        <f>infections!BX109-infections!BW109</f>
        <v>0</v>
      </c>
      <c r="BY109" s="3">
        <f>infections!BY109-infections!BX109</f>
        <v>6</v>
      </c>
    </row>
    <row r="110">
      <c r="B110" s="1" t="str">
        <f>infections!B110</f>
        <v>France</v>
      </c>
      <c r="C110" s="4">
        <f>infections!C110</f>
        <v>-17.6797</v>
      </c>
      <c r="D110" s="4">
        <f>infections!D110</f>
        <v>149.4068</v>
      </c>
      <c r="E110" s="4">
        <f>infections!E110</f>
        <v>0</v>
      </c>
      <c r="F110" s="3">
        <f>infections!F110-infections!E110</f>
        <v>0</v>
      </c>
      <c r="G110" s="3">
        <f>infections!G110-infections!F110</f>
        <v>0</v>
      </c>
      <c r="H110" s="3">
        <f>infections!H110-infections!G110</f>
        <v>0</v>
      </c>
      <c r="I110" s="3">
        <f>infections!I110-infections!H110</f>
        <v>0</v>
      </c>
      <c r="J110" s="3">
        <f>infections!J110-infections!I110</f>
        <v>0</v>
      </c>
      <c r="K110" s="3">
        <f>infections!K110-infections!J110</f>
        <v>0</v>
      </c>
      <c r="L110" s="3">
        <f>infections!L110-infections!K110</f>
        <v>0</v>
      </c>
      <c r="M110" s="3">
        <f>infections!M110-infections!L110</f>
        <v>0</v>
      </c>
      <c r="N110" s="3">
        <f>infections!N110-infections!M110</f>
        <v>0</v>
      </c>
      <c r="O110" s="3">
        <f>infections!O110-infections!N110</f>
        <v>0</v>
      </c>
      <c r="P110" s="3">
        <f>infections!P110-infections!O110</f>
        <v>0</v>
      </c>
      <c r="Q110" s="3">
        <f>infections!Q110-infections!P110</f>
        <v>0</v>
      </c>
      <c r="R110" s="3">
        <f>infections!R110-infections!Q110</f>
        <v>0</v>
      </c>
      <c r="S110" s="3">
        <f>infections!S110-infections!R110</f>
        <v>0</v>
      </c>
      <c r="T110" s="3">
        <f>infections!T110-infections!S110</f>
        <v>0</v>
      </c>
      <c r="U110" s="3">
        <f>infections!U110-infections!T110</f>
        <v>0</v>
      </c>
      <c r="V110" s="3">
        <f>infections!V110-infections!U110</f>
        <v>0</v>
      </c>
      <c r="W110" s="3">
        <f>infections!W110-infections!V110</f>
        <v>0</v>
      </c>
      <c r="X110" s="3">
        <f>infections!X110-infections!W110</f>
        <v>0</v>
      </c>
      <c r="Y110" s="3">
        <f>infections!Y110-infections!X110</f>
        <v>0</v>
      </c>
      <c r="Z110" s="3">
        <f>infections!Z110-infections!Y110</f>
        <v>0</v>
      </c>
      <c r="AA110" s="3">
        <f>infections!AA110-infections!Z110</f>
        <v>0</v>
      </c>
      <c r="AB110" s="3">
        <f>infections!AB110-infections!AA110</f>
        <v>0</v>
      </c>
      <c r="AC110" s="3">
        <f>infections!AC110-infections!AB110</f>
        <v>0</v>
      </c>
      <c r="AD110" s="3">
        <f>infections!AD110-infections!AC110</f>
        <v>0</v>
      </c>
      <c r="AE110" s="3">
        <f>infections!AE110-infections!AD110</f>
        <v>0</v>
      </c>
      <c r="AF110" s="3">
        <f>infections!AF110-infections!AE110</f>
        <v>0</v>
      </c>
      <c r="AG110" s="3">
        <f>infections!AG110-infections!AF110</f>
        <v>0</v>
      </c>
      <c r="AH110" s="3">
        <f>infections!AH110-infections!AG110</f>
        <v>0</v>
      </c>
      <c r="AI110" s="3">
        <f>infections!AI110-infections!AH110</f>
        <v>0</v>
      </c>
      <c r="AJ110" s="3">
        <f>infections!AJ110-infections!AI110</f>
        <v>0</v>
      </c>
      <c r="AK110" s="3">
        <f>infections!AK110-infections!AJ110</f>
        <v>0</v>
      </c>
      <c r="AL110" s="3">
        <f>infections!AL110-infections!AK110</f>
        <v>0</v>
      </c>
      <c r="AM110" s="3">
        <f>infections!AM110-infections!AL110</f>
        <v>0</v>
      </c>
      <c r="AN110" s="3">
        <f>infections!AN110-infections!AM110</f>
        <v>0</v>
      </c>
      <c r="AO110" s="3">
        <f>infections!AO110-infections!AN110</f>
        <v>0</v>
      </c>
      <c r="AP110" s="3">
        <f>infections!AP110-infections!AO110</f>
        <v>0</v>
      </c>
      <c r="AQ110" s="3">
        <f>infections!AQ110-infections!AP110</f>
        <v>0</v>
      </c>
      <c r="AR110" s="3">
        <f>infections!AR110-infections!AQ110</f>
        <v>0</v>
      </c>
      <c r="AS110" s="3">
        <f>infections!AS110-infections!AR110</f>
        <v>0</v>
      </c>
      <c r="AT110" s="3">
        <f>infections!AT110-infections!AS110</f>
        <v>0</v>
      </c>
      <c r="AU110" s="3">
        <f>infections!AU110-infections!AT110</f>
        <v>0</v>
      </c>
      <c r="AV110" s="3">
        <f>infections!AV110-infections!AU110</f>
        <v>0</v>
      </c>
      <c r="AW110" s="3">
        <f>infections!AW110-infections!AV110</f>
        <v>0</v>
      </c>
      <c r="AX110" s="3">
        <f>infections!AX110-infections!AW110</f>
        <v>0</v>
      </c>
      <c r="AY110" s="3">
        <f>infections!AY110-infections!AX110</f>
        <v>0</v>
      </c>
      <c r="AZ110" s="3">
        <f>infections!AZ110-infections!AY110</f>
        <v>0</v>
      </c>
      <c r="BA110" s="3">
        <f>infections!BA110-infections!AZ110</f>
        <v>0</v>
      </c>
      <c r="BB110" s="3">
        <f>infections!BB110-infections!BA110</f>
        <v>0</v>
      </c>
      <c r="BC110" s="3">
        <f>infections!BC110-infections!BB110</f>
        <v>0</v>
      </c>
      <c r="BD110" s="3">
        <f>infections!BD110-infections!BC110</f>
        <v>3</v>
      </c>
      <c r="BE110" s="3">
        <f>infections!BE110-infections!BD110</f>
        <v>0</v>
      </c>
      <c r="BF110" s="3">
        <f>infections!BF110-infections!BE110</f>
        <v>0</v>
      </c>
      <c r="BG110" s="3">
        <f>infections!BG110-infections!BF110</f>
        <v>0</v>
      </c>
      <c r="BH110" s="3">
        <f>infections!BH110-infections!BG110</f>
        <v>0</v>
      </c>
      <c r="BI110" s="3">
        <f>infections!BI110-infections!BH110</f>
        <v>0</v>
      </c>
      <c r="BJ110" s="3">
        <f>infections!BJ110-infections!BI110</f>
        <v>3</v>
      </c>
      <c r="BK110" s="3">
        <f>infections!BK110-infections!BJ110</f>
        <v>5</v>
      </c>
      <c r="BL110" s="3">
        <f>infections!BL110-infections!BK110</f>
        <v>4</v>
      </c>
      <c r="BM110" s="3">
        <f>infections!BM110-infections!BL110</f>
        <v>3</v>
      </c>
      <c r="BN110" s="3">
        <f>infections!BN110-infections!BM110</f>
        <v>0</v>
      </c>
      <c r="BO110" s="3">
        <f>infections!BO110-infections!BN110</f>
        <v>7</v>
      </c>
      <c r="BP110" s="3">
        <f>infections!BP110-infections!BO110</f>
        <v>0</v>
      </c>
      <c r="BQ110" s="3">
        <f>infections!BQ110-infections!BP110</f>
        <v>5</v>
      </c>
      <c r="BR110" s="3">
        <f>infections!BR110-infections!BQ110</f>
        <v>0</v>
      </c>
      <c r="BS110" s="3">
        <f>infections!BS110-infections!BR110</f>
        <v>0</v>
      </c>
      <c r="BT110" s="3">
        <f>infections!BT110-infections!BS110</f>
        <v>0</v>
      </c>
      <c r="BU110" s="3">
        <f>infections!BU110-infections!BT110</f>
        <v>6</v>
      </c>
      <c r="BV110" s="3">
        <f>infections!BV110-infections!BU110</f>
        <v>0</v>
      </c>
      <c r="BW110" s="3">
        <f>infections!BW110-infections!BV110</f>
        <v>1</v>
      </c>
      <c r="BX110" s="3">
        <f>infections!BX110-infections!BW110</f>
        <v>0</v>
      </c>
      <c r="BY110" s="3">
        <f>infections!BY110-infections!BX110</f>
        <v>2</v>
      </c>
    </row>
    <row r="111">
      <c r="B111" s="1" t="str">
        <f>infections!B111</f>
        <v>France</v>
      </c>
      <c r="C111" s="4">
        <f>infections!C111</f>
        <v>16.25</v>
      </c>
      <c r="D111" s="4">
        <f>infections!D111</f>
        <v>-61.5833</v>
      </c>
      <c r="E111" s="4">
        <f>infections!E111</f>
        <v>0</v>
      </c>
      <c r="F111" s="3">
        <f>infections!F111-infections!E111</f>
        <v>0</v>
      </c>
      <c r="G111" s="3">
        <f>infections!G111-infections!F111</f>
        <v>0</v>
      </c>
      <c r="H111" s="3">
        <f>infections!H111-infections!G111</f>
        <v>0</v>
      </c>
      <c r="I111" s="3">
        <f>infections!I111-infections!H111</f>
        <v>0</v>
      </c>
      <c r="J111" s="3">
        <f>infections!J111-infections!I111</f>
        <v>0</v>
      </c>
      <c r="K111" s="3">
        <f>infections!K111-infections!J111</f>
        <v>0</v>
      </c>
      <c r="L111" s="3">
        <f>infections!L111-infections!K111</f>
        <v>0</v>
      </c>
      <c r="M111" s="3">
        <f>infections!M111-infections!L111</f>
        <v>0</v>
      </c>
      <c r="N111" s="3">
        <f>infections!N111-infections!M111</f>
        <v>0</v>
      </c>
      <c r="O111" s="3">
        <f>infections!O111-infections!N111</f>
        <v>0</v>
      </c>
      <c r="P111" s="3">
        <f>infections!P111-infections!O111</f>
        <v>0</v>
      </c>
      <c r="Q111" s="3">
        <f>infections!Q111-infections!P111</f>
        <v>0</v>
      </c>
      <c r="R111" s="3">
        <f>infections!R111-infections!Q111</f>
        <v>0</v>
      </c>
      <c r="S111" s="3">
        <f>infections!S111-infections!R111</f>
        <v>0</v>
      </c>
      <c r="T111" s="3">
        <f>infections!T111-infections!S111</f>
        <v>0</v>
      </c>
      <c r="U111" s="3">
        <f>infections!U111-infections!T111</f>
        <v>0</v>
      </c>
      <c r="V111" s="3">
        <f>infections!V111-infections!U111</f>
        <v>0</v>
      </c>
      <c r="W111" s="3">
        <f>infections!W111-infections!V111</f>
        <v>0</v>
      </c>
      <c r="X111" s="3">
        <f>infections!X111-infections!W111</f>
        <v>0</v>
      </c>
      <c r="Y111" s="3">
        <f>infections!Y111-infections!X111</f>
        <v>0</v>
      </c>
      <c r="Z111" s="3">
        <f>infections!Z111-infections!Y111</f>
        <v>0</v>
      </c>
      <c r="AA111" s="3">
        <f>infections!AA111-infections!Z111</f>
        <v>0</v>
      </c>
      <c r="AB111" s="3">
        <f>infections!AB111-infections!AA111</f>
        <v>0</v>
      </c>
      <c r="AC111" s="3">
        <f>infections!AC111-infections!AB111</f>
        <v>0</v>
      </c>
      <c r="AD111" s="3">
        <f>infections!AD111-infections!AC111</f>
        <v>0</v>
      </c>
      <c r="AE111" s="3">
        <f>infections!AE111-infections!AD111</f>
        <v>0</v>
      </c>
      <c r="AF111" s="3">
        <f>infections!AF111-infections!AE111</f>
        <v>0</v>
      </c>
      <c r="AG111" s="3">
        <f>infections!AG111-infections!AF111</f>
        <v>0</v>
      </c>
      <c r="AH111" s="3">
        <f>infections!AH111-infections!AG111</f>
        <v>0</v>
      </c>
      <c r="AI111" s="3">
        <f>infections!AI111-infections!AH111</f>
        <v>0</v>
      </c>
      <c r="AJ111" s="3">
        <f>infections!AJ111-infections!AI111</f>
        <v>0</v>
      </c>
      <c r="AK111" s="3">
        <f>infections!AK111-infections!AJ111</f>
        <v>0</v>
      </c>
      <c r="AL111" s="3">
        <f>infections!AL111-infections!AK111</f>
        <v>0</v>
      </c>
      <c r="AM111" s="3">
        <f>infections!AM111-infections!AL111</f>
        <v>0</v>
      </c>
      <c r="AN111" s="3">
        <f>infections!AN111-infections!AM111</f>
        <v>0</v>
      </c>
      <c r="AO111" s="3">
        <f>infections!AO111-infections!AN111</f>
        <v>0</v>
      </c>
      <c r="AP111" s="3">
        <f>infections!AP111-infections!AO111</f>
        <v>0</v>
      </c>
      <c r="AQ111" s="3">
        <f>infections!AQ111-infections!AP111</f>
        <v>0</v>
      </c>
      <c r="AR111" s="3">
        <f>infections!AR111-infections!AQ111</f>
        <v>0</v>
      </c>
      <c r="AS111" s="3">
        <f>infections!AS111-infections!AR111</f>
        <v>0</v>
      </c>
      <c r="AT111" s="3">
        <f>infections!AT111-infections!AS111</f>
        <v>0</v>
      </c>
      <c r="AU111" s="3">
        <f>infections!AU111-infections!AT111</f>
        <v>0</v>
      </c>
      <c r="AV111" s="3">
        <f>infections!AV111-infections!AU111</f>
        <v>0</v>
      </c>
      <c r="AW111" s="3">
        <f>infections!AW111-infections!AV111</f>
        <v>0</v>
      </c>
      <c r="AX111" s="3">
        <f>infections!AX111-infections!AW111</f>
        <v>0</v>
      </c>
      <c r="AY111" s="3">
        <f>infections!AY111-infections!AX111</f>
        <v>0</v>
      </c>
      <c r="AZ111" s="3">
        <f>infections!AZ111-infections!AY111</f>
        <v>0</v>
      </c>
      <c r="BA111" s="3">
        <f>infections!BA111-infections!AZ111</f>
        <v>0</v>
      </c>
      <c r="BB111" s="3">
        <f>infections!BB111-infections!BA111</f>
        <v>0</v>
      </c>
      <c r="BC111" s="3">
        <f>infections!BC111-infections!BB111</f>
        <v>0</v>
      </c>
      <c r="BD111" s="3">
        <f>infections!BD111-infections!BC111</f>
        <v>1</v>
      </c>
      <c r="BE111" s="3">
        <f>infections!BE111-infections!BD111</f>
        <v>0</v>
      </c>
      <c r="BF111" s="3">
        <f>infections!BF111-infections!BE111</f>
        <v>2</v>
      </c>
      <c r="BG111" s="3">
        <f>infections!BG111-infections!BF111</f>
        <v>3</v>
      </c>
      <c r="BH111" s="3">
        <f>infections!BH111-infections!BG111</f>
        <v>12</v>
      </c>
      <c r="BI111" s="3">
        <f>infections!BI111-infections!BH111</f>
        <v>9</v>
      </c>
      <c r="BJ111" s="3">
        <f>infections!BJ111-infections!BI111</f>
        <v>6</v>
      </c>
      <c r="BK111" s="3">
        <f>infections!BK111-infections!BJ111</f>
        <v>12</v>
      </c>
      <c r="BL111" s="3">
        <f>infections!BL111-infections!BK111</f>
        <v>8</v>
      </c>
      <c r="BM111" s="3">
        <f>infections!BM111-infections!BL111</f>
        <v>5</v>
      </c>
      <c r="BN111" s="3">
        <f>infections!BN111-infections!BM111</f>
        <v>4</v>
      </c>
      <c r="BO111" s="3">
        <f>infections!BO111-infections!BN111</f>
        <v>0</v>
      </c>
      <c r="BP111" s="3">
        <f>infections!BP111-infections!BO111</f>
        <v>11</v>
      </c>
      <c r="BQ111" s="3">
        <f>infections!BQ111-infections!BP111</f>
        <v>0</v>
      </c>
      <c r="BR111" s="3">
        <f>infections!BR111-infections!BQ111</f>
        <v>0</v>
      </c>
      <c r="BS111" s="3">
        <f>infections!BS111-infections!BR111</f>
        <v>29</v>
      </c>
      <c r="BT111" s="3">
        <f>infections!BT111-infections!BS111</f>
        <v>4</v>
      </c>
      <c r="BU111" s="3">
        <f>infections!BU111-infections!BT111</f>
        <v>0</v>
      </c>
      <c r="BV111" s="3">
        <f>infections!BV111-infections!BU111</f>
        <v>8</v>
      </c>
      <c r="BW111" s="3">
        <f>infections!BW111-infections!BV111</f>
        <v>11</v>
      </c>
      <c r="BX111" s="3">
        <f>infections!BX111-infections!BW111</f>
        <v>3</v>
      </c>
      <c r="BY111" s="3">
        <f>infections!BY111-infections!BX111</f>
        <v>2</v>
      </c>
    </row>
    <row r="112">
      <c r="B112" s="1" t="str">
        <f>infections!B112</f>
        <v>France</v>
      </c>
      <c r="C112" s="4">
        <f>infections!C112</f>
        <v>-12.8275</v>
      </c>
      <c r="D112" s="4">
        <f>infections!D112</f>
        <v>45.1662</v>
      </c>
      <c r="E112" s="4">
        <f>infections!E112</f>
        <v>0</v>
      </c>
      <c r="F112" s="3">
        <f>infections!F112-infections!E112</f>
        <v>0</v>
      </c>
      <c r="G112" s="3">
        <f>infections!G112-infections!F112</f>
        <v>0</v>
      </c>
      <c r="H112" s="3">
        <f>infections!H112-infections!G112</f>
        <v>0</v>
      </c>
      <c r="I112" s="3">
        <f>infections!I112-infections!H112</f>
        <v>0</v>
      </c>
      <c r="J112" s="3">
        <f>infections!J112-infections!I112</f>
        <v>0</v>
      </c>
      <c r="K112" s="3">
        <f>infections!K112-infections!J112</f>
        <v>0</v>
      </c>
      <c r="L112" s="3">
        <f>infections!L112-infections!K112</f>
        <v>0</v>
      </c>
      <c r="M112" s="3">
        <f>infections!M112-infections!L112</f>
        <v>0</v>
      </c>
      <c r="N112" s="3">
        <f>infections!N112-infections!M112</f>
        <v>0</v>
      </c>
      <c r="O112" s="3">
        <f>infections!O112-infections!N112</f>
        <v>0</v>
      </c>
      <c r="P112" s="3">
        <f>infections!P112-infections!O112</f>
        <v>0</v>
      </c>
      <c r="Q112" s="3">
        <f>infections!Q112-infections!P112</f>
        <v>0</v>
      </c>
      <c r="R112" s="3">
        <f>infections!R112-infections!Q112</f>
        <v>0</v>
      </c>
      <c r="S112" s="3">
        <f>infections!S112-infections!R112</f>
        <v>0</v>
      </c>
      <c r="T112" s="3">
        <f>infections!T112-infections!S112</f>
        <v>0</v>
      </c>
      <c r="U112" s="3">
        <f>infections!U112-infections!T112</f>
        <v>0</v>
      </c>
      <c r="V112" s="3">
        <f>infections!V112-infections!U112</f>
        <v>0</v>
      </c>
      <c r="W112" s="3">
        <f>infections!W112-infections!V112</f>
        <v>0</v>
      </c>
      <c r="X112" s="3">
        <f>infections!X112-infections!W112</f>
        <v>0</v>
      </c>
      <c r="Y112" s="3">
        <f>infections!Y112-infections!X112</f>
        <v>0</v>
      </c>
      <c r="Z112" s="3">
        <f>infections!Z112-infections!Y112</f>
        <v>0</v>
      </c>
      <c r="AA112" s="3">
        <f>infections!AA112-infections!Z112</f>
        <v>0</v>
      </c>
      <c r="AB112" s="3">
        <f>infections!AB112-infections!AA112</f>
        <v>0</v>
      </c>
      <c r="AC112" s="3">
        <f>infections!AC112-infections!AB112</f>
        <v>0</v>
      </c>
      <c r="AD112" s="3">
        <f>infections!AD112-infections!AC112</f>
        <v>0</v>
      </c>
      <c r="AE112" s="3">
        <f>infections!AE112-infections!AD112</f>
        <v>0</v>
      </c>
      <c r="AF112" s="3">
        <f>infections!AF112-infections!AE112</f>
        <v>0</v>
      </c>
      <c r="AG112" s="3">
        <f>infections!AG112-infections!AF112</f>
        <v>0</v>
      </c>
      <c r="AH112" s="3">
        <f>infections!AH112-infections!AG112</f>
        <v>0</v>
      </c>
      <c r="AI112" s="3">
        <f>infections!AI112-infections!AH112</f>
        <v>0</v>
      </c>
      <c r="AJ112" s="3">
        <f>infections!AJ112-infections!AI112</f>
        <v>0</v>
      </c>
      <c r="AK112" s="3">
        <f>infections!AK112-infections!AJ112</f>
        <v>0</v>
      </c>
      <c r="AL112" s="3">
        <f>infections!AL112-infections!AK112</f>
        <v>0</v>
      </c>
      <c r="AM112" s="3">
        <f>infections!AM112-infections!AL112</f>
        <v>0</v>
      </c>
      <c r="AN112" s="3">
        <f>infections!AN112-infections!AM112</f>
        <v>0</v>
      </c>
      <c r="AO112" s="3">
        <f>infections!AO112-infections!AN112</f>
        <v>0</v>
      </c>
      <c r="AP112" s="3">
        <f>infections!AP112-infections!AO112</f>
        <v>0</v>
      </c>
      <c r="AQ112" s="3">
        <f>infections!AQ112-infections!AP112</f>
        <v>0</v>
      </c>
      <c r="AR112" s="3">
        <f>infections!AR112-infections!AQ112</f>
        <v>0</v>
      </c>
      <c r="AS112" s="3">
        <f>infections!AS112-infections!AR112</f>
        <v>0</v>
      </c>
      <c r="AT112" s="3">
        <f>infections!AT112-infections!AS112</f>
        <v>0</v>
      </c>
      <c r="AU112" s="3">
        <f>infections!AU112-infections!AT112</f>
        <v>0</v>
      </c>
      <c r="AV112" s="3">
        <f>infections!AV112-infections!AU112</f>
        <v>0</v>
      </c>
      <c r="AW112" s="3">
        <f>infections!AW112-infections!AV112</f>
        <v>0</v>
      </c>
      <c r="AX112" s="3">
        <f>infections!AX112-infections!AW112</f>
        <v>0</v>
      </c>
      <c r="AY112" s="3">
        <f>infections!AY112-infections!AX112</f>
        <v>0</v>
      </c>
      <c r="AZ112" s="3">
        <f>infections!AZ112-infections!AY112</f>
        <v>0</v>
      </c>
      <c r="BA112" s="3">
        <f>infections!BA112-infections!AZ112</f>
        <v>0</v>
      </c>
      <c r="BB112" s="3">
        <f>infections!BB112-infections!BA112</f>
        <v>0</v>
      </c>
      <c r="BC112" s="3">
        <f>infections!BC112-infections!BB112</f>
        <v>0</v>
      </c>
      <c r="BD112" s="3">
        <f>infections!BD112-infections!BC112</f>
        <v>0</v>
      </c>
      <c r="BE112" s="3">
        <f>infections!BE112-infections!BD112</f>
        <v>0</v>
      </c>
      <c r="BF112" s="3">
        <f>infections!BF112-infections!BE112</f>
        <v>1</v>
      </c>
      <c r="BG112" s="3">
        <f>infections!BG112-infections!BF112</f>
        <v>0</v>
      </c>
      <c r="BH112" s="3">
        <f>infections!BH112-infections!BG112</f>
        <v>0</v>
      </c>
      <c r="BI112" s="3">
        <f>infections!BI112-infections!BH112</f>
        <v>2</v>
      </c>
      <c r="BJ112" s="3">
        <f>infections!BJ112-infections!BI112</f>
        <v>0</v>
      </c>
      <c r="BK112" s="3">
        <f>infections!BK112-infections!BJ112</f>
        <v>3</v>
      </c>
      <c r="BL112" s="3">
        <f>infections!BL112-infections!BK112</f>
        <v>1</v>
      </c>
      <c r="BM112" s="3">
        <f>infections!BM112-infections!BL112</f>
        <v>4</v>
      </c>
      <c r="BN112" s="3">
        <f>infections!BN112-infections!BM112</f>
        <v>13</v>
      </c>
      <c r="BO112" s="3">
        <f>infections!BO112-infections!BN112</f>
        <v>12</v>
      </c>
      <c r="BP112" s="3">
        <f>infections!BP112-infections!BO112</f>
        <v>0</v>
      </c>
      <c r="BQ112" s="3">
        <f>infections!BQ112-infections!BP112</f>
        <v>0</v>
      </c>
      <c r="BR112" s="3">
        <f>infections!BR112-infections!BQ112</f>
        <v>14</v>
      </c>
      <c r="BS112" s="3">
        <f>infections!BS112-infections!BR112</f>
        <v>13</v>
      </c>
      <c r="BT112" s="3">
        <f>infections!BT112-infections!BS112</f>
        <v>0</v>
      </c>
      <c r="BU112" s="3">
        <f>infections!BU112-infections!BT112</f>
        <v>19</v>
      </c>
      <c r="BV112" s="3">
        <f>infections!BV112-infections!BU112</f>
        <v>12</v>
      </c>
      <c r="BW112" s="3">
        <f>infections!BW112-infections!BV112</f>
        <v>0</v>
      </c>
      <c r="BX112" s="3">
        <f>infections!BX112-infections!BW112</f>
        <v>22</v>
      </c>
      <c r="BY112" s="3">
        <f>infections!BY112-infections!BX112</f>
        <v>12</v>
      </c>
    </row>
    <row r="113">
      <c r="B113" s="1" t="str">
        <f>infections!B113</f>
        <v>France</v>
      </c>
      <c r="C113" s="4">
        <f>infections!C113</f>
        <v>-20.9043</v>
      </c>
      <c r="D113" s="4">
        <f>infections!D113</f>
        <v>165.618</v>
      </c>
      <c r="E113" s="4">
        <f>infections!E113</f>
        <v>0</v>
      </c>
      <c r="F113" s="3">
        <f>infections!F113-infections!E113</f>
        <v>0</v>
      </c>
      <c r="G113" s="3">
        <f>infections!G113-infections!F113</f>
        <v>0</v>
      </c>
      <c r="H113" s="3">
        <f>infections!H113-infections!G113</f>
        <v>0</v>
      </c>
      <c r="I113" s="3">
        <f>infections!I113-infections!H113</f>
        <v>0</v>
      </c>
      <c r="J113" s="3">
        <f>infections!J113-infections!I113</f>
        <v>0</v>
      </c>
      <c r="K113" s="3">
        <f>infections!K113-infections!J113</f>
        <v>0</v>
      </c>
      <c r="L113" s="3">
        <f>infections!L113-infections!K113</f>
        <v>0</v>
      </c>
      <c r="M113" s="3">
        <f>infections!M113-infections!L113</f>
        <v>0</v>
      </c>
      <c r="N113" s="3">
        <f>infections!N113-infections!M113</f>
        <v>0</v>
      </c>
      <c r="O113" s="3">
        <f>infections!O113-infections!N113</f>
        <v>0</v>
      </c>
      <c r="P113" s="3">
        <f>infections!P113-infections!O113</f>
        <v>0</v>
      </c>
      <c r="Q113" s="3">
        <f>infections!Q113-infections!P113</f>
        <v>0</v>
      </c>
      <c r="R113" s="3">
        <f>infections!R113-infections!Q113</f>
        <v>0</v>
      </c>
      <c r="S113" s="3">
        <f>infections!S113-infections!R113</f>
        <v>0</v>
      </c>
      <c r="T113" s="3">
        <f>infections!T113-infections!S113</f>
        <v>0</v>
      </c>
      <c r="U113" s="3">
        <f>infections!U113-infections!T113</f>
        <v>0</v>
      </c>
      <c r="V113" s="3">
        <f>infections!V113-infections!U113</f>
        <v>0</v>
      </c>
      <c r="W113" s="3">
        <f>infections!W113-infections!V113</f>
        <v>0</v>
      </c>
      <c r="X113" s="3">
        <f>infections!X113-infections!W113</f>
        <v>0</v>
      </c>
      <c r="Y113" s="3">
        <f>infections!Y113-infections!X113</f>
        <v>0</v>
      </c>
      <c r="Z113" s="3">
        <f>infections!Z113-infections!Y113</f>
        <v>0</v>
      </c>
      <c r="AA113" s="3">
        <f>infections!AA113-infections!Z113</f>
        <v>0</v>
      </c>
      <c r="AB113" s="3">
        <f>infections!AB113-infections!AA113</f>
        <v>0</v>
      </c>
      <c r="AC113" s="3">
        <f>infections!AC113-infections!AB113</f>
        <v>0</v>
      </c>
      <c r="AD113" s="3">
        <f>infections!AD113-infections!AC113</f>
        <v>0</v>
      </c>
      <c r="AE113" s="3">
        <f>infections!AE113-infections!AD113</f>
        <v>0</v>
      </c>
      <c r="AF113" s="3">
        <f>infections!AF113-infections!AE113</f>
        <v>0</v>
      </c>
      <c r="AG113" s="3">
        <f>infections!AG113-infections!AF113</f>
        <v>0</v>
      </c>
      <c r="AH113" s="3">
        <f>infections!AH113-infections!AG113</f>
        <v>0</v>
      </c>
      <c r="AI113" s="3">
        <f>infections!AI113-infections!AH113</f>
        <v>0</v>
      </c>
      <c r="AJ113" s="3">
        <f>infections!AJ113-infections!AI113</f>
        <v>0</v>
      </c>
      <c r="AK113" s="3">
        <f>infections!AK113-infections!AJ113</f>
        <v>0</v>
      </c>
      <c r="AL113" s="3">
        <f>infections!AL113-infections!AK113</f>
        <v>0</v>
      </c>
      <c r="AM113" s="3">
        <f>infections!AM113-infections!AL113</f>
        <v>0</v>
      </c>
      <c r="AN113" s="3">
        <f>infections!AN113-infections!AM113</f>
        <v>0</v>
      </c>
      <c r="AO113" s="3">
        <f>infections!AO113-infections!AN113</f>
        <v>0</v>
      </c>
      <c r="AP113" s="3">
        <f>infections!AP113-infections!AO113</f>
        <v>0</v>
      </c>
      <c r="AQ113" s="3">
        <f>infections!AQ113-infections!AP113</f>
        <v>0</v>
      </c>
      <c r="AR113" s="3">
        <f>infections!AR113-infections!AQ113</f>
        <v>0</v>
      </c>
      <c r="AS113" s="3">
        <f>infections!AS113-infections!AR113</f>
        <v>0</v>
      </c>
      <c r="AT113" s="3">
        <f>infections!AT113-infections!AS113</f>
        <v>0</v>
      </c>
      <c r="AU113" s="3">
        <f>infections!AU113-infections!AT113</f>
        <v>0</v>
      </c>
      <c r="AV113" s="3">
        <f>infections!AV113-infections!AU113</f>
        <v>0</v>
      </c>
      <c r="AW113" s="3">
        <f>infections!AW113-infections!AV113</f>
        <v>0</v>
      </c>
      <c r="AX113" s="3">
        <f>infections!AX113-infections!AW113</f>
        <v>0</v>
      </c>
      <c r="AY113" s="3">
        <f>infections!AY113-infections!AX113</f>
        <v>0</v>
      </c>
      <c r="AZ113" s="3">
        <f>infections!AZ113-infections!AY113</f>
        <v>0</v>
      </c>
      <c r="BA113" s="3">
        <f>infections!BA113-infections!AZ113</f>
        <v>0</v>
      </c>
      <c r="BB113" s="3">
        <f>infections!BB113-infections!BA113</f>
        <v>0</v>
      </c>
      <c r="BC113" s="3">
        <f>infections!BC113-infections!BB113</f>
        <v>0</v>
      </c>
      <c r="BD113" s="3">
        <f>infections!BD113-infections!BC113</f>
        <v>0</v>
      </c>
      <c r="BE113" s="3">
        <f>infections!BE113-infections!BD113</f>
        <v>0</v>
      </c>
      <c r="BF113" s="3">
        <f>infections!BF113-infections!BE113</f>
        <v>0</v>
      </c>
      <c r="BG113" s="3">
        <f>infections!BG113-infections!BF113</f>
        <v>0</v>
      </c>
      <c r="BH113" s="3">
        <f>infections!BH113-infections!BG113</f>
        <v>0</v>
      </c>
      <c r="BI113" s="3">
        <f>infections!BI113-infections!BH113</f>
        <v>0</v>
      </c>
      <c r="BJ113" s="3">
        <f>infections!BJ113-infections!BI113</f>
        <v>2</v>
      </c>
      <c r="BK113" s="3">
        <f>infections!BK113-infections!BJ113</f>
        <v>0</v>
      </c>
      <c r="BL113" s="3">
        <f>infections!BL113-infections!BK113</f>
        <v>2</v>
      </c>
      <c r="BM113" s="3">
        <f>infections!BM113-infections!BL113</f>
        <v>0</v>
      </c>
      <c r="BN113" s="3">
        <f>infections!BN113-infections!BM113</f>
        <v>4</v>
      </c>
      <c r="BO113" s="3">
        <f>infections!BO113-infections!BN113</f>
        <v>2</v>
      </c>
      <c r="BP113" s="3">
        <f>infections!BP113-infections!BO113</f>
        <v>4</v>
      </c>
      <c r="BQ113" s="3">
        <f>infections!BQ113-infections!BP113</f>
        <v>0</v>
      </c>
      <c r="BR113" s="3">
        <f>infections!BR113-infections!BQ113</f>
        <v>1</v>
      </c>
      <c r="BS113" s="3">
        <f>infections!BS113-infections!BR113</f>
        <v>0</v>
      </c>
      <c r="BT113" s="3">
        <f>infections!BT113-infections!BS113</f>
        <v>0</v>
      </c>
      <c r="BU113" s="3">
        <f>infections!BU113-infections!BT113</f>
        <v>0</v>
      </c>
      <c r="BV113" s="3">
        <f>infections!BV113-infections!BU113</f>
        <v>1</v>
      </c>
      <c r="BW113" s="3">
        <f>infections!BW113-infections!BV113</f>
        <v>0</v>
      </c>
      <c r="BX113" s="3">
        <f>infections!BX113-infections!BW113</f>
        <v>2</v>
      </c>
      <c r="BY113" s="3">
        <f>infections!BY113-infections!BX113</f>
        <v>0</v>
      </c>
    </row>
    <row r="114">
      <c r="B114" s="1" t="str">
        <f>infections!B114</f>
        <v>France</v>
      </c>
      <c r="C114" s="4">
        <f>infections!C114</f>
        <v>-21.1351</v>
      </c>
      <c r="D114" s="4">
        <f>infections!D114</f>
        <v>55.2471</v>
      </c>
      <c r="E114" s="4">
        <f>infections!E114</f>
        <v>0</v>
      </c>
      <c r="F114" s="3">
        <f>infections!F114-infections!E114</f>
        <v>0</v>
      </c>
      <c r="G114" s="3">
        <f>infections!G114-infections!F114</f>
        <v>0</v>
      </c>
      <c r="H114" s="3">
        <f>infections!H114-infections!G114</f>
        <v>0</v>
      </c>
      <c r="I114" s="3">
        <f>infections!I114-infections!H114</f>
        <v>0</v>
      </c>
      <c r="J114" s="3">
        <f>infections!J114-infections!I114</f>
        <v>0</v>
      </c>
      <c r="K114" s="3">
        <f>infections!K114-infections!J114</f>
        <v>0</v>
      </c>
      <c r="L114" s="3">
        <f>infections!L114-infections!K114</f>
        <v>0</v>
      </c>
      <c r="M114" s="3">
        <f>infections!M114-infections!L114</f>
        <v>0</v>
      </c>
      <c r="N114" s="3">
        <f>infections!N114-infections!M114</f>
        <v>0</v>
      </c>
      <c r="O114" s="3">
        <f>infections!O114-infections!N114</f>
        <v>0</v>
      </c>
      <c r="P114" s="3">
        <f>infections!P114-infections!O114</f>
        <v>0</v>
      </c>
      <c r="Q114" s="3">
        <f>infections!Q114-infections!P114</f>
        <v>0</v>
      </c>
      <c r="R114" s="3">
        <f>infections!R114-infections!Q114</f>
        <v>0</v>
      </c>
      <c r="S114" s="3">
        <f>infections!S114-infections!R114</f>
        <v>0</v>
      </c>
      <c r="T114" s="3">
        <f>infections!T114-infections!S114</f>
        <v>0</v>
      </c>
      <c r="U114" s="3">
        <f>infections!U114-infections!T114</f>
        <v>0</v>
      </c>
      <c r="V114" s="3">
        <f>infections!V114-infections!U114</f>
        <v>0</v>
      </c>
      <c r="W114" s="3">
        <f>infections!W114-infections!V114</f>
        <v>0</v>
      </c>
      <c r="X114" s="3">
        <f>infections!X114-infections!W114</f>
        <v>0</v>
      </c>
      <c r="Y114" s="3">
        <f>infections!Y114-infections!X114</f>
        <v>0</v>
      </c>
      <c r="Z114" s="3">
        <f>infections!Z114-infections!Y114</f>
        <v>0</v>
      </c>
      <c r="AA114" s="3">
        <f>infections!AA114-infections!Z114</f>
        <v>0</v>
      </c>
      <c r="AB114" s="3">
        <f>infections!AB114-infections!AA114</f>
        <v>0</v>
      </c>
      <c r="AC114" s="3">
        <f>infections!AC114-infections!AB114</f>
        <v>0</v>
      </c>
      <c r="AD114" s="3">
        <f>infections!AD114-infections!AC114</f>
        <v>0</v>
      </c>
      <c r="AE114" s="3">
        <f>infections!AE114-infections!AD114</f>
        <v>0</v>
      </c>
      <c r="AF114" s="3">
        <f>infections!AF114-infections!AE114</f>
        <v>0</v>
      </c>
      <c r="AG114" s="3">
        <f>infections!AG114-infections!AF114</f>
        <v>0</v>
      </c>
      <c r="AH114" s="3">
        <f>infections!AH114-infections!AG114</f>
        <v>0</v>
      </c>
      <c r="AI114" s="3">
        <f>infections!AI114-infections!AH114</f>
        <v>0</v>
      </c>
      <c r="AJ114" s="3">
        <f>infections!AJ114-infections!AI114</f>
        <v>0</v>
      </c>
      <c r="AK114" s="3">
        <f>infections!AK114-infections!AJ114</f>
        <v>0</v>
      </c>
      <c r="AL114" s="3">
        <f>infections!AL114-infections!AK114</f>
        <v>0</v>
      </c>
      <c r="AM114" s="3">
        <f>infections!AM114-infections!AL114</f>
        <v>0</v>
      </c>
      <c r="AN114" s="3">
        <f>infections!AN114-infections!AM114</f>
        <v>0</v>
      </c>
      <c r="AO114" s="3">
        <f>infections!AO114-infections!AN114</f>
        <v>0</v>
      </c>
      <c r="AP114" s="3">
        <f>infections!AP114-infections!AO114</f>
        <v>0</v>
      </c>
      <c r="AQ114" s="3">
        <f>infections!AQ114-infections!AP114</f>
        <v>0</v>
      </c>
      <c r="AR114" s="3">
        <f>infections!AR114-infections!AQ114</f>
        <v>0</v>
      </c>
      <c r="AS114" s="3">
        <f>infections!AS114-infections!AR114</f>
        <v>0</v>
      </c>
      <c r="AT114" s="3">
        <f>infections!AT114-infections!AS114</f>
        <v>0</v>
      </c>
      <c r="AU114" s="3">
        <f>infections!AU114-infections!AT114</f>
        <v>0</v>
      </c>
      <c r="AV114" s="3">
        <f>infections!AV114-infections!AU114</f>
        <v>0</v>
      </c>
      <c r="AW114" s="3">
        <f>infections!AW114-infections!AV114</f>
        <v>0</v>
      </c>
      <c r="AX114" s="3">
        <f>infections!AX114-infections!AW114</f>
        <v>0</v>
      </c>
      <c r="AY114" s="3">
        <f>infections!AY114-infections!AX114</f>
        <v>0</v>
      </c>
      <c r="AZ114" s="3">
        <f>infections!AZ114-infections!AY114</f>
        <v>0</v>
      </c>
      <c r="BA114" s="3">
        <f>infections!BA114-infections!AZ114</f>
        <v>0</v>
      </c>
      <c r="BB114" s="3">
        <f>infections!BB114-infections!BA114</f>
        <v>1</v>
      </c>
      <c r="BC114" s="3">
        <f>infections!BC114-infections!BB114</f>
        <v>0</v>
      </c>
      <c r="BD114" s="3">
        <f>infections!BD114-infections!BC114</f>
        <v>4</v>
      </c>
      <c r="BE114" s="3">
        <f>infections!BE114-infections!BD114</f>
        <v>1</v>
      </c>
      <c r="BF114" s="3">
        <f>infections!BF114-infections!BE114</f>
        <v>1</v>
      </c>
      <c r="BG114" s="3">
        <f>infections!BG114-infections!BF114</f>
        <v>2</v>
      </c>
      <c r="BH114" s="3">
        <f>infections!BH114-infections!BG114</f>
        <v>0</v>
      </c>
      <c r="BI114" s="3">
        <f>infections!BI114-infections!BH114</f>
        <v>3</v>
      </c>
      <c r="BJ114" s="3">
        <f>infections!BJ114-infections!BI114</f>
        <v>2</v>
      </c>
      <c r="BK114" s="3">
        <f>infections!BK114-infections!BJ114</f>
        <v>14</v>
      </c>
      <c r="BL114" s="3">
        <f>infections!BL114-infections!BK114</f>
        <v>17</v>
      </c>
      <c r="BM114" s="3">
        <f>infections!BM114-infections!BL114</f>
        <v>19</v>
      </c>
      <c r="BN114" s="3">
        <f>infections!BN114-infections!BM114</f>
        <v>7</v>
      </c>
      <c r="BO114" s="3">
        <f>infections!BO114-infections!BN114</f>
        <v>23</v>
      </c>
      <c r="BP114" s="3">
        <f>infections!BP114-infections!BO114</f>
        <v>17</v>
      </c>
      <c r="BQ114" s="3">
        <f>infections!BQ114-infections!BP114</f>
        <v>24</v>
      </c>
      <c r="BR114" s="3">
        <f>infections!BR114-infections!BQ114</f>
        <v>10</v>
      </c>
      <c r="BS114" s="3">
        <f>infections!BS114-infections!BR114</f>
        <v>38</v>
      </c>
      <c r="BT114" s="3">
        <f>infections!BT114-infections!BS114</f>
        <v>0</v>
      </c>
      <c r="BU114" s="3">
        <f>infections!BU114-infections!BT114</f>
        <v>41</v>
      </c>
      <c r="BV114" s="3">
        <f>infections!BV114-infections!BU114</f>
        <v>23</v>
      </c>
      <c r="BW114" s="3">
        <f>infections!BW114-infections!BV114</f>
        <v>34</v>
      </c>
      <c r="BX114" s="3">
        <f>infections!BX114-infections!BW114</f>
        <v>27</v>
      </c>
      <c r="BY114" s="3">
        <f>infections!BY114-infections!BX114</f>
        <v>13</v>
      </c>
    </row>
    <row r="115">
      <c r="B115" s="1" t="str">
        <f>infections!B115</f>
        <v>France</v>
      </c>
      <c r="C115" s="4">
        <f>infections!C115</f>
        <v>17.9</v>
      </c>
      <c r="D115" s="4">
        <f>infections!D115</f>
        <v>-62.8333</v>
      </c>
      <c r="E115" s="4">
        <f>infections!E115</f>
        <v>0</v>
      </c>
      <c r="F115" s="3">
        <f>infections!F115-infections!E115</f>
        <v>0</v>
      </c>
      <c r="G115" s="3">
        <f>infections!G115-infections!F115</f>
        <v>0</v>
      </c>
      <c r="H115" s="3">
        <f>infections!H115-infections!G115</f>
        <v>0</v>
      </c>
      <c r="I115" s="3">
        <f>infections!I115-infections!H115</f>
        <v>0</v>
      </c>
      <c r="J115" s="3">
        <f>infections!J115-infections!I115</f>
        <v>0</v>
      </c>
      <c r="K115" s="3">
        <f>infections!K115-infections!J115</f>
        <v>0</v>
      </c>
      <c r="L115" s="3">
        <f>infections!L115-infections!K115</f>
        <v>0</v>
      </c>
      <c r="M115" s="3">
        <f>infections!M115-infections!L115</f>
        <v>0</v>
      </c>
      <c r="N115" s="3">
        <f>infections!N115-infections!M115</f>
        <v>0</v>
      </c>
      <c r="O115" s="3">
        <f>infections!O115-infections!N115</f>
        <v>0</v>
      </c>
      <c r="P115" s="3">
        <f>infections!P115-infections!O115</f>
        <v>0</v>
      </c>
      <c r="Q115" s="3">
        <f>infections!Q115-infections!P115</f>
        <v>0</v>
      </c>
      <c r="R115" s="3">
        <f>infections!R115-infections!Q115</f>
        <v>0</v>
      </c>
      <c r="S115" s="3">
        <f>infections!S115-infections!R115</f>
        <v>0</v>
      </c>
      <c r="T115" s="3">
        <f>infections!T115-infections!S115</f>
        <v>0</v>
      </c>
      <c r="U115" s="3">
        <f>infections!U115-infections!T115</f>
        <v>0</v>
      </c>
      <c r="V115" s="3">
        <f>infections!V115-infections!U115</f>
        <v>0</v>
      </c>
      <c r="W115" s="3">
        <f>infections!W115-infections!V115</f>
        <v>0</v>
      </c>
      <c r="X115" s="3">
        <f>infections!X115-infections!W115</f>
        <v>0</v>
      </c>
      <c r="Y115" s="3">
        <f>infections!Y115-infections!X115</f>
        <v>0</v>
      </c>
      <c r="Z115" s="3">
        <f>infections!Z115-infections!Y115</f>
        <v>0</v>
      </c>
      <c r="AA115" s="3">
        <f>infections!AA115-infections!Z115</f>
        <v>0</v>
      </c>
      <c r="AB115" s="3">
        <f>infections!AB115-infections!AA115</f>
        <v>0</v>
      </c>
      <c r="AC115" s="3">
        <f>infections!AC115-infections!AB115</f>
        <v>0</v>
      </c>
      <c r="AD115" s="3">
        <f>infections!AD115-infections!AC115</f>
        <v>0</v>
      </c>
      <c r="AE115" s="3">
        <f>infections!AE115-infections!AD115</f>
        <v>0</v>
      </c>
      <c r="AF115" s="3">
        <f>infections!AF115-infections!AE115</f>
        <v>0</v>
      </c>
      <c r="AG115" s="3">
        <f>infections!AG115-infections!AF115</f>
        <v>0</v>
      </c>
      <c r="AH115" s="3">
        <f>infections!AH115-infections!AG115</f>
        <v>0</v>
      </c>
      <c r="AI115" s="3">
        <f>infections!AI115-infections!AH115</f>
        <v>0</v>
      </c>
      <c r="AJ115" s="3">
        <f>infections!AJ115-infections!AI115</f>
        <v>0</v>
      </c>
      <c r="AK115" s="3">
        <f>infections!AK115-infections!AJ115</f>
        <v>0</v>
      </c>
      <c r="AL115" s="3">
        <f>infections!AL115-infections!AK115</f>
        <v>0</v>
      </c>
      <c r="AM115" s="3">
        <f>infections!AM115-infections!AL115</f>
        <v>0</v>
      </c>
      <c r="AN115" s="3">
        <f>infections!AN115-infections!AM115</f>
        <v>0</v>
      </c>
      <c r="AO115" s="3">
        <f>infections!AO115-infections!AN115</f>
        <v>0</v>
      </c>
      <c r="AP115" s="3">
        <f>infections!AP115-infections!AO115</f>
        <v>0</v>
      </c>
      <c r="AQ115" s="3">
        <f>infections!AQ115-infections!AP115</f>
        <v>0</v>
      </c>
      <c r="AR115" s="3">
        <f>infections!AR115-infections!AQ115</f>
        <v>0</v>
      </c>
      <c r="AS115" s="3">
        <f>infections!AS115-infections!AR115</f>
        <v>0</v>
      </c>
      <c r="AT115" s="3">
        <f>infections!AT115-infections!AS115</f>
        <v>0</v>
      </c>
      <c r="AU115" s="3">
        <f>infections!AU115-infections!AT115</f>
        <v>3</v>
      </c>
      <c r="AV115" s="3">
        <f>infections!AV115-infections!AU115</f>
        <v>0</v>
      </c>
      <c r="AW115" s="3">
        <f>infections!AW115-infections!AV115</f>
        <v>0</v>
      </c>
      <c r="AX115" s="3">
        <f>infections!AX115-infections!AW115</f>
        <v>0</v>
      </c>
      <c r="AY115" s="3">
        <f>infections!AY115-infections!AX115</f>
        <v>0</v>
      </c>
      <c r="AZ115" s="3">
        <f>infections!AZ115-infections!AY115</f>
        <v>-2</v>
      </c>
      <c r="BA115" s="3">
        <f>infections!BA115-infections!AZ115</f>
        <v>0</v>
      </c>
      <c r="BB115" s="3">
        <f>infections!BB115-infections!BA115</f>
        <v>0</v>
      </c>
      <c r="BC115" s="3">
        <f>infections!BC115-infections!BB115</f>
        <v>0</v>
      </c>
      <c r="BD115" s="3">
        <f>infections!BD115-infections!BC115</f>
        <v>0</v>
      </c>
      <c r="BE115" s="3">
        <f>infections!BE115-infections!BD115</f>
        <v>0</v>
      </c>
      <c r="BF115" s="3">
        <f>infections!BF115-infections!BE115</f>
        <v>0</v>
      </c>
      <c r="BG115" s="3">
        <f>infections!BG115-infections!BF115</f>
        <v>2</v>
      </c>
      <c r="BH115" s="3">
        <f>infections!BH115-infections!BG115</f>
        <v>0</v>
      </c>
      <c r="BI115" s="3">
        <f>infections!BI115-infections!BH115</f>
        <v>0</v>
      </c>
      <c r="BJ115" s="3">
        <f>infections!BJ115-infections!BI115</f>
        <v>0</v>
      </c>
      <c r="BK115" s="3">
        <f>infections!BK115-infections!BJ115</f>
        <v>0</v>
      </c>
      <c r="BL115" s="3">
        <f>infections!BL115-infections!BK115</f>
        <v>0</v>
      </c>
      <c r="BM115" s="3">
        <f>infections!BM115-infections!BL115</f>
        <v>0</v>
      </c>
      <c r="BN115" s="3">
        <f>infections!BN115-infections!BM115</f>
        <v>0</v>
      </c>
      <c r="BO115" s="3">
        <f>infections!BO115-infections!BN115</f>
        <v>0</v>
      </c>
      <c r="BP115" s="3">
        <f>infections!BP115-infections!BO115</f>
        <v>0</v>
      </c>
      <c r="BQ115" s="3">
        <f>infections!BQ115-infections!BP115</f>
        <v>0</v>
      </c>
      <c r="BR115" s="3">
        <f>infections!BR115-infections!BQ115</f>
        <v>2</v>
      </c>
      <c r="BS115" s="3">
        <f>infections!BS115-infections!BR115</f>
        <v>0</v>
      </c>
      <c r="BT115" s="3">
        <f>infections!BT115-infections!BS115</f>
        <v>0</v>
      </c>
      <c r="BU115" s="3">
        <f>infections!BU115-infections!BT115</f>
        <v>1</v>
      </c>
      <c r="BV115" s="3">
        <f>infections!BV115-infections!BU115</f>
        <v>0</v>
      </c>
      <c r="BW115" s="3">
        <f>infections!BW115-infections!BV115</f>
        <v>0</v>
      </c>
      <c r="BX115" s="3">
        <f>infections!BX115-infections!BW115</f>
        <v>0</v>
      </c>
      <c r="BY115" s="3">
        <f>infections!BY115-infections!BX115</f>
        <v>0</v>
      </c>
    </row>
    <row r="116">
      <c r="B116" s="1" t="str">
        <f>infections!B116</f>
        <v>France</v>
      </c>
      <c r="C116" s="4">
        <f>infections!C116</f>
        <v>18.0708</v>
      </c>
      <c r="D116" s="4">
        <f>infections!D116</f>
        <v>-63.0501</v>
      </c>
      <c r="E116" s="4">
        <f>infections!E116</f>
        <v>0</v>
      </c>
      <c r="F116" s="3">
        <f>infections!F116-infections!E116</f>
        <v>0</v>
      </c>
      <c r="G116" s="3">
        <f>infections!G116-infections!F116</f>
        <v>0</v>
      </c>
      <c r="H116" s="3">
        <f>infections!H116-infections!G116</f>
        <v>0</v>
      </c>
      <c r="I116" s="3">
        <f>infections!I116-infections!H116</f>
        <v>0</v>
      </c>
      <c r="J116" s="3">
        <f>infections!J116-infections!I116</f>
        <v>0</v>
      </c>
      <c r="K116" s="3">
        <f>infections!K116-infections!J116</f>
        <v>0</v>
      </c>
      <c r="L116" s="3">
        <f>infections!L116-infections!K116</f>
        <v>0</v>
      </c>
      <c r="M116" s="3">
        <f>infections!M116-infections!L116</f>
        <v>0</v>
      </c>
      <c r="N116" s="3">
        <f>infections!N116-infections!M116</f>
        <v>0</v>
      </c>
      <c r="O116" s="3">
        <f>infections!O116-infections!N116</f>
        <v>0</v>
      </c>
      <c r="P116" s="3">
        <f>infections!P116-infections!O116</f>
        <v>0</v>
      </c>
      <c r="Q116" s="3">
        <f>infections!Q116-infections!P116</f>
        <v>0</v>
      </c>
      <c r="R116" s="3">
        <f>infections!R116-infections!Q116</f>
        <v>0</v>
      </c>
      <c r="S116" s="3">
        <f>infections!S116-infections!R116</f>
        <v>0</v>
      </c>
      <c r="T116" s="3">
        <f>infections!T116-infections!S116</f>
        <v>0</v>
      </c>
      <c r="U116" s="3">
        <f>infections!U116-infections!T116</f>
        <v>0</v>
      </c>
      <c r="V116" s="3">
        <f>infections!V116-infections!U116</f>
        <v>0</v>
      </c>
      <c r="W116" s="3">
        <f>infections!W116-infections!V116</f>
        <v>0</v>
      </c>
      <c r="X116" s="3">
        <f>infections!X116-infections!W116</f>
        <v>0</v>
      </c>
      <c r="Y116" s="3">
        <f>infections!Y116-infections!X116</f>
        <v>0</v>
      </c>
      <c r="Z116" s="3">
        <f>infections!Z116-infections!Y116</f>
        <v>0</v>
      </c>
      <c r="AA116" s="3">
        <f>infections!AA116-infections!Z116</f>
        <v>0</v>
      </c>
      <c r="AB116" s="3">
        <f>infections!AB116-infections!AA116</f>
        <v>0</v>
      </c>
      <c r="AC116" s="3">
        <f>infections!AC116-infections!AB116</f>
        <v>0</v>
      </c>
      <c r="AD116" s="3">
        <f>infections!AD116-infections!AC116</f>
        <v>0</v>
      </c>
      <c r="AE116" s="3">
        <f>infections!AE116-infections!AD116</f>
        <v>0</v>
      </c>
      <c r="AF116" s="3">
        <f>infections!AF116-infections!AE116</f>
        <v>0</v>
      </c>
      <c r="AG116" s="3">
        <f>infections!AG116-infections!AF116</f>
        <v>0</v>
      </c>
      <c r="AH116" s="3">
        <f>infections!AH116-infections!AG116</f>
        <v>0</v>
      </c>
      <c r="AI116" s="3">
        <f>infections!AI116-infections!AH116</f>
        <v>0</v>
      </c>
      <c r="AJ116" s="3">
        <f>infections!AJ116-infections!AI116</f>
        <v>0</v>
      </c>
      <c r="AK116" s="3">
        <f>infections!AK116-infections!AJ116</f>
        <v>0</v>
      </c>
      <c r="AL116" s="3">
        <f>infections!AL116-infections!AK116</f>
        <v>0</v>
      </c>
      <c r="AM116" s="3">
        <f>infections!AM116-infections!AL116</f>
        <v>0</v>
      </c>
      <c r="AN116" s="3">
        <f>infections!AN116-infections!AM116</f>
        <v>0</v>
      </c>
      <c r="AO116" s="3">
        <f>infections!AO116-infections!AN116</f>
        <v>0</v>
      </c>
      <c r="AP116" s="3">
        <f>infections!AP116-infections!AO116</f>
        <v>0</v>
      </c>
      <c r="AQ116" s="3">
        <f>infections!AQ116-infections!AP116</f>
        <v>0</v>
      </c>
      <c r="AR116" s="3">
        <f>infections!AR116-infections!AQ116</f>
        <v>0</v>
      </c>
      <c r="AS116" s="3">
        <f>infections!AS116-infections!AR116</f>
        <v>0</v>
      </c>
      <c r="AT116" s="3">
        <f>infections!AT116-infections!AS116</f>
        <v>0</v>
      </c>
      <c r="AU116" s="3">
        <f>infections!AU116-infections!AT116</f>
        <v>0</v>
      </c>
      <c r="AV116" s="3">
        <f>infections!AV116-infections!AU116</f>
        <v>0</v>
      </c>
      <c r="AW116" s="3">
        <f>infections!AW116-infections!AV116</f>
        <v>0</v>
      </c>
      <c r="AX116" s="3">
        <f>infections!AX116-infections!AW116</f>
        <v>0</v>
      </c>
      <c r="AY116" s="3">
        <f>infections!AY116-infections!AX116</f>
        <v>0</v>
      </c>
      <c r="AZ116" s="3">
        <f>infections!AZ116-infections!AY116</f>
        <v>2</v>
      </c>
      <c r="BA116" s="3">
        <f>infections!BA116-infections!AZ116</f>
        <v>0</v>
      </c>
      <c r="BB116" s="3">
        <f>infections!BB116-infections!BA116</f>
        <v>0</v>
      </c>
      <c r="BC116" s="3">
        <f>infections!BC116-infections!BB116</f>
        <v>0</v>
      </c>
      <c r="BD116" s="3">
        <f>infections!BD116-infections!BC116</f>
        <v>0</v>
      </c>
      <c r="BE116" s="3">
        <f>infections!BE116-infections!BD116</f>
        <v>0</v>
      </c>
      <c r="BF116" s="3">
        <f>infections!BF116-infections!BE116</f>
        <v>0</v>
      </c>
      <c r="BG116" s="3">
        <f>infections!BG116-infections!BF116</f>
        <v>0</v>
      </c>
      <c r="BH116" s="3">
        <f>infections!BH116-infections!BG116</f>
        <v>0</v>
      </c>
      <c r="BI116" s="3">
        <f>infections!BI116-infections!BH116</f>
        <v>1</v>
      </c>
      <c r="BJ116" s="3">
        <f>infections!BJ116-infections!BI116</f>
        <v>1</v>
      </c>
      <c r="BK116" s="3">
        <f>infections!BK116-infections!BJ116</f>
        <v>0</v>
      </c>
      <c r="BL116" s="3">
        <f>infections!BL116-infections!BK116</f>
        <v>0</v>
      </c>
      <c r="BM116" s="3">
        <f>infections!BM116-infections!BL116</f>
        <v>1</v>
      </c>
      <c r="BN116" s="3">
        <f>infections!BN116-infections!BM116</f>
        <v>3</v>
      </c>
      <c r="BO116" s="3">
        <f>infections!BO116-infections!BN116</f>
        <v>0</v>
      </c>
      <c r="BP116" s="3">
        <f>infections!BP116-infections!BO116</f>
        <v>3</v>
      </c>
      <c r="BQ116" s="3">
        <f>infections!BQ116-infections!BP116</f>
        <v>0</v>
      </c>
      <c r="BR116" s="3">
        <f>infections!BR116-infections!BQ116</f>
        <v>0</v>
      </c>
      <c r="BS116" s="3">
        <f>infections!BS116-infections!BR116</f>
        <v>0</v>
      </c>
      <c r="BT116" s="3">
        <f>infections!BT116-infections!BS116</f>
        <v>0</v>
      </c>
      <c r="BU116" s="3">
        <f>infections!BU116-infections!BT116</f>
        <v>4</v>
      </c>
      <c r="BV116" s="3">
        <f>infections!BV116-infections!BU116</f>
        <v>0</v>
      </c>
      <c r="BW116" s="3">
        <f>infections!BW116-infections!BV116</f>
        <v>0</v>
      </c>
      <c r="BX116" s="3">
        <f>infections!BX116-infections!BW116</f>
        <v>7</v>
      </c>
      <c r="BY116" s="3">
        <f>infections!BY116-infections!BX116</f>
        <v>0</v>
      </c>
    </row>
    <row r="117">
      <c r="B117" s="1" t="str">
        <f>infections!B117</f>
        <v>France</v>
      </c>
      <c r="C117" s="4">
        <f>infections!C117</f>
        <v>14.6415</v>
      </c>
      <c r="D117" s="4">
        <f>infections!D117</f>
        <v>-61.0242</v>
      </c>
      <c r="E117" s="4">
        <f>infections!E117</f>
        <v>0</v>
      </c>
      <c r="F117" s="3">
        <f>infections!F117-infections!E117</f>
        <v>0</v>
      </c>
      <c r="G117" s="3">
        <f>infections!G117-infections!F117</f>
        <v>0</v>
      </c>
      <c r="H117" s="3">
        <f>infections!H117-infections!G117</f>
        <v>0</v>
      </c>
      <c r="I117" s="3">
        <f>infections!I117-infections!H117</f>
        <v>0</v>
      </c>
      <c r="J117" s="3">
        <f>infections!J117-infections!I117</f>
        <v>0</v>
      </c>
      <c r="K117" s="3">
        <f>infections!K117-infections!J117</f>
        <v>0</v>
      </c>
      <c r="L117" s="3">
        <f>infections!L117-infections!K117</f>
        <v>0</v>
      </c>
      <c r="M117" s="3">
        <f>infections!M117-infections!L117</f>
        <v>0</v>
      </c>
      <c r="N117" s="3">
        <f>infections!N117-infections!M117</f>
        <v>0</v>
      </c>
      <c r="O117" s="3">
        <f>infections!O117-infections!N117</f>
        <v>0</v>
      </c>
      <c r="P117" s="3">
        <f>infections!P117-infections!O117</f>
        <v>0</v>
      </c>
      <c r="Q117" s="3">
        <f>infections!Q117-infections!P117</f>
        <v>0</v>
      </c>
      <c r="R117" s="3">
        <f>infections!R117-infections!Q117</f>
        <v>0</v>
      </c>
      <c r="S117" s="3">
        <f>infections!S117-infections!R117</f>
        <v>0</v>
      </c>
      <c r="T117" s="3">
        <f>infections!T117-infections!S117</f>
        <v>0</v>
      </c>
      <c r="U117" s="3">
        <f>infections!U117-infections!T117</f>
        <v>0</v>
      </c>
      <c r="V117" s="3">
        <f>infections!V117-infections!U117</f>
        <v>0</v>
      </c>
      <c r="W117" s="3">
        <f>infections!W117-infections!V117</f>
        <v>0</v>
      </c>
      <c r="X117" s="3">
        <f>infections!X117-infections!W117</f>
        <v>0</v>
      </c>
      <c r="Y117" s="3">
        <f>infections!Y117-infections!X117</f>
        <v>0</v>
      </c>
      <c r="Z117" s="3">
        <f>infections!Z117-infections!Y117</f>
        <v>0</v>
      </c>
      <c r="AA117" s="3">
        <f>infections!AA117-infections!Z117</f>
        <v>0</v>
      </c>
      <c r="AB117" s="3">
        <f>infections!AB117-infections!AA117</f>
        <v>0</v>
      </c>
      <c r="AC117" s="3">
        <f>infections!AC117-infections!AB117</f>
        <v>0</v>
      </c>
      <c r="AD117" s="3">
        <f>infections!AD117-infections!AC117</f>
        <v>0</v>
      </c>
      <c r="AE117" s="3">
        <f>infections!AE117-infections!AD117</f>
        <v>0</v>
      </c>
      <c r="AF117" s="3">
        <f>infections!AF117-infections!AE117</f>
        <v>0</v>
      </c>
      <c r="AG117" s="3">
        <f>infections!AG117-infections!AF117</f>
        <v>0</v>
      </c>
      <c r="AH117" s="3">
        <f>infections!AH117-infections!AG117</f>
        <v>0</v>
      </c>
      <c r="AI117" s="3">
        <f>infections!AI117-infections!AH117</f>
        <v>0</v>
      </c>
      <c r="AJ117" s="3">
        <f>infections!AJ117-infections!AI117</f>
        <v>0</v>
      </c>
      <c r="AK117" s="3">
        <f>infections!AK117-infections!AJ117</f>
        <v>0</v>
      </c>
      <c r="AL117" s="3">
        <f>infections!AL117-infections!AK117</f>
        <v>0</v>
      </c>
      <c r="AM117" s="3">
        <f>infections!AM117-infections!AL117</f>
        <v>0</v>
      </c>
      <c r="AN117" s="3">
        <f>infections!AN117-infections!AM117</f>
        <v>0</v>
      </c>
      <c r="AO117" s="3">
        <f>infections!AO117-infections!AN117</f>
        <v>0</v>
      </c>
      <c r="AP117" s="3">
        <f>infections!AP117-infections!AO117</f>
        <v>0</v>
      </c>
      <c r="AQ117" s="3">
        <f>infections!AQ117-infections!AP117</f>
        <v>0</v>
      </c>
      <c r="AR117" s="3">
        <f>infections!AR117-infections!AQ117</f>
        <v>0</v>
      </c>
      <c r="AS117" s="3">
        <f>infections!AS117-infections!AR117</f>
        <v>0</v>
      </c>
      <c r="AT117" s="3">
        <f>infections!AT117-infections!AS117</f>
        <v>0</v>
      </c>
      <c r="AU117" s="3">
        <f>infections!AU117-infections!AT117</f>
        <v>0</v>
      </c>
      <c r="AV117" s="3">
        <f>infections!AV117-infections!AU117</f>
        <v>0</v>
      </c>
      <c r="AW117" s="3">
        <f>infections!AW117-infections!AV117</f>
        <v>0</v>
      </c>
      <c r="AX117" s="3">
        <f>infections!AX117-infections!AW117</f>
        <v>2</v>
      </c>
      <c r="AY117" s="3">
        <f>infections!AY117-infections!AX117</f>
        <v>0</v>
      </c>
      <c r="AZ117" s="3">
        <f>infections!AZ117-infections!AY117</f>
        <v>0</v>
      </c>
      <c r="BA117" s="3">
        <f>infections!BA117-infections!AZ117</f>
        <v>0</v>
      </c>
      <c r="BB117" s="3">
        <f>infections!BB117-infections!BA117</f>
        <v>1</v>
      </c>
      <c r="BC117" s="3">
        <f>infections!BC117-infections!BB117</f>
        <v>0</v>
      </c>
      <c r="BD117" s="3">
        <f>infections!BD117-infections!BC117</f>
        <v>0</v>
      </c>
      <c r="BE117" s="3">
        <f>infections!BE117-infections!BD117</f>
        <v>6</v>
      </c>
      <c r="BF117" s="3">
        <f>infections!BF117-infections!BE117</f>
        <v>0</v>
      </c>
      <c r="BG117" s="3">
        <f>infections!BG117-infections!BF117</f>
        <v>6</v>
      </c>
      <c r="BH117" s="3">
        <f>infections!BH117-infections!BG117</f>
        <v>1</v>
      </c>
      <c r="BI117" s="3">
        <f>infections!BI117-infections!BH117</f>
        <v>3</v>
      </c>
      <c r="BJ117" s="3">
        <f>infections!BJ117-infections!BI117</f>
        <v>4</v>
      </c>
      <c r="BK117" s="3">
        <f>infections!BK117-infections!BJ117</f>
        <v>9</v>
      </c>
      <c r="BL117" s="3">
        <f>infections!BL117-infections!BK117</f>
        <v>0</v>
      </c>
      <c r="BM117" s="3">
        <f>infections!BM117-infections!BL117</f>
        <v>12</v>
      </c>
      <c r="BN117" s="3">
        <f>infections!BN117-infections!BM117</f>
        <v>9</v>
      </c>
      <c r="BO117" s="3">
        <f>infections!BO117-infections!BN117</f>
        <v>4</v>
      </c>
      <c r="BP117" s="3">
        <f>infections!BP117-infections!BO117</f>
        <v>9</v>
      </c>
      <c r="BQ117" s="3">
        <f>infections!BQ117-infections!BP117</f>
        <v>0</v>
      </c>
      <c r="BR117" s="3">
        <f>infections!BR117-infections!BQ117</f>
        <v>15</v>
      </c>
      <c r="BS117" s="3">
        <f>infections!BS117-infections!BR117</f>
        <v>12</v>
      </c>
      <c r="BT117" s="3">
        <f>infections!BT117-infections!BS117</f>
        <v>0</v>
      </c>
      <c r="BU117" s="3">
        <f>infections!BU117-infections!BT117</f>
        <v>0</v>
      </c>
      <c r="BV117" s="3">
        <f>infections!BV117-infections!BU117</f>
        <v>35</v>
      </c>
      <c r="BW117" s="3">
        <f>infections!BW117-infections!BV117</f>
        <v>7</v>
      </c>
      <c r="BX117" s="3">
        <f>infections!BX117-infections!BW117</f>
        <v>3</v>
      </c>
      <c r="BY117" s="3">
        <f>infections!BY117-infections!BX117</f>
        <v>5</v>
      </c>
    </row>
    <row r="118">
      <c r="B118" s="1" t="str">
        <f>infections!B118</f>
        <v>France</v>
      </c>
      <c r="C118" s="4">
        <f>infections!C118</f>
        <v>46.2276</v>
      </c>
      <c r="D118" s="4">
        <f>infections!D118</f>
        <v>2.2137</v>
      </c>
      <c r="E118" s="4">
        <f>infections!E118</f>
        <v>0</v>
      </c>
      <c r="F118" s="3">
        <f>infections!F118-infections!E118</f>
        <v>0</v>
      </c>
      <c r="G118" s="3">
        <f>infections!G118-infections!F118</f>
        <v>2</v>
      </c>
      <c r="H118" s="3">
        <f>infections!H118-infections!G118</f>
        <v>1</v>
      </c>
      <c r="I118" s="3">
        <f>infections!I118-infections!H118</f>
        <v>0</v>
      </c>
      <c r="J118" s="3">
        <f>infections!J118-infections!I118</f>
        <v>0</v>
      </c>
      <c r="K118" s="3">
        <f>infections!K118-infections!J118</f>
        <v>1</v>
      </c>
      <c r="L118" s="3">
        <f>infections!L118-infections!K118</f>
        <v>1</v>
      </c>
      <c r="M118" s="3">
        <f>infections!M118-infections!L118</f>
        <v>0</v>
      </c>
      <c r="N118" s="3">
        <f>infections!N118-infections!M118</f>
        <v>0</v>
      </c>
      <c r="O118" s="3">
        <f>infections!O118-infections!N118</f>
        <v>1</v>
      </c>
      <c r="P118" s="3">
        <f>infections!P118-infections!O118</f>
        <v>0</v>
      </c>
      <c r="Q118" s="3">
        <f>infections!Q118-infections!P118</f>
        <v>0</v>
      </c>
      <c r="R118" s="3">
        <f>infections!R118-infections!Q118</f>
        <v>0</v>
      </c>
      <c r="S118" s="3">
        <f>infections!S118-infections!R118</f>
        <v>0</v>
      </c>
      <c r="T118" s="3">
        <f>infections!T118-infections!S118</f>
        <v>0</v>
      </c>
      <c r="U118" s="3">
        <f>infections!U118-infections!T118</f>
        <v>0</v>
      </c>
      <c r="V118" s="3">
        <f>infections!V118-infections!U118</f>
        <v>5</v>
      </c>
      <c r="W118" s="3">
        <f>infections!W118-infections!V118</f>
        <v>0</v>
      </c>
      <c r="X118" s="3">
        <f>infections!X118-infections!W118</f>
        <v>0</v>
      </c>
      <c r="Y118" s="3">
        <f>infections!Y118-infections!X118</f>
        <v>0</v>
      </c>
      <c r="Z118" s="3">
        <f>infections!Z118-infections!Y118</f>
        <v>0</v>
      </c>
      <c r="AA118" s="3">
        <f>infections!AA118-infections!Z118</f>
        <v>0</v>
      </c>
      <c r="AB118" s="3">
        <f>infections!AB118-infections!AA118</f>
        <v>0</v>
      </c>
      <c r="AC118" s="3">
        <f>infections!AC118-infections!AB118</f>
        <v>1</v>
      </c>
      <c r="AD118" s="3">
        <f>infections!AD118-infections!AC118</f>
        <v>0</v>
      </c>
      <c r="AE118" s="3">
        <f>infections!AE118-infections!AD118</f>
        <v>0</v>
      </c>
      <c r="AF118" s="3">
        <f>infections!AF118-infections!AE118</f>
        <v>0</v>
      </c>
      <c r="AG118" s="3">
        <f>infections!AG118-infections!AF118</f>
        <v>0</v>
      </c>
      <c r="AH118" s="3">
        <f>infections!AH118-infections!AG118</f>
        <v>0</v>
      </c>
      <c r="AI118" s="3">
        <f>infections!AI118-infections!AH118</f>
        <v>0</v>
      </c>
      <c r="AJ118" s="3">
        <f>infections!AJ118-infections!AI118</f>
        <v>0</v>
      </c>
      <c r="AK118" s="3">
        <f>infections!AK118-infections!AJ118</f>
        <v>0</v>
      </c>
      <c r="AL118" s="3">
        <f>infections!AL118-infections!AK118</f>
        <v>0</v>
      </c>
      <c r="AM118" s="3">
        <f>infections!AM118-infections!AL118</f>
        <v>2</v>
      </c>
      <c r="AN118" s="3">
        <f>infections!AN118-infections!AM118</f>
        <v>4</v>
      </c>
      <c r="AO118" s="3">
        <f>infections!AO118-infections!AN118</f>
        <v>20</v>
      </c>
      <c r="AP118" s="3">
        <f>infections!AP118-infections!AO118</f>
        <v>19</v>
      </c>
      <c r="AQ118" s="3">
        <f>infections!AQ118-infections!AP118</f>
        <v>43</v>
      </c>
      <c r="AR118" s="3">
        <f>infections!AR118-infections!AQ118</f>
        <v>30</v>
      </c>
      <c r="AS118" s="3">
        <f>infections!AS118-infections!AR118</f>
        <v>61</v>
      </c>
      <c r="AT118" s="3">
        <f>infections!AT118-infections!AS118</f>
        <v>13</v>
      </c>
      <c r="AU118" s="3">
        <f>infections!AU118-infections!AT118</f>
        <v>81</v>
      </c>
      <c r="AV118" s="3">
        <f>infections!AV118-infections!AU118</f>
        <v>92</v>
      </c>
      <c r="AW118" s="3">
        <f>infections!AW118-infections!AV118</f>
        <v>276</v>
      </c>
      <c r="AX118" s="3">
        <f>infections!AX118-infections!AW118</f>
        <v>296</v>
      </c>
      <c r="AY118" s="3">
        <f>infections!AY118-infections!AX118</f>
        <v>177</v>
      </c>
      <c r="AZ118" s="3">
        <f>infections!AZ118-infections!AY118</f>
        <v>83</v>
      </c>
      <c r="BA118" s="3">
        <f>infections!BA118-infections!AZ118</f>
        <v>575</v>
      </c>
      <c r="BB118" s="3">
        <f>infections!BB118-infections!BA118</f>
        <v>497</v>
      </c>
      <c r="BC118" s="3">
        <f>infections!BC118-infections!BB118</f>
        <v>0</v>
      </c>
      <c r="BD118" s="3">
        <f>infections!BD118-infections!BC118</f>
        <v>1380</v>
      </c>
      <c r="BE118" s="3">
        <f>infections!BE118-infections!BD118</f>
        <v>808</v>
      </c>
      <c r="BF118" s="3">
        <f>infections!BF118-infections!BE118</f>
        <v>30</v>
      </c>
      <c r="BG118" s="3">
        <f>infections!BG118-infections!BF118</f>
        <v>2134</v>
      </c>
      <c r="BH118" s="3">
        <f>infections!BH118-infections!BG118</f>
        <v>1019</v>
      </c>
      <c r="BI118" s="3">
        <f>infections!BI118-infections!BH118</f>
        <v>1391</v>
      </c>
      <c r="BJ118" s="3">
        <f>infections!BJ118-infections!BI118</f>
        <v>1828</v>
      </c>
      <c r="BK118" s="3">
        <f>infections!BK118-infections!BJ118</f>
        <v>1741</v>
      </c>
      <c r="BL118" s="3">
        <f>infections!BL118-infections!BK118</f>
        <v>1670</v>
      </c>
      <c r="BM118" s="3">
        <f>infections!BM118-infections!BL118</f>
        <v>1736</v>
      </c>
      <c r="BN118" s="3">
        <f>infections!BN118-infections!BM118</f>
        <v>3838</v>
      </c>
      <c r="BO118" s="3">
        <f>infections!BO118-infections!BN118</f>
        <v>2448</v>
      </c>
      <c r="BP118" s="3">
        <f>infections!BP118-infections!BO118</f>
        <v>2929</v>
      </c>
      <c r="BQ118" s="3">
        <f>infections!BQ118-infections!BP118</f>
        <v>3922</v>
      </c>
      <c r="BR118" s="3">
        <f>infections!BR118-infections!BQ118</f>
        <v>3809</v>
      </c>
      <c r="BS118" s="3">
        <f>infections!BS118-infections!BR118</f>
        <v>4611</v>
      </c>
      <c r="BT118" s="3">
        <f>infections!BT118-infections!BS118</f>
        <v>2599</v>
      </c>
      <c r="BU118" s="3">
        <f>infections!BU118-infections!BT118</f>
        <v>4376</v>
      </c>
      <c r="BV118" s="3">
        <f>infections!BV118-infections!BU118</f>
        <v>7578</v>
      </c>
      <c r="BW118" s="3">
        <f>infections!BW118-infections!BV118</f>
        <v>4861</v>
      </c>
      <c r="BX118" s="3">
        <f>infections!BX118-infections!BW118</f>
        <v>2116</v>
      </c>
      <c r="BY118" s="3">
        <f>infections!BY118-infections!BX118</f>
        <v>5233</v>
      </c>
    </row>
    <row r="119">
      <c r="B119" s="1" t="str">
        <f>infections!B119</f>
        <v>Gabon</v>
      </c>
      <c r="C119" s="4">
        <f>infections!C119</f>
        <v>-0.8037</v>
      </c>
      <c r="D119" s="4">
        <f>infections!D119</f>
        <v>11.6094</v>
      </c>
      <c r="E119" s="4">
        <f>infections!E119</f>
        <v>0</v>
      </c>
      <c r="F119" s="3">
        <f>infections!F119-infections!E119</f>
        <v>0</v>
      </c>
      <c r="G119" s="3">
        <f>infections!G119-infections!F119</f>
        <v>0</v>
      </c>
      <c r="H119" s="3">
        <f>infections!H119-infections!G119</f>
        <v>0</v>
      </c>
      <c r="I119" s="3">
        <f>infections!I119-infections!H119</f>
        <v>0</v>
      </c>
      <c r="J119" s="3">
        <f>infections!J119-infections!I119</f>
        <v>0</v>
      </c>
      <c r="K119" s="3">
        <f>infections!K119-infections!J119</f>
        <v>0</v>
      </c>
      <c r="L119" s="3">
        <f>infections!L119-infections!K119</f>
        <v>0</v>
      </c>
      <c r="M119" s="3">
        <f>infections!M119-infections!L119</f>
        <v>0</v>
      </c>
      <c r="N119" s="3">
        <f>infections!N119-infections!M119</f>
        <v>0</v>
      </c>
      <c r="O119" s="3">
        <f>infections!O119-infections!N119</f>
        <v>0</v>
      </c>
      <c r="P119" s="3">
        <f>infections!P119-infections!O119</f>
        <v>0</v>
      </c>
      <c r="Q119" s="3">
        <f>infections!Q119-infections!P119</f>
        <v>0</v>
      </c>
      <c r="R119" s="3">
        <f>infections!R119-infections!Q119</f>
        <v>0</v>
      </c>
      <c r="S119" s="3">
        <f>infections!S119-infections!R119</f>
        <v>0</v>
      </c>
      <c r="T119" s="3">
        <f>infections!T119-infections!S119</f>
        <v>0</v>
      </c>
      <c r="U119" s="3">
        <f>infections!U119-infections!T119</f>
        <v>0</v>
      </c>
      <c r="V119" s="3">
        <f>infections!V119-infections!U119</f>
        <v>0</v>
      </c>
      <c r="W119" s="3">
        <f>infections!W119-infections!V119</f>
        <v>0</v>
      </c>
      <c r="X119" s="3">
        <f>infections!X119-infections!W119</f>
        <v>0</v>
      </c>
      <c r="Y119" s="3">
        <f>infections!Y119-infections!X119</f>
        <v>0</v>
      </c>
      <c r="Z119" s="3">
        <f>infections!Z119-infections!Y119</f>
        <v>0</v>
      </c>
      <c r="AA119" s="3">
        <f>infections!AA119-infections!Z119</f>
        <v>0</v>
      </c>
      <c r="AB119" s="3">
        <f>infections!AB119-infections!AA119</f>
        <v>0</v>
      </c>
      <c r="AC119" s="3">
        <f>infections!AC119-infections!AB119</f>
        <v>0</v>
      </c>
      <c r="AD119" s="3">
        <f>infections!AD119-infections!AC119</f>
        <v>0</v>
      </c>
      <c r="AE119" s="3">
        <f>infections!AE119-infections!AD119</f>
        <v>0</v>
      </c>
      <c r="AF119" s="3">
        <f>infections!AF119-infections!AE119</f>
        <v>0</v>
      </c>
      <c r="AG119" s="3">
        <f>infections!AG119-infections!AF119</f>
        <v>0</v>
      </c>
      <c r="AH119" s="3">
        <f>infections!AH119-infections!AG119</f>
        <v>0</v>
      </c>
      <c r="AI119" s="3">
        <f>infections!AI119-infections!AH119</f>
        <v>0</v>
      </c>
      <c r="AJ119" s="3">
        <f>infections!AJ119-infections!AI119</f>
        <v>0</v>
      </c>
      <c r="AK119" s="3">
        <f>infections!AK119-infections!AJ119</f>
        <v>0</v>
      </c>
      <c r="AL119" s="3">
        <f>infections!AL119-infections!AK119</f>
        <v>0</v>
      </c>
      <c r="AM119" s="3">
        <f>infections!AM119-infections!AL119</f>
        <v>0</v>
      </c>
      <c r="AN119" s="3">
        <f>infections!AN119-infections!AM119</f>
        <v>0</v>
      </c>
      <c r="AO119" s="3">
        <f>infections!AO119-infections!AN119</f>
        <v>0</v>
      </c>
      <c r="AP119" s="3">
        <f>infections!AP119-infections!AO119</f>
        <v>0</v>
      </c>
      <c r="AQ119" s="3">
        <f>infections!AQ119-infections!AP119</f>
        <v>0</v>
      </c>
      <c r="AR119" s="3">
        <f>infections!AR119-infections!AQ119</f>
        <v>0</v>
      </c>
      <c r="AS119" s="3">
        <f>infections!AS119-infections!AR119</f>
        <v>0</v>
      </c>
      <c r="AT119" s="3">
        <f>infections!AT119-infections!AS119</f>
        <v>0</v>
      </c>
      <c r="AU119" s="3">
        <f>infections!AU119-infections!AT119</f>
        <v>0</v>
      </c>
      <c r="AV119" s="3">
        <f>infections!AV119-infections!AU119</f>
        <v>0</v>
      </c>
      <c r="AW119" s="3">
        <f>infections!AW119-infections!AV119</f>
        <v>0</v>
      </c>
      <c r="AX119" s="3">
        <f>infections!AX119-infections!AW119</f>
        <v>0</v>
      </c>
      <c r="AY119" s="3">
        <f>infections!AY119-infections!AX119</f>
        <v>0</v>
      </c>
      <c r="AZ119" s="3">
        <f>infections!AZ119-infections!AY119</f>
        <v>0</v>
      </c>
      <c r="BA119" s="3">
        <f>infections!BA119-infections!AZ119</f>
        <v>0</v>
      </c>
      <c r="BB119" s="3">
        <f>infections!BB119-infections!BA119</f>
        <v>0</v>
      </c>
      <c r="BC119" s="3">
        <f>infections!BC119-infections!BB119</f>
        <v>0</v>
      </c>
      <c r="BD119" s="3">
        <f>infections!BD119-infections!BC119</f>
        <v>0</v>
      </c>
      <c r="BE119" s="3">
        <f>infections!BE119-infections!BD119</f>
        <v>1</v>
      </c>
      <c r="BF119" s="3">
        <f>infections!BF119-infections!BE119</f>
        <v>0</v>
      </c>
      <c r="BG119" s="3">
        <f>infections!BG119-infections!BF119</f>
        <v>0</v>
      </c>
      <c r="BH119" s="3">
        <f>infections!BH119-infections!BG119</f>
        <v>0</v>
      </c>
      <c r="BI119" s="3">
        <f>infections!BI119-infections!BH119</f>
        <v>0</v>
      </c>
      <c r="BJ119" s="3">
        <f>infections!BJ119-infections!BI119</f>
        <v>0</v>
      </c>
      <c r="BK119" s="3">
        <f>infections!BK119-infections!BJ119</f>
        <v>2</v>
      </c>
      <c r="BL119" s="3">
        <f>infections!BL119-infections!BK119</f>
        <v>1</v>
      </c>
      <c r="BM119" s="3">
        <f>infections!BM119-infections!BL119</f>
        <v>1</v>
      </c>
      <c r="BN119" s="3">
        <f>infections!BN119-infections!BM119</f>
        <v>0</v>
      </c>
      <c r="BO119" s="3">
        <f>infections!BO119-infections!BN119</f>
        <v>1</v>
      </c>
      <c r="BP119" s="3">
        <f>infections!BP119-infections!BO119</f>
        <v>0</v>
      </c>
      <c r="BQ119" s="3">
        <f>infections!BQ119-infections!BP119</f>
        <v>1</v>
      </c>
      <c r="BR119" s="3">
        <f>infections!BR119-infections!BQ119</f>
        <v>0</v>
      </c>
      <c r="BS119" s="3">
        <f>infections!BS119-infections!BR119</f>
        <v>0</v>
      </c>
      <c r="BT119" s="3">
        <f>infections!BT119-infections!BS119</f>
        <v>0</v>
      </c>
      <c r="BU119" s="3">
        <f>infections!BU119-infections!BT119</f>
        <v>0</v>
      </c>
      <c r="BV119" s="3">
        <f>infections!BV119-infections!BU119</f>
        <v>9</v>
      </c>
      <c r="BW119" s="3">
        <f>infections!BW119-infections!BV119</f>
        <v>2</v>
      </c>
      <c r="BX119" s="3">
        <f>infections!BX119-infections!BW119</f>
        <v>3</v>
      </c>
      <c r="BY119" s="3">
        <f>infections!BY119-infections!BX119</f>
        <v>0</v>
      </c>
    </row>
    <row r="120">
      <c r="B120" s="1" t="str">
        <f>infections!B120</f>
        <v>Gambia</v>
      </c>
      <c r="C120" s="4">
        <f>infections!C120</f>
        <v>13.4432</v>
      </c>
      <c r="D120" s="4">
        <f>infections!D120</f>
        <v>-15.3101</v>
      </c>
      <c r="E120" s="4">
        <f>infections!E120</f>
        <v>0</v>
      </c>
      <c r="F120" s="3">
        <f>infections!F120-infections!E120</f>
        <v>0</v>
      </c>
      <c r="G120" s="3">
        <f>infections!G120-infections!F120</f>
        <v>0</v>
      </c>
      <c r="H120" s="3">
        <f>infections!H120-infections!G120</f>
        <v>0</v>
      </c>
      <c r="I120" s="3">
        <f>infections!I120-infections!H120</f>
        <v>0</v>
      </c>
      <c r="J120" s="3">
        <f>infections!J120-infections!I120</f>
        <v>0</v>
      </c>
      <c r="K120" s="3">
        <f>infections!K120-infections!J120</f>
        <v>0</v>
      </c>
      <c r="L120" s="3">
        <f>infections!L120-infections!K120</f>
        <v>0</v>
      </c>
      <c r="M120" s="3">
        <f>infections!M120-infections!L120</f>
        <v>0</v>
      </c>
      <c r="N120" s="3">
        <f>infections!N120-infections!M120</f>
        <v>0</v>
      </c>
      <c r="O120" s="3">
        <f>infections!O120-infections!N120</f>
        <v>0</v>
      </c>
      <c r="P120" s="3">
        <f>infections!P120-infections!O120</f>
        <v>0</v>
      </c>
      <c r="Q120" s="3">
        <f>infections!Q120-infections!P120</f>
        <v>0</v>
      </c>
      <c r="R120" s="3">
        <f>infections!R120-infections!Q120</f>
        <v>0</v>
      </c>
      <c r="S120" s="3">
        <f>infections!S120-infections!R120</f>
        <v>0</v>
      </c>
      <c r="T120" s="3">
        <f>infections!T120-infections!S120</f>
        <v>0</v>
      </c>
      <c r="U120" s="3">
        <f>infections!U120-infections!T120</f>
        <v>0</v>
      </c>
      <c r="V120" s="3">
        <f>infections!V120-infections!U120</f>
        <v>0</v>
      </c>
      <c r="W120" s="3">
        <f>infections!W120-infections!V120</f>
        <v>0</v>
      </c>
      <c r="X120" s="3">
        <f>infections!X120-infections!W120</f>
        <v>0</v>
      </c>
      <c r="Y120" s="3">
        <f>infections!Y120-infections!X120</f>
        <v>0</v>
      </c>
      <c r="Z120" s="3">
        <f>infections!Z120-infections!Y120</f>
        <v>0</v>
      </c>
      <c r="AA120" s="3">
        <f>infections!AA120-infections!Z120</f>
        <v>0</v>
      </c>
      <c r="AB120" s="3">
        <f>infections!AB120-infections!AA120</f>
        <v>0</v>
      </c>
      <c r="AC120" s="3">
        <f>infections!AC120-infections!AB120</f>
        <v>0</v>
      </c>
      <c r="AD120" s="3">
        <f>infections!AD120-infections!AC120</f>
        <v>0</v>
      </c>
      <c r="AE120" s="3">
        <f>infections!AE120-infections!AD120</f>
        <v>0</v>
      </c>
      <c r="AF120" s="3">
        <f>infections!AF120-infections!AE120</f>
        <v>0</v>
      </c>
      <c r="AG120" s="3">
        <f>infections!AG120-infections!AF120</f>
        <v>0</v>
      </c>
      <c r="AH120" s="3">
        <f>infections!AH120-infections!AG120</f>
        <v>0</v>
      </c>
      <c r="AI120" s="3">
        <f>infections!AI120-infections!AH120</f>
        <v>0</v>
      </c>
      <c r="AJ120" s="3">
        <f>infections!AJ120-infections!AI120</f>
        <v>0</v>
      </c>
      <c r="AK120" s="3">
        <f>infections!AK120-infections!AJ120</f>
        <v>0</v>
      </c>
      <c r="AL120" s="3">
        <f>infections!AL120-infections!AK120</f>
        <v>0</v>
      </c>
      <c r="AM120" s="3">
        <f>infections!AM120-infections!AL120</f>
        <v>0</v>
      </c>
      <c r="AN120" s="3">
        <f>infections!AN120-infections!AM120</f>
        <v>0</v>
      </c>
      <c r="AO120" s="3">
        <f>infections!AO120-infections!AN120</f>
        <v>0</v>
      </c>
      <c r="AP120" s="3">
        <f>infections!AP120-infections!AO120</f>
        <v>0</v>
      </c>
      <c r="AQ120" s="3">
        <f>infections!AQ120-infections!AP120</f>
        <v>0</v>
      </c>
      <c r="AR120" s="3">
        <f>infections!AR120-infections!AQ120</f>
        <v>0</v>
      </c>
      <c r="AS120" s="3">
        <f>infections!AS120-infections!AR120</f>
        <v>0</v>
      </c>
      <c r="AT120" s="3">
        <f>infections!AT120-infections!AS120</f>
        <v>0</v>
      </c>
      <c r="AU120" s="3">
        <f>infections!AU120-infections!AT120</f>
        <v>0</v>
      </c>
      <c r="AV120" s="3">
        <f>infections!AV120-infections!AU120</f>
        <v>0</v>
      </c>
      <c r="AW120" s="3">
        <f>infections!AW120-infections!AV120</f>
        <v>0</v>
      </c>
      <c r="AX120" s="3">
        <f>infections!AX120-infections!AW120</f>
        <v>0</v>
      </c>
      <c r="AY120" s="3">
        <f>infections!AY120-infections!AX120</f>
        <v>0</v>
      </c>
      <c r="AZ120" s="3">
        <f>infections!AZ120-infections!AY120</f>
        <v>0</v>
      </c>
      <c r="BA120" s="3">
        <f>infections!BA120-infections!AZ120</f>
        <v>0</v>
      </c>
      <c r="BB120" s="3">
        <f>infections!BB120-infections!BA120</f>
        <v>0</v>
      </c>
      <c r="BC120" s="3">
        <f>infections!BC120-infections!BB120</f>
        <v>0</v>
      </c>
      <c r="BD120" s="3">
        <f>infections!BD120-infections!BC120</f>
        <v>0</v>
      </c>
      <c r="BE120" s="3">
        <f>infections!BE120-infections!BD120</f>
        <v>0</v>
      </c>
      <c r="BF120" s="3">
        <f>infections!BF120-infections!BE120</f>
        <v>0</v>
      </c>
      <c r="BG120" s="3">
        <f>infections!BG120-infections!BF120</f>
        <v>0</v>
      </c>
      <c r="BH120" s="3">
        <f>infections!BH120-infections!BG120</f>
        <v>1</v>
      </c>
      <c r="BI120" s="3">
        <f>infections!BI120-infections!BH120</f>
        <v>0</v>
      </c>
      <c r="BJ120" s="3">
        <f>infections!BJ120-infections!BI120</f>
        <v>0</v>
      </c>
      <c r="BK120" s="3">
        <f>infections!BK120-infections!BJ120</f>
        <v>0</v>
      </c>
      <c r="BL120" s="3">
        <f>infections!BL120-infections!BK120</f>
        <v>0</v>
      </c>
      <c r="BM120" s="3">
        <f>infections!BM120-infections!BL120</f>
        <v>0</v>
      </c>
      <c r="BN120" s="3">
        <f>infections!BN120-infections!BM120</f>
        <v>1</v>
      </c>
      <c r="BO120" s="3">
        <f>infections!BO120-infections!BN120</f>
        <v>1</v>
      </c>
      <c r="BP120" s="3">
        <f>infections!BP120-infections!BO120</f>
        <v>0</v>
      </c>
      <c r="BQ120" s="3">
        <f>infections!BQ120-infections!BP120</f>
        <v>0</v>
      </c>
      <c r="BR120" s="3">
        <f>infections!BR120-infections!BQ120</f>
        <v>0</v>
      </c>
      <c r="BS120" s="3">
        <f>infections!BS120-infections!BR120</f>
        <v>0</v>
      </c>
      <c r="BT120" s="3">
        <f>infections!BT120-infections!BS120</f>
        <v>1</v>
      </c>
      <c r="BU120" s="3">
        <f>infections!BU120-infections!BT120</f>
        <v>0</v>
      </c>
      <c r="BV120" s="3">
        <f>infections!BV120-infections!BU120</f>
        <v>0</v>
      </c>
      <c r="BW120" s="3">
        <f>infections!BW120-infections!BV120</f>
        <v>0</v>
      </c>
      <c r="BX120" s="3">
        <f>infections!BX120-infections!BW120</f>
        <v>0</v>
      </c>
      <c r="BY120" s="3">
        <f>infections!BY120-infections!BX120</f>
        <v>0</v>
      </c>
    </row>
    <row r="121">
      <c r="B121" s="1" t="str">
        <f>infections!B121</f>
        <v>Georgia</v>
      </c>
      <c r="C121" s="4">
        <f>infections!C121</f>
        <v>42.3154</v>
      </c>
      <c r="D121" s="4">
        <f>infections!D121</f>
        <v>43.3569</v>
      </c>
      <c r="E121" s="4">
        <f>infections!E121</f>
        <v>0</v>
      </c>
      <c r="F121" s="3">
        <f>infections!F121-infections!E121</f>
        <v>0</v>
      </c>
      <c r="G121" s="3">
        <f>infections!G121-infections!F121</f>
        <v>0</v>
      </c>
      <c r="H121" s="3">
        <f>infections!H121-infections!G121</f>
        <v>0</v>
      </c>
      <c r="I121" s="3">
        <f>infections!I121-infections!H121</f>
        <v>0</v>
      </c>
      <c r="J121" s="3">
        <f>infections!J121-infections!I121</f>
        <v>0</v>
      </c>
      <c r="K121" s="3">
        <f>infections!K121-infections!J121</f>
        <v>0</v>
      </c>
      <c r="L121" s="3">
        <f>infections!L121-infections!K121</f>
        <v>0</v>
      </c>
      <c r="M121" s="3">
        <f>infections!M121-infections!L121</f>
        <v>0</v>
      </c>
      <c r="N121" s="3">
        <f>infections!N121-infections!M121</f>
        <v>0</v>
      </c>
      <c r="O121" s="3">
        <f>infections!O121-infections!N121</f>
        <v>0</v>
      </c>
      <c r="P121" s="3">
        <f>infections!P121-infections!O121</f>
        <v>0</v>
      </c>
      <c r="Q121" s="3">
        <f>infections!Q121-infections!P121</f>
        <v>0</v>
      </c>
      <c r="R121" s="3">
        <f>infections!R121-infections!Q121</f>
        <v>0</v>
      </c>
      <c r="S121" s="3">
        <f>infections!S121-infections!R121</f>
        <v>0</v>
      </c>
      <c r="T121" s="3">
        <f>infections!T121-infections!S121</f>
        <v>0</v>
      </c>
      <c r="U121" s="3">
        <f>infections!U121-infections!T121</f>
        <v>0</v>
      </c>
      <c r="V121" s="3">
        <f>infections!V121-infections!U121</f>
        <v>0</v>
      </c>
      <c r="W121" s="3">
        <f>infections!W121-infections!V121</f>
        <v>0</v>
      </c>
      <c r="X121" s="3">
        <f>infections!X121-infections!W121</f>
        <v>0</v>
      </c>
      <c r="Y121" s="3">
        <f>infections!Y121-infections!X121</f>
        <v>0</v>
      </c>
      <c r="Z121" s="3">
        <f>infections!Z121-infections!Y121</f>
        <v>0</v>
      </c>
      <c r="AA121" s="3">
        <f>infections!AA121-infections!Z121</f>
        <v>0</v>
      </c>
      <c r="AB121" s="3">
        <f>infections!AB121-infections!AA121</f>
        <v>0</v>
      </c>
      <c r="AC121" s="3">
        <f>infections!AC121-infections!AB121</f>
        <v>0</v>
      </c>
      <c r="AD121" s="3">
        <f>infections!AD121-infections!AC121</f>
        <v>0</v>
      </c>
      <c r="AE121" s="3">
        <f>infections!AE121-infections!AD121</f>
        <v>0</v>
      </c>
      <c r="AF121" s="3">
        <f>infections!AF121-infections!AE121</f>
        <v>0</v>
      </c>
      <c r="AG121" s="3">
        <f>infections!AG121-infections!AF121</f>
        <v>0</v>
      </c>
      <c r="AH121" s="3">
        <f>infections!AH121-infections!AG121</f>
        <v>0</v>
      </c>
      <c r="AI121" s="3">
        <f>infections!AI121-infections!AH121</f>
        <v>0</v>
      </c>
      <c r="AJ121" s="3">
        <f>infections!AJ121-infections!AI121</f>
        <v>0</v>
      </c>
      <c r="AK121" s="3">
        <f>infections!AK121-infections!AJ121</f>
        <v>0</v>
      </c>
      <c r="AL121" s="3">
        <f>infections!AL121-infections!AK121</f>
        <v>0</v>
      </c>
      <c r="AM121" s="3">
        <f>infections!AM121-infections!AL121</f>
        <v>0</v>
      </c>
      <c r="AN121" s="3">
        <f>infections!AN121-infections!AM121</f>
        <v>1</v>
      </c>
      <c r="AO121" s="3">
        <f>infections!AO121-infections!AN121</f>
        <v>0</v>
      </c>
      <c r="AP121" s="3">
        <f>infections!AP121-infections!AO121</f>
        <v>0</v>
      </c>
      <c r="AQ121" s="3">
        <f>infections!AQ121-infections!AP121</f>
        <v>0</v>
      </c>
      <c r="AR121" s="3">
        <f>infections!AR121-infections!AQ121</f>
        <v>2</v>
      </c>
      <c r="AS121" s="3">
        <f>infections!AS121-infections!AR121</f>
        <v>0</v>
      </c>
      <c r="AT121" s="3">
        <f>infections!AT121-infections!AS121</f>
        <v>0</v>
      </c>
      <c r="AU121" s="3">
        <f>infections!AU121-infections!AT121</f>
        <v>0</v>
      </c>
      <c r="AV121" s="3">
        <f>infections!AV121-infections!AU121</f>
        <v>1</v>
      </c>
      <c r="AW121" s="3">
        <f>infections!AW121-infections!AV121</f>
        <v>0</v>
      </c>
      <c r="AX121" s="3">
        <f>infections!AX121-infections!AW121</f>
        <v>0</v>
      </c>
      <c r="AY121" s="3">
        <f>infections!AY121-infections!AX121</f>
        <v>9</v>
      </c>
      <c r="AZ121" s="3">
        <f>infections!AZ121-infections!AY121</f>
        <v>2</v>
      </c>
      <c r="BA121" s="3">
        <f>infections!BA121-infections!AZ121</f>
        <v>0</v>
      </c>
      <c r="BB121" s="3">
        <f>infections!BB121-infections!BA121</f>
        <v>9</v>
      </c>
      <c r="BC121" s="3">
        <f>infections!BC121-infections!BB121</f>
        <v>0</v>
      </c>
      <c r="BD121" s="3">
        <f>infections!BD121-infections!BC121</f>
        <v>1</v>
      </c>
      <c r="BE121" s="3">
        <f>infections!BE121-infections!BD121</f>
        <v>5</v>
      </c>
      <c r="BF121" s="3">
        <f>infections!BF121-infections!BE121</f>
        <v>3</v>
      </c>
      <c r="BG121" s="3">
        <f>infections!BG121-infections!BF121</f>
        <v>0</v>
      </c>
      <c r="BH121" s="3">
        <f>infections!BH121-infections!BG121</f>
        <v>1</v>
      </c>
      <c r="BI121" s="3">
        <f>infections!BI121-infections!BH121</f>
        <v>4</v>
      </c>
      <c r="BJ121" s="3">
        <f>infections!BJ121-infections!BI121</f>
        <v>2</v>
      </c>
      <c r="BK121" s="3">
        <f>infections!BK121-infections!BJ121</f>
        <v>3</v>
      </c>
      <c r="BL121" s="3">
        <f>infections!BL121-infections!BK121</f>
        <v>6</v>
      </c>
      <c r="BM121" s="3">
        <f>infections!BM121-infections!BL121</f>
        <v>5</v>
      </c>
      <c r="BN121" s="3">
        <f>infections!BN121-infections!BM121</f>
        <v>7</v>
      </c>
      <c r="BO121" s="3">
        <f>infections!BO121-infections!BN121</f>
        <v>9</v>
      </c>
      <c r="BP121" s="3">
        <f>infections!BP121-infections!BO121</f>
        <v>5</v>
      </c>
      <c r="BQ121" s="3">
        <f>infections!BQ121-infections!BP121</f>
        <v>4</v>
      </c>
      <c r="BR121" s="3">
        <f>infections!BR121-infections!BQ121</f>
        <v>4</v>
      </c>
      <c r="BS121" s="3">
        <f>infections!BS121-infections!BR121</f>
        <v>7</v>
      </c>
      <c r="BT121" s="3">
        <f>infections!BT121-infections!BS121</f>
        <v>1</v>
      </c>
      <c r="BU121" s="3">
        <f>infections!BU121-infections!BT121</f>
        <v>12</v>
      </c>
      <c r="BV121" s="3">
        <f>infections!BV121-infections!BU121</f>
        <v>7</v>
      </c>
      <c r="BW121" s="3">
        <f>infections!BW121-infections!BV121</f>
        <v>7</v>
      </c>
      <c r="BX121" s="3">
        <f>infections!BX121-infections!BW121</f>
        <v>17</v>
      </c>
      <c r="BY121" s="3">
        <f>infections!BY121-infections!BX121</f>
        <v>21</v>
      </c>
    </row>
    <row r="122">
      <c r="B122" s="1" t="str">
        <f>infections!B122</f>
        <v>Germany</v>
      </c>
      <c r="C122" s="4">
        <f>infections!C122</f>
        <v>51</v>
      </c>
      <c r="D122" s="4">
        <f>infections!D122</f>
        <v>9</v>
      </c>
      <c r="E122" s="4">
        <f>infections!E122</f>
        <v>0</v>
      </c>
      <c r="F122" s="3">
        <f>infections!F122-infections!E122</f>
        <v>0</v>
      </c>
      <c r="G122" s="3">
        <f>infections!G122-infections!F122</f>
        <v>0</v>
      </c>
      <c r="H122" s="3">
        <f>infections!H122-infections!G122</f>
        <v>0</v>
      </c>
      <c r="I122" s="3">
        <f>infections!I122-infections!H122</f>
        <v>0</v>
      </c>
      <c r="J122" s="3">
        <f>infections!J122-infections!I122</f>
        <v>1</v>
      </c>
      <c r="K122" s="3">
        <f>infections!K122-infections!J122</f>
        <v>3</v>
      </c>
      <c r="L122" s="3">
        <f>infections!L122-infections!K122</f>
        <v>0</v>
      </c>
      <c r="M122" s="3">
        <f>infections!M122-infections!L122</f>
        <v>0</v>
      </c>
      <c r="N122" s="3">
        <f>infections!N122-infections!M122</f>
        <v>1</v>
      </c>
      <c r="O122" s="3">
        <f>infections!O122-infections!N122</f>
        <v>3</v>
      </c>
      <c r="P122" s="3">
        <f>infections!P122-infections!O122</f>
        <v>2</v>
      </c>
      <c r="Q122" s="3">
        <f>infections!Q122-infections!P122</f>
        <v>2</v>
      </c>
      <c r="R122" s="3">
        <f>infections!R122-infections!Q122</f>
        <v>0</v>
      </c>
      <c r="S122" s="3">
        <f>infections!S122-infections!R122</f>
        <v>0</v>
      </c>
      <c r="T122" s="3">
        <f>infections!T122-infections!S122</f>
        <v>0</v>
      </c>
      <c r="U122" s="3">
        <f>infections!U122-infections!T122</f>
        <v>1</v>
      </c>
      <c r="V122" s="3">
        <f>infections!V122-infections!U122</f>
        <v>0</v>
      </c>
      <c r="W122" s="3">
        <f>infections!W122-infections!V122</f>
        <v>1</v>
      </c>
      <c r="X122" s="3">
        <f>infections!X122-infections!W122</f>
        <v>0</v>
      </c>
      <c r="Y122" s="3">
        <f>infections!Y122-infections!X122</f>
        <v>2</v>
      </c>
      <c r="Z122" s="3">
        <f>infections!Z122-infections!Y122</f>
        <v>0</v>
      </c>
      <c r="AA122" s="3">
        <f>infections!AA122-infections!Z122</f>
        <v>0</v>
      </c>
      <c r="AB122" s="3">
        <f>infections!AB122-infections!AA122</f>
        <v>0</v>
      </c>
      <c r="AC122" s="3">
        <f>infections!AC122-infections!AB122</f>
        <v>0</v>
      </c>
      <c r="AD122" s="3">
        <f>infections!AD122-infections!AC122</f>
        <v>0</v>
      </c>
      <c r="AE122" s="3">
        <f>infections!AE122-infections!AD122</f>
        <v>0</v>
      </c>
      <c r="AF122" s="3">
        <f>infections!AF122-infections!AE122</f>
        <v>0</v>
      </c>
      <c r="AG122" s="3">
        <f>infections!AG122-infections!AF122</f>
        <v>0</v>
      </c>
      <c r="AH122" s="3">
        <f>infections!AH122-infections!AG122</f>
        <v>0</v>
      </c>
      <c r="AI122" s="3">
        <f>infections!AI122-infections!AH122</f>
        <v>0</v>
      </c>
      <c r="AJ122" s="3">
        <f>infections!AJ122-infections!AI122</f>
        <v>0</v>
      </c>
      <c r="AK122" s="3">
        <f>infections!AK122-infections!AJ122</f>
        <v>0</v>
      </c>
      <c r="AL122" s="3">
        <f>infections!AL122-infections!AK122</f>
        <v>0</v>
      </c>
      <c r="AM122" s="3">
        <f>infections!AM122-infections!AL122</f>
        <v>1</v>
      </c>
      <c r="AN122" s="3">
        <f>infections!AN122-infections!AM122</f>
        <v>10</v>
      </c>
      <c r="AO122" s="3">
        <f>infections!AO122-infections!AN122</f>
        <v>19</v>
      </c>
      <c r="AP122" s="3">
        <f>infections!AP122-infections!AO122</f>
        <v>2</v>
      </c>
      <c r="AQ122" s="3">
        <f>infections!AQ122-infections!AP122</f>
        <v>31</v>
      </c>
      <c r="AR122" s="3">
        <f>infections!AR122-infections!AQ122</f>
        <v>51</v>
      </c>
      <c r="AS122" s="3">
        <f>infections!AS122-infections!AR122</f>
        <v>29</v>
      </c>
      <c r="AT122" s="3">
        <f>infections!AT122-infections!AS122</f>
        <v>37</v>
      </c>
      <c r="AU122" s="3">
        <f>infections!AU122-infections!AT122</f>
        <v>66</v>
      </c>
      <c r="AV122" s="3">
        <f>infections!AV122-infections!AU122</f>
        <v>220</v>
      </c>
      <c r="AW122" s="3">
        <f>infections!AW122-infections!AV122</f>
        <v>188</v>
      </c>
      <c r="AX122" s="3">
        <f>infections!AX122-infections!AW122</f>
        <v>129</v>
      </c>
      <c r="AY122" s="3">
        <f>infections!AY122-infections!AX122</f>
        <v>241</v>
      </c>
      <c r="AZ122" s="3">
        <f>infections!AZ122-infections!AY122</f>
        <v>136</v>
      </c>
      <c r="BA122" s="3">
        <f>infections!BA122-infections!AZ122</f>
        <v>281</v>
      </c>
      <c r="BB122" s="3">
        <f>infections!BB122-infections!BA122</f>
        <v>451</v>
      </c>
      <c r="BC122" s="3">
        <f>infections!BC122-infections!BB122</f>
        <v>170</v>
      </c>
      <c r="BD122" s="3">
        <f>infections!BD122-infections!BC122</f>
        <v>1597</v>
      </c>
      <c r="BE122" s="3">
        <f>infections!BE122-infections!BD122</f>
        <v>910</v>
      </c>
      <c r="BF122" s="3">
        <f>infections!BF122-infections!BE122</f>
        <v>1210</v>
      </c>
      <c r="BG122" s="3">
        <f>infections!BG122-infections!BF122</f>
        <v>1477</v>
      </c>
      <c r="BH122" s="3">
        <f>infections!BH122-infections!BG122</f>
        <v>1985</v>
      </c>
      <c r="BI122" s="3">
        <f>infections!BI122-infections!BH122</f>
        <v>3070</v>
      </c>
      <c r="BJ122" s="3">
        <f>infections!BJ122-infections!BI122</f>
        <v>2993</v>
      </c>
      <c r="BK122" s="3">
        <f>infections!BK122-infections!BJ122</f>
        <v>4528</v>
      </c>
      <c r="BL122" s="3">
        <f>infections!BL122-infections!BK122</f>
        <v>2365</v>
      </c>
      <c r="BM122" s="3">
        <f>infections!BM122-infections!BL122</f>
        <v>2660</v>
      </c>
      <c r="BN122" s="3">
        <f>infections!BN122-infections!BM122</f>
        <v>4183</v>
      </c>
      <c r="BO122" s="3">
        <f>infections!BO122-infections!BN122</f>
        <v>3930</v>
      </c>
      <c r="BP122" s="3">
        <f>infections!BP122-infections!BO122</f>
        <v>4337</v>
      </c>
      <c r="BQ122" s="3">
        <f>infections!BQ122-infections!BP122</f>
        <v>6615</v>
      </c>
      <c r="BR122" s="3">
        <f>infections!BR122-infections!BQ122</f>
        <v>6933</v>
      </c>
      <c r="BS122" s="3">
        <f>infections!BS122-infections!BR122</f>
        <v>6824</v>
      </c>
      <c r="BT122" s="3">
        <f>infections!BT122-infections!BS122</f>
        <v>4400</v>
      </c>
      <c r="BU122" s="3">
        <f>infections!BU122-infections!BT122</f>
        <v>4790</v>
      </c>
      <c r="BV122" s="3">
        <f>infections!BV122-infections!BU122</f>
        <v>4923</v>
      </c>
      <c r="BW122" s="3">
        <f>infections!BW122-infections!BV122</f>
        <v>6064</v>
      </c>
      <c r="BX122" s="3">
        <f>infections!BX122-infections!BW122</f>
        <v>6922</v>
      </c>
      <c r="BY122" s="3">
        <f>infections!BY122-infections!BX122</f>
        <v>6365</v>
      </c>
    </row>
    <row r="123">
      <c r="B123" s="1" t="str">
        <f>infections!B123</f>
        <v>Ghana</v>
      </c>
      <c r="C123" s="4">
        <f>infections!C123</f>
        <v>7.9465</v>
      </c>
      <c r="D123" s="4">
        <f>infections!D123</f>
        <v>-1.0232</v>
      </c>
      <c r="E123" s="4">
        <f>infections!E123</f>
        <v>0</v>
      </c>
      <c r="F123" s="3">
        <f>infections!F123-infections!E123</f>
        <v>0</v>
      </c>
      <c r="G123" s="3">
        <f>infections!G123-infections!F123</f>
        <v>0</v>
      </c>
      <c r="H123" s="3">
        <f>infections!H123-infections!G123</f>
        <v>0</v>
      </c>
      <c r="I123" s="3">
        <f>infections!I123-infections!H123</f>
        <v>0</v>
      </c>
      <c r="J123" s="3">
        <f>infections!J123-infections!I123</f>
        <v>0</v>
      </c>
      <c r="K123" s="3">
        <f>infections!K123-infections!J123</f>
        <v>0</v>
      </c>
      <c r="L123" s="3">
        <f>infections!L123-infections!K123</f>
        <v>0</v>
      </c>
      <c r="M123" s="3">
        <f>infections!M123-infections!L123</f>
        <v>0</v>
      </c>
      <c r="N123" s="3">
        <f>infections!N123-infections!M123</f>
        <v>0</v>
      </c>
      <c r="O123" s="3">
        <f>infections!O123-infections!N123</f>
        <v>0</v>
      </c>
      <c r="P123" s="3">
        <f>infections!P123-infections!O123</f>
        <v>0</v>
      </c>
      <c r="Q123" s="3">
        <f>infections!Q123-infections!P123</f>
        <v>0</v>
      </c>
      <c r="R123" s="3">
        <f>infections!R123-infections!Q123</f>
        <v>0</v>
      </c>
      <c r="S123" s="3">
        <f>infections!S123-infections!R123</f>
        <v>0</v>
      </c>
      <c r="T123" s="3">
        <f>infections!T123-infections!S123</f>
        <v>0</v>
      </c>
      <c r="U123" s="3">
        <f>infections!U123-infections!T123</f>
        <v>0</v>
      </c>
      <c r="V123" s="3">
        <f>infections!V123-infections!U123</f>
        <v>0</v>
      </c>
      <c r="W123" s="3">
        <f>infections!W123-infections!V123</f>
        <v>0</v>
      </c>
      <c r="X123" s="3">
        <f>infections!X123-infections!W123</f>
        <v>0</v>
      </c>
      <c r="Y123" s="3">
        <f>infections!Y123-infections!X123</f>
        <v>0</v>
      </c>
      <c r="Z123" s="3">
        <f>infections!Z123-infections!Y123</f>
        <v>0</v>
      </c>
      <c r="AA123" s="3">
        <f>infections!AA123-infections!Z123</f>
        <v>0</v>
      </c>
      <c r="AB123" s="3">
        <f>infections!AB123-infections!AA123</f>
        <v>0</v>
      </c>
      <c r="AC123" s="3">
        <f>infections!AC123-infections!AB123</f>
        <v>0</v>
      </c>
      <c r="AD123" s="3">
        <f>infections!AD123-infections!AC123</f>
        <v>0</v>
      </c>
      <c r="AE123" s="3">
        <f>infections!AE123-infections!AD123</f>
        <v>0</v>
      </c>
      <c r="AF123" s="3">
        <f>infections!AF123-infections!AE123</f>
        <v>0</v>
      </c>
      <c r="AG123" s="3">
        <f>infections!AG123-infections!AF123</f>
        <v>0</v>
      </c>
      <c r="AH123" s="3">
        <f>infections!AH123-infections!AG123</f>
        <v>0</v>
      </c>
      <c r="AI123" s="3">
        <f>infections!AI123-infections!AH123</f>
        <v>0</v>
      </c>
      <c r="AJ123" s="3">
        <f>infections!AJ123-infections!AI123</f>
        <v>0</v>
      </c>
      <c r="AK123" s="3">
        <f>infections!AK123-infections!AJ123</f>
        <v>0</v>
      </c>
      <c r="AL123" s="3">
        <f>infections!AL123-infections!AK123</f>
        <v>0</v>
      </c>
      <c r="AM123" s="3">
        <f>infections!AM123-infections!AL123</f>
        <v>0</v>
      </c>
      <c r="AN123" s="3">
        <f>infections!AN123-infections!AM123</f>
        <v>0</v>
      </c>
      <c r="AO123" s="3">
        <f>infections!AO123-infections!AN123</f>
        <v>0</v>
      </c>
      <c r="AP123" s="3">
        <f>infections!AP123-infections!AO123</f>
        <v>0</v>
      </c>
      <c r="AQ123" s="3">
        <f>infections!AQ123-infections!AP123</f>
        <v>0</v>
      </c>
      <c r="AR123" s="3">
        <f>infections!AR123-infections!AQ123</f>
        <v>0</v>
      </c>
      <c r="AS123" s="3">
        <f>infections!AS123-infections!AR123</f>
        <v>0</v>
      </c>
      <c r="AT123" s="3">
        <f>infections!AT123-infections!AS123</f>
        <v>0</v>
      </c>
      <c r="AU123" s="3">
        <f>infections!AU123-infections!AT123</f>
        <v>0</v>
      </c>
      <c r="AV123" s="3">
        <f>infections!AV123-infections!AU123</f>
        <v>0</v>
      </c>
      <c r="AW123" s="3">
        <f>infections!AW123-infections!AV123</f>
        <v>0</v>
      </c>
      <c r="AX123" s="3">
        <f>infections!AX123-infections!AW123</f>
        <v>0</v>
      </c>
      <c r="AY123" s="3">
        <f>infections!AY123-infections!AX123</f>
        <v>0</v>
      </c>
      <c r="AZ123" s="3">
        <f>infections!AZ123-infections!AY123</f>
        <v>0</v>
      </c>
      <c r="BA123" s="3">
        <f>infections!BA123-infections!AZ123</f>
        <v>0</v>
      </c>
      <c r="BB123" s="3">
        <f>infections!BB123-infections!BA123</f>
        <v>0</v>
      </c>
      <c r="BC123" s="3">
        <f>infections!BC123-infections!BB123</f>
        <v>0</v>
      </c>
      <c r="BD123" s="3">
        <f>infections!BD123-infections!BC123</f>
        <v>0</v>
      </c>
      <c r="BE123" s="3">
        <f>infections!BE123-infections!BD123</f>
        <v>3</v>
      </c>
      <c r="BF123" s="3">
        <f>infections!BF123-infections!BE123</f>
        <v>3</v>
      </c>
      <c r="BG123" s="3">
        <f>infections!BG123-infections!BF123</f>
        <v>0</v>
      </c>
      <c r="BH123" s="3">
        <f>infections!BH123-infections!BG123</f>
        <v>1</v>
      </c>
      <c r="BI123" s="3">
        <f>infections!BI123-infections!BH123</f>
        <v>0</v>
      </c>
      <c r="BJ123" s="3">
        <f>infections!BJ123-infections!BI123</f>
        <v>4</v>
      </c>
      <c r="BK123" s="3">
        <f>infections!BK123-infections!BJ123</f>
        <v>5</v>
      </c>
      <c r="BL123" s="3">
        <f>infections!BL123-infections!BK123</f>
        <v>3</v>
      </c>
      <c r="BM123" s="3">
        <f>infections!BM123-infections!BL123</f>
        <v>4</v>
      </c>
      <c r="BN123" s="3">
        <f>infections!BN123-infections!BM123</f>
        <v>4</v>
      </c>
      <c r="BO123" s="3">
        <f>infections!BO123-infections!BN123</f>
        <v>26</v>
      </c>
      <c r="BP123" s="3">
        <f>infections!BP123-infections!BO123</f>
        <v>40</v>
      </c>
      <c r="BQ123" s="3">
        <f>infections!BQ123-infections!BP123</f>
        <v>39</v>
      </c>
      <c r="BR123" s="3">
        <f>infections!BR123-infections!BQ123</f>
        <v>5</v>
      </c>
      <c r="BS123" s="3">
        <f>infections!BS123-infections!BR123</f>
        <v>4</v>
      </c>
      <c r="BT123" s="3">
        <f>infections!BT123-infections!BS123</f>
        <v>11</v>
      </c>
      <c r="BU123" s="3">
        <f>infections!BU123-infections!BT123</f>
        <v>0</v>
      </c>
      <c r="BV123" s="3">
        <f>infections!BV123-infections!BU123</f>
        <v>9</v>
      </c>
      <c r="BW123" s="3">
        <f>infections!BW123-infections!BV123</f>
        <v>34</v>
      </c>
      <c r="BX123" s="3">
        <f>infections!BX123-infections!BW123</f>
        <v>9</v>
      </c>
      <c r="BY123" s="3">
        <f>infections!BY123-infections!BX123</f>
        <v>1</v>
      </c>
    </row>
    <row r="124">
      <c r="B124" s="1" t="str">
        <f>infections!B124</f>
        <v>Greece</v>
      </c>
      <c r="C124" s="4">
        <f>infections!C124</f>
        <v>39.0742</v>
      </c>
      <c r="D124" s="4">
        <f>infections!D124</f>
        <v>21.8243</v>
      </c>
      <c r="E124" s="4">
        <f>infections!E124</f>
        <v>0</v>
      </c>
      <c r="F124" s="3">
        <f>infections!F124-infections!E124</f>
        <v>0</v>
      </c>
      <c r="G124" s="3">
        <f>infections!G124-infections!F124</f>
        <v>0</v>
      </c>
      <c r="H124" s="3">
        <f>infections!H124-infections!G124</f>
        <v>0</v>
      </c>
      <c r="I124" s="3">
        <f>infections!I124-infections!H124</f>
        <v>0</v>
      </c>
      <c r="J124" s="3">
        <f>infections!J124-infections!I124</f>
        <v>0</v>
      </c>
      <c r="K124" s="3">
        <f>infections!K124-infections!J124</f>
        <v>0</v>
      </c>
      <c r="L124" s="3">
        <f>infections!L124-infections!K124</f>
        <v>0</v>
      </c>
      <c r="M124" s="3">
        <f>infections!M124-infections!L124</f>
        <v>0</v>
      </c>
      <c r="N124" s="3">
        <f>infections!N124-infections!M124</f>
        <v>0</v>
      </c>
      <c r="O124" s="3">
        <f>infections!O124-infections!N124</f>
        <v>0</v>
      </c>
      <c r="P124" s="3">
        <f>infections!P124-infections!O124</f>
        <v>0</v>
      </c>
      <c r="Q124" s="3">
        <f>infections!Q124-infections!P124</f>
        <v>0</v>
      </c>
      <c r="R124" s="3">
        <f>infections!R124-infections!Q124</f>
        <v>0</v>
      </c>
      <c r="S124" s="3">
        <f>infections!S124-infections!R124</f>
        <v>0</v>
      </c>
      <c r="T124" s="3">
        <f>infections!T124-infections!S124</f>
        <v>0</v>
      </c>
      <c r="U124" s="3">
        <f>infections!U124-infections!T124</f>
        <v>0</v>
      </c>
      <c r="V124" s="3">
        <f>infections!V124-infections!U124</f>
        <v>0</v>
      </c>
      <c r="W124" s="3">
        <f>infections!W124-infections!V124</f>
        <v>0</v>
      </c>
      <c r="X124" s="3">
        <f>infections!X124-infections!W124</f>
        <v>0</v>
      </c>
      <c r="Y124" s="3">
        <f>infections!Y124-infections!X124</f>
        <v>0</v>
      </c>
      <c r="Z124" s="3">
        <f>infections!Z124-infections!Y124</f>
        <v>0</v>
      </c>
      <c r="AA124" s="3">
        <f>infections!AA124-infections!Z124</f>
        <v>0</v>
      </c>
      <c r="AB124" s="3">
        <f>infections!AB124-infections!AA124</f>
        <v>0</v>
      </c>
      <c r="AC124" s="3">
        <f>infections!AC124-infections!AB124</f>
        <v>0</v>
      </c>
      <c r="AD124" s="3">
        <f>infections!AD124-infections!AC124</f>
        <v>0</v>
      </c>
      <c r="AE124" s="3">
        <f>infections!AE124-infections!AD124</f>
        <v>0</v>
      </c>
      <c r="AF124" s="3">
        <f>infections!AF124-infections!AE124</f>
        <v>0</v>
      </c>
      <c r="AG124" s="3">
        <f>infections!AG124-infections!AF124</f>
        <v>0</v>
      </c>
      <c r="AH124" s="3">
        <f>infections!AH124-infections!AG124</f>
        <v>0</v>
      </c>
      <c r="AI124" s="3">
        <f>infections!AI124-infections!AH124</f>
        <v>0</v>
      </c>
      <c r="AJ124" s="3">
        <f>infections!AJ124-infections!AI124</f>
        <v>0</v>
      </c>
      <c r="AK124" s="3">
        <f>infections!AK124-infections!AJ124</f>
        <v>0</v>
      </c>
      <c r="AL124" s="3">
        <f>infections!AL124-infections!AK124</f>
        <v>0</v>
      </c>
      <c r="AM124" s="3">
        <f>infections!AM124-infections!AL124</f>
        <v>0</v>
      </c>
      <c r="AN124" s="3">
        <f>infections!AN124-infections!AM124</f>
        <v>1</v>
      </c>
      <c r="AO124" s="3">
        <f>infections!AO124-infections!AN124</f>
        <v>2</v>
      </c>
      <c r="AP124" s="3">
        <f>infections!AP124-infections!AO124</f>
        <v>1</v>
      </c>
      <c r="AQ124" s="3">
        <f>infections!AQ124-infections!AP124</f>
        <v>0</v>
      </c>
      <c r="AR124" s="3">
        <f>infections!AR124-infections!AQ124</f>
        <v>3</v>
      </c>
      <c r="AS124" s="3">
        <f>infections!AS124-infections!AR124</f>
        <v>0</v>
      </c>
      <c r="AT124" s="3">
        <f>infections!AT124-infections!AS124</f>
        <v>0</v>
      </c>
      <c r="AU124" s="3">
        <f>infections!AU124-infections!AT124</f>
        <v>2</v>
      </c>
      <c r="AV124" s="3">
        <f>infections!AV124-infections!AU124</f>
        <v>22</v>
      </c>
      <c r="AW124" s="3">
        <f>infections!AW124-infections!AV124</f>
        <v>14</v>
      </c>
      <c r="AX124" s="3">
        <f>infections!AX124-infections!AW124</f>
        <v>1</v>
      </c>
      <c r="AY124" s="3">
        <f>infections!AY124-infections!AX124</f>
        <v>27</v>
      </c>
      <c r="AZ124" s="3">
        <f>infections!AZ124-infections!AY124</f>
        <v>0</v>
      </c>
      <c r="BA124" s="3">
        <f>infections!BA124-infections!AZ124</f>
        <v>16</v>
      </c>
      <c r="BB124" s="3">
        <f>infections!BB124-infections!BA124</f>
        <v>10</v>
      </c>
      <c r="BC124" s="3">
        <f>infections!BC124-infections!BB124</f>
        <v>0</v>
      </c>
      <c r="BD124" s="3">
        <f>infections!BD124-infections!BC124</f>
        <v>91</v>
      </c>
      <c r="BE124" s="3">
        <f>infections!BE124-infections!BD124</f>
        <v>38</v>
      </c>
      <c r="BF124" s="3">
        <f>infections!BF124-infections!BE124</f>
        <v>103</v>
      </c>
      <c r="BG124" s="3">
        <f>infections!BG124-infections!BF124</f>
        <v>0</v>
      </c>
      <c r="BH124" s="3">
        <f>infections!BH124-infections!BG124</f>
        <v>56</v>
      </c>
      <c r="BI124" s="3">
        <f>infections!BI124-infections!BH124</f>
        <v>31</v>
      </c>
      <c r="BJ124" s="3">
        <f>infections!BJ124-infections!BI124</f>
        <v>0</v>
      </c>
      <c r="BK124" s="3">
        <f>infections!BK124-infections!BJ124</f>
        <v>77</v>
      </c>
      <c r="BL124" s="3">
        <f>infections!BL124-infections!BK124</f>
        <v>35</v>
      </c>
      <c r="BM124" s="3">
        <f>infections!BM124-infections!BL124</f>
        <v>94</v>
      </c>
      <c r="BN124" s="3">
        <f>infections!BN124-infections!BM124</f>
        <v>71</v>
      </c>
      <c r="BO124" s="3">
        <f>infections!BO124-infections!BN124</f>
        <v>48</v>
      </c>
      <c r="BP124" s="3">
        <f>infections!BP124-infections!BO124</f>
        <v>78</v>
      </c>
      <c r="BQ124" s="3">
        <f>infections!BQ124-infections!BP124</f>
        <v>71</v>
      </c>
      <c r="BR124" s="3">
        <f>infections!BR124-infections!BQ124</f>
        <v>74</v>
      </c>
      <c r="BS124" s="3">
        <f>infections!BS124-infections!BR124</f>
        <v>95</v>
      </c>
      <c r="BT124" s="3">
        <f>infections!BT124-infections!BS124</f>
        <v>95</v>
      </c>
      <c r="BU124" s="3">
        <f>infections!BU124-infections!BT124</f>
        <v>56</v>
      </c>
      <c r="BV124" s="3">
        <f>infections!BV124-infections!BU124</f>
        <v>102</v>
      </c>
      <c r="BW124" s="3">
        <f>infections!BW124-infections!BV124</f>
        <v>101</v>
      </c>
      <c r="BX124" s="3">
        <f>infections!BX124-infections!BW124</f>
        <v>129</v>
      </c>
      <c r="BY124" s="3">
        <f>infections!BY124-infections!BX124</f>
        <v>69</v>
      </c>
    </row>
    <row r="125">
      <c r="B125" s="1" t="str">
        <f>infections!B125</f>
        <v>Guatemala</v>
      </c>
      <c r="C125" s="4">
        <f>infections!C125</f>
        <v>15.7835</v>
      </c>
      <c r="D125" s="4">
        <f>infections!D125</f>
        <v>-90.2308</v>
      </c>
      <c r="E125" s="4">
        <f>infections!E125</f>
        <v>0</v>
      </c>
      <c r="F125" s="3">
        <f>infections!F125-infections!E125</f>
        <v>0</v>
      </c>
      <c r="G125" s="3">
        <f>infections!G125-infections!F125</f>
        <v>0</v>
      </c>
      <c r="H125" s="3">
        <f>infections!H125-infections!G125</f>
        <v>0</v>
      </c>
      <c r="I125" s="3">
        <f>infections!I125-infections!H125</f>
        <v>0</v>
      </c>
      <c r="J125" s="3">
        <f>infections!J125-infections!I125</f>
        <v>0</v>
      </c>
      <c r="K125" s="3">
        <f>infections!K125-infections!J125</f>
        <v>0</v>
      </c>
      <c r="L125" s="3">
        <f>infections!L125-infections!K125</f>
        <v>0</v>
      </c>
      <c r="M125" s="3">
        <f>infections!M125-infections!L125</f>
        <v>0</v>
      </c>
      <c r="N125" s="3">
        <f>infections!N125-infections!M125</f>
        <v>0</v>
      </c>
      <c r="O125" s="3">
        <f>infections!O125-infections!N125</f>
        <v>0</v>
      </c>
      <c r="P125" s="3">
        <f>infections!P125-infections!O125</f>
        <v>0</v>
      </c>
      <c r="Q125" s="3">
        <f>infections!Q125-infections!P125</f>
        <v>0</v>
      </c>
      <c r="R125" s="3">
        <f>infections!R125-infections!Q125</f>
        <v>0</v>
      </c>
      <c r="S125" s="3">
        <f>infections!S125-infections!R125</f>
        <v>0</v>
      </c>
      <c r="T125" s="3">
        <f>infections!T125-infections!S125</f>
        <v>0</v>
      </c>
      <c r="U125" s="3">
        <f>infections!U125-infections!T125</f>
        <v>0</v>
      </c>
      <c r="V125" s="3">
        <f>infections!V125-infections!U125</f>
        <v>0</v>
      </c>
      <c r="W125" s="3">
        <f>infections!W125-infections!V125</f>
        <v>0</v>
      </c>
      <c r="X125" s="3">
        <f>infections!X125-infections!W125</f>
        <v>0</v>
      </c>
      <c r="Y125" s="3">
        <f>infections!Y125-infections!X125</f>
        <v>0</v>
      </c>
      <c r="Z125" s="3">
        <f>infections!Z125-infections!Y125</f>
        <v>0</v>
      </c>
      <c r="AA125" s="3">
        <f>infections!AA125-infections!Z125</f>
        <v>0</v>
      </c>
      <c r="AB125" s="3">
        <f>infections!AB125-infections!AA125</f>
        <v>0</v>
      </c>
      <c r="AC125" s="3">
        <f>infections!AC125-infections!AB125</f>
        <v>0</v>
      </c>
      <c r="AD125" s="3">
        <f>infections!AD125-infections!AC125</f>
        <v>0</v>
      </c>
      <c r="AE125" s="3">
        <f>infections!AE125-infections!AD125</f>
        <v>0</v>
      </c>
      <c r="AF125" s="3">
        <f>infections!AF125-infections!AE125</f>
        <v>0</v>
      </c>
      <c r="AG125" s="3">
        <f>infections!AG125-infections!AF125</f>
        <v>0</v>
      </c>
      <c r="AH125" s="3">
        <f>infections!AH125-infections!AG125</f>
        <v>0</v>
      </c>
      <c r="AI125" s="3">
        <f>infections!AI125-infections!AH125</f>
        <v>0</v>
      </c>
      <c r="AJ125" s="3">
        <f>infections!AJ125-infections!AI125</f>
        <v>0</v>
      </c>
      <c r="AK125" s="3">
        <f>infections!AK125-infections!AJ125</f>
        <v>0</v>
      </c>
      <c r="AL125" s="3">
        <f>infections!AL125-infections!AK125</f>
        <v>0</v>
      </c>
      <c r="AM125" s="3">
        <f>infections!AM125-infections!AL125</f>
        <v>0</v>
      </c>
      <c r="AN125" s="3">
        <f>infections!AN125-infections!AM125</f>
        <v>0</v>
      </c>
      <c r="AO125" s="3">
        <f>infections!AO125-infections!AN125</f>
        <v>0</v>
      </c>
      <c r="AP125" s="3">
        <f>infections!AP125-infections!AO125</f>
        <v>0</v>
      </c>
      <c r="AQ125" s="3">
        <f>infections!AQ125-infections!AP125</f>
        <v>0</v>
      </c>
      <c r="AR125" s="3">
        <f>infections!AR125-infections!AQ125</f>
        <v>0</v>
      </c>
      <c r="AS125" s="3">
        <f>infections!AS125-infections!AR125</f>
        <v>0</v>
      </c>
      <c r="AT125" s="3">
        <f>infections!AT125-infections!AS125</f>
        <v>0</v>
      </c>
      <c r="AU125" s="3">
        <f>infections!AU125-infections!AT125</f>
        <v>0</v>
      </c>
      <c r="AV125" s="3">
        <f>infections!AV125-infections!AU125</f>
        <v>0</v>
      </c>
      <c r="AW125" s="3">
        <f>infections!AW125-infections!AV125</f>
        <v>0</v>
      </c>
      <c r="AX125" s="3">
        <f>infections!AX125-infections!AW125</f>
        <v>0</v>
      </c>
      <c r="AY125" s="3">
        <f>infections!AY125-infections!AX125</f>
        <v>0</v>
      </c>
      <c r="AZ125" s="3">
        <f>infections!AZ125-infections!AY125</f>
        <v>0</v>
      </c>
      <c r="BA125" s="3">
        <f>infections!BA125-infections!AZ125</f>
        <v>0</v>
      </c>
      <c r="BB125" s="3">
        <f>infections!BB125-infections!BA125</f>
        <v>0</v>
      </c>
      <c r="BC125" s="3">
        <f>infections!BC125-infections!BB125</f>
        <v>0</v>
      </c>
      <c r="BD125" s="3">
        <f>infections!BD125-infections!BC125</f>
        <v>0</v>
      </c>
      <c r="BE125" s="3">
        <f>infections!BE125-infections!BD125</f>
        <v>1</v>
      </c>
      <c r="BF125" s="3">
        <f>infections!BF125-infections!BE125</f>
        <v>0</v>
      </c>
      <c r="BG125" s="3">
        <f>infections!BG125-infections!BF125</f>
        <v>1</v>
      </c>
      <c r="BH125" s="3">
        <f>infections!BH125-infections!BG125</f>
        <v>4</v>
      </c>
      <c r="BI125" s="3">
        <f>infections!BI125-infections!BH125</f>
        <v>0</v>
      </c>
      <c r="BJ125" s="3">
        <f>infections!BJ125-infections!BI125</f>
        <v>3</v>
      </c>
      <c r="BK125" s="3">
        <f>infections!BK125-infections!BJ125</f>
        <v>3</v>
      </c>
      <c r="BL125" s="3">
        <f>infections!BL125-infections!BK125</f>
        <v>5</v>
      </c>
      <c r="BM125" s="3">
        <f>infections!BM125-infections!BL125</f>
        <v>2</v>
      </c>
      <c r="BN125" s="3">
        <f>infections!BN125-infections!BM125</f>
        <v>1</v>
      </c>
      <c r="BO125" s="3">
        <f>infections!BO125-infections!BN125</f>
        <v>1</v>
      </c>
      <c r="BP125" s="3">
        <f>infections!BP125-infections!BO125</f>
        <v>3</v>
      </c>
      <c r="BQ125" s="3">
        <f>infections!BQ125-infections!BP125</f>
        <v>1</v>
      </c>
      <c r="BR125" s="3">
        <f>infections!BR125-infections!BQ125</f>
        <v>3</v>
      </c>
      <c r="BS125" s="3">
        <f>infections!BS125-infections!BR125</f>
        <v>6</v>
      </c>
      <c r="BT125" s="3">
        <f>infections!BT125-infections!BS125</f>
        <v>0</v>
      </c>
      <c r="BU125" s="3">
        <f>infections!BU125-infections!BT125</f>
        <v>2</v>
      </c>
      <c r="BV125" s="3">
        <f>infections!BV125-infections!BU125</f>
        <v>2</v>
      </c>
      <c r="BW125" s="3">
        <f>infections!BW125-infections!BV125</f>
        <v>1</v>
      </c>
      <c r="BX125" s="3">
        <f>infections!BX125-infections!BW125</f>
        <v>8</v>
      </c>
      <c r="BY125" s="3">
        <f>infections!BY125-infections!BX125</f>
        <v>3</v>
      </c>
    </row>
    <row r="126">
      <c r="B126" s="1" t="str">
        <f>infections!B126</f>
        <v>Guinea</v>
      </c>
      <c r="C126" s="4">
        <f>infections!C126</f>
        <v>9.9456</v>
      </c>
      <c r="D126" s="4">
        <f>infections!D126</f>
        <v>-9.6966</v>
      </c>
      <c r="E126" s="4">
        <f>infections!E126</f>
        <v>0</v>
      </c>
      <c r="F126" s="3">
        <f>infections!F126-infections!E126</f>
        <v>0</v>
      </c>
      <c r="G126" s="3">
        <f>infections!G126-infections!F126</f>
        <v>0</v>
      </c>
      <c r="H126" s="3">
        <f>infections!H126-infections!G126</f>
        <v>0</v>
      </c>
      <c r="I126" s="3">
        <f>infections!I126-infections!H126</f>
        <v>0</v>
      </c>
      <c r="J126" s="3">
        <f>infections!J126-infections!I126</f>
        <v>0</v>
      </c>
      <c r="K126" s="3">
        <f>infections!K126-infections!J126</f>
        <v>0</v>
      </c>
      <c r="L126" s="3">
        <f>infections!L126-infections!K126</f>
        <v>0</v>
      </c>
      <c r="M126" s="3">
        <f>infections!M126-infections!L126</f>
        <v>0</v>
      </c>
      <c r="N126" s="3">
        <f>infections!N126-infections!M126</f>
        <v>0</v>
      </c>
      <c r="O126" s="3">
        <f>infections!O126-infections!N126</f>
        <v>0</v>
      </c>
      <c r="P126" s="3">
        <f>infections!P126-infections!O126</f>
        <v>0</v>
      </c>
      <c r="Q126" s="3">
        <f>infections!Q126-infections!P126</f>
        <v>0</v>
      </c>
      <c r="R126" s="3">
        <f>infections!R126-infections!Q126</f>
        <v>0</v>
      </c>
      <c r="S126" s="3">
        <f>infections!S126-infections!R126</f>
        <v>0</v>
      </c>
      <c r="T126" s="3">
        <f>infections!T126-infections!S126</f>
        <v>0</v>
      </c>
      <c r="U126" s="3">
        <f>infections!U126-infections!T126</f>
        <v>0</v>
      </c>
      <c r="V126" s="3">
        <f>infections!V126-infections!U126</f>
        <v>0</v>
      </c>
      <c r="W126" s="3">
        <f>infections!W126-infections!V126</f>
        <v>0</v>
      </c>
      <c r="X126" s="3">
        <f>infections!X126-infections!W126</f>
        <v>0</v>
      </c>
      <c r="Y126" s="3">
        <f>infections!Y126-infections!X126</f>
        <v>0</v>
      </c>
      <c r="Z126" s="3">
        <f>infections!Z126-infections!Y126</f>
        <v>0</v>
      </c>
      <c r="AA126" s="3">
        <f>infections!AA126-infections!Z126</f>
        <v>0</v>
      </c>
      <c r="AB126" s="3">
        <f>infections!AB126-infections!AA126</f>
        <v>0</v>
      </c>
      <c r="AC126" s="3">
        <f>infections!AC126-infections!AB126</f>
        <v>0</v>
      </c>
      <c r="AD126" s="3">
        <f>infections!AD126-infections!AC126</f>
        <v>0</v>
      </c>
      <c r="AE126" s="3">
        <f>infections!AE126-infections!AD126</f>
        <v>0</v>
      </c>
      <c r="AF126" s="3">
        <f>infections!AF126-infections!AE126</f>
        <v>0</v>
      </c>
      <c r="AG126" s="3">
        <f>infections!AG126-infections!AF126</f>
        <v>0</v>
      </c>
      <c r="AH126" s="3">
        <f>infections!AH126-infections!AG126</f>
        <v>0</v>
      </c>
      <c r="AI126" s="3">
        <f>infections!AI126-infections!AH126</f>
        <v>0</v>
      </c>
      <c r="AJ126" s="3">
        <f>infections!AJ126-infections!AI126</f>
        <v>0</v>
      </c>
      <c r="AK126" s="3">
        <f>infections!AK126-infections!AJ126</f>
        <v>0</v>
      </c>
      <c r="AL126" s="3">
        <f>infections!AL126-infections!AK126</f>
        <v>0</v>
      </c>
      <c r="AM126" s="3">
        <f>infections!AM126-infections!AL126</f>
        <v>0</v>
      </c>
      <c r="AN126" s="3">
        <f>infections!AN126-infections!AM126</f>
        <v>0</v>
      </c>
      <c r="AO126" s="3">
        <f>infections!AO126-infections!AN126</f>
        <v>0</v>
      </c>
      <c r="AP126" s="3">
        <f>infections!AP126-infections!AO126</f>
        <v>0</v>
      </c>
      <c r="AQ126" s="3">
        <f>infections!AQ126-infections!AP126</f>
        <v>0</v>
      </c>
      <c r="AR126" s="3">
        <f>infections!AR126-infections!AQ126</f>
        <v>0</v>
      </c>
      <c r="AS126" s="3">
        <f>infections!AS126-infections!AR126</f>
        <v>0</v>
      </c>
      <c r="AT126" s="3">
        <f>infections!AT126-infections!AS126</f>
        <v>0</v>
      </c>
      <c r="AU126" s="3">
        <f>infections!AU126-infections!AT126</f>
        <v>0</v>
      </c>
      <c r="AV126" s="3">
        <f>infections!AV126-infections!AU126</f>
        <v>0</v>
      </c>
      <c r="AW126" s="3">
        <f>infections!AW126-infections!AV126</f>
        <v>0</v>
      </c>
      <c r="AX126" s="3">
        <f>infections!AX126-infections!AW126</f>
        <v>0</v>
      </c>
      <c r="AY126" s="3">
        <f>infections!AY126-infections!AX126</f>
        <v>0</v>
      </c>
      <c r="AZ126" s="3">
        <f>infections!AZ126-infections!AY126</f>
        <v>0</v>
      </c>
      <c r="BA126" s="3">
        <f>infections!BA126-infections!AZ126</f>
        <v>0</v>
      </c>
      <c r="BB126" s="3">
        <f>infections!BB126-infections!BA126</f>
        <v>0</v>
      </c>
      <c r="BC126" s="3">
        <f>infections!BC126-infections!BB126</f>
        <v>0</v>
      </c>
      <c r="BD126" s="3">
        <f>infections!BD126-infections!BC126</f>
        <v>1</v>
      </c>
      <c r="BE126" s="3">
        <f>infections!BE126-infections!BD126</f>
        <v>0</v>
      </c>
      <c r="BF126" s="3">
        <f>infections!BF126-infections!BE126</f>
        <v>0</v>
      </c>
      <c r="BG126" s="3">
        <f>infections!BG126-infections!BF126</f>
        <v>0</v>
      </c>
      <c r="BH126" s="3">
        <f>infections!BH126-infections!BG126</f>
        <v>0</v>
      </c>
      <c r="BI126" s="3">
        <f>infections!BI126-infections!BH126</f>
        <v>0</v>
      </c>
      <c r="BJ126" s="3">
        <f>infections!BJ126-infections!BI126</f>
        <v>0</v>
      </c>
      <c r="BK126" s="3">
        <f>infections!BK126-infections!BJ126</f>
        <v>0</v>
      </c>
      <c r="BL126" s="3">
        <f>infections!BL126-infections!BK126</f>
        <v>1</v>
      </c>
      <c r="BM126" s="3">
        <f>infections!BM126-infections!BL126</f>
        <v>0</v>
      </c>
      <c r="BN126" s="3">
        <f>infections!BN126-infections!BM126</f>
        <v>2</v>
      </c>
      <c r="BO126" s="3">
        <f>infections!BO126-infections!BN126</f>
        <v>0</v>
      </c>
      <c r="BP126" s="3">
        <f>infections!BP126-infections!BO126</f>
        <v>0</v>
      </c>
      <c r="BQ126" s="3">
        <f>infections!BQ126-infections!BP126</f>
        <v>0</v>
      </c>
      <c r="BR126" s="3">
        <f>infections!BR126-infections!BQ126</f>
        <v>4</v>
      </c>
      <c r="BS126" s="3">
        <f>infections!BS126-infections!BR126</f>
        <v>0</v>
      </c>
      <c r="BT126" s="3">
        <f>infections!BT126-infections!BS126</f>
        <v>8</v>
      </c>
      <c r="BU126" s="3">
        <f>infections!BU126-infections!BT126</f>
        <v>6</v>
      </c>
      <c r="BV126" s="3">
        <f>infections!BV126-infections!BU126</f>
        <v>0</v>
      </c>
      <c r="BW126" s="3">
        <f>infections!BW126-infections!BV126</f>
        <v>8</v>
      </c>
      <c r="BX126" s="3">
        <f>infections!BX126-infections!BW126</f>
        <v>22</v>
      </c>
      <c r="BY126" s="3">
        <f>infections!BY126-infections!BX126</f>
        <v>21</v>
      </c>
    </row>
    <row r="127">
      <c r="B127" s="1" t="str">
        <f>infections!B127</f>
        <v>Guyana</v>
      </c>
      <c r="C127" s="4">
        <f>infections!C127</f>
        <v>5</v>
      </c>
      <c r="D127" s="4">
        <f>infections!D127</f>
        <v>-58.75</v>
      </c>
      <c r="E127" s="4">
        <f>infections!E127</f>
        <v>0</v>
      </c>
      <c r="F127" s="3">
        <f>infections!F127-infections!E127</f>
        <v>0</v>
      </c>
      <c r="G127" s="3">
        <f>infections!G127-infections!F127</f>
        <v>0</v>
      </c>
      <c r="H127" s="3">
        <f>infections!H127-infections!G127</f>
        <v>0</v>
      </c>
      <c r="I127" s="3">
        <f>infections!I127-infections!H127</f>
        <v>0</v>
      </c>
      <c r="J127" s="3">
        <f>infections!J127-infections!I127</f>
        <v>0</v>
      </c>
      <c r="K127" s="3">
        <f>infections!K127-infections!J127</f>
        <v>0</v>
      </c>
      <c r="L127" s="3">
        <f>infections!L127-infections!K127</f>
        <v>0</v>
      </c>
      <c r="M127" s="3">
        <f>infections!M127-infections!L127</f>
        <v>0</v>
      </c>
      <c r="N127" s="3">
        <f>infections!N127-infections!M127</f>
        <v>0</v>
      </c>
      <c r="O127" s="3">
        <f>infections!O127-infections!N127</f>
        <v>0</v>
      </c>
      <c r="P127" s="3">
        <f>infections!P127-infections!O127</f>
        <v>0</v>
      </c>
      <c r="Q127" s="3">
        <f>infections!Q127-infections!P127</f>
        <v>0</v>
      </c>
      <c r="R127" s="3">
        <f>infections!R127-infections!Q127</f>
        <v>0</v>
      </c>
      <c r="S127" s="3">
        <f>infections!S127-infections!R127</f>
        <v>0</v>
      </c>
      <c r="T127" s="3">
        <f>infections!T127-infections!S127</f>
        <v>0</v>
      </c>
      <c r="U127" s="3">
        <f>infections!U127-infections!T127</f>
        <v>0</v>
      </c>
      <c r="V127" s="3">
        <f>infections!V127-infections!U127</f>
        <v>0</v>
      </c>
      <c r="W127" s="3">
        <f>infections!W127-infections!V127</f>
        <v>0</v>
      </c>
      <c r="X127" s="3">
        <f>infections!X127-infections!W127</f>
        <v>0</v>
      </c>
      <c r="Y127" s="3">
        <f>infections!Y127-infections!X127</f>
        <v>0</v>
      </c>
      <c r="Z127" s="3">
        <f>infections!Z127-infections!Y127</f>
        <v>0</v>
      </c>
      <c r="AA127" s="3">
        <f>infections!AA127-infections!Z127</f>
        <v>0</v>
      </c>
      <c r="AB127" s="3">
        <f>infections!AB127-infections!AA127</f>
        <v>0</v>
      </c>
      <c r="AC127" s="3">
        <f>infections!AC127-infections!AB127</f>
        <v>0</v>
      </c>
      <c r="AD127" s="3">
        <f>infections!AD127-infections!AC127</f>
        <v>0</v>
      </c>
      <c r="AE127" s="3">
        <f>infections!AE127-infections!AD127</f>
        <v>0</v>
      </c>
      <c r="AF127" s="3">
        <f>infections!AF127-infections!AE127</f>
        <v>0</v>
      </c>
      <c r="AG127" s="3">
        <f>infections!AG127-infections!AF127</f>
        <v>0</v>
      </c>
      <c r="AH127" s="3">
        <f>infections!AH127-infections!AG127</f>
        <v>0</v>
      </c>
      <c r="AI127" s="3">
        <f>infections!AI127-infections!AH127</f>
        <v>0</v>
      </c>
      <c r="AJ127" s="3">
        <f>infections!AJ127-infections!AI127</f>
        <v>0</v>
      </c>
      <c r="AK127" s="3">
        <f>infections!AK127-infections!AJ127</f>
        <v>0</v>
      </c>
      <c r="AL127" s="3">
        <f>infections!AL127-infections!AK127</f>
        <v>0</v>
      </c>
      <c r="AM127" s="3">
        <f>infections!AM127-infections!AL127</f>
        <v>0</v>
      </c>
      <c r="AN127" s="3">
        <f>infections!AN127-infections!AM127</f>
        <v>0</v>
      </c>
      <c r="AO127" s="3">
        <f>infections!AO127-infections!AN127</f>
        <v>0</v>
      </c>
      <c r="AP127" s="3">
        <f>infections!AP127-infections!AO127</f>
        <v>0</v>
      </c>
      <c r="AQ127" s="3">
        <f>infections!AQ127-infections!AP127</f>
        <v>0</v>
      </c>
      <c r="AR127" s="3">
        <f>infections!AR127-infections!AQ127</f>
        <v>0</v>
      </c>
      <c r="AS127" s="3">
        <f>infections!AS127-infections!AR127</f>
        <v>0</v>
      </c>
      <c r="AT127" s="3">
        <f>infections!AT127-infections!AS127</f>
        <v>0</v>
      </c>
      <c r="AU127" s="3">
        <f>infections!AU127-infections!AT127</f>
        <v>0</v>
      </c>
      <c r="AV127" s="3">
        <f>infections!AV127-infections!AU127</f>
        <v>0</v>
      </c>
      <c r="AW127" s="3">
        <f>infections!AW127-infections!AV127</f>
        <v>0</v>
      </c>
      <c r="AX127" s="3">
        <f>infections!AX127-infections!AW127</f>
        <v>0</v>
      </c>
      <c r="AY127" s="3">
        <f>infections!AY127-infections!AX127</f>
        <v>0</v>
      </c>
      <c r="AZ127" s="3">
        <f>infections!AZ127-infections!AY127</f>
        <v>0</v>
      </c>
      <c r="BA127" s="3">
        <f>infections!BA127-infections!AZ127</f>
        <v>0</v>
      </c>
      <c r="BB127" s="3">
        <f>infections!BB127-infections!BA127</f>
        <v>0</v>
      </c>
      <c r="BC127" s="3">
        <f>infections!BC127-infections!BB127</f>
        <v>1</v>
      </c>
      <c r="BD127" s="3">
        <f>infections!BD127-infections!BC127</f>
        <v>0</v>
      </c>
      <c r="BE127" s="3">
        <f>infections!BE127-infections!BD127</f>
        <v>0</v>
      </c>
      <c r="BF127" s="3">
        <f>infections!BF127-infections!BE127</f>
        <v>3</v>
      </c>
      <c r="BG127" s="3">
        <f>infections!BG127-infections!BF127</f>
        <v>0</v>
      </c>
      <c r="BH127" s="3">
        <f>infections!BH127-infections!BG127</f>
        <v>3</v>
      </c>
      <c r="BI127" s="3">
        <f>infections!BI127-infections!BH127</f>
        <v>0</v>
      </c>
      <c r="BJ127" s="3">
        <f>infections!BJ127-infections!BI127</f>
        <v>0</v>
      </c>
      <c r="BK127" s="3">
        <f>infections!BK127-infections!BJ127</f>
        <v>0</v>
      </c>
      <c r="BL127" s="3">
        <f>infections!BL127-infections!BK127</f>
        <v>0</v>
      </c>
      <c r="BM127" s="3">
        <f>infections!BM127-infections!BL127</f>
        <v>12</v>
      </c>
      <c r="BN127" s="3">
        <f>infections!BN127-infections!BM127</f>
        <v>1</v>
      </c>
      <c r="BO127" s="3">
        <f>infections!BO127-infections!BN127</f>
        <v>-15</v>
      </c>
      <c r="BP127" s="3">
        <f>infections!BP127-infections!BO127</f>
        <v>0</v>
      </c>
      <c r="BQ127" s="3">
        <f>infections!BQ127-infections!BP127</f>
        <v>0</v>
      </c>
      <c r="BR127" s="3">
        <f>infections!BR127-infections!BQ127</f>
        <v>0</v>
      </c>
      <c r="BS127" s="3">
        <f>infections!BS127-infections!BR127</f>
        <v>3</v>
      </c>
      <c r="BT127" s="3">
        <f>infections!BT127-infections!BS127</f>
        <v>0</v>
      </c>
      <c r="BU127" s="3">
        <f>infections!BU127-infections!BT127</f>
        <v>0</v>
      </c>
      <c r="BV127" s="3">
        <f>infections!BV127-infections!BU127</f>
        <v>4</v>
      </c>
      <c r="BW127" s="3">
        <f>infections!BW127-infections!BV127</f>
        <v>7</v>
      </c>
      <c r="BX127" s="3">
        <f>infections!BX127-infections!BW127</f>
        <v>0</v>
      </c>
      <c r="BY127" s="3">
        <f>infections!BY127-infections!BX127</f>
        <v>4</v>
      </c>
    </row>
    <row r="128">
      <c r="B128" s="1" t="str">
        <f>infections!B128</f>
        <v>Haiti</v>
      </c>
      <c r="C128" s="4">
        <f>infections!C128</f>
        <v>18.9712</v>
      </c>
      <c r="D128" s="4">
        <f>infections!D128</f>
        <v>-72.2852</v>
      </c>
      <c r="E128" s="4">
        <f>infections!E128</f>
        <v>0</v>
      </c>
      <c r="F128" s="3">
        <f>infections!F128-infections!E128</f>
        <v>0</v>
      </c>
      <c r="G128" s="3">
        <f>infections!G128-infections!F128</f>
        <v>0</v>
      </c>
      <c r="H128" s="3">
        <f>infections!H128-infections!G128</f>
        <v>0</v>
      </c>
      <c r="I128" s="3">
        <f>infections!I128-infections!H128</f>
        <v>0</v>
      </c>
      <c r="J128" s="3">
        <f>infections!J128-infections!I128</f>
        <v>0</v>
      </c>
      <c r="K128" s="3">
        <f>infections!K128-infections!J128</f>
        <v>0</v>
      </c>
      <c r="L128" s="3">
        <f>infections!L128-infections!K128</f>
        <v>0</v>
      </c>
      <c r="M128" s="3">
        <f>infections!M128-infections!L128</f>
        <v>0</v>
      </c>
      <c r="N128" s="3">
        <f>infections!N128-infections!M128</f>
        <v>0</v>
      </c>
      <c r="O128" s="3">
        <f>infections!O128-infections!N128</f>
        <v>0</v>
      </c>
      <c r="P128" s="3">
        <f>infections!P128-infections!O128</f>
        <v>0</v>
      </c>
      <c r="Q128" s="3">
        <f>infections!Q128-infections!P128</f>
        <v>0</v>
      </c>
      <c r="R128" s="3">
        <f>infections!R128-infections!Q128</f>
        <v>0</v>
      </c>
      <c r="S128" s="3">
        <f>infections!S128-infections!R128</f>
        <v>0</v>
      </c>
      <c r="T128" s="3">
        <f>infections!T128-infections!S128</f>
        <v>0</v>
      </c>
      <c r="U128" s="3">
        <f>infections!U128-infections!T128</f>
        <v>0</v>
      </c>
      <c r="V128" s="3">
        <f>infections!V128-infections!U128</f>
        <v>0</v>
      </c>
      <c r="W128" s="3">
        <f>infections!W128-infections!V128</f>
        <v>0</v>
      </c>
      <c r="X128" s="3">
        <f>infections!X128-infections!W128</f>
        <v>0</v>
      </c>
      <c r="Y128" s="3">
        <f>infections!Y128-infections!X128</f>
        <v>0</v>
      </c>
      <c r="Z128" s="3">
        <f>infections!Z128-infections!Y128</f>
        <v>0</v>
      </c>
      <c r="AA128" s="3">
        <f>infections!AA128-infections!Z128</f>
        <v>0</v>
      </c>
      <c r="AB128" s="3">
        <f>infections!AB128-infections!AA128</f>
        <v>0</v>
      </c>
      <c r="AC128" s="3">
        <f>infections!AC128-infections!AB128</f>
        <v>0</v>
      </c>
      <c r="AD128" s="3">
        <f>infections!AD128-infections!AC128</f>
        <v>0</v>
      </c>
      <c r="AE128" s="3">
        <f>infections!AE128-infections!AD128</f>
        <v>0</v>
      </c>
      <c r="AF128" s="3">
        <f>infections!AF128-infections!AE128</f>
        <v>0</v>
      </c>
      <c r="AG128" s="3">
        <f>infections!AG128-infections!AF128</f>
        <v>0</v>
      </c>
      <c r="AH128" s="3">
        <f>infections!AH128-infections!AG128</f>
        <v>0</v>
      </c>
      <c r="AI128" s="3">
        <f>infections!AI128-infections!AH128</f>
        <v>0</v>
      </c>
      <c r="AJ128" s="3">
        <f>infections!AJ128-infections!AI128</f>
        <v>0</v>
      </c>
      <c r="AK128" s="3">
        <f>infections!AK128-infections!AJ128</f>
        <v>0</v>
      </c>
      <c r="AL128" s="3">
        <f>infections!AL128-infections!AK128</f>
        <v>0</v>
      </c>
      <c r="AM128" s="3">
        <f>infections!AM128-infections!AL128</f>
        <v>0</v>
      </c>
      <c r="AN128" s="3">
        <f>infections!AN128-infections!AM128</f>
        <v>0</v>
      </c>
      <c r="AO128" s="3">
        <f>infections!AO128-infections!AN128</f>
        <v>0</v>
      </c>
      <c r="AP128" s="3">
        <f>infections!AP128-infections!AO128</f>
        <v>0</v>
      </c>
      <c r="AQ128" s="3">
        <f>infections!AQ128-infections!AP128</f>
        <v>0</v>
      </c>
      <c r="AR128" s="3">
        <f>infections!AR128-infections!AQ128</f>
        <v>0</v>
      </c>
      <c r="AS128" s="3">
        <f>infections!AS128-infections!AR128</f>
        <v>0</v>
      </c>
      <c r="AT128" s="3">
        <f>infections!AT128-infections!AS128</f>
        <v>0</v>
      </c>
      <c r="AU128" s="3">
        <f>infections!AU128-infections!AT128</f>
        <v>0</v>
      </c>
      <c r="AV128" s="3">
        <f>infections!AV128-infections!AU128</f>
        <v>0</v>
      </c>
      <c r="AW128" s="3">
        <f>infections!AW128-infections!AV128</f>
        <v>0</v>
      </c>
      <c r="AX128" s="3">
        <f>infections!AX128-infections!AW128</f>
        <v>0</v>
      </c>
      <c r="AY128" s="3">
        <f>infections!AY128-infections!AX128</f>
        <v>0</v>
      </c>
      <c r="AZ128" s="3">
        <f>infections!AZ128-infections!AY128</f>
        <v>0</v>
      </c>
      <c r="BA128" s="3">
        <f>infections!BA128-infections!AZ128</f>
        <v>0</v>
      </c>
      <c r="BB128" s="3">
        <f>infections!BB128-infections!BA128</f>
        <v>0</v>
      </c>
      <c r="BC128" s="3">
        <f>infections!BC128-infections!BB128</f>
        <v>0</v>
      </c>
      <c r="BD128" s="3">
        <f>infections!BD128-infections!BC128</f>
        <v>0</v>
      </c>
      <c r="BE128" s="3">
        <f>infections!BE128-infections!BD128</f>
        <v>0</v>
      </c>
      <c r="BF128" s="3">
        <f>infections!BF128-infections!BE128</f>
        <v>0</v>
      </c>
      <c r="BG128" s="3">
        <f>infections!BG128-infections!BF128</f>
        <v>0</v>
      </c>
      <c r="BH128" s="3">
        <f>infections!BH128-infections!BG128</f>
        <v>0</v>
      </c>
      <c r="BI128" s="3">
        <f>infections!BI128-infections!BH128</f>
        <v>0</v>
      </c>
      <c r="BJ128" s="3">
        <f>infections!BJ128-infections!BI128</f>
        <v>0</v>
      </c>
      <c r="BK128" s="3">
        <f>infections!BK128-infections!BJ128</f>
        <v>2</v>
      </c>
      <c r="BL128" s="3">
        <f>infections!BL128-infections!BK128</f>
        <v>0</v>
      </c>
      <c r="BM128" s="3">
        <f>infections!BM128-infections!BL128</f>
        <v>0</v>
      </c>
      <c r="BN128" s="3">
        <f>infections!BN128-infections!BM128</f>
        <v>4</v>
      </c>
      <c r="BO128" s="3">
        <f>infections!BO128-infections!BN128</f>
        <v>1</v>
      </c>
      <c r="BP128" s="3">
        <f>infections!BP128-infections!BO128</f>
        <v>1</v>
      </c>
      <c r="BQ128" s="3">
        <f>infections!BQ128-infections!BP128</f>
        <v>0</v>
      </c>
      <c r="BR128" s="3">
        <f>infections!BR128-infections!BQ128</f>
        <v>0</v>
      </c>
      <c r="BS128" s="3">
        <f>infections!BS128-infections!BR128</f>
        <v>0</v>
      </c>
      <c r="BT128" s="3">
        <f>infections!BT128-infections!BS128</f>
        <v>7</v>
      </c>
      <c r="BU128" s="3">
        <f>infections!BU128-infections!BT128</f>
        <v>0</v>
      </c>
      <c r="BV128" s="3">
        <f>infections!BV128-infections!BU128</f>
        <v>0</v>
      </c>
      <c r="BW128" s="3">
        <f>infections!BW128-infections!BV128</f>
        <v>1</v>
      </c>
      <c r="BX128" s="3">
        <f>infections!BX128-infections!BW128</f>
        <v>0</v>
      </c>
      <c r="BY128" s="3">
        <f>infections!BY128-infections!BX128</f>
        <v>2</v>
      </c>
    </row>
    <row r="129">
      <c r="B129" s="1" t="str">
        <f>infections!B129</f>
        <v>Holy See</v>
      </c>
      <c r="C129" s="4">
        <f>infections!C129</f>
        <v>41.9029</v>
      </c>
      <c r="D129" s="4">
        <f>infections!D129</f>
        <v>12.4534</v>
      </c>
      <c r="E129" s="4">
        <f>infections!E129</f>
        <v>0</v>
      </c>
      <c r="F129" s="3">
        <f>infections!F129-infections!E129</f>
        <v>0</v>
      </c>
      <c r="G129" s="3">
        <f>infections!G129-infections!F129</f>
        <v>0</v>
      </c>
      <c r="H129" s="3">
        <f>infections!H129-infections!G129</f>
        <v>0</v>
      </c>
      <c r="I129" s="3">
        <f>infections!I129-infections!H129</f>
        <v>0</v>
      </c>
      <c r="J129" s="3">
        <f>infections!J129-infections!I129</f>
        <v>0</v>
      </c>
      <c r="K129" s="3">
        <f>infections!K129-infections!J129</f>
        <v>0</v>
      </c>
      <c r="L129" s="3">
        <f>infections!L129-infections!K129</f>
        <v>0</v>
      </c>
      <c r="M129" s="3">
        <f>infections!M129-infections!L129</f>
        <v>0</v>
      </c>
      <c r="N129" s="3">
        <f>infections!N129-infections!M129</f>
        <v>0</v>
      </c>
      <c r="O129" s="3">
        <f>infections!O129-infections!N129</f>
        <v>0</v>
      </c>
      <c r="P129" s="3">
        <f>infections!P129-infections!O129</f>
        <v>0</v>
      </c>
      <c r="Q129" s="3">
        <f>infections!Q129-infections!P129</f>
        <v>0</v>
      </c>
      <c r="R129" s="3">
        <f>infections!R129-infections!Q129</f>
        <v>0</v>
      </c>
      <c r="S129" s="3">
        <f>infections!S129-infections!R129</f>
        <v>0</v>
      </c>
      <c r="T129" s="3">
        <f>infections!T129-infections!S129</f>
        <v>0</v>
      </c>
      <c r="U129" s="3">
        <f>infections!U129-infections!T129</f>
        <v>0</v>
      </c>
      <c r="V129" s="3">
        <f>infections!V129-infections!U129</f>
        <v>0</v>
      </c>
      <c r="W129" s="3">
        <f>infections!W129-infections!V129</f>
        <v>0</v>
      </c>
      <c r="X129" s="3">
        <f>infections!X129-infections!W129</f>
        <v>0</v>
      </c>
      <c r="Y129" s="3">
        <f>infections!Y129-infections!X129</f>
        <v>0</v>
      </c>
      <c r="Z129" s="3">
        <f>infections!Z129-infections!Y129</f>
        <v>0</v>
      </c>
      <c r="AA129" s="3">
        <f>infections!AA129-infections!Z129</f>
        <v>0</v>
      </c>
      <c r="AB129" s="3">
        <f>infections!AB129-infections!AA129</f>
        <v>0</v>
      </c>
      <c r="AC129" s="3">
        <f>infections!AC129-infections!AB129</f>
        <v>0</v>
      </c>
      <c r="AD129" s="3">
        <f>infections!AD129-infections!AC129</f>
        <v>0</v>
      </c>
      <c r="AE129" s="3">
        <f>infections!AE129-infections!AD129</f>
        <v>0</v>
      </c>
      <c r="AF129" s="3">
        <f>infections!AF129-infections!AE129</f>
        <v>0</v>
      </c>
      <c r="AG129" s="3">
        <f>infections!AG129-infections!AF129</f>
        <v>0</v>
      </c>
      <c r="AH129" s="3">
        <f>infections!AH129-infections!AG129</f>
        <v>0</v>
      </c>
      <c r="AI129" s="3">
        <f>infections!AI129-infections!AH129</f>
        <v>0</v>
      </c>
      <c r="AJ129" s="3">
        <f>infections!AJ129-infections!AI129</f>
        <v>0</v>
      </c>
      <c r="AK129" s="3">
        <f>infections!AK129-infections!AJ129</f>
        <v>0</v>
      </c>
      <c r="AL129" s="3">
        <f>infections!AL129-infections!AK129</f>
        <v>0</v>
      </c>
      <c r="AM129" s="3">
        <f>infections!AM129-infections!AL129</f>
        <v>0</v>
      </c>
      <c r="AN129" s="3">
        <f>infections!AN129-infections!AM129</f>
        <v>0</v>
      </c>
      <c r="AO129" s="3">
        <f>infections!AO129-infections!AN129</f>
        <v>0</v>
      </c>
      <c r="AP129" s="3">
        <f>infections!AP129-infections!AO129</f>
        <v>0</v>
      </c>
      <c r="AQ129" s="3">
        <f>infections!AQ129-infections!AP129</f>
        <v>0</v>
      </c>
      <c r="AR129" s="3">
        <f>infections!AR129-infections!AQ129</f>
        <v>0</v>
      </c>
      <c r="AS129" s="3">
        <f>infections!AS129-infections!AR129</f>
        <v>0</v>
      </c>
      <c r="AT129" s="3">
        <f>infections!AT129-infections!AS129</f>
        <v>0</v>
      </c>
      <c r="AU129" s="3">
        <f>infections!AU129-infections!AT129</f>
        <v>0</v>
      </c>
      <c r="AV129" s="3">
        <f>infections!AV129-infections!AU129</f>
        <v>0</v>
      </c>
      <c r="AW129" s="3">
        <f>infections!AW129-infections!AV129</f>
        <v>1</v>
      </c>
      <c r="AX129" s="3">
        <f>infections!AX129-infections!AW129</f>
        <v>0</v>
      </c>
      <c r="AY129" s="3">
        <f>infections!AY129-infections!AX129</f>
        <v>0</v>
      </c>
      <c r="AZ129" s="3">
        <f>infections!AZ129-infections!AY129</f>
        <v>0</v>
      </c>
      <c r="BA129" s="3">
        <f>infections!BA129-infections!AZ129</f>
        <v>0</v>
      </c>
      <c r="BB129" s="3">
        <f>infections!BB129-infections!BA129</f>
        <v>0</v>
      </c>
      <c r="BC129" s="3">
        <f>infections!BC129-infections!BB129</f>
        <v>0</v>
      </c>
      <c r="BD129" s="3">
        <f>infections!BD129-infections!BC129</f>
        <v>0</v>
      </c>
      <c r="BE129" s="3">
        <f>infections!BE129-infections!BD129</f>
        <v>0</v>
      </c>
      <c r="BF129" s="3">
        <f>infections!BF129-infections!BE129</f>
        <v>0</v>
      </c>
      <c r="BG129" s="3">
        <f>infections!BG129-infections!BF129</f>
        <v>0</v>
      </c>
      <c r="BH129" s="3">
        <f>infections!BH129-infections!BG129</f>
        <v>0</v>
      </c>
      <c r="BI129" s="3">
        <f>infections!BI129-infections!BH129</f>
        <v>0</v>
      </c>
      <c r="BJ129" s="3">
        <f>infections!BJ129-infections!BI129</f>
        <v>0</v>
      </c>
      <c r="BK129" s="3">
        <f>infections!BK129-infections!BJ129</f>
        <v>0</v>
      </c>
      <c r="BL129" s="3">
        <f>infections!BL129-infections!BK129</f>
        <v>0</v>
      </c>
      <c r="BM129" s="3">
        <f>infections!BM129-infections!BL129</f>
        <v>0</v>
      </c>
      <c r="BN129" s="3">
        <f>infections!BN129-infections!BM129</f>
        <v>0</v>
      </c>
      <c r="BO129" s="3">
        <f>infections!BO129-infections!BN129</f>
        <v>3</v>
      </c>
      <c r="BP129" s="3">
        <f>infections!BP129-infections!BO129</f>
        <v>0</v>
      </c>
      <c r="BQ129" s="3">
        <f>infections!BQ129-infections!BP129</f>
        <v>0</v>
      </c>
      <c r="BR129" s="3">
        <f>infections!BR129-infections!BQ129</f>
        <v>0</v>
      </c>
      <c r="BS129" s="3">
        <f>infections!BS129-infections!BR129</f>
        <v>2</v>
      </c>
      <c r="BT129" s="3">
        <f>infections!BT129-infections!BS129</f>
        <v>0</v>
      </c>
      <c r="BU129" s="3">
        <f>infections!BU129-infections!BT129</f>
        <v>0</v>
      </c>
      <c r="BV129" s="3">
        <f>infections!BV129-infections!BU129</f>
        <v>0</v>
      </c>
      <c r="BW129" s="3">
        <f>infections!BW129-infections!BV129</f>
        <v>0</v>
      </c>
      <c r="BX129" s="3">
        <f>infections!BX129-infections!BW129</f>
        <v>1</v>
      </c>
      <c r="BY129" s="3">
        <f>infections!BY129-infections!BX129</f>
        <v>0</v>
      </c>
    </row>
    <row r="130">
      <c r="B130" s="1" t="str">
        <f>infections!B130</f>
        <v>Honduras</v>
      </c>
      <c r="C130" s="4">
        <f>infections!C130</f>
        <v>15.2</v>
      </c>
      <c r="D130" s="4">
        <f>infections!D130</f>
        <v>-86.2419</v>
      </c>
      <c r="E130" s="4">
        <f>infections!E130</f>
        <v>0</v>
      </c>
      <c r="F130" s="3">
        <f>infections!F130-infections!E130</f>
        <v>0</v>
      </c>
      <c r="G130" s="3">
        <f>infections!G130-infections!F130</f>
        <v>0</v>
      </c>
      <c r="H130" s="3">
        <f>infections!H130-infections!G130</f>
        <v>0</v>
      </c>
      <c r="I130" s="3">
        <f>infections!I130-infections!H130</f>
        <v>0</v>
      </c>
      <c r="J130" s="3">
        <f>infections!J130-infections!I130</f>
        <v>0</v>
      </c>
      <c r="K130" s="3">
        <f>infections!K130-infections!J130</f>
        <v>0</v>
      </c>
      <c r="L130" s="3">
        <f>infections!L130-infections!K130</f>
        <v>0</v>
      </c>
      <c r="M130" s="3">
        <f>infections!M130-infections!L130</f>
        <v>0</v>
      </c>
      <c r="N130" s="3">
        <f>infections!N130-infections!M130</f>
        <v>0</v>
      </c>
      <c r="O130" s="3">
        <f>infections!O130-infections!N130</f>
        <v>0</v>
      </c>
      <c r="P130" s="3">
        <f>infections!P130-infections!O130</f>
        <v>0</v>
      </c>
      <c r="Q130" s="3">
        <f>infections!Q130-infections!P130</f>
        <v>0</v>
      </c>
      <c r="R130" s="3">
        <f>infections!R130-infections!Q130</f>
        <v>0</v>
      </c>
      <c r="S130" s="3">
        <f>infections!S130-infections!R130</f>
        <v>0</v>
      </c>
      <c r="T130" s="3">
        <f>infections!T130-infections!S130</f>
        <v>0</v>
      </c>
      <c r="U130" s="3">
        <f>infections!U130-infections!T130</f>
        <v>0</v>
      </c>
      <c r="V130" s="3">
        <f>infections!V130-infections!U130</f>
        <v>0</v>
      </c>
      <c r="W130" s="3">
        <f>infections!W130-infections!V130</f>
        <v>0</v>
      </c>
      <c r="X130" s="3">
        <f>infections!X130-infections!W130</f>
        <v>0</v>
      </c>
      <c r="Y130" s="3">
        <f>infections!Y130-infections!X130</f>
        <v>0</v>
      </c>
      <c r="Z130" s="3">
        <f>infections!Z130-infections!Y130</f>
        <v>0</v>
      </c>
      <c r="AA130" s="3">
        <f>infections!AA130-infections!Z130</f>
        <v>0</v>
      </c>
      <c r="AB130" s="3">
        <f>infections!AB130-infections!AA130</f>
        <v>0</v>
      </c>
      <c r="AC130" s="3">
        <f>infections!AC130-infections!AB130</f>
        <v>0</v>
      </c>
      <c r="AD130" s="3">
        <f>infections!AD130-infections!AC130</f>
        <v>0</v>
      </c>
      <c r="AE130" s="3">
        <f>infections!AE130-infections!AD130</f>
        <v>0</v>
      </c>
      <c r="AF130" s="3">
        <f>infections!AF130-infections!AE130</f>
        <v>0</v>
      </c>
      <c r="AG130" s="3">
        <f>infections!AG130-infections!AF130</f>
        <v>0</v>
      </c>
      <c r="AH130" s="3">
        <f>infections!AH130-infections!AG130</f>
        <v>0</v>
      </c>
      <c r="AI130" s="3">
        <f>infections!AI130-infections!AH130</f>
        <v>0</v>
      </c>
      <c r="AJ130" s="3">
        <f>infections!AJ130-infections!AI130</f>
        <v>0</v>
      </c>
      <c r="AK130" s="3">
        <f>infections!AK130-infections!AJ130</f>
        <v>0</v>
      </c>
      <c r="AL130" s="3">
        <f>infections!AL130-infections!AK130</f>
        <v>0</v>
      </c>
      <c r="AM130" s="3">
        <f>infections!AM130-infections!AL130</f>
        <v>0</v>
      </c>
      <c r="AN130" s="3">
        <f>infections!AN130-infections!AM130</f>
        <v>0</v>
      </c>
      <c r="AO130" s="3">
        <f>infections!AO130-infections!AN130</f>
        <v>0</v>
      </c>
      <c r="AP130" s="3">
        <f>infections!AP130-infections!AO130</f>
        <v>0</v>
      </c>
      <c r="AQ130" s="3">
        <f>infections!AQ130-infections!AP130</f>
        <v>0</v>
      </c>
      <c r="AR130" s="3">
        <f>infections!AR130-infections!AQ130</f>
        <v>0</v>
      </c>
      <c r="AS130" s="3">
        <f>infections!AS130-infections!AR130</f>
        <v>0</v>
      </c>
      <c r="AT130" s="3">
        <f>infections!AT130-infections!AS130</f>
        <v>0</v>
      </c>
      <c r="AU130" s="3">
        <f>infections!AU130-infections!AT130</f>
        <v>0</v>
      </c>
      <c r="AV130" s="3">
        <f>infections!AV130-infections!AU130</f>
        <v>0</v>
      </c>
      <c r="AW130" s="3">
        <f>infections!AW130-infections!AV130</f>
        <v>0</v>
      </c>
      <c r="AX130" s="3">
        <f>infections!AX130-infections!AW130</f>
        <v>0</v>
      </c>
      <c r="AY130" s="3">
        <f>infections!AY130-infections!AX130</f>
        <v>0</v>
      </c>
      <c r="AZ130" s="3">
        <f>infections!AZ130-infections!AY130</f>
        <v>0</v>
      </c>
      <c r="BA130" s="3">
        <f>infections!BA130-infections!AZ130</f>
        <v>0</v>
      </c>
      <c r="BB130" s="3">
        <f>infections!BB130-infections!BA130</f>
        <v>2</v>
      </c>
      <c r="BC130" s="3">
        <f>infections!BC130-infections!BB130</f>
        <v>0</v>
      </c>
      <c r="BD130" s="3">
        <f>infections!BD130-infections!BC130</f>
        <v>0</v>
      </c>
      <c r="BE130" s="3">
        <f>infections!BE130-infections!BD130</f>
        <v>0</v>
      </c>
      <c r="BF130" s="3">
        <f>infections!BF130-infections!BE130</f>
        <v>1</v>
      </c>
      <c r="BG130" s="3">
        <f>infections!BG130-infections!BF130</f>
        <v>3</v>
      </c>
      <c r="BH130" s="3">
        <f>infections!BH130-infections!BG130</f>
        <v>2</v>
      </c>
      <c r="BI130" s="3">
        <f>infections!BI130-infections!BH130</f>
        <v>1</v>
      </c>
      <c r="BJ130" s="3">
        <f>infections!BJ130-infections!BI130</f>
        <v>3</v>
      </c>
      <c r="BK130" s="3">
        <f>infections!BK130-infections!BJ130</f>
        <v>12</v>
      </c>
      <c r="BL130" s="3">
        <f>infections!BL130-infections!BK130</f>
        <v>0</v>
      </c>
      <c r="BM130" s="3">
        <f>infections!BM130-infections!BL130</f>
        <v>2</v>
      </c>
      <c r="BN130" s="3">
        <f>infections!BN130-infections!BM130</f>
        <v>4</v>
      </c>
      <c r="BO130" s="3">
        <f>infections!BO130-infections!BN130</f>
        <v>0</v>
      </c>
      <c r="BP130" s="3">
        <f>infections!BP130-infections!BO130</f>
        <v>6</v>
      </c>
      <c r="BQ130" s="3">
        <f>infections!BQ130-infections!BP130</f>
        <v>16</v>
      </c>
      <c r="BR130" s="3">
        <f>infections!BR130-infections!BQ130</f>
        <v>16</v>
      </c>
      <c r="BS130" s="3">
        <f>infections!BS130-infections!BR130</f>
        <v>27</v>
      </c>
      <c r="BT130" s="3">
        <f>infections!BT130-infections!BS130</f>
        <v>15</v>
      </c>
      <c r="BU130" s="3">
        <f>infections!BU130-infections!BT130</f>
        <v>29</v>
      </c>
      <c r="BV130" s="3">
        <f>infections!BV130-infections!BU130</f>
        <v>2</v>
      </c>
      <c r="BW130" s="3">
        <f>infections!BW130-infections!BV130</f>
        <v>31</v>
      </c>
      <c r="BX130" s="3">
        <f>infections!BX130-infections!BW130</f>
        <v>47</v>
      </c>
      <c r="BY130" s="3">
        <f>infections!BY130-infections!BX130</f>
        <v>3</v>
      </c>
    </row>
    <row r="131">
      <c r="B131" s="1" t="str">
        <f>infections!B131</f>
        <v>Hungary</v>
      </c>
      <c r="C131" s="4">
        <f>infections!C131</f>
        <v>47.1625</v>
      </c>
      <c r="D131" s="4">
        <f>infections!D131</f>
        <v>19.5033</v>
      </c>
      <c r="E131" s="4">
        <f>infections!E131</f>
        <v>0</v>
      </c>
      <c r="F131" s="3">
        <f>infections!F131-infections!E131</f>
        <v>0</v>
      </c>
      <c r="G131" s="3">
        <f>infections!G131-infections!F131</f>
        <v>0</v>
      </c>
      <c r="H131" s="3">
        <f>infections!H131-infections!G131</f>
        <v>0</v>
      </c>
      <c r="I131" s="3">
        <f>infections!I131-infections!H131</f>
        <v>0</v>
      </c>
      <c r="J131" s="3">
        <f>infections!J131-infections!I131</f>
        <v>0</v>
      </c>
      <c r="K131" s="3">
        <f>infections!K131-infections!J131</f>
        <v>0</v>
      </c>
      <c r="L131" s="3">
        <f>infections!L131-infections!K131</f>
        <v>0</v>
      </c>
      <c r="M131" s="3">
        <f>infections!M131-infections!L131</f>
        <v>0</v>
      </c>
      <c r="N131" s="3">
        <f>infections!N131-infections!M131</f>
        <v>0</v>
      </c>
      <c r="O131" s="3">
        <f>infections!O131-infections!N131</f>
        <v>0</v>
      </c>
      <c r="P131" s="3">
        <f>infections!P131-infections!O131</f>
        <v>0</v>
      </c>
      <c r="Q131" s="3">
        <f>infections!Q131-infections!P131</f>
        <v>0</v>
      </c>
      <c r="R131" s="3">
        <f>infections!R131-infections!Q131</f>
        <v>0</v>
      </c>
      <c r="S131" s="3">
        <f>infections!S131-infections!R131</f>
        <v>0</v>
      </c>
      <c r="T131" s="3">
        <f>infections!T131-infections!S131</f>
        <v>0</v>
      </c>
      <c r="U131" s="3">
        <f>infections!U131-infections!T131</f>
        <v>0</v>
      </c>
      <c r="V131" s="3">
        <f>infections!V131-infections!U131</f>
        <v>0</v>
      </c>
      <c r="W131" s="3">
        <f>infections!W131-infections!V131</f>
        <v>0</v>
      </c>
      <c r="X131" s="3">
        <f>infections!X131-infections!W131</f>
        <v>0</v>
      </c>
      <c r="Y131" s="3">
        <f>infections!Y131-infections!X131</f>
        <v>0</v>
      </c>
      <c r="Z131" s="3">
        <f>infections!Z131-infections!Y131</f>
        <v>0</v>
      </c>
      <c r="AA131" s="3">
        <f>infections!AA131-infections!Z131</f>
        <v>0</v>
      </c>
      <c r="AB131" s="3">
        <f>infections!AB131-infections!AA131</f>
        <v>0</v>
      </c>
      <c r="AC131" s="3">
        <f>infections!AC131-infections!AB131</f>
        <v>0</v>
      </c>
      <c r="AD131" s="3">
        <f>infections!AD131-infections!AC131</f>
        <v>0</v>
      </c>
      <c r="AE131" s="3">
        <f>infections!AE131-infections!AD131</f>
        <v>0</v>
      </c>
      <c r="AF131" s="3">
        <f>infections!AF131-infections!AE131</f>
        <v>0</v>
      </c>
      <c r="AG131" s="3">
        <f>infections!AG131-infections!AF131</f>
        <v>0</v>
      </c>
      <c r="AH131" s="3">
        <f>infections!AH131-infections!AG131</f>
        <v>0</v>
      </c>
      <c r="AI131" s="3">
        <f>infections!AI131-infections!AH131</f>
        <v>0</v>
      </c>
      <c r="AJ131" s="3">
        <f>infections!AJ131-infections!AI131</f>
        <v>0</v>
      </c>
      <c r="AK131" s="3">
        <f>infections!AK131-infections!AJ131</f>
        <v>0</v>
      </c>
      <c r="AL131" s="3">
        <f>infections!AL131-infections!AK131</f>
        <v>0</v>
      </c>
      <c r="AM131" s="3">
        <f>infections!AM131-infections!AL131</f>
        <v>0</v>
      </c>
      <c r="AN131" s="3">
        <f>infections!AN131-infections!AM131</f>
        <v>0</v>
      </c>
      <c r="AO131" s="3">
        <f>infections!AO131-infections!AN131</f>
        <v>0</v>
      </c>
      <c r="AP131" s="3">
        <f>infections!AP131-infections!AO131</f>
        <v>0</v>
      </c>
      <c r="AQ131" s="3">
        <f>infections!AQ131-infections!AP131</f>
        <v>0</v>
      </c>
      <c r="AR131" s="3">
        <f>infections!AR131-infections!AQ131</f>
        <v>0</v>
      </c>
      <c r="AS131" s="3">
        <f>infections!AS131-infections!AR131</f>
        <v>0</v>
      </c>
      <c r="AT131" s="3">
        <f>infections!AT131-infections!AS131</f>
        <v>0</v>
      </c>
      <c r="AU131" s="3">
        <f>infections!AU131-infections!AT131</f>
        <v>2</v>
      </c>
      <c r="AV131" s="3">
        <f>infections!AV131-infections!AU131</f>
        <v>0</v>
      </c>
      <c r="AW131" s="3">
        <f>infections!AW131-infections!AV131</f>
        <v>0</v>
      </c>
      <c r="AX131" s="3">
        <f>infections!AX131-infections!AW131</f>
        <v>2</v>
      </c>
      <c r="AY131" s="3">
        <f>infections!AY131-infections!AX131</f>
        <v>3</v>
      </c>
      <c r="AZ131" s="3">
        <f>infections!AZ131-infections!AY131</f>
        <v>2</v>
      </c>
      <c r="BA131" s="3">
        <f>infections!BA131-infections!AZ131</f>
        <v>0</v>
      </c>
      <c r="BB131" s="3">
        <f>infections!BB131-infections!BA131</f>
        <v>4</v>
      </c>
      <c r="BC131" s="3">
        <f>infections!BC131-infections!BB131</f>
        <v>0</v>
      </c>
      <c r="BD131" s="3">
        <f>infections!BD131-infections!BC131</f>
        <v>6</v>
      </c>
      <c r="BE131" s="3">
        <f>infections!BE131-infections!BD131</f>
        <v>11</v>
      </c>
      <c r="BF131" s="3">
        <f>infections!BF131-infections!BE131</f>
        <v>2</v>
      </c>
      <c r="BG131" s="3">
        <f>infections!BG131-infections!BF131</f>
        <v>7</v>
      </c>
      <c r="BH131" s="3">
        <f>infections!BH131-infections!BG131</f>
        <v>11</v>
      </c>
      <c r="BI131" s="3">
        <f>infections!BI131-infections!BH131</f>
        <v>8</v>
      </c>
      <c r="BJ131" s="3">
        <f>infections!BJ131-infections!BI131</f>
        <v>15</v>
      </c>
      <c r="BK131" s="3">
        <f>infections!BK131-infections!BJ131</f>
        <v>12</v>
      </c>
      <c r="BL131" s="3">
        <f>infections!BL131-infections!BK131</f>
        <v>18</v>
      </c>
      <c r="BM131" s="3">
        <f>infections!BM131-infections!BL131</f>
        <v>28</v>
      </c>
      <c r="BN131" s="3">
        <f>infections!BN131-infections!BM131</f>
        <v>36</v>
      </c>
      <c r="BO131" s="3">
        <f>infections!BO131-infections!BN131</f>
        <v>20</v>
      </c>
      <c r="BP131" s="3">
        <f>infections!BP131-infections!BO131</f>
        <v>39</v>
      </c>
      <c r="BQ131" s="3">
        <f>infections!BQ131-infections!BP131</f>
        <v>35</v>
      </c>
      <c r="BR131" s="3">
        <f>infections!BR131-infections!BQ131</f>
        <v>39</v>
      </c>
      <c r="BS131" s="3">
        <f>infections!BS131-infections!BR131</f>
        <v>43</v>
      </c>
      <c r="BT131" s="3">
        <f>infections!BT131-infections!BS131</f>
        <v>65</v>
      </c>
      <c r="BU131" s="3">
        <f>infections!BU131-infections!BT131</f>
        <v>39</v>
      </c>
      <c r="BV131" s="3">
        <f>infections!BV131-infections!BU131</f>
        <v>45</v>
      </c>
      <c r="BW131" s="3">
        <f>infections!BW131-infections!BV131</f>
        <v>33</v>
      </c>
      <c r="BX131" s="3">
        <f>infections!BX131-infections!BW131</f>
        <v>60</v>
      </c>
      <c r="BY131" s="3">
        <f>infections!BY131-infections!BX131</f>
        <v>38</v>
      </c>
    </row>
    <row r="132">
      <c r="B132" s="1" t="str">
        <f>infections!B132</f>
        <v>Iceland</v>
      </c>
      <c r="C132" s="4">
        <f>infections!C132</f>
        <v>64.9631</v>
      </c>
      <c r="D132" s="4">
        <f>infections!D132</f>
        <v>-19.0208</v>
      </c>
      <c r="E132" s="4">
        <f>infections!E132</f>
        <v>0</v>
      </c>
      <c r="F132" s="3">
        <f>infections!F132-infections!E132</f>
        <v>0</v>
      </c>
      <c r="G132" s="3">
        <f>infections!G132-infections!F132</f>
        <v>0</v>
      </c>
      <c r="H132" s="3">
        <f>infections!H132-infections!G132</f>
        <v>0</v>
      </c>
      <c r="I132" s="3">
        <f>infections!I132-infections!H132</f>
        <v>0</v>
      </c>
      <c r="J132" s="3">
        <f>infections!J132-infections!I132</f>
        <v>0</v>
      </c>
      <c r="K132" s="3">
        <f>infections!K132-infections!J132</f>
        <v>0</v>
      </c>
      <c r="L132" s="3">
        <f>infections!L132-infections!K132</f>
        <v>0</v>
      </c>
      <c r="M132" s="3">
        <f>infections!M132-infections!L132</f>
        <v>0</v>
      </c>
      <c r="N132" s="3">
        <f>infections!N132-infections!M132</f>
        <v>0</v>
      </c>
      <c r="O132" s="3">
        <f>infections!O132-infections!N132</f>
        <v>0</v>
      </c>
      <c r="P132" s="3">
        <f>infections!P132-infections!O132</f>
        <v>0</v>
      </c>
      <c r="Q132" s="3">
        <f>infections!Q132-infections!P132</f>
        <v>0</v>
      </c>
      <c r="R132" s="3">
        <f>infections!R132-infections!Q132</f>
        <v>0</v>
      </c>
      <c r="S132" s="3">
        <f>infections!S132-infections!R132</f>
        <v>0</v>
      </c>
      <c r="T132" s="3">
        <f>infections!T132-infections!S132</f>
        <v>0</v>
      </c>
      <c r="U132" s="3">
        <f>infections!U132-infections!T132</f>
        <v>0</v>
      </c>
      <c r="V132" s="3">
        <f>infections!V132-infections!U132</f>
        <v>0</v>
      </c>
      <c r="W132" s="3">
        <f>infections!W132-infections!V132</f>
        <v>0</v>
      </c>
      <c r="X132" s="3">
        <f>infections!X132-infections!W132</f>
        <v>0</v>
      </c>
      <c r="Y132" s="3">
        <f>infections!Y132-infections!X132</f>
        <v>0</v>
      </c>
      <c r="Z132" s="3">
        <f>infections!Z132-infections!Y132</f>
        <v>0</v>
      </c>
      <c r="AA132" s="3">
        <f>infections!AA132-infections!Z132</f>
        <v>0</v>
      </c>
      <c r="AB132" s="3">
        <f>infections!AB132-infections!AA132</f>
        <v>0</v>
      </c>
      <c r="AC132" s="3">
        <f>infections!AC132-infections!AB132</f>
        <v>0</v>
      </c>
      <c r="AD132" s="3">
        <f>infections!AD132-infections!AC132</f>
        <v>0</v>
      </c>
      <c r="AE132" s="3">
        <f>infections!AE132-infections!AD132</f>
        <v>0</v>
      </c>
      <c r="AF132" s="3">
        <f>infections!AF132-infections!AE132</f>
        <v>0</v>
      </c>
      <c r="AG132" s="3">
        <f>infections!AG132-infections!AF132</f>
        <v>0</v>
      </c>
      <c r="AH132" s="3">
        <f>infections!AH132-infections!AG132</f>
        <v>0</v>
      </c>
      <c r="AI132" s="3">
        <f>infections!AI132-infections!AH132</f>
        <v>0</v>
      </c>
      <c r="AJ132" s="3">
        <f>infections!AJ132-infections!AI132</f>
        <v>0</v>
      </c>
      <c r="AK132" s="3">
        <f>infections!AK132-infections!AJ132</f>
        <v>0</v>
      </c>
      <c r="AL132" s="3">
        <f>infections!AL132-infections!AK132</f>
        <v>0</v>
      </c>
      <c r="AM132" s="3">
        <f>infections!AM132-infections!AL132</f>
        <v>0</v>
      </c>
      <c r="AN132" s="3">
        <f>infections!AN132-infections!AM132</f>
        <v>0</v>
      </c>
      <c r="AO132" s="3">
        <f>infections!AO132-infections!AN132</f>
        <v>0</v>
      </c>
      <c r="AP132" s="3">
        <f>infections!AP132-infections!AO132</f>
        <v>1</v>
      </c>
      <c r="AQ132" s="3">
        <f>infections!AQ132-infections!AP132</f>
        <v>0</v>
      </c>
      <c r="AR132" s="3">
        <f>infections!AR132-infections!AQ132</f>
        <v>2</v>
      </c>
      <c r="AS132" s="3">
        <f>infections!AS132-infections!AR132</f>
        <v>3</v>
      </c>
      <c r="AT132" s="3">
        <f>infections!AT132-infections!AS132</f>
        <v>5</v>
      </c>
      <c r="AU132" s="3">
        <f>infections!AU132-infections!AT132</f>
        <v>15</v>
      </c>
      <c r="AV132" s="3">
        <f>infections!AV132-infections!AU132</f>
        <v>8</v>
      </c>
      <c r="AW132" s="3">
        <f>infections!AW132-infections!AV132</f>
        <v>9</v>
      </c>
      <c r="AX132" s="3">
        <f>infections!AX132-infections!AW132</f>
        <v>7</v>
      </c>
      <c r="AY132" s="3">
        <f>infections!AY132-infections!AX132</f>
        <v>0</v>
      </c>
      <c r="AZ132" s="3">
        <f>infections!AZ132-infections!AY132</f>
        <v>8</v>
      </c>
      <c r="BA132" s="3">
        <f>infections!BA132-infections!AZ132</f>
        <v>11</v>
      </c>
      <c r="BB132" s="3">
        <f>infections!BB132-infections!BA132</f>
        <v>16</v>
      </c>
      <c r="BC132" s="3">
        <f>infections!BC132-infections!BB132</f>
        <v>18</v>
      </c>
      <c r="BD132" s="3">
        <f>infections!BD132-infections!BC132</f>
        <v>31</v>
      </c>
      <c r="BE132" s="3">
        <f>infections!BE132-infections!BD132</f>
        <v>22</v>
      </c>
      <c r="BF132" s="3">
        <f>infections!BF132-infections!BE132</f>
        <v>15</v>
      </c>
      <c r="BG132" s="3">
        <f>infections!BG132-infections!BF132</f>
        <v>9</v>
      </c>
      <c r="BH132" s="3">
        <f>infections!BH132-infections!BG132</f>
        <v>40</v>
      </c>
      <c r="BI132" s="3">
        <f>infections!BI132-infections!BH132</f>
        <v>30</v>
      </c>
      <c r="BJ132" s="3">
        <f>infections!BJ132-infections!BI132</f>
        <v>80</v>
      </c>
      <c r="BK132" s="3">
        <f>infections!BK132-infections!BJ132</f>
        <v>79</v>
      </c>
      <c r="BL132" s="3">
        <f>infections!BL132-infections!BK132</f>
        <v>64</v>
      </c>
      <c r="BM132" s="3">
        <f>infections!BM132-infections!BL132</f>
        <v>95</v>
      </c>
      <c r="BN132" s="3">
        <f>infections!BN132-infections!BM132</f>
        <v>20</v>
      </c>
      <c r="BO132" s="3">
        <f>infections!BO132-infections!BN132</f>
        <v>60</v>
      </c>
      <c r="BP132" s="3">
        <f>infections!BP132-infections!BO132</f>
        <v>89</v>
      </c>
      <c r="BQ132" s="3">
        <f>infections!BQ132-infections!BP132</f>
        <v>65</v>
      </c>
      <c r="BR132" s="3">
        <f>infections!BR132-infections!BQ132</f>
        <v>88</v>
      </c>
      <c r="BS132" s="3">
        <f>infections!BS132-infections!BR132</f>
        <v>73</v>
      </c>
      <c r="BT132" s="3">
        <f>infections!BT132-infections!BS132</f>
        <v>57</v>
      </c>
      <c r="BU132" s="3">
        <f>infections!BU132-infections!BT132</f>
        <v>66</v>
      </c>
      <c r="BV132" s="3">
        <f>infections!BV132-infections!BU132</f>
        <v>49</v>
      </c>
      <c r="BW132" s="3">
        <f>infections!BW132-infections!BV132</f>
        <v>85</v>
      </c>
      <c r="BX132" s="3">
        <f>infections!BX132-infections!BW132</f>
        <v>99</v>
      </c>
      <c r="BY132" s="3">
        <f>infections!BY132-infections!BX132</f>
        <v>45</v>
      </c>
    </row>
    <row r="133">
      <c r="B133" s="1" t="str">
        <f>infections!B133</f>
        <v>India</v>
      </c>
      <c r="C133" s="4">
        <f>infections!C133</f>
        <v>21</v>
      </c>
      <c r="D133" s="4">
        <f>infections!D133</f>
        <v>78</v>
      </c>
      <c r="E133" s="4">
        <f>infections!E133</f>
        <v>0</v>
      </c>
      <c r="F133" s="3">
        <f>infections!F133-infections!E133</f>
        <v>0</v>
      </c>
      <c r="G133" s="3">
        <f>infections!G133-infections!F133</f>
        <v>0</v>
      </c>
      <c r="H133" s="3">
        <f>infections!H133-infections!G133</f>
        <v>0</v>
      </c>
      <c r="I133" s="3">
        <f>infections!I133-infections!H133</f>
        <v>0</v>
      </c>
      <c r="J133" s="3">
        <f>infections!J133-infections!I133</f>
        <v>0</v>
      </c>
      <c r="K133" s="3">
        <f>infections!K133-infections!J133</f>
        <v>0</v>
      </c>
      <c r="L133" s="3">
        <f>infections!L133-infections!K133</f>
        <v>0</v>
      </c>
      <c r="M133" s="3">
        <f>infections!M133-infections!L133</f>
        <v>1</v>
      </c>
      <c r="N133" s="3">
        <f>infections!N133-infections!M133</f>
        <v>0</v>
      </c>
      <c r="O133" s="3">
        <f>infections!O133-infections!N133</f>
        <v>0</v>
      </c>
      <c r="P133" s="3">
        <f>infections!P133-infections!O133</f>
        <v>1</v>
      </c>
      <c r="Q133" s="3">
        <f>infections!Q133-infections!P133</f>
        <v>1</v>
      </c>
      <c r="R133" s="3">
        <f>infections!R133-infections!Q133</f>
        <v>0</v>
      </c>
      <c r="S133" s="3">
        <f>infections!S133-infections!R133</f>
        <v>0</v>
      </c>
      <c r="T133" s="3">
        <f>infections!T133-infections!S133</f>
        <v>0</v>
      </c>
      <c r="U133" s="3">
        <f>infections!U133-infections!T133</f>
        <v>0</v>
      </c>
      <c r="V133" s="3">
        <f>infections!V133-infections!U133</f>
        <v>0</v>
      </c>
      <c r="W133" s="3">
        <f>infections!W133-infections!V133</f>
        <v>0</v>
      </c>
      <c r="X133" s="3">
        <f>infections!X133-infections!W133</f>
        <v>0</v>
      </c>
      <c r="Y133" s="3">
        <f>infections!Y133-infections!X133</f>
        <v>0</v>
      </c>
      <c r="Z133" s="3">
        <f>infections!Z133-infections!Y133</f>
        <v>0</v>
      </c>
      <c r="AA133" s="3">
        <f>infections!AA133-infections!Z133</f>
        <v>0</v>
      </c>
      <c r="AB133" s="3">
        <f>infections!AB133-infections!AA133</f>
        <v>0</v>
      </c>
      <c r="AC133" s="3">
        <f>infections!AC133-infections!AB133</f>
        <v>0</v>
      </c>
      <c r="AD133" s="3">
        <f>infections!AD133-infections!AC133</f>
        <v>0</v>
      </c>
      <c r="AE133" s="3">
        <f>infections!AE133-infections!AD133</f>
        <v>0</v>
      </c>
      <c r="AF133" s="3">
        <f>infections!AF133-infections!AE133</f>
        <v>0</v>
      </c>
      <c r="AG133" s="3">
        <f>infections!AG133-infections!AF133</f>
        <v>0</v>
      </c>
      <c r="AH133" s="3">
        <f>infections!AH133-infections!AG133</f>
        <v>0</v>
      </c>
      <c r="AI133" s="3">
        <f>infections!AI133-infections!AH133</f>
        <v>0</v>
      </c>
      <c r="AJ133" s="3">
        <f>infections!AJ133-infections!AI133</f>
        <v>0</v>
      </c>
      <c r="AK133" s="3">
        <f>infections!AK133-infections!AJ133</f>
        <v>0</v>
      </c>
      <c r="AL133" s="3">
        <f>infections!AL133-infections!AK133</f>
        <v>0</v>
      </c>
      <c r="AM133" s="3">
        <f>infections!AM133-infections!AL133</f>
        <v>0</v>
      </c>
      <c r="AN133" s="3">
        <f>infections!AN133-infections!AM133</f>
        <v>0</v>
      </c>
      <c r="AO133" s="3">
        <f>infections!AO133-infections!AN133</f>
        <v>0</v>
      </c>
      <c r="AP133" s="3">
        <f>infections!AP133-infections!AO133</f>
        <v>0</v>
      </c>
      <c r="AQ133" s="3">
        <f>infections!AQ133-infections!AP133</f>
        <v>0</v>
      </c>
      <c r="AR133" s="3">
        <f>infections!AR133-infections!AQ133</f>
        <v>0</v>
      </c>
      <c r="AS133" s="3">
        <f>infections!AS133-infections!AR133</f>
        <v>2</v>
      </c>
      <c r="AT133" s="3">
        <f>infections!AT133-infections!AS133</f>
        <v>0</v>
      </c>
      <c r="AU133" s="3">
        <f>infections!AU133-infections!AT133</f>
        <v>23</v>
      </c>
      <c r="AV133" s="3">
        <f>infections!AV133-infections!AU133</f>
        <v>2</v>
      </c>
      <c r="AW133" s="3">
        <f>infections!AW133-infections!AV133</f>
        <v>1</v>
      </c>
      <c r="AX133" s="3">
        <f>infections!AX133-infections!AW133</f>
        <v>3</v>
      </c>
      <c r="AY133" s="3">
        <f>infections!AY133-infections!AX133</f>
        <v>5</v>
      </c>
      <c r="AZ133" s="3">
        <f>infections!AZ133-infections!AY133</f>
        <v>4</v>
      </c>
      <c r="BA133" s="3">
        <f>infections!BA133-infections!AZ133</f>
        <v>13</v>
      </c>
      <c r="BB133" s="3">
        <f>infections!BB133-infections!BA133</f>
        <v>6</v>
      </c>
      <c r="BC133" s="3">
        <f>infections!BC133-infections!BB133</f>
        <v>11</v>
      </c>
      <c r="BD133" s="3">
        <f>infections!BD133-infections!BC133</f>
        <v>9</v>
      </c>
      <c r="BE133" s="3">
        <f>infections!BE133-infections!BD133</f>
        <v>20</v>
      </c>
      <c r="BF133" s="3">
        <f>infections!BF133-infections!BE133</f>
        <v>11</v>
      </c>
      <c r="BG133" s="3">
        <f>infections!BG133-infections!BF133</f>
        <v>6</v>
      </c>
      <c r="BH133" s="3">
        <f>infections!BH133-infections!BG133</f>
        <v>23</v>
      </c>
      <c r="BI133" s="3">
        <f>infections!BI133-infections!BH133</f>
        <v>14</v>
      </c>
      <c r="BJ133" s="3">
        <f>infections!BJ133-infections!BI133</f>
        <v>38</v>
      </c>
      <c r="BK133" s="3">
        <f>infections!BK133-infections!BJ133</f>
        <v>50</v>
      </c>
      <c r="BL133" s="3">
        <f>infections!BL133-infections!BK133</f>
        <v>86</v>
      </c>
      <c r="BM133" s="3">
        <f>infections!BM133-infections!BL133</f>
        <v>66</v>
      </c>
      <c r="BN133" s="3">
        <f>infections!BN133-infections!BM133</f>
        <v>103</v>
      </c>
      <c r="BO133" s="3">
        <f>infections!BO133-infections!BN133</f>
        <v>37</v>
      </c>
      <c r="BP133" s="3">
        <f>infections!BP133-infections!BO133</f>
        <v>121</v>
      </c>
      <c r="BQ133" s="3">
        <f>infections!BQ133-infections!BP133</f>
        <v>70</v>
      </c>
      <c r="BR133" s="3">
        <f>infections!BR133-infections!BQ133</f>
        <v>160</v>
      </c>
      <c r="BS133" s="3">
        <f>infections!BS133-infections!BR133</f>
        <v>100</v>
      </c>
      <c r="BT133" s="3">
        <f>infections!BT133-infections!BS133</f>
        <v>37</v>
      </c>
      <c r="BU133" s="3">
        <f>infections!BU133-infections!BT133</f>
        <v>227</v>
      </c>
      <c r="BV133" s="3">
        <f>infections!BV133-infections!BU133</f>
        <v>146</v>
      </c>
      <c r="BW133" s="3">
        <f>infections!BW133-infections!BV133</f>
        <v>601</v>
      </c>
      <c r="BX133" s="3">
        <f>infections!BX133-infections!BW133</f>
        <v>545</v>
      </c>
      <c r="BY133" s="3">
        <f>infections!BY133-infections!BX133</f>
        <v>24</v>
      </c>
    </row>
    <row r="134">
      <c r="B134" s="1" t="str">
        <f>infections!B134</f>
        <v>Indonesia</v>
      </c>
      <c r="C134" s="4">
        <f>infections!C134</f>
        <v>-0.7893</v>
      </c>
      <c r="D134" s="4">
        <f>infections!D134</f>
        <v>113.9213</v>
      </c>
      <c r="E134" s="4">
        <f>infections!E134</f>
        <v>0</v>
      </c>
      <c r="F134" s="3">
        <f>infections!F134-infections!E134</f>
        <v>0</v>
      </c>
      <c r="G134" s="3">
        <f>infections!G134-infections!F134</f>
        <v>0</v>
      </c>
      <c r="H134" s="3">
        <f>infections!H134-infections!G134</f>
        <v>0</v>
      </c>
      <c r="I134" s="3">
        <f>infections!I134-infections!H134</f>
        <v>0</v>
      </c>
      <c r="J134" s="3">
        <f>infections!J134-infections!I134</f>
        <v>0</v>
      </c>
      <c r="K134" s="3">
        <f>infections!K134-infections!J134</f>
        <v>0</v>
      </c>
      <c r="L134" s="3">
        <f>infections!L134-infections!K134</f>
        <v>0</v>
      </c>
      <c r="M134" s="3">
        <f>infections!M134-infections!L134</f>
        <v>0</v>
      </c>
      <c r="N134" s="3">
        <f>infections!N134-infections!M134</f>
        <v>0</v>
      </c>
      <c r="O134" s="3">
        <f>infections!O134-infections!N134</f>
        <v>0</v>
      </c>
      <c r="P134" s="3">
        <f>infections!P134-infections!O134</f>
        <v>0</v>
      </c>
      <c r="Q134" s="3">
        <f>infections!Q134-infections!P134</f>
        <v>0</v>
      </c>
      <c r="R134" s="3">
        <f>infections!R134-infections!Q134</f>
        <v>0</v>
      </c>
      <c r="S134" s="3">
        <f>infections!S134-infections!R134</f>
        <v>0</v>
      </c>
      <c r="T134" s="3">
        <f>infections!T134-infections!S134</f>
        <v>0</v>
      </c>
      <c r="U134" s="3">
        <f>infections!U134-infections!T134</f>
        <v>0</v>
      </c>
      <c r="V134" s="3">
        <f>infections!V134-infections!U134</f>
        <v>0</v>
      </c>
      <c r="W134" s="3">
        <f>infections!W134-infections!V134</f>
        <v>0</v>
      </c>
      <c r="X134" s="3">
        <f>infections!X134-infections!W134</f>
        <v>0</v>
      </c>
      <c r="Y134" s="3">
        <f>infections!Y134-infections!X134</f>
        <v>0</v>
      </c>
      <c r="Z134" s="3">
        <f>infections!Z134-infections!Y134</f>
        <v>0</v>
      </c>
      <c r="AA134" s="3">
        <f>infections!AA134-infections!Z134</f>
        <v>0</v>
      </c>
      <c r="AB134" s="3">
        <f>infections!AB134-infections!AA134</f>
        <v>0</v>
      </c>
      <c r="AC134" s="3">
        <f>infections!AC134-infections!AB134</f>
        <v>0</v>
      </c>
      <c r="AD134" s="3">
        <f>infections!AD134-infections!AC134</f>
        <v>0</v>
      </c>
      <c r="AE134" s="3">
        <f>infections!AE134-infections!AD134</f>
        <v>0</v>
      </c>
      <c r="AF134" s="3">
        <f>infections!AF134-infections!AE134</f>
        <v>0</v>
      </c>
      <c r="AG134" s="3">
        <f>infections!AG134-infections!AF134</f>
        <v>0</v>
      </c>
      <c r="AH134" s="3">
        <f>infections!AH134-infections!AG134</f>
        <v>0</v>
      </c>
      <c r="AI134" s="3">
        <f>infections!AI134-infections!AH134</f>
        <v>0</v>
      </c>
      <c r="AJ134" s="3">
        <f>infections!AJ134-infections!AI134</f>
        <v>0</v>
      </c>
      <c r="AK134" s="3">
        <f>infections!AK134-infections!AJ134</f>
        <v>0</v>
      </c>
      <c r="AL134" s="3">
        <f>infections!AL134-infections!AK134</f>
        <v>0</v>
      </c>
      <c r="AM134" s="3">
        <f>infections!AM134-infections!AL134</f>
        <v>0</v>
      </c>
      <c r="AN134" s="3">
        <f>infections!AN134-infections!AM134</f>
        <v>0</v>
      </c>
      <c r="AO134" s="3">
        <f>infections!AO134-infections!AN134</f>
        <v>0</v>
      </c>
      <c r="AP134" s="3">
        <f>infections!AP134-infections!AO134</f>
        <v>0</v>
      </c>
      <c r="AQ134" s="3">
        <f>infections!AQ134-infections!AP134</f>
        <v>0</v>
      </c>
      <c r="AR134" s="3">
        <f>infections!AR134-infections!AQ134</f>
        <v>0</v>
      </c>
      <c r="AS134" s="3">
        <f>infections!AS134-infections!AR134</f>
        <v>2</v>
      </c>
      <c r="AT134" s="3">
        <f>infections!AT134-infections!AS134</f>
        <v>0</v>
      </c>
      <c r="AU134" s="3">
        <f>infections!AU134-infections!AT134</f>
        <v>0</v>
      </c>
      <c r="AV134" s="3">
        <f>infections!AV134-infections!AU134</f>
        <v>0</v>
      </c>
      <c r="AW134" s="3">
        <f>infections!AW134-infections!AV134</f>
        <v>2</v>
      </c>
      <c r="AX134" s="3">
        <f>infections!AX134-infections!AW134</f>
        <v>0</v>
      </c>
      <c r="AY134" s="3">
        <f>infections!AY134-infections!AX134</f>
        <v>2</v>
      </c>
      <c r="AZ134" s="3">
        <f>infections!AZ134-infections!AY134</f>
        <v>13</v>
      </c>
      <c r="BA134" s="3">
        <f>infections!BA134-infections!AZ134</f>
        <v>8</v>
      </c>
      <c r="BB134" s="3">
        <f>infections!BB134-infections!BA134</f>
        <v>7</v>
      </c>
      <c r="BC134" s="3">
        <f>infections!BC134-infections!BB134</f>
        <v>0</v>
      </c>
      <c r="BD134" s="3">
        <f>infections!BD134-infections!BC134</f>
        <v>35</v>
      </c>
      <c r="BE134" s="3">
        <f>infections!BE134-infections!BD134</f>
        <v>27</v>
      </c>
      <c r="BF134" s="3">
        <f>infections!BF134-infections!BE134</f>
        <v>21</v>
      </c>
      <c r="BG134" s="3">
        <f>infections!BG134-infections!BF134</f>
        <v>17</v>
      </c>
      <c r="BH134" s="3">
        <f>infections!BH134-infections!BG134</f>
        <v>38</v>
      </c>
      <c r="BI134" s="3">
        <f>infections!BI134-infections!BH134</f>
        <v>55</v>
      </c>
      <c r="BJ134" s="3">
        <f>infections!BJ134-infections!BI134</f>
        <v>84</v>
      </c>
      <c r="BK134" s="3">
        <f>infections!BK134-infections!BJ134</f>
        <v>58</v>
      </c>
      <c r="BL134" s="3">
        <f>infections!BL134-infections!BK134</f>
        <v>81</v>
      </c>
      <c r="BM134" s="3">
        <f>infections!BM134-infections!BL134</f>
        <v>64</v>
      </c>
      <c r="BN134" s="3">
        <f>infections!BN134-infections!BM134</f>
        <v>65</v>
      </c>
      <c r="BO134" s="3">
        <f>infections!BO134-infections!BN134</f>
        <v>107</v>
      </c>
      <c r="BP134" s="3">
        <f>infections!BP134-infections!BO134</f>
        <v>104</v>
      </c>
      <c r="BQ134" s="3">
        <f>infections!BQ134-infections!BP134</f>
        <v>103</v>
      </c>
      <c r="BR134" s="3">
        <f>infections!BR134-infections!BQ134</f>
        <v>153</v>
      </c>
      <c r="BS134" s="3">
        <f>infections!BS134-infections!BR134</f>
        <v>109</v>
      </c>
      <c r="BT134" s="3">
        <f>infections!BT134-infections!BS134</f>
        <v>130</v>
      </c>
      <c r="BU134" s="3">
        <f>infections!BU134-infections!BT134</f>
        <v>129</v>
      </c>
      <c r="BV134" s="3">
        <f>infections!BV134-infections!BU134</f>
        <v>114</v>
      </c>
      <c r="BW134" s="3">
        <f>infections!BW134-infections!BV134</f>
        <v>149</v>
      </c>
      <c r="BX134" s="3">
        <f>infections!BX134-infections!BW134</f>
        <v>113</v>
      </c>
      <c r="BY134" s="3">
        <f>infections!BY134-infections!BX134</f>
        <v>196</v>
      </c>
    </row>
    <row r="135">
      <c r="B135" s="1" t="str">
        <f>infections!B135</f>
        <v>Iran</v>
      </c>
      <c r="C135" s="4">
        <f>infections!C135</f>
        <v>32</v>
      </c>
      <c r="D135" s="4">
        <f>infections!D135</f>
        <v>53</v>
      </c>
      <c r="E135" s="4">
        <f>infections!E135</f>
        <v>0</v>
      </c>
      <c r="F135" s="3">
        <f>infections!F135-infections!E135</f>
        <v>0</v>
      </c>
      <c r="G135" s="3">
        <f>infections!G135-infections!F135</f>
        <v>0</v>
      </c>
      <c r="H135" s="3">
        <f>infections!H135-infections!G135</f>
        <v>0</v>
      </c>
      <c r="I135" s="3">
        <f>infections!I135-infections!H135</f>
        <v>0</v>
      </c>
      <c r="J135" s="3">
        <f>infections!J135-infections!I135</f>
        <v>0</v>
      </c>
      <c r="K135" s="3">
        <f>infections!K135-infections!J135</f>
        <v>0</v>
      </c>
      <c r="L135" s="3">
        <f>infections!L135-infections!K135</f>
        <v>0</v>
      </c>
      <c r="M135" s="3">
        <f>infections!M135-infections!L135</f>
        <v>0</v>
      </c>
      <c r="N135" s="3">
        <f>infections!N135-infections!M135</f>
        <v>0</v>
      </c>
      <c r="O135" s="3">
        <f>infections!O135-infections!N135</f>
        <v>0</v>
      </c>
      <c r="P135" s="3">
        <f>infections!P135-infections!O135</f>
        <v>0</v>
      </c>
      <c r="Q135" s="3">
        <f>infections!Q135-infections!P135</f>
        <v>0</v>
      </c>
      <c r="R135" s="3">
        <f>infections!R135-infections!Q135</f>
        <v>0</v>
      </c>
      <c r="S135" s="3">
        <f>infections!S135-infections!R135</f>
        <v>0</v>
      </c>
      <c r="T135" s="3">
        <f>infections!T135-infections!S135</f>
        <v>0</v>
      </c>
      <c r="U135" s="3">
        <f>infections!U135-infections!T135</f>
        <v>0</v>
      </c>
      <c r="V135" s="3">
        <f>infections!V135-infections!U135</f>
        <v>0</v>
      </c>
      <c r="W135" s="3">
        <f>infections!W135-infections!V135</f>
        <v>0</v>
      </c>
      <c r="X135" s="3">
        <f>infections!X135-infections!W135</f>
        <v>0</v>
      </c>
      <c r="Y135" s="3">
        <f>infections!Y135-infections!X135</f>
        <v>0</v>
      </c>
      <c r="Z135" s="3">
        <f>infections!Z135-infections!Y135</f>
        <v>0</v>
      </c>
      <c r="AA135" s="3">
        <f>infections!AA135-infections!Z135</f>
        <v>0</v>
      </c>
      <c r="AB135" s="3">
        <f>infections!AB135-infections!AA135</f>
        <v>0</v>
      </c>
      <c r="AC135" s="3">
        <f>infections!AC135-infections!AB135</f>
        <v>0</v>
      </c>
      <c r="AD135" s="3">
        <f>infections!AD135-infections!AC135</f>
        <v>0</v>
      </c>
      <c r="AE135" s="3">
        <f>infections!AE135-infections!AD135</f>
        <v>0</v>
      </c>
      <c r="AF135" s="3">
        <f>infections!AF135-infections!AE135</f>
        <v>0</v>
      </c>
      <c r="AG135" s="3">
        <f>infections!AG135-infections!AF135</f>
        <v>2</v>
      </c>
      <c r="AH135" s="3">
        <f>infections!AH135-infections!AG135</f>
        <v>3</v>
      </c>
      <c r="AI135" s="3">
        <f>infections!AI135-infections!AH135</f>
        <v>13</v>
      </c>
      <c r="AJ135" s="3">
        <f>infections!AJ135-infections!AI135</f>
        <v>10</v>
      </c>
      <c r="AK135" s="3">
        <f>infections!AK135-infections!AJ135</f>
        <v>15</v>
      </c>
      <c r="AL135" s="3">
        <f>infections!AL135-infections!AK135</f>
        <v>18</v>
      </c>
      <c r="AM135" s="3">
        <f>infections!AM135-infections!AL135</f>
        <v>34</v>
      </c>
      <c r="AN135" s="3">
        <f>infections!AN135-infections!AM135</f>
        <v>44</v>
      </c>
      <c r="AO135" s="3">
        <f>infections!AO135-infections!AN135</f>
        <v>106</v>
      </c>
      <c r="AP135" s="3">
        <f>infections!AP135-infections!AO135</f>
        <v>143</v>
      </c>
      <c r="AQ135" s="3">
        <f>infections!AQ135-infections!AP135</f>
        <v>205</v>
      </c>
      <c r="AR135" s="3">
        <f>infections!AR135-infections!AQ135</f>
        <v>385</v>
      </c>
      <c r="AS135" s="3">
        <f>infections!AS135-infections!AR135</f>
        <v>523</v>
      </c>
      <c r="AT135" s="3">
        <f>infections!AT135-infections!AS135</f>
        <v>835</v>
      </c>
      <c r="AU135" s="3">
        <f>infections!AU135-infections!AT135</f>
        <v>586</v>
      </c>
      <c r="AV135" s="3">
        <f>infections!AV135-infections!AU135</f>
        <v>591</v>
      </c>
      <c r="AW135" s="3">
        <f>infections!AW135-infections!AV135</f>
        <v>1234</v>
      </c>
      <c r="AX135" s="3">
        <f>infections!AX135-infections!AW135</f>
        <v>1076</v>
      </c>
      <c r="AY135" s="3">
        <f>infections!AY135-infections!AX135</f>
        <v>743</v>
      </c>
      <c r="AZ135" s="3">
        <f>infections!AZ135-infections!AY135</f>
        <v>595</v>
      </c>
      <c r="BA135" s="3">
        <f>infections!BA135-infections!AZ135</f>
        <v>881</v>
      </c>
      <c r="BB135" s="3">
        <f>infections!BB135-infections!BA135</f>
        <v>958</v>
      </c>
      <c r="BC135" s="3">
        <f>infections!BC135-infections!BB135</f>
        <v>1075</v>
      </c>
      <c r="BD135" s="3">
        <f>infections!BD135-infections!BC135</f>
        <v>1289</v>
      </c>
      <c r="BE135" s="3">
        <f>infections!BE135-infections!BD135</f>
        <v>1365</v>
      </c>
      <c r="BF135" s="3">
        <f>infections!BF135-infections!BE135</f>
        <v>1209</v>
      </c>
      <c r="BG135" s="3">
        <f>infections!BG135-infections!BF135</f>
        <v>1053</v>
      </c>
      <c r="BH135" s="3">
        <f>infections!BH135-infections!BG135</f>
        <v>1178</v>
      </c>
      <c r="BI135" s="3">
        <f>infections!BI135-infections!BH135</f>
        <v>1192</v>
      </c>
      <c r="BJ135" s="3">
        <f>infections!BJ135-infections!BI135</f>
        <v>1046</v>
      </c>
      <c r="BK135" s="3">
        <f>infections!BK135-infections!BJ135</f>
        <v>1237</v>
      </c>
      <c r="BL135" s="3">
        <f>infections!BL135-infections!BK135</f>
        <v>966</v>
      </c>
      <c r="BM135" s="3">
        <f>infections!BM135-infections!BL135</f>
        <v>1028</v>
      </c>
      <c r="BN135" s="3">
        <f>infections!BN135-infections!BM135</f>
        <v>1411</v>
      </c>
      <c r="BO135" s="3">
        <f>infections!BO135-infections!BN135</f>
        <v>1762</v>
      </c>
      <c r="BP135" s="3">
        <f>infections!BP135-infections!BO135</f>
        <v>2206</v>
      </c>
      <c r="BQ135" s="3">
        <f>infections!BQ135-infections!BP135</f>
        <v>2389</v>
      </c>
      <c r="BR135" s="3">
        <f>infections!BR135-infections!BQ135</f>
        <v>2926</v>
      </c>
      <c r="BS135" s="3">
        <f>infections!BS135-infections!BR135</f>
        <v>3076</v>
      </c>
      <c r="BT135" s="3">
        <f>infections!BT135-infections!BS135</f>
        <v>2901</v>
      </c>
      <c r="BU135" s="3">
        <f>infections!BU135-infections!BT135</f>
        <v>3186</v>
      </c>
      <c r="BV135" s="3">
        <f>infections!BV135-infections!BU135</f>
        <v>3110</v>
      </c>
      <c r="BW135" s="3">
        <f>infections!BW135-infections!BV135</f>
        <v>2988</v>
      </c>
      <c r="BX135" s="3">
        <f>infections!BX135-infections!BW135</f>
        <v>2875</v>
      </c>
      <c r="BY135" s="3">
        <f>infections!BY135-infections!BX135</f>
        <v>2715</v>
      </c>
    </row>
    <row r="136">
      <c r="B136" s="1" t="str">
        <f>infections!B136</f>
        <v>Iraq</v>
      </c>
      <c r="C136" s="4">
        <f>infections!C136</f>
        <v>33</v>
      </c>
      <c r="D136" s="4">
        <f>infections!D136</f>
        <v>44</v>
      </c>
      <c r="E136" s="4">
        <f>infections!E136</f>
        <v>0</v>
      </c>
      <c r="F136" s="3">
        <f>infections!F136-infections!E136</f>
        <v>0</v>
      </c>
      <c r="G136" s="3">
        <f>infections!G136-infections!F136</f>
        <v>0</v>
      </c>
      <c r="H136" s="3">
        <f>infections!H136-infections!G136</f>
        <v>0</v>
      </c>
      <c r="I136" s="3">
        <f>infections!I136-infections!H136</f>
        <v>0</v>
      </c>
      <c r="J136" s="3">
        <f>infections!J136-infections!I136</f>
        <v>0</v>
      </c>
      <c r="K136" s="3">
        <f>infections!K136-infections!J136</f>
        <v>0</v>
      </c>
      <c r="L136" s="3">
        <f>infections!L136-infections!K136</f>
        <v>0</v>
      </c>
      <c r="M136" s="3">
        <f>infections!M136-infections!L136</f>
        <v>0</v>
      </c>
      <c r="N136" s="3">
        <f>infections!N136-infections!M136</f>
        <v>0</v>
      </c>
      <c r="O136" s="3">
        <f>infections!O136-infections!N136</f>
        <v>0</v>
      </c>
      <c r="P136" s="3">
        <f>infections!P136-infections!O136</f>
        <v>0</v>
      </c>
      <c r="Q136" s="3">
        <f>infections!Q136-infections!P136</f>
        <v>0</v>
      </c>
      <c r="R136" s="3">
        <f>infections!R136-infections!Q136</f>
        <v>0</v>
      </c>
      <c r="S136" s="3">
        <f>infections!S136-infections!R136</f>
        <v>0</v>
      </c>
      <c r="T136" s="3">
        <f>infections!T136-infections!S136</f>
        <v>0</v>
      </c>
      <c r="U136" s="3">
        <f>infections!U136-infections!T136</f>
        <v>0</v>
      </c>
      <c r="V136" s="3">
        <f>infections!V136-infections!U136</f>
        <v>0</v>
      </c>
      <c r="W136" s="3">
        <f>infections!W136-infections!V136</f>
        <v>0</v>
      </c>
      <c r="X136" s="3">
        <f>infections!X136-infections!W136</f>
        <v>0</v>
      </c>
      <c r="Y136" s="3">
        <f>infections!Y136-infections!X136</f>
        <v>0</v>
      </c>
      <c r="Z136" s="3">
        <f>infections!Z136-infections!Y136</f>
        <v>0</v>
      </c>
      <c r="AA136" s="3">
        <f>infections!AA136-infections!Z136</f>
        <v>0</v>
      </c>
      <c r="AB136" s="3">
        <f>infections!AB136-infections!AA136</f>
        <v>0</v>
      </c>
      <c r="AC136" s="3">
        <f>infections!AC136-infections!AB136</f>
        <v>0</v>
      </c>
      <c r="AD136" s="3">
        <f>infections!AD136-infections!AC136</f>
        <v>0</v>
      </c>
      <c r="AE136" s="3">
        <f>infections!AE136-infections!AD136</f>
        <v>0</v>
      </c>
      <c r="AF136" s="3">
        <f>infections!AF136-infections!AE136</f>
        <v>0</v>
      </c>
      <c r="AG136" s="3">
        <f>infections!AG136-infections!AF136</f>
        <v>0</v>
      </c>
      <c r="AH136" s="3">
        <f>infections!AH136-infections!AG136</f>
        <v>0</v>
      </c>
      <c r="AI136" s="3">
        <f>infections!AI136-infections!AH136</f>
        <v>0</v>
      </c>
      <c r="AJ136" s="3">
        <f>infections!AJ136-infections!AI136</f>
        <v>0</v>
      </c>
      <c r="AK136" s="3">
        <f>infections!AK136-infections!AJ136</f>
        <v>0</v>
      </c>
      <c r="AL136" s="3">
        <f>infections!AL136-infections!AK136</f>
        <v>1</v>
      </c>
      <c r="AM136" s="3">
        <f>infections!AM136-infections!AL136</f>
        <v>0</v>
      </c>
      <c r="AN136" s="3">
        <f>infections!AN136-infections!AM136</f>
        <v>4</v>
      </c>
      <c r="AO136" s="3">
        <f>infections!AO136-infections!AN136</f>
        <v>2</v>
      </c>
      <c r="AP136" s="3">
        <f>infections!AP136-infections!AO136</f>
        <v>0</v>
      </c>
      <c r="AQ136" s="3">
        <f>infections!AQ136-infections!AP136</f>
        <v>6</v>
      </c>
      <c r="AR136" s="3">
        <f>infections!AR136-infections!AQ136</f>
        <v>6</v>
      </c>
      <c r="AS136" s="3">
        <f>infections!AS136-infections!AR136</f>
        <v>7</v>
      </c>
      <c r="AT136" s="3">
        <f>infections!AT136-infections!AS136</f>
        <v>6</v>
      </c>
      <c r="AU136" s="3">
        <f>infections!AU136-infections!AT136</f>
        <v>3</v>
      </c>
      <c r="AV136" s="3">
        <f>infections!AV136-infections!AU136</f>
        <v>0</v>
      </c>
      <c r="AW136" s="3">
        <f>infections!AW136-infections!AV136</f>
        <v>5</v>
      </c>
      <c r="AX136" s="3">
        <f>infections!AX136-infections!AW136</f>
        <v>14</v>
      </c>
      <c r="AY136" s="3">
        <f>infections!AY136-infections!AX136</f>
        <v>6</v>
      </c>
      <c r="AZ136" s="3">
        <f>infections!AZ136-infections!AY136</f>
        <v>0</v>
      </c>
      <c r="BA136" s="3">
        <f>infections!BA136-infections!AZ136</f>
        <v>11</v>
      </c>
      <c r="BB136" s="3">
        <f>infections!BB136-infections!BA136</f>
        <v>0</v>
      </c>
      <c r="BC136" s="3">
        <f>infections!BC136-infections!BB136</f>
        <v>0</v>
      </c>
      <c r="BD136" s="3">
        <f>infections!BD136-infections!BC136</f>
        <v>30</v>
      </c>
      <c r="BE136" s="3">
        <f>infections!BE136-infections!BD136</f>
        <v>9</v>
      </c>
      <c r="BF136" s="3">
        <f>infections!BF136-infections!BE136</f>
        <v>6</v>
      </c>
      <c r="BG136" s="3">
        <f>infections!BG136-infections!BF136</f>
        <v>8</v>
      </c>
      <c r="BH136" s="3">
        <f>infections!BH136-infections!BG136</f>
        <v>30</v>
      </c>
      <c r="BI136" s="3">
        <f>infections!BI136-infections!BH136</f>
        <v>10</v>
      </c>
      <c r="BJ136" s="3">
        <f>infections!BJ136-infections!BI136</f>
        <v>28</v>
      </c>
      <c r="BK136" s="3">
        <f>infections!BK136-infections!BJ136</f>
        <v>16</v>
      </c>
      <c r="BL136" s="3">
        <f>infections!BL136-infections!BK136</f>
        <v>6</v>
      </c>
      <c r="BM136" s="3">
        <f>infections!BM136-infections!BL136</f>
        <v>19</v>
      </c>
      <c r="BN136" s="3">
        <f>infections!BN136-infections!BM136</f>
        <v>33</v>
      </c>
      <c r="BO136" s="3">
        <f>infections!BO136-infections!BN136</f>
        <v>50</v>
      </c>
      <c r="BP136" s="3">
        <f>infections!BP136-infections!BO136</f>
        <v>30</v>
      </c>
      <c r="BQ136" s="3">
        <f>infections!BQ136-infections!BP136</f>
        <v>36</v>
      </c>
      <c r="BR136" s="3">
        <f>infections!BR136-infections!BQ136</f>
        <v>76</v>
      </c>
      <c r="BS136" s="3">
        <f>infections!BS136-infections!BR136</f>
        <v>48</v>
      </c>
      <c r="BT136" s="3">
        <f>infections!BT136-infections!BS136</f>
        <v>41</v>
      </c>
      <c r="BU136" s="3">
        <f>infections!BU136-infections!BT136</f>
        <v>83</v>
      </c>
      <c r="BV136" s="3">
        <f>infections!BV136-infections!BU136</f>
        <v>64</v>
      </c>
      <c r="BW136" s="3">
        <f>infections!BW136-infections!BV136</f>
        <v>34</v>
      </c>
      <c r="BX136" s="3">
        <f>infections!BX136-infections!BW136</f>
        <v>44</v>
      </c>
      <c r="BY136" s="3">
        <f>infections!BY136-infections!BX136</f>
        <v>48</v>
      </c>
    </row>
    <row r="137">
      <c r="B137" s="1" t="str">
        <f>infections!B137</f>
        <v>Ireland</v>
      </c>
      <c r="C137" s="4">
        <f>infections!C137</f>
        <v>53.1424</v>
      </c>
      <c r="D137" s="4">
        <f>infections!D137</f>
        <v>-7.6921</v>
      </c>
      <c r="E137" s="4">
        <f>infections!E137</f>
        <v>0</v>
      </c>
      <c r="F137" s="3">
        <f>infections!F137-infections!E137</f>
        <v>0</v>
      </c>
      <c r="G137" s="3">
        <f>infections!G137-infections!F137</f>
        <v>0</v>
      </c>
      <c r="H137" s="3">
        <f>infections!H137-infections!G137</f>
        <v>0</v>
      </c>
      <c r="I137" s="3">
        <f>infections!I137-infections!H137</f>
        <v>0</v>
      </c>
      <c r="J137" s="3">
        <f>infections!J137-infections!I137</f>
        <v>0</v>
      </c>
      <c r="K137" s="3">
        <f>infections!K137-infections!J137</f>
        <v>0</v>
      </c>
      <c r="L137" s="3">
        <f>infections!L137-infections!K137</f>
        <v>0</v>
      </c>
      <c r="M137" s="3">
        <f>infections!M137-infections!L137</f>
        <v>0</v>
      </c>
      <c r="N137" s="3">
        <f>infections!N137-infections!M137</f>
        <v>0</v>
      </c>
      <c r="O137" s="3">
        <f>infections!O137-infections!N137</f>
        <v>0</v>
      </c>
      <c r="P137" s="3">
        <f>infections!P137-infections!O137</f>
        <v>0</v>
      </c>
      <c r="Q137" s="3">
        <f>infections!Q137-infections!P137</f>
        <v>0</v>
      </c>
      <c r="R137" s="3">
        <f>infections!R137-infections!Q137</f>
        <v>0</v>
      </c>
      <c r="S137" s="3">
        <f>infections!S137-infections!R137</f>
        <v>0</v>
      </c>
      <c r="T137" s="3">
        <f>infections!T137-infections!S137</f>
        <v>0</v>
      </c>
      <c r="U137" s="3">
        <f>infections!U137-infections!T137</f>
        <v>0</v>
      </c>
      <c r="V137" s="3">
        <f>infections!V137-infections!U137</f>
        <v>0</v>
      </c>
      <c r="W137" s="3">
        <f>infections!W137-infections!V137</f>
        <v>0</v>
      </c>
      <c r="X137" s="3">
        <f>infections!X137-infections!W137</f>
        <v>0</v>
      </c>
      <c r="Y137" s="3">
        <f>infections!Y137-infections!X137</f>
        <v>0</v>
      </c>
      <c r="Z137" s="3">
        <f>infections!Z137-infections!Y137</f>
        <v>0</v>
      </c>
      <c r="AA137" s="3">
        <f>infections!AA137-infections!Z137</f>
        <v>0</v>
      </c>
      <c r="AB137" s="3">
        <f>infections!AB137-infections!AA137</f>
        <v>0</v>
      </c>
      <c r="AC137" s="3">
        <f>infections!AC137-infections!AB137</f>
        <v>0</v>
      </c>
      <c r="AD137" s="3">
        <f>infections!AD137-infections!AC137</f>
        <v>0</v>
      </c>
      <c r="AE137" s="3">
        <f>infections!AE137-infections!AD137</f>
        <v>0</v>
      </c>
      <c r="AF137" s="3">
        <f>infections!AF137-infections!AE137</f>
        <v>0</v>
      </c>
      <c r="AG137" s="3">
        <f>infections!AG137-infections!AF137</f>
        <v>0</v>
      </c>
      <c r="AH137" s="3">
        <f>infections!AH137-infections!AG137</f>
        <v>0</v>
      </c>
      <c r="AI137" s="3">
        <f>infections!AI137-infections!AH137</f>
        <v>0</v>
      </c>
      <c r="AJ137" s="3">
        <f>infections!AJ137-infections!AI137</f>
        <v>0</v>
      </c>
      <c r="AK137" s="3">
        <f>infections!AK137-infections!AJ137</f>
        <v>0</v>
      </c>
      <c r="AL137" s="3">
        <f>infections!AL137-infections!AK137</f>
        <v>0</v>
      </c>
      <c r="AM137" s="3">
        <f>infections!AM137-infections!AL137</f>
        <v>0</v>
      </c>
      <c r="AN137" s="3">
        <f>infections!AN137-infections!AM137</f>
        <v>0</v>
      </c>
      <c r="AO137" s="3">
        <f>infections!AO137-infections!AN137</f>
        <v>0</v>
      </c>
      <c r="AP137" s="3">
        <f>infections!AP137-infections!AO137</f>
        <v>0</v>
      </c>
      <c r="AQ137" s="3">
        <f>infections!AQ137-infections!AP137</f>
        <v>1</v>
      </c>
      <c r="AR137" s="3">
        <f>infections!AR137-infections!AQ137</f>
        <v>0</v>
      </c>
      <c r="AS137" s="3">
        <f>infections!AS137-infections!AR137</f>
        <v>0</v>
      </c>
      <c r="AT137" s="3">
        <f>infections!AT137-infections!AS137</f>
        <v>1</v>
      </c>
      <c r="AU137" s="3">
        <f>infections!AU137-infections!AT137</f>
        <v>4</v>
      </c>
      <c r="AV137" s="3">
        <f>infections!AV137-infections!AU137</f>
        <v>0</v>
      </c>
      <c r="AW137" s="3">
        <f>infections!AW137-infections!AV137</f>
        <v>12</v>
      </c>
      <c r="AX137" s="3">
        <f>infections!AX137-infections!AW137</f>
        <v>0</v>
      </c>
      <c r="AY137" s="3">
        <f>infections!AY137-infections!AX137</f>
        <v>1</v>
      </c>
      <c r="AZ137" s="3">
        <f>infections!AZ137-infections!AY137</f>
        <v>2</v>
      </c>
      <c r="BA137" s="3">
        <f>infections!BA137-infections!AZ137</f>
        <v>13</v>
      </c>
      <c r="BB137" s="3">
        <f>infections!BB137-infections!BA137</f>
        <v>9</v>
      </c>
      <c r="BC137" s="3">
        <f>infections!BC137-infections!BB137</f>
        <v>0</v>
      </c>
      <c r="BD137" s="3">
        <f>infections!BD137-infections!BC137</f>
        <v>47</v>
      </c>
      <c r="BE137" s="3">
        <f>infections!BE137-infections!BD137</f>
        <v>39</v>
      </c>
      <c r="BF137" s="3">
        <f>infections!BF137-infections!BE137</f>
        <v>0</v>
      </c>
      <c r="BG137" s="3">
        <f>infections!BG137-infections!BF137</f>
        <v>40</v>
      </c>
      <c r="BH137" s="3">
        <f>infections!BH137-infections!BG137</f>
        <v>54</v>
      </c>
      <c r="BI137" s="3">
        <f>infections!BI137-infections!BH137</f>
        <v>69</v>
      </c>
      <c r="BJ137" s="3">
        <f>infections!BJ137-infections!BI137</f>
        <v>265</v>
      </c>
      <c r="BK137" s="3">
        <f>infections!BK137-infections!BJ137</f>
        <v>126</v>
      </c>
      <c r="BL137" s="3">
        <f>infections!BL137-infections!BK137</f>
        <v>102</v>
      </c>
      <c r="BM137" s="3">
        <f>infections!BM137-infections!BL137</f>
        <v>121</v>
      </c>
      <c r="BN137" s="3">
        <f>infections!BN137-infections!BM137</f>
        <v>219</v>
      </c>
      <c r="BO137" s="3">
        <f>infections!BO137-infections!BN137</f>
        <v>204</v>
      </c>
      <c r="BP137" s="3">
        <f>infections!BP137-infections!BO137</f>
        <v>235</v>
      </c>
      <c r="BQ137" s="3">
        <f>infections!BQ137-infections!BP137</f>
        <v>255</v>
      </c>
      <c r="BR137" s="3">
        <f>infections!BR137-infections!BQ137</f>
        <v>302</v>
      </c>
      <c r="BS137" s="3">
        <f>infections!BS137-infections!BR137</f>
        <v>294</v>
      </c>
      <c r="BT137" s="3">
        <f>infections!BT137-infections!BS137</f>
        <v>200</v>
      </c>
      <c r="BU137" s="3">
        <f>infections!BU137-infections!BT137</f>
        <v>295</v>
      </c>
      <c r="BV137" s="3">
        <f>infections!BV137-infections!BU137</f>
        <v>325</v>
      </c>
      <c r="BW137" s="3">
        <f>infections!BW137-infections!BV137</f>
        <v>212</v>
      </c>
      <c r="BX137" s="3">
        <f>infections!BX137-infections!BW137</f>
        <v>402</v>
      </c>
      <c r="BY137" s="3">
        <f>infections!BY137-infections!BX137</f>
        <v>424</v>
      </c>
    </row>
    <row r="138">
      <c r="B138" s="1" t="str">
        <f>infections!B138</f>
        <v>Israel</v>
      </c>
      <c r="C138" s="4">
        <f>infections!C138</f>
        <v>31</v>
      </c>
      <c r="D138" s="4">
        <f>infections!D138</f>
        <v>35</v>
      </c>
      <c r="E138" s="4">
        <f>infections!E138</f>
        <v>0</v>
      </c>
      <c r="F138" s="3">
        <f>infections!F138-infections!E138</f>
        <v>0</v>
      </c>
      <c r="G138" s="3">
        <f>infections!G138-infections!F138</f>
        <v>0</v>
      </c>
      <c r="H138" s="3">
        <f>infections!H138-infections!G138</f>
        <v>0</v>
      </c>
      <c r="I138" s="3">
        <f>infections!I138-infections!H138</f>
        <v>0</v>
      </c>
      <c r="J138" s="3">
        <f>infections!J138-infections!I138</f>
        <v>0</v>
      </c>
      <c r="K138" s="3">
        <f>infections!K138-infections!J138</f>
        <v>0</v>
      </c>
      <c r="L138" s="3">
        <f>infections!L138-infections!K138</f>
        <v>0</v>
      </c>
      <c r="M138" s="3">
        <f>infections!M138-infections!L138</f>
        <v>0</v>
      </c>
      <c r="N138" s="3">
        <f>infections!N138-infections!M138</f>
        <v>0</v>
      </c>
      <c r="O138" s="3">
        <f>infections!O138-infections!N138</f>
        <v>0</v>
      </c>
      <c r="P138" s="3">
        <f>infections!P138-infections!O138</f>
        <v>0</v>
      </c>
      <c r="Q138" s="3">
        <f>infections!Q138-infections!P138</f>
        <v>0</v>
      </c>
      <c r="R138" s="3">
        <f>infections!R138-infections!Q138</f>
        <v>0</v>
      </c>
      <c r="S138" s="3">
        <f>infections!S138-infections!R138</f>
        <v>0</v>
      </c>
      <c r="T138" s="3">
        <f>infections!T138-infections!S138</f>
        <v>0</v>
      </c>
      <c r="U138" s="3">
        <f>infections!U138-infections!T138</f>
        <v>0</v>
      </c>
      <c r="V138" s="3">
        <f>infections!V138-infections!U138</f>
        <v>0</v>
      </c>
      <c r="W138" s="3">
        <f>infections!W138-infections!V138</f>
        <v>0</v>
      </c>
      <c r="X138" s="3">
        <f>infections!X138-infections!W138</f>
        <v>0</v>
      </c>
      <c r="Y138" s="3">
        <f>infections!Y138-infections!X138</f>
        <v>0</v>
      </c>
      <c r="Z138" s="3">
        <f>infections!Z138-infections!Y138</f>
        <v>0</v>
      </c>
      <c r="AA138" s="3">
        <f>infections!AA138-infections!Z138</f>
        <v>0</v>
      </c>
      <c r="AB138" s="3">
        <f>infections!AB138-infections!AA138</f>
        <v>0</v>
      </c>
      <c r="AC138" s="3">
        <f>infections!AC138-infections!AB138</f>
        <v>0</v>
      </c>
      <c r="AD138" s="3">
        <f>infections!AD138-infections!AC138</f>
        <v>0</v>
      </c>
      <c r="AE138" s="3">
        <f>infections!AE138-infections!AD138</f>
        <v>0</v>
      </c>
      <c r="AF138" s="3">
        <f>infections!AF138-infections!AE138</f>
        <v>0</v>
      </c>
      <c r="AG138" s="3">
        <f>infections!AG138-infections!AF138</f>
        <v>0</v>
      </c>
      <c r="AH138" s="3">
        <f>infections!AH138-infections!AG138</f>
        <v>0</v>
      </c>
      <c r="AI138" s="3">
        <f>infections!AI138-infections!AH138</f>
        <v>1</v>
      </c>
      <c r="AJ138" s="3">
        <f>infections!AJ138-infections!AI138</f>
        <v>0</v>
      </c>
      <c r="AK138" s="3">
        <f>infections!AK138-infections!AJ138</f>
        <v>0</v>
      </c>
      <c r="AL138" s="3">
        <f>infections!AL138-infections!AK138</f>
        <v>0</v>
      </c>
      <c r="AM138" s="3">
        <f>infections!AM138-infections!AL138</f>
        <v>0</v>
      </c>
      <c r="AN138" s="3">
        <f>infections!AN138-infections!AM138</f>
        <v>1</v>
      </c>
      <c r="AO138" s="3">
        <f>infections!AO138-infections!AN138</f>
        <v>1</v>
      </c>
      <c r="AP138" s="3">
        <f>infections!AP138-infections!AO138</f>
        <v>1</v>
      </c>
      <c r="AQ138" s="3">
        <f>infections!AQ138-infections!AP138</f>
        <v>3</v>
      </c>
      <c r="AR138" s="3">
        <f>infections!AR138-infections!AQ138</f>
        <v>3</v>
      </c>
      <c r="AS138" s="3">
        <f>infections!AS138-infections!AR138</f>
        <v>0</v>
      </c>
      <c r="AT138" s="3">
        <f>infections!AT138-infections!AS138</f>
        <v>2</v>
      </c>
      <c r="AU138" s="3">
        <f>infections!AU138-infections!AT138</f>
        <v>3</v>
      </c>
      <c r="AV138" s="3">
        <f>infections!AV138-infections!AU138</f>
        <v>5</v>
      </c>
      <c r="AW138" s="3">
        <f>infections!AW138-infections!AV138</f>
        <v>17</v>
      </c>
      <c r="AX138" s="3">
        <f>infections!AX138-infections!AW138</f>
        <v>6</v>
      </c>
      <c r="AY138" s="3">
        <f>infections!AY138-infections!AX138</f>
        <v>18</v>
      </c>
      <c r="AZ138" s="3">
        <f>infections!AZ138-infections!AY138</f>
        <v>0</v>
      </c>
      <c r="BA138" s="3">
        <f>infections!BA138-infections!AZ138</f>
        <v>14</v>
      </c>
      <c r="BB138" s="3">
        <f>infections!BB138-infections!BA138</f>
        <v>4</v>
      </c>
      <c r="BC138" s="3">
        <f>infections!BC138-infections!BB138</f>
        <v>21</v>
      </c>
      <c r="BD138" s="3">
        <f>infections!BD138-infections!BC138</f>
        <v>26</v>
      </c>
      <c r="BE138" s="3">
        <f>infections!BE138-infections!BD138</f>
        <v>29</v>
      </c>
      <c r="BF138" s="3">
        <f>infections!BF138-infections!BE138</f>
        <v>58</v>
      </c>
      <c r="BG138" s="3">
        <f>infections!BG138-infections!BF138</f>
        <v>5</v>
      </c>
      <c r="BH138" s="3">
        <f>infections!BH138-infections!BG138</f>
        <v>32</v>
      </c>
      <c r="BI138" s="3">
        <f>infections!BI138-infections!BH138</f>
        <v>54</v>
      </c>
      <c r="BJ138" s="3">
        <f>infections!BJ138-infections!BI138</f>
        <v>123</v>
      </c>
      <c r="BK138" s="3">
        <f>infections!BK138-infections!BJ138</f>
        <v>102</v>
      </c>
      <c r="BL138" s="3">
        <f>infections!BL138-infections!BK138</f>
        <v>183</v>
      </c>
      <c r="BM138" s="3">
        <f>infections!BM138-infections!BL138</f>
        <v>171</v>
      </c>
      <c r="BN138" s="3">
        <f>infections!BN138-infections!BM138</f>
        <v>188</v>
      </c>
      <c r="BO138" s="3">
        <f>infections!BO138-infections!BN138</f>
        <v>167</v>
      </c>
      <c r="BP138" s="3">
        <f>infections!BP138-infections!BO138</f>
        <v>1131</v>
      </c>
      <c r="BQ138" s="3">
        <f>infections!BQ138-infections!BP138</f>
        <v>324</v>
      </c>
      <c r="BR138" s="3">
        <f>infections!BR138-infections!BQ138</f>
        <v>342</v>
      </c>
      <c r="BS138" s="3">
        <f>infections!BS138-infections!BR138</f>
        <v>584</v>
      </c>
      <c r="BT138" s="3">
        <f>infections!BT138-infections!BS138</f>
        <v>628</v>
      </c>
      <c r="BU138" s="3">
        <f>infections!BU138-infections!BT138</f>
        <v>448</v>
      </c>
      <c r="BV138" s="3">
        <f>infections!BV138-infections!BU138</f>
        <v>663</v>
      </c>
      <c r="BW138" s="3">
        <f>infections!BW138-infections!BV138</f>
        <v>734</v>
      </c>
      <c r="BX138" s="3">
        <f>infections!BX138-infections!BW138</f>
        <v>765</v>
      </c>
      <c r="BY138" s="3">
        <f>infections!BY138-infections!BX138</f>
        <v>571</v>
      </c>
    </row>
    <row r="139">
      <c r="B139" s="1" t="str">
        <f>infections!B139</f>
        <v>Italy</v>
      </c>
      <c r="C139" s="4">
        <f>infections!C139</f>
        <v>43</v>
      </c>
      <c r="D139" s="4">
        <f>infections!D139</f>
        <v>12</v>
      </c>
      <c r="E139" s="4">
        <f>infections!E139</f>
        <v>0</v>
      </c>
      <c r="F139" s="3">
        <f>infections!F139-infections!E139</f>
        <v>0</v>
      </c>
      <c r="G139" s="3">
        <f>infections!G139-infections!F139</f>
        <v>0</v>
      </c>
      <c r="H139" s="3">
        <f>infections!H139-infections!G139</f>
        <v>0</v>
      </c>
      <c r="I139" s="3">
        <f>infections!I139-infections!H139</f>
        <v>0</v>
      </c>
      <c r="J139" s="3">
        <f>infections!J139-infections!I139</f>
        <v>0</v>
      </c>
      <c r="K139" s="3">
        <f>infections!K139-infections!J139</f>
        <v>0</v>
      </c>
      <c r="L139" s="3">
        <f>infections!L139-infections!K139</f>
        <v>0</v>
      </c>
      <c r="M139" s="3">
        <f>infections!M139-infections!L139</f>
        <v>0</v>
      </c>
      <c r="N139" s="3">
        <f>infections!N139-infections!M139</f>
        <v>2</v>
      </c>
      <c r="O139" s="3">
        <f>infections!O139-infections!N139</f>
        <v>0</v>
      </c>
      <c r="P139" s="3">
        <f>infections!P139-infections!O139</f>
        <v>0</v>
      </c>
      <c r="Q139" s="3">
        <f>infections!Q139-infections!P139</f>
        <v>0</v>
      </c>
      <c r="R139" s="3">
        <f>infections!R139-infections!Q139</f>
        <v>0</v>
      </c>
      <c r="S139" s="3">
        <f>infections!S139-infections!R139</f>
        <v>0</v>
      </c>
      <c r="T139" s="3">
        <f>infections!T139-infections!S139</f>
        <v>0</v>
      </c>
      <c r="U139" s="3">
        <f>infections!U139-infections!T139</f>
        <v>1</v>
      </c>
      <c r="V139" s="3">
        <f>infections!V139-infections!U139</f>
        <v>0</v>
      </c>
      <c r="W139" s="3">
        <f>infections!W139-infections!V139</f>
        <v>0</v>
      </c>
      <c r="X139" s="3">
        <f>infections!X139-infections!W139</f>
        <v>0</v>
      </c>
      <c r="Y139" s="3">
        <f>infections!Y139-infections!X139</f>
        <v>0</v>
      </c>
      <c r="Z139" s="3">
        <f>infections!Z139-infections!Y139</f>
        <v>0</v>
      </c>
      <c r="AA139" s="3">
        <f>infections!AA139-infections!Z139</f>
        <v>0</v>
      </c>
      <c r="AB139" s="3">
        <f>infections!AB139-infections!AA139</f>
        <v>0</v>
      </c>
      <c r="AC139" s="3">
        <f>infections!AC139-infections!AB139</f>
        <v>0</v>
      </c>
      <c r="AD139" s="3">
        <f>infections!AD139-infections!AC139</f>
        <v>0</v>
      </c>
      <c r="AE139" s="3">
        <f>infections!AE139-infections!AD139</f>
        <v>0</v>
      </c>
      <c r="AF139" s="3">
        <f>infections!AF139-infections!AE139</f>
        <v>0</v>
      </c>
      <c r="AG139" s="3">
        <f>infections!AG139-infections!AF139</f>
        <v>0</v>
      </c>
      <c r="AH139" s="3">
        <f>infections!AH139-infections!AG139</f>
        <v>0</v>
      </c>
      <c r="AI139" s="3">
        <f>infections!AI139-infections!AH139</f>
        <v>17</v>
      </c>
      <c r="AJ139" s="3">
        <f>infections!AJ139-infections!AI139</f>
        <v>42</v>
      </c>
      <c r="AK139" s="3">
        <f>infections!AK139-infections!AJ139</f>
        <v>93</v>
      </c>
      <c r="AL139" s="3">
        <f>infections!AL139-infections!AK139</f>
        <v>74</v>
      </c>
      <c r="AM139" s="3">
        <f>infections!AM139-infections!AL139</f>
        <v>93</v>
      </c>
      <c r="AN139" s="3">
        <f>infections!AN139-infections!AM139</f>
        <v>131</v>
      </c>
      <c r="AO139" s="3">
        <f>infections!AO139-infections!AN139</f>
        <v>202</v>
      </c>
      <c r="AP139" s="3">
        <f>infections!AP139-infections!AO139</f>
        <v>233</v>
      </c>
      <c r="AQ139" s="3">
        <f>infections!AQ139-infections!AP139</f>
        <v>240</v>
      </c>
      <c r="AR139" s="3">
        <f>infections!AR139-infections!AQ139</f>
        <v>566</v>
      </c>
      <c r="AS139" s="3">
        <f>infections!AS139-infections!AR139</f>
        <v>342</v>
      </c>
      <c r="AT139" s="3">
        <f>infections!AT139-infections!AS139</f>
        <v>466</v>
      </c>
      <c r="AU139" s="3">
        <f>infections!AU139-infections!AT139</f>
        <v>587</v>
      </c>
      <c r="AV139" s="3">
        <f>infections!AV139-infections!AU139</f>
        <v>769</v>
      </c>
      <c r="AW139" s="3">
        <f>infections!AW139-infections!AV139</f>
        <v>778</v>
      </c>
      <c r="AX139" s="3">
        <f>infections!AX139-infections!AW139</f>
        <v>1247</v>
      </c>
      <c r="AY139" s="3">
        <f>infections!AY139-infections!AX139</f>
        <v>1492</v>
      </c>
      <c r="AZ139" s="3">
        <f>infections!AZ139-infections!AY139</f>
        <v>1797</v>
      </c>
      <c r="BA139" s="3">
        <f>infections!BA139-infections!AZ139</f>
        <v>977</v>
      </c>
      <c r="BB139" s="3">
        <f>infections!BB139-infections!BA139</f>
        <v>2313</v>
      </c>
      <c r="BC139" s="3">
        <f>infections!BC139-infections!BB139</f>
        <v>0</v>
      </c>
      <c r="BD139" s="3">
        <f>infections!BD139-infections!BC139</f>
        <v>5198</v>
      </c>
      <c r="BE139" s="3">
        <f>infections!BE139-infections!BD139</f>
        <v>3497</v>
      </c>
      <c r="BF139" s="3">
        <f>infections!BF139-infections!BE139</f>
        <v>3590</v>
      </c>
      <c r="BG139" s="3">
        <f>infections!BG139-infections!BF139</f>
        <v>3233</v>
      </c>
      <c r="BH139" s="3">
        <f>infections!BH139-infections!BG139</f>
        <v>3526</v>
      </c>
      <c r="BI139" s="3">
        <f>infections!BI139-infections!BH139</f>
        <v>4207</v>
      </c>
      <c r="BJ139" s="3">
        <f>infections!BJ139-infections!BI139</f>
        <v>5322</v>
      </c>
      <c r="BK139" s="3">
        <f>infections!BK139-infections!BJ139</f>
        <v>5986</v>
      </c>
      <c r="BL139" s="3">
        <f>infections!BL139-infections!BK139</f>
        <v>6557</v>
      </c>
      <c r="BM139" s="3">
        <f>infections!BM139-infections!BL139</f>
        <v>5560</v>
      </c>
      <c r="BN139" s="3">
        <f>infections!BN139-infections!BM139</f>
        <v>4789</v>
      </c>
      <c r="BO139" s="3">
        <f>infections!BO139-infections!BN139</f>
        <v>5249</v>
      </c>
      <c r="BP139" s="3">
        <f>infections!BP139-infections!BO139</f>
        <v>5210</v>
      </c>
      <c r="BQ139" s="3">
        <f>infections!BQ139-infections!BP139</f>
        <v>6203</v>
      </c>
      <c r="BR139" s="3">
        <f>infections!BR139-infections!BQ139</f>
        <v>5909</v>
      </c>
      <c r="BS139" s="3">
        <f>infections!BS139-infections!BR139</f>
        <v>5974</v>
      </c>
      <c r="BT139" s="3">
        <f>infections!BT139-infections!BS139</f>
        <v>5217</v>
      </c>
      <c r="BU139" s="3">
        <f>infections!BU139-infections!BT139</f>
        <v>4050</v>
      </c>
      <c r="BV139" s="3">
        <f>infections!BV139-infections!BU139</f>
        <v>4053</v>
      </c>
      <c r="BW139" s="3">
        <f>infections!BW139-infections!BV139</f>
        <v>4782</v>
      </c>
      <c r="BX139" s="3">
        <f>infections!BX139-infections!BW139</f>
        <v>4668</v>
      </c>
      <c r="BY139" s="3">
        <f>infections!BY139-infections!BX139</f>
        <v>4585</v>
      </c>
    </row>
    <row r="140">
      <c r="B140" s="1" t="str">
        <f>infections!B140</f>
        <v>Jamaica</v>
      </c>
      <c r="C140" s="4">
        <f>infections!C140</f>
        <v>18.1096</v>
      </c>
      <c r="D140" s="4">
        <f>infections!D140</f>
        <v>-77.2975</v>
      </c>
      <c r="E140" s="4">
        <f>infections!E140</f>
        <v>0</v>
      </c>
      <c r="F140" s="3">
        <f>infections!F140-infections!E140</f>
        <v>0</v>
      </c>
      <c r="G140" s="3">
        <f>infections!G140-infections!F140</f>
        <v>0</v>
      </c>
      <c r="H140" s="3">
        <f>infections!H140-infections!G140</f>
        <v>0</v>
      </c>
      <c r="I140" s="3">
        <f>infections!I140-infections!H140</f>
        <v>0</v>
      </c>
      <c r="J140" s="3">
        <f>infections!J140-infections!I140</f>
        <v>0</v>
      </c>
      <c r="K140" s="3">
        <f>infections!K140-infections!J140</f>
        <v>0</v>
      </c>
      <c r="L140" s="3">
        <f>infections!L140-infections!K140</f>
        <v>0</v>
      </c>
      <c r="M140" s="3">
        <f>infections!M140-infections!L140</f>
        <v>0</v>
      </c>
      <c r="N140" s="3">
        <f>infections!N140-infections!M140</f>
        <v>0</v>
      </c>
      <c r="O140" s="3">
        <f>infections!O140-infections!N140</f>
        <v>0</v>
      </c>
      <c r="P140" s="3">
        <f>infections!P140-infections!O140</f>
        <v>0</v>
      </c>
      <c r="Q140" s="3">
        <f>infections!Q140-infections!P140</f>
        <v>0</v>
      </c>
      <c r="R140" s="3">
        <f>infections!R140-infections!Q140</f>
        <v>0</v>
      </c>
      <c r="S140" s="3">
        <f>infections!S140-infections!R140</f>
        <v>0</v>
      </c>
      <c r="T140" s="3">
        <f>infections!T140-infections!S140</f>
        <v>0</v>
      </c>
      <c r="U140" s="3">
        <f>infections!U140-infections!T140</f>
        <v>0</v>
      </c>
      <c r="V140" s="3">
        <f>infections!V140-infections!U140</f>
        <v>0</v>
      </c>
      <c r="W140" s="3">
        <f>infections!W140-infections!V140</f>
        <v>0</v>
      </c>
      <c r="X140" s="3">
        <f>infections!X140-infections!W140</f>
        <v>0</v>
      </c>
      <c r="Y140" s="3">
        <f>infections!Y140-infections!X140</f>
        <v>0</v>
      </c>
      <c r="Z140" s="3">
        <f>infections!Z140-infections!Y140</f>
        <v>0</v>
      </c>
      <c r="AA140" s="3">
        <f>infections!AA140-infections!Z140</f>
        <v>0</v>
      </c>
      <c r="AB140" s="3">
        <f>infections!AB140-infections!AA140</f>
        <v>0</v>
      </c>
      <c r="AC140" s="3">
        <f>infections!AC140-infections!AB140</f>
        <v>0</v>
      </c>
      <c r="AD140" s="3">
        <f>infections!AD140-infections!AC140</f>
        <v>0</v>
      </c>
      <c r="AE140" s="3">
        <f>infections!AE140-infections!AD140</f>
        <v>0</v>
      </c>
      <c r="AF140" s="3">
        <f>infections!AF140-infections!AE140</f>
        <v>0</v>
      </c>
      <c r="AG140" s="3">
        <f>infections!AG140-infections!AF140</f>
        <v>0</v>
      </c>
      <c r="AH140" s="3">
        <f>infections!AH140-infections!AG140</f>
        <v>0</v>
      </c>
      <c r="AI140" s="3">
        <f>infections!AI140-infections!AH140</f>
        <v>0</v>
      </c>
      <c r="AJ140" s="3">
        <f>infections!AJ140-infections!AI140</f>
        <v>0</v>
      </c>
      <c r="AK140" s="3">
        <f>infections!AK140-infections!AJ140</f>
        <v>0</v>
      </c>
      <c r="AL140" s="3">
        <f>infections!AL140-infections!AK140</f>
        <v>0</v>
      </c>
      <c r="AM140" s="3">
        <f>infections!AM140-infections!AL140</f>
        <v>0</v>
      </c>
      <c r="AN140" s="3">
        <f>infections!AN140-infections!AM140</f>
        <v>0</v>
      </c>
      <c r="AO140" s="3">
        <f>infections!AO140-infections!AN140</f>
        <v>0</v>
      </c>
      <c r="AP140" s="3">
        <f>infections!AP140-infections!AO140</f>
        <v>0</v>
      </c>
      <c r="AQ140" s="3">
        <f>infections!AQ140-infections!AP140</f>
        <v>0</v>
      </c>
      <c r="AR140" s="3">
        <f>infections!AR140-infections!AQ140</f>
        <v>0</v>
      </c>
      <c r="AS140" s="3">
        <f>infections!AS140-infections!AR140</f>
        <v>0</v>
      </c>
      <c r="AT140" s="3">
        <f>infections!AT140-infections!AS140</f>
        <v>0</v>
      </c>
      <c r="AU140" s="3">
        <f>infections!AU140-infections!AT140</f>
        <v>0</v>
      </c>
      <c r="AV140" s="3">
        <f>infections!AV140-infections!AU140</f>
        <v>0</v>
      </c>
      <c r="AW140" s="3">
        <f>infections!AW140-infections!AV140</f>
        <v>0</v>
      </c>
      <c r="AX140" s="3">
        <f>infections!AX140-infections!AW140</f>
        <v>0</v>
      </c>
      <c r="AY140" s="3">
        <f>infections!AY140-infections!AX140</f>
        <v>0</v>
      </c>
      <c r="AZ140" s="3">
        <f>infections!AZ140-infections!AY140</f>
        <v>0</v>
      </c>
      <c r="BA140" s="3">
        <f>infections!BA140-infections!AZ140</f>
        <v>0</v>
      </c>
      <c r="BB140" s="3">
        <f>infections!BB140-infections!BA140</f>
        <v>1</v>
      </c>
      <c r="BC140" s="3">
        <f>infections!BC140-infections!BB140</f>
        <v>1</v>
      </c>
      <c r="BD140" s="3">
        <f>infections!BD140-infections!BC140</f>
        <v>6</v>
      </c>
      <c r="BE140" s="3">
        <f>infections!BE140-infections!BD140</f>
        <v>0</v>
      </c>
      <c r="BF140" s="3">
        <f>infections!BF140-infections!BE140</f>
        <v>2</v>
      </c>
      <c r="BG140" s="3">
        <f>infections!BG140-infections!BF140</f>
        <v>0</v>
      </c>
      <c r="BH140" s="3">
        <f>infections!BH140-infections!BG140</f>
        <v>2</v>
      </c>
      <c r="BI140" s="3">
        <f>infections!BI140-infections!BH140</f>
        <v>1</v>
      </c>
      <c r="BJ140" s="3">
        <f>infections!BJ140-infections!BI140</f>
        <v>2</v>
      </c>
      <c r="BK140" s="3">
        <f>infections!BK140-infections!BJ140</f>
        <v>1</v>
      </c>
      <c r="BL140" s="3">
        <f>infections!BL140-infections!BK140</f>
        <v>0</v>
      </c>
      <c r="BM140" s="3">
        <f>infections!BM140-infections!BL140</f>
        <v>3</v>
      </c>
      <c r="BN140" s="3">
        <f>infections!BN140-infections!BM140</f>
        <v>0</v>
      </c>
      <c r="BO140" s="3">
        <f>infections!BO140-infections!BN140</f>
        <v>2</v>
      </c>
      <c r="BP140" s="3">
        <f>infections!BP140-infections!BO140</f>
        <v>5</v>
      </c>
      <c r="BQ140" s="3">
        <f>infections!BQ140-infections!BP140</f>
        <v>0</v>
      </c>
      <c r="BR140" s="3">
        <f>infections!BR140-infections!BQ140</f>
        <v>0</v>
      </c>
      <c r="BS140" s="3">
        <f>infections!BS140-infections!BR140</f>
        <v>4</v>
      </c>
      <c r="BT140" s="3">
        <f>infections!BT140-infections!BS140</f>
        <v>2</v>
      </c>
      <c r="BU140" s="3">
        <f>infections!BU140-infections!BT140</f>
        <v>4</v>
      </c>
      <c r="BV140" s="3">
        <f>infections!BV140-infections!BU140</f>
        <v>0</v>
      </c>
      <c r="BW140" s="3">
        <f>infections!BW140-infections!BV140</f>
        <v>8</v>
      </c>
      <c r="BX140" s="3">
        <f>infections!BX140-infections!BW140</f>
        <v>3</v>
      </c>
      <c r="BY140" s="3">
        <f>infections!BY140-infections!BX140</f>
        <v>0</v>
      </c>
    </row>
    <row r="141">
      <c r="B141" s="1" t="str">
        <f>infections!B141</f>
        <v>Japan</v>
      </c>
      <c r="C141" s="4">
        <f>infections!C141</f>
        <v>36</v>
      </c>
      <c r="D141" s="4">
        <f>infections!D141</f>
        <v>138</v>
      </c>
      <c r="E141" s="4">
        <f>infections!E141</f>
        <v>2</v>
      </c>
      <c r="F141" s="3">
        <f>infections!F141-infections!E141</f>
        <v>0</v>
      </c>
      <c r="G141" s="3">
        <f>infections!G141-infections!F141</f>
        <v>0</v>
      </c>
      <c r="H141" s="3">
        <f>infections!H141-infections!G141</f>
        <v>0</v>
      </c>
      <c r="I141" s="3">
        <f>infections!I141-infections!H141</f>
        <v>2</v>
      </c>
      <c r="J141" s="3">
        <f>infections!J141-infections!I141</f>
        <v>0</v>
      </c>
      <c r="K141" s="3">
        <f>infections!K141-infections!J141</f>
        <v>3</v>
      </c>
      <c r="L141" s="3">
        <f>infections!L141-infections!K141</f>
        <v>0</v>
      </c>
      <c r="M141" s="3">
        <f>infections!M141-infections!L141</f>
        <v>4</v>
      </c>
      <c r="N141" s="3">
        <f>infections!N141-infections!M141</f>
        <v>4</v>
      </c>
      <c r="O141" s="3">
        <f>infections!O141-infections!N141</f>
        <v>5</v>
      </c>
      <c r="P141" s="3">
        <f>infections!P141-infections!O141</f>
        <v>0</v>
      </c>
      <c r="Q141" s="3">
        <f>infections!Q141-infections!P141</f>
        <v>0</v>
      </c>
      <c r="R141" s="3">
        <f>infections!R141-infections!Q141</f>
        <v>2</v>
      </c>
      <c r="S141" s="3">
        <f>infections!S141-infections!R141</f>
        <v>0</v>
      </c>
      <c r="T141" s="3">
        <f>infections!T141-infections!S141</f>
        <v>0</v>
      </c>
      <c r="U141" s="3">
        <f>infections!U141-infections!T141</f>
        <v>3</v>
      </c>
      <c r="V141" s="3">
        <f>infections!V141-infections!U141</f>
        <v>0</v>
      </c>
      <c r="W141" s="3">
        <f>infections!W141-infections!V141</f>
        <v>1</v>
      </c>
      <c r="X141" s="3">
        <f>infections!X141-infections!W141</f>
        <v>0</v>
      </c>
      <c r="Y141" s="3">
        <f>infections!Y141-infections!X141</f>
        <v>0</v>
      </c>
      <c r="Z141" s="3">
        <f>infections!Z141-infections!Y141</f>
        <v>2</v>
      </c>
      <c r="AA141" s="3">
        <f>infections!AA141-infections!Z141</f>
        <v>0</v>
      </c>
      <c r="AB141" s="3">
        <f>infections!AB141-infections!AA141</f>
        <v>1</v>
      </c>
      <c r="AC141" s="3">
        <f>infections!AC141-infections!AB141</f>
        <v>14</v>
      </c>
      <c r="AD141" s="3">
        <f>infections!AD141-infections!AC141</f>
        <v>16</v>
      </c>
      <c r="AE141" s="3">
        <f>infections!AE141-infections!AD141</f>
        <v>7</v>
      </c>
      <c r="AF141" s="3">
        <f>infections!AF141-infections!AE141</f>
        <v>8</v>
      </c>
      <c r="AG141" s="3">
        <f>infections!AG141-infections!AF141</f>
        <v>10</v>
      </c>
      <c r="AH141" s="3">
        <f>infections!AH141-infections!AG141</f>
        <v>10</v>
      </c>
      <c r="AI141" s="3">
        <f>infections!AI141-infections!AH141</f>
        <v>11</v>
      </c>
      <c r="AJ141" s="3">
        <f>infections!AJ141-infections!AI141</f>
        <v>17</v>
      </c>
      <c r="AK141" s="3">
        <f>infections!AK141-infections!AJ141</f>
        <v>25</v>
      </c>
      <c r="AL141" s="3">
        <f>infections!AL141-infections!AK141</f>
        <v>12</v>
      </c>
      <c r="AM141" s="3">
        <f>infections!AM141-infections!AL141</f>
        <v>11</v>
      </c>
      <c r="AN141" s="3">
        <f>infections!AN141-infections!AM141</f>
        <v>19</v>
      </c>
      <c r="AO141" s="3">
        <f>infections!AO141-infections!AN141</f>
        <v>25</v>
      </c>
      <c r="AP141" s="3">
        <f>infections!AP141-infections!AO141</f>
        <v>14</v>
      </c>
      <c r="AQ141" s="3">
        <f>infections!AQ141-infections!AP141</f>
        <v>13</v>
      </c>
      <c r="AR141" s="3">
        <f>infections!AR141-infections!AQ141</f>
        <v>15</v>
      </c>
      <c r="AS141" s="3">
        <f>infections!AS141-infections!AR141</f>
        <v>18</v>
      </c>
      <c r="AT141" s="3">
        <f>infections!AT141-infections!AS141</f>
        <v>19</v>
      </c>
      <c r="AU141" s="3">
        <f>infections!AU141-infections!AT141</f>
        <v>38</v>
      </c>
      <c r="AV141" s="3">
        <f>infections!AV141-infections!AU141</f>
        <v>29</v>
      </c>
      <c r="AW141" s="3">
        <f>infections!AW141-infections!AV141</f>
        <v>60</v>
      </c>
      <c r="AX141" s="3">
        <f>infections!AX141-infections!AW141</f>
        <v>41</v>
      </c>
      <c r="AY141" s="3">
        <f>infections!AY141-infections!AX141</f>
        <v>41</v>
      </c>
      <c r="AZ141" s="3">
        <f>infections!AZ141-infections!AY141</f>
        <v>9</v>
      </c>
      <c r="BA141" s="3">
        <f>infections!BA141-infections!AZ141</f>
        <v>70</v>
      </c>
      <c r="BB141" s="3">
        <f>infections!BB141-infections!BA141</f>
        <v>58</v>
      </c>
      <c r="BC141" s="3">
        <f>infections!BC141-infections!BB141</f>
        <v>0</v>
      </c>
      <c r="BD141" s="3">
        <f>infections!BD141-infections!BC141</f>
        <v>62</v>
      </c>
      <c r="BE141" s="3">
        <f>infections!BE141-infections!BD141</f>
        <v>72</v>
      </c>
      <c r="BF141" s="3">
        <f>infections!BF141-infections!BE141</f>
        <v>66</v>
      </c>
      <c r="BG141" s="3">
        <f>infections!BG141-infections!BF141</f>
        <v>0</v>
      </c>
      <c r="BH141" s="3">
        <f>infections!BH141-infections!BG141</f>
        <v>39</v>
      </c>
      <c r="BI141" s="3">
        <f>infections!BI141-infections!BH141</f>
        <v>11</v>
      </c>
      <c r="BJ141" s="3">
        <f>infections!BJ141-infections!BI141</f>
        <v>35</v>
      </c>
      <c r="BK141" s="3">
        <f>infections!BK141-infections!BJ141</f>
        <v>39</v>
      </c>
      <c r="BL141" s="3">
        <f>infections!BL141-infections!BK141</f>
        <v>44</v>
      </c>
      <c r="BM141" s="3">
        <f>infections!BM141-infections!BL141</f>
        <v>94</v>
      </c>
      <c r="BN141" s="3">
        <f>infections!BN141-infections!BM141</f>
        <v>27</v>
      </c>
      <c r="BO141" s="3">
        <f>infections!BO141-infections!BN141</f>
        <v>65</v>
      </c>
      <c r="BP141" s="3">
        <f>infections!BP141-infections!BO141</f>
        <v>114</v>
      </c>
      <c r="BQ141" s="3">
        <f>infections!BQ141-infections!BP141</f>
        <v>80</v>
      </c>
      <c r="BR141" s="3">
        <f>infections!BR141-infections!BQ141</f>
        <v>81</v>
      </c>
      <c r="BS141" s="3">
        <f>infections!BS141-infections!BR141</f>
        <v>225</v>
      </c>
      <c r="BT141" s="3">
        <f>infections!BT141-infections!BS141</f>
        <v>173</v>
      </c>
      <c r="BU141" s="3">
        <f>infections!BU141-infections!BT141</f>
        <v>0</v>
      </c>
      <c r="BV141" s="3">
        <f>infections!BV141-infections!BU141</f>
        <v>87</v>
      </c>
      <c r="BW141" s="3">
        <f>infections!BW141-infections!BV141</f>
        <v>225</v>
      </c>
      <c r="BX141" s="3">
        <f>infections!BX141-infections!BW141</f>
        <v>317</v>
      </c>
      <c r="BY141" s="3">
        <f>infections!BY141-infections!BX141</f>
        <v>122</v>
      </c>
    </row>
    <row r="142">
      <c r="B142" s="1" t="str">
        <f>infections!B142</f>
        <v>Jordan</v>
      </c>
      <c r="C142" s="4">
        <f>infections!C142</f>
        <v>31.24</v>
      </c>
      <c r="D142" s="4">
        <f>infections!D142</f>
        <v>36.51</v>
      </c>
      <c r="E142" s="4">
        <f>infections!E142</f>
        <v>0</v>
      </c>
      <c r="F142" s="3">
        <f>infections!F142-infections!E142</f>
        <v>0</v>
      </c>
      <c r="G142" s="3">
        <f>infections!G142-infections!F142</f>
        <v>0</v>
      </c>
      <c r="H142" s="3">
        <f>infections!H142-infections!G142</f>
        <v>0</v>
      </c>
      <c r="I142" s="3">
        <f>infections!I142-infections!H142</f>
        <v>0</v>
      </c>
      <c r="J142" s="3">
        <f>infections!J142-infections!I142</f>
        <v>0</v>
      </c>
      <c r="K142" s="3">
        <f>infections!K142-infections!J142</f>
        <v>0</v>
      </c>
      <c r="L142" s="3">
        <f>infections!L142-infections!K142</f>
        <v>0</v>
      </c>
      <c r="M142" s="3">
        <f>infections!M142-infections!L142</f>
        <v>0</v>
      </c>
      <c r="N142" s="3">
        <f>infections!N142-infections!M142</f>
        <v>0</v>
      </c>
      <c r="O142" s="3">
        <f>infections!O142-infections!N142</f>
        <v>0</v>
      </c>
      <c r="P142" s="3">
        <f>infections!P142-infections!O142</f>
        <v>0</v>
      </c>
      <c r="Q142" s="3">
        <f>infections!Q142-infections!P142</f>
        <v>0</v>
      </c>
      <c r="R142" s="3">
        <f>infections!R142-infections!Q142</f>
        <v>0</v>
      </c>
      <c r="S142" s="3">
        <f>infections!S142-infections!R142</f>
        <v>0</v>
      </c>
      <c r="T142" s="3">
        <f>infections!T142-infections!S142</f>
        <v>0</v>
      </c>
      <c r="U142" s="3">
        <f>infections!U142-infections!T142</f>
        <v>0</v>
      </c>
      <c r="V142" s="3">
        <f>infections!V142-infections!U142</f>
        <v>0</v>
      </c>
      <c r="W142" s="3">
        <f>infections!W142-infections!V142</f>
        <v>0</v>
      </c>
      <c r="X142" s="3">
        <f>infections!X142-infections!W142</f>
        <v>0</v>
      </c>
      <c r="Y142" s="3">
        <f>infections!Y142-infections!X142</f>
        <v>0</v>
      </c>
      <c r="Z142" s="3">
        <f>infections!Z142-infections!Y142</f>
        <v>0</v>
      </c>
      <c r="AA142" s="3">
        <f>infections!AA142-infections!Z142</f>
        <v>0</v>
      </c>
      <c r="AB142" s="3">
        <f>infections!AB142-infections!AA142</f>
        <v>0</v>
      </c>
      <c r="AC142" s="3">
        <f>infections!AC142-infections!AB142</f>
        <v>0</v>
      </c>
      <c r="AD142" s="3">
        <f>infections!AD142-infections!AC142</f>
        <v>0</v>
      </c>
      <c r="AE142" s="3">
        <f>infections!AE142-infections!AD142</f>
        <v>0</v>
      </c>
      <c r="AF142" s="3">
        <f>infections!AF142-infections!AE142</f>
        <v>0</v>
      </c>
      <c r="AG142" s="3">
        <f>infections!AG142-infections!AF142</f>
        <v>0</v>
      </c>
      <c r="AH142" s="3">
        <f>infections!AH142-infections!AG142</f>
        <v>0</v>
      </c>
      <c r="AI142" s="3">
        <f>infections!AI142-infections!AH142</f>
        <v>0</v>
      </c>
      <c r="AJ142" s="3">
        <f>infections!AJ142-infections!AI142</f>
        <v>0</v>
      </c>
      <c r="AK142" s="3">
        <f>infections!AK142-infections!AJ142</f>
        <v>0</v>
      </c>
      <c r="AL142" s="3">
        <f>infections!AL142-infections!AK142</f>
        <v>0</v>
      </c>
      <c r="AM142" s="3">
        <f>infections!AM142-infections!AL142</f>
        <v>0</v>
      </c>
      <c r="AN142" s="3">
        <f>infections!AN142-infections!AM142</f>
        <v>0</v>
      </c>
      <c r="AO142" s="3">
        <f>infections!AO142-infections!AN142</f>
        <v>0</v>
      </c>
      <c r="AP142" s="3">
        <f>infections!AP142-infections!AO142</f>
        <v>0</v>
      </c>
      <c r="AQ142" s="3">
        <f>infections!AQ142-infections!AP142</f>
        <v>0</v>
      </c>
      <c r="AR142" s="3">
        <f>infections!AR142-infections!AQ142</f>
        <v>0</v>
      </c>
      <c r="AS142" s="3">
        <f>infections!AS142-infections!AR142</f>
        <v>0</v>
      </c>
      <c r="AT142" s="3">
        <f>infections!AT142-infections!AS142</f>
        <v>1</v>
      </c>
      <c r="AU142" s="3">
        <f>infections!AU142-infections!AT142</f>
        <v>0</v>
      </c>
      <c r="AV142" s="3">
        <f>infections!AV142-infections!AU142</f>
        <v>0</v>
      </c>
      <c r="AW142" s="3">
        <f>infections!AW142-infections!AV142</f>
        <v>0</v>
      </c>
      <c r="AX142" s="3">
        <f>infections!AX142-infections!AW142</f>
        <v>0</v>
      </c>
      <c r="AY142" s="3">
        <f>infections!AY142-infections!AX142</f>
        <v>0</v>
      </c>
      <c r="AZ142" s="3">
        <f>infections!AZ142-infections!AY142</f>
        <v>0</v>
      </c>
      <c r="BA142" s="3">
        <f>infections!BA142-infections!AZ142</f>
        <v>0</v>
      </c>
      <c r="BB142" s="3">
        <f>infections!BB142-infections!BA142</f>
        <v>0</v>
      </c>
      <c r="BC142" s="3">
        <f>infections!BC142-infections!BB142</f>
        <v>0</v>
      </c>
      <c r="BD142" s="3">
        <f>infections!BD142-infections!BC142</f>
        <v>0</v>
      </c>
      <c r="BE142" s="3">
        <f>infections!BE142-infections!BD142</f>
        <v>0</v>
      </c>
      <c r="BF142" s="3">
        <f>infections!BF142-infections!BE142</f>
        <v>7</v>
      </c>
      <c r="BG142" s="3">
        <f>infections!BG142-infections!BF142</f>
        <v>9</v>
      </c>
      <c r="BH142" s="3">
        <f>infections!BH142-infections!BG142</f>
        <v>17</v>
      </c>
      <c r="BI142" s="3">
        <f>infections!BI142-infections!BH142</f>
        <v>18</v>
      </c>
      <c r="BJ142" s="3">
        <f>infections!BJ142-infections!BI142</f>
        <v>17</v>
      </c>
      <c r="BK142" s="3">
        <f>infections!BK142-infections!BJ142</f>
        <v>16</v>
      </c>
      <c r="BL142" s="3">
        <f>infections!BL142-infections!BK142</f>
        <v>0</v>
      </c>
      <c r="BM142" s="3">
        <f>infections!BM142-infections!BL142</f>
        <v>27</v>
      </c>
      <c r="BN142" s="3">
        <f>infections!BN142-infections!BM142</f>
        <v>15</v>
      </c>
      <c r="BO142" s="3">
        <f>infections!BO142-infections!BN142</f>
        <v>27</v>
      </c>
      <c r="BP142" s="3">
        <f>infections!BP142-infections!BO142</f>
        <v>18</v>
      </c>
      <c r="BQ142" s="3">
        <f>infections!BQ142-infections!BP142</f>
        <v>40</v>
      </c>
      <c r="BR142" s="3">
        <f>infections!BR142-infections!BQ142</f>
        <v>23</v>
      </c>
      <c r="BS142" s="3">
        <f>infections!BS142-infections!BR142</f>
        <v>11</v>
      </c>
      <c r="BT142" s="3">
        <f>infections!BT142-infections!BS142</f>
        <v>13</v>
      </c>
      <c r="BU142" s="3">
        <f>infections!BU142-infections!BT142</f>
        <v>9</v>
      </c>
      <c r="BV142" s="3">
        <f>infections!BV142-infections!BU142</f>
        <v>6</v>
      </c>
      <c r="BW142" s="3">
        <f>infections!BW142-infections!BV142</f>
        <v>4</v>
      </c>
      <c r="BX142" s="3">
        <f>infections!BX142-infections!BW142</f>
        <v>21</v>
      </c>
      <c r="BY142" s="3">
        <f>infections!BY142-infections!BX142</f>
        <v>11</v>
      </c>
    </row>
    <row r="143">
      <c r="B143" s="1" t="str">
        <f>infections!B143</f>
        <v>Kazakhstan</v>
      </c>
      <c r="C143" s="4">
        <f>infections!C143</f>
        <v>48.0196</v>
      </c>
      <c r="D143" s="4">
        <f>infections!D143</f>
        <v>66.9237</v>
      </c>
      <c r="E143" s="4">
        <f>infections!E143</f>
        <v>0</v>
      </c>
      <c r="F143" s="3">
        <f>infections!F143-infections!E143</f>
        <v>0</v>
      </c>
      <c r="G143" s="3">
        <f>infections!G143-infections!F143</f>
        <v>0</v>
      </c>
      <c r="H143" s="3">
        <f>infections!H143-infections!G143</f>
        <v>0</v>
      </c>
      <c r="I143" s="3">
        <f>infections!I143-infections!H143</f>
        <v>0</v>
      </c>
      <c r="J143" s="3">
        <f>infections!J143-infections!I143</f>
        <v>0</v>
      </c>
      <c r="K143" s="3">
        <f>infections!K143-infections!J143</f>
        <v>0</v>
      </c>
      <c r="L143" s="3">
        <f>infections!L143-infections!K143</f>
        <v>0</v>
      </c>
      <c r="M143" s="3">
        <f>infections!M143-infections!L143</f>
        <v>0</v>
      </c>
      <c r="N143" s="3">
        <f>infections!N143-infections!M143</f>
        <v>0</v>
      </c>
      <c r="O143" s="3">
        <f>infections!O143-infections!N143</f>
        <v>0</v>
      </c>
      <c r="P143" s="3">
        <f>infections!P143-infections!O143</f>
        <v>0</v>
      </c>
      <c r="Q143" s="3">
        <f>infections!Q143-infections!P143</f>
        <v>0</v>
      </c>
      <c r="R143" s="3">
        <f>infections!R143-infections!Q143</f>
        <v>0</v>
      </c>
      <c r="S143" s="3">
        <f>infections!S143-infections!R143</f>
        <v>0</v>
      </c>
      <c r="T143" s="3">
        <f>infections!T143-infections!S143</f>
        <v>0</v>
      </c>
      <c r="U143" s="3">
        <f>infections!U143-infections!T143</f>
        <v>0</v>
      </c>
      <c r="V143" s="3">
        <f>infections!V143-infections!U143</f>
        <v>0</v>
      </c>
      <c r="W143" s="3">
        <f>infections!W143-infections!V143</f>
        <v>0</v>
      </c>
      <c r="X143" s="3">
        <f>infections!X143-infections!W143</f>
        <v>0</v>
      </c>
      <c r="Y143" s="3">
        <f>infections!Y143-infections!X143</f>
        <v>0</v>
      </c>
      <c r="Z143" s="3">
        <f>infections!Z143-infections!Y143</f>
        <v>0</v>
      </c>
      <c r="AA143" s="3">
        <f>infections!AA143-infections!Z143</f>
        <v>0</v>
      </c>
      <c r="AB143" s="3">
        <f>infections!AB143-infections!AA143</f>
        <v>0</v>
      </c>
      <c r="AC143" s="3">
        <f>infections!AC143-infections!AB143</f>
        <v>0</v>
      </c>
      <c r="AD143" s="3">
        <f>infections!AD143-infections!AC143</f>
        <v>0</v>
      </c>
      <c r="AE143" s="3">
        <f>infections!AE143-infections!AD143</f>
        <v>0</v>
      </c>
      <c r="AF143" s="3">
        <f>infections!AF143-infections!AE143</f>
        <v>0</v>
      </c>
      <c r="AG143" s="3">
        <f>infections!AG143-infections!AF143</f>
        <v>0</v>
      </c>
      <c r="AH143" s="3">
        <f>infections!AH143-infections!AG143</f>
        <v>0</v>
      </c>
      <c r="AI143" s="3">
        <f>infections!AI143-infections!AH143</f>
        <v>0</v>
      </c>
      <c r="AJ143" s="3">
        <f>infections!AJ143-infections!AI143</f>
        <v>0</v>
      </c>
      <c r="AK143" s="3">
        <f>infections!AK143-infections!AJ143</f>
        <v>0</v>
      </c>
      <c r="AL143" s="3">
        <f>infections!AL143-infections!AK143</f>
        <v>0</v>
      </c>
      <c r="AM143" s="3">
        <f>infections!AM143-infections!AL143</f>
        <v>0</v>
      </c>
      <c r="AN143" s="3">
        <f>infections!AN143-infections!AM143</f>
        <v>0</v>
      </c>
      <c r="AO143" s="3">
        <f>infections!AO143-infections!AN143</f>
        <v>0</v>
      </c>
      <c r="AP143" s="3">
        <f>infections!AP143-infections!AO143</f>
        <v>0</v>
      </c>
      <c r="AQ143" s="3">
        <f>infections!AQ143-infections!AP143</f>
        <v>0</v>
      </c>
      <c r="AR143" s="3">
        <f>infections!AR143-infections!AQ143</f>
        <v>0</v>
      </c>
      <c r="AS143" s="3">
        <f>infections!AS143-infections!AR143</f>
        <v>0</v>
      </c>
      <c r="AT143" s="3">
        <f>infections!AT143-infections!AS143</f>
        <v>0</v>
      </c>
      <c r="AU143" s="3">
        <f>infections!AU143-infections!AT143</f>
        <v>0</v>
      </c>
      <c r="AV143" s="3">
        <f>infections!AV143-infections!AU143</f>
        <v>0</v>
      </c>
      <c r="AW143" s="3">
        <f>infections!AW143-infections!AV143</f>
        <v>0</v>
      </c>
      <c r="AX143" s="3">
        <f>infections!AX143-infections!AW143</f>
        <v>0</v>
      </c>
      <c r="AY143" s="3">
        <f>infections!AY143-infections!AX143</f>
        <v>0</v>
      </c>
      <c r="AZ143" s="3">
        <f>infections!AZ143-infections!AY143</f>
        <v>0</v>
      </c>
      <c r="BA143" s="3">
        <f>infections!BA143-infections!AZ143</f>
        <v>0</v>
      </c>
      <c r="BB143" s="3">
        <f>infections!BB143-infections!BA143</f>
        <v>0</v>
      </c>
      <c r="BC143" s="3">
        <f>infections!BC143-infections!BB143</f>
        <v>0</v>
      </c>
      <c r="BD143" s="3">
        <f>infections!BD143-infections!BC143</f>
        <v>4</v>
      </c>
      <c r="BE143" s="3">
        <f>infections!BE143-infections!BD143</f>
        <v>2</v>
      </c>
      <c r="BF143" s="3">
        <f>infections!BF143-infections!BE143</f>
        <v>3</v>
      </c>
      <c r="BG143" s="3">
        <f>infections!BG143-infections!BF143</f>
        <v>1</v>
      </c>
      <c r="BH143" s="3">
        <f>infections!BH143-infections!BG143</f>
        <v>23</v>
      </c>
      <c r="BI143" s="3">
        <f>infections!BI143-infections!BH143</f>
        <v>2</v>
      </c>
      <c r="BJ143" s="3">
        <f>infections!BJ143-infections!BI143</f>
        <v>9</v>
      </c>
      <c r="BK143" s="3">
        <f>infections!BK143-infections!BJ143</f>
        <v>5</v>
      </c>
      <c r="BL143" s="3">
        <f>infections!BL143-infections!BK143</f>
        <v>4</v>
      </c>
      <c r="BM143" s="3">
        <f>infections!BM143-infections!BL143</f>
        <v>7</v>
      </c>
      <c r="BN143" s="3">
        <f>infections!BN143-infections!BM143</f>
        <v>2</v>
      </c>
      <c r="BO143" s="3">
        <f>infections!BO143-infections!BN143</f>
        <v>10</v>
      </c>
      <c r="BP143" s="3">
        <f>infections!BP143-infections!BO143</f>
        <v>9</v>
      </c>
      <c r="BQ143" s="3">
        <f>infections!BQ143-infections!BP143</f>
        <v>30</v>
      </c>
      <c r="BR143" s="3">
        <f>infections!BR143-infections!BQ143</f>
        <v>39</v>
      </c>
      <c r="BS143" s="3">
        <f>infections!BS143-infections!BR143</f>
        <v>78</v>
      </c>
      <c r="BT143" s="3">
        <f>infections!BT143-infections!BS143</f>
        <v>56</v>
      </c>
      <c r="BU143" s="3">
        <f>infections!BU143-infections!BT143</f>
        <v>18</v>
      </c>
      <c r="BV143" s="3">
        <f>infections!BV143-infections!BU143</f>
        <v>41</v>
      </c>
      <c r="BW143" s="3">
        <f>infections!BW143-infections!BV143</f>
        <v>37</v>
      </c>
      <c r="BX143" s="3">
        <f>infections!BX143-infections!BW143</f>
        <v>55</v>
      </c>
      <c r="BY143" s="3">
        <f>infections!BY143-infections!BX143</f>
        <v>29</v>
      </c>
    </row>
    <row r="144">
      <c r="B144" s="1" t="str">
        <f>infections!B144</f>
        <v>Kenya</v>
      </c>
      <c r="C144" s="4">
        <f>infections!C144</f>
        <v>-0.0236</v>
      </c>
      <c r="D144" s="4">
        <f>infections!D144</f>
        <v>37.9062</v>
      </c>
      <c r="E144" s="4">
        <f>infections!E144</f>
        <v>0</v>
      </c>
      <c r="F144" s="3">
        <f>infections!F144-infections!E144</f>
        <v>0</v>
      </c>
      <c r="G144" s="3">
        <f>infections!G144-infections!F144</f>
        <v>0</v>
      </c>
      <c r="H144" s="3">
        <f>infections!H144-infections!G144</f>
        <v>0</v>
      </c>
      <c r="I144" s="3">
        <f>infections!I144-infections!H144</f>
        <v>0</v>
      </c>
      <c r="J144" s="3">
        <f>infections!J144-infections!I144</f>
        <v>0</v>
      </c>
      <c r="K144" s="3">
        <f>infections!K144-infections!J144</f>
        <v>0</v>
      </c>
      <c r="L144" s="3">
        <f>infections!L144-infections!K144</f>
        <v>0</v>
      </c>
      <c r="M144" s="3">
        <f>infections!M144-infections!L144</f>
        <v>0</v>
      </c>
      <c r="N144" s="3">
        <f>infections!N144-infections!M144</f>
        <v>0</v>
      </c>
      <c r="O144" s="3">
        <f>infections!O144-infections!N144</f>
        <v>0</v>
      </c>
      <c r="P144" s="3">
        <f>infections!P144-infections!O144</f>
        <v>0</v>
      </c>
      <c r="Q144" s="3">
        <f>infections!Q144-infections!P144</f>
        <v>0</v>
      </c>
      <c r="R144" s="3">
        <f>infections!R144-infections!Q144</f>
        <v>0</v>
      </c>
      <c r="S144" s="3">
        <f>infections!S144-infections!R144</f>
        <v>0</v>
      </c>
      <c r="T144" s="3">
        <f>infections!T144-infections!S144</f>
        <v>0</v>
      </c>
      <c r="U144" s="3">
        <f>infections!U144-infections!T144</f>
        <v>0</v>
      </c>
      <c r="V144" s="3">
        <f>infections!V144-infections!U144</f>
        <v>0</v>
      </c>
      <c r="W144" s="3">
        <f>infections!W144-infections!V144</f>
        <v>0</v>
      </c>
      <c r="X144" s="3">
        <f>infections!X144-infections!W144</f>
        <v>0</v>
      </c>
      <c r="Y144" s="3">
        <f>infections!Y144-infections!X144</f>
        <v>0</v>
      </c>
      <c r="Z144" s="3">
        <f>infections!Z144-infections!Y144</f>
        <v>0</v>
      </c>
      <c r="AA144" s="3">
        <f>infections!AA144-infections!Z144</f>
        <v>0</v>
      </c>
      <c r="AB144" s="3">
        <f>infections!AB144-infections!AA144</f>
        <v>0</v>
      </c>
      <c r="AC144" s="3">
        <f>infections!AC144-infections!AB144</f>
        <v>0</v>
      </c>
      <c r="AD144" s="3">
        <f>infections!AD144-infections!AC144</f>
        <v>0</v>
      </c>
      <c r="AE144" s="3">
        <f>infections!AE144-infections!AD144</f>
        <v>0</v>
      </c>
      <c r="AF144" s="3">
        <f>infections!AF144-infections!AE144</f>
        <v>0</v>
      </c>
      <c r="AG144" s="3">
        <f>infections!AG144-infections!AF144</f>
        <v>0</v>
      </c>
      <c r="AH144" s="3">
        <f>infections!AH144-infections!AG144</f>
        <v>0</v>
      </c>
      <c r="AI144" s="3">
        <f>infections!AI144-infections!AH144</f>
        <v>0</v>
      </c>
      <c r="AJ144" s="3">
        <f>infections!AJ144-infections!AI144</f>
        <v>0</v>
      </c>
      <c r="AK144" s="3">
        <f>infections!AK144-infections!AJ144</f>
        <v>0</v>
      </c>
      <c r="AL144" s="3">
        <f>infections!AL144-infections!AK144</f>
        <v>0</v>
      </c>
      <c r="AM144" s="3">
        <f>infections!AM144-infections!AL144</f>
        <v>0</v>
      </c>
      <c r="AN144" s="3">
        <f>infections!AN144-infections!AM144</f>
        <v>0</v>
      </c>
      <c r="AO144" s="3">
        <f>infections!AO144-infections!AN144</f>
        <v>0</v>
      </c>
      <c r="AP144" s="3">
        <f>infections!AP144-infections!AO144</f>
        <v>0</v>
      </c>
      <c r="AQ144" s="3">
        <f>infections!AQ144-infections!AP144</f>
        <v>0</v>
      </c>
      <c r="AR144" s="3">
        <f>infections!AR144-infections!AQ144</f>
        <v>0</v>
      </c>
      <c r="AS144" s="3">
        <f>infections!AS144-infections!AR144</f>
        <v>0</v>
      </c>
      <c r="AT144" s="3">
        <f>infections!AT144-infections!AS144</f>
        <v>0</v>
      </c>
      <c r="AU144" s="3">
        <f>infections!AU144-infections!AT144</f>
        <v>0</v>
      </c>
      <c r="AV144" s="3">
        <f>infections!AV144-infections!AU144</f>
        <v>0</v>
      </c>
      <c r="AW144" s="3">
        <f>infections!AW144-infections!AV144</f>
        <v>0</v>
      </c>
      <c r="AX144" s="3">
        <f>infections!AX144-infections!AW144</f>
        <v>0</v>
      </c>
      <c r="AY144" s="3">
        <f>infections!AY144-infections!AX144</f>
        <v>0</v>
      </c>
      <c r="AZ144" s="3">
        <f>infections!AZ144-infections!AY144</f>
        <v>0</v>
      </c>
      <c r="BA144" s="3">
        <f>infections!BA144-infections!AZ144</f>
        <v>0</v>
      </c>
      <c r="BB144" s="3">
        <f>infections!BB144-infections!BA144</f>
        <v>0</v>
      </c>
      <c r="BC144" s="3">
        <f>infections!BC144-infections!BB144</f>
        <v>0</v>
      </c>
      <c r="BD144" s="3">
        <f>infections!BD144-infections!BC144</f>
        <v>1</v>
      </c>
      <c r="BE144" s="3">
        <f>infections!BE144-infections!BD144</f>
        <v>0</v>
      </c>
      <c r="BF144" s="3">
        <f>infections!BF144-infections!BE144</f>
        <v>2</v>
      </c>
      <c r="BG144" s="3">
        <f>infections!BG144-infections!BF144</f>
        <v>0</v>
      </c>
      <c r="BH144" s="3">
        <f>infections!BH144-infections!BG144</f>
        <v>0</v>
      </c>
      <c r="BI144" s="3">
        <f>infections!BI144-infections!BH144</f>
        <v>0</v>
      </c>
      <c r="BJ144" s="3">
        <f>infections!BJ144-infections!BI144</f>
        <v>4</v>
      </c>
      <c r="BK144" s="3">
        <f>infections!BK144-infections!BJ144</f>
        <v>0</v>
      </c>
      <c r="BL144" s="3">
        <f>infections!BL144-infections!BK144</f>
        <v>0</v>
      </c>
      <c r="BM144" s="3">
        <f>infections!BM144-infections!BL144</f>
        <v>8</v>
      </c>
      <c r="BN144" s="3">
        <f>infections!BN144-infections!BM144</f>
        <v>1</v>
      </c>
      <c r="BO144" s="3">
        <f>infections!BO144-infections!BN144</f>
        <v>9</v>
      </c>
      <c r="BP144" s="3">
        <f>infections!BP144-infections!BO144</f>
        <v>3</v>
      </c>
      <c r="BQ144" s="3">
        <f>infections!BQ144-infections!BP144</f>
        <v>3</v>
      </c>
      <c r="BR144" s="3">
        <f>infections!BR144-infections!BQ144</f>
        <v>0</v>
      </c>
      <c r="BS144" s="3">
        <f>infections!BS144-infections!BR144</f>
        <v>7</v>
      </c>
      <c r="BT144" s="3">
        <f>infections!BT144-infections!BS144</f>
        <v>4</v>
      </c>
      <c r="BU144" s="3">
        <f>infections!BU144-infections!BT144</f>
        <v>8</v>
      </c>
      <c r="BV144" s="3">
        <f>infections!BV144-infections!BU144</f>
        <v>9</v>
      </c>
      <c r="BW144" s="3">
        <f>infections!BW144-infections!BV144</f>
        <v>22</v>
      </c>
      <c r="BX144" s="3">
        <f>infections!BX144-infections!BW144</f>
        <v>29</v>
      </c>
      <c r="BY144" s="3">
        <f>infections!BY144-infections!BX144</f>
        <v>12</v>
      </c>
    </row>
    <row r="145">
      <c r="B145" s="1" t="str">
        <f>infections!B145</f>
        <v>Korea, South</v>
      </c>
      <c r="C145" s="4">
        <f>infections!C145</f>
        <v>36</v>
      </c>
      <c r="D145" s="4">
        <f>infections!D145</f>
        <v>128</v>
      </c>
      <c r="E145" s="4">
        <f>infections!E145</f>
        <v>1</v>
      </c>
      <c r="F145" s="3">
        <f>infections!F145-infections!E145</f>
        <v>0</v>
      </c>
      <c r="G145" s="3">
        <f>infections!G145-infections!F145</f>
        <v>1</v>
      </c>
      <c r="H145" s="3">
        <f>infections!H145-infections!G145</f>
        <v>0</v>
      </c>
      <c r="I145" s="3">
        <f>infections!I145-infections!H145</f>
        <v>1</v>
      </c>
      <c r="J145" s="3">
        <f>infections!J145-infections!I145</f>
        <v>1</v>
      </c>
      <c r="K145" s="3">
        <f>infections!K145-infections!J145</f>
        <v>0</v>
      </c>
      <c r="L145" s="3">
        <f>infections!L145-infections!K145</f>
        <v>0</v>
      </c>
      <c r="M145" s="3">
        <f>infections!M145-infections!L145</f>
        <v>0</v>
      </c>
      <c r="N145" s="3">
        <f>infections!N145-infections!M145</f>
        <v>7</v>
      </c>
      <c r="O145" s="3">
        <f>infections!O145-infections!N145</f>
        <v>1</v>
      </c>
      <c r="P145" s="3">
        <f>infections!P145-infections!O145</f>
        <v>3</v>
      </c>
      <c r="Q145" s="3">
        <f>infections!Q145-infections!P145</f>
        <v>0</v>
      </c>
      <c r="R145" s="3">
        <f>infections!R145-infections!Q145</f>
        <v>1</v>
      </c>
      <c r="S145" s="3">
        <f>infections!S145-infections!R145</f>
        <v>3</v>
      </c>
      <c r="T145" s="3">
        <f>infections!T145-infections!S145</f>
        <v>4</v>
      </c>
      <c r="U145" s="3">
        <f>infections!U145-infections!T145</f>
        <v>1</v>
      </c>
      <c r="V145" s="3">
        <f>infections!V145-infections!U145</f>
        <v>0</v>
      </c>
      <c r="W145" s="3">
        <f>infections!W145-infections!V145</f>
        <v>1</v>
      </c>
      <c r="X145" s="3">
        <f>infections!X145-infections!W145</f>
        <v>2</v>
      </c>
      <c r="Y145" s="3">
        <f>infections!Y145-infections!X145</f>
        <v>1</v>
      </c>
      <c r="Z145" s="3">
        <f>infections!Z145-infections!Y145</f>
        <v>0</v>
      </c>
      <c r="AA145" s="3">
        <f>infections!AA145-infections!Z145</f>
        <v>0</v>
      </c>
      <c r="AB145" s="3">
        <f>infections!AB145-infections!AA145</f>
        <v>0</v>
      </c>
      <c r="AC145" s="3">
        <f>infections!AC145-infections!AB145</f>
        <v>0</v>
      </c>
      <c r="AD145" s="3">
        <f>infections!AD145-infections!AC145</f>
        <v>1</v>
      </c>
      <c r="AE145" s="3">
        <f>infections!AE145-infections!AD145</f>
        <v>1</v>
      </c>
      <c r="AF145" s="3">
        <f>infections!AF145-infections!AE145</f>
        <v>1</v>
      </c>
      <c r="AG145" s="3">
        <f>infections!AG145-infections!AF145</f>
        <v>0</v>
      </c>
      <c r="AH145" s="3">
        <f>infections!AH145-infections!AG145</f>
        <v>73</v>
      </c>
      <c r="AI145" s="3">
        <f>infections!AI145-infections!AH145</f>
        <v>100</v>
      </c>
      <c r="AJ145" s="3">
        <f>infections!AJ145-infections!AI145</f>
        <v>229</v>
      </c>
      <c r="AK145" s="3">
        <f>infections!AK145-infections!AJ145</f>
        <v>169</v>
      </c>
      <c r="AL145" s="3">
        <f>infections!AL145-infections!AK145</f>
        <v>231</v>
      </c>
      <c r="AM145" s="3">
        <f>infections!AM145-infections!AL145</f>
        <v>144</v>
      </c>
      <c r="AN145" s="3">
        <f>infections!AN145-infections!AM145</f>
        <v>284</v>
      </c>
      <c r="AO145" s="3">
        <f>infections!AO145-infections!AN145</f>
        <v>505</v>
      </c>
      <c r="AP145" s="3">
        <f>infections!AP145-infections!AO145</f>
        <v>571</v>
      </c>
      <c r="AQ145" s="3">
        <f>infections!AQ145-infections!AP145</f>
        <v>813</v>
      </c>
      <c r="AR145" s="3">
        <f>infections!AR145-infections!AQ145</f>
        <v>586</v>
      </c>
      <c r="AS145" s="3">
        <f>infections!AS145-infections!AR145</f>
        <v>599</v>
      </c>
      <c r="AT145" s="3">
        <f>infections!AT145-infections!AS145</f>
        <v>851</v>
      </c>
      <c r="AU145" s="3">
        <f>infections!AU145-infections!AT145</f>
        <v>435</v>
      </c>
      <c r="AV145" s="3">
        <f>infections!AV145-infections!AU145</f>
        <v>467</v>
      </c>
      <c r="AW145" s="3">
        <f>infections!AW145-infections!AV145</f>
        <v>505</v>
      </c>
      <c r="AX145" s="3">
        <f>infections!AX145-infections!AW145</f>
        <v>448</v>
      </c>
      <c r="AY145" s="3">
        <f>infections!AY145-infections!AX145</f>
        <v>273</v>
      </c>
      <c r="AZ145" s="3">
        <f>infections!AZ145-infections!AY145</f>
        <v>164</v>
      </c>
      <c r="BA145" s="3">
        <f>infections!BA145-infections!AZ145</f>
        <v>35</v>
      </c>
      <c r="BB145" s="3">
        <f>infections!BB145-infections!BA145</f>
        <v>242</v>
      </c>
      <c r="BC145" s="3">
        <f>infections!BC145-infections!BB145</f>
        <v>114</v>
      </c>
      <c r="BD145" s="3">
        <f>infections!BD145-infections!BC145</f>
        <v>110</v>
      </c>
      <c r="BE145" s="3">
        <f>infections!BE145-infections!BD145</f>
        <v>107</v>
      </c>
      <c r="BF145" s="3">
        <f>infections!BF145-infections!BE145</f>
        <v>76</v>
      </c>
      <c r="BG145" s="3">
        <f>infections!BG145-infections!BF145</f>
        <v>74</v>
      </c>
      <c r="BH145" s="3">
        <f>infections!BH145-infections!BG145</f>
        <v>84</v>
      </c>
      <c r="BI145" s="3">
        <f>infections!BI145-infections!BH145</f>
        <v>93</v>
      </c>
      <c r="BJ145" s="3">
        <f>infections!BJ145-infections!BI145</f>
        <v>152</v>
      </c>
      <c r="BK145" s="3">
        <f>infections!BK145-infections!BJ145</f>
        <v>87</v>
      </c>
      <c r="BL145" s="3">
        <f>infections!BL145-infections!BK145</f>
        <v>147</v>
      </c>
      <c r="BM145" s="3">
        <f>infections!BM145-infections!BL145</f>
        <v>162</v>
      </c>
      <c r="BN145" s="3">
        <f>infections!BN145-infections!BM145</f>
        <v>0</v>
      </c>
      <c r="BO145" s="3">
        <f>infections!BO145-infections!BN145</f>
        <v>76</v>
      </c>
      <c r="BP145" s="3">
        <f>infections!BP145-infections!BO145</f>
        <v>100</v>
      </c>
      <c r="BQ145" s="3">
        <f>infections!BQ145-infections!BP145</f>
        <v>104</v>
      </c>
      <c r="BR145" s="3">
        <f>infections!BR145-infections!BQ145</f>
        <v>91</v>
      </c>
      <c r="BS145" s="3">
        <f>infections!BS145-infections!BR145</f>
        <v>146</v>
      </c>
      <c r="BT145" s="3">
        <f>infections!BT145-infections!BS145</f>
        <v>105</v>
      </c>
      <c r="BU145" s="3">
        <f>infections!BU145-infections!BT145</f>
        <v>78</v>
      </c>
      <c r="BV145" s="3">
        <f>infections!BV145-infections!BU145</f>
        <v>125</v>
      </c>
      <c r="BW145" s="3">
        <f>infections!BW145-infections!BV145</f>
        <v>101</v>
      </c>
      <c r="BX145" s="3">
        <f>infections!BX145-infections!BW145</f>
        <v>89</v>
      </c>
      <c r="BY145" s="3">
        <f>infections!BY145-infections!BX145</f>
        <v>86</v>
      </c>
    </row>
    <row r="146">
      <c r="B146" s="1" t="str">
        <f>infections!B146</f>
        <v>Kuwait</v>
      </c>
      <c r="C146" s="4">
        <f>infections!C146</f>
        <v>29.5</v>
      </c>
      <c r="D146" s="4">
        <f>infections!D146</f>
        <v>47.75</v>
      </c>
      <c r="E146" s="4">
        <f>infections!E146</f>
        <v>0</v>
      </c>
      <c r="F146" s="3">
        <f>infections!F146-infections!E146</f>
        <v>0</v>
      </c>
      <c r="G146" s="3">
        <f>infections!G146-infections!F146</f>
        <v>0</v>
      </c>
      <c r="H146" s="3">
        <f>infections!H146-infections!G146</f>
        <v>0</v>
      </c>
      <c r="I146" s="3">
        <f>infections!I146-infections!H146</f>
        <v>0</v>
      </c>
      <c r="J146" s="3">
        <f>infections!J146-infections!I146</f>
        <v>0</v>
      </c>
      <c r="K146" s="3">
        <f>infections!K146-infections!J146</f>
        <v>0</v>
      </c>
      <c r="L146" s="3">
        <f>infections!L146-infections!K146</f>
        <v>0</v>
      </c>
      <c r="M146" s="3">
        <f>infections!M146-infections!L146</f>
        <v>0</v>
      </c>
      <c r="N146" s="3">
        <f>infections!N146-infections!M146</f>
        <v>0</v>
      </c>
      <c r="O146" s="3">
        <f>infections!O146-infections!N146</f>
        <v>0</v>
      </c>
      <c r="P146" s="3">
        <f>infections!P146-infections!O146</f>
        <v>0</v>
      </c>
      <c r="Q146" s="3">
        <f>infections!Q146-infections!P146</f>
        <v>0</v>
      </c>
      <c r="R146" s="3">
        <f>infections!R146-infections!Q146</f>
        <v>0</v>
      </c>
      <c r="S146" s="3">
        <f>infections!S146-infections!R146</f>
        <v>0</v>
      </c>
      <c r="T146" s="3">
        <f>infections!T146-infections!S146</f>
        <v>0</v>
      </c>
      <c r="U146" s="3">
        <f>infections!U146-infections!T146</f>
        <v>0</v>
      </c>
      <c r="V146" s="3">
        <f>infections!V146-infections!U146</f>
        <v>0</v>
      </c>
      <c r="W146" s="3">
        <f>infections!W146-infections!V146</f>
        <v>0</v>
      </c>
      <c r="X146" s="3">
        <f>infections!X146-infections!W146</f>
        <v>0</v>
      </c>
      <c r="Y146" s="3">
        <f>infections!Y146-infections!X146</f>
        <v>0</v>
      </c>
      <c r="Z146" s="3">
        <f>infections!Z146-infections!Y146</f>
        <v>0</v>
      </c>
      <c r="AA146" s="3">
        <f>infections!AA146-infections!Z146</f>
        <v>0</v>
      </c>
      <c r="AB146" s="3">
        <f>infections!AB146-infections!AA146</f>
        <v>0</v>
      </c>
      <c r="AC146" s="3">
        <f>infections!AC146-infections!AB146</f>
        <v>0</v>
      </c>
      <c r="AD146" s="3">
        <f>infections!AD146-infections!AC146</f>
        <v>0</v>
      </c>
      <c r="AE146" s="3">
        <f>infections!AE146-infections!AD146</f>
        <v>0</v>
      </c>
      <c r="AF146" s="3">
        <f>infections!AF146-infections!AE146</f>
        <v>0</v>
      </c>
      <c r="AG146" s="3">
        <f>infections!AG146-infections!AF146</f>
        <v>0</v>
      </c>
      <c r="AH146" s="3">
        <f>infections!AH146-infections!AG146</f>
        <v>0</v>
      </c>
      <c r="AI146" s="3">
        <f>infections!AI146-infections!AH146</f>
        <v>0</v>
      </c>
      <c r="AJ146" s="3">
        <f>infections!AJ146-infections!AI146</f>
        <v>0</v>
      </c>
      <c r="AK146" s="3">
        <f>infections!AK146-infections!AJ146</f>
        <v>0</v>
      </c>
      <c r="AL146" s="3">
        <f>infections!AL146-infections!AK146</f>
        <v>1</v>
      </c>
      <c r="AM146" s="3">
        <f>infections!AM146-infections!AL146</f>
        <v>10</v>
      </c>
      <c r="AN146" s="3">
        <f>infections!AN146-infections!AM146</f>
        <v>15</v>
      </c>
      <c r="AO146" s="3">
        <f>infections!AO146-infections!AN146</f>
        <v>17</v>
      </c>
      <c r="AP146" s="3">
        <f>infections!AP146-infections!AO146</f>
        <v>2</v>
      </c>
      <c r="AQ146" s="3">
        <f>infections!AQ146-infections!AP146</f>
        <v>0</v>
      </c>
      <c r="AR146" s="3">
        <f>infections!AR146-infections!AQ146</f>
        <v>0</v>
      </c>
      <c r="AS146" s="3">
        <f>infections!AS146-infections!AR146</f>
        <v>11</v>
      </c>
      <c r="AT146" s="3">
        <f>infections!AT146-infections!AS146</f>
        <v>0</v>
      </c>
      <c r="AU146" s="3">
        <f>infections!AU146-infections!AT146</f>
        <v>0</v>
      </c>
      <c r="AV146" s="3">
        <f>infections!AV146-infections!AU146</f>
        <v>2</v>
      </c>
      <c r="AW146" s="3">
        <f>infections!AW146-infections!AV146</f>
        <v>0</v>
      </c>
      <c r="AX146" s="3">
        <f>infections!AX146-infections!AW146</f>
        <v>3</v>
      </c>
      <c r="AY146" s="3">
        <f>infections!AY146-infections!AX146</f>
        <v>3</v>
      </c>
      <c r="AZ146" s="3">
        <f>infections!AZ146-infections!AY146</f>
        <v>0</v>
      </c>
      <c r="BA146" s="3">
        <f>infections!BA146-infections!AZ146</f>
        <v>5</v>
      </c>
      <c r="BB146" s="3">
        <f>infections!BB146-infections!BA146</f>
        <v>3</v>
      </c>
      <c r="BC146" s="3">
        <f>infections!BC146-infections!BB146</f>
        <v>8</v>
      </c>
      <c r="BD146" s="3">
        <f>infections!BD146-infections!BC146</f>
        <v>0</v>
      </c>
      <c r="BE146" s="3">
        <f>infections!BE146-infections!BD146</f>
        <v>24</v>
      </c>
      <c r="BF146" s="3">
        <f>infections!BF146-infections!BE146</f>
        <v>8</v>
      </c>
      <c r="BG146" s="3">
        <f>infections!BG146-infections!BF146</f>
        <v>11</v>
      </c>
      <c r="BH146" s="3">
        <f>infections!BH146-infections!BG146</f>
        <v>7</v>
      </c>
      <c r="BI146" s="3">
        <f>infections!BI146-infections!BH146</f>
        <v>12</v>
      </c>
      <c r="BJ146" s="3">
        <f>infections!BJ146-infections!BI146</f>
        <v>6</v>
      </c>
      <c r="BK146" s="3">
        <f>infections!BK146-infections!BJ146</f>
        <v>11</v>
      </c>
      <c r="BL146" s="3">
        <f>infections!BL146-infections!BK146</f>
        <v>17</v>
      </c>
      <c r="BM146" s="3">
        <f>infections!BM146-infections!BL146</f>
        <v>12</v>
      </c>
      <c r="BN146" s="3">
        <f>infections!BN146-infections!BM146</f>
        <v>1</v>
      </c>
      <c r="BO146" s="3">
        <f>infections!BO146-infections!BN146</f>
        <v>2</v>
      </c>
      <c r="BP146" s="3">
        <f>infections!BP146-infections!BO146</f>
        <v>4</v>
      </c>
      <c r="BQ146" s="3">
        <f>infections!BQ146-infections!BP146</f>
        <v>13</v>
      </c>
      <c r="BR146" s="3">
        <f>infections!BR146-infections!BQ146</f>
        <v>17</v>
      </c>
      <c r="BS146" s="3">
        <f>infections!BS146-infections!BR146</f>
        <v>10</v>
      </c>
      <c r="BT146" s="3">
        <f>infections!BT146-infections!BS146</f>
        <v>20</v>
      </c>
      <c r="BU146" s="3">
        <f>infections!BU146-infections!BT146</f>
        <v>11</v>
      </c>
      <c r="BV146" s="3">
        <f>infections!BV146-infections!BU146</f>
        <v>23</v>
      </c>
      <c r="BW146" s="3">
        <f>infections!BW146-infections!BV146</f>
        <v>28</v>
      </c>
      <c r="BX146" s="3">
        <f>infections!BX146-infections!BW146</f>
        <v>25</v>
      </c>
      <c r="BY146" s="3">
        <f>infections!BY146-infections!BX146</f>
        <v>75</v>
      </c>
    </row>
    <row r="147">
      <c r="B147" s="1" t="str">
        <f>infections!B147</f>
        <v>Kyrgyzstan</v>
      </c>
      <c r="C147" s="4">
        <f>infections!C147</f>
        <v>41.2044</v>
      </c>
      <c r="D147" s="4">
        <f>infections!D147</f>
        <v>74.7661</v>
      </c>
      <c r="E147" s="4">
        <f>infections!E147</f>
        <v>0</v>
      </c>
      <c r="F147" s="3">
        <f>infections!F147-infections!E147</f>
        <v>0</v>
      </c>
      <c r="G147" s="3">
        <f>infections!G147-infections!F147</f>
        <v>0</v>
      </c>
      <c r="H147" s="3">
        <f>infections!H147-infections!G147</f>
        <v>0</v>
      </c>
      <c r="I147" s="3">
        <f>infections!I147-infections!H147</f>
        <v>0</v>
      </c>
      <c r="J147" s="3">
        <f>infections!J147-infections!I147</f>
        <v>0</v>
      </c>
      <c r="K147" s="3">
        <f>infections!K147-infections!J147</f>
        <v>0</v>
      </c>
      <c r="L147" s="3">
        <f>infections!L147-infections!K147</f>
        <v>0</v>
      </c>
      <c r="M147" s="3">
        <f>infections!M147-infections!L147</f>
        <v>0</v>
      </c>
      <c r="N147" s="3">
        <f>infections!N147-infections!M147</f>
        <v>0</v>
      </c>
      <c r="O147" s="3">
        <f>infections!O147-infections!N147</f>
        <v>0</v>
      </c>
      <c r="P147" s="3">
        <f>infections!P147-infections!O147</f>
        <v>0</v>
      </c>
      <c r="Q147" s="3">
        <f>infections!Q147-infections!P147</f>
        <v>0</v>
      </c>
      <c r="R147" s="3">
        <f>infections!R147-infections!Q147</f>
        <v>0</v>
      </c>
      <c r="S147" s="3">
        <f>infections!S147-infections!R147</f>
        <v>0</v>
      </c>
      <c r="T147" s="3">
        <f>infections!T147-infections!S147</f>
        <v>0</v>
      </c>
      <c r="U147" s="3">
        <f>infections!U147-infections!T147</f>
        <v>0</v>
      </c>
      <c r="V147" s="3">
        <f>infections!V147-infections!U147</f>
        <v>0</v>
      </c>
      <c r="W147" s="3">
        <f>infections!W147-infections!V147</f>
        <v>0</v>
      </c>
      <c r="X147" s="3">
        <f>infections!X147-infections!W147</f>
        <v>0</v>
      </c>
      <c r="Y147" s="3">
        <f>infections!Y147-infections!X147</f>
        <v>0</v>
      </c>
      <c r="Z147" s="3">
        <f>infections!Z147-infections!Y147</f>
        <v>0</v>
      </c>
      <c r="AA147" s="3">
        <f>infections!AA147-infections!Z147</f>
        <v>0</v>
      </c>
      <c r="AB147" s="3">
        <f>infections!AB147-infections!AA147</f>
        <v>0</v>
      </c>
      <c r="AC147" s="3">
        <f>infections!AC147-infections!AB147</f>
        <v>0</v>
      </c>
      <c r="AD147" s="3">
        <f>infections!AD147-infections!AC147</f>
        <v>0</v>
      </c>
      <c r="AE147" s="3">
        <f>infections!AE147-infections!AD147</f>
        <v>0</v>
      </c>
      <c r="AF147" s="3">
        <f>infections!AF147-infections!AE147</f>
        <v>0</v>
      </c>
      <c r="AG147" s="3">
        <f>infections!AG147-infections!AF147</f>
        <v>0</v>
      </c>
      <c r="AH147" s="3">
        <f>infections!AH147-infections!AG147</f>
        <v>0</v>
      </c>
      <c r="AI147" s="3">
        <f>infections!AI147-infections!AH147</f>
        <v>0</v>
      </c>
      <c r="AJ147" s="3">
        <f>infections!AJ147-infections!AI147</f>
        <v>0</v>
      </c>
      <c r="AK147" s="3">
        <f>infections!AK147-infections!AJ147</f>
        <v>0</v>
      </c>
      <c r="AL147" s="3">
        <f>infections!AL147-infections!AK147</f>
        <v>0</v>
      </c>
      <c r="AM147" s="3">
        <f>infections!AM147-infections!AL147</f>
        <v>0</v>
      </c>
      <c r="AN147" s="3">
        <f>infections!AN147-infections!AM147</f>
        <v>0</v>
      </c>
      <c r="AO147" s="3">
        <f>infections!AO147-infections!AN147</f>
        <v>0</v>
      </c>
      <c r="AP147" s="3">
        <f>infections!AP147-infections!AO147</f>
        <v>0</v>
      </c>
      <c r="AQ147" s="3">
        <f>infections!AQ147-infections!AP147</f>
        <v>0</v>
      </c>
      <c r="AR147" s="3">
        <f>infections!AR147-infections!AQ147</f>
        <v>0</v>
      </c>
      <c r="AS147" s="3">
        <f>infections!AS147-infections!AR147</f>
        <v>0</v>
      </c>
      <c r="AT147" s="3">
        <f>infections!AT147-infections!AS147</f>
        <v>0</v>
      </c>
      <c r="AU147" s="3">
        <f>infections!AU147-infections!AT147</f>
        <v>0</v>
      </c>
      <c r="AV147" s="3">
        <f>infections!AV147-infections!AU147</f>
        <v>0</v>
      </c>
      <c r="AW147" s="3">
        <f>infections!AW147-infections!AV147</f>
        <v>0</v>
      </c>
      <c r="AX147" s="3">
        <f>infections!AX147-infections!AW147</f>
        <v>0</v>
      </c>
      <c r="AY147" s="3">
        <f>infections!AY147-infections!AX147</f>
        <v>0</v>
      </c>
      <c r="AZ147" s="3">
        <f>infections!AZ147-infections!AY147</f>
        <v>0</v>
      </c>
      <c r="BA147" s="3">
        <f>infections!BA147-infections!AZ147</f>
        <v>0</v>
      </c>
      <c r="BB147" s="3">
        <f>infections!BB147-infections!BA147</f>
        <v>0</v>
      </c>
      <c r="BC147" s="3">
        <f>infections!BC147-infections!BB147</f>
        <v>0</v>
      </c>
      <c r="BD147" s="3">
        <f>infections!BD147-infections!BC147</f>
        <v>0</v>
      </c>
      <c r="BE147" s="3">
        <f>infections!BE147-infections!BD147</f>
        <v>0</v>
      </c>
      <c r="BF147" s="3">
        <f>infections!BF147-infections!BE147</f>
        <v>0</v>
      </c>
      <c r="BG147" s="3">
        <f>infections!BG147-infections!BF147</f>
        <v>0</v>
      </c>
      <c r="BH147" s="3">
        <f>infections!BH147-infections!BG147</f>
        <v>0</v>
      </c>
      <c r="BI147" s="3">
        <f>infections!BI147-infections!BH147</f>
        <v>3</v>
      </c>
      <c r="BJ147" s="3">
        <f>infections!BJ147-infections!BI147</f>
        <v>0</v>
      </c>
      <c r="BK147" s="3">
        <f>infections!BK147-infections!BJ147</f>
        <v>3</v>
      </c>
      <c r="BL147" s="3">
        <f>infections!BL147-infections!BK147</f>
        <v>8</v>
      </c>
      <c r="BM147" s="3">
        <f>infections!BM147-infections!BL147</f>
        <v>0</v>
      </c>
      <c r="BN147" s="3">
        <f>infections!BN147-infections!BM147</f>
        <v>2</v>
      </c>
      <c r="BO147" s="3">
        <f>infections!BO147-infections!BN147</f>
        <v>26</v>
      </c>
      <c r="BP147" s="3">
        <f>infections!BP147-infections!BO147</f>
        <v>2</v>
      </c>
      <c r="BQ147" s="3">
        <f>infections!BQ147-infections!BP147</f>
        <v>0</v>
      </c>
      <c r="BR147" s="3">
        <f>infections!BR147-infections!BQ147</f>
        <v>14</v>
      </c>
      <c r="BS147" s="3">
        <f>infections!BS147-infections!BR147</f>
        <v>0</v>
      </c>
      <c r="BT147" s="3">
        <f>infections!BT147-infections!BS147</f>
        <v>26</v>
      </c>
      <c r="BU147" s="3">
        <f>infections!BU147-infections!BT147</f>
        <v>10</v>
      </c>
      <c r="BV147" s="3">
        <f>infections!BV147-infections!BU147</f>
        <v>13</v>
      </c>
      <c r="BW147" s="3">
        <f>infections!BW147-infections!BV147</f>
        <v>4</v>
      </c>
      <c r="BX147" s="3">
        <f>infections!BX147-infections!BW147</f>
        <v>5</v>
      </c>
      <c r="BY147" s="3">
        <f>infections!BY147-infections!BX147</f>
        <v>14</v>
      </c>
    </row>
    <row r="148">
      <c r="B148" s="1" t="str">
        <f>infections!B148</f>
        <v>Latvia</v>
      </c>
      <c r="C148" s="4">
        <f>infections!C148</f>
        <v>56.8796</v>
      </c>
      <c r="D148" s="4">
        <f>infections!D148</f>
        <v>24.6032</v>
      </c>
      <c r="E148" s="4">
        <f>infections!E148</f>
        <v>0</v>
      </c>
      <c r="F148" s="3">
        <f>infections!F148-infections!E148</f>
        <v>0</v>
      </c>
      <c r="G148" s="3">
        <f>infections!G148-infections!F148</f>
        <v>0</v>
      </c>
      <c r="H148" s="3">
        <f>infections!H148-infections!G148</f>
        <v>0</v>
      </c>
      <c r="I148" s="3">
        <f>infections!I148-infections!H148</f>
        <v>0</v>
      </c>
      <c r="J148" s="3">
        <f>infections!J148-infections!I148</f>
        <v>0</v>
      </c>
      <c r="K148" s="3">
        <f>infections!K148-infections!J148</f>
        <v>0</v>
      </c>
      <c r="L148" s="3">
        <f>infections!L148-infections!K148</f>
        <v>0</v>
      </c>
      <c r="M148" s="3">
        <f>infections!M148-infections!L148</f>
        <v>0</v>
      </c>
      <c r="N148" s="3">
        <f>infections!N148-infections!M148</f>
        <v>0</v>
      </c>
      <c r="O148" s="3">
        <f>infections!O148-infections!N148</f>
        <v>0</v>
      </c>
      <c r="P148" s="3">
        <f>infections!P148-infections!O148</f>
        <v>0</v>
      </c>
      <c r="Q148" s="3">
        <f>infections!Q148-infections!P148</f>
        <v>0</v>
      </c>
      <c r="R148" s="3">
        <f>infections!R148-infections!Q148</f>
        <v>0</v>
      </c>
      <c r="S148" s="3">
        <f>infections!S148-infections!R148</f>
        <v>0</v>
      </c>
      <c r="T148" s="3">
        <f>infections!T148-infections!S148</f>
        <v>0</v>
      </c>
      <c r="U148" s="3">
        <f>infections!U148-infections!T148</f>
        <v>0</v>
      </c>
      <c r="V148" s="3">
        <f>infections!V148-infections!U148</f>
        <v>0</v>
      </c>
      <c r="W148" s="3">
        <f>infections!W148-infections!V148</f>
        <v>0</v>
      </c>
      <c r="X148" s="3">
        <f>infections!X148-infections!W148</f>
        <v>0</v>
      </c>
      <c r="Y148" s="3">
        <f>infections!Y148-infections!X148</f>
        <v>0</v>
      </c>
      <c r="Z148" s="3">
        <f>infections!Z148-infections!Y148</f>
        <v>0</v>
      </c>
      <c r="AA148" s="3">
        <f>infections!AA148-infections!Z148</f>
        <v>0</v>
      </c>
      <c r="AB148" s="3">
        <f>infections!AB148-infections!AA148</f>
        <v>0</v>
      </c>
      <c r="AC148" s="3">
        <f>infections!AC148-infections!AB148</f>
        <v>0</v>
      </c>
      <c r="AD148" s="3">
        <f>infections!AD148-infections!AC148</f>
        <v>0</v>
      </c>
      <c r="AE148" s="3">
        <f>infections!AE148-infections!AD148</f>
        <v>0</v>
      </c>
      <c r="AF148" s="3">
        <f>infections!AF148-infections!AE148</f>
        <v>0</v>
      </c>
      <c r="AG148" s="3">
        <f>infections!AG148-infections!AF148</f>
        <v>0</v>
      </c>
      <c r="AH148" s="3">
        <f>infections!AH148-infections!AG148</f>
        <v>0</v>
      </c>
      <c r="AI148" s="3">
        <f>infections!AI148-infections!AH148</f>
        <v>0</v>
      </c>
      <c r="AJ148" s="3">
        <f>infections!AJ148-infections!AI148</f>
        <v>0</v>
      </c>
      <c r="AK148" s="3">
        <f>infections!AK148-infections!AJ148</f>
        <v>0</v>
      </c>
      <c r="AL148" s="3">
        <f>infections!AL148-infections!AK148</f>
        <v>0</v>
      </c>
      <c r="AM148" s="3">
        <f>infections!AM148-infections!AL148</f>
        <v>0</v>
      </c>
      <c r="AN148" s="3">
        <f>infections!AN148-infections!AM148</f>
        <v>0</v>
      </c>
      <c r="AO148" s="3">
        <f>infections!AO148-infections!AN148</f>
        <v>0</v>
      </c>
      <c r="AP148" s="3">
        <f>infections!AP148-infections!AO148</f>
        <v>0</v>
      </c>
      <c r="AQ148" s="3">
        <f>infections!AQ148-infections!AP148</f>
        <v>0</v>
      </c>
      <c r="AR148" s="3">
        <f>infections!AR148-infections!AQ148</f>
        <v>0</v>
      </c>
      <c r="AS148" s="3">
        <f>infections!AS148-infections!AR148</f>
        <v>1</v>
      </c>
      <c r="AT148" s="3">
        <f>infections!AT148-infections!AS148</f>
        <v>0</v>
      </c>
      <c r="AU148" s="3">
        <f>infections!AU148-infections!AT148</f>
        <v>0</v>
      </c>
      <c r="AV148" s="3">
        <f>infections!AV148-infections!AU148</f>
        <v>0</v>
      </c>
      <c r="AW148" s="3">
        <f>infections!AW148-infections!AV148</f>
        <v>0</v>
      </c>
      <c r="AX148" s="3">
        <f>infections!AX148-infections!AW148</f>
        <v>0</v>
      </c>
      <c r="AY148" s="3">
        <f>infections!AY148-infections!AX148</f>
        <v>1</v>
      </c>
      <c r="AZ148" s="3">
        <f>infections!AZ148-infections!AY148</f>
        <v>4</v>
      </c>
      <c r="BA148" s="3">
        <f>infections!BA148-infections!AZ148</f>
        <v>2</v>
      </c>
      <c r="BB148" s="3">
        <f>infections!BB148-infections!BA148</f>
        <v>2</v>
      </c>
      <c r="BC148" s="3">
        <f>infections!BC148-infections!BB148</f>
        <v>0</v>
      </c>
      <c r="BD148" s="3">
        <f>infections!BD148-infections!BC148</f>
        <v>7</v>
      </c>
      <c r="BE148" s="3">
        <f>infections!BE148-infections!BD148</f>
        <v>9</v>
      </c>
      <c r="BF148" s="3">
        <f>infections!BF148-infections!BE148</f>
        <v>4</v>
      </c>
      <c r="BG148" s="3">
        <f>infections!BG148-infections!BF148</f>
        <v>4</v>
      </c>
      <c r="BH148" s="3">
        <f>infections!BH148-infections!BG148</f>
        <v>15</v>
      </c>
      <c r="BI148" s="3">
        <f>infections!BI148-infections!BH148</f>
        <v>22</v>
      </c>
      <c r="BJ148" s="3">
        <f>infections!BJ148-infections!BI148</f>
        <v>15</v>
      </c>
      <c r="BK148" s="3">
        <f>infections!BK148-infections!BJ148</f>
        <v>25</v>
      </c>
      <c r="BL148" s="3">
        <f>infections!BL148-infections!BK148</f>
        <v>13</v>
      </c>
      <c r="BM148" s="3">
        <f>infections!BM148-infections!BL148</f>
        <v>15</v>
      </c>
      <c r="BN148" s="3">
        <f>infections!BN148-infections!BM148</f>
        <v>41</v>
      </c>
      <c r="BO148" s="3">
        <f>infections!BO148-infections!BN148</f>
        <v>17</v>
      </c>
      <c r="BP148" s="3">
        <f>infections!BP148-infections!BO148</f>
        <v>24</v>
      </c>
      <c r="BQ148" s="3">
        <f>infections!BQ148-infections!BP148</f>
        <v>23</v>
      </c>
      <c r="BR148" s="3">
        <f>infections!BR148-infections!BQ148</f>
        <v>36</v>
      </c>
      <c r="BS148" s="3">
        <f>infections!BS148-infections!BR148</f>
        <v>25</v>
      </c>
      <c r="BT148" s="3">
        <f>infections!BT148-infections!BS148</f>
        <v>42</v>
      </c>
      <c r="BU148" s="3">
        <f>infections!BU148-infections!BT148</f>
        <v>29</v>
      </c>
      <c r="BV148" s="3">
        <f>infections!BV148-infections!BU148</f>
        <v>22</v>
      </c>
      <c r="BW148" s="3">
        <f>infections!BW148-infections!BV148</f>
        <v>48</v>
      </c>
      <c r="BX148" s="3">
        <f>infections!BX148-infections!BW148</f>
        <v>12</v>
      </c>
      <c r="BY148" s="3">
        <f>infections!BY148-infections!BX148</f>
        <v>35</v>
      </c>
    </row>
    <row r="149">
      <c r="B149" s="1" t="str">
        <f>infections!B149</f>
        <v>Lebanon</v>
      </c>
      <c r="C149" s="4">
        <f>infections!C149</f>
        <v>33.8547</v>
      </c>
      <c r="D149" s="4">
        <f>infections!D149</f>
        <v>35.8623</v>
      </c>
      <c r="E149" s="4">
        <f>infections!E149</f>
        <v>0</v>
      </c>
      <c r="F149" s="3">
        <f>infections!F149-infections!E149</f>
        <v>0</v>
      </c>
      <c r="G149" s="3">
        <f>infections!G149-infections!F149</f>
        <v>0</v>
      </c>
      <c r="H149" s="3">
        <f>infections!H149-infections!G149</f>
        <v>0</v>
      </c>
      <c r="I149" s="3">
        <f>infections!I149-infections!H149</f>
        <v>0</v>
      </c>
      <c r="J149" s="3">
        <f>infections!J149-infections!I149</f>
        <v>0</v>
      </c>
      <c r="K149" s="3">
        <f>infections!K149-infections!J149</f>
        <v>0</v>
      </c>
      <c r="L149" s="3">
        <f>infections!L149-infections!K149</f>
        <v>0</v>
      </c>
      <c r="M149" s="3">
        <f>infections!M149-infections!L149</f>
        <v>0</v>
      </c>
      <c r="N149" s="3">
        <f>infections!N149-infections!M149</f>
        <v>0</v>
      </c>
      <c r="O149" s="3">
        <f>infections!O149-infections!N149</f>
        <v>0</v>
      </c>
      <c r="P149" s="3">
        <f>infections!P149-infections!O149</f>
        <v>0</v>
      </c>
      <c r="Q149" s="3">
        <f>infections!Q149-infections!P149</f>
        <v>0</v>
      </c>
      <c r="R149" s="3">
        <f>infections!R149-infections!Q149</f>
        <v>0</v>
      </c>
      <c r="S149" s="3">
        <f>infections!S149-infections!R149</f>
        <v>0</v>
      </c>
      <c r="T149" s="3">
        <f>infections!T149-infections!S149</f>
        <v>0</v>
      </c>
      <c r="U149" s="3">
        <f>infections!U149-infections!T149</f>
        <v>0</v>
      </c>
      <c r="V149" s="3">
        <f>infections!V149-infections!U149</f>
        <v>0</v>
      </c>
      <c r="W149" s="3">
        <f>infections!W149-infections!V149</f>
        <v>0</v>
      </c>
      <c r="X149" s="3">
        <f>infections!X149-infections!W149</f>
        <v>0</v>
      </c>
      <c r="Y149" s="3">
        <f>infections!Y149-infections!X149</f>
        <v>0</v>
      </c>
      <c r="Z149" s="3">
        <f>infections!Z149-infections!Y149</f>
        <v>0</v>
      </c>
      <c r="AA149" s="3">
        <f>infections!AA149-infections!Z149</f>
        <v>0</v>
      </c>
      <c r="AB149" s="3">
        <f>infections!AB149-infections!AA149</f>
        <v>0</v>
      </c>
      <c r="AC149" s="3">
        <f>infections!AC149-infections!AB149</f>
        <v>0</v>
      </c>
      <c r="AD149" s="3">
        <f>infections!AD149-infections!AC149</f>
        <v>0</v>
      </c>
      <c r="AE149" s="3">
        <f>infections!AE149-infections!AD149</f>
        <v>0</v>
      </c>
      <c r="AF149" s="3">
        <f>infections!AF149-infections!AE149</f>
        <v>0</v>
      </c>
      <c r="AG149" s="3">
        <f>infections!AG149-infections!AF149</f>
        <v>0</v>
      </c>
      <c r="AH149" s="3">
        <f>infections!AH149-infections!AG149</f>
        <v>0</v>
      </c>
      <c r="AI149" s="3">
        <f>infections!AI149-infections!AH149</f>
        <v>1</v>
      </c>
      <c r="AJ149" s="3">
        <f>infections!AJ149-infections!AI149</f>
        <v>0</v>
      </c>
      <c r="AK149" s="3">
        <f>infections!AK149-infections!AJ149</f>
        <v>0</v>
      </c>
      <c r="AL149" s="3">
        <f>infections!AL149-infections!AK149</f>
        <v>0</v>
      </c>
      <c r="AM149" s="3">
        <f>infections!AM149-infections!AL149</f>
        <v>0</v>
      </c>
      <c r="AN149" s="3">
        <f>infections!AN149-infections!AM149</f>
        <v>1</v>
      </c>
      <c r="AO149" s="3">
        <f>infections!AO149-infections!AN149</f>
        <v>0</v>
      </c>
      <c r="AP149" s="3">
        <f>infections!AP149-infections!AO149</f>
        <v>0</v>
      </c>
      <c r="AQ149" s="3">
        <f>infections!AQ149-infections!AP149</f>
        <v>2</v>
      </c>
      <c r="AR149" s="3">
        <f>infections!AR149-infections!AQ149</f>
        <v>6</v>
      </c>
      <c r="AS149" s="3">
        <f>infections!AS149-infections!AR149</f>
        <v>3</v>
      </c>
      <c r="AT149" s="3">
        <f>infections!AT149-infections!AS149</f>
        <v>0</v>
      </c>
      <c r="AU149" s="3">
        <f>infections!AU149-infections!AT149</f>
        <v>0</v>
      </c>
      <c r="AV149" s="3">
        <f>infections!AV149-infections!AU149</f>
        <v>3</v>
      </c>
      <c r="AW149" s="3">
        <f>infections!AW149-infections!AV149</f>
        <v>6</v>
      </c>
      <c r="AX149" s="3">
        <f>infections!AX149-infections!AW149</f>
        <v>0</v>
      </c>
      <c r="AY149" s="3">
        <f>infections!AY149-infections!AX149</f>
        <v>10</v>
      </c>
      <c r="AZ149" s="3">
        <f>infections!AZ149-infections!AY149</f>
        <v>0</v>
      </c>
      <c r="BA149" s="3">
        <f>infections!BA149-infections!AZ149</f>
        <v>9</v>
      </c>
      <c r="BB149" s="3">
        <f>infections!BB149-infections!BA149</f>
        <v>20</v>
      </c>
      <c r="BC149" s="3">
        <f>infections!BC149-infections!BB149</f>
        <v>0</v>
      </c>
      <c r="BD149" s="3">
        <f>infections!BD149-infections!BC149</f>
        <v>16</v>
      </c>
      <c r="BE149" s="3">
        <f>infections!BE149-infections!BD149</f>
        <v>16</v>
      </c>
      <c r="BF149" s="3">
        <f>infections!BF149-infections!BE149</f>
        <v>17</v>
      </c>
      <c r="BG149" s="3">
        <f>infections!BG149-infections!BF149</f>
        <v>0</v>
      </c>
      <c r="BH149" s="3">
        <f>infections!BH149-infections!BG149</f>
        <v>10</v>
      </c>
      <c r="BI149" s="3">
        <f>infections!BI149-infections!BH149</f>
        <v>13</v>
      </c>
      <c r="BJ149" s="3">
        <f>infections!BJ149-infections!BI149</f>
        <v>24</v>
      </c>
      <c r="BK149" s="3">
        <f>infections!BK149-infections!BJ149</f>
        <v>6</v>
      </c>
      <c r="BL149" s="3">
        <f>infections!BL149-infections!BK149</f>
        <v>24</v>
      </c>
      <c r="BM149" s="3">
        <f>infections!BM149-infections!BL149</f>
        <v>61</v>
      </c>
      <c r="BN149" s="3">
        <f>infections!BN149-infections!BM149</f>
        <v>19</v>
      </c>
      <c r="BO149" s="3">
        <f>infections!BO149-infections!BN149</f>
        <v>51</v>
      </c>
      <c r="BP149" s="3">
        <f>infections!BP149-infections!BO149</f>
        <v>15</v>
      </c>
      <c r="BQ149" s="3">
        <f>infections!BQ149-infections!BP149</f>
        <v>35</v>
      </c>
      <c r="BR149" s="3">
        <f>infections!BR149-infections!BQ149</f>
        <v>23</v>
      </c>
      <c r="BS149" s="3">
        <f>infections!BS149-infections!BR149</f>
        <v>21</v>
      </c>
      <c r="BT149" s="3">
        <f>infections!BT149-infections!BS149</f>
        <v>26</v>
      </c>
      <c r="BU149" s="3">
        <f>infections!BU149-infections!BT149</f>
        <v>8</v>
      </c>
      <c r="BV149" s="3">
        <f>infections!BV149-infections!BU149</f>
        <v>24</v>
      </c>
      <c r="BW149" s="3">
        <f>infections!BW149-infections!BV149</f>
        <v>9</v>
      </c>
      <c r="BX149" s="3">
        <f>infections!BX149-infections!BW149</f>
        <v>15</v>
      </c>
      <c r="BY149" s="3">
        <f>infections!BY149-infections!BX149</f>
        <v>14</v>
      </c>
    </row>
    <row r="150">
      <c r="B150" s="1" t="str">
        <f>infections!B150</f>
        <v>Liberia</v>
      </c>
      <c r="C150" s="4">
        <f>infections!C150</f>
        <v>6.4281</v>
      </c>
      <c r="D150" s="4">
        <f>infections!D150</f>
        <v>-9.4295</v>
      </c>
      <c r="E150" s="4">
        <f>infections!E150</f>
        <v>0</v>
      </c>
      <c r="F150" s="3">
        <f>infections!F150-infections!E150</f>
        <v>0</v>
      </c>
      <c r="G150" s="3">
        <f>infections!G150-infections!F150</f>
        <v>0</v>
      </c>
      <c r="H150" s="3">
        <f>infections!H150-infections!G150</f>
        <v>0</v>
      </c>
      <c r="I150" s="3">
        <f>infections!I150-infections!H150</f>
        <v>0</v>
      </c>
      <c r="J150" s="3">
        <f>infections!J150-infections!I150</f>
        <v>0</v>
      </c>
      <c r="K150" s="3">
        <f>infections!K150-infections!J150</f>
        <v>0</v>
      </c>
      <c r="L150" s="3">
        <f>infections!L150-infections!K150</f>
        <v>0</v>
      </c>
      <c r="M150" s="3">
        <f>infections!M150-infections!L150</f>
        <v>0</v>
      </c>
      <c r="N150" s="3">
        <f>infections!N150-infections!M150</f>
        <v>0</v>
      </c>
      <c r="O150" s="3">
        <f>infections!O150-infections!N150</f>
        <v>0</v>
      </c>
      <c r="P150" s="3">
        <f>infections!P150-infections!O150</f>
        <v>0</v>
      </c>
      <c r="Q150" s="3">
        <f>infections!Q150-infections!P150</f>
        <v>0</v>
      </c>
      <c r="R150" s="3">
        <f>infections!R150-infections!Q150</f>
        <v>0</v>
      </c>
      <c r="S150" s="3">
        <f>infections!S150-infections!R150</f>
        <v>0</v>
      </c>
      <c r="T150" s="3">
        <f>infections!T150-infections!S150</f>
        <v>0</v>
      </c>
      <c r="U150" s="3">
        <f>infections!U150-infections!T150</f>
        <v>0</v>
      </c>
      <c r="V150" s="3">
        <f>infections!V150-infections!U150</f>
        <v>0</v>
      </c>
      <c r="W150" s="3">
        <f>infections!W150-infections!V150</f>
        <v>0</v>
      </c>
      <c r="X150" s="3">
        <f>infections!X150-infections!W150</f>
        <v>0</v>
      </c>
      <c r="Y150" s="3">
        <f>infections!Y150-infections!X150</f>
        <v>0</v>
      </c>
      <c r="Z150" s="3">
        <f>infections!Z150-infections!Y150</f>
        <v>0</v>
      </c>
      <c r="AA150" s="3">
        <f>infections!AA150-infections!Z150</f>
        <v>0</v>
      </c>
      <c r="AB150" s="3">
        <f>infections!AB150-infections!AA150</f>
        <v>0</v>
      </c>
      <c r="AC150" s="3">
        <f>infections!AC150-infections!AB150</f>
        <v>0</v>
      </c>
      <c r="AD150" s="3">
        <f>infections!AD150-infections!AC150</f>
        <v>0</v>
      </c>
      <c r="AE150" s="3">
        <f>infections!AE150-infections!AD150</f>
        <v>0</v>
      </c>
      <c r="AF150" s="3">
        <f>infections!AF150-infections!AE150</f>
        <v>0</v>
      </c>
      <c r="AG150" s="3">
        <f>infections!AG150-infections!AF150</f>
        <v>0</v>
      </c>
      <c r="AH150" s="3">
        <f>infections!AH150-infections!AG150</f>
        <v>0</v>
      </c>
      <c r="AI150" s="3">
        <f>infections!AI150-infections!AH150</f>
        <v>0</v>
      </c>
      <c r="AJ150" s="3">
        <f>infections!AJ150-infections!AI150</f>
        <v>0</v>
      </c>
      <c r="AK150" s="3">
        <f>infections!AK150-infections!AJ150</f>
        <v>0</v>
      </c>
      <c r="AL150" s="3">
        <f>infections!AL150-infections!AK150</f>
        <v>0</v>
      </c>
      <c r="AM150" s="3">
        <f>infections!AM150-infections!AL150</f>
        <v>0</v>
      </c>
      <c r="AN150" s="3">
        <f>infections!AN150-infections!AM150</f>
        <v>0</v>
      </c>
      <c r="AO150" s="3">
        <f>infections!AO150-infections!AN150</f>
        <v>0</v>
      </c>
      <c r="AP150" s="3">
        <f>infections!AP150-infections!AO150</f>
        <v>0</v>
      </c>
      <c r="AQ150" s="3">
        <f>infections!AQ150-infections!AP150</f>
        <v>0</v>
      </c>
      <c r="AR150" s="3">
        <f>infections!AR150-infections!AQ150</f>
        <v>0</v>
      </c>
      <c r="AS150" s="3">
        <f>infections!AS150-infections!AR150</f>
        <v>0</v>
      </c>
      <c r="AT150" s="3">
        <f>infections!AT150-infections!AS150</f>
        <v>0</v>
      </c>
      <c r="AU150" s="3">
        <f>infections!AU150-infections!AT150</f>
        <v>0</v>
      </c>
      <c r="AV150" s="3">
        <f>infections!AV150-infections!AU150</f>
        <v>0</v>
      </c>
      <c r="AW150" s="3">
        <f>infections!AW150-infections!AV150</f>
        <v>0</v>
      </c>
      <c r="AX150" s="3">
        <f>infections!AX150-infections!AW150</f>
        <v>0</v>
      </c>
      <c r="AY150" s="3">
        <f>infections!AY150-infections!AX150</f>
        <v>0</v>
      </c>
      <c r="AZ150" s="3">
        <f>infections!AZ150-infections!AY150</f>
        <v>0</v>
      </c>
      <c r="BA150" s="3">
        <f>infections!BA150-infections!AZ150</f>
        <v>0</v>
      </c>
      <c r="BB150" s="3">
        <f>infections!BB150-infections!BA150</f>
        <v>0</v>
      </c>
      <c r="BC150" s="3">
        <f>infections!BC150-infections!BB150</f>
        <v>0</v>
      </c>
      <c r="BD150" s="3">
        <f>infections!BD150-infections!BC150</f>
        <v>0</v>
      </c>
      <c r="BE150" s="3">
        <f>infections!BE150-infections!BD150</f>
        <v>0</v>
      </c>
      <c r="BF150" s="3">
        <f>infections!BF150-infections!BE150</f>
        <v>0</v>
      </c>
      <c r="BG150" s="3">
        <f>infections!BG150-infections!BF150</f>
        <v>1</v>
      </c>
      <c r="BH150" s="3">
        <f>infections!BH150-infections!BG150</f>
        <v>0</v>
      </c>
      <c r="BI150" s="3">
        <f>infections!BI150-infections!BH150</f>
        <v>1</v>
      </c>
      <c r="BJ150" s="3">
        <f>infections!BJ150-infections!BI150</f>
        <v>0</v>
      </c>
      <c r="BK150" s="3">
        <f>infections!BK150-infections!BJ150</f>
        <v>0</v>
      </c>
      <c r="BL150" s="3">
        <f>infections!BL150-infections!BK150</f>
        <v>1</v>
      </c>
      <c r="BM150" s="3">
        <f>infections!BM150-infections!BL150</f>
        <v>0</v>
      </c>
      <c r="BN150" s="3">
        <f>infections!BN150-infections!BM150</f>
        <v>0</v>
      </c>
      <c r="BO150" s="3">
        <f>infections!BO150-infections!BN150</f>
        <v>0</v>
      </c>
      <c r="BP150" s="3">
        <f>infections!BP150-infections!BO150</f>
        <v>0</v>
      </c>
      <c r="BQ150" s="3">
        <f>infections!BQ150-infections!BP150</f>
        <v>0</v>
      </c>
      <c r="BR150" s="3">
        <f>infections!BR150-infections!BQ150</f>
        <v>0</v>
      </c>
      <c r="BS150" s="3">
        <f>infections!BS150-infections!BR150</f>
        <v>0</v>
      </c>
      <c r="BT150" s="3">
        <f>infections!BT150-infections!BS150</f>
        <v>0</v>
      </c>
      <c r="BU150" s="3">
        <f>infections!BU150-infections!BT150</f>
        <v>0</v>
      </c>
      <c r="BV150" s="3">
        <f>infections!BV150-infections!BU150</f>
        <v>0</v>
      </c>
      <c r="BW150" s="3">
        <f>infections!BW150-infections!BV150</f>
        <v>3</v>
      </c>
      <c r="BX150" s="3">
        <f>infections!BX150-infections!BW150</f>
        <v>0</v>
      </c>
      <c r="BY150" s="3">
        <f>infections!BY150-infections!BX150</f>
        <v>1</v>
      </c>
    </row>
    <row r="151">
      <c r="B151" s="1" t="str">
        <f>infections!B151</f>
        <v>Liechtenstein</v>
      </c>
      <c r="C151" s="4">
        <f>infections!C151</f>
        <v>47.14</v>
      </c>
      <c r="D151" s="4">
        <f>infections!D151</f>
        <v>9.55</v>
      </c>
      <c r="E151" s="4">
        <f>infections!E151</f>
        <v>0</v>
      </c>
      <c r="F151" s="3">
        <f>infections!F151-infections!E151</f>
        <v>0</v>
      </c>
      <c r="G151" s="3">
        <f>infections!G151-infections!F151</f>
        <v>0</v>
      </c>
      <c r="H151" s="3">
        <f>infections!H151-infections!G151</f>
        <v>0</v>
      </c>
      <c r="I151" s="3">
        <f>infections!I151-infections!H151</f>
        <v>0</v>
      </c>
      <c r="J151" s="3">
        <f>infections!J151-infections!I151</f>
        <v>0</v>
      </c>
      <c r="K151" s="3">
        <f>infections!K151-infections!J151</f>
        <v>0</v>
      </c>
      <c r="L151" s="3">
        <f>infections!L151-infections!K151</f>
        <v>0</v>
      </c>
      <c r="M151" s="3">
        <f>infections!M151-infections!L151</f>
        <v>0</v>
      </c>
      <c r="N151" s="3">
        <f>infections!N151-infections!M151</f>
        <v>0</v>
      </c>
      <c r="O151" s="3">
        <f>infections!O151-infections!N151</f>
        <v>0</v>
      </c>
      <c r="P151" s="3">
        <f>infections!P151-infections!O151</f>
        <v>0</v>
      </c>
      <c r="Q151" s="3">
        <f>infections!Q151-infections!P151</f>
        <v>0</v>
      </c>
      <c r="R151" s="3">
        <f>infections!R151-infections!Q151</f>
        <v>0</v>
      </c>
      <c r="S151" s="3">
        <f>infections!S151-infections!R151</f>
        <v>0</v>
      </c>
      <c r="T151" s="3">
        <f>infections!T151-infections!S151</f>
        <v>0</v>
      </c>
      <c r="U151" s="3">
        <f>infections!U151-infections!T151</f>
        <v>0</v>
      </c>
      <c r="V151" s="3">
        <f>infections!V151-infections!U151</f>
        <v>0</v>
      </c>
      <c r="W151" s="3">
        <f>infections!W151-infections!V151</f>
        <v>0</v>
      </c>
      <c r="X151" s="3">
        <f>infections!X151-infections!W151</f>
        <v>0</v>
      </c>
      <c r="Y151" s="3">
        <f>infections!Y151-infections!X151</f>
        <v>0</v>
      </c>
      <c r="Z151" s="3">
        <f>infections!Z151-infections!Y151</f>
        <v>0</v>
      </c>
      <c r="AA151" s="3">
        <f>infections!AA151-infections!Z151</f>
        <v>0</v>
      </c>
      <c r="AB151" s="3">
        <f>infections!AB151-infections!AA151</f>
        <v>0</v>
      </c>
      <c r="AC151" s="3">
        <f>infections!AC151-infections!AB151</f>
        <v>0</v>
      </c>
      <c r="AD151" s="3">
        <f>infections!AD151-infections!AC151</f>
        <v>0</v>
      </c>
      <c r="AE151" s="3">
        <f>infections!AE151-infections!AD151</f>
        <v>0</v>
      </c>
      <c r="AF151" s="3">
        <f>infections!AF151-infections!AE151</f>
        <v>0</v>
      </c>
      <c r="AG151" s="3">
        <f>infections!AG151-infections!AF151</f>
        <v>0</v>
      </c>
      <c r="AH151" s="3">
        <f>infections!AH151-infections!AG151</f>
        <v>0</v>
      </c>
      <c r="AI151" s="3">
        <f>infections!AI151-infections!AH151</f>
        <v>0</v>
      </c>
      <c r="AJ151" s="3">
        <f>infections!AJ151-infections!AI151</f>
        <v>0</v>
      </c>
      <c r="AK151" s="3">
        <f>infections!AK151-infections!AJ151</f>
        <v>0</v>
      </c>
      <c r="AL151" s="3">
        <f>infections!AL151-infections!AK151</f>
        <v>0</v>
      </c>
      <c r="AM151" s="3">
        <f>infections!AM151-infections!AL151</f>
        <v>0</v>
      </c>
      <c r="AN151" s="3">
        <f>infections!AN151-infections!AM151</f>
        <v>0</v>
      </c>
      <c r="AO151" s="3">
        <f>infections!AO151-infections!AN151</f>
        <v>0</v>
      </c>
      <c r="AP151" s="3">
        <f>infections!AP151-infections!AO151</f>
        <v>0</v>
      </c>
      <c r="AQ151" s="3">
        <f>infections!AQ151-infections!AP151</f>
        <v>0</v>
      </c>
      <c r="AR151" s="3">
        <f>infections!AR151-infections!AQ151</f>
        <v>0</v>
      </c>
      <c r="AS151" s="3">
        <f>infections!AS151-infections!AR151</f>
        <v>0</v>
      </c>
      <c r="AT151" s="3">
        <f>infections!AT151-infections!AS151</f>
        <v>0</v>
      </c>
      <c r="AU151" s="3">
        <f>infections!AU151-infections!AT151</f>
        <v>1</v>
      </c>
      <c r="AV151" s="3">
        <f>infections!AV151-infections!AU151</f>
        <v>0</v>
      </c>
      <c r="AW151" s="3">
        <f>infections!AW151-infections!AV151</f>
        <v>0</v>
      </c>
      <c r="AX151" s="3">
        <f>infections!AX151-infections!AW151</f>
        <v>0</v>
      </c>
      <c r="AY151" s="3">
        <f>infections!AY151-infections!AX151</f>
        <v>0</v>
      </c>
      <c r="AZ151" s="3">
        <f>infections!AZ151-infections!AY151</f>
        <v>0</v>
      </c>
      <c r="BA151" s="3">
        <f>infections!BA151-infections!AZ151</f>
        <v>0</v>
      </c>
      <c r="BB151" s="3">
        <f>infections!BB151-infections!BA151</f>
        <v>0</v>
      </c>
      <c r="BC151" s="3">
        <f>infections!BC151-infections!BB151</f>
        <v>0</v>
      </c>
      <c r="BD151" s="3">
        <f>infections!BD151-infections!BC151</f>
        <v>0</v>
      </c>
      <c r="BE151" s="3">
        <f>infections!BE151-infections!BD151</f>
        <v>3</v>
      </c>
      <c r="BF151" s="3">
        <f>infections!BF151-infections!BE151</f>
        <v>0</v>
      </c>
      <c r="BG151" s="3">
        <f>infections!BG151-infections!BF151</f>
        <v>0</v>
      </c>
      <c r="BH151" s="3">
        <f>infections!BH151-infections!BG151</f>
        <v>3</v>
      </c>
      <c r="BI151" s="3">
        <f>infections!BI151-infections!BH151</f>
        <v>21</v>
      </c>
      <c r="BJ151" s="3">
        <f>infections!BJ151-infections!BI151</f>
        <v>0</v>
      </c>
      <c r="BK151" s="3">
        <f>infections!BK151-infections!BJ151</f>
        <v>0</v>
      </c>
      <c r="BL151" s="3">
        <f>infections!BL151-infections!BK151</f>
        <v>9</v>
      </c>
      <c r="BM151" s="3">
        <f>infections!BM151-infections!BL151</f>
        <v>0</v>
      </c>
      <c r="BN151" s="3">
        <f>infections!BN151-infections!BM151</f>
        <v>14</v>
      </c>
      <c r="BO151" s="3">
        <f>infections!BO151-infections!BN151</f>
        <v>0</v>
      </c>
      <c r="BP151" s="3">
        <f>infections!BP151-infections!BO151</f>
        <v>0</v>
      </c>
      <c r="BQ151" s="3">
        <f>infections!BQ151-infections!BP151</f>
        <v>5</v>
      </c>
      <c r="BR151" s="3">
        <f>infections!BR151-infections!BQ151</f>
        <v>0</v>
      </c>
      <c r="BS151" s="3">
        <f>infections!BS151-infections!BR151</f>
        <v>0</v>
      </c>
      <c r="BT151" s="3">
        <f>infections!BT151-infections!BS151</f>
        <v>0</v>
      </c>
      <c r="BU151" s="3">
        <f>infections!BU151-infections!BT151</f>
        <v>6</v>
      </c>
      <c r="BV151" s="3">
        <f>infections!BV151-infections!BU151</f>
        <v>6</v>
      </c>
      <c r="BW151" s="3">
        <f>infections!BW151-infections!BV151</f>
        <v>0</v>
      </c>
      <c r="BX151" s="3">
        <f>infections!BX151-infections!BW151</f>
        <v>7</v>
      </c>
      <c r="BY151" s="3">
        <f>infections!BY151-infections!BX151</f>
        <v>0</v>
      </c>
    </row>
    <row r="152">
      <c r="B152" s="1" t="str">
        <f>infections!B152</f>
        <v>Lithuania</v>
      </c>
      <c r="C152" s="4">
        <f>infections!C152</f>
        <v>55.1694</v>
      </c>
      <c r="D152" s="4">
        <f>infections!D152</f>
        <v>23.8813</v>
      </c>
      <c r="E152" s="4">
        <f>infections!E152</f>
        <v>0</v>
      </c>
      <c r="F152" s="3">
        <f>infections!F152-infections!E152</f>
        <v>0</v>
      </c>
      <c r="G152" s="3">
        <f>infections!G152-infections!F152</f>
        <v>0</v>
      </c>
      <c r="H152" s="3">
        <f>infections!H152-infections!G152</f>
        <v>0</v>
      </c>
      <c r="I152" s="3">
        <f>infections!I152-infections!H152</f>
        <v>0</v>
      </c>
      <c r="J152" s="3">
        <f>infections!J152-infections!I152</f>
        <v>0</v>
      </c>
      <c r="K152" s="3">
        <f>infections!K152-infections!J152</f>
        <v>0</v>
      </c>
      <c r="L152" s="3">
        <f>infections!L152-infections!K152</f>
        <v>0</v>
      </c>
      <c r="M152" s="3">
        <f>infections!M152-infections!L152</f>
        <v>0</v>
      </c>
      <c r="N152" s="3">
        <f>infections!N152-infections!M152</f>
        <v>0</v>
      </c>
      <c r="O152" s="3">
        <f>infections!O152-infections!N152</f>
        <v>0</v>
      </c>
      <c r="P152" s="3">
        <f>infections!P152-infections!O152</f>
        <v>0</v>
      </c>
      <c r="Q152" s="3">
        <f>infections!Q152-infections!P152</f>
        <v>0</v>
      </c>
      <c r="R152" s="3">
        <f>infections!R152-infections!Q152</f>
        <v>0</v>
      </c>
      <c r="S152" s="3">
        <f>infections!S152-infections!R152</f>
        <v>0</v>
      </c>
      <c r="T152" s="3">
        <f>infections!T152-infections!S152</f>
        <v>0</v>
      </c>
      <c r="U152" s="3">
        <f>infections!U152-infections!T152</f>
        <v>0</v>
      </c>
      <c r="V152" s="3">
        <f>infections!V152-infections!U152</f>
        <v>0</v>
      </c>
      <c r="W152" s="3">
        <f>infections!W152-infections!V152</f>
        <v>0</v>
      </c>
      <c r="X152" s="3">
        <f>infections!X152-infections!W152</f>
        <v>0</v>
      </c>
      <c r="Y152" s="3">
        <f>infections!Y152-infections!X152</f>
        <v>0</v>
      </c>
      <c r="Z152" s="3">
        <f>infections!Z152-infections!Y152</f>
        <v>0</v>
      </c>
      <c r="AA152" s="3">
        <f>infections!AA152-infections!Z152</f>
        <v>0</v>
      </c>
      <c r="AB152" s="3">
        <f>infections!AB152-infections!AA152</f>
        <v>0</v>
      </c>
      <c r="AC152" s="3">
        <f>infections!AC152-infections!AB152</f>
        <v>0</v>
      </c>
      <c r="AD152" s="3">
        <f>infections!AD152-infections!AC152</f>
        <v>0</v>
      </c>
      <c r="AE152" s="3">
        <f>infections!AE152-infections!AD152</f>
        <v>0</v>
      </c>
      <c r="AF152" s="3">
        <f>infections!AF152-infections!AE152</f>
        <v>0</v>
      </c>
      <c r="AG152" s="3">
        <f>infections!AG152-infections!AF152</f>
        <v>0</v>
      </c>
      <c r="AH152" s="3">
        <f>infections!AH152-infections!AG152</f>
        <v>0</v>
      </c>
      <c r="AI152" s="3">
        <f>infections!AI152-infections!AH152</f>
        <v>0</v>
      </c>
      <c r="AJ152" s="3">
        <f>infections!AJ152-infections!AI152</f>
        <v>0</v>
      </c>
      <c r="AK152" s="3">
        <f>infections!AK152-infections!AJ152</f>
        <v>0</v>
      </c>
      <c r="AL152" s="3">
        <f>infections!AL152-infections!AK152</f>
        <v>0</v>
      </c>
      <c r="AM152" s="3">
        <f>infections!AM152-infections!AL152</f>
        <v>0</v>
      </c>
      <c r="AN152" s="3">
        <f>infections!AN152-infections!AM152</f>
        <v>0</v>
      </c>
      <c r="AO152" s="3">
        <f>infections!AO152-infections!AN152</f>
        <v>0</v>
      </c>
      <c r="AP152" s="3">
        <f>infections!AP152-infections!AO152</f>
        <v>1</v>
      </c>
      <c r="AQ152" s="3">
        <f>infections!AQ152-infections!AP152</f>
        <v>0</v>
      </c>
      <c r="AR152" s="3">
        <f>infections!AR152-infections!AQ152</f>
        <v>0</v>
      </c>
      <c r="AS152" s="3">
        <f>infections!AS152-infections!AR152</f>
        <v>0</v>
      </c>
      <c r="AT152" s="3">
        <f>infections!AT152-infections!AS152</f>
        <v>0</v>
      </c>
      <c r="AU152" s="3">
        <f>infections!AU152-infections!AT152</f>
        <v>0</v>
      </c>
      <c r="AV152" s="3">
        <f>infections!AV152-infections!AU152</f>
        <v>0</v>
      </c>
      <c r="AW152" s="3">
        <f>infections!AW152-infections!AV152</f>
        <v>0</v>
      </c>
      <c r="AX152" s="3">
        <f>infections!AX152-infections!AW152</f>
        <v>0</v>
      </c>
      <c r="AY152" s="3">
        <f>infections!AY152-infections!AX152</f>
        <v>0</v>
      </c>
      <c r="AZ152" s="3">
        <f>infections!AZ152-infections!AY152</f>
        <v>0</v>
      </c>
      <c r="BA152" s="3">
        <f>infections!BA152-infections!AZ152</f>
        <v>0</v>
      </c>
      <c r="BB152" s="3">
        <f>infections!BB152-infections!BA152</f>
        <v>2</v>
      </c>
      <c r="BC152" s="3">
        <f>infections!BC152-infections!BB152</f>
        <v>0</v>
      </c>
      <c r="BD152" s="3">
        <f>infections!BD152-infections!BC152</f>
        <v>3</v>
      </c>
      <c r="BE152" s="3">
        <f>infections!BE152-infections!BD152</f>
        <v>2</v>
      </c>
      <c r="BF152" s="3">
        <f>infections!BF152-infections!BE152</f>
        <v>4</v>
      </c>
      <c r="BG152" s="3">
        <f>infections!BG152-infections!BF152</f>
        <v>5</v>
      </c>
      <c r="BH152" s="3">
        <f>infections!BH152-infections!BG152</f>
        <v>8</v>
      </c>
      <c r="BI152" s="3">
        <f>infections!BI152-infections!BH152</f>
        <v>2</v>
      </c>
      <c r="BJ152" s="3">
        <f>infections!BJ152-infections!BI152</f>
        <v>9</v>
      </c>
      <c r="BK152" s="3">
        <f>infections!BK152-infections!BJ152</f>
        <v>13</v>
      </c>
      <c r="BL152" s="3">
        <f>infections!BL152-infections!BK152</f>
        <v>34</v>
      </c>
      <c r="BM152" s="3">
        <f>infections!BM152-infections!BL152</f>
        <v>60</v>
      </c>
      <c r="BN152" s="3">
        <f>infections!BN152-infections!BM152</f>
        <v>36</v>
      </c>
      <c r="BO152" s="3">
        <f>infections!BO152-infections!BN152</f>
        <v>30</v>
      </c>
      <c r="BP152" s="3">
        <f>infections!BP152-infections!BO152</f>
        <v>65</v>
      </c>
      <c r="BQ152" s="3">
        <f>infections!BQ152-infections!BP152</f>
        <v>25</v>
      </c>
      <c r="BR152" s="3">
        <f>infections!BR152-infections!BQ152</f>
        <v>59</v>
      </c>
      <c r="BS152" s="3">
        <f>infections!BS152-infections!BR152</f>
        <v>36</v>
      </c>
      <c r="BT152" s="3">
        <f>infections!BT152-infections!BS152</f>
        <v>66</v>
      </c>
      <c r="BU152" s="3">
        <f>infections!BU152-infections!BT152</f>
        <v>31</v>
      </c>
      <c r="BV152" s="3">
        <f>infections!BV152-infections!BU152</f>
        <v>46</v>
      </c>
      <c r="BW152" s="3">
        <f>infections!BW152-infections!BV152</f>
        <v>44</v>
      </c>
      <c r="BX152" s="3">
        <f>infections!BX152-infections!BW152</f>
        <v>68</v>
      </c>
      <c r="BY152" s="3">
        <f>infections!BY152-infections!BX152</f>
        <v>47</v>
      </c>
    </row>
    <row r="153">
      <c r="B153" s="1" t="str">
        <f>infections!B153</f>
        <v>Luxembourg</v>
      </c>
      <c r="C153" s="4">
        <f>infections!C153</f>
        <v>49.8153</v>
      </c>
      <c r="D153" s="4">
        <f>infections!D153</f>
        <v>6.1296</v>
      </c>
      <c r="E153" s="4">
        <f>infections!E153</f>
        <v>0</v>
      </c>
      <c r="F153" s="3">
        <f>infections!F153-infections!E153</f>
        <v>0</v>
      </c>
      <c r="G153" s="3">
        <f>infections!G153-infections!F153</f>
        <v>0</v>
      </c>
      <c r="H153" s="3">
        <f>infections!H153-infections!G153</f>
        <v>0</v>
      </c>
      <c r="I153" s="3">
        <f>infections!I153-infections!H153</f>
        <v>0</v>
      </c>
      <c r="J153" s="3">
        <f>infections!J153-infections!I153</f>
        <v>0</v>
      </c>
      <c r="K153" s="3">
        <f>infections!K153-infections!J153</f>
        <v>0</v>
      </c>
      <c r="L153" s="3">
        <f>infections!L153-infections!K153</f>
        <v>0</v>
      </c>
      <c r="M153" s="3">
        <f>infections!M153-infections!L153</f>
        <v>0</v>
      </c>
      <c r="N153" s="3">
        <f>infections!N153-infections!M153</f>
        <v>0</v>
      </c>
      <c r="O153" s="3">
        <f>infections!O153-infections!N153</f>
        <v>0</v>
      </c>
      <c r="P153" s="3">
        <f>infections!P153-infections!O153</f>
        <v>0</v>
      </c>
      <c r="Q153" s="3">
        <f>infections!Q153-infections!P153</f>
        <v>0</v>
      </c>
      <c r="R153" s="3">
        <f>infections!R153-infections!Q153</f>
        <v>0</v>
      </c>
      <c r="S153" s="3">
        <f>infections!S153-infections!R153</f>
        <v>0</v>
      </c>
      <c r="T153" s="3">
        <f>infections!T153-infections!S153</f>
        <v>0</v>
      </c>
      <c r="U153" s="3">
        <f>infections!U153-infections!T153</f>
        <v>0</v>
      </c>
      <c r="V153" s="3">
        <f>infections!V153-infections!U153</f>
        <v>0</v>
      </c>
      <c r="W153" s="3">
        <f>infections!W153-infections!V153</f>
        <v>0</v>
      </c>
      <c r="X153" s="3">
        <f>infections!X153-infections!W153</f>
        <v>0</v>
      </c>
      <c r="Y153" s="3">
        <f>infections!Y153-infections!X153</f>
        <v>0</v>
      </c>
      <c r="Z153" s="3">
        <f>infections!Z153-infections!Y153</f>
        <v>0</v>
      </c>
      <c r="AA153" s="3">
        <f>infections!AA153-infections!Z153</f>
        <v>0</v>
      </c>
      <c r="AB153" s="3">
        <f>infections!AB153-infections!AA153</f>
        <v>0</v>
      </c>
      <c r="AC153" s="3">
        <f>infections!AC153-infections!AB153</f>
        <v>0</v>
      </c>
      <c r="AD153" s="3">
        <f>infections!AD153-infections!AC153</f>
        <v>0</v>
      </c>
      <c r="AE153" s="3">
        <f>infections!AE153-infections!AD153</f>
        <v>0</v>
      </c>
      <c r="AF153" s="3">
        <f>infections!AF153-infections!AE153</f>
        <v>0</v>
      </c>
      <c r="AG153" s="3">
        <f>infections!AG153-infections!AF153</f>
        <v>0</v>
      </c>
      <c r="AH153" s="3">
        <f>infections!AH153-infections!AG153</f>
        <v>0</v>
      </c>
      <c r="AI153" s="3">
        <f>infections!AI153-infections!AH153</f>
        <v>0</v>
      </c>
      <c r="AJ153" s="3">
        <f>infections!AJ153-infections!AI153</f>
        <v>0</v>
      </c>
      <c r="AK153" s="3">
        <f>infections!AK153-infections!AJ153</f>
        <v>0</v>
      </c>
      <c r="AL153" s="3">
        <f>infections!AL153-infections!AK153</f>
        <v>0</v>
      </c>
      <c r="AM153" s="3">
        <f>infections!AM153-infections!AL153</f>
        <v>0</v>
      </c>
      <c r="AN153" s="3">
        <f>infections!AN153-infections!AM153</f>
        <v>0</v>
      </c>
      <c r="AO153" s="3">
        <f>infections!AO153-infections!AN153</f>
        <v>0</v>
      </c>
      <c r="AP153" s="3">
        <f>infections!AP153-infections!AO153</f>
        <v>0</v>
      </c>
      <c r="AQ153" s="3">
        <f>infections!AQ153-infections!AP153</f>
        <v>1</v>
      </c>
      <c r="AR153" s="3">
        <f>infections!AR153-infections!AQ153</f>
        <v>0</v>
      </c>
      <c r="AS153" s="3">
        <f>infections!AS153-infections!AR153</f>
        <v>0</v>
      </c>
      <c r="AT153" s="3">
        <f>infections!AT153-infections!AS153</f>
        <v>0</v>
      </c>
      <c r="AU153" s="3">
        <f>infections!AU153-infections!AT153</f>
        <v>0</v>
      </c>
      <c r="AV153" s="3">
        <f>infections!AV153-infections!AU153</f>
        <v>0</v>
      </c>
      <c r="AW153" s="3">
        <f>infections!AW153-infections!AV153</f>
        <v>1</v>
      </c>
      <c r="AX153" s="3">
        <f>infections!AX153-infections!AW153</f>
        <v>0</v>
      </c>
      <c r="AY153" s="3">
        <f>infections!AY153-infections!AX153</f>
        <v>1</v>
      </c>
      <c r="AZ153" s="3">
        <f>infections!AZ153-infections!AY153</f>
        <v>0</v>
      </c>
      <c r="BA153" s="3">
        <f>infections!BA153-infections!AZ153</f>
        <v>2</v>
      </c>
      <c r="BB153" s="3">
        <f>infections!BB153-infections!BA153</f>
        <v>2</v>
      </c>
      <c r="BC153" s="3">
        <f>infections!BC153-infections!BB153</f>
        <v>12</v>
      </c>
      <c r="BD153" s="3">
        <f>infections!BD153-infections!BC153</f>
        <v>15</v>
      </c>
      <c r="BE153" s="3">
        <f>infections!BE153-infections!BD153</f>
        <v>17</v>
      </c>
      <c r="BF153" s="3">
        <f>infections!BF153-infections!BE153</f>
        <v>8</v>
      </c>
      <c r="BG153" s="3">
        <f>infections!BG153-infections!BF153</f>
        <v>18</v>
      </c>
      <c r="BH153" s="3">
        <f>infections!BH153-infections!BG153</f>
        <v>63</v>
      </c>
      <c r="BI153" s="3">
        <f>infections!BI153-infections!BH153</f>
        <v>63</v>
      </c>
      <c r="BJ153" s="3">
        <f>infections!BJ153-infections!BI153</f>
        <v>132</v>
      </c>
      <c r="BK153" s="3">
        <f>infections!BK153-infections!BJ153</f>
        <v>149</v>
      </c>
      <c r="BL153" s="3">
        <f>infections!BL153-infections!BK153</f>
        <v>186</v>
      </c>
      <c r="BM153" s="3">
        <f>infections!BM153-infections!BL153</f>
        <v>128</v>
      </c>
      <c r="BN153" s="3">
        <f>infections!BN153-infections!BM153</f>
        <v>77</v>
      </c>
      <c r="BO153" s="3">
        <f>infections!BO153-infections!BN153</f>
        <v>224</v>
      </c>
      <c r="BP153" s="3">
        <f>infections!BP153-infections!BO153</f>
        <v>234</v>
      </c>
      <c r="BQ153" s="3">
        <f>infections!BQ153-infections!BP153</f>
        <v>120</v>
      </c>
      <c r="BR153" s="3">
        <f>infections!BR153-infections!BQ153</f>
        <v>152</v>
      </c>
      <c r="BS153" s="3">
        <f>infections!BS153-infections!BR153</f>
        <v>226</v>
      </c>
      <c r="BT153" s="3">
        <f>infections!BT153-infections!BS153</f>
        <v>119</v>
      </c>
      <c r="BU153" s="3">
        <f>infections!BU153-infections!BT153</f>
        <v>38</v>
      </c>
      <c r="BV153" s="3">
        <f>infections!BV153-infections!BU153</f>
        <v>190</v>
      </c>
      <c r="BW153" s="3">
        <f>infections!BW153-infections!BV153</f>
        <v>141</v>
      </c>
      <c r="BX153" s="3">
        <f>infections!BX153-infections!BW153</f>
        <v>168</v>
      </c>
      <c r="BY153" s="3">
        <f>infections!BY153-infections!BX153</f>
        <v>125</v>
      </c>
    </row>
    <row r="154">
      <c r="B154" s="1" t="str">
        <f>infections!B154</f>
        <v>Madagascar</v>
      </c>
      <c r="C154" s="4">
        <f>infections!C154</f>
        <v>-18.7669</v>
      </c>
      <c r="D154" s="4">
        <f>infections!D154</f>
        <v>46.8691</v>
      </c>
      <c r="E154" s="4">
        <f>infections!E154</f>
        <v>0</v>
      </c>
      <c r="F154" s="3">
        <f>infections!F154-infections!E154</f>
        <v>0</v>
      </c>
      <c r="G154" s="3">
        <f>infections!G154-infections!F154</f>
        <v>0</v>
      </c>
      <c r="H154" s="3">
        <f>infections!H154-infections!G154</f>
        <v>0</v>
      </c>
      <c r="I154" s="3">
        <f>infections!I154-infections!H154</f>
        <v>0</v>
      </c>
      <c r="J154" s="3">
        <f>infections!J154-infections!I154</f>
        <v>0</v>
      </c>
      <c r="K154" s="3">
        <f>infections!K154-infections!J154</f>
        <v>0</v>
      </c>
      <c r="L154" s="3">
        <f>infections!L154-infections!K154</f>
        <v>0</v>
      </c>
      <c r="M154" s="3">
        <f>infections!M154-infections!L154</f>
        <v>0</v>
      </c>
      <c r="N154" s="3">
        <f>infections!N154-infections!M154</f>
        <v>0</v>
      </c>
      <c r="O154" s="3">
        <f>infections!O154-infections!N154</f>
        <v>0</v>
      </c>
      <c r="P154" s="3">
        <f>infections!P154-infections!O154</f>
        <v>0</v>
      </c>
      <c r="Q154" s="3">
        <f>infections!Q154-infections!P154</f>
        <v>0</v>
      </c>
      <c r="R154" s="3">
        <f>infections!R154-infections!Q154</f>
        <v>0</v>
      </c>
      <c r="S154" s="3">
        <f>infections!S154-infections!R154</f>
        <v>0</v>
      </c>
      <c r="T154" s="3">
        <f>infections!T154-infections!S154</f>
        <v>0</v>
      </c>
      <c r="U154" s="3">
        <f>infections!U154-infections!T154</f>
        <v>0</v>
      </c>
      <c r="V154" s="3">
        <f>infections!V154-infections!U154</f>
        <v>0</v>
      </c>
      <c r="W154" s="3">
        <f>infections!W154-infections!V154</f>
        <v>0</v>
      </c>
      <c r="X154" s="3">
        <f>infections!X154-infections!W154</f>
        <v>0</v>
      </c>
      <c r="Y154" s="3">
        <f>infections!Y154-infections!X154</f>
        <v>0</v>
      </c>
      <c r="Z154" s="3">
        <f>infections!Z154-infections!Y154</f>
        <v>0</v>
      </c>
      <c r="AA154" s="3">
        <f>infections!AA154-infections!Z154</f>
        <v>0</v>
      </c>
      <c r="AB154" s="3">
        <f>infections!AB154-infections!AA154</f>
        <v>0</v>
      </c>
      <c r="AC154" s="3">
        <f>infections!AC154-infections!AB154</f>
        <v>0</v>
      </c>
      <c r="AD154" s="3">
        <f>infections!AD154-infections!AC154</f>
        <v>0</v>
      </c>
      <c r="AE154" s="3">
        <f>infections!AE154-infections!AD154</f>
        <v>0</v>
      </c>
      <c r="AF154" s="3">
        <f>infections!AF154-infections!AE154</f>
        <v>0</v>
      </c>
      <c r="AG154" s="3">
        <f>infections!AG154-infections!AF154</f>
        <v>0</v>
      </c>
      <c r="AH154" s="3">
        <f>infections!AH154-infections!AG154</f>
        <v>0</v>
      </c>
      <c r="AI154" s="3">
        <f>infections!AI154-infections!AH154</f>
        <v>0</v>
      </c>
      <c r="AJ154" s="3">
        <f>infections!AJ154-infections!AI154</f>
        <v>0</v>
      </c>
      <c r="AK154" s="3">
        <f>infections!AK154-infections!AJ154</f>
        <v>0</v>
      </c>
      <c r="AL154" s="3">
        <f>infections!AL154-infections!AK154</f>
        <v>0</v>
      </c>
      <c r="AM154" s="3">
        <f>infections!AM154-infections!AL154</f>
        <v>0</v>
      </c>
      <c r="AN154" s="3">
        <f>infections!AN154-infections!AM154</f>
        <v>0</v>
      </c>
      <c r="AO154" s="3">
        <f>infections!AO154-infections!AN154</f>
        <v>0</v>
      </c>
      <c r="AP154" s="3">
        <f>infections!AP154-infections!AO154</f>
        <v>0</v>
      </c>
      <c r="AQ154" s="3">
        <f>infections!AQ154-infections!AP154</f>
        <v>0</v>
      </c>
      <c r="AR154" s="3">
        <f>infections!AR154-infections!AQ154</f>
        <v>0</v>
      </c>
      <c r="AS154" s="3">
        <f>infections!AS154-infections!AR154</f>
        <v>0</v>
      </c>
      <c r="AT154" s="3">
        <f>infections!AT154-infections!AS154</f>
        <v>0</v>
      </c>
      <c r="AU154" s="3">
        <f>infections!AU154-infections!AT154</f>
        <v>0</v>
      </c>
      <c r="AV154" s="3">
        <f>infections!AV154-infections!AU154</f>
        <v>0</v>
      </c>
      <c r="AW154" s="3">
        <f>infections!AW154-infections!AV154</f>
        <v>0</v>
      </c>
      <c r="AX154" s="3">
        <f>infections!AX154-infections!AW154</f>
        <v>0</v>
      </c>
      <c r="AY154" s="3">
        <f>infections!AY154-infections!AX154</f>
        <v>0</v>
      </c>
      <c r="AZ154" s="3">
        <f>infections!AZ154-infections!AY154</f>
        <v>0</v>
      </c>
      <c r="BA154" s="3">
        <f>infections!BA154-infections!AZ154</f>
        <v>0</v>
      </c>
      <c r="BB154" s="3">
        <f>infections!BB154-infections!BA154</f>
        <v>0</v>
      </c>
      <c r="BC154" s="3">
        <f>infections!BC154-infections!BB154</f>
        <v>0</v>
      </c>
      <c r="BD154" s="3">
        <f>infections!BD154-infections!BC154</f>
        <v>0</v>
      </c>
      <c r="BE154" s="3">
        <f>infections!BE154-infections!BD154</f>
        <v>0</v>
      </c>
      <c r="BF154" s="3">
        <f>infections!BF154-infections!BE154</f>
        <v>0</v>
      </c>
      <c r="BG154" s="3">
        <f>infections!BG154-infections!BF154</f>
        <v>0</v>
      </c>
      <c r="BH154" s="3">
        <f>infections!BH154-infections!BG154</f>
        <v>0</v>
      </c>
      <c r="BI154" s="3">
        <f>infections!BI154-infections!BH154</f>
        <v>0</v>
      </c>
      <c r="BJ154" s="3">
        <f>infections!BJ154-infections!BI154</f>
        <v>0</v>
      </c>
      <c r="BK154" s="3">
        <f>infections!BK154-infections!BJ154</f>
        <v>3</v>
      </c>
      <c r="BL154" s="3">
        <f>infections!BL154-infections!BK154</f>
        <v>0</v>
      </c>
      <c r="BM154" s="3">
        <f>infections!BM154-infections!BL154</f>
        <v>0</v>
      </c>
      <c r="BN154" s="3">
        <f>infections!BN154-infections!BM154</f>
        <v>9</v>
      </c>
      <c r="BO154" s="3">
        <f>infections!BO154-infections!BN154</f>
        <v>5</v>
      </c>
      <c r="BP154" s="3">
        <f>infections!BP154-infections!BO154</f>
        <v>2</v>
      </c>
      <c r="BQ154" s="3">
        <f>infections!BQ154-infections!BP154</f>
        <v>4</v>
      </c>
      <c r="BR154" s="3">
        <f>infections!BR154-infections!BQ154</f>
        <v>3</v>
      </c>
      <c r="BS154" s="3">
        <f>infections!BS154-infections!BR154</f>
        <v>0</v>
      </c>
      <c r="BT154" s="3">
        <f>infections!BT154-infections!BS154</f>
        <v>13</v>
      </c>
      <c r="BU154" s="3">
        <f>infections!BU154-infections!BT154</f>
        <v>4</v>
      </c>
      <c r="BV154" s="3">
        <f>infections!BV154-infections!BU154</f>
        <v>14</v>
      </c>
      <c r="BW154" s="3">
        <f>infections!BW154-infections!BV154</f>
        <v>0</v>
      </c>
      <c r="BX154" s="3">
        <f>infections!BX154-infections!BW154</f>
        <v>2</v>
      </c>
      <c r="BY154" s="3">
        <f>infections!BY154-infections!BX154</f>
        <v>11</v>
      </c>
    </row>
    <row r="155">
      <c r="B155" s="1" t="str">
        <f>infections!B155</f>
        <v>Malaysia</v>
      </c>
      <c r="C155" s="4">
        <f>infections!C155</f>
        <v>2.5</v>
      </c>
      <c r="D155" s="4">
        <f>infections!D155</f>
        <v>112.5</v>
      </c>
      <c r="E155" s="4">
        <f>infections!E155</f>
        <v>0</v>
      </c>
      <c r="F155" s="3">
        <f>infections!F155-infections!E155</f>
        <v>0</v>
      </c>
      <c r="G155" s="3">
        <f>infections!G155-infections!F155</f>
        <v>0</v>
      </c>
      <c r="H155" s="3">
        <f>infections!H155-infections!G155</f>
        <v>3</v>
      </c>
      <c r="I155" s="3">
        <f>infections!I155-infections!H155</f>
        <v>1</v>
      </c>
      <c r="J155" s="3">
        <f>infections!J155-infections!I155</f>
        <v>0</v>
      </c>
      <c r="K155" s="3">
        <f>infections!K155-infections!J155</f>
        <v>0</v>
      </c>
      <c r="L155" s="3">
        <f>infections!L155-infections!K155</f>
        <v>3</v>
      </c>
      <c r="M155" s="3">
        <f>infections!M155-infections!L155</f>
        <v>1</v>
      </c>
      <c r="N155" s="3">
        <f>infections!N155-infections!M155</f>
        <v>0</v>
      </c>
      <c r="O155" s="3">
        <f>infections!O155-infections!N155</f>
        <v>0</v>
      </c>
      <c r="P155" s="3">
        <f>infections!P155-infections!O155</f>
        <v>0</v>
      </c>
      <c r="Q155" s="3">
        <f>infections!Q155-infections!P155</f>
        <v>0</v>
      </c>
      <c r="R155" s="3">
        <f>infections!R155-infections!Q155</f>
        <v>2</v>
      </c>
      <c r="S155" s="3">
        <f>infections!S155-infections!R155</f>
        <v>2</v>
      </c>
      <c r="T155" s="3">
        <f>infections!T155-infections!S155</f>
        <v>0</v>
      </c>
      <c r="U155" s="3">
        <f>infections!U155-infections!T155</f>
        <v>0</v>
      </c>
      <c r="V155" s="3">
        <f>infections!V155-infections!U155</f>
        <v>4</v>
      </c>
      <c r="W155" s="3">
        <f>infections!W155-infections!V155</f>
        <v>0</v>
      </c>
      <c r="X155" s="3">
        <f>infections!X155-infections!W155</f>
        <v>2</v>
      </c>
      <c r="Y155" s="3">
        <f>infections!Y155-infections!X155</f>
        <v>0</v>
      </c>
      <c r="Z155" s="3">
        <f>infections!Z155-infections!Y155</f>
        <v>0</v>
      </c>
      <c r="AA155" s="3">
        <f>infections!AA155-infections!Z155</f>
        <v>1</v>
      </c>
      <c r="AB155" s="3">
        <f>infections!AB155-infections!AA155</f>
        <v>0</v>
      </c>
      <c r="AC155" s="3">
        <f>infections!AC155-infections!AB155</f>
        <v>3</v>
      </c>
      <c r="AD155" s="3">
        <f>infections!AD155-infections!AC155</f>
        <v>0</v>
      </c>
      <c r="AE155" s="3">
        <f>infections!AE155-infections!AD155</f>
        <v>0</v>
      </c>
      <c r="AF155" s="3">
        <f>infections!AF155-infections!AE155</f>
        <v>0</v>
      </c>
      <c r="AG155" s="3">
        <f>infections!AG155-infections!AF155</f>
        <v>0</v>
      </c>
      <c r="AH155" s="3">
        <f>infections!AH155-infections!AG155</f>
        <v>0</v>
      </c>
      <c r="AI155" s="3">
        <f>infections!AI155-infections!AH155</f>
        <v>0</v>
      </c>
      <c r="AJ155" s="3">
        <f>infections!AJ155-infections!AI155</f>
        <v>0</v>
      </c>
      <c r="AK155" s="3">
        <f>infections!AK155-infections!AJ155</f>
        <v>0</v>
      </c>
      <c r="AL155" s="3">
        <f>infections!AL155-infections!AK155</f>
        <v>0</v>
      </c>
      <c r="AM155" s="3">
        <f>infections!AM155-infections!AL155</f>
        <v>0</v>
      </c>
      <c r="AN155" s="3">
        <f>infections!AN155-infections!AM155</f>
        <v>0</v>
      </c>
      <c r="AO155" s="3">
        <f>infections!AO155-infections!AN155</f>
        <v>1</v>
      </c>
      <c r="AP155" s="3">
        <f>infections!AP155-infections!AO155</f>
        <v>0</v>
      </c>
      <c r="AQ155" s="3">
        <f>infections!AQ155-infections!AP155</f>
        <v>2</v>
      </c>
      <c r="AR155" s="3">
        <f>infections!AR155-infections!AQ155</f>
        <v>4</v>
      </c>
      <c r="AS155" s="3">
        <f>infections!AS155-infections!AR155</f>
        <v>0</v>
      </c>
      <c r="AT155" s="3">
        <f>infections!AT155-infections!AS155</f>
        <v>7</v>
      </c>
      <c r="AU155" s="3">
        <f>infections!AU155-infections!AT155</f>
        <v>14</v>
      </c>
      <c r="AV155" s="3">
        <f>infections!AV155-infections!AU155</f>
        <v>0</v>
      </c>
      <c r="AW155" s="3">
        <f>infections!AW155-infections!AV155</f>
        <v>33</v>
      </c>
      <c r="AX155" s="3">
        <f>infections!AX155-infections!AW155</f>
        <v>10</v>
      </c>
      <c r="AY155" s="3">
        <f>infections!AY155-infections!AX155</f>
        <v>6</v>
      </c>
      <c r="AZ155" s="3">
        <f>infections!AZ155-infections!AY155</f>
        <v>18</v>
      </c>
      <c r="BA155" s="3">
        <f>infections!BA155-infections!AZ155</f>
        <v>12</v>
      </c>
      <c r="BB155" s="3">
        <f>infections!BB155-infections!BA155</f>
        <v>20</v>
      </c>
      <c r="BC155" s="3">
        <f>infections!BC155-infections!BB155</f>
        <v>0</v>
      </c>
      <c r="BD155" s="3">
        <f>infections!BD155-infections!BC155</f>
        <v>48</v>
      </c>
      <c r="BE155" s="3">
        <f>infections!BE155-infections!BD155</f>
        <v>41</v>
      </c>
      <c r="BF155" s="3">
        <f>infections!BF155-infections!BE155</f>
        <v>190</v>
      </c>
      <c r="BG155" s="3">
        <f>infections!BG155-infections!BF155</f>
        <v>138</v>
      </c>
      <c r="BH155" s="3">
        <f>infections!BH155-infections!BG155</f>
        <v>107</v>
      </c>
      <c r="BI155" s="3">
        <f>infections!BI155-infections!BH155</f>
        <v>117</v>
      </c>
      <c r="BJ155" s="3">
        <f>infections!BJ155-infections!BI155</f>
        <v>110</v>
      </c>
      <c r="BK155" s="3">
        <f>infections!BK155-infections!BJ155</f>
        <v>130</v>
      </c>
      <c r="BL155" s="3">
        <f>infections!BL155-infections!BK155</f>
        <v>153</v>
      </c>
      <c r="BM155" s="3">
        <f>infections!BM155-infections!BL155</f>
        <v>123</v>
      </c>
      <c r="BN155" s="3">
        <f>infections!BN155-infections!BM155</f>
        <v>212</v>
      </c>
      <c r="BO155" s="3">
        <f>infections!BO155-infections!BN155</f>
        <v>106</v>
      </c>
      <c r="BP155" s="3">
        <f>infections!BP155-infections!BO155</f>
        <v>172</v>
      </c>
      <c r="BQ155" s="3">
        <f>infections!BQ155-infections!BP155</f>
        <v>235</v>
      </c>
      <c r="BR155" s="3">
        <f>infections!BR155-infections!BQ155</f>
        <v>130</v>
      </c>
      <c r="BS155" s="3">
        <f>infections!BS155-infections!BR155</f>
        <v>159</v>
      </c>
      <c r="BT155" s="3">
        <f>infections!BT155-infections!BS155</f>
        <v>150</v>
      </c>
      <c r="BU155" s="3">
        <f>infections!BU155-infections!BT155</f>
        <v>156</v>
      </c>
      <c r="BV155" s="3">
        <f>infections!BV155-infections!BU155</f>
        <v>140</v>
      </c>
      <c r="BW155" s="3">
        <f>infections!BW155-infections!BV155</f>
        <v>142</v>
      </c>
      <c r="BX155" s="3">
        <f>infections!BX155-infections!BW155</f>
        <v>208</v>
      </c>
      <c r="BY155" s="3">
        <f>infections!BY155-infections!BX155</f>
        <v>217</v>
      </c>
    </row>
    <row r="156">
      <c r="B156" s="1" t="str">
        <f>infections!B156</f>
        <v>Maldives</v>
      </c>
      <c r="C156" s="4">
        <f>infections!C156</f>
        <v>3.2028</v>
      </c>
      <c r="D156" s="4">
        <f>infections!D156</f>
        <v>73.2207</v>
      </c>
      <c r="E156" s="4">
        <f>infections!E156</f>
        <v>0</v>
      </c>
      <c r="F156" s="3">
        <f>infections!F156-infections!E156</f>
        <v>0</v>
      </c>
      <c r="G156" s="3">
        <f>infections!G156-infections!F156</f>
        <v>0</v>
      </c>
      <c r="H156" s="3">
        <f>infections!H156-infections!G156</f>
        <v>0</v>
      </c>
      <c r="I156" s="3">
        <f>infections!I156-infections!H156</f>
        <v>0</v>
      </c>
      <c r="J156" s="3">
        <f>infections!J156-infections!I156</f>
        <v>0</v>
      </c>
      <c r="K156" s="3">
        <f>infections!K156-infections!J156</f>
        <v>0</v>
      </c>
      <c r="L156" s="3">
        <f>infections!L156-infections!K156</f>
        <v>0</v>
      </c>
      <c r="M156" s="3">
        <f>infections!M156-infections!L156</f>
        <v>0</v>
      </c>
      <c r="N156" s="3">
        <f>infections!N156-infections!M156</f>
        <v>0</v>
      </c>
      <c r="O156" s="3">
        <f>infections!O156-infections!N156</f>
        <v>0</v>
      </c>
      <c r="P156" s="3">
        <f>infections!P156-infections!O156</f>
        <v>0</v>
      </c>
      <c r="Q156" s="3">
        <f>infections!Q156-infections!P156</f>
        <v>0</v>
      </c>
      <c r="R156" s="3">
        <f>infections!R156-infections!Q156</f>
        <v>0</v>
      </c>
      <c r="S156" s="3">
        <f>infections!S156-infections!R156</f>
        <v>0</v>
      </c>
      <c r="T156" s="3">
        <f>infections!T156-infections!S156</f>
        <v>0</v>
      </c>
      <c r="U156" s="3">
        <f>infections!U156-infections!T156</f>
        <v>0</v>
      </c>
      <c r="V156" s="3">
        <f>infections!V156-infections!U156</f>
        <v>0</v>
      </c>
      <c r="W156" s="3">
        <f>infections!W156-infections!V156</f>
        <v>0</v>
      </c>
      <c r="X156" s="3">
        <f>infections!X156-infections!W156</f>
        <v>0</v>
      </c>
      <c r="Y156" s="3">
        <f>infections!Y156-infections!X156</f>
        <v>0</v>
      </c>
      <c r="Z156" s="3">
        <f>infections!Z156-infections!Y156</f>
        <v>0</v>
      </c>
      <c r="AA156" s="3">
        <f>infections!AA156-infections!Z156</f>
        <v>0</v>
      </c>
      <c r="AB156" s="3">
        <f>infections!AB156-infections!AA156</f>
        <v>0</v>
      </c>
      <c r="AC156" s="3">
        <f>infections!AC156-infections!AB156</f>
        <v>0</v>
      </c>
      <c r="AD156" s="3">
        <f>infections!AD156-infections!AC156</f>
        <v>0</v>
      </c>
      <c r="AE156" s="3">
        <f>infections!AE156-infections!AD156</f>
        <v>0</v>
      </c>
      <c r="AF156" s="3">
        <f>infections!AF156-infections!AE156</f>
        <v>0</v>
      </c>
      <c r="AG156" s="3">
        <f>infections!AG156-infections!AF156</f>
        <v>0</v>
      </c>
      <c r="AH156" s="3">
        <f>infections!AH156-infections!AG156</f>
        <v>0</v>
      </c>
      <c r="AI156" s="3">
        <f>infections!AI156-infections!AH156</f>
        <v>0</v>
      </c>
      <c r="AJ156" s="3">
        <f>infections!AJ156-infections!AI156</f>
        <v>0</v>
      </c>
      <c r="AK156" s="3">
        <f>infections!AK156-infections!AJ156</f>
        <v>0</v>
      </c>
      <c r="AL156" s="3">
        <f>infections!AL156-infections!AK156</f>
        <v>0</v>
      </c>
      <c r="AM156" s="3">
        <f>infections!AM156-infections!AL156</f>
        <v>0</v>
      </c>
      <c r="AN156" s="3">
        <f>infections!AN156-infections!AM156</f>
        <v>0</v>
      </c>
      <c r="AO156" s="3">
        <f>infections!AO156-infections!AN156</f>
        <v>0</v>
      </c>
      <c r="AP156" s="3">
        <f>infections!AP156-infections!AO156</f>
        <v>0</v>
      </c>
      <c r="AQ156" s="3">
        <f>infections!AQ156-infections!AP156</f>
        <v>0</v>
      </c>
      <c r="AR156" s="3">
        <f>infections!AR156-infections!AQ156</f>
        <v>0</v>
      </c>
      <c r="AS156" s="3">
        <f>infections!AS156-infections!AR156</f>
        <v>0</v>
      </c>
      <c r="AT156" s="3">
        <f>infections!AT156-infections!AS156</f>
        <v>0</v>
      </c>
      <c r="AU156" s="3">
        <f>infections!AU156-infections!AT156</f>
        <v>0</v>
      </c>
      <c r="AV156" s="3">
        <f>infections!AV156-infections!AU156</f>
        <v>0</v>
      </c>
      <c r="AW156" s="3">
        <f>infections!AW156-infections!AV156</f>
        <v>0</v>
      </c>
      <c r="AX156" s="3">
        <f>infections!AX156-infections!AW156</f>
        <v>0</v>
      </c>
      <c r="AY156" s="3">
        <f>infections!AY156-infections!AX156</f>
        <v>4</v>
      </c>
      <c r="AZ156" s="3">
        <f>infections!AZ156-infections!AY156</f>
        <v>0</v>
      </c>
      <c r="BA156" s="3">
        <f>infections!BA156-infections!AZ156</f>
        <v>2</v>
      </c>
      <c r="BB156" s="3">
        <f>infections!BB156-infections!BA156</f>
        <v>2</v>
      </c>
      <c r="BC156" s="3">
        <f>infections!BC156-infections!BB156</f>
        <v>0</v>
      </c>
      <c r="BD156" s="3">
        <f>infections!BD156-infections!BC156</f>
        <v>1</v>
      </c>
      <c r="BE156" s="3">
        <f>infections!BE156-infections!BD156</f>
        <v>1</v>
      </c>
      <c r="BF156" s="3">
        <f>infections!BF156-infections!BE156</f>
        <v>3</v>
      </c>
      <c r="BG156" s="3">
        <f>infections!BG156-infections!BF156</f>
        <v>0</v>
      </c>
      <c r="BH156" s="3">
        <f>infections!BH156-infections!BG156</f>
        <v>0</v>
      </c>
      <c r="BI156" s="3">
        <f>infections!BI156-infections!BH156</f>
        <v>0</v>
      </c>
      <c r="BJ156" s="3">
        <f>infections!BJ156-infections!BI156</f>
        <v>0</v>
      </c>
      <c r="BK156" s="3">
        <f>infections!BK156-infections!BJ156</f>
        <v>0</v>
      </c>
      <c r="BL156" s="3">
        <f>infections!BL156-infections!BK156</f>
        <v>0</v>
      </c>
      <c r="BM156" s="3">
        <f>infections!BM156-infections!BL156</f>
        <v>0</v>
      </c>
      <c r="BN156" s="3">
        <f>infections!BN156-infections!BM156</f>
        <v>0</v>
      </c>
      <c r="BO156" s="3">
        <f>infections!BO156-infections!BN156</f>
        <v>0</v>
      </c>
      <c r="BP156" s="3">
        <f>infections!BP156-infections!BO156</f>
        <v>0</v>
      </c>
      <c r="BQ156" s="3">
        <f>infections!BQ156-infections!BP156</f>
        <v>0</v>
      </c>
      <c r="BR156" s="3">
        <f>infections!BR156-infections!BQ156</f>
        <v>3</v>
      </c>
      <c r="BS156" s="3">
        <f>infections!BS156-infections!BR156</f>
        <v>0</v>
      </c>
      <c r="BT156" s="3">
        <f>infections!BT156-infections!BS156</f>
        <v>1</v>
      </c>
      <c r="BU156" s="3">
        <f>infections!BU156-infections!BT156</f>
        <v>0</v>
      </c>
      <c r="BV156" s="3">
        <f>infections!BV156-infections!BU156</f>
        <v>1</v>
      </c>
      <c r="BW156" s="3">
        <f>infections!BW156-infections!BV156</f>
        <v>1</v>
      </c>
      <c r="BX156" s="3">
        <f>infections!BX156-infections!BW156</f>
        <v>0</v>
      </c>
      <c r="BY156" s="3">
        <f>infections!BY156-infections!BX156</f>
        <v>0</v>
      </c>
    </row>
    <row r="157">
      <c r="B157" s="1" t="str">
        <f>infections!B157</f>
        <v>Malta</v>
      </c>
      <c r="C157" s="4">
        <f>infections!C157</f>
        <v>35.9375</v>
      </c>
      <c r="D157" s="4">
        <f>infections!D157</f>
        <v>14.3754</v>
      </c>
      <c r="E157" s="4">
        <f>infections!E157</f>
        <v>0</v>
      </c>
      <c r="F157" s="3">
        <f>infections!F157-infections!E157</f>
        <v>0</v>
      </c>
      <c r="G157" s="3">
        <f>infections!G157-infections!F157</f>
        <v>0</v>
      </c>
      <c r="H157" s="3">
        <f>infections!H157-infections!G157</f>
        <v>0</v>
      </c>
      <c r="I157" s="3">
        <f>infections!I157-infections!H157</f>
        <v>0</v>
      </c>
      <c r="J157" s="3">
        <f>infections!J157-infections!I157</f>
        <v>0</v>
      </c>
      <c r="K157" s="3">
        <f>infections!K157-infections!J157</f>
        <v>0</v>
      </c>
      <c r="L157" s="3">
        <f>infections!L157-infections!K157</f>
        <v>0</v>
      </c>
      <c r="M157" s="3">
        <f>infections!M157-infections!L157</f>
        <v>0</v>
      </c>
      <c r="N157" s="3">
        <f>infections!N157-infections!M157</f>
        <v>0</v>
      </c>
      <c r="O157" s="3">
        <f>infections!O157-infections!N157</f>
        <v>0</v>
      </c>
      <c r="P157" s="3">
        <f>infections!P157-infections!O157</f>
        <v>0</v>
      </c>
      <c r="Q157" s="3">
        <f>infections!Q157-infections!P157</f>
        <v>0</v>
      </c>
      <c r="R157" s="3">
        <f>infections!R157-infections!Q157</f>
        <v>0</v>
      </c>
      <c r="S157" s="3">
        <f>infections!S157-infections!R157</f>
        <v>0</v>
      </c>
      <c r="T157" s="3">
        <f>infections!T157-infections!S157</f>
        <v>0</v>
      </c>
      <c r="U157" s="3">
        <f>infections!U157-infections!T157</f>
        <v>0</v>
      </c>
      <c r="V157" s="3">
        <f>infections!V157-infections!U157</f>
        <v>0</v>
      </c>
      <c r="W157" s="3">
        <f>infections!W157-infections!V157</f>
        <v>0</v>
      </c>
      <c r="X157" s="3">
        <f>infections!X157-infections!W157</f>
        <v>0</v>
      </c>
      <c r="Y157" s="3">
        <f>infections!Y157-infections!X157</f>
        <v>0</v>
      </c>
      <c r="Z157" s="3">
        <f>infections!Z157-infections!Y157</f>
        <v>0</v>
      </c>
      <c r="AA157" s="3">
        <f>infections!AA157-infections!Z157</f>
        <v>0</v>
      </c>
      <c r="AB157" s="3">
        <f>infections!AB157-infections!AA157</f>
        <v>0</v>
      </c>
      <c r="AC157" s="3">
        <f>infections!AC157-infections!AB157</f>
        <v>0</v>
      </c>
      <c r="AD157" s="3">
        <f>infections!AD157-infections!AC157</f>
        <v>0</v>
      </c>
      <c r="AE157" s="3">
        <f>infections!AE157-infections!AD157</f>
        <v>0</v>
      </c>
      <c r="AF157" s="3">
        <f>infections!AF157-infections!AE157</f>
        <v>0</v>
      </c>
      <c r="AG157" s="3">
        <f>infections!AG157-infections!AF157</f>
        <v>0</v>
      </c>
      <c r="AH157" s="3">
        <f>infections!AH157-infections!AG157</f>
        <v>0</v>
      </c>
      <c r="AI157" s="3">
        <f>infections!AI157-infections!AH157</f>
        <v>0</v>
      </c>
      <c r="AJ157" s="3">
        <f>infections!AJ157-infections!AI157</f>
        <v>0</v>
      </c>
      <c r="AK157" s="3">
        <f>infections!AK157-infections!AJ157</f>
        <v>0</v>
      </c>
      <c r="AL157" s="3">
        <f>infections!AL157-infections!AK157</f>
        <v>0</v>
      </c>
      <c r="AM157" s="3">
        <f>infections!AM157-infections!AL157</f>
        <v>0</v>
      </c>
      <c r="AN157" s="3">
        <f>infections!AN157-infections!AM157</f>
        <v>0</v>
      </c>
      <c r="AO157" s="3">
        <f>infections!AO157-infections!AN157</f>
        <v>0</v>
      </c>
      <c r="AP157" s="3">
        <f>infections!AP157-infections!AO157</f>
        <v>0</v>
      </c>
      <c r="AQ157" s="3">
        <f>infections!AQ157-infections!AP157</f>
        <v>0</v>
      </c>
      <c r="AR157" s="3">
        <f>infections!AR157-infections!AQ157</f>
        <v>0</v>
      </c>
      <c r="AS157" s="3">
        <f>infections!AS157-infections!AR157</f>
        <v>0</v>
      </c>
      <c r="AT157" s="3">
        <f>infections!AT157-infections!AS157</f>
        <v>0</v>
      </c>
      <c r="AU157" s="3">
        <f>infections!AU157-infections!AT157</f>
        <v>0</v>
      </c>
      <c r="AV157" s="3">
        <f>infections!AV157-infections!AU157</f>
        <v>0</v>
      </c>
      <c r="AW157" s="3">
        <f>infections!AW157-infections!AV157</f>
        <v>0</v>
      </c>
      <c r="AX157" s="3">
        <f>infections!AX157-infections!AW157</f>
        <v>3</v>
      </c>
      <c r="AY157" s="3">
        <f>infections!AY157-infections!AX157</f>
        <v>0</v>
      </c>
      <c r="AZ157" s="3">
        <f>infections!AZ157-infections!AY157</f>
        <v>0</v>
      </c>
      <c r="BA157" s="3">
        <f>infections!BA157-infections!AZ157</f>
        <v>2</v>
      </c>
      <c r="BB157" s="3">
        <f>infections!BB157-infections!BA157</f>
        <v>1</v>
      </c>
      <c r="BC157" s="3">
        <f>infections!BC157-infections!BB157</f>
        <v>0</v>
      </c>
      <c r="BD157" s="3">
        <f>infections!BD157-infections!BC157</f>
        <v>6</v>
      </c>
      <c r="BE157" s="3">
        <f>infections!BE157-infections!BD157</f>
        <v>6</v>
      </c>
      <c r="BF157" s="3">
        <f>infections!BF157-infections!BE157</f>
        <v>3</v>
      </c>
      <c r="BG157" s="3">
        <f>infections!BG157-infections!BF157</f>
        <v>9</v>
      </c>
      <c r="BH157" s="3">
        <f>infections!BH157-infections!BG157</f>
        <v>8</v>
      </c>
      <c r="BI157" s="3">
        <f>infections!BI157-infections!BH157</f>
        <v>0</v>
      </c>
      <c r="BJ157" s="3">
        <f>infections!BJ157-infections!BI157</f>
        <v>15</v>
      </c>
      <c r="BK157" s="3">
        <f>infections!BK157-infections!BJ157</f>
        <v>11</v>
      </c>
      <c r="BL157" s="3">
        <f>infections!BL157-infections!BK157</f>
        <v>9</v>
      </c>
      <c r="BM157" s="3">
        <f>infections!BM157-infections!BL157</f>
        <v>17</v>
      </c>
      <c r="BN157" s="3">
        <f>infections!BN157-infections!BM157</f>
        <v>17</v>
      </c>
      <c r="BO157" s="3">
        <f>infections!BO157-infections!BN157</f>
        <v>3</v>
      </c>
      <c r="BP157" s="3">
        <f>infections!BP157-infections!BO157</f>
        <v>19</v>
      </c>
      <c r="BQ157" s="3">
        <f>infections!BQ157-infections!BP157</f>
        <v>5</v>
      </c>
      <c r="BR157" s="3">
        <f>infections!BR157-infections!BQ157</f>
        <v>5</v>
      </c>
      <c r="BS157" s="3">
        <f>infections!BS157-infections!BR157</f>
        <v>10</v>
      </c>
      <c r="BT157" s="3">
        <f>infections!BT157-infections!BS157</f>
        <v>2</v>
      </c>
      <c r="BU157" s="3">
        <f>infections!BU157-infections!BT157</f>
        <v>5</v>
      </c>
      <c r="BV157" s="3">
        <f>infections!BV157-infections!BU157</f>
        <v>13</v>
      </c>
      <c r="BW157" s="3">
        <f>infections!BW157-infections!BV157</f>
        <v>19</v>
      </c>
      <c r="BX157" s="3">
        <f>infections!BX157-infections!BW157</f>
        <v>8</v>
      </c>
      <c r="BY157" s="3">
        <f>infections!BY157-infections!BX157</f>
        <v>6</v>
      </c>
    </row>
    <row r="158">
      <c r="B158" s="1" t="str">
        <f>infections!B158</f>
        <v>Mauritania</v>
      </c>
      <c r="C158" s="4">
        <f>infections!C158</f>
        <v>21.0079</v>
      </c>
      <c r="D158" s="4">
        <f>infections!D158</f>
        <v>10.9408</v>
      </c>
      <c r="E158" s="4">
        <f>infections!E158</f>
        <v>0</v>
      </c>
      <c r="F158" s="3">
        <f>infections!F158-infections!E158</f>
        <v>0</v>
      </c>
      <c r="G158" s="3">
        <f>infections!G158-infections!F158</f>
        <v>0</v>
      </c>
      <c r="H158" s="3">
        <f>infections!H158-infections!G158</f>
        <v>0</v>
      </c>
      <c r="I158" s="3">
        <f>infections!I158-infections!H158</f>
        <v>0</v>
      </c>
      <c r="J158" s="3">
        <f>infections!J158-infections!I158</f>
        <v>0</v>
      </c>
      <c r="K158" s="3">
        <f>infections!K158-infections!J158</f>
        <v>0</v>
      </c>
      <c r="L158" s="3">
        <f>infections!L158-infections!K158</f>
        <v>0</v>
      </c>
      <c r="M158" s="3">
        <f>infections!M158-infections!L158</f>
        <v>0</v>
      </c>
      <c r="N158" s="3">
        <f>infections!N158-infections!M158</f>
        <v>0</v>
      </c>
      <c r="O158" s="3">
        <f>infections!O158-infections!N158</f>
        <v>0</v>
      </c>
      <c r="P158" s="3">
        <f>infections!P158-infections!O158</f>
        <v>0</v>
      </c>
      <c r="Q158" s="3">
        <f>infections!Q158-infections!P158</f>
        <v>0</v>
      </c>
      <c r="R158" s="3">
        <f>infections!R158-infections!Q158</f>
        <v>0</v>
      </c>
      <c r="S158" s="3">
        <f>infections!S158-infections!R158</f>
        <v>0</v>
      </c>
      <c r="T158" s="3">
        <f>infections!T158-infections!S158</f>
        <v>0</v>
      </c>
      <c r="U158" s="3">
        <f>infections!U158-infections!T158</f>
        <v>0</v>
      </c>
      <c r="V158" s="3">
        <f>infections!V158-infections!U158</f>
        <v>0</v>
      </c>
      <c r="W158" s="3">
        <f>infections!W158-infections!V158</f>
        <v>0</v>
      </c>
      <c r="X158" s="3">
        <f>infections!X158-infections!W158</f>
        <v>0</v>
      </c>
      <c r="Y158" s="3">
        <f>infections!Y158-infections!X158</f>
        <v>0</v>
      </c>
      <c r="Z158" s="3">
        <f>infections!Z158-infections!Y158</f>
        <v>0</v>
      </c>
      <c r="AA158" s="3">
        <f>infections!AA158-infections!Z158</f>
        <v>0</v>
      </c>
      <c r="AB158" s="3">
        <f>infections!AB158-infections!AA158</f>
        <v>0</v>
      </c>
      <c r="AC158" s="3">
        <f>infections!AC158-infections!AB158</f>
        <v>0</v>
      </c>
      <c r="AD158" s="3">
        <f>infections!AD158-infections!AC158</f>
        <v>0</v>
      </c>
      <c r="AE158" s="3">
        <f>infections!AE158-infections!AD158</f>
        <v>0</v>
      </c>
      <c r="AF158" s="3">
        <f>infections!AF158-infections!AE158</f>
        <v>0</v>
      </c>
      <c r="AG158" s="3">
        <f>infections!AG158-infections!AF158</f>
        <v>0</v>
      </c>
      <c r="AH158" s="3">
        <f>infections!AH158-infections!AG158</f>
        <v>0</v>
      </c>
      <c r="AI158" s="3">
        <f>infections!AI158-infections!AH158</f>
        <v>0</v>
      </c>
      <c r="AJ158" s="3">
        <f>infections!AJ158-infections!AI158</f>
        <v>0</v>
      </c>
      <c r="AK158" s="3">
        <f>infections!AK158-infections!AJ158</f>
        <v>0</v>
      </c>
      <c r="AL158" s="3">
        <f>infections!AL158-infections!AK158</f>
        <v>0</v>
      </c>
      <c r="AM158" s="3">
        <f>infections!AM158-infections!AL158</f>
        <v>0</v>
      </c>
      <c r="AN158" s="3">
        <f>infections!AN158-infections!AM158</f>
        <v>0</v>
      </c>
      <c r="AO158" s="3">
        <f>infections!AO158-infections!AN158</f>
        <v>0</v>
      </c>
      <c r="AP158" s="3">
        <f>infections!AP158-infections!AO158</f>
        <v>0</v>
      </c>
      <c r="AQ158" s="3">
        <f>infections!AQ158-infections!AP158</f>
        <v>0</v>
      </c>
      <c r="AR158" s="3">
        <f>infections!AR158-infections!AQ158</f>
        <v>0</v>
      </c>
      <c r="AS158" s="3">
        <f>infections!AS158-infections!AR158</f>
        <v>0</v>
      </c>
      <c r="AT158" s="3">
        <f>infections!AT158-infections!AS158</f>
        <v>0</v>
      </c>
      <c r="AU158" s="3">
        <f>infections!AU158-infections!AT158</f>
        <v>0</v>
      </c>
      <c r="AV158" s="3">
        <f>infections!AV158-infections!AU158</f>
        <v>0</v>
      </c>
      <c r="AW158" s="3">
        <f>infections!AW158-infections!AV158</f>
        <v>0</v>
      </c>
      <c r="AX158" s="3">
        <f>infections!AX158-infections!AW158</f>
        <v>0</v>
      </c>
      <c r="AY158" s="3">
        <f>infections!AY158-infections!AX158</f>
        <v>0</v>
      </c>
      <c r="AZ158" s="3">
        <f>infections!AZ158-infections!AY158</f>
        <v>0</v>
      </c>
      <c r="BA158" s="3">
        <f>infections!BA158-infections!AZ158</f>
        <v>0</v>
      </c>
      <c r="BB158" s="3">
        <f>infections!BB158-infections!BA158</f>
        <v>0</v>
      </c>
      <c r="BC158" s="3">
        <f>infections!BC158-infections!BB158</f>
        <v>0</v>
      </c>
      <c r="BD158" s="3">
        <f>infections!BD158-infections!BC158</f>
        <v>0</v>
      </c>
      <c r="BE158" s="3">
        <f>infections!BE158-infections!BD158</f>
        <v>1</v>
      </c>
      <c r="BF158" s="3">
        <f>infections!BF158-infections!BE158</f>
        <v>0</v>
      </c>
      <c r="BG158" s="3">
        <f>infections!BG158-infections!BF158</f>
        <v>0</v>
      </c>
      <c r="BH158" s="3">
        <f>infections!BH158-infections!BG158</f>
        <v>0</v>
      </c>
      <c r="BI158" s="3">
        <f>infections!BI158-infections!BH158</f>
        <v>0</v>
      </c>
      <c r="BJ158" s="3">
        <f>infections!BJ158-infections!BI158</f>
        <v>1</v>
      </c>
      <c r="BK158" s="3">
        <f>infections!BK158-infections!BJ158</f>
        <v>0</v>
      </c>
      <c r="BL158" s="3">
        <f>infections!BL158-infections!BK158</f>
        <v>0</v>
      </c>
      <c r="BM158" s="3">
        <f>infections!BM158-infections!BL158</f>
        <v>0</v>
      </c>
      <c r="BN158" s="3">
        <f>infections!BN158-infections!BM158</f>
        <v>0</v>
      </c>
      <c r="BO158" s="3">
        <f>infections!BO158-infections!BN158</f>
        <v>0</v>
      </c>
      <c r="BP158" s="3">
        <f>infections!BP158-infections!BO158</f>
        <v>0</v>
      </c>
      <c r="BQ158" s="3">
        <f>infections!BQ158-infections!BP158</f>
        <v>1</v>
      </c>
      <c r="BR158" s="3">
        <f>infections!BR158-infections!BQ158</f>
        <v>0</v>
      </c>
      <c r="BS158" s="3">
        <f>infections!BS158-infections!BR158</f>
        <v>2</v>
      </c>
      <c r="BT158" s="3">
        <f>infections!BT158-infections!BS158</f>
        <v>0</v>
      </c>
      <c r="BU158" s="3">
        <f>infections!BU158-infections!BT158</f>
        <v>0</v>
      </c>
      <c r="BV158" s="3">
        <f>infections!BV158-infections!BU158</f>
        <v>1</v>
      </c>
      <c r="BW158" s="3">
        <f>infections!BW158-infections!BV158</f>
        <v>0</v>
      </c>
      <c r="BX158" s="3">
        <f>infections!BX158-infections!BW158</f>
        <v>0</v>
      </c>
      <c r="BY158" s="3">
        <f>infections!BY158-infections!BX158</f>
        <v>0</v>
      </c>
    </row>
    <row r="159">
      <c r="B159" s="1" t="str">
        <f>infections!B159</f>
        <v>Mauritius</v>
      </c>
      <c r="C159" s="4">
        <f>infections!C159</f>
        <v>-20.2</v>
      </c>
      <c r="D159" s="4">
        <f>infections!D159</f>
        <v>57.5</v>
      </c>
      <c r="E159" s="4">
        <f>infections!E159</f>
        <v>0</v>
      </c>
      <c r="F159" s="3">
        <f>infections!F159-infections!E159</f>
        <v>0</v>
      </c>
      <c r="G159" s="3">
        <f>infections!G159-infections!F159</f>
        <v>0</v>
      </c>
      <c r="H159" s="3">
        <f>infections!H159-infections!G159</f>
        <v>0</v>
      </c>
      <c r="I159" s="3">
        <f>infections!I159-infections!H159</f>
        <v>0</v>
      </c>
      <c r="J159" s="3">
        <f>infections!J159-infections!I159</f>
        <v>0</v>
      </c>
      <c r="K159" s="3">
        <f>infections!K159-infections!J159</f>
        <v>0</v>
      </c>
      <c r="L159" s="3">
        <f>infections!L159-infections!K159</f>
        <v>0</v>
      </c>
      <c r="M159" s="3">
        <f>infections!M159-infections!L159</f>
        <v>0</v>
      </c>
      <c r="N159" s="3">
        <f>infections!N159-infections!M159</f>
        <v>0</v>
      </c>
      <c r="O159" s="3">
        <f>infections!O159-infections!N159</f>
        <v>0</v>
      </c>
      <c r="P159" s="3">
        <f>infections!P159-infections!O159</f>
        <v>0</v>
      </c>
      <c r="Q159" s="3">
        <f>infections!Q159-infections!P159</f>
        <v>0</v>
      </c>
      <c r="R159" s="3">
        <f>infections!R159-infections!Q159</f>
        <v>0</v>
      </c>
      <c r="S159" s="3">
        <f>infections!S159-infections!R159</f>
        <v>0</v>
      </c>
      <c r="T159" s="3">
        <f>infections!T159-infections!S159</f>
        <v>0</v>
      </c>
      <c r="U159" s="3">
        <f>infections!U159-infections!T159</f>
        <v>0</v>
      </c>
      <c r="V159" s="3">
        <f>infections!V159-infections!U159</f>
        <v>0</v>
      </c>
      <c r="W159" s="3">
        <f>infections!W159-infections!V159</f>
        <v>0</v>
      </c>
      <c r="X159" s="3">
        <f>infections!X159-infections!W159</f>
        <v>0</v>
      </c>
      <c r="Y159" s="3">
        <f>infections!Y159-infections!X159</f>
        <v>0</v>
      </c>
      <c r="Z159" s="3">
        <f>infections!Z159-infections!Y159</f>
        <v>0</v>
      </c>
      <c r="AA159" s="3">
        <f>infections!AA159-infections!Z159</f>
        <v>0</v>
      </c>
      <c r="AB159" s="3">
        <f>infections!AB159-infections!AA159</f>
        <v>0</v>
      </c>
      <c r="AC159" s="3">
        <f>infections!AC159-infections!AB159</f>
        <v>0</v>
      </c>
      <c r="AD159" s="3">
        <f>infections!AD159-infections!AC159</f>
        <v>0</v>
      </c>
      <c r="AE159" s="3">
        <f>infections!AE159-infections!AD159</f>
        <v>0</v>
      </c>
      <c r="AF159" s="3">
        <f>infections!AF159-infections!AE159</f>
        <v>0</v>
      </c>
      <c r="AG159" s="3">
        <f>infections!AG159-infections!AF159</f>
        <v>0</v>
      </c>
      <c r="AH159" s="3">
        <f>infections!AH159-infections!AG159</f>
        <v>0</v>
      </c>
      <c r="AI159" s="3">
        <f>infections!AI159-infections!AH159</f>
        <v>0</v>
      </c>
      <c r="AJ159" s="3">
        <f>infections!AJ159-infections!AI159</f>
        <v>0</v>
      </c>
      <c r="AK159" s="3">
        <f>infections!AK159-infections!AJ159</f>
        <v>0</v>
      </c>
      <c r="AL159" s="3">
        <f>infections!AL159-infections!AK159</f>
        <v>0</v>
      </c>
      <c r="AM159" s="3">
        <f>infections!AM159-infections!AL159</f>
        <v>0</v>
      </c>
      <c r="AN159" s="3">
        <f>infections!AN159-infections!AM159</f>
        <v>0</v>
      </c>
      <c r="AO159" s="3">
        <f>infections!AO159-infections!AN159</f>
        <v>0</v>
      </c>
      <c r="AP159" s="3">
        <f>infections!AP159-infections!AO159</f>
        <v>0</v>
      </c>
      <c r="AQ159" s="3">
        <f>infections!AQ159-infections!AP159</f>
        <v>0</v>
      </c>
      <c r="AR159" s="3">
        <f>infections!AR159-infections!AQ159</f>
        <v>0</v>
      </c>
      <c r="AS159" s="3">
        <f>infections!AS159-infections!AR159</f>
        <v>0</v>
      </c>
      <c r="AT159" s="3">
        <f>infections!AT159-infections!AS159</f>
        <v>0</v>
      </c>
      <c r="AU159" s="3">
        <f>infections!AU159-infections!AT159</f>
        <v>0</v>
      </c>
      <c r="AV159" s="3">
        <f>infections!AV159-infections!AU159</f>
        <v>0</v>
      </c>
      <c r="AW159" s="3">
        <f>infections!AW159-infections!AV159</f>
        <v>0</v>
      </c>
      <c r="AX159" s="3">
        <f>infections!AX159-infections!AW159</f>
        <v>0</v>
      </c>
      <c r="AY159" s="3">
        <f>infections!AY159-infections!AX159</f>
        <v>0</v>
      </c>
      <c r="AZ159" s="3">
        <f>infections!AZ159-infections!AY159</f>
        <v>0</v>
      </c>
      <c r="BA159" s="3">
        <f>infections!BA159-infections!AZ159</f>
        <v>0</v>
      </c>
      <c r="BB159" s="3">
        <f>infections!BB159-infections!BA159</f>
        <v>0</v>
      </c>
      <c r="BC159" s="3">
        <f>infections!BC159-infections!BB159</f>
        <v>0</v>
      </c>
      <c r="BD159" s="3">
        <f>infections!BD159-infections!BC159</f>
        <v>0</v>
      </c>
      <c r="BE159" s="3">
        <f>infections!BE159-infections!BD159</f>
        <v>0</v>
      </c>
      <c r="BF159" s="3">
        <f>infections!BF159-infections!BE159</f>
        <v>0</v>
      </c>
      <c r="BG159" s="3">
        <f>infections!BG159-infections!BF159</f>
        <v>0</v>
      </c>
      <c r="BH159" s="3">
        <f>infections!BH159-infections!BG159</f>
        <v>0</v>
      </c>
      <c r="BI159" s="3">
        <f>infections!BI159-infections!BH159</f>
        <v>3</v>
      </c>
      <c r="BJ159" s="3">
        <f>infections!BJ159-infections!BI159</f>
        <v>0</v>
      </c>
      <c r="BK159" s="3">
        <f>infections!BK159-infections!BJ159</f>
        <v>9</v>
      </c>
      <c r="BL159" s="3">
        <f>infections!BL159-infections!BK159</f>
        <v>2</v>
      </c>
      <c r="BM159" s="3">
        <f>infections!BM159-infections!BL159</f>
        <v>14</v>
      </c>
      <c r="BN159" s="3">
        <f>infections!BN159-infections!BM159</f>
        <v>8</v>
      </c>
      <c r="BO159" s="3">
        <f>infections!BO159-infections!BN159</f>
        <v>6</v>
      </c>
      <c r="BP159" s="3">
        <f>infections!BP159-infections!BO159</f>
        <v>6</v>
      </c>
      <c r="BQ159" s="3">
        <f>infections!BQ159-infections!BP159</f>
        <v>33</v>
      </c>
      <c r="BR159" s="3">
        <f>infections!BR159-infections!BQ159</f>
        <v>13</v>
      </c>
      <c r="BS159" s="3">
        <f>infections!BS159-infections!BR159</f>
        <v>8</v>
      </c>
      <c r="BT159" s="3">
        <f>infections!BT159-infections!BS159</f>
        <v>5</v>
      </c>
      <c r="BU159" s="3">
        <f>infections!BU159-infections!BT159</f>
        <v>21</v>
      </c>
      <c r="BV159" s="3">
        <f>infections!BV159-infections!BU159</f>
        <v>15</v>
      </c>
      <c r="BW159" s="3">
        <f>infections!BW159-infections!BV159</f>
        <v>18</v>
      </c>
      <c r="BX159" s="3">
        <f>infections!BX159-infections!BW159</f>
        <v>8</v>
      </c>
      <c r="BY159" s="3">
        <f>infections!BY159-infections!BX159</f>
        <v>17</v>
      </c>
    </row>
    <row r="160">
      <c r="B160" s="1" t="str">
        <f>infections!B160</f>
        <v>Mexico</v>
      </c>
      <c r="C160" s="4">
        <f>infections!C160</f>
        <v>23.6345</v>
      </c>
      <c r="D160" s="4">
        <f>infections!D160</f>
        <v>-102.5528</v>
      </c>
      <c r="E160" s="4">
        <f>infections!E160</f>
        <v>0</v>
      </c>
      <c r="F160" s="3">
        <f>infections!F160-infections!E160</f>
        <v>0</v>
      </c>
      <c r="G160" s="3">
        <f>infections!G160-infections!F160</f>
        <v>0</v>
      </c>
      <c r="H160" s="3">
        <f>infections!H160-infections!G160</f>
        <v>0</v>
      </c>
      <c r="I160" s="3">
        <f>infections!I160-infections!H160</f>
        <v>0</v>
      </c>
      <c r="J160" s="3">
        <f>infections!J160-infections!I160</f>
        <v>0</v>
      </c>
      <c r="K160" s="3">
        <f>infections!K160-infections!J160</f>
        <v>0</v>
      </c>
      <c r="L160" s="3">
        <f>infections!L160-infections!K160</f>
        <v>0</v>
      </c>
      <c r="M160" s="3">
        <f>infections!M160-infections!L160</f>
        <v>0</v>
      </c>
      <c r="N160" s="3">
        <f>infections!N160-infections!M160</f>
        <v>0</v>
      </c>
      <c r="O160" s="3">
        <f>infections!O160-infections!N160</f>
        <v>0</v>
      </c>
      <c r="P160" s="3">
        <f>infections!P160-infections!O160</f>
        <v>0</v>
      </c>
      <c r="Q160" s="3">
        <f>infections!Q160-infections!P160</f>
        <v>0</v>
      </c>
      <c r="R160" s="3">
        <f>infections!R160-infections!Q160</f>
        <v>0</v>
      </c>
      <c r="S160" s="3">
        <f>infections!S160-infections!R160</f>
        <v>0</v>
      </c>
      <c r="T160" s="3">
        <f>infections!T160-infections!S160</f>
        <v>0</v>
      </c>
      <c r="U160" s="3">
        <f>infections!U160-infections!T160</f>
        <v>0</v>
      </c>
      <c r="V160" s="3">
        <f>infections!V160-infections!U160</f>
        <v>0</v>
      </c>
      <c r="W160" s="3">
        <f>infections!W160-infections!V160</f>
        <v>0</v>
      </c>
      <c r="X160" s="3">
        <f>infections!X160-infections!W160</f>
        <v>0</v>
      </c>
      <c r="Y160" s="3">
        <f>infections!Y160-infections!X160</f>
        <v>0</v>
      </c>
      <c r="Z160" s="3">
        <f>infections!Z160-infections!Y160</f>
        <v>0</v>
      </c>
      <c r="AA160" s="3">
        <f>infections!AA160-infections!Z160</f>
        <v>0</v>
      </c>
      <c r="AB160" s="3">
        <f>infections!AB160-infections!AA160</f>
        <v>0</v>
      </c>
      <c r="AC160" s="3">
        <f>infections!AC160-infections!AB160</f>
        <v>0</v>
      </c>
      <c r="AD160" s="3">
        <f>infections!AD160-infections!AC160</f>
        <v>0</v>
      </c>
      <c r="AE160" s="3">
        <f>infections!AE160-infections!AD160</f>
        <v>0</v>
      </c>
      <c r="AF160" s="3">
        <f>infections!AF160-infections!AE160</f>
        <v>0</v>
      </c>
      <c r="AG160" s="3">
        <f>infections!AG160-infections!AF160</f>
        <v>0</v>
      </c>
      <c r="AH160" s="3">
        <f>infections!AH160-infections!AG160</f>
        <v>0</v>
      </c>
      <c r="AI160" s="3">
        <f>infections!AI160-infections!AH160</f>
        <v>0</v>
      </c>
      <c r="AJ160" s="3">
        <f>infections!AJ160-infections!AI160</f>
        <v>0</v>
      </c>
      <c r="AK160" s="3">
        <f>infections!AK160-infections!AJ160</f>
        <v>0</v>
      </c>
      <c r="AL160" s="3">
        <f>infections!AL160-infections!AK160</f>
        <v>0</v>
      </c>
      <c r="AM160" s="3">
        <f>infections!AM160-infections!AL160</f>
        <v>0</v>
      </c>
      <c r="AN160" s="3">
        <f>infections!AN160-infections!AM160</f>
        <v>0</v>
      </c>
      <c r="AO160" s="3">
        <f>infections!AO160-infections!AN160</f>
        <v>0</v>
      </c>
      <c r="AP160" s="3">
        <f>infections!AP160-infections!AO160</f>
        <v>1</v>
      </c>
      <c r="AQ160" s="3">
        <f>infections!AQ160-infections!AP160</f>
        <v>3</v>
      </c>
      <c r="AR160" s="3">
        <f>infections!AR160-infections!AQ160</f>
        <v>1</v>
      </c>
      <c r="AS160" s="3">
        <f>infections!AS160-infections!AR160</f>
        <v>0</v>
      </c>
      <c r="AT160" s="3">
        <f>infections!AT160-infections!AS160</f>
        <v>0</v>
      </c>
      <c r="AU160" s="3">
        <f>infections!AU160-infections!AT160</f>
        <v>0</v>
      </c>
      <c r="AV160" s="3">
        <f>infections!AV160-infections!AU160</f>
        <v>0</v>
      </c>
      <c r="AW160" s="3">
        <f>infections!AW160-infections!AV160</f>
        <v>1</v>
      </c>
      <c r="AX160" s="3">
        <f>infections!AX160-infections!AW160</f>
        <v>0</v>
      </c>
      <c r="AY160" s="3">
        <f>infections!AY160-infections!AX160</f>
        <v>1</v>
      </c>
      <c r="AZ160" s="3">
        <f>infections!AZ160-infections!AY160</f>
        <v>0</v>
      </c>
      <c r="BA160" s="3">
        <f>infections!BA160-infections!AZ160</f>
        <v>0</v>
      </c>
      <c r="BB160" s="3">
        <f>infections!BB160-infections!BA160</f>
        <v>1</v>
      </c>
      <c r="BC160" s="3">
        <f>infections!BC160-infections!BB160</f>
        <v>4</v>
      </c>
      <c r="BD160" s="3">
        <f>infections!BD160-infections!BC160</f>
        <v>0</v>
      </c>
      <c r="BE160" s="3">
        <f>infections!BE160-infections!BD160</f>
        <v>14</v>
      </c>
      <c r="BF160" s="3">
        <f>infections!BF160-infections!BE160</f>
        <v>15</v>
      </c>
      <c r="BG160" s="3">
        <f>infections!BG160-infections!BF160</f>
        <v>12</v>
      </c>
      <c r="BH160" s="3">
        <f>infections!BH160-infections!BG160</f>
        <v>29</v>
      </c>
      <c r="BI160" s="3">
        <f>infections!BI160-infections!BH160</f>
        <v>11</v>
      </c>
      <c r="BJ160" s="3">
        <f>infections!BJ160-infections!BI160</f>
        <v>25</v>
      </c>
      <c r="BK160" s="3">
        <f>infections!BK160-infections!BJ160</f>
        <v>46</v>
      </c>
      <c r="BL160" s="3">
        <f>infections!BL160-infections!BK160</f>
        <v>39</v>
      </c>
      <c r="BM160" s="3">
        <f>infections!BM160-infections!BL160</f>
        <v>48</v>
      </c>
      <c r="BN160" s="3">
        <f>infections!BN160-infections!BM160</f>
        <v>65</v>
      </c>
      <c r="BO160" s="3">
        <f>infections!BO160-infections!BN160</f>
        <v>51</v>
      </c>
      <c r="BP160" s="3">
        <f>infections!BP160-infections!BO160</f>
        <v>38</v>
      </c>
      <c r="BQ160" s="3">
        <f>infections!BQ160-infections!BP160</f>
        <v>70</v>
      </c>
      <c r="BR160" s="3">
        <f>infections!BR160-infections!BQ160</f>
        <v>110</v>
      </c>
      <c r="BS160" s="3">
        <f>infections!BS160-infections!BR160</f>
        <v>132</v>
      </c>
      <c r="BT160" s="3">
        <f>infections!BT160-infections!BS160</f>
        <v>131</v>
      </c>
      <c r="BU160" s="3">
        <f>infections!BU160-infections!BT160</f>
        <v>145</v>
      </c>
      <c r="BV160" s="3">
        <f>infections!BV160-infections!BU160</f>
        <v>101</v>
      </c>
      <c r="BW160" s="3">
        <f>infections!BW160-infections!BV160</f>
        <v>121</v>
      </c>
      <c r="BX160" s="3">
        <f>infections!BX160-infections!BW160</f>
        <v>163</v>
      </c>
      <c r="BY160" s="3">
        <f>infections!BY160-infections!BX160</f>
        <v>132</v>
      </c>
    </row>
    <row r="161">
      <c r="B161" s="1" t="str">
        <f>infections!B161</f>
        <v>Moldova</v>
      </c>
      <c r="C161" s="4">
        <f>infections!C161</f>
        <v>47.4116</v>
      </c>
      <c r="D161" s="4">
        <f>infections!D161</f>
        <v>28.3699</v>
      </c>
      <c r="E161" s="4">
        <f>infections!E161</f>
        <v>0</v>
      </c>
      <c r="F161" s="3">
        <f>infections!F161-infections!E161</f>
        <v>0</v>
      </c>
      <c r="G161" s="3">
        <f>infections!G161-infections!F161</f>
        <v>0</v>
      </c>
      <c r="H161" s="3">
        <f>infections!H161-infections!G161</f>
        <v>0</v>
      </c>
      <c r="I161" s="3">
        <f>infections!I161-infections!H161</f>
        <v>0</v>
      </c>
      <c r="J161" s="3">
        <f>infections!J161-infections!I161</f>
        <v>0</v>
      </c>
      <c r="K161" s="3">
        <f>infections!K161-infections!J161</f>
        <v>0</v>
      </c>
      <c r="L161" s="3">
        <f>infections!L161-infections!K161</f>
        <v>0</v>
      </c>
      <c r="M161" s="3">
        <f>infections!M161-infections!L161</f>
        <v>0</v>
      </c>
      <c r="N161" s="3">
        <f>infections!N161-infections!M161</f>
        <v>0</v>
      </c>
      <c r="O161" s="3">
        <f>infections!O161-infections!N161</f>
        <v>0</v>
      </c>
      <c r="P161" s="3">
        <f>infections!P161-infections!O161</f>
        <v>0</v>
      </c>
      <c r="Q161" s="3">
        <f>infections!Q161-infections!P161</f>
        <v>0</v>
      </c>
      <c r="R161" s="3">
        <f>infections!R161-infections!Q161</f>
        <v>0</v>
      </c>
      <c r="S161" s="3">
        <f>infections!S161-infections!R161</f>
        <v>0</v>
      </c>
      <c r="T161" s="3">
        <f>infections!T161-infections!S161</f>
        <v>0</v>
      </c>
      <c r="U161" s="3">
        <f>infections!U161-infections!T161</f>
        <v>0</v>
      </c>
      <c r="V161" s="3">
        <f>infections!V161-infections!U161</f>
        <v>0</v>
      </c>
      <c r="W161" s="3">
        <f>infections!W161-infections!V161</f>
        <v>0</v>
      </c>
      <c r="X161" s="3">
        <f>infections!X161-infections!W161</f>
        <v>0</v>
      </c>
      <c r="Y161" s="3">
        <f>infections!Y161-infections!X161</f>
        <v>0</v>
      </c>
      <c r="Z161" s="3">
        <f>infections!Z161-infections!Y161</f>
        <v>0</v>
      </c>
      <c r="AA161" s="3">
        <f>infections!AA161-infections!Z161</f>
        <v>0</v>
      </c>
      <c r="AB161" s="3">
        <f>infections!AB161-infections!AA161</f>
        <v>0</v>
      </c>
      <c r="AC161" s="3">
        <f>infections!AC161-infections!AB161</f>
        <v>0</v>
      </c>
      <c r="AD161" s="3">
        <f>infections!AD161-infections!AC161</f>
        <v>0</v>
      </c>
      <c r="AE161" s="3">
        <f>infections!AE161-infections!AD161</f>
        <v>0</v>
      </c>
      <c r="AF161" s="3">
        <f>infections!AF161-infections!AE161</f>
        <v>0</v>
      </c>
      <c r="AG161" s="3">
        <f>infections!AG161-infections!AF161</f>
        <v>0</v>
      </c>
      <c r="AH161" s="3">
        <f>infections!AH161-infections!AG161</f>
        <v>0</v>
      </c>
      <c r="AI161" s="3">
        <f>infections!AI161-infections!AH161</f>
        <v>0</v>
      </c>
      <c r="AJ161" s="3">
        <f>infections!AJ161-infections!AI161</f>
        <v>0</v>
      </c>
      <c r="AK161" s="3">
        <f>infections!AK161-infections!AJ161</f>
        <v>0</v>
      </c>
      <c r="AL161" s="3">
        <f>infections!AL161-infections!AK161</f>
        <v>0</v>
      </c>
      <c r="AM161" s="3">
        <f>infections!AM161-infections!AL161</f>
        <v>0</v>
      </c>
      <c r="AN161" s="3">
        <f>infections!AN161-infections!AM161</f>
        <v>0</v>
      </c>
      <c r="AO161" s="3">
        <f>infections!AO161-infections!AN161</f>
        <v>0</v>
      </c>
      <c r="AP161" s="3">
        <f>infections!AP161-infections!AO161</f>
        <v>0</v>
      </c>
      <c r="AQ161" s="3">
        <f>infections!AQ161-infections!AP161</f>
        <v>0</v>
      </c>
      <c r="AR161" s="3">
        <f>infections!AR161-infections!AQ161</f>
        <v>0</v>
      </c>
      <c r="AS161" s="3">
        <f>infections!AS161-infections!AR161</f>
        <v>0</v>
      </c>
      <c r="AT161" s="3">
        <f>infections!AT161-infections!AS161</f>
        <v>0</v>
      </c>
      <c r="AU161" s="3">
        <f>infections!AU161-infections!AT161</f>
        <v>0</v>
      </c>
      <c r="AV161" s="3">
        <f>infections!AV161-infections!AU161</f>
        <v>0</v>
      </c>
      <c r="AW161" s="3">
        <f>infections!AW161-infections!AV161</f>
        <v>0</v>
      </c>
      <c r="AX161" s="3">
        <f>infections!AX161-infections!AW161</f>
        <v>0</v>
      </c>
      <c r="AY161" s="3">
        <f>infections!AY161-infections!AX161</f>
        <v>1</v>
      </c>
      <c r="AZ161" s="3">
        <f>infections!AZ161-infections!AY161</f>
        <v>0</v>
      </c>
      <c r="BA161" s="3">
        <f>infections!BA161-infections!AZ161</f>
        <v>2</v>
      </c>
      <c r="BB161" s="3">
        <f>infections!BB161-infections!BA161</f>
        <v>0</v>
      </c>
      <c r="BC161" s="3">
        <f>infections!BC161-infections!BB161</f>
        <v>0</v>
      </c>
      <c r="BD161" s="3">
        <f>infections!BD161-infections!BC161</f>
        <v>3</v>
      </c>
      <c r="BE161" s="3">
        <f>infections!BE161-infections!BD161</f>
        <v>6</v>
      </c>
      <c r="BF161" s="3">
        <f>infections!BF161-infections!BE161</f>
        <v>11</v>
      </c>
      <c r="BG161" s="3">
        <f>infections!BG161-infections!BF161</f>
        <v>0</v>
      </c>
      <c r="BH161" s="3">
        <f>infections!BH161-infections!BG161</f>
        <v>7</v>
      </c>
      <c r="BI161" s="3">
        <f>infections!BI161-infections!BH161</f>
        <v>0</v>
      </c>
      <c r="BJ161" s="3">
        <f>infections!BJ161-infections!BI161</f>
        <v>19</v>
      </c>
      <c r="BK161" s="3">
        <f>infections!BK161-infections!BJ161</f>
        <v>17</v>
      </c>
      <c r="BL161" s="3">
        <f>infections!BL161-infections!BK161</f>
        <v>14</v>
      </c>
      <c r="BM161" s="3">
        <f>infections!BM161-infections!BL161</f>
        <v>14</v>
      </c>
      <c r="BN161" s="3">
        <f>infections!BN161-infections!BM161</f>
        <v>15</v>
      </c>
      <c r="BO161" s="3">
        <f>infections!BO161-infections!BN161</f>
        <v>16</v>
      </c>
      <c r="BP161" s="3">
        <f>infections!BP161-infections!BO161</f>
        <v>24</v>
      </c>
      <c r="BQ161" s="3">
        <f>infections!BQ161-infections!BP161</f>
        <v>28</v>
      </c>
      <c r="BR161" s="3">
        <f>infections!BR161-infections!BQ161</f>
        <v>22</v>
      </c>
      <c r="BS161" s="3">
        <f>infections!BS161-infections!BR161</f>
        <v>32</v>
      </c>
      <c r="BT161" s="3">
        <f>infections!BT161-infections!BS161</f>
        <v>32</v>
      </c>
      <c r="BU161" s="3">
        <f>infections!BU161-infections!BT161</f>
        <v>35</v>
      </c>
      <c r="BV161" s="3">
        <f>infections!BV161-infections!BU161</f>
        <v>55</v>
      </c>
      <c r="BW161" s="3">
        <f>infections!BW161-infections!BV161</f>
        <v>70</v>
      </c>
      <c r="BX161" s="3">
        <f>infections!BX161-infections!BW161</f>
        <v>82</v>
      </c>
      <c r="BY161" s="3">
        <f>infections!BY161-infections!BX161</f>
        <v>86</v>
      </c>
    </row>
    <row r="162">
      <c r="B162" s="1" t="str">
        <f>infections!B162</f>
        <v>Monaco</v>
      </c>
      <c r="C162" s="4">
        <f>infections!C162</f>
        <v>43.7333</v>
      </c>
      <c r="D162" s="4">
        <f>infections!D162</f>
        <v>7.4167</v>
      </c>
      <c r="E162" s="4">
        <f>infections!E162</f>
        <v>0</v>
      </c>
      <c r="F162" s="3">
        <f>infections!F162-infections!E162</f>
        <v>0</v>
      </c>
      <c r="G162" s="3">
        <f>infections!G162-infections!F162</f>
        <v>0</v>
      </c>
      <c r="H162" s="3">
        <f>infections!H162-infections!G162</f>
        <v>0</v>
      </c>
      <c r="I162" s="3">
        <f>infections!I162-infections!H162</f>
        <v>0</v>
      </c>
      <c r="J162" s="3">
        <f>infections!J162-infections!I162</f>
        <v>0</v>
      </c>
      <c r="K162" s="3">
        <f>infections!K162-infections!J162</f>
        <v>0</v>
      </c>
      <c r="L162" s="3">
        <f>infections!L162-infections!K162</f>
        <v>0</v>
      </c>
      <c r="M162" s="3">
        <f>infections!M162-infections!L162</f>
        <v>0</v>
      </c>
      <c r="N162" s="3">
        <f>infections!N162-infections!M162</f>
        <v>0</v>
      </c>
      <c r="O162" s="3">
        <f>infections!O162-infections!N162</f>
        <v>0</v>
      </c>
      <c r="P162" s="3">
        <f>infections!P162-infections!O162</f>
        <v>0</v>
      </c>
      <c r="Q162" s="3">
        <f>infections!Q162-infections!P162</f>
        <v>0</v>
      </c>
      <c r="R162" s="3">
        <f>infections!R162-infections!Q162</f>
        <v>0</v>
      </c>
      <c r="S162" s="3">
        <f>infections!S162-infections!R162</f>
        <v>0</v>
      </c>
      <c r="T162" s="3">
        <f>infections!T162-infections!S162</f>
        <v>0</v>
      </c>
      <c r="U162" s="3">
        <f>infections!U162-infections!T162</f>
        <v>0</v>
      </c>
      <c r="V162" s="3">
        <f>infections!V162-infections!U162</f>
        <v>0</v>
      </c>
      <c r="W162" s="3">
        <f>infections!W162-infections!V162</f>
        <v>0</v>
      </c>
      <c r="X162" s="3">
        <f>infections!X162-infections!W162</f>
        <v>0</v>
      </c>
      <c r="Y162" s="3">
        <f>infections!Y162-infections!X162</f>
        <v>0</v>
      </c>
      <c r="Z162" s="3">
        <f>infections!Z162-infections!Y162</f>
        <v>0</v>
      </c>
      <c r="AA162" s="3">
        <f>infections!AA162-infections!Z162</f>
        <v>0</v>
      </c>
      <c r="AB162" s="3">
        <f>infections!AB162-infections!AA162</f>
        <v>0</v>
      </c>
      <c r="AC162" s="3">
        <f>infections!AC162-infections!AB162</f>
        <v>0</v>
      </c>
      <c r="AD162" s="3">
        <f>infections!AD162-infections!AC162</f>
        <v>0</v>
      </c>
      <c r="AE162" s="3">
        <f>infections!AE162-infections!AD162</f>
        <v>0</v>
      </c>
      <c r="AF162" s="3">
        <f>infections!AF162-infections!AE162</f>
        <v>0</v>
      </c>
      <c r="AG162" s="3">
        <f>infections!AG162-infections!AF162</f>
        <v>0</v>
      </c>
      <c r="AH162" s="3">
        <f>infections!AH162-infections!AG162</f>
        <v>0</v>
      </c>
      <c r="AI162" s="3">
        <f>infections!AI162-infections!AH162</f>
        <v>0</v>
      </c>
      <c r="AJ162" s="3">
        <f>infections!AJ162-infections!AI162</f>
        <v>0</v>
      </c>
      <c r="AK162" s="3">
        <f>infections!AK162-infections!AJ162</f>
        <v>0</v>
      </c>
      <c r="AL162" s="3">
        <f>infections!AL162-infections!AK162</f>
        <v>0</v>
      </c>
      <c r="AM162" s="3">
        <f>infections!AM162-infections!AL162</f>
        <v>0</v>
      </c>
      <c r="AN162" s="3">
        <f>infections!AN162-infections!AM162</f>
        <v>0</v>
      </c>
      <c r="AO162" s="3">
        <f>infections!AO162-infections!AN162</f>
        <v>0</v>
      </c>
      <c r="AP162" s="3">
        <f>infections!AP162-infections!AO162</f>
        <v>0</v>
      </c>
      <c r="AQ162" s="3">
        <f>infections!AQ162-infections!AP162</f>
        <v>1</v>
      </c>
      <c r="AR162" s="3">
        <f>infections!AR162-infections!AQ162</f>
        <v>0</v>
      </c>
      <c r="AS162" s="3">
        <f>infections!AS162-infections!AR162</f>
        <v>0</v>
      </c>
      <c r="AT162" s="3">
        <f>infections!AT162-infections!AS162</f>
        <v>0</v>
      </c>
      <c r="AU162" s="3">
        <f>infections!AU162-infections!AT162</f>
        <v>0</v>
      </c>
      <c r="AV162" s="3">
        <f>infections!AV162-infections!AU162</f>
        <v>0</v>
      </c>
      <c r="AW162" s="3">
        <f>infections!AW162-infections!AV162</f>
        <v>0</v>
      </c>
      <c r="AX162" s="3">
        <f>infections!AX162-infections!AW162</f>
        <v>0</v>
      </c>
      <c r="AY162" s="3">
        <f>infections!AY162-infections!AX162</f>
        <v>0</v>
      </c>
      <c r="AZ162" s="3">
        <f>infections!AZ162-infections!AY162</f>
        <v>0</v>
      </c>
      <c r="BA162" s="3">
        <f>infections!BA162-infections!AZ162</f>
        <v>0</v>
      </c>
      <c r="BB162" s="3">
        <f>infections!BB162-infections!BA162</f>
        <v>0</v>
      </c>
      <c r="BC162" s="3">
        <f>infections!BC162-infections!BB162</f>
        <v>1</v>
      </c>
      <c r="BD162" s="3">
        <f>infections!BD162-infections!BC162</f>
        <v>0</v>
      </c>
      <c r="BE162" s="3">
        <f>infections!BE162-infections!BD162</f>
        <v>0</v>
      </c>
      <c r="BF162" s="3">
        <f>infections!BF162-infections!BE162</f>
        <v>0</v>
      </c>
      <c r="BG162" s="3">
        <f>infections!BG162-infections!BF162</f>
        <v>5</v>
      </c>
      <c r="BH162" s="3">
        <f>infections!BH162-infections!BG162</f>
        <v>0</v>
      </c>
      <c r="BI162" s="3">
        <f>infections!BI162-infections!BH162</f>
        <v>0</v>
      </c>
      <c r="BJ162" s="3">
        <f>infections!BJ162-infections!BI162</f>
        <v>0</v>
      </c>
      <c r="BK162" s="3">
        <f>infections!BK162-infections!BJ162</f>
        <v>4</v>
      </c>
      <c r="BL162" s="3">
        <f>infections!BL162-infections!BK162</f>
        <v>0</v>
      </c>
      <c r="BM162" s="3">
        <f>infections!BM162-infections!BL162</f>
        <v>12</v>
      </c>
      <c r="BN162" s="3">
        <f>infections!BN162-infections!BM162</f>
        <v>0</v>
      </c>
      <c r="BO162" s="3">
        <f>infections!BO162-infections!BN162</f>
        <v>0</v>
      </c>
      <c r="BP162" s="3">
        <f>infections!BP162-infections!BO162</f>
        <v>8</v>
      </c>
      <c r="BQ162" s="3">
        <f>infections!BQ162-infections!BP162</f>
        <v>2</v>
      </c>
      <c r="BR162" s="3">
        <f>infections!BR162-infections!BQ162</f>
        <v>9</v>
      </c>
      <c r="BS162" s="3">
        <f>infections!BS162-infections!BR162</f>
        <v>0</v>
      </c>
      <c r="BT162" s="3">
        <f>infections!BT162-infections!BS162</f>
        <v>4</v>
      </c>
      <c r="BU162" s="3">
        <f>infections!BU162-infections!BT162</f>
        <v>3</v>
      </c>
      <c r="BV162" s="3">
        <f>infections!BV162-infections!BU162</f>
        <v>3</v>
      </c>
      <c r="BW162" s="3">
        <f>infections!BW162-infections!BV162</f>
        <v>3</v>
      </c>
      <c r="BX162" s="3">
        <f>infections!BX162-infections!BW162</f>
        <v>5</v>
      </c>
      <c r="BY162" s="3">
        <f>infections!BY162-infections!BX162</f>
        <v>4</v>
      </c>
    </row>
    <row r="163">
      <c r="B163" s="1" t="str">
        <f>infections!B163</f>
        <v>Mongolia</v>
      </c>
      <c r="C163" s="4">
        <f>infections!C163</f>
        <v>46.8625</v>
      </c>
      <c r="D163" s="4">
        <f>infections!D163</f>
        <v>103.8467</v>
      </c>
      <c r="E163" s="4">
        <f>infections!E163</f>
        <v>0</v>
      </c>
      <c r="F163" s="3">
        <f>infections!F163-infections!E163</f>
        <v>0</v>
      </c>
      <c r="G163" s="3">
        <f>infections!G163-infections!F163</f>
        <v>0</v>
      </c>
      <c r="H163" s="3">
        <f>infections!H163-infections!G163</f>
        <v>0</v>
      </c>
      <c r="I163" s="3">
        <f>infections!I163-infections!H163</f>
        <v>0</v>
      </c>
      <c r="J163" s="3">
        <f>infections!J163-infections!I163</f>
        <v>0</v>
      </c>
      <c r="K163" s="3">
        <f>infections!K163-infections!J163</f>
        <v>0</v>
      </c>
      <c r="L163" s="3">
        <f>infections!L163-infections!K163</f>
        <v>0</v>
      </c>
      <c r="M163" s="3">
        <f>infections!M163-infections!L163</f>
        <v>0</v>
      </c>
      <c r="N163" s="3">
        <f>infections!N163-infections!M163</f>
        <v>0</v>
      </c>
      <c r="O163" s="3">
        <f>infections!O163-infections!N163</f>
        <v>0</v>
      </c>
      <c r="P163" s="3">
        <f>infections!P163-infections!O163</f>
        <v>0</v>
      </c>
      <c r="Q163" s="3">
        <f>infections!Q163-infections!P163</f>
        <v>0</v>
      </c>
      <c r="R163" s="3">
        <f>infections!R163-infections!Q163</f>
        <v>0</v>
      </c>
      <c r="S163" s="3">
        <f>infections!S163-infections!R163</f>
        <v>0</v>
      </c>
      <c r="T163" s="3">
        <f>infections!T163-infections!S163</f>
        <v>0</v>
      </c>
      <c r="U163" s="3">
        <f>infections!U163-infections!T163</f>
        <v>0</v>
      </c>
      <c r="V163" s="3">
        <f>infections!V163-infections!U163</f>
        <v>0</v>
      </c>
      <c r="W163" s="3">
        <f>infections!W163-infections!V163</f>
        <v>0</v>
      </c>
      <c r="X163" s="3">
        <f>infections!X163-infections!W163</f>
        <v>0</v>
      </c>
      <c r="Y163" s="3">
        <f>infections!Y163-infections!X163</f>
        <v>0</v>
      </c>
      <c r="Z163" s="3">
        <f>infections!Z163-infections!Y163</f>
        <v>0</v>
      </c>
      <c r="AA163" s="3">
        <f>infections!AA163-infections!Z163</f>
        <v>0</v>
      </c>
      <c r="AB163" s="3">
        <f>infections!AB163-infections!AA163</f>
        <v>0</v>
      </c>
      <c r="AC163" s="3">
        <f>infections!AC163-infections!AB163</f>
        <v>0</v>
      </c>
      <c r="AD163" s="3">
        <f>infections!AD163-infections!AC163</f>
        <v>0</v>
      </c>
      <c r="AE163" s="3">
        <f>infections!AE163-infections!AD163</f>
        <v>0</v>
      </c>
      <c r="AF163" s="3">
        <f>infections!AF163-infections!AE163</f>
        <v>0</v>
      </c>
      <c r="AG163" s="3">
        <f>infections!AG163-infections!AF163</f>
        <v>0</v>
      </c>
      <c r="AH163" s="3">
        <f>infections!AH163-infections!AG163</f>
        <v>0</v>
      </c>
      <c r="AI163" s="3">
        <f>infections!AI163-infections!AH163</f>
        <v>0</v>
      </c>
      <c r="AJ163" s="3">
        <f>infections!AJ163-infections!AI163</f>
        <v>0</v>
      </c>
      <c r="AK163" s="3">
        <f>infections!AK163-infections!AJ163</f>
        <v>0</v>
      </c>
      <c r="AL163" s="3">
        <f>infections!AL163-infections!AK163</f>
        <v>0</v>
      </c>
      <c r="AM163" s="3">
        <f>infections!AM163-infections!AL163</f>
        <v>0</v>
      </c>
      <c r="AN163" s="3">
        <f>infections!AN163-infections!AM163</f>
        <v>0</v>
      </c>
      <c r="AO163" s="3">
        <f>infections!AO163-infections!AN163</f>
        <v>0</v>
      </c>
      <c r="AP163" s="3">
        <f>infections!AP163-infections!AO163</f>
        <v>0</v>
      </c>
      <c r="AQ163" s="3">
        <f>infections!AQ163-infections!AP163</f>
        <v>0</v>
      </c>
      <c r="AR163" s="3">
        <f>infections!AR163-infections!AQ163</f>
        <v>0</v>
      </c>
      <c r="AS163" s="3">
        <f>infections!AS163-infections!AR163</f>
        <v>0</v>
      </c>
      <c r="AT163" s="3">
        <f>infections!AT163-infections!AS163</f>
        <v>0</v>
      </c>
      <c r="AU163" s="3">
        <f>infections!AU163-infections!AT163</f>
        <v>0</v>
      </c>
      <c r="AV163" s="3">
        <f>infections!AV163-infections!AU163</f>
        <v>0</v>
      </c>
      <c r="AW163" s="3">
        <f>infections!AW163-infections!AV163</f>
        <v>0</v>
      </c>
      <c r="AX163" s="3">
        <f>infections!AX163-infections!AW163</f>
        <v>0</v>
      </c>
      <c r="AY163" s="3">
        <f>infections!AY163-infections!AX163</f>
        <v>0</v>
      </c>
      <c r="AZ163" s="3">
        <f>infections!AZ163-infections!AY163</f>
        <v>0</v>
      </c>
      <c r="BA163" s="3">
        <f>infections!BA163-infections!AZ163</f>
        <v>1</v>
      </c>
      <c r="BB163" s="3">
        <f>infections!BB163-infections!BA163</f>
        <v>0</v>
      </c>
      <c r="BC163" s="3">
        <f>infections!BC163-infections!BB163</f>
        <v>0</v>
      </c>
      <c r="BD163" s="3">
        <f>infections!BD163-infections!BC163</f>
        <v>0</v>
      </c>
      <c r="BE163" s="3">
        <f>infections!BE163-infections!BD163</f>
        <v>0</v>
      </c>
      <c r="BF163" s="3">
        <f>infections!BF163-infections!BE163</f>
        <v>0</v>
      </c>
      <c r="BG163" s="3">
        <f>infections!BG163-infections!BF163</f>
        <v>0</v>
      </c>
      <c r="BH163" s="3">
        <f>infections!BH163-infections!BG163</f>
        <v>4</v>
      </c>
      <c r="BI163" s="3">
        <f>infections!BI163-infections!BH163</f>
        <v>1</v>
      </c>
      <c r="BJ163" s="3">
        <f>infections!BJ163-infections!BI163</f>
        <v>0</v>
      </c>
      <c r="BK163" s="3">
        <f>infections!BK163-infections!BJ163</f>
        <v>0</v>
      </c>
      <c r="BL163" s="3">
        <f>infections!BL163-infections!BK163</f>
        <v>4</v>
      </c>
      <c r="BM163" s="3">
        <f>infections!BM163-infections!BL163</f>
        <v>0</v>
      </c>
      <c r="BN163" s="3">
        <f>infections!BN163-infections!BM163</f>
        <v>0</v>
      </c>
      <c r="BO163" s="3">
        <f>infections!BO163-infections!BN163</f>
        <v>0</v>
      </c>
      <c r="BP163" s="3">
        <f>infections!BP163-infections!BO163</f>
        <v>0</v>
      </c>
      <c r="BQ163" s="3">
        <f>infections!BQ163-infections!BP163</f>
        <v>1</v>
      </c>
      <c r="BR163" s="3">
        <f>infections!BR163-infections!BQ163</f>
        <v>0</v>
      </c>
      <c r="BS163" s="3">
        <f>infections!BS163-infections!BR163</f>
        <v>1</v>
      </c>
      <c r="BT163" s="3">
        <f>infections!BT163-infections!BS163</f>
        <v>0</v>
      </c>
      <c r="BU163" s="3">
        <f>infections!BU163-infections!BT163</f>
        <v>0</v>
      </c>
      <c r="BV163" s="3">
        <f>infections!BV163-infections!BU163</f>
        <v>0</v>
      </c>
      <c r="BW163" s="3">
        <f>infections!BW163-infections!BV163</f>
        <v>2</v>
      </c>
      <c r="BX163" s="3">
        <f>infections!BX163-infections!BW163</f>
        <v>0</v>
      </c>
      <c r="BY163" s="3">
        <f>infections!BY163-infections!BX163</f>
        <v>0</v>
      </c>
    </row>
    <row r="164">
      <c r="B164" s="1" t="str">
        <f>infections!B164</f>
        <v>Montenegro</v>
      </c>
      <c r="C164" s="4">
        <f>infections!C164</f>
        <v>42.5</v>
      </c>
      <c r="D164" s="4">
        <f>infections!D164</f>
        <v>19.3</v>
      </c>
      <c r="E164" s="4">
        <f>infections!E164</f>
        <v>0</v>
      </c>
      <c r="F164" s="3">
        <f>infections!F164-infections!E164</f>
        <v>0</v>
      </c>
      <c r="G164" s="3">
        <f>infections!G164-infections!F164</f>
        <v>0</v>
      </c>
      <c r="H164" s="3">
        <f>infections!H164-infections!G164</f>
        <v>0</v>
      </c>
      <c r="I164" s="3">
        <f>infections!I164-infections!H164</f>
        <v>0</v>
      </c>
      <c r="J164" s="3">
        <f>infections!J164-infections!I164</f>
        <v>0</v>
      </c>
      <c r="K164" s="3">
        <f>infections!K164-infections!J164</f>
        <v>0</v>
      </c>
      <c r="L164" s="3">
        <f>infections!L164-infections!K164</f>
        <v>0</v>
      </c>
      <c r="M164" s="3">
        <f>infections!M164-infections!L164</f>
        <v>0</v>
      </c>
      <c r="N164" s="3">
        <f>infections!N164-infections!M164</f>
        <v>0</v>
      </c>
      <c r="O164" s="3">
        <f>infections!O164-infections!N164</f>
        <v>0</v>
      </c>
      <c r="P164" s="3">
        <f>infections!P164-infections!O164</f>
        <v>0</v>
      </c>
      <c r="Q164" s="3">
        <f>infections!Q164-infections!P164</f>
        <v>0</v>
      </c>
      <c r="R164" s="3">
        <f>infections!R164-infections!Q164</f>
        <v>0</v>
      </c>
      <c r="S164" s="3">
        <f>infections!S164-infections!R164</f>
        <v>0</v>
      </c>
      <c r="T164" s="3">
        <f>infections!T164-infections!S164</f>
        <v>0</v>
      </c>
      <c r="U164" s="3">
        <f>infections!U164-infections!T164</f>
        <v>0</v>
      </c>
      <c r="V164" s="3">
        <f>infections!V164-infections!U164</f>
        <v>0</v>
      </c>
      <c r="W164" s="3">
        <f>infections!W164-infections!V164</f>
        <v>0</v>
      </c>
      <c r="X164" s="3">
        <f>infections!X164-infections!W164</f>
        <v>0</v>
      </c>
      <c r="Y164" s="3">
        <f>infections!Y164-infections!X164</f>
        <v>0</v>
      </c>
      <c r="Z164" s="3">
        <f>infections!Z164-infections!Y164</f>
        <v>0</v>
      </c>
      <c r="AA164" s="3">
        <f>infections!AA164-infections!Z164</f>
        <v>0</v>
      </c>
      <c r="AB164" s="3">
        <f>infections!AB164-infections!AA164</f>
        <v>0</v>
      </c>
      <c r="AC164" s="3">
        <f>infections!AC164-infections!AB164</f>
        <v>0</v>
      </c>
      <c r="AD164" s="3">
        <f>infections!AD164-infections!AC164</f>
        <v>0</v>
      </c>
      <c r="AE164" s="3">
        <f>infections!AE164-infections!AD164</f>
        <v>0</v>
      </c>
      <c r="AF164" s="3">
        <f>infections!AF164-infections!AE164</f>
        <v>0</v>
      </c>
      <c r="AG164" s="3">
        <f>infections!AG164-infections!AF164</f>
        <v>0</v>
      </c>
      <c r="AH164" s="3">
        <f>infections!AH164-infections!AG164</f>
        <v>0</v>
      </c>
      <c r="AI164" s="3">
        <f>infections!AI164-infections!AH164</f>
        <v>0</v>
      </c>
      <c r="AJ164" s="3">
        <f>infections!AJ164-infections!AI164</f>
        <v>0</v>
      </c>
      <c r="AK164" s="3">
        <f>infections!AK164-infections!AJ164</f>
        <v>0</v>
      </c>
      <c r="AL164" s="3">
        <f>infections!AL164-infections!AK164</f>
        <v>0</v>
      </c>
      <c r="AM164" s="3">
        <f>infections!AM164-infections!AL164</f>
        <v>0</v>
      </c>
      <c r="AN164" s="3">
        <f>infections!AN164-infections!AM164</f>
        <v>0</v>
      </c>
      <c r="AO164" s="3">
        <f>infections!AO164-infections!AN164</f>
        <v>0</v>
      </c>
      <c r="AP164" s="3">
        <f>infections!AP164-infections!AO164</f>
        <v>0</v>
      </c>
      <c r="AQ164" s="3">
        <f>infections!AQ164-infections!AP164</f>
        <v>0</v>
      </c>
      <c r="AR164" s="3">
        <f>infections!AR164-infections!AQ164</f>
        <v>0</v>
      </c>
      <c r="AS164" s="3">
        <f>infections!AS164-infections!AR164</f>
        <v>0</v>
      </c>
      <c r="AT164" s="3">
        <f>infections!AT164-infections!AS164</f>
        <v>0</v>
      </c>
      <c r="AU164" s="3">
        <f>infections!AU164-infections!AT164</f>
        <v>0</v>
      </c>
      <c r="AV164" s="3">
        <f>infections!AV164-infections!AU164</f>
        <v>0</v>
      </c>
      <c r="AW164" s="3">
        <f>infections!AW164-infections!AV164</f>
        <v>0</v>
      </c>
      <c r="AX164" s="3">
        <f>infections!AX164-infections!AW164</f>
        <v>0</v>
      </c>
      <c r="AY164" s="3">
        <f>infections!AY164-infections!AX164</f>
        <v>0</v>
      </c>
      <c r="AZ164" s="3">
        <f>infections!AZ164-infections!AY164</f>
        <v>0</v>
      </c>
      <c r="BA164" s="3">
        <f>infections!BA164-infections!AZ164</f>
        <v>0</v>
      </c>
      <c r="BB164" s="3">
        <f>infections!BB164-infections!BA164</f>
        <v>0</v>
      </c>
      <c r="BC164" s="3">
        <f>infections!BC164-infections!BB164</f>
        <v>0</v>
      </c>
      <c r="BD164" s="3">
        <f>infections!BD164-infections!BC164</f>
        <v>0</v>
      </c>
      <c r="BE164" s="3">
        <f>infections!BE164-infections!BD164</f>
        <v>0</v>
      </c>
      <c r="BF164" s="3">
        <f>infections!BF164-infections!BE164</f>
        <v>0</v>
      </c>
      <c r="BG164" s="3">
        <f>infections!BG164-infections!BF164</f>
        <v>0</v>
      </c>
      <c r="BH164" s="3">
        <f>infections!BH164-infections!BG164</f>
        <v>2</v>
      </c>
      <c r="BI164" s="3">
        <f>infections!BI164-infections!BH164</f>
        <v>0</v>
      </c>
      <c r="BJ164" s="3">
        <f>infections!BJ164-infections!BI164</f>
        <v>1</v>
      </c>
      <c r="BK164" s="3">
        <f>infections!BK164-infections!BJ164</f>
        <v>11</v>
      </c>
      <c r="BL164" s="3">
        <f>infections!BL164-infections!BK164</f>
        <v>0</v>
      </c>
      <c r="BM164" s="3">
        <f>infections!BM164-infections!BL164</f>
        <v>7</v>
      </c>
      <c r="BN164" s="3">
        <f>infections!BN164-infections!BM164</f>
        <v>6</v>
      </c>
      <c r="BO164" s="3">
        <f>infections!BO164-infections!BN164</f>
        <v>20</v>
      </c>
      <c r="BP164" s="3">
        <f>infections!BP164-infections!BO164</f>
        <v>5</v>
      </c>
      <c r="BQ164" s="3">
        <f>infections!BQ164-infections!BP164</f>
        <v>17</v>
      </c>
      <c r="BR164" s="3">
        <f>infections!BR164-infections!BQ164</f>
        <v>13</v>
      </c>
      <c r="BS164" s="3">
        <f>infections!BS164-infections!BR164</f>
        <v>2</v>
      </c>
      <c r="BT164" s="3">
        <f>infections!BT164-infections!BS164</f>
        <v>1</v>
      </c>
      <c r="BU164" s="3">
        <f>infections!BU164-infections!BT164</f>
        <v>6</v>
      </c>
      <c r="BV164" s="3">
        <f>infections!BV164-infections!BU164</f>
        <v>18</v>
      </c>
      <c r="BW164" s="3">
        <f>infections!BW164-infections!BV164</f>
        <v>14</v>
      </c>
      <c r="BX164" s="3">
        <f>infections!BX164-infections!BW164</f>
        <v>21</v>
      </c>
      <c r="BY164" s="3">
        <f>infections!BY164-infections!BX164</f>
        <v>30</v>
      </c>
    </row>
    <row r="165">
      <c r="B165" s="1" t="str">
        <f>infections!B165</f>
        <v>Morocco</v>
      </c>
      <c r="C165" s="4">
        <f>infections!C165</f>
        <v>31.7917</v>
      </c>
      <c r="D165" s="4">
        <f>infections!D165</f>
        <v>-7.0926</v>
      </c>
      <c r="E165" s="4">
        <f>infections!E165</f>
        <v>0</v>
      </c>
      <c r="F165" s="3">
        <f>infections!F165-infections!E165</f>
        <v>0</v>
      </c>
      <c r="G165" s="3">
        <f>infections!G165-infections!F165</f>
        <v>0</v>
      </c>
      <c r="H165" s="3">
        <f>infections!H165-infections!G165</f>
        <v>0</v>
      </c>
      <c r="I165" s="3">
        <f>infections!I165-infections!H165</f>
        <v>0</v>
      </c>
      <c r="J165" s="3">
        <f>infections!J165-infections!I165</f>
        <v>0</v>
      </c>
      <c r="K165" s="3">
        <f>infections!K165-infections!J165</f>
        <v>0</v>
      </c>
      <c r="L165" s="3">
        <f>infections!L165-infections!K165</f>
        <v>0</v>
      </c>
      <c r="M165" s="3">
        <f>infections!M165-infections!L165</f>
        <v>0</v>
      </c>
      <c r="N165" s="3">
        <f>infections!N165-infections!M165</f>
        <v>0</v>
      </c>
      <c r="O165" s="3">
        <f>infections!O165-infections!N165</f>
        <v>0</v>
      </c>
      <c r="P165" s="3">
        <f>infections!P165-infections!O165</f>
        <v>0</v>
      </c>
      <c r="Q165" s="3">
        <f>infections!Q165-infections!P165</f>
        <v>0</v>
      </c>
      <c r="R165" s="3">
        <f>infections!R165-infections!Q165</f>
        <v>0</v>
      </c>
      <c r="S165" s="3">
        <f>infections!S165-infections!R165</f>
        <v>0</v>
      </c>
      <c r="T165" s="3">
        <f>infections!T165-infections!S165</f>
        <v>0</v>
      </c>
      <c r="U165" s="3">
        <f>infections!U165-infections!T165</f>
        <v>0</v>
      </c>
      <c r="V165" s="3">
        <f>infections!V165-infections!U165</f>
        <v>0</v>
      </c>
      <c r="W165" s="3">
        <f>infections!W165-infections!V165</f>
        <v>0</v>
      </c>
      <c r="X165" s="3">
        <f>infections!X165-infections!W165</f>
        <v>0</v>
      </c>
      <c r="Y165" s="3">
        <f>infections!Y165-infections!X165</f>
        <v>0</v>
      </c>
      <c r="Z165" s="3">
        <f>infections!Z165-infections!Y165</f>
        <v>0</v>
      </c>
      <c r="AA165" s="3">
        <f>infections!AA165-infections!Z165</f>
        <v>0</v>
      </c>
      <c r="AB165" s="3">
        <f>infections!AB165-infections!AA165</f>
        <v>0</v>
      </c>
      <c r="AC165" s="3">
        <f>infections!AC165-infections!AB165</f>
        <v>0</v>
      </c>
      <c r="AD165" s="3">
        <f>infections!AD165-infections!AC165</f>
        <v>0</v>
      </c>
      <c r="AE165" s="3">
        <f>infections!AE165-infections!AD165</f>
        <v>0</v>
      </c>
      <c r="AF165" s="3">
        <f>infections!AF165-infections!AE165</f>
        <v>0</v>
      </c>
      <c r="AG165" s="3">
        <f>infections!AG165-infections!AF165</f>
        <v>0</v>
      </c>
      <c r="AH165" s="3">
        <f>infections!AH165-infections!AG165</f>
        <v>0</v>
      </c>
      <c r="AI165" s="3">
        <f>infections!AI165-infections!AH165</f>
        <v>0</v>
      </c>
      <c r="AJ165" s="3">
        <f>infections!AJ165-infections!AI165</f>
        <v>0</v>
      </c>
      <c r="AK165" s="3">
        <f>infections!AK165-infections!AJ165</f>
        <v>0</v>
      </c>
      <c r="AL165" s="3">
        <f>infections!AL165-infections!AK165</f>
        <v>0</v>
      </c>
      <c r="AM165" s="3">
        <f>infections!AM165-infections!AL165</f>
        <v>0</v>
      </c>
      <c r="AN165" s="3">
        <f>infections!AN165-infections!AM165</f>
        <v>0</v>
      </c>
      <c r="AO165" s="3">
        <f>infections!AO165-infections!AN165</f>
        <v>0</v>
      </c>
      <c r="AP165" s="3">
        <f>infections!AP165-infections!AO165</f>
        <v>0</v>
      </c>
      <c r="AQ165" s="3">
        <f>infections!AQ165-infections!AP165</f>
        <v>0</v>
      </c>
      <c r="AR165" s="3">
        <f>infections!AR165-infections!AQ165</f>
        <v>0</v>
      </c>
      <c r="AS165" s="3">
        <f>infections!AS165-infections!AR165</f>
        <v>1</v>
      </c>
      <c r="AT165" s="3">
        <f>infections!AT165-infections!AS165</f>
        <v>0</v>
      </c>
      <c r="AU165" s="3">
        <f>infections!AU165-infections!AT165</f>
        <v>0</v>
      </c>
      <c r="AV165" s="3">
        <f>infections!AV165-infections!AU165</f>
        <v>1</v>
      </c>
      <c r="AW165" s="3">
        <f>infections!AW165-infections!AV165</f>
        <v>0</v>
      </c>
      <c r="AX165" s="3">
        <f>infections!AX165-infections!AW165</f>
        <v>0</v>
      </c>
      <c r="AY165" s="3">
        <f>infections!AY165-infections!AX165</f>
        <v>0</v>
      </c>
      <c r="AZ165" s="3">
        <f>infections!AZ165-infections!AY165</f>
        <v>0</v>
      </c>
      <c r="BA165" s="3">
        <f>infections!BA165-infections!AZ165</f>
        <v>1</v>
      </c>
      <c r="BB165" s="3">
        <f>infections!BB165-infections!BA165</f>
        <v>2</v>
      </c>
      <c r="BC165" s="3">
        <f>infections!BC165-infections!BB165</f>
        <v>1</v>
      </c>
      <c r="BD165" s="3">
        <f>infections!BD165-infections!BC165</f>
        <v>1</v>
      </c>
      <c r="BE165" s="3">
        <f>infections!BE165-infections!BD165</f>
        <v>10</v>
      </c>
      <c r="BF165" s="3">
        <f>infections!BF165-infections!BE165</f>
        <v>11</v>
      </c>
      <c r="BG165" s="3">
        <f>infections!BG165-infections!BF165</f>
        <v>1</v>
      </c>
      <c r="BH165" s="3">
        <f>infections!BH165-infections!BG165</f>
        <v>9</v>
      </c>
      <c r="BI165" s="3">
        <f>infections!BI165-infections!BH165</f>
        <v>11</v>
      </c>
      <c r="BJ165" s="3">
        <f>infections!BJ165-infections!BI165</f>
        <v>14</v>
      </c>
      <c r="BK165" s="3">
        <f>infections!BK165-infections!BJ165</f>
        <v>14</v>
      </c>
      <c r="BL165" s="3">
        <f>infections!BL165-infections!BK165</f>
        <v>19</v>
      </c>
      <c r="BM165" s="3">
        <f>infections!BM165-infections!BL165</f>
        <v>19</v>
      </c>
      <c r="BN165" s="3">
        <f>infections!BN165-infections!BM165</f>
        <v>28</v>
      </c>
      <c r="BO165" s="3">
        <f>infections!BO165-infections!BN165</f>
        <v>27</v>
      </c>
      <c r="BP165" s="3">
        <f>infections!BP165-infections!BO165</f>
        <v>55</v>
      </c>
      <c r="BQ165" s="3">
        <f>infections!BQ165-infections!BP165</f>
        <v>50</v>
      </c>
      <c r="BR165" s="3">
        <f>infections!BR165-infections!BQ165</f>
        <v>70</v>
      </c>
      <c r="BS165" s="3">
        <f>infections!BS165-infections!BR165</f>
        <v>57</v>
      </c>
      <c r="BT165" s="3">
        <f>infections!BT165-infections!BS165</f>
        <v>77</v>
      </c>
      <c r="BU165" s="3">
        <f>infections!BU165-infections!BT165</f>
        <v>77</v>
      </c>
      <c r="BV165" s="3">
        <f>infections!BV165-infections!BU165</f>
        <v>61</v>
      </c>
      <c r="BW165" s="3">
        <f>infections!BW165-infections!BV165</f>
        <v>37</v>
      </c>
      <c r="BX165" s="3">
        <f>infections!BX165-infections!BW165</f>
        <v>54</v>
      </c>
      <c r="BY165" s="3">
        <f>infections!BY165-infections!BX165</f>
        <v>83</v>
      </c>
    </row>
    <row r="166">
      <c r="B166" s="1" t="str">
        <f>infections!B166</f>
        <v>Namibia</v>
      </c>
      <c r="C166" s="4">
        <f>infections!C166</f>
        <v>-22.9576</v>
      </c>
      <c r="D166" s="4">
        <f>infections!D166</f>
        <v>18.4904</v>
      </c>
      <c r="E166" s="4">
        <f>infections!E166</f>
        <v>0</v>
      </c>
      <c r="F166" s="3">
        <f>infections!F166-infections!E166</f>
        <v>0</v>
      </c>
      <c r="G166" s="3">
        <f>infections!G166-infections!F166</f>
        <v>0</v>
      </c>
      <c r="H166" s="3">
        <f>infections!H166-infections!G166</f>
        <v>0</v>
      </c>
      <c r="I166" s="3">
        <f>infections!I166-infections!H166</f>
        <v>0</v>
      </c>
      <c r="J166" s="3">
        <f>infections!J166-infections!I166</f>
        <v>0</v>
      </c>
      <c r="K166" s="3">
        <f>infections!K166-infections!J166</f>
        <v>0</v>
      </c>
      <c r="L166" s="3">
        <f>infections!L166-infections!K166</f>
        <v>0</v>
      </c>
      <c r="M166" s="3">
        <f>infections!M166-infections!L166</f>
        <v>0</v>
      </c>
      <c r="N166" s="3">
        <f>infections!N166-infections!M166</f>
        <v>0</v>
      </c>
      <c r="O166" s="3">
        <f>infections!O166-infections!N166</f>
        <v>0</v>
      </c>
      <c r="P166" s="3">
        <f>infections!P166-infections!O166</f>
        <v>0</v>
      </c>
      <c r="Q166" s="3">
        <f>infections!Q166-infections!P166</f>
        <v>0</v>
      </c>
      <c r="R166" s="3">
        <f>infections!R166-infections!Q166</f>
        <v>0</v>
      </c>
      <c r="S166" s="3">
        <f>infections!S166-infections!R166</f>
        <v>0</v>
      </c>
      <c r="T166" s="3">
        <f>infections!T166-infections!S166</f>
        <v>0</v>
      </c>
      <c r="U166" s="3">
        <f>infections!U166-infections!T166</f>
        <v>0</v>
      </c>
      <c r="V166" s="3">
        <f>infections!V166-infections!U166</f>
        <v>0</v>
      </c>
      <c r="W166" s="3">
        <f>infections!W166-infections!V166</f>
        <v>0</v>
      </c>
      <c r="X166" s="3">
        <f>infections!X166-infections!W166</f>
        <v>0</v>
      </c>
      <c r="Y166" s="3">
        <f>infections!Y166-infections!X166</f>
        <v>0</v>
      </c>
      <c r="Z166" s="3">
        <f>infections!Z166-infections!Y166</f>
        <v>0</v>
      </c>
      <c r="AA166" s="3">
        <f>infections!AA166-infections!Z166</f>
        <v>0</v>
      </c>
      <c r="AB166" s="3">
        <f>infections!AB166-infections!AA166</f>
        <v>0</v>
      </c>
      <c r="AC166" s="3">
        <f>infections!AC166-infections!AB166</f>
        <v>0</v>
      </c>
      <c r="AD166" s="3">
        <f>infections!AD166-infections!AC166</f>
        <v>0</v>
      </c>
      <c r="AE166" s="3">
        <f>infections!AE166-infections!AD166</f>
        <v>0</v>
      </c>
      <c r="AF166" s="3">
        <f>infections!AF166-infections!AE166</f>
        <v>0</v>
      </c>
      <c r="AG166" s="3">
        <f>infections!AG166-infections!AF166</f>
        <v>0</v>
      </c>
      <c r="AH166" s="3">
        <f>infections!AH166-infections!AG166</f>
        <v>0</v>
      </c>
      <c r="AI166" s="3">
        <f>infections!AI166-infections!AH166</f>
        <v>0</v>
      </c>
      <c r="AJ166" s="3">
        <f>infections!AJ166-infections!AI166</f>
        <v>0</v>
      </c>
      <c r="AK166" s="3">
        <f>infections!AK166-infections!AJ166</f>
        <v>0</v>
      </c>
      <c r="AL166" s="3">
        <f>infections!AL166-infections!AK166</f>
        <v>0</v>
      </c>
      <c r="AM166" s="3">
        <f>infections!AM166-infections!AL166</f>
        <v>0</v>
      </c>
      <c r="AN166" s="3">
        <f>infections!AN166-infections!AM166</f>
        <v>0</v>
      </c>
      <c r="AO166" s="3">
        <f>infections!AO166-infections!AN166</f>
        <v>0</v>
      </c>
      <c r="AP166" s="3">
        <f>infections!AP166-infections!AO166</f>
        <v>0</v>
      </c>
      <c r="AQ166" s="3">
        <f>infections!AQ166-infections!AP166</f>
        <v>0</v>
      </c>
      <c r="AR166" s="3">
        <f>infections!AR166-infections!AQ166</f>
        <v>0</v>
      </c>
      <c r="AS166" s="3">
        <f>infections!AS166-infections!AR166</f>
        <v>0</v>
      </c>
      <c r="AT166" s="3">
        <f>infections!AT166-infections!AS166</f>
        <v>0</v>
      </c>
      <c r="AU166" s="3">
        <f>infections!AU166-infections!AT166</f>
        <v>0</v>
      </c>
      <c r="AV166" s="3">
        <f>infections!AV166-infections!AU166</f>
        <v>0</v>
      </c>
      <c r="AW166" s="3">
        <f>infections!AW166-infections!AV166</f>
        <v>0</v>
      </c>
      <c r="AX166" s="3">
        <f>infections!AX166-infections!AW166</f>
        <v>0</v>
      </c>
      <c r="AY166" s="3">
        <f>infections!AY166-infections!AX166</f>
        <v>0</v>
      </c>
      <c r="AZ166" s="3">
        <f>infections!AZ166-infections!AY166</f>
        <v>0</v>
      </c>
      <c r="BA166" s="3">
        <f>infections!BA166-infections!AZ166</f>
        <v>0</v>
      </c>
      <c r="BB166" s="3">
        <f>infections!BB166-infections!BA166</f>
        <v>0</v>
      </c>
      <c r="BC166" s="3">
        <f>infections!BC166-infections!BB166</f>
        <v>0</v>
      </c>
      <c r="BD166" s="3">
        <f>infections!BD166-infections!BC166</f>
        <v>0</v>
      </c>
      <c r="BE166" s="3">
        <f>infections!BE166-infections!BD166</f>
        <v>2</v>
      </c>
      <c r="BF166" s="3">
        <f>infections!BF166-infections!BE166</f>
        <v>0</v>
      </c>
      <c r="BG166" s="3">
        <f>infections!BG166-infections!BF166</f>
        <v>0</v>
      </c>
      <c r="BH166" s="3">
        <f>infections!BH166-infections!BG166</f>
        <v>0</v>
      </c>
      <c r="BI166" s="3">
        <f>infections!BI166-infections!BH166</f>
        <v>0</v>
      </c>
      <c r="BJ166" s="3">
        <f>infections!BJ166-infections!BI166</f>
        <v>1</v>
      </c>
      <c r="BK166" s="3">
        <f>infections!BK166-infections!BJ166</f>
        <v>0</v>
      </c>
      <c r="BL166" s="3">
        <f>infections!BL166-infections!BK166</f>
        <v>0</v>
      </c>
      <c r="BM166" s="3">
        <f>infections!BM166-infections!BL166</f>
        <v>0</v>
      </c>
      <c r="BN166" s="3">
        <f>infections!BN166-infections!BM166</f>
        <v>1</v>
      </c>
      <c r="BO166" s="3">
        <f>infections!BO166-infections!BN166</f>
        <v>3</v>
      </c>
      <c r="BP166" s="3">
        <f>infections!BP166-infections!BO166</f>
        <v>0</v>
      </c>
      <c r="BQ166" s="3">
        <f>infections!BQ166-infections!BP166</f>
        <v>1</v>
      </c>
      <c r="BR166" s="3">
        <f>infections!BR166-infections!BQ166</f>
        <v>0</v>
      </c>
      <c r="BS166" s="3">
        <f>infections!BS166-infections!BR166</f>
        <v>0</v>
      </c>
      <c r="BT166" s="3">
        <f>infections!BT166-infections!BS166</f>
        <v>3</v>
      </c>
      <c r="BU166" s="3">
        <f>infections!BU166-infections!BT166</f>
        <v>0</v>
      </c>
      <c r="BV166" s="3">
        <f>infections!BV166-infections!BU166</f>
        <v>0</v>
      </c>
      <c r="BW166" s="3">
        <f>infections!BW166-infections!BV166</f>
        <v>3</v>
      </c>
      <c r="BX166" s="3">
        <f>infections!BX166-infections!BW166</f>
        <v>0</v>
      </c>
      <c r="BY166" s="3">
        <f>infections!BY166-infections!BX166</f>
        <v>0</v>
      </c>
    </row>
    <row r="167">
      <c r="B167" s="1" t="str">
        <f>infections!B167</f>
        <v>Nepal</v>
      </c>
      <c r="C167" s="4">
        <f>infections!C167</f>
        <v>28.1667</v>
      </c>
      <c r="D167" s="4">
        <f>infections!D167</f>
        <v>84.25</v>
      </c>
      <c r="E167" s="4">
        <f>infections!E167</f>
        <v>0</v>
      </c>
      <c r="F167" s="3">
        <f>infections!F167-infections!E167</f>
        <v>0</v>
      </c>
      <c r="G167" s="3">
        <f>infections!G167-infections!F167</f>
        <v>0</v>
      </c>
      <c r="H167" s="3">
        <f>infections!H167-infections!G167</f>
        <v>1</v>
      </c>
      <c r="I167" s="3">
        <f>infections!I167-infections!H167</f>
        <v>0</v>
      </c>
      <c r="J167" s="3">
        <f>infections!J167-infections!I167</f>
        <v>0</v>
      </c>
      <c r="K167" s="3">
        <f>infections!K167-infections!J167</f>
        <v>0</v>
      </c>
      <c r="L167" s="3">
        <f>infections!L167-infections!K167</f>
        <v>0</v>
      </c>
      <c r="M167" s="3">
        <f>infections!M167-infections!L167</f>
        <v>0</v>
      </c>
      <c r="N167" s="3">
        <f>infections!N167-infections!M167</f>
        <v>0</v>
      </c>
      <c r="O167" s="3">
        <f>infections!O167-infections!N167</f>
        <v>0</v>
      </c>
      <c r="P167" s="3">
        <f>infections!P167-infections!O167</f>
        <v>0</v>
      </c>
      <c r="Q167" s="3">
        <f>infections!Q167-infections!P167</f>
        <v>0</v>
      </c>
      <c r="R167" s="3">
        <f>infections!R167-infections!Q167</f>
        <v>0</v>
      </c>
      <c r="S167" s="3">
        <f>infections!S167-infections!R167</f>
        <v>0</v>
      </c>
      <c r="T167" s="3">
        <f>infections!T167-infections!S167</f>
        <v>0</v>
      </c>
      <c r="U167" s="3">
        <f>infections!U167-infections!T167</f>
        <v>0</v>
      </c>
      <c r="V167" s="3">
        <f>infections!V167-infections!U167</f>
        <v>0</v>
      </c>
      <c r="W167" s="3">
        <f>infections!W167-infections!V167</f>
        <v>0</v>
      </c>
      <c r="X167" s="3">
        <f>infections!X167-infections!W167</f>
        <v>0</v>
      </c>
      <c r="Y167" s="3">
        <f>infections!Y167-infections!X167</f>
        <v>0</v>
      </c>
      <c r="Z167" s="3">
        <f>infections!Z167-infections!Y167</f>
        <v>0</v>
      </c>
      <c r="AA167" s="3">
        <f>infections!AA167-infections!Z167</f>
        <v>0</v>
      </c>
      <c r="AB167" s="3">
        <f>infections!AB167-infections!AA167</f>
        <v>0</v>
      </c>
      <c r="AC167" s="3">
        <f>infections!AC167-infections!AB167</f>
        <v>0</v>
      </c>
      <c r="AD167" s="3">
        <f>infections!AD167-infections!AC167</f>
        <v>0</v>
      </c>
      <c r="AE167" s="3">
        <f>infections!AE167-infections!AD167</f>
        <v>0</v>
      </c>
      <c r="AF167" s="3">
        <f>infections!AF167-infections!AE167</f>
        <v>0</v>
      </c>
      <c r="AG167" s="3">
        <f>infections!AG167-infections!AF167</f>
        <v>0</v>
      </c>
      <c r="AH167" s="3">
        <f>infections!AH167-infections!AG167</f>
        <v>0</v>
      </c>
      <c r="AI167" s="3">
        <f>infections!AI167-infections!AH167</f>
        <v>0</v>
      </c>
      <c r="AJ167" s="3">
        <f>infections!AJ167-infections!AI167</f>
        <v>0</v>
      </c>
      <c r="AK167" s="3">
        <f>infections!AK167-infections!AJ167</f>
        <v>0</v>
      </c>
      <c r="AL167" s="3">
        <f>infections!AL167-infections!AK167</f>
        <v>0</v>
      </c>
      <c r="AM167" s="3">
        <f>infections!AM167-infections!AL167</f>
        <v>0</v>
      </c>
      <c r="AN167" s="3">
        <f>infections!AN167-infections!AM167</f>
        <v>0</v>
      </c>
      <c r="AO167" s="3">
        <f>infections!AO167-infections!AN167</f>
        <v>0</v>
      </c>
      <c r="AP167" s="3">
        <f>infections!AP167-infections!AO167</f>
        <v>0</v>
      </c>
      <c r="AQ167" s="3">
        <f>infections!AQ167-infections!AP167</f>
        <v>0</v>
      </c>
      <c r="AR167" s="3">
        <f>infections!AR167-infections!AQ167</f>
        <v>0</v>
      </c>
      <c r="AS167" s="3">
        <f>infections!AS167-infections!AR167</f>
        <v>0</v>
      </c>
      <c r="AT167" s="3">
        <f>infections!AT167-infections!AS167</f>
        <v>0</v>
      </c>
      <c r="AU167" s="3">
        <f>infections!AU167-infections!AT167</f>
        <v>0</v>
      </c>
      <c r="AV167" s="3">
        <f>infections!AV167-infections!AU167</f>
        <v>0</v>
      </c>
      <c r="AW167" s="3">
        <f>infections!AW167-infections!AV167</f>
        <v>0</v>
      </c>
      <c r="AX167" s="3">
        <f>infections!AX167-infections!AW167</f>
        <v>0</v>
      </c>
      <c r="AY167" s="3">
        <f>infections!AY167-infections!AX167</f>
        <v>0</v>
      </c>
      <c r="AZ167" s="3">
        <f>infections!AZ167-infections!AY167</f>
        <v>0</v>
      </c>
      <c r="BA167" s="3">
        <f>infections!BA167-infections!AZ167</f>
        <v>0</v>
      </c>
      <c r="BB167" s="3">
        <f>infections!BB167-infections!BA167</f>
        <v>0</v>
      </c>
      <c r="BC167" s="3">
        <f>infections!BC167-infections!BB167</f>
        <v>0</v>
      </c>
      <c r="BD167" s="3">
        <f>infections!BD167-infections!BC167</f>
        <v>0</v>
      </c>
      <c r="BE167" s="3">
        <f>infections!BE167-infections!BD167</f>
        <v>0</v>
      </c>
      <c r="BF167" s="3">
        <f>infections!BF167-infections!BE167</f>
        <v>0</v>
      </c>
      <c r="BG167" s="3">
        <f>infections!BG167-infections!BF167</f>
        <v>0</v>
      </c>
      <c r="BH167" s="3">
        <f>infections!BH167-infections!BG167</f>
        <v>0</v>
      </c>
      <c r="BI167" s="3">
        <f>infections!BI167-infections!BH167</f>
        <v>0</v>
      </c>
      <c r="BJ167" s="3">
        <f>infections!BJ167-infections!BI167</f>
        <v>0</v>
      </c>
      <c r="BK167" s="3">
        <f>infections!BK167-infections!BJ167</f>
        <v>0</v>
      </c>
      <c r="BL167" s="3">
        <f>infections!BL167-infections!BK167</f>
        <v>0</v>
      </c>
      <c r="BM167" s="3">
        <f>infections!BM167-infections!BL167</f>
        <v>0</v>
      </c>
      <c r="BN167" s="3">
        <f>infections!BN167-infections!BM167</f>
        <v>1</v>
      </c>
      <c r="BO167" s="3">
        <f>infections!BO167-infections!BN167</f>
        <v>0</v>
      </c>
      <c r="BP167" s="3">
        <f>infections!BP167-infections!BO167</f>
        <v>1</v>
      </c>
      <c r="BQ167" s="3">
        <f>infections!BQ167-infections!BP167</f>
        <v>0</v>
      </c>
      <c r="BR167" s="3">
        <f>infections!BR167-infections!BQ167</f>
        <v>1</v>
      </c>
      <c r="BS167" s="3">
        <f>infections!BS167-infections!BR167</f>
        <v>1</v>
      </c>
      <c r="BT167" s="3">
        <f>infections!BT167-infections!BS167</f>
        <v>0</v>
      </c>
      <c r="BU167" s="3">
        <f>infections!BU167-infections!BT167</f>
        <v>0</v>
      </c>
      <c r="BV167" s="3">
        <f>infections!BV167-infections!BU167</f>
        <v>0</v>
      </c>
      <c r="BW167" s="3">
        <f>infections!BW167-infections!BV167</f>
        <v>0</v>
      </c>
      <c r="BX167" s="3">
        <f>infections!BX167-infections!BW167</f>
        <v>1</v>
      </c>
      <c r="BY167" s="3">
        <f>infections!BY167-infections!BX167</f>
        <v>0</v>
      </c>
    </row>
    <row r="168">
      <c r="B168" s="1" t="str">
        <f>infections!B168</f>
        <v>Netherlands</v>
      </c>
      <c r="C168" s="4">
        <f>infections!C168</f>
        <v>12.5186</v>
      </c>
      <c r="D168" s="4">
        <f>infections!D168</f>
        <v>-70.0358</v>
      </c>
      <c r="E168" s="4">
        <f>infections!E168</f>
        <v>0</v>
      </c>
      <c r="F168" s="3">
        <f>infections!F168-infections!E168</f>
        <v>0</v>
      </c>
      <c r="G168" s="3">
        <f>infections!G168-infections!F168</f>
        <v>0</v>
      </c>
      <c r="H168" s="3">
        <f>infections!H168-infections!G168</f>
        <v>0</v>
      </c>
      <c r="I168" s="3">
        <f>infections!I168-infections!H168</f>
        <v>0</v>
      </c>
      <c r="J168" s="3">
        <f>infections!J168-infections!I168</f>
        <v>0</v>
      </c>
      <c r="K168" s="3">
        <f>infections!K168-infections!J168</f>
        <v>0</v>
      </c>
      <c r="L168" s="3">
        <f>infections!L168-infections!K168</f>
        <v>0</v>
      </c>
      <c r="M168" s="3">
        <f>infections!M168-infections!L168</f>
        <v>0</v>
      </c>
      <c r="N168" s="3">
        <f>infections!N168-infections!M168</f>
        <v>0</v>
      </c>
      <c r="O168" s="3">
        <f>infections!O168-infections!N168</f>
        <v>0</v>
      </c>
      <c r="P168" s="3">
        <f>infections!P168-infections!O168</f>
        <v>0</v>
      </c>
      <c r="Q168" s="3">
        <f>infections!Q168-infections!P168</f>
        <v>0</v>
      </c>
      <c r="R168" s="3">
        <f>infections!R168-infections!Q168</f>
        <v>0</v>
      </c>
      <c r="S168" s="3">
        <f>infections!S168-infections!R168</f>
        <v>0</v>
      </c>
      <c r="T168" s="3">
        <f>infections!T168-infections!S168</f>
        <v>0</v>
      </c>
      <c r="U168" s="3">
        <f>infections!U168-infections!T168</f>
        <v>0</v>
      </c>
      <c r="V168" s="3">
        <f>infections!V168-infections!U168</f>
        <v>0</v>
      </c>
      <c r="W168" s="3">
        <f>infections!W168-infections!V168</f>
        <v>0</v>
      </c>
      <c r="X168" s="3">
        <f>infections!X168-infections!W168</f>
        <v>0</v>
      </c>
      <c r="Y168" s="3">
        <f>infections!Y168-infections!X168</f>
        <v>0</v>
      </c>
      <c r="Z168" s="3">
        <f>infections!Z168-infections!Y168</f>
        <v>0</v>
      </c>
      <c r="AA168" s="3">
        <f>infections!AA168-infections!Z168</f>
        <v>0</v>
      </c>
      <c r="AB168" s="3">
        <f>infections!AB168-infections!AA168</f>
        <v>0</v>
      </c>
      <c r="AC168" s="3">
        <f>infections!AC168-infections!AB168</f>
        <v>0</v>
      </c>
      <c r="AD168" s="3">
        <f>infections!AD168-infections!AC168</f>
        <v>0</v>
      </c>
      <c r="AE168" s="3">
        <f>infections!AE168-infections!AD168</f>
        <v>0</v>
      </c>
      <c r="AF168" s="3">
        <f>infections!AF168-infections!AE168</f>
        <v>0</v>
      </c>
      <c r="AG168" s="3">
        <f>infections!AG168-infections!AF168</f>
        <v>0</v>
      </c>
      <c r="AH168" s="3">
        <f>infections!AH168-infections!AG168</f>
        <v>0</v>
      </c>
      <c r="AI168" s="3">
        <f>infections!AI168-infections!AH168</f>
        <v>0</v>
      </c>
      <c r="AJ168" s="3">
        <f>infections!AJ168-infections!AI168</f>
        <v>0</v>
      </c>
      <c r="AK168" s="3">
        <f>infections!AK168-infections!AJ168</f>
        <v>0</v>
      </c>
      <c r="AL168" s="3">
        <f>infections!AL168-infections!AK168</f>
        <v>0</v>
      </c>
      <c r="AM168" s="3">
        <f>infections!AM168-infections!AL168</f>
        <v>0</v>
      </c>
      <c r="AN168" s="3">
        <f>infections!AN168-infections!AM168</f>
        <v>0</v>
      </c>
      <c r="AO168" s="3">
        <f>infections!AO168-infections!AN168</f>
        <v>0</v>
      </c>
      <c r="AP168" s="3">
        <f>infections!AP168-infections!AO168</f>
        <v>0</v>
      </c>
      <c r="AQ168" s="3">
        <f>infections!AQ168-infections!AP168</f>
        <v>0</v>
      </c>
      <c r="AR168" s="3">
        <f>infections!AR168-infections!AQ168</f>
        <v>0</v>
      </c>
      <c r="AS168" s="3">
        <f>infections!AS168-infections!AR168</f>
        <v>0</v>
      </c>
      <c r="AT168" s="3">
        <f>infections!AT168-infections!AS168</f>
        <v>0</v>
      </c>
      <c r="AU168" s="3">
        <f>infections!AU168-infections!AT168</f>
        <v>0</v>
      </c>
      <c r="AV168" s="3">
        <f>infections!AV168-infections!AU168</f>
        <v>0</v>
      </c>
      <c r="AW168" s="3">
        <f>infections!AW168-infections!AV168</f>
        <v>0</v>
      </c>
      <c r="AX168" s="3">
        <f>infections!AX168-infections!AW168</f>
        <v>0</v>
      </c>
      <c r="AY168" s="3">
        <f>infections!AY168-infections!AX168</f>
        <v>0</v>
      </c>
      <c r="AZ168" s="3">
        <f>infections!AZ168-infections!AY168</f>
        <v>0</v>
      </c>
      <c r="BA168" s="3">
        <f>infections!BA168-infections!AZ168</f>
        <v>0</v>
      </c>
      <c r="BB168" s="3">
        <f>infections!BB168-infections!BA168</f>
        <v>0</v>
      </c>
      <c r="BC168" s="3">
        <f>infections!BC168-infections!BB168</f>
        <v>0</v>
      </c>
      <c r="BD168" s="3">
        <f>infections!BD168-infections!BC168</f>
        <v>2</v>
      </c>
      <c r="BE168" s="3">
        <f>infections!BE168-infections!BD168</f>
        <v>0</v>
      </c>
      <c r="BF168" s="3">
        <f>infections!BF168-infections!BE168</f>
        <v>0</v>
      </c>
      <c r="BG168" s="3">
        <f>infections!BG168-infections!BF168</f>
        <v>0</v>
      </c>
      <c r="BH168" s="3">
        <f>infections!BH168-infections!BG168</f>
        <v>1</v>
      </c>
      <c r="BI168" s="3">
        <f>infections!BI168-infections!BH168</f>
        <v>1</v>
      </c>
      <c r="BJ168" s="3">
        <f>infections!BJ168-infections!BI168</f>
        <v>0</v>
      </c>
      <c r="BK168" s="3">
        <f>infections!BK168-infections!BJ168</f>
        <v>1</v>
      </c>
      <c r="BL168" s="3">
        <f>infections!BL168-infections!BK168</f>
        <v>0</v>
      </c>
      <c r="BM168" s="3">
        <f>infections!BM168-infections!BL168</f>
        <v>4</v>
      </c>
      <c r="BN168" s="3">
        <f>infections!BN168-infections!BM168</f>
        <v>0</v>
      </c>
      <c r="BO168" s="3">
        <f>infections!BO168-infections!BN168</f>
        <v>3</v>
      </c>
      <c r="BP168" s="3">
        <f>infections!BP168-infections!BO168</f>
        <v>5</v>
      </c>
      <c r="BQ168" s="3">
        <f>infections!BQ168-infections!BP168</f>
        <v>11</v>
      </c>
      <c r="BR168" s="3">
        <f>infections!BR168-infections!BQ168</f>
        <v>5</v>
      </c>
      <c r="BS168" s="3">
        <f>infections!BS168-infections!BR168</f>
        <v>13</v>
      </c>
      <c r="BT168" s="3">
        <f>infections!BT168-infections!BS168</f>
        <v>4</v>
      </c>
      <c r="BU168" s="3">
        <f>infections!BU168-infections!BT168</f>
        <v>0</v>
      </c>
      <c r="BV168" s="3">
        <f>infections!BV168-infections!BU168</f>
        <v>5</v>
      </c>
      <c r="BW168" s="3">
        <f>infections!BW168-infections!BV168</f>
        <v>0</v>
      </c>
      <c r="BX168" s="3">
        <f>infections!BX168-infections!BW168</f>
        <v>5</v>
      </c>
      <c r="BY168" s="3">
        <f>infections!BY168-infections!BX168</f>
        <v>2</v>
      </c>
    </row>
    <row r="169">
      <c r="B169" s="1" t="str">
        <f>infections!B169</f>
        <v>Netherlands</v>
      </c>
      <c r="C169" s="4">
        <f>infections!C169</f>
        <v>12.1696</v>
      </c>
      <c r="D169" s="4">
        <f>infections!D169</f>
        <v>-68.99</v>
      </c>
      <c r="E169" s="4">
        <f>infections!E169</f>
        <v>0</v>
      </c>
      <c r="F169" s="3">
        <f>infections!F169-infections!E169</f>
        <v>0</v>
      </c>
      <c r="G169" s="3">
        <f>infections!G169-infections!F169</f>
        <v>0</v>
      </c>
      <c r="H169" s="3">
        <f>infections!H169-infections!G169</f>
        <v>0</v>
      </c>
      <c r="I169" s="3">
        <f>infections!I169-infections!H169</f>
        <v>0</v>
      </c>
      <c r="J169" s="3">
        <f>infections!J169-infections!I169</f>
        <v>0</v>
      </c>
      <c r="K169" s="3">
        <f>infections!K169-infections!J169</f>
        <v>0</v>
      </c>
      <c r="L169" s="3">
        <f>infections!L169-infections!K169</f>
        <v>0</v>
      </c>
      <c r="M169" s="3">
        <f>infections!M169-infections!L169</f>
        <v>0</v>
      </c>
      <c r="N169" s="3">
        <f>infections!N169-infections!M169</f>
        <v>0</v>
      </c>
      <c r="O169" s="3">
        <f>infections!O169-infections!N169</f>
        <v>0</v>
      </c>
      <c r="P169" s="3">
        <f>infections!P169-infections!O169</f>
        <v>0</v>
      </c>
      <c r="Q169" s="3">
        <f>infections!Q169-infections!P169</f>
        <v>0</v>
      </c>
      <c r="R169" s="3">
        <f>infections!R169-infections!Q169</f>
        <v>0</v>
      </c>
      <c r="S169" s="3">
        <f>infections!S169-infections!R169</f>
        <v>0</v>
      </c>
      <c r="T169" s="3">
        <f>infections!T169-infections!S169</f>
        <v>0</v>
      </c>
      <c r="U169" s="3">
        <f>infections!U169-infections!T169</f>
        <v>0</v>
      </c>
      <c r="V169" s="3">
        <f>infections!V169-infections!U169</f>
        <v>0</v>
      </c>
      <c r="W169" s="3">
        <f>infections!W169-infections!V169</f>
        <v>0</v>
      </c>
      <c r="X169" s="3">
        <f>infections!X169-infections!W169</f>
        <v>0</v>
      </c>
      <c r="Y169" s="3">
        <f>infections!Y169-infections!X169</f>
        <v>0</v>
      </c>
      <c r="Z169" s="3">
        <f>infections!Z169-infections!Y169</f>
        <v>0</v>
      </c>
      <c r="AA169" s="3">
        <f>infections!AA169-infections!Z169</f>
        <v>0</v>
      </c>
      <c r="AB169" s="3">
        <f>infections!AB169-infections!AA169</f>
        <v>0</v>
      </c>
      <c r="AC169" s="3">
        <f>infections!AC169-infections!AB169</f>
        <v>0</v>
      </c>
      <c r="AD169" s="3">
        <f>infections!AD169-infections!AC169</f>
        <v>0</v>
      </c>
      <c r="AE169" s="3">
        <f>infections!AE169-infections!AD169</f>
        <v>0</v>
      </c>
      <c r="AF169" s="3">
        <f>infections!AF169-infections!AE169</f>
        <v>0</v>
      </c>
      <c r="AG169" s="3">
        <f>infections!AG169-infections!AF169</f>
        <v>0</v>
      </c>
      <c r="AH169" s="3">
        <f>infections!AH169-infections!AG169</f>
        <v>0</v>
      </c>
      <c r="AI169" s="3">
        <f>infections!AI169-infections!AH169</f>
        <v>0</v>
      </c>
      <c r="AJ169" s="3">
        <f>infections!AJ169-infections!AI169</f>
        <v>0</v>
      </c>
      <c r="AK169" s="3">
        <f>infections!AK169-infections!AJ169</f>
        <v>0</v>
      </c>
      <c r="AL169" s="3">
        <f>infections!AL169-infections!AK169</f>
        <v>0</v>
      </c>
      <c r="AM169" s="3">
        <f>infections!AM169-infections!AL169</f>
        <v>0</v>
      </c>
      <c r="AN169" s="3">
        <f>infections!AN169-infections!AM169</f>
        <v>0</v>
      </c>
      <c r="AO169" s="3">
        <f>infections!AO169-infections!AN169</f>
        <v>0</v>
      </c>
      <c r="AP169" s="3">
        <f>infections!AP169-infections!AO169</f>
        <v>0</v>
      </c>
      <c r="AQ169" s="3">
        <f>infections!AQ169-infections!AP169</f>
        <v>0</v>
      </c>
      <c r="AR169" s="3">
        <f>infections!AR169-infections!AQ169</f>
        <v>0</v>
      </c>
      <c r="AS169" s="3">
        <f>infections!AS169-infections!AR169</f>
        <v>0</v>
      </c>
      <c r="AT169" s="3">
        <f>infections!AT169-infections!AS169</f>
        <v>0</v>
      </c>
      <c r="AU169" s="3">
        <f>infections!AU169-infections!AT169</f>
        <v>0</v>
      </c>
      <c r="AV169" s="3">
        <f>infections!AV169-infections!AU169</f>
        <v>0</v>
      </c>
      <c r="AW169" s="3">
        <f>infections!AW169-infections!AV169</f>
        <v>0</v>
      </c>
      <c r="AX169" s="3">
        <f>infections!AX169-infections!AW169</f>
        <v>0</v>
      </c>
      <c r="AY169" s="3">
        <f>infections!AY169-infections!AX169</f>
        <v>0</v>
      </c>
      <c r="AZ169" s="3">
        <f>infections!AZ169-infections!AY169</f>
        <v>0</v>
      </c>
      <c r="BA169" s="3">
        <f>infections!BA169-infections!AZ169</f>
        <v>0</v>
      </c>
      <c r="BB169" s="3">
        <f>infections!BB169-infections!BA169</f>
        <v>0</v>
      </c>
      <c r="BC169" s="3">
        <f>infections!BC169-infections!BB169</f>
        <v>0</v>
      </c>
      <c r="BD169" s="3">
        <f>infections!BD169-infections!BC169</f>
        <v>0</v>
      </c>
      <c r="BE169" s="3">
        <f>infections!BE169-infections!BD169</f>
        <v>1</v>
      </c>
      <c r="BF169" s="3">
        <f>infections!BF169-infections!BE169</f>
        <v>0</v>
      </c>
      <c r="BG169" s="3">
        <f>infections!BG169-infections!BF169</f>
        <v>0</v>
      </c>
      <c r="BH169" s="3">
        <f>infections!BH169-infections!BG169</f>
        <v>2</v>
      </c>
      <c r="BI169" s="3">
        <f>infections!BI169-infections!BH169</f>
        <v>0</v>
      </c>
      <c r="BJ169" s="3">
        <f>infections!BJ169-infections!BI169</f>
        <v>0</v>
      </c>
      <c r="BK169" s="3">
        <f>infections!BK169-infections!BJ169</f>
        <v>0</v>
      </c>
      <c r="BL169" s="3">
        <f>infections!BL169-infections!BK169</f>
        <v>0</v>
      </c>
      <c r="BM169" s="3">
        <f>infections!BM169-infections!BL169</f>
        <v>0</v>
      </c>
      <c r="BN169" s="3">
        <f>infections!BN169-infections!BM169</f>
        <v>1</v>
      </c>
      <c r="BO169" s="3">
        <f>infections!BO169-infections!BN169</f>
        <v>2</v>
      </c>
      <c r="BP169" s="3">
        <f>infections!BP169-infections!BO169</f>
        <v>0</v>
      </c>
      <c r="BQ169" s="3">
        <f>infections!BQ169-infections!BP169</f>
        <v>0</v>
      </c>
      <c r="BR169" s="3">
        <f>infections!BR169-infections!BQ169</f>
        <v>2</v>
      </c>
      <c r="BS169" s="3">
        <f>infections!BS169-infections!BR169</f>
        <v>0</v>
      </c>
      <c r="BT169" s="3">
        <f>infections!BT169-infections!BS169</f>
        <v>0</v>
      </c>
      <c r="BU169" s="3">
        <f>infections!BU169-infections!BT169</f>
        <v>3</v>
      </c>
      <c r="BV169" s="3">
        <f>infections!BV169-infections!BU169</f>
        <v>0</v>
      </c>
      <c r="BW169" s="3">
        <f>infections!BW169-infections!BV169</f>
        <v>0</v>
      </c>
      <c r="BX169" s="3">
        <f>infections!BX169-infections!BW169</f>
        <v>0</v>
      </c>
      <c r="BY169" s="3">
        <f>infections!BY169-infections!BX169</f>
        <v>0</v>
      </c>
    </row>
    <row r="170">
      <c r="B170" s="1" t="str">
        <f>infections!B170</f>
        <v>Netherlands</v>
      </c>
      <c r="C170" s="4">
        <f>infections!C170</f>
        <v>18.0425</v>
      </c>
      <c r="D170" s="4">
        <f>infections!D170</f>
        <v>-63.0548</v>
      </c>
      <c r="E170" s="4">
        <f>infections!E170</f>
        <v>0</v>
      </c>
      <c r="F170" s="3">
        <f>infections!F170-infections!E170</f>
        <v>0</v>
      </c>
      <c r="G170" s="3">
        <f>infections!G170-infections!F170</f>
        <v>0</v>
      </c>
      <c r="H170" s="3">
        <f>infections!H170-infections!G170</f>
        <v>0</v>
      </c>
      <c r="I170" s="3">
        <f>infections!I170-infections!H170</f>
        <v>0</v>
      </c>
      <c r="J170" s="3">
        <f>infections!J170-infections!I170</f>
        <v>0</v>
      </c>
      <c r="K170" s="3">
        <f>infections!K170-infections!J170</f>
        <v>0</v>
      </c>
      <c r="L170" s="3">
        <f>infections!L170-infections!K170</f>
        <v>0</v>
      </c>
      <c r="M170" s="3">
        <f>infections!M170-infections!L170</f>
        <v>0</v>
      </c>
      <c r="N170" s="3">
        <f>infections!N170-infections!M170</f>
        <v>0</v>
      </c>
      <c r="O170" s="3">
        <f>infections!O170-infections!N170</f>
        <v>0</v>
      </c>
      <c r="P170" s="3">
        <f>infections!P170-infections!O170</f>
        <v>0</v>
      </c>
      <c r="Q170" s="3">
        <f>infections!Q170-infections!P170</f>
        <v>0</v>
      </c>
      <c r="R170" s="3">
        <f>infections!R170-infections!Q170</f>
        <v>0</v>
      </c>
      <c r="S170" s="3">
        <f>infections!S170-infections!R170</f>
        <v>0</v>
      </c>
      <c r="T170" s="3">
        <f>infections!T170-infections!S170</f>
        <v>0</v>
      </c>
      <c r="U170" s="3">
        <f>infections!U170-infections!T170</f>
        <v>0</v>
      </c>
      <c r="V170" s="3">
        <f>infections!V170-infections!U170</f>
        <v>0</v>
      </c>
      <c r="W170" s="3">
        <f>infections!W170-infections!V170</f>
        <v>0</v>
      </c>
      <c r="X170" s="3">
        <f>infections!X170-infections!W170</f>
        <v>0</v>
      </c>
      <c r="Y170" s="3">
        <f>infections!Y170-infections!X170</f>
        <v>0</v>
      </c>
      <c r="Z170" s="3">
        <f>infections!Z170-infections!Y170</f>
        <v>0</v>
      </c>
      <c r="AA170" s="3">
        <f>infections!AA170-infections!Z170</f>
        <v>0</v>
      </c>
      <c r="AB170" s="3">
        <f>infections!AB170-infections!AA170</f>
        <v>0</v>
      </c>
      <c r="AC170" s="3">
        <f>infections!AC170-infections!AB170</f>
        <v>0</v>
      </c>
      <c r="AD170" s="3">
        <f>infections!AD170-infections!AC170</f>
        <v>0</v>
      </c>
      <c r="AE170" s="3">
        <f>infections!AE170-infections!AD170</f>
        <v>0</v>
      </c>
      <c r="AF170" s="3">
        <f>infections!AF170-infections!AE170</f>
        <v>0</v>
      </c>
      <c r="AG170" s="3">
        <f>infections!AG170-infections!AF170</f>
        <v>0</v>
      </c>
      <c r="AH170" s="3">
        <f>infections!AH170-infections!AG170</f>
        <v>0</v>
      </c>
      <c r="AI170" s="3">
        <f>infections!AI170-infections!AH170</f>
        <v>0</v>
      </c>
      <c r="AJ170" s="3">
        <f>infections!AJ170-infections!AI170</f>
        <v>0</v>
      </c>
      <c r="AK170" s="3">
        <f>infections!AK170-infections!AJ170</f>
        <v>0</v>
      </c>
      <c r="AL170" s="3">
        <f>infections!AL170-infections!AK170</f>
        <v>0</v>
      </c>
      <c r="AM170" s="3">
        <f>infections!AM170-infections!AL170</f>
        <v>0</v>
      </c>
      <c r="AN170" s="3">
        <f>infections!AN170-infections!AM170</f>
        <v>0</v>
      </c>
      <c r="AO170" s="3">
        <f>infections!AO170-infections!AN170</f>
        <v>0</v>
      </c>
      <c r="AP170" s="3">
        <f>infections!AP170-infections!AO170</f>
        <v>0</v>
      </c>
      <c r="AQ170" s="3">
        <f>infections!AQ170-infections!AP170</f>
        <v>0</v>
      </c>
      <c r="AR170" s="3">
        <f>infections!AR170-infections!AQ170</f>
        <v>0</v>
      </c>
      <c r="AS170" s="3">
        <f>infections!AS170-infections!AR170</f>
        <v>0</v>
      </c>
      <c r="AT170" s="3">
        <f>infections!AT170-infections!AS170</f>
        <v>0</v>
      </c>
      <c r="AU170" s="3">
        <f>infections!AU170-infections!AT170</f>
        <v>0</v>
      </c>
      <c r="AV170" s="3">
        <f>infections!AV170-infections!AU170</f>
        <v>0</v>
      </c>
      <c r="AW170" s="3">
        <f>infections!AW170-infections!AV170</f>
        <v>0</v>
      </c>
      <c r="AX170" s="3">
        <f>infections!AX170-infections!AW170</f>
        <v>0</v>
      </c>
      <c r="AY170" s="3">
        <f>infections!AY170-infections!AX170</f>
        <v>0</v>
      </c>
      <c r="AZ170" s="3">
        <f>infections!AZ170-infections!AY170</f>
        <v>0</v>
      </c>
      <c r="BA170" s="3">
        <f>infections!BA170-infections!AZ170</f>
        <v>0</v>
      </c>
      <c r="BB170" s="3">
        <f>infections!BB170-infections!BA170</f>
        <v>0</v>
      </c>
      <c r="BC170" s="3">
        <f>infections!BC170-infections!BB170</f>
        <v>0</v>
      </c>
      <c r="BD170" s="3">
        <f>infections!BD170-infections!BC170</f>
        <v>0</v>
      </c>
      <c r="BE170" s="3">
        <f>infections!BE170-infections!BD170</f>
        <v>0</v>
      </c>
      <c r="BF170" s="3">
        <f>infections!BF170-infections!BE170</f>
        <v>0</v>
      </c>
      <c r="BG170" s="3">
        <f>infections!BG170-infections!BF170</f>
        <v>0</v>
      </c>
      <c r="BH170" s="3">
        <f>infections!BH170-infections!BG170</f>
        <v>0</v>
      </c>
      <c r="BI170" s="3">
        <f>infections!BI170-infections!BH170</f>
        <v>0</v>
      </c>
      <c r="BJ170" s="3">
        <f>infections!BJ170-infections!BI170</f>
        <v>0</v>
      </c>
      <c r="BK170" s="3">
        <f>infections!BK170-infections!BJ170</f>
        <v>1</v>
      </c>
      <c r="BL170" s="3">
        <f>infections!BL170-infections!BK170</f>
        <v>0</v>
      </c>
      <c r="BM170" s="3">
        <f>infections!BM170-infections!BL170</f>
        <v>0</v>
      </c>
      <c r="BN170" s="3">
        <f>infections!BN170-infections!BM170</f>
        <v>1</v>
      </c>
      <c r="BO170" s="3">
        <f>infections!BO170-infections!BN170</f>
        <v>0</v>
      </c>
      <c r="BP170" s="3">
        <f>infections!BP170-infections!BO170</f>
        <v>1</v>
      </c>
      <c r="BQ170" s="3">
        <f>infections!BQ170-infections!BP170</f>
        <v>0</v>
      </c>
      <c r="BR170" s="3">
        <f>infections!BR170-infections!BQ170</f>
        <v>0</v>
      </c>
      <c r="BS170" s="3">
        <f>infections!BS170-infections!BR170</f>
        <v>0</v>
      </c>
      <c r="BT170" s="3">
        <f>infections!BT170-infections!BS170</f>
        <v>3</v>
      </c>
      <c r="BU170" s="3">
        <f>infections!BU170-infections!BT170</f>
        <v>0</v>
      </c>
      <c r="BV170" s="3">
        <f>infections!BV170-infections!BU170</f>
        <v>0</v>
      </c>
      <c r="BW170" s="3">
        <f>infections!BW170-infections!BV170</f>
        <v>10</v>
      </c>
      <c r="BX170" s="3">
        <f>infections!BX170-infections!BW170</f>
        <v>2</v>
      </c>
      <c r="BY170" s="3">
        <f>infections!BY170-infections!BX170</f>
        <v>5</v>
      </c>
    </row>
    <row r="171">
      <c r="B171" s="1" t="str">
        <f>infections!B171</f>
        <v>Netherlands</v>
      </c>
      <c r="C171" s="4">
        <f>infections!C171</f>
        <v>52.1326</v>
      </c>
      <c r="D171" s="4">
        <f>infections!D171</f>
        <v>5.2913</v>
      </c>
      <c r="E171" s="4">
        <f>infections!E171</f>
        <v>0</v>
      </c>
      <c r="F171" s="3">
        <f>infections!F171-infections!E171</f>
        <v>0</v>
      </c>
      <c r="G171" s="3">
        <f>infections!G171-infections!F171</f>
        <v>0</v>
      </c>
      <c r="H171" s="3">
        <f>infections!H171-infections!G171</f>
        <v>0</v>
      </c>
      <c r="I171" s="3">
        <f>infections!I171-infections!H171</f>
        <v>0</v>
      </c>
      <c r="J171" s="3">
        <f>infections!J171-infections!I171</f>
        <v>0</v>
      </c>
      <c r="K171" s="3">
        <f>infections!K171-infections!J171</f>
        <v>0</v>
      </c>
      <c r="L171" s="3">
        <f>infections!L171-infections!K171</f>
        <v>0</v>
      </c>
      <c r="M171" s="3">
        <f>infections!M171-infections!L171</f>
        <v>0</v>
      </c>
      <c r="N171" s="3">
        <f>infections!N171-infections!M171</f>
        <v>0</v>
      </c>
      <c r="O171" s="3">
        <f>infections!O171-infections!N171</f>
        <v>0</v>
      </c>
      <c r="P171" s="3">
        <f>infections!P171-infections!O171</f>
        <v>0</v>
      </c>
      <c r="Q171" s="3">
        <f>infections!Q171-infections!P171</f>
        <v>0</v>
      </c>
      <c r="R171" s="3">
        <f>infections!R171-infections!Q171</f>
        <v>0</v>
      </c>
      <c r="S171" s="3">
        <f>infections!S171-infections!R171</f>
        <v>0</v>
      </c>
      <c r="T171" s="3">
        <f>infections!T171-infections!S171</f>
        <v>0</v>
      </c>
      <c r="U171" s="3">
        <f>infections!U171-infections!T171</f>
        <v>0</v>
      </c>
      <c r="V171" s="3">
        <f>infections!V171-infections!U171</f>
        <v>0</v>
      </c>
      <c r="W171" s="3">
        <f>infections!W171-infections!V171</f>
        <v>0</v>
      </c>
      <c r="X171" s="3">
        <f>infections!X171-infections!W171</f>
        <v>0</v>
      </c>
      <c r="Y171" s="3">
        <f>infections!Y171-infections!X171</f>
        <v>0</v>
      </c>
      <c r="Z171" s="3">
        <f>infections!Z171-infections!Y171</f>
        <v>0</v>
      </c>
      <c r="AA171" s="3">
        <f>infections!AA171-infections!Z171</f>
        <v>0</v>
      </c>
      <c r="AB171" s="3">
        <f>infections!AB171-infections!AA171</f>
        <v>0</v>
      </c>
      <c r="AC171" s="3">
        <f>infections!AC171-infections!AB171</f>
        <v>0</v>
      </c>
      <c r="AD171" s="3">
        <f>infections!AD171-infections!AC171</f>
        <v>0</v>
      </c>
      <c r="AE171" s="3">
        <f>infections!AE171-infections!AD171</f>
        <v>0</v>
      </c>
      <c r="AF171" s="3">
        <f>infections!AF171-infections!AE171</f>
        <v>0</v>
      </c>
      <c r="AG171" s="3">
        <f>infections!AG171-infections!AF171</f>
        <v>0</v>
      </c>
      <c r="AH171" s="3">
        <f>infections!AH171-infections!AG171</f>
        <v>0</v>
      </c>
      <c r="AI171" s="3">
        <f>infections!AI171-infections!AH171</f>
        <v>0</v>
      </c>
      <c r="AJ171" s="3">
        <f>infections!AJ171-infections!AI171</f>
        <v>0</v>
      </c>
      <c r="AK171" s="3">
        <f>infections!AK171-infections!AJ171</f>
        <v>0</v>
      </c>
      <c r="AL171" s="3">
        <f>infections!AL171-infections!AK171</f>
        <v>0</v>
      </c>
      <c r="AM171" s="3">
        <f>infections!AM171-infections!AL171</f>
        <v>0</v>
      </c>
      <c r="AN171" s="3">
        <f>infections!AN171-infections!AM171</f>
        <v>0</v>
      </c>
      <c r="AO171" s="3">
        <f>infections!AO171-infections!AN171</f>
        <v>1</v>
      </c>
      <c r="AP171" s="3">
        <f>infections!AP171-infections!AO171</f>
        <v>0</v>
      </c>
      <c r="AQ171" s="3">
        <f>infections!AQ171-infections!AP171</f>
        <v>5</v>
      </c>
      <c r="AR171" s="3">
        <f>infections!AR171-infections!AQ171</f>
        <v>4</v>
      </c>
      <c r="AS171" s="3">
        <f>infections!AS171-infections!AR171</f>
        <v>8</v>
      </c>
      <c r="AT171" s="3">
        <f>infections!AT171-infections!AS171</f>
        <v>6</v>
      </c>
      <c r="AU171" s="3">
        <f>infections!AU171-infections!AT171</f>
        <v>14</v>
      </c>
      <c r="AV171" s="3">
        <f>infections!AV171-infections!AU171</f>
        <v>44</v>
      </c>
      <c r="AW171" s="3">
        <f>infections!AW171-infections!AV171</f>
        <v>46</v>
      </c>
      <c r="AX171" s="3">
        <f>infections!AX171-infections!AW171</f>
        <v>60</v>
      </c>
      <c r="AY171" s="3">
        <f>infections!AY171-infections!AX171</f>
        <v>77</v>
      </c>
      <c r="AZ171" s="3">
        <f>infections!AZ171-infections!AY171</f>
        <v>56</v>
      </c>
      <c r="BA171" s="3">
        <f>infections!BA171-infections!AZ171</f>
        <v>61</v>
      </c>
      <c r="BB171" s="3">
        <f>infections!BB171-infections!BA171</f>
        <v>121</v>
      </c>
      <c r="BC171" s="3">
        <f>infections!BC171-infections!BB171</f>
        <v>0</v>
      </c>
      <c r="BD171" s="3">
        <f>infections!BD171-infections!BC171</f>
        <v>301</v>
      </c>
      <c r="BE171" s="3">
        <f>infections!BE171-infections!BD171</f>
        <v>155</v>
      </c>
      <c r="BF171" s="3">
        <f>infections!BF171-infections!BE171</f>
        <v>176</v>
      </c>
      <c r="BG171" s="3">
        <f>infections!BG171-infections!BF171</f>
        <v>278</v>
      </c>
      <c r="BH171" s="3">
        <f>infections!BH171-infections!BG171</f>
        <v>292</v>
      </c>
      <c r="BI171" s="3">
        <f>infections!BI171-infections!BH171</f>
        <v>346</v>
      </c>
      <c r="BJ171" s="3">
        <f>infections!BJ171-infections!BI171</f>
        <v>409</v>
      </c>
      <c r="BK171" s="3">
        <f>infections!BK171-infections!BJ171</f>
        <v>534</v>
      </c>
      <c r="BL171" s="3">
        <f>infections!BL171-infections!BK171</f>
        <v>637</v>
      </c>
      <c r="BM171" s="3">
        <f>infections!BM171-infections!BL171</f>
        <v>573</v>
      </c>
      <c r="BN171" s="3">
        <f>infections!BN171-infections!BM171</f>
        <v>545</v>
      </c>
      <c r="BO171" s="3">
        <f>infections!BO171-infections!BN171</f>
        <v>811</v>
      </c>
      <c r="BP171" s="3">
        <f>infections!BP171-infections!BO171</f>
        <v>852</v>
      </c>
      <c r="BQ171" s="3">
        <f>infections!BQ171-infections!BP171</f>
        <v>1019</v>
      </c>
      <c r="BR171" s="3">
        <f>infections!BR171-infections!BQ171</f>
        <v>1172</v>
      </c>
      <c r="BS171" s="3">
        <f>infections!BS171-infections!BR171</f>
        <v>1159</v>
      </c>
      <c r="BT171" s="3">
        <f>infections!BT171-infections!BS171</f>
        <v>1104</v>
      </c>
      <c r="BU171" s="3">
        <f>infections!BU171-infections!BT171</f>
        <v>884</v>
      </c>
      <c r="BV171" s="3">
        <f>infections!BV171-infections!BU171</f>
        <v>845</v>
      </c>
      <c r="BW171" s="3">
        <f>infections!BW171-infections!BV171</f>
        <v>1019</v>
      </c>
      <c r="BX171" s="3">
        <f>infections!BX171-infections!BW171</f>
        <v>1083</v>
      </c>
      <c r="BY171" s="3">
        <f>infections!BY171-infections!BX171</f>
        <v>1026</v>
      </c>
    </row>
    <row r="172">
      <c r="B172" s="1" t="str">
        <f>infections!B172</f>
        <v>New Zealand</v>
      </c>
      <c r="C172" s="4">
        <f>infections!C172</f>
        <v>-40.9006</v>
      </c>
      <c r="D172" s="4">
        <f>infections!D172</f>
        <v>174.886</v>
      </c>
      <c r="E172" s="4">
        <f>infections!E172</f>
        <v>0</v>
      </c>
      <c r="F172" s="3">
        <f>infections!F172-infections!E172</f>
        <v>0</v>
      </c>
      <c r="G172" s="3">
        <f>infections!G172-infections!F172</f>
        <v>0</v>
      </c>
      <c r="H172" s="3">
        <f>infections!H172-infections!G172</f>
        <v>0</v>
      </c>
      <c r="I172" s="3">
        <f>infections!I172-infections!H172</f>
        <v>0</v>
      </c>
      <c r="J172" s="3">
        <f>infections!J172-infections!I172</f>
        <v>0</v>
      </c>
      <c r="K172" s="3">
        <f>infections!K172-infections!J172</f>
        <v>0</v>
      </c>
      <c r="L172" s="3">
        <f>infections!L172-infections!K172</f>
        <v>0</v>
      </c>
      <c r="M172" s="3">
        <f>infections!M172-infections!L172</f>
        <v>0</v>
      </c>
      <c r="N172" s="3">
        <f>infections!N172-infections!M172</f>
        <v>0</v>
      </c>
      <c r="O172" s="3">
        <f>infections!O172-infections!N172</f>
        <v>0</v>
      </c>
      <c r="P172" s="3">
        <f>infections!P172-infections!O172</f>
        <v>0</v>
      </c>
      <c r="Q172" s="3">
        <f>infections!Q172-infections!P172</f>
        <v>0</v>
      </c>
      <c r="R172" s="3">
        <f>infections!R172-infections!Q172</f>
        <v>0</v>
      </c>
      <c r="S172" s="3">
        <f>infections!S172-infections!R172</f>
        <v>0</v>
      </c>
      <c r="T172" s="3">
        <f>infections!T172-infections!S172</f>
        <v>0</v>
      </c>
      <c r="U172" s="3">
        <f>infections!U172-infections!T172</f>
        <v>0</v>
      </c>
      <c r="V172" s="3">
        <f>infections!V172-infections!U172</f>
        <v>0</v>
      </c>
      <c r="W172" s="3">
        <f>infections!W172-infections!V172</f>
        <v>0</v>
      </c>
      <c r="X172" s="3">
        <f>infections!X172-infections!W172</f>
        <v>0</v>
      </c>
      <c r="Y172" s="3">
        <f>infections!Y172-infections!X172</f>
        <v>0</v>
      </c>
      <c r="Z172" s="3">
        <f>infections!Z172-infections!Y172</f>
        <v>0</v>
      </c>
      <c r="AA172" s="3">
        <f>infections!AA172-infections!Z172</f>
        <v>0</v>
      </c>
      <c r="AB172" s="3">
        <f>infections!AB172-infections!AA172</f>
        <v>0</v>
      </c>
      <c r="AC172" s="3">
        <f>infections!AC172-infections!AB172</f>
        <v>0</v>
      </c>
      <c r="AD172" s="3">
        <f>infections!AD172-infections!AC172</f>
        <v>0</v>
      </c>
      <c r="AE172" s="3">
        <f>infections!AE172-infections!AD172</f>
        <v>0</v>
      </c>
      <c r="AF172" s="3">
        <f>infections!AF172-infections!AE172</f>
        <v>0</v>
      </c>
      <c r="AG172" s="3">
        <f>infections!AG172-infections!AF172</f>
        <v>0</v>
      </c>
      <c r="AH172" s="3">
        <f>infections!AH172-infections!AG172</f>
        <v>0</v>
      </c>
      <c r="AI172" s="3">
        <f>infections!AI172-infections!AH172</f>
        <v>0</v>
      </c>
      <c r="AJ172" s="3">
        <f>infections!AJ172-infections!AI172</f>
        <v>0</v>
      </c>
      <c r="AK172" s="3">
        <f>infections!AK172-infections!AJ172</f>
        <v>0</v>
      </c>
      <c r="AL172" s="3">
        <f>infections!AL172-infections!AK172</f>
        <v>0</v>
      </c>
      <c r="AM172" s="3">
        <f>infections!AM172-infections!AL172</f>
        <v>0</v>
      </c>
      <c r="AN172" s="3">
        <f>infections!AN172-infections!AM172</f>
        <v>0</v>
      </c>
      <c r="AO172" s="3">
        <f>infections!AO172-infections!AN172</f>
        <v>0</v>
      </c>
      <c r="AP172" s="3">
        <f>infections!AP172-infections!AO172</f>
        <v>1</v>
      </c>
      <c r="AQ172" s="3">
        <f>infections!AQ172-infections!AP172</f>
        <v>0</v>
      </c>
      <c r="AR172" s="3">
        <f>infections!AR172-infections!AQ172</f>
        <v>0</v>
      </c>
      <c r="AS172" s="3">
        <f>infections!AS172-infections!AR172</f>
        <v>0</v>
      </c>
      <c r="AT172" s="3">
        <f>infections!AT172-infections!AS172</f>
        <v>0</v>
      </c>
      <c r="AU172" s="3">
        <f>infections!AU172-infections!AT172</f>
        <v>2</v>
      </c>
      <c r="AV172" s="3">
        <f>infections!AV172-infections!AU172</f>
        <v>0</v>
      </c>
      <c r="AW172" s="3">
        <f>infections!AW172-infections!AV172</f>
        <v>1</v>
      </c>
      <c r="AX172" s="3">
        <f>infections!AX172-infections!AW172</f>
        <v>1</v>
      </c>
      <c r="AY172" s="3">
        <f>infections!AY172-infections!AX172</f>
        <v>0</v>
      </c>
      <c r="AZ172" s="3">
        <f>infections!AZ172-infections!AY172</f>
        <v>0</v>
      </c>
      <c r="BA172" s="3">
        <f>infections!BA172-infections!AZ172</f>
        <v>0</v>
      </c>
      <c r="BB172" s="3">
        <f>infections!BB172-infections!BA172</f>
        <v>0</v>
      </c>
      <c r="BC172" s="3">
        <f>infections!BC172-infections!BB172</f>
        <v>0</v>
      </c>
      <c r="BD172" s="3">
        <f>infections!BD172-infections!BC172</f>
        <v>0</v>
      </c>
      <c r="BE172" s="3">
        <f>infections!BE172-infections!BD172</f>
        <v>1</v>
      </c>
      <c r="BF172" s="3">
        <f>infections!BF172-infections!BE172</f>
        <v>2</v>
      </c>
      <c r="BG172" s="3">
        <f>infections!BG172-infections!BF172</f>
        <v>0</v>
      </c>
      <c r="BH172" s="3">
        <f>infections!BH172-infections!BG172</f>
        <v>4</v>
      </c>
      <c r="BI172" s="3">
        <f>infections!BI172-infections!BH172</f>
        <v>8</v>
      </c>
      <c r="BJ172" s="3">
        <f>infections!BJ172-infections!BI172</f>
        <v>8</v>
      </c>
      <c r="BK172" s="3">
        <f>infections!BK172-infections!BJ172</f>
        <v>11</v>
      </c>
      <c r="BL172" s="3">
        <f>infections!BL172-infections!BK172</f>
        <v>13</v>
      </c>
      <c r="BM172" s="3">
        <f>infections!BM172-infections!BL172</f>
        <v>50</v>
      </c>
      <c r="BN172" s="3">
        <f>infections!BN172-infections!BM172</f>
        <v>0</v>
      </c>
      <c r="BO172" s="3">
        <f>infections!BO172-infections!BN172</f>
        <v>53</v>
      </c>
      <c r="BP172" s="3">
        <f>infections!BP172-infections!BO172</f>
        <v>50</v>
      </c>
      <c r="BQ172" s="3">
        <f>infections!BQ172-infections!BP172</f>
        <v>78</v>
      </c>
      <c r="BR172" s="3">
        <f>infections!BR172-infections!BQ172</f>
        <v>85</v>
      </c>
      <c r="BS172" s="3">
        <f>infections!BS172-infections!BR172</f>
        <v>83</v>
      </c>
      <c r="BT172" s="3">
        <f>infections!BT172-infections!BS172</f>
        <v>63</v>
      </c>
      <c r="BU172" s="3">
        <f>infections!BU172-infections!BT172</f>
        <v>75</v>
      </c>
      <c r="BV172" s="3">
        <f>infections!BV172-infections!BU172</f>
        <v>58</v>
      </c>
      <c r="BW172" s="3">
        <f>infections!BW172-infections!BV172</f>
        <v>61</v>
      </c>
      <c r="BX172" s="3">
        <f>infections!BX172-infections!BW172</f>
        <v>89</v>
      </c>
      <c r="BY172" s="3">
        <f>infections!BY172-infections!BX172</f>
        <v>71</v>
      </c>
    </row>
    <row r="173">
      <c r="B173" s="1" t="str">
        <f>infections!B173</f>
        <v>Nicaragua</v>
      </c>
      <c r="C173" s="4">
        <f>infections!C173</f>
        <v>12.8654</v>
      </c>
      <c r="D173" s="4">
        <f>infections!D173</f>
        <v>-85.2072</v>
      </c>
      <c r="E173" s="4">
        <f>infections!E173</f>
        <v>0</v>
      </c>
      <c r="F173" s="3">
        <f>infections!F173-infections!E173</f>
        <v>0</v>
      </c>
      <c r="G173" s="3">
        <f>infections!G173-infections!F173</f>
        <v>0</v>
      </c>
      <c r="H173" s="3">
        <f>infections!H173-infections!G173</f>
        <v>0</v>
      </c>
      <c r="I173" s="3">
        <f>infections!I173-infections!H173</f>
        <v>0</v>
      </c>
      <c r="J173" s="3">
        <f>infections!J173-infections!I173</f>
        <v>0</v>
      </c>
      <c r="K173" s="3">
        <f>infections!K173-infections!J173</f>
        <v>0</v>
      </c>
      <c r="L173" s="3">
        <f>infections!L173-infections!K173</f>
        <v>0</v>
      </c>
      <c r="M173" s="3">
        <f>infections!M173-infections!L173</f>
        <v>0</v>
      </c>
      <c r="N173" s="3">
        <f>infections!N173-infections!M173</f>
        <v>0</v>
      </c>
      <c r="O173" s="3">
        <f>infections!O173-infections!N173</f>
        <v>0</v>
      </c>
      <c r="P173" s="3">
        <f>infections!P173-infections!O173</f>
        <v>0</v>
      </c>
      <c r="Q173" s="3">
        <f>infections!Q173-infections!P173</f>
        <v>0</v>
      </c>
      <c r="R173" s="3">
        <f>infections!R173-infections!Q173</f>
        <v>0</v>
      </c>
      <c r="S173" s="3">
        <f>infections!S173-infections!R173</f>
        <v>0</v>
      </c>
      <c r="T173" s="3">
        <f>infections!T173-infections!S173</f>
        <v>0</v>
      </c>
      <c r="U173" s="3">
        <f>infections!U173-infections!T173</f>
        <v>0</v>
      </c>
      <c r="V173" s="3">
        <f>infections!V173-infections!U173</f>
        <v>0</v>
      </c>
      <c r="W173" s="3">
        <f>infections!W173-infections!V173</f>
        <v>0</v>
      </c>
      <c r="X173" s="3">
        <f>infections!X173-infections!W173</f>
        <v>0</v>
      </c>
      <c r="Y173" s="3">
        <f>infections!Y173-infections!X173</f>
        <v>0</v>
      </c>
      <c r="Z173" s="3">
        <f>infections!Z173-infections!Y173</f>
        <v>0</v>
      </c>
      <c r="AA173" s="3">
        <f>infections!AA173-infections!Z173</f>
        <v>0</v>
      </c>
      <c r="AB173" s="3">
        <f>infections!AB173-infections!AA173</f>
        <v>0</v>
      </c>
      <c r="AC173" s="3">
        <f>infections!AC173-infections!AB173</f>
        <v>0</v>
      </c>
      <c r="AD173" s="3">
        <f>infections!AD173-infections!AC173</f>
        <v>0</v>
      </c>
      <c r="AE173" s="3">
        <f>infections!AE173-infections!AD173</f>
        <v>0</v>
      </c>
      <c r="AF173" s="3">
        <f>infections!AF173-infections!AE173</f>
        <v>0</v>
      </c>
      <c r="AG173" s="3">
        <f>infections!AG173-infections!AF173</f>
        <v>0</v>
      </c>
      <c r="AH173" s="3">
        <f>infections!AH173-infections!AG173</f>
        <v>0</v>
      </c>
      <c r="AI173" s="3">
        <f>infections!AI173-infections!AH173</f>
        <v>0</v>
      </c>
      <c r="AJ173" s="3">
        <f>infections!AJ173-infections!AI173</f>
        <v>0</v>
      </c>
      <c r="AK173" s="3">
        <f>infections!AK173-infections!AJ173</f>
        <v>0</v>
      </c>
      <c r="AL173" s="3">
        <f>infections!AL173-infections!AK173</f>
        <v>0</v>
      </c>
      <c r="AM173" s="3">
        <f>infections!AM173-infections!AL173</f>
        <v>0</v>
      </c>
      <c r="AN173" s="3">
        <f>infections!AN173-infections!AM173</f>
        <v>0</v>
      </c>
      <c r="AO173" s="3">
        <f>infections!AO173-infections!AN173</f>
        <v>0</v>
      </c>
      <c r="AP173" s="3">
        <f>infections!AP173-infections!AO173</f>
        <v>0</v>
      </c>
      <c r="AQ173" s="3">
        <f>infections!AQ173-infections!AP173</f>
        <v>0</v>
      </c>
      <c r="AR173" s="3">
        <f>infections!AR173-infections!AQ173</f>
        <v>0</v>
      </c>
      <c r="AS173" s="3">
        <f>infections!AS173-infections!AR173</f>
        <v>0</v>
      </c>
      <c r="AT173" s="3">
        <f>infections!AT173-infections!AS173</f>
        <v>0</v>
      </c>
      <c r="AU173" s="3">
        <f>infections!AU173-infections!AT173</f>
        <v>0</v>
      </c>
      <c r="AV173" s="3">
        <f>infections!AV173-infections!AU173</f>
        <v>0</v>
      </c>
      <c r="AW173" s="3">
        <f>infections!AW173-infections!AV173</f>
        <v>0</v>
      </c>
      <c r="AX173" s="3">
        <f>infections!AX173-infections!AW173</f>
        <v>0</v>
      </c>
      <c r="AY173" s="3">
        <f>infections!AY173-infections!AX173</f>
        <v>0</v>
      </c>
      <c r="AZ173" s="3">
        <f>infections!AZ173-infections!AY173</f>
        <v>0</v>
      </c>
      <c r="BA173" s="3">
        <f>infections!BA173-infections!AZ173</f>
        <v>0</v>
      </c>
      <c r="BB173" s="3">
        <f>infections!BB173-infections!BA173</f>
        <v>0</v>
      </c>
      <c r="BC173" s="3">
        <f>infections!BC173-infections!BB173</f>
        <v>0</v>
      </c>
      <c r="BD173" s="3">
        <f>infections!BD173-infections!BC173</f>
        <v>0</v>
      </c>
      <c r="BE173" s="3">
        <f>infections!BE173-infections!BD173</f>
        <v>0</v>
      </c>
      <c r="BF173" s="3">
        <f>infections!BF173-infections!BE173</f>
        <v>0</v>
      </c>
      <c r="BG173" s="3">
        <f>infections!BG173-infections!BF173</f>
        <v>0</v>
      </c>
      <c r="BH173" s="3">
        <f>infections!BH173-infections!BG173</f>
        <v>0</v>
      </c>
      <c r="BI173" s="3">
        <f>infections!BI173-infections!BH173</f>
        <v>0</v>
      </c>
      <c r="BJ173" s="3">
        <f>infections!BJ173-infections!BI173</f>
        <v>1</v>
      </c>
      <c r="BK173" s="3">
        <f>infections!BK173-infections!BJ173</f>
        <v>0</v>
      </c>
      <c r="BL173" s="3">
        <f>infections!BL173-infections!BK173</f>
        <v>1</v>
      </c>
      <c r="BM173" s="3">
        <f>infections!BM173-infections!BL173</f>
        <v>0</v>
      </c>
      <c r="BN173" s="3">
        <f>infections!BN173-infections!BM173</f>
        <v>0</v>
      </c>
      <c r="BO173" s="3">
        <f>infections!BO173-infections!BN173</f>
        <v>0</v>
      </c>
      <c r="BP173" s="3">
        <f>infections!BP173-infections!BO173</f>
        <v>0</v>
      </c>
      <c r="BQ173" s="3">
        <f>infections!BQ173-infections!BP173</f>
        <v>0</v>
      </c>
      <c r="BR173" s="3">
        <f>infections!BR173-infections!BQ173</f>
        <v>0</v>
      </c>
      <c r="BS173" s="3">
        <f>infections!BS173-infections!BR173</f>
        <v>2</v>
      </c>
      <c r="BT173" s="3">
        <f>infections!BT173-infections!BS173</f>
        <v>0</v>
      </c>
      <c r="BU173" s="3">
        <f>infections!BU173-infections!BT173</f>
        <v>0</v>
      </c>
      <c r="BV173" s="3">
        <f>infections!BV173-infections!BU173</f>
        <v>1</v>
      </c>
      <c r="BW173" s="3">
        <f>infections!BW173-infections!BV173</f>
        <v>0</v>
      </c>
      <c r="BX173" s="3">
        <f>infections!BX173-infections!BW173</f>
        <v>0</v>
      </c>
      <c r="BY173" s="3">
        <f>infections!BY173-infections!BX173</f>
        <v>0</v>
      </c>
    </row>
    <row r="174">
      <c r="B174" s="1" t="str">
        <f>infections!B174</f>
        <v>Niger</v>
      </c>
      <c r="C174" s="4">
        <f>infections!C174</f>
        <v>17.6078</v>
      </c>
      <c r="D174" s="4">
        <f>infections!D174</f>
        <v>8.0817</v>
      </c>
      <c r="E174" s="4">
        <f>infections!E174</f>
        <v>0</v>
      </c>
      <c r="F174" s="3">
        <f>infections!F174-infections!E174</f>
        <v>0</v>
      </c>
      <c r="G174" s="3">
        <f>infections!G174-infections!F174</f>
        <v>0</v>
      </c>
      <c r="H174" s="3">
        <f>infections!H174-infections!G174</f>
        <v>0</v>
      </c>
      <c r="I174" s="3">
        <f>infections!I174-infections!H174</f>
        <v>0</v>
      </c>
      <c r="J174" s="3">
        <f>infections!J174-infections!I174</f>
        <v>0</v>
      </c>
      <c r="K174" s="3">
        <f>infections!K174-infections!J174</f>
        <v>0</v>
      </c>
      <c r="L174" s="3">
        <f>infections!L174-infections!K174</f>
        <v>0</v>
      </c>
      <c r="M174" s="3">
        <f>infections!M174-infections!L174</f>
        <v>0</v>
      </c>
      <c r="N174" s="3">
        <f>infections!N174-infections!M174</f>
        <v>0</v>
      </c>
      <c r="O174" s="3">
        <f>infections!O174-infections!N174</f>
        <v>0</v>
      </c>
      <c r="P174" s="3">
        <f>infections!P174-infections!O174</f>
        <v>0</v>
      </c>
      <c r="Q174" s="3">
        <f>infections!Q174-infections!P174</f>
        <v>0</v>
      </c>
      <c r="R174" s="3">
        <f>infections!R174-infections!Q174</f>
        <v>0</v>
      </c>
      <c r="S174" s="3">
        <f>infections!S174-infections!R174</f>
        <v>0</v>
      </c>
      <c r="T174" s="3">
        <f>infections!T174-infections!S174</f>
        <v>0</v>
      </c>
      <c r="U174" s="3">
        <f>infections!U174-infections!T174</f>
        <v>0</v>
      </c>
      <c r="V174" s="3">
        <f>infections!V174-infections!U174</f>
        <v>0</v>
      </c>
      <c r="W174" s="3">
        <f>infections!W174-infections!V174</f>
        <v>0</v>
      </c>
      <c r="X174" s="3">
        <f>infections!X174-infections!W174</f>
        <v>0</v>
      </c>
      <c r="Y174" s="3">
        <f>infections!Y174-infections!X174</f>
        <v>0</v>
      </c>
      <c r="Z174" s="3">
        <f>infections!Z174-infections!Y174</f>
        <v>0</v>
      </c>
      <c r="AA174" s="3">
        <f>infections!AA174-infections!Z174</f>
        <v>0</v>
      </c>
      <c r="AB174" s="3">
        <f>infections!AB174-infections!AA174</f>
        <v>0</v>
      </c>
      <c r="AC174" s="3">
        <f>infections!AC174-infections!AB174</f>
        <v>0</v>
      </c>
      <c r="AD174" s="3">
        <f>infections!AD174-infections!AC174</f>
        <v>0</v>
      </c>
      <c r="AE174" s="3">
        <f>infections!AE174-infections!AD174</f>
        <v>0</v>
      </c>
      <c r="AF174" s="3">
        <f>infections!AF174-infections!AE174</f>
        <v>0</v>
      </c>
      <c r="AG174" s="3">
        <f>infections!AG174-infections!AF174</f>
        <v>0</v>
      </c>
      <c r="AH174" s="3">
        <f>infections!AH174-infections!AG174</f>
        <v>0</v>
      </c>
      <c r="AI174" s="3">
        <f>infections!AI174-infections!AH174</f>
        <v>0</v>
      </c>
      <c r="AJ174" s="3">
        <f>infections!AJ174-infections!AI174</f>
        <v>0</v>
      </c>
      <c r="AK174" s="3">
        <f>infections!AK174-infections!AJ174</f>
        <v>0</v>
      </c>
      <c r="AL174" s="3">
        <f>infections!AL174-infections!AK174</f>
        <v>0</v>
      </c>
      <c r="AM174" s="3">
        <f>infections!AM174-infections!AL174</f>
        <v>0</v>
      </c>
      <c r="AN174" s="3">
        <f>infections!AN174-infections!AM174</f>
        <v>0</v>
      </c>
      <c r="AO174" s="3">
        <f>infections!AO174-infections!AN174</f>
        <v>0</v>
      </c>
      <c r="AP174" s="3">
        <f>infections!AP174-infections!AO174</f>
        <v>0</v>
      </c>
      <c r="AQ174" s="3">
        <f>infections!AQ174-infections!AP174</f>
        <v>0</v>
      </c>
      <c r="AR174" s="3">
        <f>infections!AR174-infections!AQ174</f>
        <v>0</v>
      </c>
      <c r="AS174" s="3">
        <f>infections!AS174-infections!AR174</f>
        <v>0</v>
      </c>
      <c r="AT174" s="3">
        <f>infections!AT174-infections!AS174</f>
        <v>0</v>
      </c>
      <c r="AU174" s="3">
        <f>infections!AU174-infections!AT174</f>
        <v>0</v>
      </c>
      <c r="AV174" s="3">
        <f>infections!AV174-infections!AU174</f>
        <v>0</v>
      </c>
      <c r="AW174" s="3">
        <f>infections!AW174-infections!AV174</f>
        <v>0</v>
      </c>
      <c r="AX174" s="3">
        <f>infections!AX174-infections!AW174</f>
        <v>0</v>
      </c>
      <c r="AY174" s="3">
        <f>infections!AY174-infections!AX174</f>
        <v>0</v>
      </c>
      <c r="AZ174" s="3">
        <f>infections!AZ174-infections!AY174</f>
        <v>0</v>
      </c>
      <c r="BA174" s="3">
        <f>infections!BA174-infections!AZ174</f>
        <v>0</v>
      </c>
      <c r="BB174" s="3">
        <f>infections!BB174-infections!BA174</f>
        <v>0</v>
      </c>
      <c r="BC174" s="3">
        <f>infections!BC174-infections!BB174</f>
        <v>0</v>
      </c>
      <c r="BD174" s="3">
        <f>infections!BD174-infections!BC174</f>
        <v>0</v>
      </c>
      <c r="BE174" s="3">
        <f>infections!BE174-infections!BD174</f>
        <v>0</v>
      </c>
      <c r="BF174" s="3">
        <f>infections!BF174-infections!BE174</f>
        <v>0</v>
      </c>
      <c r="BG174" s="3">
        <f>infections!BG174-infections!BF174</f>
        <v>0</v>
      </c>
      <c r="BH174" s="3">
        <f>infections!BH174-infections!BG174</f>
        <v>0</v>
      </c>
      <c r="BI174" s="3">
        <f>infections!BI174-infections!BH174</f>
        <v>0</v>
      </c>
      <c r="BJ174" s="3">
        <f>infections!BJ174-infections!BI174</f>
        <v>0</v>
      </c>
      <c r="BK174" s="3">
        <f>infections!BK174-infections!BJ174</f>
        <v>1</v>
      </c>
      <c r="BL174" s="3">
        <f>infections!BL174-infections!BK174</f>
        <v>0</v>
      </c>
      <c r="BM174" s="3">
        <f>infections!BM174-infections!BL174</f>
        <v>1</v>
      </c>
      <c r="BN174" s="3">
        <f>infections!BN174-infections!BM174</f>
        <v>1</v>
      </c>
      <c r="BO174" s="3">
        <f>infections!BO174-infections!BN174</f>
        <v>0</v>
      </c>
      <c r="BP174" s="3">
        <f>infections!BP174-infections!BO174</f>
        <v>4</v>
      </c>
      <c r="BQ174" s="3">
        <f>infections!BQ174-infections!BP174</f>
        <v>3</v>
      </c>
      <c r="BR174" s="3">
        <f>infections!BR174-infections!BQ174</f>
        <v>0</v>
      </c>
      <c r="BS174" s="3">
        <f>infections!BS174-infections!BR174</f>
        <v>0</v>
      </c>
      <c r="BT174" s="3">
        <f>infections!BT174-infections!BS174</f>
        <v>8</v>
      </c>
      <c r="BU174" s="3">
        <f>infections!BU174-infections!BT174</f>
        <v>9</v>
      </c>
      <c r="BV174" s="3">
        <f>infections!BV174-infections!BU174</f>
        <v>0</v>
      </c>
      <c r="BW174" s="3">
        <f>infections!BW174-infections!BV174</f>
        <v>47</v>
      </c>
      <c r="BX174" s="3">
        <f>infections!BX174-infections!BW174</f>
        <v>24</v>
      </c>
      <c r="BY174" s="3">
        <f>infections!BY174-infections!BX174</f>
        <v>22</v>
      </c>
    </row>
    <row r="175">
      <c r="B175" s="1" t="str">
        <f>infections!B175</f>
        <v>Nigeria</v>
      </c>
      <c r="C175" s="4">
        <f>infections!C175</f>
        <v>9.082</v>
      </c>
      <c r="D175" s="4">
        <f>infections!D175</f>
        <v>8.6753</v>
      </c>
      <c r="E175" s="4">
        <f>infections!E175</f>
        <v>0</v>
      </c>
      <c r="F175" s="3">
        <f>infections!F175-infections!E175</f>
        <v>0</v>
      </c>
      <c r="G175" s="3">
        <f>infections!G175-infections!F175</f>
        <v>0</v>
      </c>
      <c r="H175" s="3">
        <f>infections!H175-infections!G175</f>
        <v>0</v>
      </c>
      <c r="I175" s="3">
        <f>infections!I175-infections!H175</f>
        <v>0</v>
      </c>
      <c r="J175" s="3">
        <f>infections!J175-infections!I175</f>
        <v>0</v>
      </c>
      <c r="K175" s="3">
        <f>infections!K175-infections!J175</f>
        <v>0</v>
      </c>
      <c r="L175" s="3">
        <f>infections!L175-infections!K175</f>
        <v>0</v>
      </c>
      <c r="M175" s="3">
        <f>infections!M175-infections!L175</f>
        <v>0</v>
      </c>
      <c r="N175" s="3">
        <f>infections!N175-infections!M175</f>
        <v>0</v>
      </c>
      <c r="O175" s="3">
        <f>infections!O175-infections!N175</f>
        <v>0</v>
      </c>
      <c r="P175" s="3">
        <f>infections!P175-infections!O175</f>
        <v>0</v>
      </c>
      <c r="Q175" s="3">
        <f>infections!Q175-infections!P175</f>
        <v>0</v>
      </c>
      <c r="R175" s="3">
        <f>infections!R175-infections!Q175</f>
        <v>0</v>
      </c>
      <c r="S175" s="3">
        <f>infections!S175-infections!R175</f>
        <v>0</v>
      </c>
      <c r="T175" s="3">
        <f>infections!T175-infections!S175</f>
        <v>0</v>
      </c>
      <c r="U175" s="3">
        <f>infections!U175-infections!T175</f>
        <v>0</v>
      </c>
      <c r="V175" s="3">
        <f>infections!V175-infections!U175</f>
        <v>0</v>
      </c>
      <c r="W175" s="3">
        <f>infections!W175-infections!V175</f>
        <v>0</v>
      </c>
      <c r="X175" s="3">
        <f>infections!X175-infections!W175</f>
        <v>0</v>
      </c>
      <c r="Y175" s="3">
        <f>infections!Y175-infections!X175</f>
        <v>0</v>
      </c>
      <c r="Z175" s="3">
        <f>infections!Z175-infections!Y175</f>
        <v>0</v>
      </c>
      <c r="AA175" s="3">
        <f>infections!AA175-infections!Z175</f>
        <v>0</v>
      </c>
      <c r="AB175" s="3">
        <f>infections!AB175-infections!AA175</f>
        <v>0</v>
      </c>
      <c r="AC175" s="3">
        <f>infections!AC175-infections!AB175</f>
        <v>0</v>
      </c>
      <c r="AD175" s="3">
        <f>infections!AD175-infections!AC175</f>
        <v>0</v>
      </c>
      <c r="AE175" s="3">
        <f>infections!AE175-infections!AD175</f>
        <v>0</v>
      </c>
      <c r="AF175" s="3">
        <f>infections!AF175-infections!AE175</f>
        <v>0</v>
      </c>
      <c r="AG175" s="3">
        <f>infections!AG175-infections!AF175</f>
        <v>0</v>
      </c>
      <c r="AH175" s="3">
        <f>infections!AH175-infections!AG175</f>
        <v>0</v>
      </c>
      <c r="AI175" s="3">
        <f>infections!AI175-infections!AH175</f>
        <v>0</v>
      </c>
      <c r="AJ175" s="3">
        <f>infections!AJ175-infections!AI175</f>
        <v>0</v>
      </c>
      <c r="AK175" s="3">
        <f>infections!AK175-infections!AJ175</f>
        <v>0</v>
      </c>
      <c r="AL175" s="3">
        <f>infections!AL175-infections!AK175</f>
        <v>0</v>
      </c>
      <c r="AM175" s="3">
        <f>infections!AM175-infections!AL175</f>
        <v>0</v>
      </c>
      <c r="AN175" s="3">
        <f>infections!AN175-infections!AM175</f>
        <v>0</v>
      </c>
      <c r="AO175" s="3">
        <f>infections!AO175-infections!AN175</f>
        <v>0</v>
      </c>
      <c r="AP175" s="3">
        <f>infections!AP175-infections!AO175</f>
        <v>1</v>
      </c>
      <c r="AQ175" s="3">
        <f>infections!AQ175-infections!AP175</f>
        <v>0</v>
      </c>
      <c r="AR175" s="3">
        <f>infections!AR175-infections!AQ175</f>
        <v>0</v>
      </c>
      <c r="AS175" s="3">
        <f>infections!AS175-infections!AR175</f>
        <v>0</v>
      </c>
      <c r="AT175" s="3">
        <f>infections!AT175-infections!AS175</f>
        <v>0</v>
      </c>
      <c r="AU175" s="3">
        <f>infections!AU175-infections!AT175</f>
        <v>0</v>
      </c>
      <c r="AV175" s="3">
        <f>infections!AV175-infections!AU175</f>
        <v>0</v>
      </c>
      <c r="AW175" s="3">
        <f>infections!AW175-infections!AV175</f>
        <v>0</v>
      </c>
      <c r="AX175" s="3">
        <f>infections!AX175-infections!AW175</f>
        <v>0</v>
      </c>
      <c r="AY175" s="3">
        <f>infections!AY175-infections!AX175</f>
        <v>0</v>
      </c>
      <c r="AZ175" s="3">
        <f>infections!AZ175-infections!AY175</f>
        <v>1</v>
      </c>
      <c r="BA175" s="3">
        <f>infections!BA175-infections!AZ175</f>
        <v>0</v>
      </c>
      <c r="BB175" s="3">
        <f>infections!BB175-infections!BA175</f>
        <v>0</v>
      </c>
      <c r="BC175" s="3">
        <f>infections!BC175-infections!BB175</f>
        <v>0</v>
      </c>
      <c r="BD175" s="3">
        <f>infections!BD175-infections!BC175</f>
        <v>0</v>
      </c>
      <c r="BE175" s="3">
        <f>infections!BE175-infections!BD175</f>
        <v>0</v>
      </c>
      <c r="BF175" s="3">
        <f>infections!BF175-infections!BE175</f>
        <v>0</v>
      </c>
      <c r="BG175" s="3">
        <f>infections!BG175-infections!BF175</f>
        <v>0</v>
      </c>
      <c r="BH175" s="3">
        <f>infections!BH175-infections!BG175</f>
        <v>1</v>
      </c>
      <c r="BI175" s="3">
        <f>infections!BI175-infections!BH175</f>
        <v>5</v>
      </c>
      <c r="BJ175" s="3">
        <f>infections!BJ175-infections!BI175</f>
        <v>0</v>
      </c>
      <c r="BK175" s="3">
        <f>infections!BK175-infections!BJ175</f>
        <v>4</v>
      </c>
      <c r="BL175" s="3">
        <f>infections!BL175-infections!BK175</f>
        <v>10</v>
      </c>
      <c r="BM175" s="3">
        <f>infections!BM175-infections!BL175</f>
        <v>8</v>
      </c>
      <c r="BN175" s="3">
        <f>infections!BN175-infections!BM175</f>
        <v>10</v>
      </c>
      <c r="BO175" s="3">
        <f>infections!BO175-infections!BN175</f>
        <v>4</v>
      </c>
      <c r="BP175" s="3">
        <f>infections!BP175-infections!BO175</f>
        <v>7</v>
      </c>
      <c r="BQ175" s="3">
        <f>infections!BQ175-infections!BP175</f>
        <v>14</v>
      </c>
      <c r="BR175" s="3">
        <f>infections!BR175-infections!BQ175</f>
        <v>5</v>
      </c>
      <c r="BS175" s="3">
        <f>infections!BS175-infections!BR175</f>
        <v>19</v>
      </c>
      <c r="BT175" s="3">
        <f>infections!BT175-infections!BS175</f>
        <v>22</v>
      </c>
      <c r="BU175" s="3">
        <f>infections!BU175-infections!BT175</f>
        <v>20</v>
      </c>
      <c r="BV175" s="3">
        <f>infections!BV175-infections!BU175</f>
        <v>4</v>
      </c>
      <c r="BW175" s="3">
        <f>infections!BW175-infections!BV175</f>
        <v>39</v>
      </c>
      <c r="BX175" s="3">
        <f>infections!BX175-infections!BW175</f>
        <v>10</v>
      </c>
      <c r="BY175" s="3">
        <f>infections!BY175-infections!BX175</f>
        <v>26</v>
      </c>
    </row>
    <row r="176">
      <c r="B176" s="1" t="str">
        <f>infections!B176</f>
        <v>North Macedonia</v>
      </c>
      <c r="C176" s="4">
        <f>infections!C176</f>
        <v>41.6086</v>
      </c>
      <c r="D176" s="4">
        <f>infections!D176</f>
        <v>21.7453</v>
      </c>
      <c r="E176" s="4">
        <f>infections!E176</f>
        <v>0</v>
      </c>
      <c r="F176" s="3">
        <f>infections!F176-infections!E176</f>
        <v>0</v>
      </c>
      <c r="G176" s="3">
        <f>infections!G176-infections!F176</f>
        <v>0</v>
      </c>
      <c r="H176" s="3">
        <f>infections!H176-infections!G176</f>
        <v>0</v>
      </c>
      <c r="I176" s="3">
        <f>infections!I176-infections!H176</f>
        <v>0</v>
      </c>
      <c r="J176" s="3">
        <f>infections!J176-infections!I176</f>
        <v>0</v>
      </c>
      <c r="K176" s="3">
        <f>infections!K176-infections!J176</f>
        <v>0</v>
      </c>
      <c r="L176" s="3">
        <f>infections!L176-infections!K176</f>
        <v>0</v>
      </c>
      <c r="M176" s="3">
        <f>infections!M176-infections!L176</f>
        <v>0</v>
      </c>
      <c r="N176" s="3">
        <f>infections!N176-infections!M176</f>
        <v>0</v>
      </c>
      <c r="O176" s="3">
        <f>infections!O176-infections!N176</f>
        <v>0</v>
      </c>
      <c r="P176" s="3">
        <f>infections!P176-infections!O176</f>
        <v>0</v>
      </c>
      <c r="Q176" s="3">
        <f>infections!Q176-infections!P176</f>
        <v>0</v>
      </c>
      <c r="R176" s="3">
        <f>infections!R176-infections!Q176</f>
        <v>0</v>
      </c>
      <c r="S176" s="3">
        <f>infections!S176-infections!R176</f>
        <v>0</v>
      </c>
      <c r="T176" s="3">
        <f>infections!T176-infections!S176</f>
        <v>0</v>
      </c>
      <c r="U176" s="3">
        <f>infections!U176-infections!T176</f>
        <v>0</v>
      </c>
      <c r="V176" s="3">
        <f>infections!V176-infections!U176</f>
        <v>0</v>
      </c>
      <c r="W176" s="3">
        <f>infections!W176-infections!V176</f>
        <v>0</v>
      </c>
      <c r="X176" s="3">
        <f>infections!X176-infections!W176</f>
        <v>0</v>
      </c>
      <c r="Y176" s="3">
        <f>infections!Y176-infections!X176</f>
        <v>0</v>
      </c>
      <c r="Z176" s="3">
        <f>infections!Z176-infections!Y176</f>
        <v>0</v>
      </c>
      <c r="AA176" s="3">
        <f>infections!AA176-infections!Z176</f>
        <v>0</v>
      </c>
      <c r="AB176" s="3">
        <f>infections!AB176-infections!AA176</f>
        <v>0</v>
      </c>
      <c r="AC176" s="3">
        <f>infections!AC176-infections!AB176</f>
        <v>0</v>
      </c>
      <c r="AD176" s="3">
        <f>infections!AD176-infections!AC176</f>
        <v>0</v>
      </c>
      <c r="AE176" s="3">
        <f>infections!AE176-infections!AD176</f>
        <v>0</v>
      </c>
      <c r="AF176" s="3">
        <f>infections!AF176-infections!AE176</f>
        <v>0</v>
      </c>
      <c r="AG176" s="3">
        <f>infections!AG176-infections!AF176</f>
        <v>0</v>
      </c>
      <c r="AH176" s="3">
        <f>infections!AH176-infections!AG176</f>
        <v>0</v>
      </c>
      <c r="AI176" s="3">
        <f>infections!AI176-infections!AH176</f>
        <v>0</v>
      </c>
      <c r="AJ176" s="3">
        <f>infections!AJ176-infections!AI176</f>
        <v>0</v>
      </c>
      <c r="AK176" s="3">
        <f>infections!AK176-infections!AJ176</f>
        <v>0</v>
      </c>
      <c r="AL176" s="3">
        <f>infections!AL176-infections!AK176</f>
        <v>0</v>
      </c>
      <c r="AM176" s="3">
        <f>infections!AM176-infections!AL176</f>
        <v>0</v>
      </c>
      <c r="AN176" s="3">
        <f>infections!AN176-infections!AM176</f>
        <v>1</v>
      </c>
      <c r="AO176" s="3">
        <f>infections!AO176-infections!AN176</f>
        <v>0</v>
      </c>
      <c r="AP176" s="3">
        <f>infections!AP176-infections!AO176</f>
        <v>0</v>
      </c>
      <c r="AQ176" s="3">
        <f>infections!AQ176-infections!AP176</f>
        <v>0</v>
      </c>
      <c r="AR176" s="3">
        <f>infections!AR176-infections!AQ176</f>
        <v>0</v>
      </c>
      <c r="AS176" s="3">
        <f>infections!AS176-infections!AR176</f>
        <v>0</v>
      </c>
      <c r="AT176" s="3">
        <f>infections!AT176-infections!AS176</f>
        <v>0</v>
      </c>
      <c r="AU176" s="3">
        <f>infections!AU176-infections!AT176</f>
        <v>0</v>
      </c>
      <c r="AV176" s="3">
        <f>infections!AV176-infections!AU176</f>
        <v>0</v>
      </c>
      <c r="AW176" s="3">
        <f>infections!AW176-infections!AV176</f>
        <v>2</v>
      </c>
      <c r="AX176" s="3">
        <f>infections!AX176-infections!AW176</f>
        <v>0</v>
      </c>
      <c r="AY176" s="3">
        <f>infections!AY176-infections!AX176</f>
        <v>0</v>
      </c>
      <c r="AZ176" s="3">
        <f>infections!AZ176-infections!AY176</f>
        <v>0</v>
      </c>
      <c r="BA176" s="3">
        <f>infections!BA176-infections!AZ176</f>
        <v>4</v>
      </c>
      <c r="BB176" s="3">
        <f>infections!BB176-infections!BA176</f>
        <v>0</v>
      </c>
      <c r="BC176" s="3">
        <f>infections!BC176-infections!BB176</f>
        <v>0</v>
      </c>
      <c r="BD176" s="3">
        <f>infections!BD176-infections!BC176</f>
        <v>7</v>
      </c>
      <c r="BE176" s="3">
        <f>infections!BE176-infections!BD176</f>
        <v>0</v>
      </c>
      <c r="BF176" s="3">
        <f>infections!BF176-infections!BE176</f>
        <v>0</v>
      </c>
      <c r="BG176" s="3">
        <f>infections!BG176-infections!BF176</f>
        <v>4</v>
      </c>
      <c r="BH176" s="3">
        <f>infections!BH176-infections!BG176</f>
        <v>8</v>
      </c>
      <c r="BI176" s="3">
        <f>infections!BI176-infections!BH176</f>
        <v>9</v>
      </c>
      <c r="BJ176" s="3">
        <f>infections!BJ176-infections!BI176</f>
        <v>13</v>
      </c>
      <c r="BK176" s="3">
        <f>infections!BK176-infections!BJ176</f>
        <v>19</v>
      </c>
      <c r="BL176" s="3">
        <f>infections!BL176-infections!BK176</f>
        <v>18</v>
      </c>
      <c r="BM176" s="3">
        <f>infections!BM176-infections!BL176</f>
        <v>30</v>
      </c>
      <c r="BN176" s="3">
        <f>infections!BN176-infections!BM176</f>
        <v>21</v>
      </c>
      <c r="BO176" s="3">
        <f>infections!BO176-infections!BN176</f>
        <v>12</v>
      </c>
      <c r="BP176" s="3">
        <f>infections!BP176-infections!BO176</f>
        <v>29</v>
      </c>
      <c r="BQ176" s="3">
        <f>infections!BQ176-infections!BP176</f>
        <v>24</v>
      </c>
      <c r="BR176" s="3">
        <f>infections!BR176-infections!BQ176</f>
        <v>18</v>
      </c>
      <c r="BS176" s="3">
        <f>infections!BS176-infections!BR176</f>
        <v>22</v>
      </c>
      <c r="BT176" s="3">
        <f>infections!BT176-infections!BS176</f>
        <v>18</v>
      </c>
      <c r="BU176" s="3">
        <f>infections!BU176-infections!BT176</f>
        <v>26</v>
      </c>
      <c r="BV176" s="3">
        <f>infections!BV176-infections!BU176</f>
        <v>44</v>
      </c>
      <c r="BW176" s="3">
        <f>infections!BW176-infections!BV176</f>
        <v>25</v>
      </c>
      <c r="BX176" s="3">
        <f>infections!BX176-infections!BW176</f>
        <v>30</v>
      </c>
      <c r="BY176" s="3">
        <f>infections!BY176-infections!BX176</f>
        <v>46</v>
      </c>
    </row>
    <row r="177">
      <c r="B177" s="1" t="str">
        <f>infections!B177</f>
        <v>Norway</v>
      </c>
      <c r="C177" s="4">
        <f>infections!C177</f>
        <v>60.472</v>
      </c>
      <c r="D177" s="4">
        <f>infections!D177</f>
        <v>8.4689</v>
      </c>
      <c r="E177" s="4">
        <f>infections!E177</f>
        <v>0</v>
      </c>
      <c r="F177" s="3">
        <f>infections!F177-infections!E177</f>
        <v>0</v>
      </c>
      <c r="G177" s="3">
        <f>infections!G177-infections!F177</f>
        <v>0</v>
      </c>
      <c r="H177" s="3">
        <f>infections!H177-infections!G177</f>
        <v>0</v>
      </c>
      <c r="I177" s="3">
        <f>infections!I177-infections!H177</f>
        <v>0</v>
      </c>
      <c r="J177" s="3">
        <f>infections!J177-infections!I177</f>
        <v>0</v>
      </c>
      <c r="K177" s="3">
        <f>infections!K177-infections!J177</f>
        <v>0</v>
      </c>
      <c r="L177" s="3">
        <f>infections!L177-infections!K177</f>
        <v>0</v>
      </c>
      <c r="M177" s="3">
        <f>infections!M177-infections!L177</f>
        <v>0</v>
      </c>
      <c r="N177" s="3">
        <f>infections!N177-infections!M177</f>
        <v>0</v>
      </c>
      <c r="O177" s="3">
        <f>infections!O177-infections!N177</f>
        <v>0</v>
      </c>
      <c r="P177" s="3">
        <f>infections!P177-infections!O177</f>
        <v>0</v>
      </c>
      <c r="Q177" s="3">
        <f>infections!Q177-infections!P177</f>
        <v>0</v>
      </c>
      <c r="R177" s="3">
        <f>infections!R177-infections!Q177</f>
        <v>0</v>
      </c>
      <c r="S177" s="3">
        <f>infections!S177-infections!R177</f>
        <v>0</v>
      </c>
      <c r="T177" s="3">
        <f>infections!T177-infections!S177</f>
        <v>0</v>
      </c>
      <c r="U177" s="3">
        <f>infections!U177-infections!T177</f>
        <v>0</v>
      </c>
      <c r="V177" s="3">
        <f>infections!V177-infections!U177</f>
        <v>0</v>
      </c>
      <c r="W177" s="3">
        <f>infections!W177-infections!V177</f>
        <v>0</v>
      </c>
      <c r="X177" s="3">
        <f>infections!X177-infections!W177</f>
        <v>0</v>
      </c>
      <c r="Y177" s="3">
        <f>infections!Y177-infections!X177</f>
        <v>0</v>
      </c>
      <c r="Z177" s="3">
        <f>infections!Z177-infections!Y177</f>
        <v>0</v>
      </c>
      <c r="AA177" s="3">
        <f>infections!AA177-infections!Z177</f>
        <v>0</v>
      </c>
      <c r="AB177" s="3">
        <f>infections!AB177-infections!AA177</f>
        <v>0</v>
      </c>
      <c r="AC177" s="3">
        <f>infections!AC177-infections!AB177</f>
        <v>0</v>
      </c>
      <c r="AD177" s="3">
        <f>infections!AD177-infections!AC177</f>
        <v>0</v>
      </c>
      <c r="AE177" s="3">
        <f>infections!AE177-infections!AD177</f>
        <v>0</v>
      </c>
      <c r="AF177" s="3">
        <f>infections!AF177-infections!AE177</f>
        <v>0</v>
      </c>
      <c r="AG177" s="3">
        <f>infections!AG177-infections!AF177</f>
        <v>0</v>
      </c>
      <c r="AH177" s="3">
        <f>infections!AH177-infections!AG177</f>
        <v>0</v>
      </c>
      <c r="AI177" s="3">
        <f>infections!AI177-infections!AH177</f>
        <v>0</v>
      </c>
      <c r="AJ177" s="3">
        <f>infections!AJ177-infections!AI177</f>
        <v>0</v>
      </c>
      <c r="AK177" s="3">
        <f>infections!AK177-infections!AJ177</f>
        <v>0</v>
      </c>
      <c r="AL177" s="3">
        <f>infections!AL177-infections!AK177</f>
        <v>0</v>
      </c>
      <c r="AM177" s="3">
        <f>infections!AM177-infections!AL177</f>
        <v>0</v>
      </c>
      <c r="AN177" s="3">
        <f>infections!AN177-infections!AM177</f>
        <v>1</v>
      </c>
      <c r="AO177" s="3">
        <f>infections!AO177-infections!AN177</f>
        <v>0</v>
      </c>
      <c r="AP177" s="3">
        <f>infections!AP177-infections!AO177</f>
        <v>5</v>
      </c>
      <c r="AQ177" s="3">
        <f>infections!AQ177-infections!AP177</f>
        <v>9</v>
      </c>
      <c r="AR177" s="3">
        <f>infections!AR177-infections!AQ177</f>
        <v>4</v>
      </c>
      <c r="AS177" s="3">
        <f>infections!AS177-infections!AR177</f>
        <v>6</v>
      </c>
      <c r="AT177" s="3">
        <f>infections!AT177-infections!AS177</f>
        <v>7</v>
      </c>
      <c r="AU177" s="3">
        <f>infections!AU177-infections!AT177</f>
        <v>24</v>
      </c>
      <c r="AV177" s="3">
        <f>infections!AV177-infections!AU177</f>
        <v>31</v>
      </c>
      <c r="AW177" s="3">
        <f>infections!AW177-infections!AV177</f>
        <v>21</v>
      </c>
      <c r="AX177" s="3">
        <f>infections!AX177-infections!AW177</f>
        <v>39</v>
      </c>
      <c r="AY177" s="3">
        <f>infections!AY177-infections!AX177</f>
        <v>29</v>
      </c>
      <c r="AZ177" s="3">
        <f>infections!AZ177-infections!AY177</f>
        <v>29</v>
      </c>
      <c r="BA177" s="3">
        <f>infections!BA177-infections!AZ177</f>
        <v>195</v>
      </c>
      <c r="BB177" s="3">
        <f>infections!BB177-infections!BA177</f>
        <v>198</v>
      </c>
      <c r="BC177" s="3">
        <f>infections!BC177-infections!BB177</f>
        <v>104</v>
      </c>
      <c r="BD177" s="3">
        <f>infections!BD177-infections!BC177</f>
        <v>294</v>
      </c>
      <c r="BE177" s="3">
        <f>infections!BE177-infections!BD177</f>
        <v>94</v>
      </c>
      <c r="BF177" s="3">
        <f>infections!BF177-infections!BE177</f>
        <v>131</v>
      </c>
      <c r="BG177" s="3">
        <f>infections!BG177-infections!BF177</f>
        <v>112</v>
      </c>
      <c r="BH177" s="3">
        <f>infections!BH177-infections!BG177</f>
        <v>130</v>
      </c>
      <c r="BI177" s="3">
        <f>infections!BI177-infections!BH177</f>
        <v>87</v>
      </c>
      <c r="BJ177" s="3">
        <f>infections!BJ177-infections!BI177</f>
        <v>196</v>
      </c>
      <c r="BK177" s="3">
        <f>infections!BK177-infections!BJ177</f>
        <v>168</v>
      </c>
      <c r="BL177" s="3">
        <f>infections!BL177-infections!BK177</f>
        <v>204</v>
      </c>
      <c r="BM177" s="3">
        <f>infections!BM177-infections!BL177</f>
        <v>267</v>
      </c>
      <c r="BN177" s="3">
        <f>infections!BN177-infections!BM177</f>
        <v>236</v>
      </c>
      <c r="BO177" s="3">
        <f>infections!BO177-infections!BN177</f>
        <v>242</v>
      </c>
      <c r="BP177" s="3">
        <f>infections!BP177-infections!BO177</f>
        <v>221</v>
      </c>
      <c r="BQ177" s="3">
        <f>infections!BQ177-infections!BP177</f>
        <v>285</v>
      </c>
      <c r="BR177" s="3">
        <f>infections!BR177-infections!BQ177</f>
        <v>386</v>
      </c>
      <c r="BS177" s="3">
        <f>infections!BS177-infections!BR177</f>
        <v>260</v>
      </c>
      <c r="BT177" s="3">
        <f>infections!BT177-infections!BS177</f>
        <v>269</v>
      </c>
      <c r="BU177" s="3">
        <f>infections!BU177-infections!BT177</f>
        <v>161</v>
      </c>
      <c r="BV177" s="3">
        <f>infections!BV177-infections!BU177</f>
        <v>196</v>
      </c>
      <c r="BW177" s="3">
        <f>infections!BW177-infections!BV177</f>
        <v>222</v>
      </c>
      <c r="BX177" s="3">
        <f>infections!BX177-infections!BW177</f>
        <v>284</v>
      </c>
      <c r="BY177" s="3">
        <f>infections!BY177-infections!BX177</f>
        <v>223</v>
      </c>
    </row>
    <row r="178">
      <c r="B178" s="1" t="str">
        <f>infections!B178</f>
        <v>Oman</v>
      </c>
      <c r="C178" s="4">
        <f>infections!C178</f>
        <v>21</v>
      </c>
      <c r="D178" s="4">
        <f>infections!D178</f>
        <v>57</v>
      </c>
      <c r="E178" s="4">
        <f>infections!E178</f>
        <v>0</v>
      </c>
      <c r="F178" s="3">
        <f>infections!F178-infections!E178</f>
        <v>0</v>
      </c>
      <c r="G178" s="3">
        <f>infections!G178-infections!F178</f>
        <v>0</v>
      </c>
      <c r="H178" s="3">
        <f>infections!H178-infections!G178</f>
        <v>0</v>
      </c>
      <c r="I178" s="3">
        <f>infections!I178-infections!H178</f>
        <v>0</v>
      </c>
      <c r="J178" s="3">
        <f>infections!J178-infections!I178</f>
        <v>0</v>
      </c>
      <c r="K178" s="3">
        <f>infections!K178-infections!J178</f>
        <v>0</v>
      </c>
      <c r="L178" s="3">
        <f>infections!L178-infections!K178</f>
        <v>0</v>
      </c>
      <c r="M178" s="3">
        <f>infections!M178-infections!L178</f>
        <v>0</v>
      </c>
      <c r="N178" s="3">
        <f>infections!N178-infections!M178</f>
        <v>0</v>
      </c>
      <c r="O178" s="3">
        <f>infections!O178-infections!N178</f>
        <v>0</v>
      </c>
      <c r="P178" s="3">
        <f>infections!P178-infections!O178</f>
        <v>0</v>
      </c>
      <c r="Q178" s="3">
        <f>infections!Q178-infections!P178</f>
        <v>0</v>
      </c>
      <c r="R178" s="3">
        <f>infections!R178-infections!Q178</f>
        <v>0</v>
      </c>
      <c r="S178" s="3">
        <f>infections!S178-infections!R178</f>
        <v>0</v>
      </c>
      <c r="T178" s="3">
        <f>infections!T178-infections!S178</f>
        <v>0</v>
      </c>
      <c r="U178" s="3">
        <f>infections!U178-infections!T178</f>
        <v>0</v>
      </c>
      <c r="V178" s="3">
        <f>infections!V178-infections!U178</f>
        <v>0</v>
      </c>
      <c r="W178" s="3">
        <f>infections!W178-infections!V178</f>
        <v>0</v>
      </c>
      <c r="X178" s="3">
        <f>infections!X178-infections!W178</f>
        <v>0</v>
      </c>
      <c r="Y178" s="3">
        <f>infections!Y178-infections!X178</f>
        <v>0</v>
      </c>
      <c r="Z178" s="3">
        <f>infections!Z178-infections!Y178</f>
        <v>0</v>
      </c>
      <c r="AA178" s="3">
        <f>infections!AA178-infections!Z178</f>
        <v>0</v>
      </c>
      <c r="AB178" s="3">
        <f>infections!AB178-infections!AA178</f>
        <v>0</v>
      </c>
      <c r="AC178" s="3">
        <f>infections!AC178-infections!AB178</f>
        <v>0</v>
      </c>
      <c r="AD178" s="3">
        <f>infections!AD178-infections!AC178</f>
        <v>0</v>
      </c>
      <c r="AE178" s="3">
        <f>infections!AE178-infections!AD178</f>
        <v>0</v>
      </c>
      <c r="AF178" s="3">
        <f>infections!AF178-infections!AE178</f>
        <v>0</v>
      </c>
      <c r="AG178" s="3">
        <f>infections!AG178-infections!AF178</f>
        <v>0</v>
      </c>
      <c r="AH178" s="3">
        <f>infections!AH178-infections!AG178</f>
        <v>0</v>
      </c>
      <c r="AI178" s="3">
        <f>infections!AI178-infections!AH178</f>
        <v>0</v>
      </c>
      <c r="AJ178" s="3">
        <f>infections!AJ178-infections!AI178</f>
        <v>0</v>
      </c>
      <c r="AK178" s="3">
        <f>infections!AK178-infections!AJ178</f>
        <v>0</v>
      </c>
      <c r="AL178" s="3">
        <f>infections!AL178-infections!AK178</f>
        <v>2</v>
      </c>
      <c r="AM178" s="3">
        <f>infections!AM178-infections!AL178</f>
        <v>0</v>
      </c>
      <c r="AN178" s="3">
        <f>infections!AN178-infections!AM178</f>
        <v>2</v>
      </c>
      <c r="AO178" s="3">
        <f>infections!AO178-infections!AN178</f>
        <v>0</v>
      </c>
      <c r="AP178" s="3">
        <f>infections!AP178-infections!AO178</f>
        <v>0</v>
      </c>
      <c r="AQ178" s="3">
        <f>infections!AQ178-infections!AP178</f>
        <v>2</v>
      </c>
      <c r="AR178" s="3">
        <f>infections!AR178-infections!AQ178</f>
        <v>0</v>
      </c>
      <c r="AS178" s="3">
        <f>infections!AS178-infections!AR178</f>
        <v>0</v>
      </c>
      <c r="AT178" s="3">
        <f>infections!AT178-infections!AS178</f>
        <v>6</v>
      </c>
      <c r="AU178" s="3">
        <f>infections!AU178-infections!AT178</f>
        <v>3</v>
      </c>
      <c r="AV178" s="3">
        <f>infections!AV178-infections!AU178</f>
        <v>1</v>
      </c>
      <c r="AW178" s="3">
        <f>infections!AW178-infections!AV178</f>
        <v>0</v>
      </c>
      <c r="AX178" s="3">
        <f>infections!AX178-infections!AW178</f>
        <v>0</v>
      </c>
      <c r="AY178" s="3">
        <f>infections!AY178-infections!AX178</f>
        <v>0</v>
      </c>
      <c r="AZ178" s="3">
        <f>infections!AZ178-infections!AY178</f>
        <v>0</v>
      </c>
      <c r="BA178" s="3">
        <f>infections!BA178-infections!AZ178</f>
        <v>2</v>
      </c>
      <c r="BB178" s="3">
        <f>infections!BB178-infections!BA178</f>
        <v>0</v>
      </c>
      <c r="BC178" s="3">
        <f>infections!BC178-infections!BB178</f>
        <v>0</v>
      </c>
      <c r="BD178" s="3">
        <f>infections!BD178-infections!BC178</f>
        <v>1</v>
      </c>
      <c r="BE178" s="3">
        <f>infections!BE178-infections!BD178</f>
        <v>0</v>
      </c>
      <c r="BF178" s="3">
        <f>infections!BF178-infections!BE178</f>
        <v>3</v>
      </c>
      <c r="BG178" s="3">
        <f>infections!BG178-infections!BF178</f>
        <v>0</v>
      </c>
      <c r="BH178" s="3">
        <f>infections!BH178-infections!BG178</f>
        <v>2</v>
      </c>
      <c r="BI178" s="3">
        <f>infections!BI178-infections!BH178</f>
        <v>15</v>
      </c>
      <c r="BJ178" s="3">
        <f>infections!BJ178-infections!BI178</f>
        <v>9</v>
      </c>
      <c r="BK178" s="3">
        <f>infections!BK178-infections!BJ178</f>
        <v>0</v>
      </c>
      <c r="BL178" s="3">
        <f>infections!BL178-infections!BK178</f>
        <v>4</v>
      </c>
      <c r="BM178" s="3">
        <f>infections!BM178-infections!BL178</f>
        <v>3</v>
      </c>
      <c r="BN178" s="3">
        <f>infections!BN178-infections!BM178</f>
        <v>11</v>
      </c>
      <c r="BO178" s="3">
        <f>infections!BO178-infections!BN178</f>
        <v>18</v>
      </c>
      <c r="BP178" s="3">
        <f>infections!BP178-infections!BO178</f>
        <v>15</v>
      </c>
      <c r="BQ178" s="3">
        <f>infections!BQ178-infections!BP178</f>
        <v>10</v>
      </c>
      <c r="BR178" s="3">
        <f>infections!BR178-infections!BQ178</f>
        <v>22</v>
      </c>
      <c r="BS178" s="3">
        <f>infections!BS178-infections!BR178</f>
        <v>21</v>
      </c>
      <c r="BT178" s="3">
        <f>infections!BT178-infections!BS178</f>
        <v>15</v>
      </c>
      <c r="BU178" s="3">
        <f>infections!BU178-infections!BT178</f>
        <v>12</v>
      </c>
      <c r="BV178" s="3">
        <f>infections!BV178-infections!BU178</f>
        <v>13</v>
      </c>
      <c r="BW178" s="3">
        <f>infections!BW178-infections!BV178</f>
        <v>18</v>
      </c>
      <c r="BX178" s="3">
        <f>infections!BX178-infections!BW178</f>
        <v>21</v>
      </c>
      <c r="BY178" s="3">
        <f>infections!BY178-infections!BX178</f>
        <v>21</v>
      </c>
    </row>
    <row r="179">
      <c r="B179" s="1" t="str">
        <f>infections!B179</f>
        <v>Pakistan</v>
      </c>
      <c r="C179" s="4">
        <f>infections!C179</f>
        <v>30.3753</v>
      </c>
      <c r="D179" s="4">
        <f>infections!D179</f>
        <v>69.3451</v>
      </c>
      <c r="E179" s="4">
        <f>infections!E179</f>
        <v>0</v>
      </c>
      <c r="F179" s="3">
        <f>infections!F179-infections!E179</f>
        <v>0</v>
      </c>
      <c r="G179" s="3">
        <f>infections!G179-infections!F179</f>
        <v>0</v>
      </c>
      <c r="H179" s="3">
        <f>infections!H179-infections!G179</f>
        <v>0</v>
      </c>
      <c r="I179" s="3">
        <f>infections!I179-infections!H179</f>
        <v>0</v>
      </c>
      <c r="J179" s="3">
        <f>infections!J179-infections!I179</f>
        <v>0</v>
      </c>
      <c r="K179" s="3">
        <f>infections!K179-infections!J179</f>
        <v>0</v>
      </c>
      <c r="L179" s="3">
        <f>infections!L179-infections!K179</f>
        <v>0</v>
      </c>
      <c r="M179" s="3">
        <f>infections!M179-infections!L179</f>
        <v>0</v>
      </c>
      <c r="N179" s="3">
        <f>infections!N179-infections!M179</f>
        <v>0</v>
      </c>
      <c r="O179" s="3">
        <f>infections!O179-infections!N179</f>
        <v>0</v>
      </c>
      <c r="P179" s="3">
        <f>infections!P179-infections!O179</f>
        <v>0</v>
      </c>
      <c r="Q179" s="3">
        <f>infections!Q179-infections!P179</f>
        <v>0</v>
      </c>
      <c r="R179" s="3">
        <f>infections!R179-infections!Q179</f>
        <v>0</v>
      </c>
      <c r="S179" s="3">
        <f>infections!S179-infections!R179</f>
        <v>0</v>
      </c>
      <c r="T179" s="3">
        <f>infections!T179-infections!S179</f>
        <v>0</v>
      </c>
      <c r="U179" s="3">
        <f>infections!U179-infections!T179</f>
        <v>0</v>
      </c>
      <c r="V179" s="3">
        <f>infections!V179-infections!U179</f>
        <v>0</v>
      </c>
      <c r="W179" s="3">
        <f>infections!W179-infections!V179</f>
        <v>0</v>
      </c>
      <c r="X179" s="3">
        <f>infections!X179-infections!W179</f>
        <v>0</v>
      </c>
      <c r="Y179" s="3">
        <f>infections!Y179-infections!X179</f>
        <v>0</v>
      </c>
      <c r="Z179" s="3">
        <f>infections!Z179-infections!Y179</f>
        <v>0</v>
      </c>
      <c r="AA179" s="3">
        <f>infections!AA179-infections!Z179</f>
        <v>0</v>
      </c>
      <c r="AB179" s="3">
        <f>infections!AB179-infections!AA179</f>
        <v>0</v>
      </c>
      <c r="AC179" s="3">
        <f>infections!AC179-infections!AB179</f>
        <v>0</v>
      </c>
      <c r="AD179" s="3">
        <f>infections!AD179-infections!AC179</f>
        <v>0</v>
      </c>
      <c r="AE179" s="3">
        <f>infections!AE179-infections!AD179</f>
        <v>0</v>
      </c>
      <c r="AF179" s="3">
        <f>infections!AF179-infections!AE179</f>
        <v>0</v>
      </c>
      <c r="AG179" s="3">
        <f>infections!AG179-infections!AF179</f>
        <v>0</v>
      </c>
      <c r="AH179" s="3">
        <f>infections!AH179-infections!AG179</f>
        <v>0</v>
      </c>
      <c r="AI179" s="3">
        <f>infections!AI179-infections!AH179</f>
        <v>0</v>
      </c>
      <c r="AJ179" s="3">
        <f>infections!AJ179-infections!AI179</f>
        <v>0</v>
      </c>
      <c r="AK179" s="3">
        <f>infections!AK179-infections!AJ179</f>
        <v>0</v>
      </c>
      <c r="AL179" s="3">
        <f>infections!AL179-infections!AK179</f>
        <v>0</v>
      </c>
      <c r="AM179" s="3">
        <f>infections!AM179-infections!AL179</f>
        <v>0</v>
      </c>
      <c r="AN179" s="3">
        <f>infections!AN179-infections!AM179</f>
        <v>2</v>
      </c>
      <c r="AO179" s="3">
        <f>infections!AO179-infections!AN179</f>
        <v>0</v>
      </c>
      <c r="AP179" s="3">
        <f>infections!AP179-infections!AO179</f>
        <v>0</v>
      </c>
      <c r="AQ179" s="3">
        <f>infections!AQ179-infections!AP179</f>
        <v>2</v>
      </c>
      <c r="AR179" s="3">
        <f>infections!AR179-infections!AQ179</f>
        <v>0</v>
      </c>
      <c r="AS179" s="3">
        <f>infections!AS179-infections!AR179</f>
        <v>0</v>
      </c>
      <c r="AT179" s="3">
        <f>infections!AT179-infections!AS179</f>
        <v>1</v>
      </c>
      <c r="AU179" s="3">
        <f>infections!AU179-infections!AT179</f>
        <v>0</v>
      </c>
      <c r="AV179" s="3">
        <f>infections!AV179-infections!AU179</f>
        <v>0</v>
      </c>
      <c r="AW179" s="3">
        <f>infections!AW179-infections!AV179</f>
        <v>1</v>
      </c>
      <c r="AX179" s="3">
        <f>infections!AX179-infections!AW179</f>
        <v>0</v>
      </c>
      <c r="AY179" s="3">
        <f>infections!AY179-infections!AX179</f>
        <v>0</v>
      </c>
      <c r="AZ179" s="3">
        <f>infections!AZ179-infections!AY179</f>
        <v>0</v>
      </c>
      <c r="BA179" s="3">
        <f>infections!BA179-infections!AZ179</f>
        <v>10</v>
      </c>
      <c r="BB179" s="3">
        <f>infections!BB179-infections!BA179</f>
        <v>3</v>
      </c>
      <c r="BC179" s="3">
        <f>infections!BC179-infections!BB179</f>
        <v>1</v>
      </c>
      <c r="BD179" s="3">
        <f>infections!BD179-infections!BC179</f>
        <v>8</v>
      </c>
      <c r="BE179" s="3">
        <f>infections!BE179-infections!BD179</f>
        <v>3</v>
      </c>
      <c r="BF179" s="3">
        <f>infections!BF179-infections!BE179</f>
        <v>22</v>
      </c>
      <c r="BG179" s="3">
        <f>infections!BG179-infections!BF179</f>
        <v>83</v>
      </c>
      <c r="BH179" s="3">
        <f>infections!BH179-infections!BG179</f>
        <v>100</v>
      </c>
      <c r="BI179" s="3">
        <f>infections!BI179-infections!BH179</f>
        <v>63</v>
      </c>
      <c r="BJ179" s="3">
        <f>infections!BJ179-infections!BI179</f>
        <v>155</v>
      </c>
      <c r="BK179" s="3">
        <f>infections!BK179-infections!BJ179</f>
        <v>47</v>
      </c>
      <c r="BL179" s="3">
        <f>infections!BL179-infections!BK179</f>
        <v>229</v>
      </c>
      <c r="BM179" s="3">
        <f>infections!BM179-infections!BL179</f>
        <v>46</v>
      </c>
      <c r="BN179" s="3">
        <f>infections!BN179-infections!BM179</f>
        <v>99</v>
      </c>
      <c r="BO179" s="3">
        <f>infections!BO179-infections!BN179</f>
        <v>97</v>
      </c>
      <c r="BP179" s="3">
        <f>infections!BP179-infections!BO179</f>
        <v>91</v>
      </c>
      <c r="BQ179" s="3">
        <f>infections!BQ179-infections!BP179</f>
        <v>138</v>
      </c>
      <c r="BR179" s="3">
        <f>infections!BR179-infections!BQ179</f>
        <v>172</v>
      </c>
      <c r="BS179" s="3">
        <f>infections!BS179-infections!BR179</f>
        <v>122</v>
      </c>
      <c r="BT179" s="3">
        <f>infections!BT179-infections!BS179</f>
        <v>102</v>
      </c>
      <c r="BU179" s="3">
        <f>infections!BU179-infections!BT179</f>
        <v>120</v>
      </c>
      <c r="BV179" s="3">
        <f>infections!BV179-infections!BU179</f>
        <v>221</v>
      </c>
      <c r="BW179" s="3">
        <f>infections!BW179-infections!BV179</f>
        <v>180</v>
      </c>
      <c r="BX179" s="3">
        <f>infections!BX179-infections!BW179</f>
        <v>303</v>
      </c>
      <c r="BY179" s="3">
        <f>infections!BY179-infections!BX179</f>
        <v>265</v>
      </c>
    </row>
    <row r="180">
      <c r="B180" s="1" t="str">
        <f>infections!B180</f>
        <v>Panama</v>
      </c>
      <c r="C180" s="4">
        <f>infections!C180</f>
        <v>8.538</v>
      </c>
      <c r="D180" s="4">
        <f>infections!D180</f>
        <v>-80.7821</v>
      </c>
      <c r="E180" s="4">
        <f>infections!E180</f>
        <v>0</v>
      </c>
      <c r="F180" s="3">
        <f>infections!F180-infections!E180</f>
        <v>0</v>
      </c>
      <c r="G180" s="3">
        <f>infections!G180-infections!F180</f>
        <v>0</v>
      </c>
      <c r="H180" s="3">
        <f>infections!H180-infections!G180</f>
        <v>0</v>
      </c>
      <c r="I180" s="3">
        <f>infections!I180-infections!H180</f>
        <v>0</v>
      </c>
      <c r="J180" s="3">
        <f>infections!J180-infections!I180</f>
        <v>0</v>
      </c>
      <c r="K180" s="3">
        <f>infections!K180-infections!J180</f>
        <v>0</v>
      </c>
      <c r="L180" s="3">
        <f>infections!L180-infections!K180</f>
        <v>0</v>
      </c>
      <c r="M180" s="3">
        <f>infections!M180-infections!L180</f>
        <v>0</v>
      </c>
      <c r="N180" s="3">
        <f>infections!N180-infections!M180</f>
        <v>0</v>
      </c>
      <c r="O180" s="3">
        <f>infections!O180-infections!N180</f>
        <v>0</v>
      </c>
      <c r="P180" s="3">
        <f>infections!P180-infections!O180</f>
        <v>0</v>
      </c>
      <c r="Q180" s="3">
        <f>infections!Q180-infections!P180</f>
        <v>0</v>
      </c>
      <c r="R180" s="3">
        <f>infections!R180-infections!Q180</f>
        <v>0</v>
      </c>
      <c r="S180" s="3">
        <f>infections!S180-infections!R180</f>
        <v>0</v>
      </c>
      <c r="T180" s="3">
        <f>infections!T180-infections!S180</f>
        <v>0</v>
      </c>
      <c r="U180" s="3">
        <f>infections!U180-infections!T180</f>
        <v>0</v>
      </c>
      <c r="V180" s="3">
        <f>infections!V180-infections!U180</f>
        <v>0</v>
      </c>
      <c r="W180" s="3">
        <f>infections!W180-infections!V180</f>
        <v>0</v>
      </c>
      <c r="X180" s="3">
        <f>infections!X180-infections!W180</f>
        <v>0</v>
      </c>
      <c r="Y180" s="3">
        <f>infections!Y180-infections!X180</f>
        <v>0</v>
      </c>
      <c r="Z180" s="3">
        <f>infections!Z180-infections!Y180</f>
        <v>0</v>
      </c>
      <c r="AA180" s="3">
        <f>infections!AA180-infections!Z180</f>
        <v>0</v>
      </c>
      <c r="AB180" s="3">
        <f>infections!AB180-infections!AA180</f>
        <v>0</v>
      </c>
      <c r="AC180" s="3">
        <f>infections!AC180-infections!AB180</f>
        <v>0</v>
      </c>
      <c r="AD180" s="3">
        <f>infections!AD180-infections!AC180</f>
        <v>0</v>
      </c>
      <c r="AE180" s="3">
        <f>infections!AE180-infections!AD180</f>
        <v>0</v>
      </c>
      <c r="AF180" s="3">
        <f>infections!AF180-infections!AE180</f>
        <v>0</v>
      </c>
      <c r="AG180" s="3">
        <f>infections!AG180-infections!AF180</f>
        <v>0</v>
      </c>
      <c r="AH180" s="3">
        <f>infections!AH180-infections!AG180</f>
        <v>0</v>
      </c>
      <c r="AI180" s="3">
        <f>infections!AI180-infections!AH180</f>
        <v>0</v>
      </c>
      <c r="AJ180" s="3">
        <f>infections!AJ180-infections!AI180</f>
        <v>0</v>
      </c>
      <c r="AK180" s="3">
        <f>infections!AK180-infections!AJ180</f>
        <v>0</v>
      </c>
      <c r="AL180" s="3">
        <f>infections!AL180-infections!AK180</f>
        <v>0</v>
      </c>
      <c r="AM180" s="3">
        <f>infections!AM180-infections!AL180</f>
        <v>0</v>
      </c>
      <c r="AN180" s="3">
        <f>infections!AN180-infections!AM180</f>
        <v>0</v>
      </c>
      <c r="AO180" s="3">
        <f>infections!AO180-infections!AN180</f>
        <v>0</v>
      </c>
      <c r="AP180" s="3">
        <f>infections!AP180-infections!AO180</f>
        <v>0</v>
      </c>
      <c r="AQ180" s="3">
        <f>infections!AQ180-infections!AP180</f>
        <v>0</v>
      </c>
      <c r="AR180" s="3">
        <f>infections!AR180-infections!AQ180</f>
        <v>0</v>
      </c>
      <c r="AS180" s="3">
        <f>infections!AS180-infections!AR180</f>
        <v>0</v>
      </c>
      <c r="AT180" s="3">
        <f>infections!AT180-infections!AS180</f>
        <v>0</v>
      </c>
      <c r="AU180" s="3">
        <f>infections!AU180-infections!AT180</f>
        <v>0</v>
      </c>
      <c r="AV180" s="3">
        <f>infections!AV180-infections!AU180</f>
        <v>0</v>
      </c>
      <c r="AW180" s="3">
        <f>infections!AW180-infections!AV180</f>
        <v>0</v>
      </c>
      <c r="AX180" s="3">
        <f>infections!AX180-infections!AW180</f>
        <v>0</v>
      </c>
      <c r="AY180" s="3">
        <f>infections!AY180-infections!AX180</f>
        <v>0</v>
      </c>
      <c r="AZ180" s="3">
        <f>infections!AZ180-infections!AY180</f>
        <v>0</v>
      </c>
      <c r="BA180" s="3">
        <f>infections!BA180-infections!AZ180</f>
        <v>1</v>
      </c>
      <c r="BB180" s="3">
        <f>infections!BB180-infections!BA180</f>
        <v>7</v>
      </c>
      <c r="BC180" s="3">
        <f>infections!BC180-infections!BB180</f>
        <v>3</v>
      </c>
      <c r="BD180" s="3">
        <f>infections!BD180-infections!BC180</f>
        <v>16</v>
      </c>
      <c r="BE180" s="3">
        <f>infections!BE180-infections!BD180</f>
        <v>9</v>
      </c>
      <c r="BF180" s="3">
        <f>infections!BF180-infections!BE180</f>
        <v>7</v>
      </c>
      <c r="BG180" s="3">
        <f>infections!BG180-infections!BF180</f>
        <v>12</v>
      </c>
      <c r="BH180" s="3">
        <f>infections!BH180-infections!BG180</f>
        <v>14</v>
      </c>
      <c r="BI180" s="3">
        <f>infections!BI180-infections!BH180</f>
        <v>17</v>
      </c>
      <c r="BJ180" s="3">
        <f>infections!BJ180-infections!BI180</f>
        <v>23</v>
      </c>
      <c r="BK180" s="3">
        <f>infections!BK180-infections!BJ180</f>
        <v>28</v>
      </c>
      <c r="BL180" s="3">
        <f>infections!BL180-infections!BK180</f>
        <v>63</v>
      </c>
      <c r="BM180" s="3">
        <f>infections!BM180-infections!BL180</f>
        <v>113</v>
      </c>
      <c r="BN180" s="3">
        <f>infections!BN180-infections!BM180</f>
        <v>32</v>
      </c>
      <c r="BO180" s="3">
        <f>infections!BO180-infections!BN180</f>
        <v>0</v>
      </c>
      <c r="BP180" s="3">
        <f>infections!BP180-infections!BO180</f>
        <v>98</v>
      </c>
      <c r="BQ180" s="3">
        <f>infections!BQ180-infections!BP180</f>
        <v>115</v>
      </c>
      <c r="BR180" s="3">
        <f>infections!BR180-infections!BQ180</f>
        <v>116</v>
      </c>
      <c r="BS180" s="3">
        <f>infections!BS180-infections!BR180</f>
        <v>112</v>
      </c>
      <c r="BT180" s="3">
        <f>infections!BT180-infections!BS180</f>
        <v>115</v>
      </c>
      <c r="BU180" s="3">
        <f>infections!BU180-infections!BT180</f>
        <v>88</v>
      </c>
      <c r="BV180" s="3">
        <f>infections!BV180-infections!BU180</f>
        <v>192</v>
      </c>
      <c r="BW180" s="3">
        <f>infections!BW180-infections!BV180</f>
        <v>0</v>
      </c>
      <c r="BX180" s="3">
        <f>infections!BX180-infections!BW180</f>
        <v>136</v>
      </c>
      <c r="BY180" s="3">
        <f>infections!BY180-infections!BX180</f>
        <v>158</v>
      </c>
    </row>
    <row r="181">
      <c r="B181" s="1" t="str">
        <f>infections!B181</f>
        <v>Papua New Guinea</v>
      </c>
      <c r="C181" s="4">
        <f>infections!C181</f>
        <v>-6.315</v>
      </c>
      <c r="D181" s="4">
        <f>infections!D181</f>
        <v>143.9555</v>
      </c>
      <c r="E181" s="4">
        <f>infections!E181</f>
        <v>0</v>
      </c>
      <c r="F181" s="3">
        <f>infections!F181-infections!E181</f>
        <v>0</v>
      </c>
      <c r="G181" s="3">
        <f>infections!G181-infections!F181</f>
        <v>0</v>
      </c>
      <c r="H181" s="3">
        <f>infections!H181-infections!G181</f>
        <v>0</v>
      </c>
      <c r="I181" s="3">
        <f>infections!I181-infections!H181</f>
        <v>0</v>
      </c>
      <c r="J181" s="3">
        <f>infections!J181-infections!I181</f>
        <v>0</v>
      </c>
      <c r="K181" s="3">
        <f>infections!K181-infections!J181</f>
        <v>0</v>
      </c>
      <c r="L181" s="3">
        <f>infections!L181-infections!K181</f>
        <v>0</v>
      </c>
      <c r="M181" s="3">
        <f>infections!M181-infections!L181</f>
        <v>0</v>
      </c>
      <c r="N181" s="3">
        <f>infections!N181-infections!M181</f>
        <v>0</v>
      </c>
      <c r="O181" s="3">
        <f>infections!O181-infections!N181</f>
        <v>0</v>
      </c>
      <c r="P181" s="3">
        <f>infections!P181-infections!O181</f>
        <v>0</v>
      </c>
      <c r="Q181" s="3">
        <f>infections!Q181-infections!P181</f>
        <v>0</v>
      </c>
      <c r="R181" s="3">
        <f>infections!R181-infections!Q181</f>
        <v>0</v>
      </c>
      <c r="S181" s="3">
        <f>infections!S181-infections!R181</f>
        <v>0</v>
      </c>
      <c r="T181" s="3">
        <f>infections!T181-infections!S181</f>
        <v>0</v>
      </c>
      <c r="U181" s="3">
        <f>infections!U181-infections!T181</f>
        <v>0</v>
      </c>
      <c r="V181" s="3">
        <f>infections!V181-infections!U181</f>
        <v>0</v>
      </c>
      <c r="W181" s="3">
        <f>infections!W181-infections!V181</f>
        <v>0</v>
      </c>
      <c r="X181" s="3">
        <f>infections!X181-infections!W181</f>
        <v>0</v>
      </c>
      <c r="Y181" s="3">
        <f>infections!Y181-infections!X181</f>
        <v>0</v>
      </c>
      <c r="Z181" s="3">
        <f>infections!Z181-infections!Y181</f>
        <v>0</v>
      </c>
      <c r="AA181" s="3">
        <f>infections!AA181-infections!Z181</f>
        <v>0</v>
      </c>
      <c r="AB181" s="3">
        <f>infections!AB181-infections!AA181</f>
        <v>0</v>
      </c>
      <c r="AC181" s="3">
        <f>infections!AC181-infections!AB181</f>
        <v>0</v>
      </c>
      <c r="AD181" s="3">
        <f>infections!AD181-infections!AC181</f>
        <v>0</v>
      </c>
      <c r="AE181" s="3">
        <f>infections!AE181-infections!AD181</f>
        <v>0</v>
      </c>
      <c r="AF181" s="3">
        <f>infections!AF181-infections!AE181</f>
        <v>0</v>
      </c>
      <c r="AG181" s="3">
        <f>infections!AG181-infections!AF181</f>
        <v>0</v>
      </c>
      <c r="AH181" s="3">
        <f>infections!AH181-infections!AG181</f>
        <v>0</v>
      </c>
      <c r="AI181" s="3">
        <f>infections!AI181-infections!AH181</f>
        <v>0</v>
      </c>
      <c r="AJ181" s="3">
        <f>infections!AJ181-infections!AI181</f>
        <v>0</v>
      </c>
      <c r="AK181" s="3">
        <f>infections!AK181-infections!AJ181</f>
        <v>0</v>
      </c>
      <c r="AL181" s="3">
        <f>infections!AL181-infections!AK181</f>
        <v>0</v>
      </c>
      <c r="AM181" s="3">
        <f>infections!AM181-infections!AL181</f>
        <v>0</v>
      </c>
      <c r="AN181" s="3">
        <f>infections!AN181-infections!AM181</f>
        <v>0</v>
      </c>
      <c r="AO181" s="3">
        <f>infections!AO181-infections!AN181</f>
        <v>0</v>
      </c>
      <c r="AP181" s="3">
        <f>infections!AP181-infections!AO181</f>
        <v>0</v>
      </c>
      <c r="AQ181" s="3">
        <f>infections!AQ181-infections!AP181</f>
        <v>0</v>
      </c>
      <c r="AR181" s="3">
        <f>infections!AR181-infections!AQ181</f>
        <v>0</v>
      </c>
      <c r="AS181" s="3">
        <f>infections!AS181-infections!AR181</f>
        <v>0</v>
      </c>
      <c r="AT181" s="3">
        <f>infections!AT181-infections!AS181</f>
        <v>0</v>
      </c>
      <c r="AU181" s="3">
        <f>infections!AU181-infections!AT181</f>
        <v>0</v>
      </c>
      <c r="AV181" s="3">
        <f>infections!AV181-infections!AU181</f>
        <v>0</v>
      </c>
      <c r="AW181" s="3">
        <f>infections!AW181-infections!AV181</f>
        <v>0</v>
      </c>
      <c r="AX181" s="3">
        <f>infections!AX181-infections!AW181</f>
        <v>0</v>
      </c>
      <c r="AY181" s="3">
        <f>infections!AY181-infections!AX181</f>
        <v>0</v>
      </c>
      <c r="AZ181" s="3">
        <f>infections!AZ181-infections!AY181</f>
        <v>0</v>
      </c>
      <c r="BA181" s="3">
        <f>infections!BA181-infections!AZ181</f>
        <v>0</v>
      </c>
      <c r="BB181" s="3">
        <f>infections!BB181-infections!BA181</f>
        <v>0</v>
      </c>
      <c r="BC181" s="3">
        <f>infections!BC181-infections!BB181</f>
        <v>0</v>
      </c>
      <c r="BD181" s="3">
        <f>infections!BD181-infections!BC181</f>
        <v>0</v>
      </c>
      <c r="BE181" s="3">
        <f>infections!BE181-infections!BD181</f>
        <v>0</v>
      </c>
      <c r="BF181" s="3">
        <f>infections!BF181-infections!BE181</f>
        <v>0</v>
      </c>
      <c r="BG181" s="3">
        <f>infections!BG181-infections!BF181</f>
        <v>0</v>
      </c>
      <c r="BH181" s="3">
        <f>infections!BH181-infections!BG181</f>
        <v>0</v>
      </c>
      <c r="BI181" s="3">
        <f>infections!BI181-infections!BH181</f>
        <v>0</v>
      </c>
      <c r="BJ181" s="3">
        <f>infections!BJ181-infections!BI181</f>
        <v>0</v>
      </c>
      <c r="BK181" s="3">
        <f>infections!BK181-infections!BJ181</f>
        <v>1</v>
      </c>
      <c r="BL181" s="3">
        <f>infections!BL181-infections!BK181</f>
        <v>0</v>
      </c>
      <c r="BM181" s="3">
        <f>infections!BM181-infections!BL181</f>
        <v>0</v>
      </c>
      <c r="BN181" s="3">
        <f>infections!BN181-infections!BM181</f>
        <v>0</v>
      </c>
      <c r="BO181" s="3">
        <f>infections!BO181-infections!BN181</f>
        <v>0</v>
      </c>
      <c r="BP181" s="3">
        <f>infections!BP181-infections!BO181</f>
        <v>0</v>
      </c>
      <c r="BQ181" s="3">
        <f>infections!BQ181-infections!BP181</f>
        <v>0</v>
      </c>
      <c r="BR181" s="3">
        <f>infections!BR181-infections!BQ181</f>
        <v>0</v>
      </c>
      <c r="BS181" s="3">
        <f>infections!BS181-infections!BR181</f>
        <v>0</v>
      </c>
      <c r="BT181" s="3">
        <f>infections!BT181-infections!BS181</f>
        <v>0</v>
      </c>
      <c r="BU181" s="3">
        <f>infections!BU181-infections!BT181</f>
        <v>0</v>
      </c>
      <c r="BV181" s="3">
        <f>infections!BV181-infections!BU181</f>
        <v>0</v>
      </c>
      <c r="BW181" s="3">
        <f>infections!BW181-infections!BV181</f>
        <v>0</v>
      </c>
      <c r="BX181" s="3">
        <f>infections!BX181-infections!BW181</f>
        <v>0</v>
      </c>
      <c r="BY181" s="3">
        <f>infections!BY181-infections!BX181</f>
        <v>0</v>
      </c>
    </row>
    <row r="182">
      <c r="B182" s="1" t="str">
        <f>infections!B182</f>
        <v>Paraguay</v>
      </c>
      <c r="C182" s="4">
        <f>infections!C182</f>
        <v>-23.4425</v>
      </c>
      <c r="D182" s="4">
        <f>infections!D182</f>
        <v>-58.4438</v>
      </c>
      <c r="E182" s="4">
        <f>infections!E182</f>
        <v>0</v>
      </c>
      <c r="F182" s="3">
        <f>infections!F182-infections!E182</f>
        <v>0</v>
      </c>
      <c r="G182" s="3">
        <f>infections!G182-infections!F182</f>
        <v>0</v>
      </c>
      <c r="H182" s="3">
        <f>infections!H182-infections!G182</f>
        <v>0</v>
      </c>
      <c r="I182" s="3">
        <f>infections!I182-infections!H182</f>
        <v>0</v>
      </c>
      <c r="J182" s="3">
        <f>infections!J182-infections!I182</f>
        <v>0</v>
      </c>
      <c r="K182" s="3">
        <f>infections!K182-infections!J182</f>
        <v>0</v>
      </c>
      <c r="L182" s="3">
        <f>infections!L182-infections!K182</f>
        <v>0</v>
      </c>
      <c r="M182" s="3">
        <f>infections!M182-infections!L182</f>
        <v>0</v>
      </c>
      <c r="N182" s="3">
        <f>infections!N182-infections!M182</f>
        <v>0</v>
      </c>
      <c r="O182" s="3">
        <f>infections!O182-infections!N182</f>
        <v>0</v>
      </c>
      <c r="P182" s="3">
        <f>infections!P182-infections!O182</f>
        <v>0</v>
      </c>
      <c r="Q182" s="3">
        <f>infections!Q182-infections!P182</f>
        <v>0</v>
      </c>
      <c r="R182" s="3">
        <f>infections!R182-infections!Q182</f>
        <v>0</v>
      </c>
      <c r="S182" s="3">
        <f>infections!S182-infections!R182</f>
        <v>0</v>
      </c>
      <c r="T182" s="3">
        <f>infections!T182-infections!S182</f>
        <v>0</v>
      </c>
      <c r="U182" s="3">
        <f>infections!U182-infections!T182</f>
        <v>0</v>
      </c>
      <c r="V182" s="3">
        <f>infections!V182-infections!U182</f>
        <v>0</v>
      </c>
      <c r="W182" s="3">
        <f>infections!W182-infections!V182</f>
        <v>0</v>
      </c>
      <c r="X182" s="3">
        <f>infections!X182-infections!W182</f>
        <v>0</v>
      </c>
      <c r="Y182" s="3">
        <f>infections!Y182-infections!X182</f>
        <v>0</v>
      </c>
      <c r="Z182" s="3">
        <f>infections!Z182-infections!Y182</f>
        <v>0</v>
      </c>
      <c r="AA182" s="3">
        <f>infections!AA182-infections!Z182</f>
        <v>0</v>
      </c>
      <c r="AB182" s="3">
        <f>infections!AB182-infections!AA182</f>
        <v>0</v>
      </c>
      <c r="AC182" s="3">
        <f>infections!AC182-infections!AB182</f>
        <v>0</v>
      </c>
      <c r="AD182" s="3">
        <f>infections!AD182-infections!AC182</f>
        <v>0</v>
      </c>
      <c r="AE182" s="3">
        <f>infections!AE182-infections!AD182</f>
        <v>0</v>
      </c>
      <c r="AF182" s="3">
        <f>infections!AF182-infections!AE182</f>
        <v>0</v>
      </c>
      <c r="AG182" s="3">
        <f>infections!AG182-infections!AF182</f>
        <v>0</v>
      </c>
      <c r="AH182" s="3">
        <f>infections!AH182-infections!AG182</f>
        <v>0</v>
      </c>
      <c r="AI182" s="3">
        <f>infections!AI182-infections!AH182</f>
        <v>0</v>
      </c>
      <c r="AJ182" s="3">
        <f>infections!AJ182-infections!AI182</f>
        <v>0</v>
      </c>
      <c r="AK182" s="3">
        <f>infections!AK182-infections!AJ182</f>
        <v>0</v>
      </c>
      <c r="AL182" s="3">
        <f>infections!AL182-infections!AK182</f>
        <v>0</v>
      </c>
      <c r="AM182" s="3">
        <f>infections!AM182-infections!AL182</f>
        <v>0</v>
      </c>
      <c r="AN182" s="3">
        <f>infections!AN182-infections!AM182</f>
        <v>0</v>
      </c>
      <c r="AO182" s="3">
        <f>infections!AO182-infections!AN182</f>
        <v>0</v>
      </c>
      <c r="AP182" s="3">
        <f>infections!AP182-infections!AO182</f>
        <v>0</v>
      </c>
      <c r="AQ182" s="3">
        <f>infections!AQ182-infections!AP182</f>
        <v>0</v>
      </c>
      <c r="AR182" s="3">
        <f>infections!AR182-infections!AQ182</f>
        <v>0</v>
      </c>
      <c r="AS182" s="3">
        <f>infections!AS182-infections!AR182</f>
        <v>0</v>
      </c>
      <c r="AT182" s="3">
        <f>infections!AT182-infections!AS182</f>
        <v>0</v>
      </c>
      <c r="AU182" s="3">
        <f>infections!AU182-infections!AT182</f>
        <v>0</v>
      </c>
      <c r="AV182" s="3">
        <f>infections!AV182-infections!AU182</f>
        <v>0</v>
      </c>
      <c r="AW182" s="3">
        <f>infections!AW182-infections!AV182</f>
        <v>0</v>
      </c>
      <c r="AX182" s="3">
        <f>infections!AX182-infections!AW182</f>
        <v>0</v>
      </c>
      <c r="AY182" s="3">
        <f>infections!AY182-infections!AX182</f>
        <v>1</v>
      </c>
      <c r="AZ182" s="3">
        <f>infections!AZ182-infections!AY182</f>
        <v>0</v>
      </c>
      <c r="BA182" s="3">
        <f>infections!BA182-infections!AZ182</f>
        <v>0</v>
      </c>
      <c r="BB182" s="3">
        <f>infections!BB182-infections!BA182</f>
        <v>4</v>
      </c>
      <c r="BC182" s="3">
        <f>infections!BC182-infections!BB182</f>
        <v>0</v>
      </c>
      <c r="BD182" s="3">
        <f>infections!BD182-infections!BC182</f>
        <v>1</v>
      </c>
      <c r="BE182" s="3">
        <f>infections!BE182-infections!BD182</f>
        <v>0</v>
      </c>
      <c r="BF182" s="3">
        <f>infections!BF182-infections!BE182</f>
        <v>0</v>
      </c>
      <c r="BG182" s="3">
        <f>infections!BG182-infections!BF182</f>
        <v>2</v>
      </c>
      <c r="BH182" s="3">
        <f>infections!BH182-infections!BG182</f>
        <v>1</v>
      </c>
      <c r="BI182" s="3">
        <f>infections!BI182-infections!BH182</f>
        <v>2</v>
      </c>
      <c r="BJ182" s="3">
        <f>infections!BJ182-infections!BI182</f>
        <v>0</v>
      </c>
      <c r="BK182" s="3">
        <f>infections!BK182-infections!BJ182</f>
        <v>2</v>
      </c>
      <c r="BL182" s="3">
        <f>infections!BL182-infections!BK182</f>
        <v>5</v>
      </c>
      <c r="BM182" s="3">
        <f>infections!BM182-infections!BL182</f>
        <v>4</v>
      </c>
      <c r="BN182" s="3">
        <f>infections!BN182-infections!BM182</f>
        <v>0</v>
      </c>
      <c r="BO182" s="3">
        <f>infections!BO182-infections!BN182</f>
        <v>5</v>
      </c>
      <c r="BP182" s="3">
        <f>infections!BP182-infections!BO182</f>
        <v>10</v>
      </c>
      <c r="BQ182" s="3">
        <f>infections!BQ182-infections!BP182</f>
        <v>4</v>
      </c>
      <c r="BR182" s="3">
        <f>infections!BR182-infections!BQ182</f>
        <v>11</v>
      </c>
      <c r="BS182" s="3">
        <f>infections!BS182-infections!BR182</f>
        <v>4</v>
      </c>
      <c r="BT182" s="3">
        <f>infections!BT182-infections!BS182</f>
        <v>3</v>
      </c>
      <c r="BU182" s="3">
        <f>infections!BU182-infections!BT182</f>
        <v>5</v>
      </c>
      <c r="BV182" s="3">
        <f>infections!BV182-infections!BU182</f>
        <v>1</v>
      </c>
      <c r="BW182" s="3">
        <f>infections!BW182-infections!BV182</f>
        <v>4</v>
      </c>
      <c r="BX182" s="3">
        <f>infections!BX182-infections!BW182</f>
        <v>8</v>
      </c>
      <c r="BY182" s="3">
        <f>infections!BY182-infections!BX182</f>
        <v>15</v>
      </c>
    </row>
    <row r="183">
      <c r="B183" s="1" t="str">
        <f>infections!B183</f>
        <v>Peru</v>
      </c>
      <c r="C183" s="4">
        <f>infections!C183</f>
        <v>-9.19</v>
      </c>
      <c r="D183" s="4">
        <f>infections!D183</f>
        <v>-75.0152</v>
      </c>
      <c r="E183" s="4">
        <f>infections!E183</f>
        <v>0</v>
      </c>
      <c r="F183" s="3">
        <f>infections!F183-infections!E183</f>
        <v>0</v>
      </c>
      <c r="G183" s="3">
        <f>infections!G183-infections!F183</f>
        <v>0</v>
      </c>
      <c r="H183" s="3">
        <f>infections!H183-infections!G183</f>
        <v>0</v>
      </c>
      <c r="I183" s="3">
        <f>infections!I183-infections!H183</f>
        <v>0</v>
      </c>
      <c r="J183" s="3">
        <f>infections!J183-infections!I183</f>
        <v>0</v>
      </c>
      <c r="K183" s="3">
        <f>infections!K183-infections!J183</f>
        <v>0</v>
      </c>
      <c r="L183" s="3">
        <f>infections!L183-infections!K183</f>
        <v>0</v>
      </c>
      <c r="M183" s="3">
        <f>infections!M183-infections!L183</f>
        <v>0</v>
      </c>
      <c r="N183" s="3">
        <f>infections!N183-infections!M183</f>
        <v>0</v>
      </c>
      <c r="O183" s="3">
        <f>infections!O183-infections!N183</f>
        <v>0</v>
      </c>
      <c r="P183" s="3">
        <f>infections!P183-infections!O183</f>
        <v>0</v>
      </c>
      <c r="Q183" s="3">
        <f>infections!Q183-infections!P183</f>
        <v>0</v>
      </c>
      <c r="R183" s="3">
        <f>infections!R183-infections!Q183</f>
        <v>0</v>
      </c>
      <c r="S183" s="3">
        <f>infections!S183-infections!R183</f>
        <v>0</v>
      </c>
      <c r="T183" s="3">
        <f>infections!T183-infections!S183</f>
        <v>0</v>
      </c>
      <c r="U183" s="3">
        <f>infections!U183-infections!T183</f>
        <v>0</v>
      </c>
      <c r="V183" s="3">
        <f>infections!V183-infections!U183</f>
        <v>0</v>
      </c>
      <c r="W183" s="3">
        <f>infections!W183-infections!V183</f>
        <v>0</v>
      </c>
      <c r="X183" s="3">
        <f>infections!X183-infections!W183</f>
        <v>0</v>
      </c>
      <c r="Y183" s="3">
        <f>infections!Y183-infections!X183</f>
        <v>0</v>
      </c>
      <c r="Z183" s="3">
        <f>infections!Z183-infections!Y183</f>
        <v>0</v>
      </c>
      <c r="AA183" s="3">
        <f>infections!AA183-infections!Z183</f>
        <v>0</v>
      </c>
      <c r="AB183" s="3">
        <f>infections!AB183-infections!AA183</f>
        <v>0</v>
      </c>
      <c r="AC183" s="3">
        <f>infections!AC183-infections!AB183</f>
        <v>0</v>
      </c>
      <c r="AD183" s="3">
        <f>infections!AD183-infections!AC183</f>
        <v>0</v>
      </c>
      <c r="AE183" s="3">
        <f>infections!AE183-infections!AD183</f>
        <v>0</v>
      </c>
      <c r="AF183" s="3">
        <f>infections!AF183-infections!AE183</f>
        <v>0</v>
      </c>
      <c r="AG183" s="3">
        <f>infections!AG183-infections!AF183</f>
        <v>0</v>
      </c>
      <c r="AH183" s="3">
        <f>infections!AH183-infections!AG183</f>
        <v>0</v>
      </c>
      <c r="AI183" s="3">
        <f>infections!AI183-infections!AH183</f>
        <v>0</v>
      </c>
      <c r="AJ183" s="3">
        <f>infections!AJ183-infections!AI183</f>
        <v>0</v>
      </c>
      <c r="AK183" s="3">
        <f>infections!AK183-infections!AJ183</f>
        <v>0</v>
      </c>
      <c r="AL183" s="3">
        <f>infections!AL183-infections!AK183</f>
        <v>0</v>
      </c>
      <c r="AM183" s="3">
        <f>infections!AM183-infections!AL183</f>
        <v>0</v>
      </c>
      <c r="AN183" s="3">
        <f>infections!AN183-infections!AM183</f>
        <v>0</v>
      </c>
      <c r="AO183" s="3">
        <f>infections!AO183-infections!AN183</f>
        <v>0</v>
      </c>
      <c r="AP183" s="3">
        <f>infections!AP183-infections!AO183</f>
        <v>0</v>
      </c>
      <c r="AQ183" s="3">
        <f>infections!AQ183-infections!AP183</f>
        <v>0</v>
      </c>
      <c r="AR183" s="3">
        <f>infections!AR183-infections!AQ183</f>
        <v>0</v>
      </c>
      <c r="AS183" s="3">
        <f>infections!AS183-infections!AR183</f>
        <v>0</v>
      </c>
      <c r="AT183" s="3">
        <f>infections!AT183-infections!AS183</f>
        <v>0</v>
      </c>
      <c r="AU183" s="3">
        <f>infections!AU183-infections!AT183</f>
        <v>0</v>
      </c>
      <c r="AV183" s="3">
        <f>infections!AV183-infections!AU183</f>
        <v>0</v>
      </c>
      <c r="AW183" s="3">
        <f>infections!AW183-infections!AV183</f>
        <v>1</v>
      </c>
      <c r="AX183" s="3">
        <f>infections!AX183-infections!AW183</f>
        <v>0</v>
      </c>
      <c r="AY183" s="3">
        <f>infections!AY183-infections!AX183</f>
        <v>5</v>
      </c>
      <c r="AZ183" s="3">
        <f>infections!AZ183-infections!AY183</f>
        <v>1</v>
      </c>
      <c r="BA183" s="3">
        <f>infections!BA183-infections!AZ183</f>
        <v>4</v>
      </c>
      <c r="BB183" s="3">
        <f>infections!BB183-infections!BA183</f>
        <v>0</v>
      </c>
      <c r="BC183" s="3">
        <f>infections!BC183-infections!BB183</f>
        <v>4</v>
      </c>
      <c r="BD183" s="3">
        <f>infections!BD183-infections!BC183</f>
        <v>13</v>
      </c>
      <c r="BE183" s="3">
        <f>infections!BE183-infections!BD183</f>
        <v>10</v>
      </c>
      <c r="BF183" s="3">
        <f>infections!BF183-infections!BE183</f>
        <v>5</v>
      </c>
      <c r="BG183" s="3">
        <f>infections!BG183-infections!BF183</f>
        <v>43</v>
      </c>
      <c r="BH183" s="3">
        <f>infections!BH183-infections!BG183</f>
        <v>31</v>
      </c>
      <c r="BI183" s="3">
        <f>infections!BI183-infections!BH183</f>
        <v>28</v>
      </c>
      <c r="BJ183" s="3">
        <f>infections!BJ183-infections!BI183</f>
        <v>89</v>
      </c>
      <c r="BK183" s="3">
        <f>infections!BK183-infections!BJ183</f>
        <v>0</v>
      </c>
      <c r="BL183" s="3">
        <f>infections!BL183-infections!BK183</f>
        <v>84</v>
      </c>
      <c r="BM183" s="3">
        <f>infections!BM183-infections!BL183</f>
        <v>45</v>
      </c>
      <c r="BN183" s="3">
        <f>infections!BN183-infections!BM183</f>
        <v>32</v>
      </c>
      <c r="BO183" s="3">
        <f>infections!BO183-infections!BN183</f>
        <v>21</v>
      </c>
      <c r="BP183" s="3">
        <f>infections!BP183-infections!BO183</f>
        <v>64</v>
      </c>
      <c r="BQ183" s="3">
        <f>infections!BQ183-infections!BP183</f>
        <v>100</v>
      </c>
      <c r="BR183" s="3">
        <f>infections!BR183-infections!BQ183</f>
        <v>55</v>
      </c>
      <c r="BS183" s="3">
        <f>infections!BS183-infections!BR183</f>
        <v>36</v>
      </c>
      <c r="BT183" s="3">
        <f>infections!BT183-infections!BS183</f>
        <v>181</v>
      </c>
      <c r="BU183" s="3">
        <f>infections!BU183-infections!BT183</f>
        <v>98</v>
      </c>
      <c r="BV183" s="3">
        <f>infections!BV183-infections!BU183</f>
        <v>115</v>
      </c>
      <c r="BW183" s="3">
        <f>infections!BW183-infections!BV183</f>
        <v>258</v>
      </c>
      <c r="BX183" s="3">
        <f>infections!BX183-infections!BW183</f>
        <v>91</v>
      </c>
      <c r="BY183" s="3">
        <f>infections!BY183-infections!BX183</f>
        <v>181</v>
      </c>
    </row>
    <row r="184">
      <c r="B184" s="1" t="str">
        <f>infections!B184</f>
        <v>Philippines</v>
      </c>
      <c r="C184" s="4">
        <f>infections!C184</f>
        <v>13</v>
      </c>
      <c r="D184" s="4">
        <f>infections!D184</f>
        <v>122</v>
      </c>
      <c r="E184" s="4">
        <f>infections!E184</f>
        <v>0</v>
      </c>
      <c r="F184" s="3">
        <f>infections!F184-infections!E184</f>
        <v>0</v>
      </c>
      <c r="G184" s="3">
        <f>infections!G184-infections!F184</f>
        <v>0</v>
      </c>
      <c r="H184" s="3">
        <f>infections!H184-infections!G184</f>
        <v>0</v>
      </c>
      <c r="I184" s="3">
        <f>infections!I184-infections!H184</f>
        <v>0</v>
      </c>
      <c r="J184" s="3">
        <f>infections!J184-infections!I184</f>
        <v>0</v>
      </c>
      <c r="K184" s="3">
        <f>infections!K184-infections!J184</f>
        <v>0</v>
      </c>
      <c r="L184" s="3">
        <f>infections!L184-infections!K184</f>
        <v>0</v>
      </c>
      <c r="M184" s="3">
        <f>infections!M184-infections!L184</f>
        <v>1</v>
      </c>
      <c r="N184" s="3">
        <f>infections!N184-infections!M184</f>
        <v>0</v>
      </c>
      <c r="O184" s="3">
        <f>infections!O184-infections!N184</f>
        <v>0</v>
      </c>
      <c r="P184" s="3">
        <f>infections!P184-infections!O184</f>
        <v>1</v>
      </c>
      <c r="Q184" s="3">
        <f>infections!Q184-infections!P184</f>
        <v>0</v>
      </c>
      <c r="R184" s="3">
        <f>infections!R184-infections!Q184</f>
        <v>0</v>
      </c>
      <c r="S184" s="3">
        <f>infections!S184-infections!R184</f>
        <v>0</v>
      </c>
      <c r="T184" s="3">
        <f>infections!T184-infections!S184</f>
        <v>0</v>
      </c>
      <c r="U184" s="3">
        <f>infections!U184-infections!T184</f>
        <v>1</v>
      </c>
      <c r="V184" s="3">
        <f>infections!V184-infections!U184</f>
        <v>0</v>
      </c>
      <c r="W184" s="3">
        <f>infections!W184-infections!V184</f>
        <v>0</v>
      </c>
      <c r="X184" s="3">
        <f>infections!X184-infections!W184</f>
        <v>0</v>
      </c>
      <c r="Y184" s="3">
        <f>infections!Y184-infections!X184</f>
        <v>0</v>
      </c>
      <c r="Z184" s="3">
        <f>infections!Z184-infections!Y184</f>
        <v>0</v>
      </c>
      <c r="AA184" s="3">
        <f>infections!AA184-infections!Z184</f>
        <v>0</v>
      </c>
      <c r="AB184" s="3">
        <f>infections!AB184-infections!AA184</f>
        <v>0</v>
      </c>
      <c r="AC184" s="3">
        <f>infections!AC184-infections!AB184</f>
        <v>0</v>
      </c>
      <c r="AD184" s="3">
        <f>infections!AD184-infections!AC184</f>
        <v>0</v>
      </c>
      <c r="AE184" s="3">
        <f>infections!AE184-infections!AD184</f>
        <v>0</v>
      </c>
      <c r="AF184" s="3">
        <f>infections!AF184-infections!AE184</f>
        <v>0</v>
      </c>
      <c r="AG184" s="3">
        <f>infections!AG184-infections!AF184</f>
        <v>0</v>
      </c>
      <c r="AH184" s="3">
        <f>infections!AH184-infections!AG184</f>
        <v>0</v>
      </c>
      <c r="AI184" s="3">
        <f>infections!AI184-infections!AH184</f>
        <v>0</v>
      </c>
      <c r="AJ184" s="3">
        <f>infections!AJ184-infections!AI184</f>
        <v>0</v>
      </c>
      <c r="AK184" s="3">
        <f>infections!AK184-infections!AJ184</f>
        <v>0</v>
      </c>
      <c r="AL184" s="3">
        <f>infections!AL184-infections!AK184</f>
        <v>0</v>
      </c>
      <c r="AM184" s="3">
        <f>infections!AM184-infections!AL184</f>
        <v>0</v>
      </c>
      <c r="AN184" s="3">
        <f>infections!AN184-infections!AM184</f>
        <v>0</v>
      </c>
      <c r="AO184" s="3">
        <f>infections!AO184-infections!AN184</f>
        <v>0</v>
      </c>
      <c r="AP184" s="3">
        <f>infections!AP184-infections!AO184</f>
        <v>0</v>
      </c>
      <c r="AQ184" s="3">
        <f>infections!AQ184-infections!AP184</f>
        <v>0</v>
      </c>
      <c r="AR184" s="3">
        <f>infections!AR184-infections!AQ184</f>
        <v>0</v>
      </c>
      <c r="AS184" s="3">
        <f>infections!AS184-infections!AR184</f>
        <v>0</v>
      </c>
      <c r="AT184" s="3">
        <f>infections!AT184-infections!AS184</f>
        <v>0</v>
      </c>
      <c r="AU184" s="3">
        <f>infections!AU184-infections!AT184</f>
        <v>0</v>
      </c>
      <c r="AV184" s="3">
        <f>infections!AV184-infections!AU184</f>
        <v>0</v>
      </c>
      <c r="AW184" s="3">
        <f>infections!AW184-infections!AV184</f>
        <v>2</v>
      </c>
      <c r="AX184" s="3">
        <f>infections!AX184-infections!AW184</f>
        <v>1</v>
      </c>
      <c r="AY184" s="3">
        <f>infections!AY184-infections!AX184</f>
        <v>4</v>
      </c>
      <c r="AZ184" s="3">
        <f>infections!AZ184-infections!AY184</f>
        <v>10</v>
      </c>
      <c r="BA184" s="3">
        <f>infections!BA184-infections!AZ184</f>
        <v>13</v>
      </c>
      <c r="BB184" s="3">
        <f>infections!BB184-infections!BA184</f>
        <v>16</v>
      </c>
      <c r="BC184" s="3">
        <f>infections!BC184-infections!BB184</f>
        <v>3</v>
      </c>
      <c r="BD184" s="3">
        <f>infections!BD184-infections!BC184</f>
        <v>12</v>
      </c>
      <c r="BE184" s="3">
        <f>infections!BE184-infections!BD184</f>
        <v>47</v>
      </c>
      <c r="BF184" s="3">
        <f>infections!BF184-infections!BE184</f>
        <v>29</v>
      </c>
      <c r="BG184" s="3">
        <f>infections!BG184-infections!BF184</f>
        <v>2</v>
      </c>
      <c r="BH184" s="3">
        <f>infections!BH184-infections!BG184</f>
        <v>45</v>
      </c>
      <c r="BI184" s="3">
        <f>infections!BI184-infections!BH184</f>
        <v>15</v>
      </c>
      <c r="BJ184" s="3">
        <f>infections!BJ184-infections!BI184</f>
        <v>15</v>
      </c>
      <c r="BK184" s="3">
        <f>infections!BK184-infections!BJ184</f>
        <v>13</v>
      </c>
      <c r="BL184" s="3">
        <f>infections!BL184-infections!BK184</f>
        <v>77</v>
      </c>
      <c r="BM184" s="3">
        <f>infections!BM184-infections!BL184</f>
        <v>73</v>
      </c>
      <c r="BN184" s="3">
        <f>infections!BN184-infections!BM184</f>
        <v>82</v>
      </c>
      <c r="BO184" s="3">
        <f>infections!BO184-infections!BN184</f>
        <v>90</v>
      </c>
      <c r="BP184" s="3">
        <f>infections!BP184-infections!BO184</f>
        <v>84</v>
      </c>
      <c r="BQ184" s="3">
        <f>infections!BQ184-infections!BP184</f>
        <v>71</v>
      </c>
      <c r="BR184" s="3">
        <f>infections!BR184-infections!BQ184</f>
        <v>96</v>
      </c>
      <c r="BS184" s="3">
        <f>infections!BS184-infections!BR184</f>
        <v>272</v>
      </c>
      <c r="BT184" s="3">
        <f>infections!BT184-infections!BS184</f>
        <v>343</v>
      </c>
      <c r="BU184" s="3">
        <f>infections!BU184-infections!BT184</f>
        <v>128</v>
      </c>
      <c r="BV184" s="3">
        <f>infections!BV184-infections!BU184</f>
        <v>538</v>
      </c>
      <c r="BW184" s="3">
        <f>infections!BW184-infections!BV184</f>
        <v>227</v>
      </c>
      <c r="BX184" s="3">
        <f>infections!BX184-infections!BW184</f>
        <v>322</v>
      </c>
      <c r="BY184" s="3">
        <f>infections!BY184-infections!BX184</f>
        <v>385</v>
      </c>
    </row>
    <row r="185">
      <c r="B185" s="1" t="str">
        <f>infections!B185</f>
        <v>Poland</v>
      </c>
      <c r="C185" s="4">
        <f>infections!C185</f>
        <v>51.9194</v>
      </c>
      <c r="D185" s="4">
        <f>infections!D185</f>
        <v>19.1451</v>
      </c>
      <c r="E185" s="4">
        <f>infections!E185</f>
        <v>0</v>
      </c>
      <c r="F185" s="3">
        <f>infections!F185-infections!E185</f>
        <v>0</v>
      </c>
      <c r="G185" s="3">
        <f>infections!G185-infections!F185</f>
        <v>0</v>
      </c>
      <c r="H185" s="3">
        <f>infections!H185-infections!G185</f>
        <v>0</v>
      </c>
      <c r="I185" s="3">
        <f>infections!I185-infections!H185</f>
        <v>0</v>
      </c>
      <c r="J185" s="3">
        <f>infections!J185-infections!I185</f>
        <v>0</v>
      </c>
      <c r="K185" s="3">
        <f>infections!K185-infections!J185</f>
        <v>0</v>
      </c>
      <c r="L185" s="3">
        <f>infections!L185-infections!K185</f>
        <v>0</v>
      </c>
      <c r="M185" s="3">
        <f>infections!M185-infections!L185</f>
        <v>0</v>
      </c>
      <c r="N185" s="3">
        <f>infections!N185-infections!M185</f>
        <v>0</v>
      </c>
      <c r="O185" s="3">
        <f>infections!O185-infections!N185</f>
        <v>0</v>
      </c>
      <c r="P185" s="3">
        <f>infections!P185-infections!O185</f>
        <v>0</v>
      </c>
      <c r="Q185" s="3">
        <f>infections!Q185-infections!P185</f>
        <v>0</v>
      </c>
      <c r="R185" s="3">
        <f>infections!R185-infections!Q185</f>
        <v>0</v>
      </c>
      <c r="S185" s="3">
        <f>infections!S185-infections!R185</f>
        <v>0</v>
      </c>
      <c r="T185" s="3">
        <f>infections!T185-infections!S185</f>
        <v>0</v>
      </c>
      <c r="U185" s="3">
        <f>infections!U185-infections!T185</f>
        <v>0</v>
      </c>
      <c r="V185" s="3">
        <f>infections!V185-infections!U185</f>
        <v>0</v>
      </c>
      <c r="W185" s="3">
        <f>infections!W185-infections!V185</f>
        <v>0</v>
      </c>
      <c r="X185" s="3">
        <f>infections!X185-infections!W185</f>
        <v>0</v>
      </c>
      <c r="Y185" s="3">
        <f>infections!Y185-infections!X185</f>
        <v>0</v>
      </c>
      <c r="Z185" s="3">
        <f>infections!Z185-infections!Y185</f>
        <v>0</v>
      </c>
      <c r="AA185" s="3">
        <f>infections!AA185-infections!Z185</f>
        <v>0</v>
      </c>
      <c r="AB185" s="3">
        <f>infections!AB185-infections!AA185</f>
        <v>0</v>
      </c>
      <c r="AC185" s="3">
        <f>infections!AC185-infections!AB185</f>
        <v>0</v>
      </c>
      <c r="AD185" s="3">
        <f>infections!AD185-infections!AC185</f>
        <v>0</v>
      </c>
      <c r="AE185" s="3">
        <f>infections!AE185-infections!AD185</f>
        <v>0</v>
      </c>
      <c r="AF185" s="3">
        <f>infections!AF185-infections!AE185</f>
        <v>0</v>
      </c>
      <c r="AG185" s="3">
        <f>infections!AG185-infections!AF185</f>
        <v>0</v>
      </c>
      <c r="AH185" s="3">
        <f>infections!AH185-infections!AG185</f>
        <v>0</v>
      </c>
      <c r="AI185" s="3">
        <f>infections!AI185-infections!AH185</f>
        <v>0</v>
      </c>
      <c r="AJ185" s="3">
        <f>infections!AJ185-infections!AI185</f>
        <v>0</v>
      </c>
      <c r="AK185" s="3">
        <f>infections!AK185-infections!AJ185</f>
        <v>0</v>
      </c>
      <c r="AL185" s="3">
        <f>infections!AL185-infections!AK185</f>
        <v>0</v>
      </c>
      <c r="AM185" s="3">
        <f>infections!AM185-infections!AL185</f>
        <v>0</v>
      </c>
      <c r="AN185" s="3">
        <f>infections!AN185-infections!AM185</f>
        <v>0</v>
      </c>
      <c r="AO185" s="3">
        <f>infections!AO185-infections!AN185</f>
        <v>0</v>
      </c>
      <c r="AP185" s="3">
        <f>infections!AP185-infections!AO185</f>
        <v>0</v>
      </c>
      <c r="AQ185" s="3">
        <f>infections!AQ185-infections!AP185</f>
        <v>0</v>
      </c>
      <c r="AR185" s="3">
        <f>infections!AR185-infections!AQ185</f>
        <v>0</v>
      </c>
      <c r="AS185" s="3">
        <f>infections!AS185-infections!AR185</f>
        <v>0</v>
      </c>
      <c r="AT185" s="3">
        <f>infections!AT185-infections!AS185</f>
        <v>0</v>
      </c>
      <c r="AU185" s="3">
        <f>infections!AU185-infections!AT185</f>
        <v>1</v>
      </c>
      <c r="AV185" s="3">
        <f>infections!AV185-infections!AU185</f>
        <v>0</v>
      </c>
      <c r="AW185" s="3">
        <f>infections!AW185-infections!AV185</f>
        <v>4</v>
      </c>
      <c r="AX185" s="3">
        <f>infections!AX185-infections!AW185</f>
        <v>0</v>
      </c>
      <c r="AY185" s="3">
        <f>infections!AY185-infections!AX185</f>
        <v>6</v>
      </c>
      <c r="AZ185" s="3">
        <f>infections!AZ185-infections!AY185</f>
        <v>5</v>
      </c>
      <c r="BA185" s="3">
        <f>infections!BA185-infections!AZ185</f>
        <v>6</v>
      </c>
      <c r="BB185" s="3">
        <f>infections!BB185-infections!BA185</f>
        <v>9</v>
      </c>
      <c r="BC185" s="3">
        <f>infections!BC185-infections!BB185</f>
        <v>18</v>
      </c>
      <c r="BD185" s="3">
        <f>infections!BD185-infections!BC185</f>
        <v>19</v>
      </c>
      <c r="BE185" s="3">
        <f>infections!BE185-infections!BD185</f>
        <v>35</v>
      </c>
      <c r="BF185" s="3">
        <f>infections!BF185-infections!BE185</f>
        <v>16</v>
      </c>
      <c r="BG185" s="3">
        <f>infections!BG185-infections!BF185</f>
        <v>58</v>
      </c>
      <c r="BH185" s="3">
        <f>infections!BH185-infections!BG185</f>
        <v>61</v>
      </c>
      <c r="BI185" s="3">
        <f>infections!BI185-infections!BH185</f>
        <v>13</v>
      </c>
      <c r="BJ185" s="3">
        <f>infections!BJ185-infections!BI185</f>
        <v>104</v>
      </c>
      <c r="BK185" s="3">
        <f>infections!BK185-infections!BJ185</f>
        <v>70</v>
      </c>
      <c r="BL185" s="3">
        <f>infections!BL185-infections!BK185</f>
        <v>111</v>
      </c>
      <c r="BM185" s="3">
        <f>infections!BM185-infections!BL185</f>
        <v>98</v>
      </c>
      <c r="BN185" s="3">
        <f>infections!BN185-infections!BM185</f>
        <v>115</v>
      </c>
      <c r="BO185" s="3">
        <f>infections!BO185-infections!BN185</f>
        <v>152</v>
      </c>
      <c r="BP185" s="3">
        <f>infections!BP185-infections!BO185</f>
        <v>150</v>
      </c>
      <c r="BQ185" s="3">
        <f>infections!BQ185-infections!BP185</f>
        <v>170</v>
      </c>
      <c r="BR185" s="3">
        <f>infections!BR185-infections!BQ185</f>
        <v>168</v>
      </c>
      <c r="BS185" s="3">
        <f>infections!BS185-infections!BR185</f>
        <v>249</v>
      </c>
      <c r="BT185" s="3">
        <f>infections!BT185-infections!BS185</f>
        <v>224</v>
      </c>
      <c r="BU185" s="3">
        <f>infections!BU185-infections!BT185</f>
        <v>193</v>
      </c>
      <c r="BV185" s="3">
        <f>infections!BV185-infections!BU185</f>
        <v>256</v>
      </c>
      <c r="BW185" s="3">
        <f>infections!BW185-infections!BV185</f>
        <v>243</v>
      </c>
      <c r="BX185" s="3">
        <f>infections!BX185-infections!BW185</f>
        <v>392</v>
      </c>
      <c r="BY185" s="3">
        <f>infections!BY185-infections!BX185</f>
        <v>437</v>
      </c>
    </row>
    <row r="186">
      <c r="B186" s="1" t="str">
        <f>infections!B186</f>
        <v>Portugal</v>
      </c>
      <c r="C186" s="4">
        <f>infections!C186</f>
        <v>39.3999</v>
      </c>
      <c r="D186" s="4">
        <f>infections!D186</f>
        <v>-8.2245</v>
      </c>
      <c r="E186" s="4">
        <f>infections!E186</f>
        <v>0</v>
      </c>
      <c r="F186" s="3">
        <f>infections!F186-infections!E186</f>
        <v>0</v>
      </c>
      <c r="G186" s="3">
        <f>infections!G186-infections!F186</f>
        <v>0</v>
      </c>
      <c r="H186" s="3">
        <f>infections!H186-infections!G186</f>
        <v>0</v>
      </c>
      <c r="I186" s="3">
        <f>infections!I186-infections!H186</f>
        <v>0</v>
      </c>
      <c r="J186" s="3">
        <f>infections!J186-infections!I186</f>
        <v>0</v>
      </c>
      <c r="K186" s="3">
        <f>infections!K186-infections!J186</f>
        <v>0</v>
      </c>
      <c r="L186" s="3">
        <f>infections!L186-infections!K186</f>
        <v>0</v>
      </c>
      <c r="M186" s="3">
        <f>infections!M186-infections!L186</f>
        <v>0</v>
      </c>
      <c r="N186" s="3">
        <f>infections!N186-infections!M186</f>
        <v>0</v>
      </c>
      <c r="O186" s="3">
        <f>infections!O186-infections!N186</f>
        <v>0</v>
      </c>
      <c r="P186" s="3">
        <f>infections!P186-infections!O186</f>
        <v>0</v>
      </c>
      <c r="Q186" s="3">
        <f>infections!Q186-infections!P186</f>
        <v>0</v>
      </c>
      <c r="R186" s="3">
        <f>infections!R186-infections!Q186</f>
        <v>0</v>
      </c>
      <c r="S186" s="3">
        <f>infections!S186-infections!R186</f>
        <v>0</v>
      </c>
      <c r="T186" s="3">
        <f>infections!T186-infections!S186</f>
        <v>0</v>
      </c>
      <c r="U186" s="3">
        <f>infections!U186-infections!T186</f>
        <v>0</v>
      </c>
      <c r="V186" s="3">
        <f>infections!V186-infections!U186</f>
        <v>0</v>
      </c>
      <c r="W186" s="3">
        <f>infections!W186-infections!V186</f>
        <v>0</v>
      </c>
      <c r="X186" s="3">
        <f>infections!X186-infections!W186</f>
        <v>0</v>
      </c>
      <c r="Y186" s="3">
        <f>infections!Y186-infections!X186</f>
        <v>0</v>
      </c>
      <c r="Z186" s="3">
        <f>infections!Z186-infections!Y186</f>
        <v>0</v>
      </c>
      <c r="AA186" s="3">
        <f>infections!AA186-infections!Z186</f>
        <v>0</v>
      </c>
      <c r="AB186" s="3">
        <f>infections!AB186-infections!AA186</f>
        <v>0</v>
      </c>
      <c r="AC186" s="3">
        <f>infections!AC186-infections!AB186</f>
        <v>0</v>
      </c>
      <c r="AD186" s="3">
        <f>infections!AD186-infections!AC186</f>
        <v>0</v>
      </c>
      <c r="AE186" s="3">
        <f>infections!AE186-infections!AD186</f>
        <v>0</v>
      </c>
      <c r="AF186" s="3">
        <f>infections!AF186-infections!AE186</f>
        <v>0</v>
      </c>
      <c r="AG186" s="3">
        <f>infections!AG186-infections!AF186</f>
        <v>0</v>
      </c>
      <c r="AH186" s="3">
        <f>infections!AH186-infections!AG186</f>
        <v>0</v>
      </c>
      <c r="AI186" s="3">
        <f>infections!AI186-infections!AH186</f>
        <v>0</v>
      </c>
      <c r="AJ186" s="3">
        <f>infections!AJ186-infections!AI186</f>
        <v>0</v>
      </c>
      <c r="AK186" s="3">
        <f>infections!AK186-infections!AJ186</f>
        <v>0</v>
      </c>
      <c r="AL186" s="3">
        <f>infections!AL186-infections!AK186</f>
        <v>0</v>
      </c>
      <c r="AM186" s="3">
        <f>infections!AM186-infections!AL186</f>
        <v>0</v>
      </c>
      <c r="AN186" s="3">
        <f>infections!AN186-infections!AM186</f>
        <v>0</v>
      </c>
      <c r="AO186" s="3">
        <f>infections!AO186-infections!AN186</f>
        <v>0</v>
      </c>
      <c r="AP186" s="3">
        <f>infections!AP186-infections!AO186</f>
        <v>0</v>
      </c>
      <c r="AQ186" s="3">
        <f>infections!AQ186-infections!AP186</f>
        <v>0</v>
      </c>
      <c r="AR186" s="3">
        <f>infections!AR186-infections!AQ186</f>
        <v>0</v>
      </c>
      <c r="AS186" s="3">
        <f>infections!AS186-infections!AR186</f>
        <v>2</v>
      </c>
      <c r="AT186" s="3">
        <f>infections!AT186-infections!AS186</f>
        <v>0</v>
      </c>
      <c r="AU186" s="3">
        <f>infections!AU186-infections!AT186</f>
        <v>3</v>
      </c>
      <c r="AV186" s="3">
        <f>infections!AV186-infections!AU186</f>
        <v>3</v>
      </c>
      <c r="AW186" s="3">
        <f>infections!AW186-infections!AV186</f>
        <v>5</v>
      </c>
      <c r="AX186" s="3">
        <f>infections!AX186-infections!AW186</f>
        <v>7</v>
      </c>
      <c r="AY186" s="3">
        <f>infections!AY186-infections!AX186</f>
        <v>10</v>
      </c>
      <c r="AZ186" s="3">
        <f>infections!AZ186-infections!AY186</f>
        <v>0</v>
      </c>
      <c r="BA186" s="3">
        <f>infections!BA186-infections!AZ186</f>
        <v>11</v>
      </c>
      <c r="BB186" s="3">
        <f>infections!BB186-infections!BA186</f>
        <v>18</v>
      </c>
      <c r="BC186" s="3">
        <f>infections!BC186-infections!BB186</f>
        <v>0</v>
      </c>
      <c r="BD186" s="3">
        <f>infections!BD186-infections!BC186</f>
        <v>53</v>
      </c>
      <c r="BE186" s="3">
        <f>infections!BE186-infections!BD186</f>
        <v>57</v>
      </c>
      <c r="BF186" s="3">
        <f>infections!BF186-infections!BE186</f>
        <v>76</v>
      </c>
      <c r="BG186" s="3">
        <f>infections!BG186-infections!BF186</f>
        <v>86</v>
      </c>
      <c r="BH186" s="3">
        <f>infections!BH186-infections!BG186</f>
        <v>117</v>
      </c>
      <c r="BI186" s="3">
        <f>infections!BI186-infections!BH186</f>
        <v>0</v>
      </c>
      <c r="BJ186" s="3">
        <f>infections!BJ186-infections!BI186</f>
        <v>337</v>
      </c>
      <c r="BK186" s="3">
        <f>infections!BK186-infections!BJ186</f>
        <v>235</v>
      </c>
      <c r="BL186" s="3">
        <f>infections!BL186-infections!BK186</f>
        <v>260</v>
      </c>
      <c r="BM186" s="3">
        <f>infections!BM186-infections!BL186</f>
        <v>320</v>
      </c>
      <c r="BN186" s="3">
        <f>infections!BN186-infections!BM186</f>
        <v>460</v>
      </c>
      <c r="BO186" s="3">
        <f>infections!BO186-infections!BN186</f>
        <v>302</v>
      </c>
      <c r="BP186" s="3">
        <f>infections!BP186-infections!BO186</f>
        <v>633</v>
      </c>
      <c r="BQ186" s="3">
        <f>infections!BQ186-infections!BP186</f>
        <v>549</v>
      </c>
      <c r="BR186" s="3">
        <f>infections!BR186-infections!BQ186</f>
        <v>724</v>
      </c>
      <c r="BS186" s="3">
        <f>infections!BS186-infections!BR186</f>
        <v>902</v>
      </c>
      <c r="BT186" s="3">
        <f>infections!BT186-infections!BS186</f>
        <v>792</v>
      </c>
      <c r="BU186" s="3">
        <f>infections!BU186-infections!BT186</f>
        <v>446</v>
      </c>
      <c r="BV186" s="3">
        <f>infections!BV186-infections!BU186</f>
        <v>1035</v>
      </c>
      <c r="BW186" s="3">
        <f>infections!BW186-infections!BV186</f>
        <v>808</v>
      </c>
      <c r="BX186" s="3">
        <f>infections!BX186-infections!BW186</f>
        <v>783</v>
      </c>
      <c r="BY186" s="3">
        <f>infections!BY186-infections!BX186</f>
        <v>852</v>
      </c>
    </row>
    <row r="187">
      <c r="B187" s="1" t="str">
        <f>infections!B187</f>
        <v>Qatar</v>
      </c>
      <c r="C187" s="4">
        <f>infections!C187</f>
        <v>25.3548</v>
      </c>
      <c r="D187" s="4">
        <f>infections!D187</f>
        <v>51.1839</v>
      </c>
      <c r="E187" s="4">
        <f>infections!E187</f>
        <v>0</v>
      </c>
      <c r="F187" s="3">
        <f>infections!F187-infections!E187</f>
        <v>0</v>
      </c>
      <c r="G187" s="3">
        <f>infections!G187-infections!F187</f>
        <v>0</v>
      </c>
      <c r="H187" s="3">
        <f>infections!H187-infections!G187</f>
        <v>0</v>
      </c>
      <c r="I187" s="3">
        <f>infections!I187-infections!H187</f>
        <v>0</v>
      </c>
      <c r="J187" s="3">
        <f>infections!J187-infections!I187</f>
        <v>0</v>
      </c>
      <c r="K187" s="3">
        <f>infections!K187-infections!J187</f>
        <v>0</v>
      </c>
      <c r="L187" s="3">
        <f>infections!L187-infections!K187</f>
        <v>0</v>
      </c>
      <c r="M187" s="3">
        <f>infections!M187-infections!L187</f>
        <v>0</v>
      </c>
      <c r="N187" s="3">
        <f>infections!N187-infections!M187</f>
        <v>0</v>
      </c>
      <c r="O187" s="3">
        <f>infections!O187-infections!N187</f>
        <v>0</v>
      </c>
      <c r="P187" s="3">
        <f>infections!P187-infections!O187</f>
        <v>0</v>
      </c>
      <c r="Q187" s="3">
        <f>infections!Q187-infections!P187</f>
        <v>0</v>
      </c>
      <c r="R187" s="3">
        <f>infections!R187-infections!Q187</f>
        <v>0</v>
      </c>
      <c r="S187" s="3">
        <f>infections!S187-infections!R187</f>
        <v>0</v>
      </c>
      <c r="T187" s="3">
        <f>infections!T187-infections!S187</f>
        <v>0</v>
      </c>
      <c r="U187" s="3">
        <f>infections!U187-infections!T187</f>
        <v>0</v>
      </c>
      <c r="V187" s="3">
        <f>infections!V187-infections!U187</f>
        <v>0</v>
      </c>
      <c r="W187" s="3">
        <f>infections!W187-infections!V187</f>
        <v>0</v>
      </c>
      <c r="X187" s="3">
        <f>infections!X187-infections!W187</f>
        <v>0</v>
      </c>
      <c r="Y187" s="3">
        <f>infections!Y187-infections!X187</f>
        <v>0</v>
      </c>
      <c r="Z187" s="3">
        <f>infections!Z187-infections!Y187</f>
        <v>0</v>
      </c>
      <c r="AA187" s="3">
        <f>infections!AA187-infections!Z187</f>
        <v>0</v>
      </c>
      <c r="AB187" s="3">
        <f>infections!AB187-infections!AA187</f>
        <v>0</v>
      </c>
      <c r="AC187" s="3">
        <f>infections!AC187-infections!AB187</f>
        <v>0</v>
      </c>
      <c r="AD187" s="3">
        <f>infections!AD187-infections!AC187</f>
        <v>0</v>
      </c>
      <c r="AE187" s="3">
        <f>infections!AE187-infections!AD187</f>
        <v>0</v>
      </c>
      <c r="AF187" s="3">
        <f>infections!AF187-infections!AE187</f>
        <v>0</v>
      </c>
      <c r="AG187" s="3">
        <f>infections!AG187-infections!AF187</f>
        <v>0</v>
      </c>
      <c r="AH187" s="3">
        <f>infections!AH187-infections!AG187</f>
        <v>0</v>
      </c>
      <c r="AI187" s="3">
        <f>infections!AI187-infections!AH187</f>
        <v>0</v>
      </c>
      <c r="AJ187" s="3">
        <f>infections!AJ187-infections!AI187</f>
        <v>0</v>
      </c>
      <c r="AK187" s="3">
        <f>infections!AK187-infections!AJ187</f>
        <v>0</v>
      </c>
      <c r="AL187" s="3">
        <f>infections!AL187-infections!AK187</f>
        <v>0</v>
      </c>
      <c r="AM187" s="3">
        <f>infections!AM187-infections!AL187</f>
        <v>0</v>
      </c>
      <c r="AN187" s="3">
        <f>infections!AN187-infections!AM187</f>
        <v>0</v>
      </c>
      <c r="AO187" s="3">
        <f>infections!AO187-infections!AN187</f>
        <v>0</v>
      </c>
      <c r="AP187" s="3">
        <f>infections!AP187-infections!AO187</f>
        <v>0</v>
      </c>
      <c r="AQ187" s="3">
        <f>infections!AQ187-infections!AP187</f>
        <v>1</v>
      </c>
      <c r="AR187" s="3">
        <f>infections!AR187-infections!AQ187</f>
        <v>2</v>
      </c>
      <c r="AS187" s="3">
        <f>infections!AS187-infections!AR187</f>
        <v>0</v>
      </c>
      <c r="AT187" s="3">
        <f>infections!AT187-infections!AS187</f>
        <v>4</v>
      </c>
      <c r="AU187" s="3">
        <f>infections!AU187-infections!AT187</f>
        <v>1</v>
      </c>
      <c r="AV187" s="3">
        <f>infections!AV187-infections!AU187</f>
        <v>0</v>
      </c>
      <c r="AW187" s="3">
        <f>infections!AW187-infections!AV187</f>
        <v>0</v>
      </c>
      <c r="AX187" s="3">
        <f>infections!AX187-infections!AW187</f>
        <v>0</v>
      </c>
      <c r="AY187" s="3">
        <f>infections!AY187-infections!AX187</f>
        <v>7</v>
      </c>
      <c r="AZ187" s="3">
        <f>infections!AZ187-infections!AY187</f>
        <v>3</v>
      </c>
      <c r="BA187" s="3">
        <f>infections!BA187-infections!AZ187</f>
        <v>6</v>
      </c>
      <c r="BB187" s="3">
        <f>infections!BB187-infections!BA187</f>
        <v>238</v>
      </c>
      <c r="BC187" s="3">
        <f>infections!BC187-infections!BB187</f>
        <v>0</v>
      </c>
      <c r="BD187" s="3">
        <f>infections!BD187-infections!BC187</f>
        <v>58</v>
      </c>
      <c r="BE187" s="3">
        <f>infections!BE187-infections!BD187</f>
        <v>17</v>
      </c>
      <c r="BF187" s="3">
        <f>infections!BF187-infections!BE187</f>
        <v>64</v>
      </c>
      <c r="BG187" s="3">
        <f>infections!BG187-infections!BF187</f>
        <v>38</v>
      </c>
      <c r="BH187" s="3">
        <f>infections!BH187-infections!BG187</f>
        <v>0</v>
      </c>
      <c r="BI187" s="3">
        <f>infections!BI187-infections!BH187</f>
        <v>13</v>
      </c>
      <c r="BJ187" s="3">
        <f>infections!BJ187-infections!BI187</f>
        <v>8</v>
      </c>
      <c r="BK187" s="3">
        <f>infections!BK187-infections!BJ187</f>
        <v>10</v>
      </c>
      <c r="BL187" s="3">
        <f>infections!BL187-infections!BK187</f>
        <v>11</v>
      </c>
      <c r="BM187" s="3">
        <f>infections!BM187-infections!BL187</f>
        <v>13</v>
      </c>
      <c r="BN187" s="3">
        <f>infections!BN187-infections!BM187</f>
        <v>7</v>
      </c>
      <c r="BO187" s="3">
        <f>infections!BO187-infections!BN187</f>
        <v>25</v>
      </c>
      <c r="BP187" s="3">
        <f>infections!BP187-infections!BO187</f>
        <v>11</v>
      </c>
      <c r="BQ187" s="3">
        <f>infections!BQ187-infections!BP187</f>
        <v>12</v>
      </c>
      <c r="BR187" s="3">
        <f>infections!BR187-infections!BQ187</f>
        <v>13</v>
      </c>
      <c r="BS187" s="3">
        <f>infections!BS187-infections!BR187</f>
        <v>28</v>
      </c>
      <c r="BT187" s="3">
        <f>infections!BT187-infections!BS187</f>
        <v>44</v>
      </c>
      <c r="BU187" s="3">
        <f>infections!BU187-infections!BT187</f>
        <v>59</v>
      </c>
      <c r="BV187" s="3">
        <f>infections!BV187-infections!BU187</f>
        <v>88</v>
      </c>
      <c r="BW187" s="3">
        <f>infections!BW187-infections!BV187</f>
        <v>54</v>
      </c>
      <c r="BX187" s="3">
        <f>infections!BX187-infections!BW187</f>
        <v>114</v>
      </c>
      <c r="BY187" s="3">
        <f>infections!BY187-infections!BX187</f>
        <v>126</v>
      </c>
    </row>
    <row r="188">
      <c r="B188" s="1" t="str">
        <f>infections!B188</f>
        <v>Romania</v>
      </c>
      <c r="C188" s="4">
        <f>infections!C188</f>
        <v>45.9432</v>
      </c>
      <c r="D188" s="4">
        <f>infections!D188</f>
        <v>24.9668</v>
      </c>
      <c r="E188" s="4">
        <f>infections!E188</f>
        <v>0</v>
      </c>
      <c r="F188" s="3">
        <f>infections!F188-infections!E188</f>
        <v>0</v>
      </c>
      <c r="G188" s="3">
        <f>infections!G188-infections!F188</f>
        <v>0</v>
      </c>
      <c r="H188" s="3">
        <f>infections!H188-infections!G188</f>
        <v>0</v>
      </c>
      <c r="I188" s="3">
        <f>infections!I188-infections!H188</f>
        <v>0</v>
      </c>
      <c r="J188" s="3">
        <f>infections!J188-infections!I188</f>
        <v>0</v>
      </c>
      <c r="K188" s="3">
        <f>infections!K188-infections!J188</f>
        <v>0</v>
      </c>
      <c r="L188" s="3">
        <f>infections!L188-infections!K188</f>
        <v>0</v>
      </c>
      <c r="M188" s="3">
        <f>infections!M188-infections!L188</f>
        <v>0</v>
      </c>
      <c r="N188" s="3">
        <f>infections!N188-infections!M188</f>
        <v>0</v>
      </c>
      <c r="O188" s="3">
        <f>infections!O188-infections!N188</f>
        <v>0</v>
      </c>
      <c r="P188" s="3">
        <f>infections!P188-infections!O188</f>
        <v>0</v>
      </c>
      <c r="Q188" s="3">
        <f>infections!Q188-infections!P188</f>
        <v>0</v>
      </c>
      <c r="R188" s="3">
        <f>infections!R188-infections!Q188</f>
        <v>0</v>
      </c>
      <c r="S188" s="3">
        <f>infections!S188-infections!R188</f>
        <v>0</v>
      </c>
      <c r="T188" s="3">
        <f>infections!T188-infections!S188</f>
        <v>0</v>
      </c>
      <c r="U188" s="3">
        <f>infections!U188-infections!T188</f>
        <v>0</v>
      </c>
      <c r="V188" s="3">
        <f>infections!V188-infections!U188</f>
        <v>0</v>
      </c>
      <c r="W188" s="3">
        <f>infections!W188-infections!V188</f>
        <v>0</v>
      </c>
      <c r="X188" s="3">
        <f>infections!X188-infections!W188</f>
        <v>0</v>
      </c>
      <c r="Y188" s="3">
        <f>infections!Y188-infections!X188</f>
        <v>0</v>
      </c>
      <c r="Z188" s="3">
        <f>infections!Z188-infections!Y188</f>
        <v>0</v>
      </c>
      <c r="AA188" s="3">
        <f>infections!AA188-infections!Z188</f>
        <v>0</v>
      </c>
      <c r="AB188" s="3">
        <f>infections!AB188-infections!AA188</f>
        <v>0</v>
      </c>
      <c r="AC188" s="3">
        <f>infections!AC188-infections!AB188</f>
        <v>0</v>
      </c>
      <c r="AD188" s="3">
        <f>infections!AD188-infections!AC188</f>
        <v>0</v>
      </c>
      <c r="AE188" s="3">
        <f>infections!AE188-infections!AD188</f>
        <v>0</v>
      </c>
      <c r="AF188" s="3">
        <f>infections!AF188-infections!AE188</f>
        <v>0</v>
      </c>
      <c r="AG188" s="3">
        <f>infections!AG188-infections!AF188</f>
        <v>0</v>
      </c>
      <c r="AH188" s="3">
        <f>infections!AH188-infections!AG188</f>
        <v>0</v>
      </c>
      <c r="AI188" s="3">
        <f>infections!AI188-infections!AH188</f>
        <v>0</v>
      </c>
      <c r="AJ188" s="3">
        <f>infections!AJ188-infections!AI188</f>
        <v>0</v>
      </c>
      <c r="AK188" s="3">
        <f>infections!AK188-infections!AJ188</f>
        <v>0</v>
      </c>
      <c r="AL188" s="3">
        <f>infections!AL188-infections!AK188</f>
        <v>0</v>
      </c>
      <c r="AM188" s="3">
        <f>infections!AM188-infections!AL188</f>
        <v>0</v>
      </c>
      <c r="AN188" s="3">
        <f>infections!AN188-infections!AM188</f>
        <v>1</v>
      </c>
      <c r="AO188" s="3">
        <f>infections!AO188-infections!AN188</f>
        <v>0</v>
      </c>
      <c r="AP188" s="3">
        <f>infections!AP188-infections!AO188</f>
        <v>2</v>
      </c>
      <c r="AQ188" s="3">
        <f>infections!AQ188-infections!AP188</f>
        <v>0</v>
      </c>
      <c r="AR188" s="3">
        <f>infections!AR188-infections!AQ188</f>
        <v>0</v>
      </c>
      <c r="AS188" s="3">
        <f>infections!AS188-infections!AR188</f>
        <v>0</v>
      </c>
      <c r="AT188" s="3">
        <f>infections!AT188-infections!AS188</f>
        <v>0</v>
      </c>
      <c r="AU188" s="3">
        <f>infections!AU188-infections!AT188</f>
        <v>1</v>
      </c>
      <c r="AV188" s="3">
        <f>infections!AV188-infections!AU188</f>
        <v>2</v>
      </c>
      <c r="AW188" s="3">
        <f>infections!AW188-infections!AV188</f>
        <v>3</v>
      </c>
      <c r="AX188" s="3">
        <f>infections!AX188-infections!AW188</f>
        <v>0</v>
      </c>
      <c r="AY188" s="3">
        <f>infections!AY188-infections!AX188</f>
        <v>6</v>
      </c>
      <c r="AZ188" s="3">
        <f>infections!AZ188-infections!AY188</f>
        <v>0</v>
      </c>
      <c r="BA188" s="3">
        <f>infections!BA188-infections!AZ188</f>
        <v>10</v>
      </c>
      <c r="BB188" s="3">
        <f>infections!BB188-infections!BA188</f>
        <v>20</v>
      </c>
      <c r="BC188" s="3">
        <f>infections!BC188-infections!BB188</f>
        <v>4</v>
      </c>
      <c r="BD188" s="3">
        <f>infections!BD188-infections!BC188</f>
        <v>40</v>
      </c>
      <c r="BE188" s="3">
        <f>infections!BE188-infections!BD188</f>
        <v>34</v>
      </c>
      <c r="BF188" s="3">
        <f>infections!BF188-infections!BE188</f>
        <v>8</v>
      </c>
      <c r="BG188" s="3">
        <f>infections!BG188-infections!BF188</f>
        <v>27</v>
      </c>
      <c r="BH188" s="3">
        <f>infections!BH188-infections!BG188</f>
        <v>26</v>
      </c>
      <c r="BI188" s="3">
        <f>infections!BI188-infections!BH188</f>
        <v>76</v>
      </c>
      <c r="BJ188" s="3">
        <f>infections!BJ188-infections!BI188</f>
        <v>17</v>
      </c>
      <c r="BK188" s="3">
        <f>infections!BK188-infections!BJ188</f>
        <v>31</v>
      </c>
      <c r="BL188" s="3">
        <f>infections!BL188-infections!BK188</f>
        <v>59</v>
      </c>
      <c r="BM188" s="3">
        <f>infections!BM188-infections!BL188</f>
        <v>66</v>
      </c>
      <c r="BN188" s="3">
        <f>infections!BN188-infections!BM188</f>
        <v>143</v>
      </c>
      <c r="BO188" s="3">
        <f>infections!BO188-infections!BN188</f>
        <v>218</v>
      </c>
      <c r="BP188" s="3">
        <f>infections!BP188-infections!BO188</f>
        <v>112</v>
      </c>
      <c r="BQ188" s="3">
        <f>infections!BQ188-infections!BP188</f>
        <v>123</v>
      </c>
      <c r="BR188" s="3">
        <f>infections!BR188-infections!BQ188</f>
        <v>263</v>
      </c>
      <c r="BS188" s="3">
        <f>infections!BS188-infections!BR188</f>
        <v>160</v>
      </c>
      <c r="BT188" s="3">
        <f>infections!BT188-infections!BS188</f>
        <v>363</v>
      </c>
      <c r="BU188" s="3">
        <f>infections!BU188-infections!BT188</f>
        <v>294</v>
      </c>
      <c r="BV188" s="3">
        <f>infections!BV188-infections!BU188</f>
        <v>136</v>
      </c>
      <c r="BW188" s="3">
        <f>infections!BW188-infections!BV188</f>
        <v>215</v>
      </c>
      <c r="BX188" s="3">
        <f>infections!BX188-infections!BW188</f>
        <v>278</v>
      </c>
      <c r="BY188" s="3">
        <f>infections!BY188-infections!BX188</f>
        <v>445</v>
      </c>
    </row>
    <row r="189">
      <c r="B189" s="1" t="str">
        <f>infections!B189</f>
        <v>Russia</v>
      </c>
      <c r="C189" s="4">
        <f>infections!C189</f>
        <v>60</v>
      </c>
      <c r="D189" s="4">
        <f>infections!D189</f>
        <v>90</v>
      </c>
      <c r="E189" s="4">
        <f>infections!E189</f>
        <v>0</v>
      </c>
      <c r="F189" s="3">
        <f>infections!F189-infections!E189</f>
        <v>0</v>
      </c>
      <c r="G189" s="3">
        <f>infections!G189-infections!F189</f>
        <v>0</v>
      </c>
      <c r="H189" s="3">
        <f>infections!H189-infections!G189</f>
        <v>0</v>
      </c>
      <c r="I189" s="3">
        <f>infections!I189-infections!H189</f>
        <v>0</v>
      </c>
      <c r="J189" s="3">
        <f>infections!J189-infections!I189</f>
        <v>0</v>
      </c>
      <c r="K189" s="3">
        <f>infections!K189-infections!J189</f>
        <v>0</v>
      </c>
      <c r="L189" s="3">
        <f>infections!L189-infections!K189</f>
        <v>0</v>
      </c>
      <c r="M189" s="3">
        <f>infections!M189-infections!L189</f>
        <v>0</v>
      </c>
      <c r="N189" s="3">
        <f>infections!N189-infections!M189</f>
        <v>2</v>
      </c>
      <c r="O189" s="3">
        <f>infections!O189-infections!N189</f>
        <v>0</v>
      </c>
      <c r="P189" s="3">
        <f>infections!P189-infections!O189</f>
        <v>0</v>
      </c>
      <c r="Q189" s="3">
        <f>infections!Q189-infections!P189</f>
        <v>0</v>
      </c>
      <c r="R189" s="3">
        <f>infections!R189-infections!Q189</f>
        <v>0</v>
      </c>
      <c r="S189" s="3">
        <f>infections!S189-infections!R189</f>
        <v>0</v>
      </c>
      <c r="T189" s="3">
        <f>infections!T189-infections!S189</f>
        <v>0</v>
      </c>
      <c r="U189" s="3">
        <f>infections!U189-infections!T189</f>
        <v>0</v>
      </c>
      <c r="V189" s="3">
        <f>infections!V189-infections!U189</f>
        <v>0</v>
      </c>
      <c r="W189" s="3">
        <f>infections!W189-infections!V189</f>
        <v>0</v>
      </c>
      <c r="X189" s="3">
        <f>infections!X189-infections!W189</f>
        <v>0</v>
      </c>
      <c r="Y189" s="3">
        <f>infections!Y189-infections!X189</f>
        <v>0</v>
      </c>
      <c r="Z189" s="3">
        <f>infections!Z189-infections!Y189</f>
        <v>0</v>
      </c>
      <c r="AA189" s="3">
        <f>infections!AA189-infections!Z189</f>
        <v>0</v>
      </c>
      <c r="AB189" s="3">
        <f>infections!AB189-infections!AA189</f>
        <v>0</v>
      </c>
      <c r="AC189" s="3">
        <f>infections!AC189-infections!AB189</f>
        <v>0</v>
      </c>
      <c r="AD189" s="3">
        <f>infections!AD189-infections!AC189</f>
        <v>0</v>
      </c>
      <c r="AE189" s="3">
        <f>infections!AE189-infections!AD189</f>
        <v>0</v>
      </c>
      <c r="AF189" s="3">
        <f>infections!AF189-infections!AE189</f>
        <v>0</v>
      </c>
      <c r="AG189" s="3">
        <f>infections!AG189-infections!AF189</f>
        <v>0</v>
      </c>
      <c r="AH189" s="3">
        <f>infections!AH189-infections!AG189</f>
        <v>0</v>
      </c>
      <c r="AI189" s="3">
        <f>infections!AI189-infections!AH189</f>
        <v>0</v>
      </c>
      <c r="AJ189" s="3">
        <f>infections!AJ189-infections!AI189</f>
        <v>0</v>
      </c>
      <c r="AK189" s="3">
        <f>infections!AK189-infections!AJ189</f>
        <v>0</v>
      </c>
      <c r="AL189" s="3">
        <f>infections!AL189-infections!AK189</f>
        <v>0</v>
      </c>
      <c r="AM189" s="3">
        <f>infections!AM189-infections!AL189</f>
        <v>0</v>
      </c>
      <c r="AN189" s="3">
        <f>infections!AN189-infections!AM189</f>
        <v>0</v>
      </c>
      <c r="AO189" s="3">
        <f>infections!AO189-infections!AN189</f>
        <v>0</v>
      </c>
      <c r="AP189" s="3">
        <f>infections!AP189-infections!AO189</f>
        <v>0</v>
      </c>
      <c r="AQ189" s="3">
        <f>infections!AQ189-infections!AP189</f>
        <v>0</v>
      </c>
      <c r="AR189" s="3">
        <f>infections!AR189-infections!AQ189</f>
        <v>0</v>
      </c>
      <c r="AS189" s="3">
        <f>infections!AS189-infections!AR189</f>
        <v>1</v>
      </c>
      <c r="AT189" s="3">
        <f>infections!AT189-infections!AS189</f>
        <v>0</v>
      </c>
      <c r="AU189" s="3">
        <f>infections!AU189-infections!AT189</f>
        <v>0</v>
      </c>
      <c r="AV189" s="3">
        <f>infections!AV189-infections!AU189</f>
        <v>1</v>
      </c>
      <c r="AW189" s="3">
        <f>infections!AW189-infections!AV189</f>
        <v>9</v>
      </c>
      <c r="AX189" s="3">
        <f>infections!AX189-infections!AW189</f>
        <v>0</v>
      </c>
      <c r="AY189" s="3">
        <f>infections!AY189-infections!AX189</f>
        <v>4</v>
      </c>
      <c r="AZ189" s="3">
        <f>infections!AZ189-infections!AY189</f>
        <v>0</v>
      </c>
      <c r="BA189" s="3">
        <f>infections!BA189-infections!AZ189</f>
        <v>3</v>
      </c>
      <c r="BB189" s="3">
        <f>infections!BB189-infections!BA189</f>
        <v>0</v>
      </c>
      <c r="BC189" s="3">
        <f>infections!BC189-infections!BB189</f>
        <v>8</v>
      </c>
      <c r="BD189" s="3">
        <f>infections!BD189-infections!BC189</f>
        <v>17</v>
      </c>
      <c r="BE189" s="3">
        <f>infections!BE189-infections!BD189</f>
        <v>14</v>
      </c>
      <c r="BF189" s="3">
        <f>infections!BF189-infections!BE189</f>
        <v>4</v>
      </c>
      <c r="BG189" s="3">
        <f>infections!BG189-infections!BF189</f>
        <v>27</v>
      </c>
      <c r="BH189" s="3">
        <f>infections!BH189-infections!BG189</f>
        <v>24</v>
      </c>
      <c r="BI189" s="3">
        <f>infections!BI189-infections!BH189</f>
        <v>33</v>
      </c>
      <c r="BJ189" s="3">
        <f>infections!BJ189-infections!BI189</f>
        <v>52</v>
      </c>
      <c r="BK189" s="3">
        <f>infections!BK189-infections!BJ189</f>
        <v>54</v>
      </c>
      <c r="BL189" s="3">
        <f>infections!BL189-infections!BK189</f>
        <v>53</v>
      </c>
      <c r="BM189" s="3">
        <f>infections!BM189-infections!BL189</f>
        <v>61</v>
      </c>
      <c r="BN189" s="3">
        <f>infections!BN189-infections!BM189</f>
        <v>71</v>
      </c>
      <c r="BO189" s="3">
        <f>infections!BO189-infections!BN189</f>
        <v>57</v>
      </c>
      <c r="BP189" s="3">
        <f>infections!BP189-infections!BO189</f>
        <v>163</v>
      </c>
      <c r="BQ189" s="3">
        <f>infections!BQ189-infections!BP189</f>
        <v>182</v>
      </c>
      <c r="BR189" s="3">
        <f>infections!BR189-infections!BQ189</f>
        <v>196</v>
      </c>
      <c r="BS189" s="3">
        <f>infections!BS189-infections!BR189</f>
        <v>228</v>
      </c>
      <c r="BT189" s="3">
        <f>infections!BT189-infections!BS189</f>
        <v>270</v>
      </c>
      <c r="BU189" s="3">
        <f>infections!BU189-infections!BT189</f>
        <v>302</v>
      </c>
      <c r="BV189" s="3">
        <f>infections!BV189-infections!BU189</f>
        <v>501</v>
      </c>
      <c r="BW189" s="3">
        <f>infections!BW189-infections!BV189</f>
        <v>440</v>
      </c>
      <c r="BX189" s="3">
        <f>infections!BX189-infections!BW189</f>
        <v>771</v>
      </c>
      <c r="BY189" s="3">
        <f>infections!BY189-infections!BX189</f>
        <v>601</v>
      </c>
    </row>
    <row r="190">
      <c r="B190" s="1" t="str">
        <f>infections!B190</f>
        <v>Rwanda</v>
      </c>
      <c r="C190" s="4">
        <f>infections!C190</f>
        <v>-1.9403</v>
      </c>
      <c r="D190" s="4">
        <f>infections!D190</f>
        <v>29.8739</v>
      </c>
      <c r="E190" s="4">
        <f>infections!E190</f>
        <v>0</v>
      </c>
      <c r="F190" s="3">
        <f>infections!F190-infections!E190</f>
        <v>0</v>
      </c>
      <c r="G190" s="3">
        <f>infections!G190-infections!F190</f>
        <v>0</v>
      </c>
      <c r="H190" s="3">
        <f>infections!H190-infections!G190</f>
        <v>0</v>
      </c>
      <c r="I190" s="3">
        <f>infections!I190-infections!H190</f>
        <v>0</v>
      </c>
      <c r="J190" s="3">
        <f>infections!J190-infections!I190</f>
        <v>0</v>
      </c>
      <c r="K190" s="3">
        <f>infections!K190-infections!J190</f>
        <v>0</v>
      </c>
      <c r="L190" s="3">
        <f>infections!L190-infections!K190</f>
        <v>0</v>
      </c>
      <c r="M190" s="3">
        <f>infections!M190-infections!L190</f>
        <v>0</v>
      </c>
      <c r="N190" s="3">
        <f>infections!N190-infections!M190</f>
        <v>0</v>
      </c>
      <c r="O190" s="3">
        <f>infections!O190-infections!N190</f>
        <v>0</v>
      </c>
      <c r="P190" s="3">
        <f>infections!P190-infections!O190</f>
        <v>0</v>
      </c>
      <c r="Q190" s="3">
        <f>infections!Q190-infections!P190</f>
        <v>0</v>
      </c>
      <c r="R190" s="3">
        <f>infections!R190-infections!Q190</f>
        <v>0</v>
      </c>
      <c r="S190" s="3">
        <f>infections!S190-infections!R190</f>
        <v>0</v>
      </c>
      <c r="T190" s="3">
        <f>infections!T190-infections!S190</f>
        <v>0</v>
      </c>
      <c r="U190" s="3">
        <f>infections!U190-infections!T190</f>
        <v>0</v>
      </c>
      <c r="V190" s="3">
        <f>infections!V190-infections!U190</f>
        <v>0</v>
      </c>
      <c r="W190" s="3">
        <f>infections!W190-infections!V190</f>
        <v>0</v>
      </c>
      <c r="X190" s="3">
        <f>infections!X190-infections!W190</f>
        <v>0</v>
      </c>
      <c r="Y190" s="3">
        <f>infections!Y190-infections!X190</f>
        <v>0</v>
      </c>
      <c r="Z190" s="3">
        <f>infections!Z190-infections!Y190</f>
        <v>0</v>
      </c>
      <c r="AA190" s="3">
        <f>infections!AA190-infections!Z190</f>
        <v>0</v>
      </c>
      <c r="AB190" s="3">
        <f>infections!AB190-infections!AA190</f>
        <v>0</v>
      </c>
      <c r="AC190" s="3">
        <f>infections!AC190-infections!AB190</f>
        <v>0</v>
      </c>
      <c r="AD190" s="3">
        <f>infections!AD190-infections!AC190</f>
        <v>0</v>
      </c>
      <c r="AE190" s="3">
        <f>infections!AE190-infections!AD190</f>
        <v>0</v>
      </c>
      <c r="AF190" s="3">
        <f>infections!AF190-infections!AE190</f>
        <v>0</v>
      </c>
      <c r="AG190" s="3">
        <f>infections!AG190-infections!AF190</f>
        <v>0</v>
      </c>
      <c r="AH190" s="3">
        <f>infections!AH190-infections!AG190</f>
        <v>0</v>
      </c>
      <c r="AI190" s="3">
        <f>infections!AI190-infections!AH190</f>
        <v>0</v>
      </c>
      <c r="AJ190" s="3">
        <f>infections!AJ190-infections!AI190</f>
        <v>0</v>
      </c>
      <c r="AK190" s="3">
        <f>infections!AK190-infections!AJ190</f>
        <v>0</v>
      </c>
      <c r="AL190" s="3">
        <f>infections!AL190-infections!AK190</f>
        <v>0</v>
      </c>
      <c r="AM190" s="3">
        <f>infections!AM190-infections!AL190</f>
        <v>0</v>
      </c>
      <c r="AN190" s="3">
        <f>infections!AN190-infections!AM190</f>
        <v>0</v>
      </c>
      <c r="AO190" s="3">
        <f>infections!AO190-infections!AN190</f>
        <v>0</v>
      </c>
      <c r="AP190" s="3">
        <f>infections!AP190-infections!AO190</f>
        <v>0</v>
      </c>
      <c r="AQ190" s="3">
        <f>infections!AQ190-infections!AP190</f>
        <v>0</v>
      </c>
      <c r="AR190" s="3">
        <f>infections!AR190-infections!AQ190</f>
        <v>0</v>
      </c>
      <c r="AS190" s="3">
        <f>infections!AS190-infections!AR190</f>
        <v>0</v>
      </c>
      <c r="AT190" s="3">
        <f>infections!AT190-infections!AS190</f>
        <v>0</v>
      </c>
      <c r="AU190" s="3">
        <f>infections!AU190-infections!AT190</f>
        <v>0</v>
      </c>
      <c r="AV190" s="3">
        <f>infections!AV190-infections!AU190</f>
        <v>0</v>
      </c>
      <c r="AW190" s="3">
        <f>infections!AW190-infections!AV190</f>
        <v>0</v>
      </c>
      <c r="AX190" s="3">
        <f>infections!AX190-infections!AW190</f>
        <v>0</v>
      </c>
      <c r="AY190" s="3">
        <f>infections!AY190-infections!AX190</f>
        <v>0</v>
      </c>
      <c r="AZ190" s="3">
        <f>infections!AZ190-infections!AY190</f>
        <v>0</v>
      </c>
      <c r="BA190" s="3">
        <f>infections!BA190-infections!AZ190</f>
        <v>0</v>
      </c>
      <c r="BB190" s="3">
        <f>infections!BB190-infections!BA190</f>
        <v>0</v>
      </c>
      <c r="BC190" s="3">
        <f>infections!BC190-infections!BB190</f>
        <v>0</v>
      </c>
      <c r="BD190" s="3">
        <f>infections!BD190-infections!BC190</f>
        <v>0</v>
      </c>
      <c r="BE190" s="3">
        <f>infections!BE190-infections!BD190</f>
        <v>1</v>
      </c>
      <c r="BF190" s="3">
        <f>infections!BF190-infections!BE190</f>
        <v>0</v>
      </c>
      <c r="BG190" s="3">
        <f>infections!BG190-infections!BF190</f>
        <v>4</v>
      </c>
      <c r="BH190" s="3">
        <f>infections!BH190-infections!BG190</f>
        <v>2</v>
      </c>
      <c r="BI190" s="3">
        <f>infections!BI190-infections!BH190</f>
        <v>1</v>
      </c>
      <c r="BJ190" s="3">
        <f>infections!BJ190-infections!BI190</f>
        <v>0</v>
      </c>
      <c r="BK190" s="3">
        <f>infections!BK190-infections!BJ190</f>
        <v>9</v>
      </c>
      <c r="BL190" s="3">
        <f>infections!BL190-infections!BK190</f>
        <v>0</v>
      </c>
      <c r="BM190" s="3">
        <f>infections!BM190-infections!BL190</f>
        <v>2</v>
      </c>
      <c r="BN190" s="3">
        <f>infections!BN190-infections!BM190</f>
        <v>17</v>
      </c>
      <c r="BO190" s="3">
        <f>infections!BO190-infections!BN190</f>
        <v>4</v>
      </c>
      <c r="BP190" s="3">
        <f>infections!BP190-infections!BO190</f>
        <v>1</v>
      </c>
      <c r="BQ190" s="3">
        <f>infections!BQ190-infections!BP190</f>
        <v>9</v>
      </c>
      <c r="BR190" s="3">
        <f>infections!BR190-infections!BQ190</f>
        <v>4</v>
      </c>
      <c r="BS190" s="3">
        <f>infections!BS190-infections!BR190</f>
        <v>6</v>
      </c>
      <c r="BT190" s="3">
        <f>infections!BT190-infections!BS190</f>
        <v>10</v>
      </c>
      <c r="BU190" s="3">
        <f>infections!BU190-infections!BT190</f>
        <v>0</v>
      </c>
      <c r="BV190" s="3">
        <f>infections!BV190-infections!BU190</f>
        <v>5</v>
      </c>
      <c r="BW190" s="3">
        <f>infections!BW190-infections!BV190</f>
        <v>7</v>
      </c>
      <c r="BX190" s="3">
        <f>infections!BX190-infections!BW190</f>
        <v>2</v>
      </c>
      <c r="BY190" s="3">
        <f>infections!BY190-infections!BX190</f>
        <v>5</v>
      </c>
    </row>
    <row r="191">
      <c r="B191" s="1" t="str">
        <f>infections!B191</f>
        <v>Saint Lucia</v>
      </c>
      <c r="C191" s="4">
        <f>infections!C191</f>
        <v>13.9094</v>
      </c>
      <c r="D191" s="4">
        <f>infections!D191</f>
        <v>-60.9789</v>
      </c>
      <c r="E191" s="4">
        <f>infections!E191</f>
        <v>0</v>
      </c>
      <c r="F191" s="3">
        <f>infections!F191-infections!E191</f>
        <v>0</v>
      </c>
      <c r="G191" s="3">
        <f>infections!G191-infections!F191</f>
        <v>0</v>
      </c>
      <c r="H191" s="3">
        <f>infections!H191-infections!G191</f>
        <v>0</v>
      </c>
      <c r="I191" s="3">
        <f>infections!I191-infections!H191</f>
        <v>0</v>
      </c>
      <c r="J191" s="3">
        <f>infections!J191-infections!I191</f>
        <v>0</v>
      </c>
      <c r="K191" s="3">
        <f>infections!K191-infections!J191</f>
        <v>0</v>
      </c>
      <c r="L191" s="3">
        <f>infections!L191-infections!K191</f>
        <v>0</v>
      </c>
      <c r="M191" s="3">
        <f>infections!M191-infections!L191</f>
        <v>0</v>
      </c>
      <c r="N191" s="3">
        <f>infections!N191-infections!M191</f>
        <v>0</v>
      </c>
      <c r="O191" s="3">
        <f>infections!O191-infections!N191</f>
        <v>0</v>
      </c>
      <c r="P191" s="3">
        <f>infections!P191-infections!O191</f>
        <v>0</v>
      </c>
      <c r="Q191" s="3">
        <f>infections!Q191-infections!P191</f>
        <v>0</v>
      </c>
      <c r="R191" s="3">
        <f>infections!R191-infections!Q191</f>
        <v>0</v>
      </c>
      <c r="S191" s="3">
        <f>infections!S191-infections!R191</f>
        <v>0</v>
      </c>
      <c r="T191" s="3">
        <f>infections!T191-infections!S191</f>
        <v>0</v>
      </c>
      <c r="U191" s="3">
        <f>infections!U191-infections!T191</f>
        <v>0</v>
      </c>
      <c r="V191" s="3">
        <f>infections!V191-infections!U191</f>
        <v>0</v>
      </c>
      <c r="W191" s="3">
        <f>infections!W191-infections!V191</f>
        <v>0</v>
      </c>
      <c r="X191" s="3">
        <f>infections!X191-infections!W191</f>
        <v>0</v>
      </c>
      <c r="Y191" s="3">
        <f>infections!Y191-infections!X191</f>
        <v>0</v>
      </c>
      <c r="Z191" s="3">
        <f>infections!Z191-infections!Y191</f>
        <v>0</v>
      </c>
      <c r="AA191" s="3">
        <f>infections!AA191-infections!Z191</f>
        <v>0</v>
      </c>
      <c r="AB191" s="3">
        <f>infections!AB191-infections!AA191</f>
        <v>0</v>
      </c>
      <c r="AC191" s="3">
        <f>infections!AC191-infections!AB191</f>
        <v>0</v>
      </c>
      <c r="AD191" s="3">
        <f>infections!AD191-infections!AC191</f>
        <v>0</v>
      </c>
      <c r="AE191" s="3">
        <f>infections!AE191-infections!AD191</f>
        <v>0</v>
      </c>
      <c r="AF191" s="3">
        <f>infections!AF191-infections!AE191</f>
        <v>0</v>
      </c>
      <c r="AG191" s="3">
        <f>infections!AG191-infections!AF191</f>
        <v>0</v>
      </c>
      <c r="AH191" s="3">
        <f>infections!AH191-infections!AG191</f>
        <v>0</v>
      </c>
      <c r="AI191" s="3">
        <f>infections!AI191-infections!AH191</f>
        <v>0</v>
      </c>
      <c r="AJ191" s="3">
        <f>infections!AJ191-infections!AI191</f>
        <v>0</v>
      </c>
      <c r="AK191" s="3">
        <f>infections!AK191-infections!AJ191</f>
        <v>0</v>
      </c>
      <c r="AL191" s="3">
        <f>infections!AL191-infections!AK191</f>
        <v>0</v>
      </c>
      <c r="AM191" s="3">
        <f>infections!AM191-infections!AL191</f>
        <v>0</v>
      </c>
      <c r="AN191" s="3">
        <f>infections!AN191-infections!AM191</f>
        <v>0</v>
      </c>
      <c r="AO191" s="3">
        <f>infections!AO191-infections!AN191</f>
        <v>0</v>
      </c>
      <c r="AP191" s="3">
        <f>infections!AP191-infections!AO191</f>
        <v>0</v>
      </c>
      <c r="AQ191" s="3">
        <f>infections!AQ191-infections!AP191</f>
        <v>0</v>
      </c>
      <c r="AR191" s="3">
        <f>infections!AR191-infections!AQ191</f>
        <v>0</v>
      </c>
      <c r="AS191" s="3">
        <f>infections!AS191-infections!AR191</f>
        <v>0</v>
      </c>
      <c r="AT191" s="3">
        <f>infections!AT191-infections!AS191</f>
        <v>0</v>
      </c>
      <c r="AU191" s="3">
        <f>infections!AU191-infections!AT191</f>
        <v>0</v>
      </c>
      <c r="AV191" s="3">
        <f>infections!AV191-infections!AU191</f>
        <v>0</v>
      </c>
      <c r="AW191" s="3">
        <f>infections!AW191-infections!AV191</f>
        <v>0</v>
      </c>
      <c r="AX191" s="3">
        <f>infections!AX191-infections!AW191</f>
        <v>0</v>
      </c>
      <c r="AY191" s="3">
        <f>infections!AY191-infections!AX191</f>
        <v>0</v>
      </c>
      <c r="AZ191" s="3">
        <f>infections!AZ191-infections!AY191</f>
        <v>0</v>
      </c>
      <c r="BA191" s="3">
        <f>infections!BA191-infections!AZ191</f>
        <v>0</v>
      </c>
      <c r="BB191" s="3">
        <f>infections!BB191-infections!BA191</f>
        <v>0</v>
      </c>
      <c r="BC191" s="3">
        <f>infections!BC191-infections!BB191</f>
        <v>0</v>
      </c>
      <c r="BD191" s="3">
        <f>infections!BD191-infections!BC191</f>
        <v>0</v>
      </c>
      <c r="BE191" s="3">
        <f>infections!BE191-infections!BD191</f>
        <v>1</v>
      </c>
      <c r="BF191" s="3">
        <f>infections!BF191-infections!BE191</f>
        <v>1</v>
      </c>
      <c r="BG191" s="3">
        <f>infections!BG191-infections!BF191</f>
        <v>0</v>
      </c>
      <c r="BH191" s="3">
        <f>infections!BH191-infections!BG191</f>
        <v>0</v>
      </c>
      <c r="BI191" s="3">
        <f>infections!BI191-infections!BH191</f>
        <v>0</v>
      </c>
      <c r="BJ191" s="3">
        <f>infections!BJ191-infections!BI191</f>
        <v>0</v>
      </c>
      <c r="BK191" s="3">
        <f>infections!BK191-infections!BJ191</f>
        <v>0</v>
      </c>
      <c r="BL191" s="3">
        <f>infections!BL191-infections!BK191</f>
        <v>0</v>
      </c>
      <c r="BM191" s="3">
        <f>infections!BM191-infections!BL191</f>
        <v>0</v>
      </c>
      <c r="BN191" s="3">
        <f>infections!BN191-infections!BM191</f>
        <v>1</v>
      </c>
      <c r="BO191" s="3">
        <f>infections!BO191-infections!BN191</f>
        <v>0</v>
      </c>
      <c r="BP191" s="3">
        <f>infections!BP191-infections!BO191</f>
        <v>0</v>
      </c>
      <c r="BQ191" s="3">
        <f>infections!BQ191-infections!BP191</f>
        <v>0</v>
      </c>
      <c r="BR191" s="3">
        <f>infections!BR191-infections!BQ191</f>
        <v>0</v>
      </c>
      <c r="BS191" s="3">
        <f>infections!BS191-infections!BR191</f>
        <v>0</v>
      </c>
      <c r="BT191" s="3">
        <f>infections!BT191-infections!BS191</f>
        <v>6</v>
      </c>
      <c r="BU191" s="3">
        <f>infections!BU191-infections!BT191</f>
        <v>0</v>
      </c>
      <c r="BV191" s="3">
        <f>infections!BV191-infections!BU191</f>
        <v>4</v>
      </c>
      <c r="BW191" s="3">
        <f>infections!BW191-infections!BV191</f>
        <v>0</v>
      </c>
      <c r="BX191" s="3">
        <f>infections!BX191-infections!BW191</f>
        <v>0</v>
      </c>
      <c r="BY191" s="3">
        <f>infections!BY191-infections!BX191</f>
        <v>0</v>
      </c>
    </row>
    <row r="192">
      <c r="B192" s="1" t="str">
        <f>infections!B192</f>
        <v>Saint Vincent and the Grenadines</v>
      </c>
      <c r="C192" s="4">
        <f>infections!C192</f>
        <v>12.9843</v>
      </c>
      <c r="D192" s="4">
        <f>infections!D192</f>
        <v>-61.2872</v>
      </c>
      <c r="E192" s="4">
        <f>infections!E192</f>
        <v>0</v>
      </c>
      <c r="F192" s="3">
        <f>infections!F192-infections!E192</f>
        <v>0</v>
      </c>
      <c r="G192" s="3">
        <f>infections!G192-infections!F192</f>
        <v>0</v>
      </c>
      <c r="H192" s="3">
        <f>infections!H192-infections!G192</f>
        <v>0</v>
      </c>
      <c r="I192" s="3">
        <f>infections!I192-infections!H192</f>
        <v>0</v>
      </c>
      <c r="J192" s="3">
        <f>infections!J192-infections!I192</f>
        <v>0</v>
      </c>
      <c r="K192" s="3">
        <f>infections!K192-infections!J192</f>
        <v>0</v>
      </c>
      <c r="L192" s="3">
        <f>infections!L192-infections!K192</f>
        <v>0</v>
      </c>
      <c r="M192" s="3">
        <f>infections!M192-infections!L192</f>
        <v>0</v>
      </c>
      <c r="N192" s="3">
        <f>infections!N192-infections!M192</f>
        <v>0</v>
      </c>
      <c r="O192" s="3">
        <f>infections!O192-infections!N192</f>
        <v>0</v>
      </c>
      <c r="P192" s="3">
        <f>infections!P192-infections!O192</f>
        <v>0</v>
      </c>
      <c r="Q192" s="3">
        <f>infections!Q192-infections!P192</f>
        <v>0</v>
      </c>
      <c r="R192" s="3">
        <f>infections!R192-infections!Q192</f>
        <v>0</v>
      </c>
      <c r="S192" s="3">
        <f>infections!S192-infections!R192</f>
        <v>0</v>
      </c>
      <c r="T192" s="3">
        <f>infections!T192-infections!S192</f>
        <v>0</v>
      </c>
      <c r="U192" s="3">
        <f>infections!U192-infections!T192</f>
        <v>0</v>
      </c>
      <c r="V192" s="3">
        <f>infections!V192-infections!U192</f>
        <v>0</v>
      </c>
      <c r="W192" s="3">
        <f>infections!W192-infections!V192</f>
        <v>0</v>
      </c>
      <c r="X192" s="3">
        <f>infections!X192-infections!W192</f>
        <v>0</v>
      </c>
      <c r="Y192" s="3">
        <f>infections!Y192-infections!X192</f>
        <v>0</v>
      </c>
      <c r="Z192" s="3">
        <f>infections!Z192-infections!Y192</f>
        <v>0</v>
      </c>
      <c r="AA192" s="3">
        <f>infections!AA192-infections!Z192</f>
        <v>0</v>
      </c>
      <c r="AB192" s="3">
        <f>infections!AB192-infections!AA192</f>
        <v>0</v>
      </c>
      <c r="AC192" s="3">
        <f>infections!AC192-infections!AB192</f>
        <v>0</v>
      </c>
      <c r="AD192" s="3">
        <f>infections!AD192-infections!AC192</f>
        <v>0</v>
      </c>
      <c r="AE192" s="3">
        <f>infections!AE192-infections!AD192</f>
        <v>0</v>
      </c>
      <c r="AF192" s="3">
        <f>infections!AF192-infections!AE192</f>
        <v>0</v>
      </c>
      <c r="AG192" s="3">
        <f>infections!AG192-infections!AF192</f>
        <v>0</v>
      </c>
      <c r="AH192" s="3">
        <f>infections!AH192-infections!AG192</f>
        <v>0</v>
      </c>
      <c r="AI192" s="3">
        <f>infections!AI192-infections!AH192</f>
        <v>0</v>
      </c>
      <c r="AJ192" s="3">
        <f>infections!AJ192-infections!AI192</f>
        <v>0</v>
      </c>
      <c r="AK192" s="3">
        <f>infections!AK192-infections!AJ192</f>
        <v>0</v>
      </c>
      <c r="AL192" s="3">
        <f>infections!AL192-infections!AK192</f>
        <v>0</v>
      </c>
      <c r="AM192" s="3">
        <f>infections!AM192-infections!AL192</f>
        <v>0</v>
      </c>
      <c r="AN192" s="3">
        <f>infections!AN192-infections!AM192</f>
        <v>0</v>
      </c>
      <c r="AO192" s="3">
        <f>infections!AO192-infections!AN192</f>
        <v>0</v>
      </c>
      <c r="AP192" s="3">
        <f>infections!AP192-infections!AO192</f>
        <v>0</v>
      </c>
      <c r="AQ192" s="3">
        <f>infections!AQ192-infections!AP192</f>
        <v>0</v>
      </c>
      <c r="AR192" s="3">
        <f>infections!AR192-infections!AQ192</f>
        <v>0</v>
      </c>
      <c r="AS192" s="3">
        <f>infections!AS192-infections!AR192</f>
        <v>0</v>
      </c>
      <c r="AT192" s="3">
        <f>infections!AT192-infections!AS192</f>
        <v>0</v>
      </c>
      <c r="AU192" s="3">
        <f>infections!AU192-infections!AT192</f>
        <v>0</v>
      </c>
      <c r="AV192" s="3">
        <f>infections!AV192-infections!AU192</f>
        <v>0</v>
      </c>
      <c r="AW192" s="3">
        <f>infections!AW192-infections!AV192</f>
        <v>0</v>
      </c>
      <c r="AX192" s="3">
        <f>infections!AX192-infections!AW192</f>
        <v>0</v>
      </c>
      <c r="AY192" s="3">
        <f>infections!AY192-infections!AX192</f>
        <v>0</v>
      </c>
      <c r="AZ192" s="3">
        <f>infections!AZ192-infections!AY192</f>
        <v>0</v>
      </c>
      <c r="BA192" s="3">
        <f>infections!BA192-infections!AZ192</f>
        <v>0</v>
      </c>
      <c r="BB192" s="3">
        <f>infections!BB192-infections!BA192</f>
        <v>0</v>
      </c>
      <c r="BC192" s="3">
        <f>infections!BC192-infections!BB192</f>
        <v>0</v>
      </c>
      <c r="BD192" s="3">
        <f>infections!BD192-infections!BC192</f>
        <v>0</v>
      </c>
      <c r="BE192" s="3">
        <f>infections!BE192-infections!BD192</f>
        <v>1</v>
      </c>
      <c r="BF192" s="3">
        <f>infections!BF192-infections!BE192</f>
        <v>0</v>
      </c>
      <c r="BG192" s="3">
        <f>infections!BG192-infections!BF192</f>
        <v>0</v>
      </c>
      <c r="BH192" s="3">
        <f>infections!BH192-infections!BG192</f>
        <v>0</v>
      </c>
      <c r="BI192" s="3">
        <f>infections!BI192-infections!BH192</f>
        <v>0</v>
      </c>
      <c r="BJ192" s="3">
        <f>infections!BJ192-infections!BI192</f>
        <v>0</v>
      </c>
      <c r="BK192" s="3">
        <f>infections!BK192-infections!BJ192</f>
        <v>0</v>
      </c>
      <c r="BL192" s="3">
        <f>infections!BL192-infections!BK192</f>
        <v>0</v>
      </c>
      <c r="BM192" s="3">
        <f>infections!BM192-infections!BL192</f>
        <v>0</v>
      </c>
      <c r="BN192" s="3">
        <f>infections!BN192-infections!BM192</f>
        <v>0</v>
      </c>
      <c r="BO192" s="3">
        <f>infections!BO192-infections!BN192</f>
        <v>0</v>
      </c>
      <c r="BP192" s="3">
        <f>infections!BP192-infections!BO192</f>
        <v>0</v>
      </c>
      <c r="BQ192" s="3">
        <f>infections!BQ192-infections!BP192</f>
        <v>0</v>
      </c>
      <c r="BR192" s="3">
        <f>infections!BR192-infections!BQ192</f>
        <v>0</v>
      </c>
      <c r="BS192" s="3">
        <f>infections!BS192-infections!BR192</f>
        <v>0</v>
      </c>
      <c r="BT192" s="3">
        <f>infections!BT192-infections!BS192</f>
        <v>0</v>
      </c>
      <c r="BU192" s="3">
        <f>infections!BU192-infections!BT192</f>
        <v>0</v>
      </c>
      <c r="BV192" s="3">
        <f>infections!BV192-infections!BU192</f>
        <v>0</v>
      </c>
      <c r="BW192" s="3">
        <f>infections!BW192-infections!BV192</f>
        <v>0</v>
      </c>
      <c r="BX192" s="3">
        <f>infections!BX192-infections!BW192</f>
        <v>1</v>
      </c>
      <c r="BY192" s="3">
        <f>infections!BY192-infections!BX192</f>
        <v>1</v>
      </c>
    </row>
    <row r="193">
      <c r="B193" s="1" t="str">
        <f>infections!B193</f>
        <v>San Marino</v>
      </c>
      <c r="C193" s="4">
        <f>infections!C193</f>
        <v>43.9424</v>
      </c>
      <c r="D193" s="4">
        <f>infections!D193</f>
        <v>12.4578</v>
      </c>
      <c r="E193" s="4">
        <f>infections!E193</f>
        <v>0</v>
      </c>
      <c r="F193" s="3">
        <f>infections!F193-infections!E193</f>
        <v>0</v>
      </c>
      <c r="G193" s="3">
        <f>infections!G193-infections!F193</f>
        <v>0</v>
      </c>
      <c r="H193" s="3">
        <f>infections!H193-infections!G193</f>
        <v>0</v>
      </c>
      <c r="I193" s="3">
        <f>infections!I193-infections!H193</f>
        <v>0</v>
      </c>
      <c r="J193" s="3">
        <f>infections!J193-infections!I193</f>
        <v>0</v>
      </c>
      <c r="K193" s="3">
        <f>infections!K193-infections!J193</f>
        <v>0</v>
      </c>
      <c r="L193" s="3">
        <f>infections!L193-infections!K193</f>
        <v>0</v>
      </c>
      <c r="M193" s="3">
        <f>infections!M193-infections!L193</f>
        <v>0</v>
      </c>
      <c r="N193" s="3">
        <f>infections!N193-infections!M193</f>
        <v>0</v>
      </c>
      <c r="O193" s="3">
        <f>infections!O193-infections!N193</f>
        <v>0</v>
      </c>
      <c r="P193" s="3">
        <f>infections!P193-infections!O193</f>
        <v>0</v>
      </c>
      <c r="Q193" s="3">
        <f>infections!Q193-infections!P193</f>
        <v>0</v>
      </c>
      <c r="R193" s="3">
        <f>infections!R193-infections!Q193</f>
        <v>0</v>
      </c>
      <c r="S193" s="3">
        <f>infections!S193-infections!R193</f>
        <v>0</v>
      </c>
      <c r="T193" s="3">
        <f>infections!T193-infections!S193</f>
        <v>0</v>
      </c>
      <c r="U193" s="3">
        <f>infections!U193-infections!T193</f>
        <v>0</v>
      </c>
      <c r="V193" s="3">
        <f>infections!V193-infections!U193</f>
        <v>0</v>
      </c>
      <c r="W193" s="3">
        <f>infections!W193-infections!V193</f>
        <v>0</v>
      </c>
      <c r="X193" s="3">
        <f>infections!X193-infections!W193</f>
        <v>0</v>
      </c>
      <c r="Y193" s="3">
        <f>infections!Y193-infections!X193</f>
        <v>0</v>
      </c>
      <c r="Z193" s="3">
        <f>infections!Z193-infections!Y193</f>
        <v>0</v>
      </c>
      <c r="AA193" s="3">
        <f>infections!AA193-infections!Z193</f>
        <v>0</v>
      </c>
      <c r="AB193" s="3">
        <f>infections!AB193-infections!AA193</f>
        <v>0</v>
      </c>
      <c r="AC193" s="3">
        <f>infections!AC193-infections!AB193</f>
        <v>0</v>
      </c>
      <c r="AD193" s="3">
        <f>infections!AD193-infections!AC193</f>
        <v>0</v>
      </c>
      <c r="AE193" s="3">
        <f>infections!AE193-infections!AD193</f>
        <v>0</v>
      </c>
      <c r="AF193" s="3">
        <f>infections!AF193-infections!AE193</f>
        <v>0</v>
      </c>
      <c r="AG193" s="3">
        <f>infections!AG193-infections!AF193</f>
        <v>0</v>
      </c>
      <c r="AH193" s="3">
        <f>infections!AH193-infections!AG193</f>
        <v>0</v>
      </c>
      <c r="AI193" s="3">
        <f>infections!AI193-infections!AH193</f>
        <v>0</v>
      </c>
      <c r="AJ193" s="3">
        <f>infections!AJ193-infections!AI193</f>
        <v>0</v>
      </c>
      <c r="AK193" s="3">
        <f>infections!AK193-infections!AJ193</f>
        <v>0</v>
      </c>
      <c r="AL193" s="3">
        <f>infections!AL193-infections!AK193</f>
        <v>0</v>
      </c>
      <c r="AM193" s="3">
        <f>infections!AM193-infections!AL193</f>
        <v>0</v>
      </c>
      <c r="AN193" s="3">
        <f>infections!AN193-infections!AM193</f>
        <v>0</v>
      </c>
      <c r="AO193" s="3">
        <f>infections!AO193-infections!AN193</f>
        <v>1</v>
      </c>
      <c r="AP193" s="3">
        <f>infections!AP193-infections!AO193</f>
        <v>0</v>
      </c>
      <c r="AQ193" s="3">
        <f>infections!AQ193-infections!AP193</f>
        <v>0</v>
      </c>
      <c r="AR193" s="3">
        <f>infections!AR193-infections!AQ193</f>
        <v>0</v>
      </c>
      <c r="AS193" s="3">
        <f>infections!AS193-infections!AR193</f>
        <v>7</v>
      </c>
      <c r="AT193" s="3">
        <f>infections!AT193-infections!AS193</f>
        <v>2</v>
      </c>
      <c r="AU193" s="3">
        <f>infections!AU193-infections!AT193</f>
        <v>6</v>
      </c>
      <c r="AV193" s="3">
        <f>infections!AV193-infections!AU193</f>
        <v>5</v>
      </c>
      <c r="AW193" s="3">
        <f>infections!AW193-infections!AV193</f>
        <v>0</v>
      </c>
      <c r="AX193" s="3">
        <f>infections!AX193-infections!AW193</f>
        <v>2</v>
      </c>
      <c r="AY193" s="3">
        <f>infections!AY193-infections!AX193</f>
        <v>13</v>
      </c>
      <c r="AZ193" s="3">
        <f>infections!AZ193-infections!AY193</f>
        <v>0</v>
      </c>
      <c r="BA193" s="3">
        <f>infections!BA193-infections!AZ193</f>
        <v>15</v>
      </c>
      <c r="BB193" s="3">
        <f>infections!BB193-infections!BA193</f>
        <v>11</v>
      </c>
      <c r="BC193" s="3">
        <f>infections!BC193-infections!BB193</f>
        <v>7</v>
      </c>
      <c r="BD193" s="3">
        <f>infections!BD193-infections!BC193</f>
        <v>11</v>
      </c>
      <c r="BE193" s="3">
        <f>infections!BE193-infections!BD193</f>
        <v>0</v>
      </c>
      <c r="BF193" s="3">
        <f>infections!BF193-infections!BE193</f>
        <v>21</v>
      </c>
      <c r="BG193" s="3">
        <f>infections!BG193-infections!BF193</f>
        <v>8</v>
      </c>
      <c r="BH193" s="3">
        <f>infections!BH193-infections!BG193</f>
        <v>0</v>
      </c>
      <c r="BI193" s="3">
        <f>infections!BI193-infections!BH193</f>
        <v>10</v>
      </c>
      <c r="BJ193" s="3">
        <f>infections!BJ193-infections!BI193</f>
        <v>0</v>
      </c>
      <c r="BK193" s="3">
        <f>infections!BK193-infections!BJ193</f>
        <v>25</v>
      </c>
      <c r="BL193" s="3">
        <f>infections!BL193-infections!BK193</f>
        <v>0</v>
      </c>
      <c r="BM193" s="3">
        <f>infections!BM193-infections!BL193</f>
        <v>31</v>
      </c>
      <c r="BN193" s="3">
        <f>infections!BN193-infections!BM193</f>
        <v>12</v>
      </c>
      <c r="BO193" s="3">
        <f>infections!BO193-infections!BN193</f>
        <v>0</v>
      </c>
      <c r="BP193" s="3">
        <f>infections!BP193-infections!BO193</f>
        <v>21</v>
      </c>
      <c r="BQ193" s="3">
        <f>infections!BQ193-infections!BP193</f>
        <v>0</v>
      </c>
      <c r="BR193" s="3">
        <f>infections!BR193-infections!BQ193</f>
        <v>15</v>
      </c>
      <c r="BS193" s="3">
        <f>infections!BS193-infections!BR193</f>
        <v>1</v>
      </c>
      <c r="BT193" s="3">
        <f>infections!BT193-infections!BS193</f>
        <v>0</v>
      </c>
      <c r="BU193" s="3">
        <f>infections!BU193-infections!BT193</f>
        <v>6</v>
      </c>
      <c r="BV193" s="3">
        <f>infections!BV193-infections!BU193</f>
        <v>6</v>
      </c>
      <c r="BW193" s="3">
        <f>infections!BW193-infections!BV193</f>
        <v>0</v>
      </c>
      <c r="BX193" s="3">
        <f>infections!BX193-infections!BW193</f>
        <v>9</v>
      </c>
      <c r="BY193" s="3">
        <f>infections!BY193-infections!BX193</f>
        <v>0</v>
      </c>
    </row>
    <row r="194">
      <c r="B194" s="1" t="str">
        <f>infections!B194</f>
        <v>Saudi Arabia</v>
      </c>
      <c r="C194" s="4">
        <f>infections!C194</f>
        <v>24</v>
      </c>
      <c r="D194" s="4">
        <f>infections!D194</f>
        <v>45</v>
      </c>
      <c r="E194" s="4">
        <f>infections!E194</f>
        <v>0</v>
      </c>
      <c r="F194" s="3">
        <f>infections!F194-infections!E194</f>
        <v>0</v>
      </c>
      <c r="G194" s="3">
        <f>infections!G194-infections!F194</f>
        <v>0</v>
      </c>
      <c r="H194" s="3">
        <f>infections!H194-infections!G194</f>
        <v>0</v>
      </c>
      <c r="I194" s="3">
        <f>infections!I194-infections!H194</f>
        <v>0</v>
      </c>
      <c r="J194" s="3">
        <f>infections!J194-infections!I194</f>
        <v>0</v>
      </c>
      <c r="K194" s="3">
        <f>infections!K194-infections!J194</f>
        <v>0</v>
      </c>
      <c r="L194" s="3">
        <f>infections!L194-infections!K194</f>
        <v>0</v>
      </c>
      <c r="M194" s="3">
        <f>infections!M194-infections!L194</f>
        <v>0</v>
      </c>
      <c r="N194" s="3">
        <f>infections!N194-infections!M194</f>
        <v>0</v>
      </c>
      <c r="O194" s="3">
        <f>infections!O194-infections!N194</f>
        <v>0</v>
      </c>
      <c r="P194" s="3">
        <f>infections!P194-infections!O194</f>
        <v>0</v>
      </c>
      <c r="Q194" s="3">
        <f>infections!Q194-infections!P194</f>
        <v>0</v>
      </c>
      <c r="R194" s="3">
        <f>infections!R194-infections!Q194</f>
        <v>0</v>
      </c>
      <c r="S194" s="3">
        <f>infections!S194-infections!R194</f>
        <v>0</v>
      </c>
      <c r="T194" s="3">
        <f>infections!T194-infections!S194</f>
        <v>0</v>
      </c>
      <c r="U194" s="3">
        <f>infections!U194-infections!T194</f>
        <v>0</v>
      </c>
      <c r="V194" s="3">
        <f>infections!V194-infections!U194</f>
        <v>0</v>
      </c>
      <c r="W194" s="3">
        <f>infections!W194-infections!V194</f>
        <v>0</v>
      </c>
      <c r="X194" s="3">
        <f>infections!X194-infections!W194</f>
        <v>0</v>
      </c>
      <c r="Y194" s="3">
        <f>infections!Y194-infections!X194</f>
        <v>0</v>
      </c>
      <c r="Z194" s="3">
        <f>infections!Z194-infections!Y194</f>
        <v>0</v>
      </c>
      <c r="AA194" s="3">
        <f>infections!AA194-infections!Z194</f>
        <v>0</v>
      </c>
      <c r="AB194" s="3">
        <f>infections!AB194-infections!AA194</f>
        <v>0</v>
      </c>
      <c r="AC194" s="3">
        <f>infections!AC194-infections!AB194</f>
        <v>0</v>
      </c>
      <c r="AD194" s="3">
        <f>infections!AD194-infections!AC194</f>
        <v>0</v>
      </c>
      <c r="AE194" s="3">
        <f>infections!AE194-infections!AD194</f>
        <v>0</v>
      </c>
      <c r="AF194" s="3">
        <f>infections!AF194-infections!AE194</f>
        <v>0</v>
      </c>
      <c r="AG194" s="3">
        <f>infections!AG194-infections!AF194</f>
        <v>0</v>
      </c>
      <c r="AH194" s="3">
        <f>infections!AH194-infections!AG194</f>
        <v>0</v>
      </c>
      <c r="AI194" s="3">
        <f>infections!AI194-infections!AH194</f>
        <v>0</v>
      </c>
      <c r="AJ194" s="3">
        <f>infections!AJ194-infections!AI194</f>
        <v>0</v>
      </c>
      <c r="AK194" s="3">
        <f>infections!AK194-infections!AJ194</f>
        <v>0</v>
      </c>
      <c r="AL194" s="3">
        <f>infections!AL194-infections!AK194</f>
        <v>0</v>
      </c>
      <c r="AM194" s="3">
        <f>infections!AM194-infections!AL194</f>
        <v>0</v>
      </c>
      <c r="AN194" s="3">
        <f>infections!AN194-infections!AM194</f>
        <v>0</v>
      </c>
      <c r="AO194" s="3">
        <f>infections!AO194-infections!AN194</f>
        <v>0</v>
      </c>
      <c r="AP194" s="3">
        <f>infections!AP194-infections!AO194</f>
        <v>0</v>
      </c>
      <c r="AQ194" s="3">
        <f>infections!AQ194-infections!AP194</f>
        <v>0</v>
      </c>
      <c r="AR194" s="3">
        <f>infections!AR194-infections!AQ194</f>
        <v>0</v>
      </c>
      <c r="AS194" s="3">
        <f>infections!AS194-infections!AR194</f>
        <v>1</v>
      </c>
      <c r="AT194" s="3">
        <f>infections!AT194-infections!AS194</f>
        <v>0</v>
      </c>
      <c r="AU194" s="3">
        <f>infections!AU194-infections!AT194</f>
        <v>0</v>
      </c>
      <c r="AV194" s="3">
        <f>infections!AV194-infections!AU194</f>
        <v>4</v>
      </c>
      <c r="AW194" s="3">
        <f>infections!AW194-infections!AV194</f>
        <v>0</v>
      </c>
      <c r="AX194" s="3">
        <f>infections!AX194-infections!AW194</f>
        <v>0</v>
      </c>
      <c r="AY194" s="3">
        <f>infections!AY194-infections!AX194</f>
        <v>6</v>
      </c>
      <c r="AZ194" s="3">
        <f>infections!AZ194-infections!AY194</f>
        <v>4</v>
      </c>
      <c r="BA194" s="3">
        <f>infections!BA194-infections!AZ194</f>
        <v>5</v>
      </c>
      <c r="BB194" s="3">
        <f>infections!BB194-infections!BA194</f>
        <v>1</v>
      </c>
      <c r="BC194" s="3">
        <f>infections!BC194-infections!BB194</f>
        <v>24</v>
      </c>
      <c r="BD194" s="3">
        <f>infections!BD194-infections!BC194</f>
        <v>41</v>
      </c>
      <c r="BE194" s="3">
        <f>infections!BE194-infections!BD194</f>
        <v>17</v>
      </c>
      <c r="BF194" s="3">
        <f>infections!BF194-infections!BE194</f>
        <v>0</v>
      </c>
      <c r="BG194" s="3">
        <f>infections!BG194-infections!BF194</f>
        <v>15</v>
      </c>
      <c r="BH194" s="3">
        <f>infections!BH194-infections!BG194</f>
        <v>53</v>
      </c>
      <c r="BI194" s="3">
        <f>infections!BI194-infections!BH194</f>
        <v>0</v>
      </c>
      <c r="BJ194" s="3">
        <f>infections!BJ194-infections!BI194</f>
        <v>103</v>
      </c>
      <c r="BK194" s="3">
        <f>infections!BK194-infections!BJ194</f>
        <v>70</v>
      </c>
      <c r="BL194" s="3">
        <f>infections!BL194-infections!BK194</f>
        <v>48</v>
      </c>
      <c r="BM194" s="3">
        <f>infections!BM194-infections!BL194</f>
        <v>119</v>
      </c>
      <c r="BN194" s="3">
        <f>infections!BN194-infections!BM194</f>
        <v>51</v>
      </c>
      <c r="BO194" s="3">
        <f>infections!BO194-infections!BN194</f>
        <v>205</v>
      </c>
      <c r="BP194" s="3">
        <f>infections!BP194-infections!BO194</f>
        <v>133</v>
      </c>
      <c r="BQ194" s="3">
        <f>infections!BQ194-infections!BP194</f>
        <v>112</v>
      </c>
      <c r="BR194" s="3">
        <f>infections!BR194-infections!BQ194</f>
        <v>92</v>
      </c>
      <c r="BS194" s="3">
        <f>infections!BS194-infections!BR194</f>
        <v>99</v>
      </c>
      <c r="BT194" s="3">
        <f>infections!BT194-infections!BS194</f>
        <v>96</v>
      </c>
      <c r="BU194" s="3">
        <f>infections!BU194-infections!BT194</f>
        <v>154</v>
      </c>
      <c r="BV194" s="3">
        <f>infections!BV194-infections!BU194</f>
        <v>110</v>
      </c>
      <c r="BW194" s="3">
        <f>infections!BW194-infections!BV194</f>
        <v>157</v>
      </c>
      <c r="BX194" s="3">
        <f>infections!BX194-infections!BW194</f>
        <v>165</v>
      </c>
      <c r="BY194" s="3">
        <f>infections!BY194-infections!BX194</f>
        <v>154</v>
      </c>
    </row>
    <row r="195">
      <c r="B195" s="1" t="str">
        <f>infections!B195</f>
        <v>Senegal</v>
      </c>
      <c r="C195" s="4">
        <f>infections!C195</f>
        <v>14.4974</v>
      </c>
      <c r="D195" s="4">
        <f>infections!D195</f>
        <v>-14.4524</v>
      </c>
      <c r="E195" s="4">
        <f>infections!E195</f>
        <v>0</v>
      </c>
      <c r="F195" s="3">
        <f>infections!F195-infections!E195</f>
        <v>0</v>
      </c>
      <c r="G195" s="3">
        <f>infections!G195-infections!F195</f>
        <v>0</v>
      </c>
      <c r="H195" s="3">
        <f>infections!H195-infections!G195</f>
        <v>0</v>
      </c>
      <c r="I195" s="3">
        <f>infections!I195-infections!H195</f>
        <v>0</v>
      </c>
      <c r="J195" s="3">
        <f>infections!J195-infections!I195</f>
        <v>0</v>
      </c>
      <c r="K195" s="3">
        <f>infections!K195-infections!J195</f>
        <v>0</v>
      </c>
      <c r="L195" s="3">
        <f>infections!L195-infections!K195</f>
        <v>0</v>
      </c>
      <c r="M195" s="3">
        <f>infections!M195-infections!L195</f>
        <v>0</v>
      </c>
      <c r="N195" s="3">
        <f>infections!N195-infections!M195</f>
        <v>0</v>
      </c>
      <c r="O195" s="3">
        <f>infections!O195-infections!N195</f>
        <v>0</v>
      </c>
      <c r="P195" s="3">
        <f>infections!P195-infections!O195</f>
        <v>0</v>
      </c>
      <c r="Q195" s="3">
        <f>infections!Q195-infections!P195</f>
        <v>0</v>
      </c>
      <c r="R195" s="3">
        <f>infections!R195-infections!Q195</f>
        <v>0</v>
      </c>
      <c r="S195" s="3">
        <f>infections!S195-infections!R195</f>
        <v>0</v>
      </c>
      <c r="T195" s="3">
        <f>infections!T195-infections!S195</f>
        <v>0</v>
      </c>
      <c r="U195" s="3">
        <f>infections!U195-infections!T195</f>
        <v>0</v>
      </c>
      <c r="V195" s="3">
        <f>infections!V195-infections!U195</f>
        <v>0</v>
      </c>
      <c r="W195" s="3">
        <f>infections!W195-infections!V195</f>
        <v>0</v>
      </c>
      <c r="X195" s="3">
        <f>infections!X195-infections!W195</f>
        <v>0</v>
      </c>
      <c r="Y195" s="3">
        <f>infections!Y195-infections!X195</f>
        <v>0</v>
      </c>
      <c r="Z195" s="3">
        <f>infections!Z195-infections!Y195</f>
        <v>0</v>
      </c>
      <c r="AA195" s="3">
        <f>infections!AA195-infections!Z195</f>
        <v>0</v>
      </c>
      <c r="AB195" s="3">
        <f>infections!AB195-infections!AA195</f>
        <v>0</v>
      </c>
      <c r="AC195" s="3">
        <f>infections!AC195-infections!AB195</f>
        <v>0</v>
      </c>
      <c r="AD195" s="3">
        <f>infections!AD195-infections!AC195</f>
        <v>0</v>
      </c>
      <c r="AE195" s="3">
        <f>infections!AE195-infections!AD195</f>
        <v>0</v>
      </c>
      <c r="AF195" s="3">
        <f>infections!AF195-infections!AE195</f>
        <v>0</v>
      </c>
      <c r="AG195" s="3">
        <f>infections!AG195-infections!AF195</f>
        <v>0</v>
      </c>
      <c r="AH195" s="3">
        <f>infections!AH195-infections!AG195</f>
        <v>0</v>
      </c>
      <c r="AI195" s="3">
        <f>infections!AI195-infections!AH195</f>
        <v>0</v>
      </c>
      <c r="AJ195" s="3">
        <f>infections!AJ195-infections!AI195</f>
        <v>0</v>
      </c>
      <c r="AK195" s="3">
        <f>infections!AK195-infections!AJ195</f>
        <v>0</v>
      </c>
      <c r="AL195" s="3">
        <f>infections!AL195-infections!AK195</f>
        <v>0</v>
      </c>
      <c r="AM195" s="3">
        <f>infections!AM195-infections!AL195</f>
        <v>0</v>
      </c>
      <c r="AN195" s="3">
        <f>infections!AN195-infections!AM195</f>
        <v>0</v>
      </c>
      <c r="AO195" s="3">
        <f>infections!AO195-infections!AN195</f>
        <v>0</v>
      </c>
      <c r="AP195" s="3">
        <f>infections!AP195-infections!AO195</f>
        <v>0</v>
      </c>
      <c r="AQ195" s="3">
        <f>infections!AQ195-infections!AP195</f>
        <v>0</v>
      </c>
      <c r="AR195" s="3">
        <f>infections!AR195-infections!AQ195</f>
        <v>0</v>
      </c>
      <c r="AS195" s="3">
        <f>infections!AS195-infections!AR195</f>
        <v>1</v>
      </c>
      <c r="AT195" s="3">
        <f>infections!AT195-infections!AS195</f>
        <v>1</v>
      </c>
      <c r="AU195" s="3">
        <f>infections!AU195-infections!AT195</f>
        <v>2</v>
      </c>
      <c r="AV195" s="3">
        <f>infections!AV195-infections!AU195</f>
        <v>0</v>
      </c>
      <c r="AW195" s="3">
        <f>infections!AW195-infections!AV195</f>
        <v>0</v>
      </c>
      <c r="AX195" s="3">
        <f>infections!AX195-infections!AW195</f>
        <v>0</v>
      </c>
      <c r="AY195" s="3">
        <f>infections!AY195-infections!AX195</f>
        <v>0</v>
      </c>
      <c r="AZ195" s="3">
        <f>infections!AZ195-infections!AY195</f>
        <v>0</v>
      </c>
      <c r="BA195" s="3">
        <f>infections!BA195-infections!AZ195</f>
        <v>0</v>
      </c>
      <c r="BB195" s="3">
        <f>infections!BB195-infections!BA195</f>
        <v>0</v>
      </c>
      <c r="BC195" s="3">
        <f>infections!BC195-infections!BB195</f>
        <v>0</v>
      </c>
      <c r="BD195" s="3">
        <f>infections!BD195-infections!BC195</f>
        <v>6</v>
      </c>
      <c r="BE195" s="3">
        <f>infections!BE195-infections!BD195</f>
        <v>0</v>
      </c>
      <c r="BF195" s="3">
        <f>infections!BF195-infections!BE195</f>
        <v>14</v>
      </c>
      <c r="BG195" s="3">
        <f>infections!BG195-infections!BF195</f>
        <v>0</v>
      </c>
      <c r="BH195" s="3">
        <f>infections!BH195-infections!BG195</f>
        <v>2</v>
      </c>
      <c r="BI195" s="3">
        <f>infections!BI195-infections!BH195</f>
        <v>5</v>
      </c>
      <c r="BJ195" s="3">
        <f>infections!BJ195-infections!BI195</f>
        <v>0</v>
      </c>
      <c r="BK195" s="3">
        <f>infections!BK195-infections!BJ195</f>
        <v>7</v>
      </c>
      <c r="BL195" s="3">
        <f>infections!BL195-infections!BK195</f>
        <v>9</v>
      </c>
      <c r="BM195" s="3">
        <f>infections!BM195-infections!BL195</f>
        <v>20</v>
      </c>
      <c r="BN195" s="3">
        <f>infections!BN195-infections!BM195</f>
        <v>12</v>
      </c>
      <c r="BO195" s="3">
        <f>infections!BO195-infections!BN195</f>
        <v>7</v>
      </c>
      <c r="BP195" s="3">
        <f>infections!BP195-infections!BO195</f>
        <v>13</v>
      </c>
      <c r="BQ195" s="3">
        <f>infections!BQ195-infections!BP195</f>
        <v>6</v>
      </c>
      <c r="BR195" s="3">
        <f>infections!BR195-infections!BQ195</f>
        <v>14</v>
      </c>
      <c r="BS195" s="3">
        <f>infections!BS195-infections!BR195</f>
        <v>11</v>
      </c>
      <c r="BT195" s="3">
        <f>infections!BT195-infections!BS195</f>
        <v>12</v>
      </c>
      <c r="BU195" s="3">
        <f>infections!BU195-infections!BT195</f>
        <v>20</v>
      </c>
      <c r="BV195" s="3">
        <f>infections!BV195-infections!BU195</f>
        <v>13</v>
      </c>
      <c r="BW195" s="3">
        <f>infections!BW195-infections!BV195</f>
        <v>15</v>
      </c>
      <c r="BX195" s="3">
        <f>infections!BX195-infections!BW195</f>
        <v>5</v>
      </c>
      <c r="BY195" s="3">
        <f>infections!BY195-infections!BX195</f>
        <v>12</v>
      </c>
    </row>
    <row r="196">
      <c r="B196" s="1" t="str">
        <f>infections!B196</f>
        <v>Serbia</v>
      </c>
      <c r="C196" s="4">
        <f>infections!C196</f>
        <v>44.0165</v>
      </c>
      <c r="D196" s="4">
        <f>infections!D196</f>
        <v>21.0059</v>
      </c>
      <c r="E196" s="4">
        <f>infections!E196</f>
        <v>0</v>
      </c>
      <c r="F196" s="3">
        <f>infections!F196-infections!E196</f>
        <v>0</v>
      </c>
      <c r="G196" s="3">
        <f>infections!G196-infections!F196</f>
        <v>0</v>
      </c>
      <c r="H196" s="3">
        <f>infections!H196-infections!G196</f>
        <v>0</v>
      </c>
      <c r="I196" s="3">
        <f>infections!I196-infections!H196</f>
        <v>0</v>
      </c>
      <c r="J196" s="3">
        <f>infections!J196-infections!I196</f>
        <v>0</v>
      </c>
      <c r="K196" s="3">
        <f>infections!K196-infections!J196</f>
        <v>0</v>
      </c>
      <c r="L196" s="3">
        <f>infections!L196-infections!K196</f>
        <v>0</v>
      </c>
      <c r="M196" s="3">
        <f>infections!M196-infections!L196</f>
        <v>0</v>
      </c>
      <c r="N196" s="3">
        <f>infections!N196-infections!M196</f>
        <v>0</v>
      </c>
      <c r="O196" s="3">
        <f>infections!O196-infections!N196</f>
        <v>0</v>
      </c>
      <c r="P196" s="3">
        <f>infections!P196-infections!O196</f>
        <v>0</v>
      </c>
      <c r="Q196" s="3">
        <f>infections!Q196-infections!P196</f>
        <v>0</v>
      </c>
      <c r="R196" s="3">
        <f>infections!R196-infections!Q196</f>
        <v>0</v>
      </c>
      <c r="S196" s="3">
        <f>infections!S196-infections!R196</f>
        <v>0</v>
      </c>
      <c r="T196" s="3">
        <f>infections!T196-infections!S196</f>
        <v>0</v>
      </c>
      <c r="U196" s="3">
        <f>infections!U196-infections!T196</f>
        <v>0</v>
      </c>
      <c r="V196" s="3">
        <f>infections!V196-infections!U196</f>
        <v>0</v>
      </c>
      <c r="W196" s="3">
        <f>infections!W196-infections!V196</f>
        <v>0</v>
      </c>
      <c r="X196" s="3">
        <f>infections!X196-infections!W196</f>
        <v>0</v>
      </c>
      <c r="Y196" s="3">
        <f>infections!Y196-infections!X196</f>
        <v>0</v>
      </c>
      <c r="Z196" s="3">
        <f>infections!Z196-infections!Y196</f>
        <v>0</v>
      </c>
      <c r="AA196" s="3">
        <f>infections!AA196-infections!Z196</f>
        <v>0</v>
      </c>
      <c r="AB196" s="3">
        <f>infections!AB196-infections!AA196</f>
        <v>0</v>
      </c>
      <c r="AC196" s="3">
        <f>infections!AC196-infections!AB196</f>
        <v>0</v>
      </c>
      <c r="AD196" s="3">
        <f>infections!AD196-infections!AC196</f>
        <v>0</v>
      </c>
      <c r="AE196" s="3">
        <f>infections!AE196-infections!AD196</f>
        <v>0</v>
      </c>
      <c r="AF196" s="3">
        <f>infections!AF196-infections!AE196</f>
        <v>0</v>
      </c>
      <c r="AG196" s="3">
        <f>infections!AG196-infections!AF196</f>
        <v>0</v>
      </c>
      <c r="AH196" s="3">
        <f>infections!AH196-infections!AG196</f>
        <v>0</v>
      </c>
      <c r="AI196" s="3">
        <f>infections!AI196-infections!AH196</f>
        <v>0</v>
      </c>
      <c r="AJ196" s="3">
        <f>infections!AJ196-infections!AI196</f>
        <v>0</v>
      </c>
      <c r="AK196" s="3">
        <f>infections!AK196-infections!AJ196</f>
        <v>0</v>
      </c>
      <c r="AL196" s="3">
        <f>infections!AL196-infections!AK196</f>
        <v>0</v>
      </c>
      <c r="AM196" s="3">
        <f>infections!AM196-infections!AL196</f>
        <v>0</v>
      </c>
      <c r="AN196" s="3">
        <f>infections!AN196-infections!AM196</f>
        <v>0</v>
      </c>
      <c r="AO196" s="3">
        <f>infections!AO196-infections!AN196</f>
        <v>0</v>
      </c>
      <c r="AP196" s="3">
        <f>infections!AP196-infections!AO196</f>
        <v>0</v>
      </c>
      <c r="AQ196" s="3">
        <f>infections!AQ196-infections!AP196</f>
        <v>0</v>
      </c>
      <c r="AR196" s="3">
        <f>infections!AR196-infections!AQ196</f>
        <v>0</v>
      </c>
      <c r="AS196" s="3">
        <f>infections!AS196-infections!AR196</f>
        <v>0</v>
      </c>
      <c r="AT196" s="3">
        <f>infections!AT196-infections!AS196</f>
        <v>0</v>
      </c>
      <c r="AU196" s="3">
        <f>infections!AU196-infections!AT196</f>
        <v>0</v>
      </c>
      <c r="AV196" s="3">
        <f>infections!AV196-infections!AU196</f>
        <v>0</v>
      </c>
      <c r="AW196" s="3">
        <f>infections!AW196-infections!AV196</f>
        <v>1</v>
      </c>
      <c r="AX196" s="3">
        <f>infections!AX196-infections!AW196</f>
        <v>0</v>
      </c>
      <c r="AY196" s="3">
        <f>infections!AY196-infections!AX196</f>
        <v>0</v>
      </c>
      <c r="AZ196" s="3">
        <f>infections!AZ196-infections!AY196</f>
        <v>0</v>
      </c>
      <c r="BA196" s="3">
        <f>infections!BA196-infections!AZ196</f>
        <v>4</v>
      </c>
      <c r="BB196" s="3">
        <f>infections!BB196-infections!BA196</f>
        <v>7</v>
      </c>
      <c r="BC196" s="3">
        <f>infections!BC196-infections!BB196</f>
        <v>7</v>
      </c>
      <c r="BD196" s="3">
        <f>infections!BD196-infections!BC196</f>
        <v>16</v>
      </c>
      <c r="BE196" s="3">
        <f>infections!BE196-infections!BD196</f>
        <v>11</v>
      </c>
      <c r="BF196" s="3">
        <f>infections!BF196-infections!BE196</f>
        <v>2</v>
      </c>
      <c r="BG196" s="3">
        <f>infections!BG196-infections!BF196</f>
        <v>7</v>
      </c>
      <c r="BH196" s="3">
        <f>infections!BH196-infections!BG196</f>
        <v>10</v>
      </c>
      <c r="BI196" s="3">
        <f>infections!BI196-infections!BH196</f>
        <v>18</v>
      </c>
      <c r="BJ196" s="3">
        <f>infections!BJ196-infections!BI196</f>
        <v>20</v>
      </c>
      <c r="BK196" s="3">
        <f>infections!BK196-infections!BJ196</f>
        <v>32</v>
      </c>
      <c r="BL196" s="3">
        <f>infections!BL196-infections!BK196</f>
        <v>36</v>
      </c>
      <c r="BM196" s="3">
        <f>infections!BM196-infections!BL196</f>
        <v>51</v>
      </c>
      <c r="BN196" s="3">
        <f>infections!BN196-infections!BM196</f>
        <v>27</v>
      </c>
      <c r="BO196" s="3">
        <f>infections!BO196-infections!BN196</f>
        <v>54</v>
      </c>
      <c r="BP196" s="3">
        <f>infections!BP196-infections!BO196</f>
        <v>81</v>
      </c>
      <c r="BQ196" s="3">
        <f>infections!BQ196-infections!BP196</f>
        <v>0</v>
      </c>
      <c r="BR196" s="3">
        <f>infections!BR196-infections!BQ196</f>
        <v>73</v>
      </c>
      <c r="BS196" s="3">
        <f>infections!BS196-infections!BR196</f>
        <v>202</v>
      </c>
      <c r="BT196" s="3">
        <f>infections!BT196-infections!BS196</f>
        <v>82</v>
      </c>
      <c r="BU196" s="3">
        <f>infections!BU196-infections!BT196</f>
        <v>44</v>
      </c>
      <c r="BV196" s="3">
        <f>infections!BV196-infections!BU196</f>
        <v>115</v>
      </c>
      <c r="BW196" s="3">
        <f>infections!BW196-infections!BV196</f>
        <v>160</v>
      </c>
      <c r="BX196" s="3">
        <f>infections!BX196-infections!BW196</f>
        <v>111</v>
      </c>
      <c r="BY196" s="3">
        <f>infections!BY196-infections!BX196</f>
        <v>305</v>
      </c>
    </row>
    <row r="197">
      <c r="B197" s="1" t="str">
        <f>infections!B197</f>
        <v>Seychelles</v>
      </c>
      <c r="C197" s="4">
        <f>infections!C197</f>
        <v>-4.6796</v>
      </c>
      <c r="D197" s="4">
        <f>infections!D197</f>
        <v>55.492</v>
      </c>
      <c r="E197" s="4">
        <f>infections!E197</f>
        <v>0</v>
      </c>
      <c r="F197" s="3">
        <f>infections!F197-infections!E197</f>
        <v>0</v>
      </c>
      <c r="G197" s="3">
        <f>infections!G197-infections!F197</f>
        <v>0</v>
      </c>
      <c r="H197" s="3">
        <f>infections!H197-infections!G197</f>
        <v>0</v>
      </c>
      <c r="I197" s="3">
        <f>infections!I197-infections!H197</f>
        <v>0</v>
      </c>
      <c r="J197" s="3">
        <f>infections!J197-infections!I197</f>
        <v>0</v>
      </c>
      <c r="K197" s="3">
        <f>infections!K197-infections!J197</f>
        <v>0</v>
      </c>
      <c r="L197" s="3">
        <f>infections!L197-infections!K197</f>
        <v>0</v>
      </c>
      <c r="M197" s="3">
        <f>infections!M197-infections!L197</f>
        <v>0</v>
      </c>
      <c r="N197" s="3">
        <f>infections!N197-infections!M197</f>
        <v>0</v>
      </c>
      <c r="O197" s="3">
        <f>infections!O197-infections!N197</f>
        <v>0</v>
      </c>
      <c r="P197" s="3">
        <f>infections!P197-infections!O197</f>
        <v>0</v>
      </c>
      <c r="Q197" s="3">
        <f>infections!Q197-infections!P197</f>
        <v>0</v>
      </c>
      <c r="R197" s="3">
        <f>infections!R197-infections!Q197</f>
        <v>0</v>
      </c>
      <c r="S197" s="3">
        <f>infections!S197-infections!R197</f>
        <v>0</v>
      </c>
      <c r="T197" s="3">
        <f>infections!T197-infections!S197</f>
        <v>0</v>
      </c>
      <c r="U197" s="3">
        <f>infections!U197-infections!T197</f>
        <v>0</v>
      </c>
      <c r="V197" s="3">
        <f>infections!V197-infections!U197</f>
        <v>0</v>
      </c>
      <c r="W197" s="3">
        <f>infections!W197-infections!V197</f>
        <v>0</v>
      </c>
      <c r="X197" s="3">
        <f>infections!X197-infections!W197</f>
        <v>0</v>
      </c>
      <c r="Y197" s="3">
        <f>infections!Y197-infections!X197</f>
        <v>0</v>
      </c>
      <c r="Z197" s="3">
        <f>infections!Z197-infections!Y197</f>
        <v>0</v>
      </c>
      <c r="AA197" s="3">
        <f>infections!AA197-infections!Z197</f>
        <v>0</v>
      </c>
      <c r="AB197" s="3">
        <f>infections!AB197-infections!AA197</f>
        <v>0</v>
      </c>
      <c r="AC197" s="3">
        <f>infections!AC197-infections!AB197</f>
        <v>0</v>
      </c>
      <c r="AD197" s="3">
        <f>infections!AD197-infections!AC197</f>
        <v>0</v>
      </c>
      <c r="AE197" s="3">
        <f>infections!AE197-infections!AD197</f>
        <v>0</v>
      </c>
      <c r="AF197" s="3">
        <f>infections!AF197-infections!AE197</f>
        <v>0</v>
      </c>
      <c r="AG197" s="3">
        <f>infections!AG197-infections!AF197</f>
        <v>0</v>
      </c>
      <c r="AH197" s="3">
        <f>infections!AH197-infections!AG197</f>
        <v>0</v>
      </c>
      <c r="AI197" s="3">
        <f>infections!AI197-infections!AH197</f>
        <v>0</v>
      </c>
      <c r="AJ197" s="3">
        <f>infections!AJ197-infections!AI197</f>
        <v>0</v>
      </c>
      <c r="AK197" s="3">
        <f>infections!AK197-infections!AJ197</f>
        <v>0</v>
      </c>
      <c r="AL197" s="3">
        <f>infections!AL197-infections!AK197</f>
        <v>0</v>
      </c>
      <c r="AM197" s="3">
        <f>infections!AM197-infections!AL197</f>
        <v>0</v>
      </c>
      <c r="AN197" s="3">
        <f>infections!AN197-infections!AM197</f>
        <v>0</v>
      </c>
      <c r="AO197" s="3">
        <f>infections!AO197-infections!AN197</f>
        <v>0</v>
      </c>
      <c r="AP197" s="3">
        <f>infections!AP197-infections!AO197</f>
        <v>0</v>
      </c>
      <c r="AQ197" s="3">
        <f>infections!AQ197-infections!AP197</f>
        <v>0</v>
      </c>
      <c r="AR197" s="3">
        <f>infections!AR197-infections!AQ197</f>
        <v>0</v>
      </c>
      <c r="AS197" s="3">
        <f>infections!AS197-infections!AR197</f>
        <v>0</v>
      </c>
      <c r="AT197" s="3">
        <f>infections!AT197-infections!AS197</f>
        <v>0</v>
      </c>
      <c r="AU197" s="3">
        <f>infections!AU197-infections!AT197</f>
        <v>0</v>
      </c>
      <c r="AV197" s="3">
        <f>infections!AV197-infections!AU197</f>
        <v>0</v>
      </c>
      <c r="AW197" s="3">
        <f>infections!AW197-infections!AV197</f>
        <v>0</v>
      </c>
      <c r="AX197" s="3">
        <f>infections!AX197-infections!AW197</f>
        <v>0</v>
      </c>
      <c r="AY197" s="3">
        <f>infections!AY197-infections!AX197</f>
        <v>0</v>
      </c>
      <c r="AZ197" s="3">
        <f>infections!AZ197-infections!AY197</f>
        <v>0</v>
      </c>
      <c r="BA197" s="3">
        <f>infections!BA197-infections!AZ197</f>
        <v>0</v>
      </c>
      <c r="BB197" s="3">
        <f>infections!BB197-infections!BA197</f>
        <v>0</v>
      </c>
      <c r="BC197" s="3">
        <f>infections!BC197-infections!BB197</f>
        <v>0</v>
      </c>
      <c r="BD197" s="3">
        <f>infections!BD197-infections!BC197</f>
        <v>0</v>
      </c>
      <c r="BE197" s="3">
        <f>infections!BE197-infections!BD197</f>
        <v>2</v>
      </c>
      <c r="BF197" s="3">
        <f>infections!BF197-infections!BE197</f>
        <v>0</v>
      </c>
      <c r="BG197" s="3">
        <f>infections!BG197-infections!BF197</f>
        <v>1</v>
      </c>
      <c r="BH197" s="3">
        <f>infections!BH197-infections!BG197</f>
        <v>1</v>
      </c>
      <c r="BI197" s="3">
        <f>infections!BI197-infections!BH197</f>
        <v>0</v>
      </c>
      <c r="BJ197" s="3">
        <f>infections!BJ197-infections!BI197</f>
        <v>2</v>
      </c>
      <c r="BK197" s="3">
        <f>infections!BK197-infections!BJ197</f>
        <v>1</v>
      </c>
      <c r="BL197" s="3">
        <f>infections!BL197-infections!BK197</f>
        <v>0</v>
      </c>
      <c r="BM197" s="3">
        <f>infections!BM197-infections!BL197</f>
        <v>0</v>
      </c>
      <c r="BN197" s="3">
        <f>infections!BN197-infections!BM197</f>
        <v>0</v>
      </c>
      <c r="BO197" s="3">
        <f>infections!BO197-infections!BN197</f>
        <v>0</v>
      </c>
      <c r="BP197" s="3">
        <f>infections!BP197-infections!BO197</f>
        <v>0</v>
      </c>
      <c r="BQ197" s="3">
        <f>infections!BQ197-infections!BP197</f>
        <v>0</v>
      </c>
      <c r="BR197" s="3">
        <f>infections!BR197-infections!BQ197</f>
        <v>0</v>
      </c>
      <c r="BS197" s="3">
        <f>infections!BS197-infections!BR197</f>
        <v>1</v>
      </c>
      <c r="BT197" s="3">
        <f>infections!BT197-infections!BS197</f>
        <v>0</v>
      </c>
      <c r="BU197" s="3">
        <f>infections!BU197-infections!BT197</f>
        <v>0</v>
      </c>
      <c r="BV197" s="3">
        <f>infections!BV197-infections!BU197</f>
        <v>2</v>
      </c>
      <c r="BW197" s="3">
        <f>infections!BW197-infections!BV197</f>
        <v>0</v>
      </c>
      <c r="BX197" s="3">
        <f>infections!BX197-infections!BW197</f>
        <v>0</v>
      </c>
      <c r="BY197" s="3">
        <f>infections!BY197-infections!BX197</f>
        <v>0</v>
      </c>
    </row>
    <row r="198">
      <c r="B198" s="1" t="str">
        <f>infections!B198</f>
        <v>Singapore</v>
      </c>
      <c r="C198" s="4">
        <f>infections!C198</f>
        <v>1.2833</v>
      </c>
      <c r="D198" s="4">
        <f>infections!D198</f>
        <v>103.8333</v>
      </c>
      <c r="E198" s="4">
        <f>infections!E198</f>
        <v>0</v>
      </c>
      <c r="F198" s="3">
        <f>infections!F198-infections!E198</f>
        <v>1</v>
      </c>
      <c r="G198" s="3">
        <f>infections!G198-infections!F198</f>
        <v>2</v>
      </c>
      <c r="H198" s="3">
        <f>infections!H198-infections!G198</f>
        <v>0</v>
      </c>
      <c r="I198" s="3">
        <f>infections!I198-infections!H198</f>
        <v>1</v>
      </c>
      <c r="J198" s="3">
        <f>infections!J198-infections!I198</f>
        <v>1</v>
      </c>
      <c r="K198" s="3">
        <f>infections!K198-infections!J198</f>
        <v>2</v>
      </c>
      <c r="L198" s="3">
        <f>infections!L198-infections!K198</f>
        <v>0</v>
      </c>
      <c r="M198" s="3">
        <f>infections!M198-infections!L198</f>
        <v>3</v>
      </c>
      <c r="N198" s="3">
        <f>infections!N198-infections!M198</f>
        <v>3</v>
      </c>
      <c r="O198" s="3">
        <f>infections!O198-infections!N198</f>
        <v>3</v>
      </c>
      <c r="P198" s="3">
        <f>infections!P198-infections!O198</f>
        <v>2</v>
      </c>
      <c r="Q198" s="3">
        <f>infections!Q198-infections!P198</f>
        <v>0</v>
      </c>
      <c r="R198" s="3">
        <f>infections!R198-infections!Q198</f>
        <v>6</v>
      </c>
      <c r="S198" s="3">
        <f>infections!S198-infections!R198</f>
        <v>4</v>
      </c>
      <c r="T198" s="3">
        <f>infections!T198-infections!S198</f>
        <v>0</v>
      </c>
      <c r="U198" s="3">
        <f>infections!U198-infections!T198</f>
        <v>2</v>
      </c>
      <c r="V198" s="3">
        <f>infections!V198-infections!U198</f>
        <v>3</v>
      </c>
      <c r="W198" s="3">
        <f>infections!W198-infections!V198</f>
        <v>7</v>
      </c>
      <c r="X198" s="3">
        <f>infections!X198-infections!W198</f>
        <v>5</v>
      </c>
      <c r="Y198" s="3">
        <f>infections!Y198-infections!X198</f>
        <v>2</v>
      </c>
      <c r="Z198" s="3">
        <f>infections!Z198-infections!Y198</f>
        <v>3</v>
      </c>
      <c r="AA198" s="3">
        <f>infections!AA198-infections!Z198</f>
        <v>8</v>
      </c>
      <c r="AB198" s="3">
        <f>infections!AB198-infections!AA198</f>
        <v>9</v>
      </c>
      <c r="AC198" s="3">
        <f>infections!AC198-infections!AB198</f>
        <v>5</v>
      </c>
      <c r="AD198" s="3">
        <f>infections!AD198-infections!AC198</f>
        <v>3</v>
      </c>
      <c r="AE198" s="3">
        <f>infections!AE198-infections!AD198</f>
        <v>2</v>
      </c>
      <c r="AF198" s="3">
        <f>infections!AF198-infections!AE198</f>
        <v>4</v>
      </c>
      <c r="AG198" s="3">
        <f>infections!AG198-infections!AF198</f>
        <v>3</v>
      </c>
      <c r="AH198" s="3">
        <f>infections!AH198-infections!AG198</f>
        <v>0</v>
      </c>
      <c r="AI198" s="3">
        <f>infections!AI198-infections!AH198</f>
        <v>1</v>
      </c>
      <c r="AJ198" s="3">
        <f>infections!AJ198-infections!AI198</f>
        <v>0</v>
      </c>
      <c r="AK198" s="3">
        <f>infections!AK198-infections!AJ198</f>
        <v>4</v>
      </c>
      <c r="AL198" s="3">
        <f>infections!AL198-infections!AK198</f>
        <v>0</v>
      </c>
      <c r="AM198" s="3">
        <f>infections!AM198-infections!AL198</f>
        <v>2</v>
      </c>
      <c r="AN198" s="3">
        <f>infections!AN198-infections!AM198</f>
        <v>2</v>
      </c>
      <c r="AO198" s="3">
        <f>infections!AO198-infections!AN198</f>
        <v>0</v>
      </c>
      <c r="AP198" s="3">
        <f>infections!AP198-infections!AO198</f>
        <v>0</v>
      </c>
      <c r="AQ198" s="3">
        <f>infections!AQ198-infections!AP198</f>
        <v>9</v>
      </c>
      <c r="AR198" s="3">
        <f>infections!AR198-infections!AQ198</f>
        <v>4</v>
      </c>
      <c r="AS198" s="3">
        <f>infections!AS198-infections!AR198</f>
        <v>2</v>
      </c>
      <c r="AT198" s="3">
        <f>infections!AT198-infections!AS198</f>
        <v>2</v>
      </c>
      <c r="AU198" s="3">
        <f>infections!AU198-infections!AT198</f>
        <v>0</v>
      </c>
      <c r="AV198" s="3">
        <f>infections!AV198-infections!AU198</f>
        <v>7</v>
      </c>
      <c r="AW198" s="3">
        <f>infections!AW198-infections!AV198</f>
        <v>13</v>
      </c>
      <c r="AX198" s="3">
        <f>infections!AX198-infections!AW198</f>
        <v>8</v>
      </c>
      <c r="AY198" s="3">
        <f>infections!AY198-infections!AX198</f>
        <v>12</v>
      </c>
      <c r="AZ198" s="3">
        <f>infections!AZ198-infections!AY198</f>
        <v>0</v>
      </c>
      <c r="BA198" s="3">
        <f>infections!BA198-infections!AZ198</f>
        <v>10</v>
      </c>
      <c r="BB198" s="3">
        <f>infections!BB198-infections!BA198</f>
        <v>18</v>
      </c>
      <c r="BC198" s="3">
        <f>infections!BC198-infections!BB198</f>
        <v>0</v>
      </c>
      <c r="BD198" s="3">
        <f>infections!BD198-infections!BC198</f>
        <v>22</v>
      </c>
      <c r="BE198" s="3">
        <f>infections!BE198-infections!BD198</f>
        <v>12</v>
      </c>
      <c r="BF198" s="3">
        <f>infections!BF198-infections!BE198</f>
        <v>14</v>
      </c>
      <c r="BG198" s="3">
        <f>infections!BG198-infections!BF198</f>
        <v>17</v>
      </c>
      <c r="BH198" s="3">
        <f>infections!BH198-infections!BG198</f>
        <v>23</v>
      </c>
      <c r="BI198" s="3">
        <f>infections!BI198-infections!BH198</f>
        <v>47</v>
      </c>
      <c r="BJ198" s="3">
        <f>infections!BJ198-infections!BI198</f>
        <v>32</v>
      </c>
      <c r="BK198" s="3">
        <f>infections!BK198-infections!BJ198</f>
        <v>40</v>
      </c>
      <c r="BL198" s="3">
        <f>infections!BL198-infections!BK198</f>
        <v>47</v>
      </c>
      <c r="BM198" s="3">
        <f>infections!BM198-infections!BL198</f>
        <v>23</v>
      </c>
      <c r="BN198" s="3">
        <f>infections!BN198-infections!BM198</f>
        <v>54</v>
      </c>
      <c r="BO198" s="3">
        <f>infections!BO198-infections!BN198</f>
        <v>49</v>
      </c>
      <c r="BP198" s="3">
        <f>infections!BP198-infections!BO198</f>
        <v>73</v>
      </c>
      <c r="BQ198" s="3">
        <f>infections!BQ198-infections!BP198</f>
        <v>52</v>
      </c>
      <c r="BR198" s="3">
        <f>infections!BR198-infections!BQ198</f>
        <v>49</v>
      </c>
      <c r="BS198" s="3">
        <f>infections!BS198-infections!BR198</f>
        <v>70</v>
      </c>
      <c r="BT198" s="3">
        <f>infections!BT198-infections!BS198</f>
        <v>42</v>
      </c>
      <c r="BU198" s="3">
        <f>infections!BU198-infections!BT198</f>
        <v>35</v>
      </c>
      <c r="BV198" s="3">
        <f>infections!BV198-infections!BU198</f>
        <v>47</v>
      </c>
      <c r="BW198" s="3">
        <f>infections!BW198-infections!BV198</f>
        <v>74</v>
      </c>
      <c r="BX198" s="3">
        <f>infections!BX198-infections!BW198</f>
        <v>49</v>
      </c>
      <c r="BY198" s="3">
        <f>infections!BY198-infections!BX198</f>
        <v>65</v>
      </c>
    </row>
    <row r="199">
      <c r="B199" s="1" t="str">
        <f>infections!B199</f>
        <v>Slovakia</v>
      </c>
      <c r="C199" s="4">
        <f>infections!C199</f>
        <v>48.669</v>
      </c>
      <c r="D199" s="4">
        <f>infections!D199</f>
        <v>19.699</v>
      </c>
      <c r="E199" s="4">
        <f>infections!E199</f>
        <v>0</v>
      </c>
      <c r="F199" s="3">
        <f>infections!F199-infections!E199</f>
        <v>0</v>
      </c>
      <c r="G199" s="3">
        <f>infections!G199-infections!F199</f>
        <v>0</v>
      </c>
      <c r="H199" s="3">
        <f>infections!H199-infections!G199</f>
        <v>0</v>
      </c>
      <c r="I199" s="3">
        <f>infections!I199-infections!H199</f>
        <v>0</v>
      </c>
      <c r="J199" s="3">
        <f>infections!J199-infections!I199</f>
        <v>0</v>
      </c>
      <c r="K199" s="3">
        <f>infections!K199-infections!J199</f>
        <v>0</v>
      </c>
      <c r="L199" s="3">
        <f>infections!L199-infections!K199</f>
        <v>0</v>
      </c>
      <c r="M199" s="3">
        <f>infections!M199-infections!L199</f>
        <v>0</v>
      </c>
      <c r="N199" s="3">
        <f>infections!N199-infections!M199</f>
        <v>0</v>
      </c>
      <c r="O199" s="3">
        <f>infections!O199-infections!N199</f>
        <v>0</v>
      </c>
      <c r="P199" s="3">
        <f>infections!P199-infections!O199</f>
        <v>0</v>
      </c>
      <c r="Q199" s="3">
        <f>infections!Q199-infections!P199</f>
        <v>0</v>
      </c>
      <c r="R199" s="3">
        <f>infections!R199-infections!Q199</f>
        <v>0</v>
      </c>
      <c r="S199" s="3">
        <f>infections!S199-infections!R199</f>
        <v>0</v>
      </c>
      <c r="T199" s="3">
        <f>infections!T199-infections!S199</f>
        <v>0</v>
      </c>
      <c r="U199" s="3">
        <f>infections!U199-infections!T199</f>
        <v>0</v>
      </c>
      <c r="V199" s="3">
        <f>infections!V199-infections!U199</f>
        <v>0</v>
      </c>
      <c r="W199" s="3">
        <f>infections!W199-infections!V199</f>
        <v>0</v>
      </c>
      <c r="X199" s="3">
        <f>infections!X199-infections!W199</f>
        <v>0</v>
      </c>
      <c r="Y199" s="3">
        <f>infections!Y199-infections!X199</f>
        <v>0</v>
      </c>
      <c r="Z199" s="3">
        <f>infections!Z199-infections!Y199</f>
        <v>0</v>
      </c>
      <c r="AA199" s="3">
        <f>infections!AA199-infections!Z199</f>
        <v>0</v>
      </c>
      <c r="AB199" s="3">
        <f>infections!AB199-infections!AA199</f>
        <v>0</v>
      </c>
      <c r="AC199" s="3">
        <f>infections!AC199-infections!AB199</f>
        <v>0</v>
      </c>
      <c r="AD199" s="3">
        <f>infections!AD199-infections!AC199</f>
        <v>0</v>
      </c>
      <c r="AE199" s="3">
        <f>infections!AE199-infections!AD199</f>
        <v>0</v>
      </c>
      <c r="AF199" s="3">
        <f>infections!AF199-infections!AE199</f>
        <v>0</v>
      </c>
      <c r="AG199" s="3">
        <f>infections!AG199-infections!AF199</f>
        <v>0</v>
      </c>
      <c r="AH199" s="3">
        <f>infections!AH199-infections!AG199</f>
        <v>0</v>
      </c>
      <c r="AI199" s="3">
        <f>infections!AI199-infections!AH199</f>
        <v>0</v>
      </c>
      <c r="AJ199" s="3">
        <f>infections!AJ199-infections!AI199</f>
        <v>0</v>
      </c>
      <c r="AK199" s="3">
        <f>infections!AK199-infections!AJ199</f>
        <v>0</v>
      </c>
      <c r="AL199" s="3">
        <f>infections!AL199-infections!AK199</f>
        <v>0</v>
      </c>
      <c r="AM199" s="3">
        <f>infections!AM199-infections!AL199</f>
        <v>0</v>
      </c>
      <c r="AN199" s="3">
        <f>infections!AN199-infections!AM199</f>
        <v>0</v>
      </c>
      <c r="AO199" s="3">
        <f>infections!AO199-infections!AN199</f>
        <v>0</v>
      </c>
      <c r="AP199" s="3">
        <f>infections!AP199-infections!AO199</f>
        <v>0</v>
      </c>
      <c r="AQ199" s="3">
        <f>infections!AQ199-infections!AP199</f>
        <v>0</v>
      </c>
      <c r="AR199" s="3">
        <f>infections!AR199-infections!AQ199</f>
        <v>0</v>
      </c>
      <c r="AS199" s="3">
        <f>infections!AS199-infections!AR199</f>
        <v>0</v>
      </c>
      <c r="AT199" s="3">
        <f>infections!AT199-infections!AS199</f>
        <v>0</v>
      </c>
      <c r="AU199" s="3">
        <f>infections!AU199-infections!AT199</f>
        <v>0</v>
      </c>
      <c r="AV199" s="3">
        <f>infections!AV199-infections!AU199</f>
        <v>0</v>
      </c>
      <c r="AW199" s="3">
        <f>infections!AW199-infections!AV199</f>
        <v>1</v>
      </c>
      <c r="AX199" s="3">
        <f>infections!AX199-infections!AW199</f>
        <v>0</v>
      </c>
      <c r="AY199" s="3">
        <f>infections!AY199-infections!AX199</f>
        <v>2</v>
      </c>
      <c r="AZ199" s="3">
        <f>infections!AZ199-infections!AY199</f>
        <v>0</v>
      </c>
      <c r="BA199" s="3">
        <f>infections!BA199-infections!AZ199</f>
        <v>4</v>
      </c>
      <c r="BB199" s="3">
        <f>infections!BB199-infections!BA199</f>
        <v>3</v>
      </c>
      <c r="BC199" s="3">
        <f>infections!BC199-infections!BB199</f>
        <v>6</v>
      </c>
      <c r="BD199" s="3">
        <f>infections!BD199-infections!BC199</f>
        <v>16</v>
      </c>
      <c r="BE199" s="3">
        <f>infections!BE199-infections!BD199</f>
        <v>12</v>
      </c>
      <c r="BF199" s="3">
        <f>infections!BF199-infections!BE199</f>
        <v>10</v>
      </c>
      <c r="BG199" s="3">
        <f>infections!BG199-infections!BF199</f>
        <v>9</v>
      </c>
      <c r="BH199" s="3">
        <f>infections!BH199-infections!BG199</f>
        <v>9</v>
      </c>
      <c r="BI199" s="3">
        <f>infections!BI199-infections!BH199</f>
        <v>33</v>
      </c>
      <c r="BJ199" s="3">
        <f>infections!BJ199-infections!BI199</f>
        <v>18</v>
      </c>
      <c r="BK199" s="3">
        <f>infections!BK199-infections!BJ199</f>
        <v>14</v>
      </c>
      <c r="BL199" s="3">
        <f>infections!BL199-infections!BK199</f>
        <v>41</v>
      </c>
      <c r="BM199" s="3">
        <f>infections!BM199-infections!BL199</f>
        <v>7</v>
      </c>
      <c r="BN199" s="3">
        <f>infections!BN199-infections!BM199</f>
        <v>1</v>
      </c>
      <c r="BO199" s="3">
        <f>infections!BO199-infections!BN199</f>
        <v>18</v>
      </c>
      <c r="BP199" s="3">
        <f>infections!BP199-infections!BO199</f>
        <v>12</v>
      </c>
      <c r="BQ199" s="3">
        <f>infections!BQ199-infections!BP199</f>
        <v>10</v>
      </c>
      <c r="BR199" s="3">
        <f>infections!BR199-infections!BQ199</f>
        <v>43</v>
      </c>
      <c r="BS199" s="3">
        <f>infections!BS199-infections!BR199</f>
        <v>23</v>
      </c>
      <c r="BT199" s="3">
        <f>infections!BT199-infections!BS199</f>
        <v>22</v>
      </c>
      <c r="BU199" s="3">
        <f>infections!BU199-infections!BT199</f>
        <v>22</v>
      </c>
      <c r="BV199" s="3">
        <f>infections!BV199-infections!BU199</f>
        <v>27</v>
      </c>
      <c r="BW199" s="3">
        <f>infections!BW199-infections!BV199</f>
        <v>37</v>
      </c>
      <c r="BX199" s="3">
        <f>infections!BX199-infections!BW199</f>
        <v>26</v>
      </c>
      <c r="BY199" s="3">
        <f>infections!BY199-infections!BX199</f>
        <v>24</v>
      </c>
    </row>
    <row r="200">
      <c r="B200" s="1" t="str">
        <f>infections!B200</f>
        <v>Slovenia</v>
      </c>
      <c r="C200" s="4">
        <f>infections!C200</f>
        <v>46.1512</v>
      </c>
      <c r="D200" s="4">
        <f>infections!D200</f>
        <v>14.9955</v>
      </c>
      <c r="E200" s="4">
        <f>infections!E200</f>
        <v>0</v>
      </c>
      <c r="F200" s="3">
        <f>infections!F200-infections!E200</f>
        <v>0</v>
      </c>
      <c r="G200" s="3">
        <f>infections!G200-infections!F200</f>
        <v>0</v>
      </c>
      <c r="H200" s="3">
        <f>infections!H200-infections!G200</f>
        <v>0</v>
      </c>
      <c r="I200" s="3">
        <f>infections!I200-infections!H200</f>
        <v>0</v>
      </c>
      <c r="J200" s="3">
        <f>infections!J200-infections!I200</f>
        <v>0</v>
      </c>
      <c r="K200" s="3">
        <f>infections!K200-infections!J200</f>
        <v>0</v>
      </c>
      <c r="L200" s="3">
        <f>infections!L200-infections!K200</f>
        <v>0</v>
      </c>
      <c r="M200" s="3">
        <f>infections!M200-infections!L200</f>
        <v>0</v>
      </c>
      <c r="N200" s="3">
        <f>infections!N200-infections!M200</f>
        <v>0</v>
      </c>
      <c r="O200" s="3">
        <f>infections!O200-infections!N200</f>
        <v>0</v>
      </c>
      <c r="P200" s="3">
        <f>infections!P200-infections!O200</f>
        <v>0</v>
      </c>
      <c r="Q200" s="3">
        <f>infections!Q200-infections!P200</f>
        <v>0</v>
      </c>
      <c r="R200" s="3">
        <f>infections!R200-infections!Q200</f>
        <v>0</v>
      </c>
      <c r="S200" s="3">
        <f>infections!S200-infections!R200</f>
        <v>0</v>
      </c>
      <c r="T200" s="3">
        <f>infections!T200-infections!S200</f>
        <v>0</v>
      </c>
      <c r="U200" s="3">
        <f>infections!U200-infections!T200</f>
        <v>0</v>
      </c>
      <c r="V200" s="3">
        <f>infections!V200-infections!U200</f>
        <v>0</v>
      </c>
      <c r="W200" s="3">
        <f>infections!W200-infections!V200</f>
        <v>0</v>
      </c>
      <c r="X200" s="3">
        <f>infections!X200-infections!W200</f>
        <v>0</v>
      </c>
      <c r="Y200" s="3">
        <f>infections!Y200-infections!X200</f>
        <v>0</v>
      </c>
      <c r="Z200" s="3">
        <f>infections!Z200-infections!Y200</f>
        <v>0</v>
      </c>
      <c r="AA200" s="3">
        <f>infections!AA200-infections!Z200</f>
        <v>0</v>
      </c>
      <c r="AB200" s="3">
        <f>infections!AB200-infections!AA200</f>
        <v>0</v>
      </c>
      <c r="AC200" s="3">
        <f>infections!AC200-infections!AB200</f>
        <v>0</v>
      </c>
      <c r="AD200" s="3">
        <f>infections!AD200-infections!AC200</f>
        <v>0</v>
      </c>
      <c r="AE200" s="3">
        <f>infections!AE200-infections!AD200</f>
        <v>0</v>
      </c>
      <c r="AF200" s="3">
        <f>infections!AF200-infections!AE200</f>
        <v>0</v>
      </c>
      <c r="AG200" s="3">
        <f>infections!AG200-infections!AF200</f>
        <v>0</v>
      </c>
      <c r="AH200" s="3">
        <f>infections!AH200-infections!AG200</f>
        <v>0</v>
      </c>
      <c r="AI200" s="3">
        <f>infections!AI200-infections!AH200</f>
        <v>0</v>
      </c>
      <c r="AJ200" s="3">
        <f>infections!AJ200-infections!AI200</f>
        <v>0</v>
      </c>
      <c r="AK200" s="3">
        <f>infections!AK200-infections!AJ200</f>
        <v>0</v>
      </c>
      <c r="AL200" s="3">
        <f>infections!AL200-infections!AK200</f>
        <v>0</v>
      </c>
      <c r="AM200" s="3">
        <f>infections!AM200-infections!AL200</f>
        <v>0</v>
      </c>
      <c r="AN200" s="3">
        <f>infections!AN200-infections!AM200</f>
        <v>0</v>
      </c>
      <c r="AO200" s="3">
        <f>infections!AO200-infections!AN200</f>
        <v>0</v>
      </c>
      <c r="AP200" s="3">
        <f>infections!AP200-infections!AO200</f>
        <v>0</v>
      </c>
      <c r="AQ200" s="3">
        <f>infections!AQ200-infections!AP200</f>
        <v>0</v>
      </c>
      <c r="AR200" s="3">
        <f>infections!AR200-infections!AQ200</f>
        <v>0</v>
      </c>
      <c r="AS200" s="3">
        <f>infections!AS200-infections!AR200</f>
        <v>0</v>
      </c>
      <c r="AT200" s="3">
        <f>infections!AT200-infections!AS200</f>
        <v>0</v>
      </c>
      <c r="AU200" s="3">
        <f>infections!AU200-infections!AT200</f>
        <v>0</v>
      </c>
      <c r="AV200" s="3">
        <f>infections!AV200-infections!AU200</f>
        <v>2</v>
      </c>
      <c r="AW200" s="3">
        <f>infections!AW200-infections!AV200</f>
        <v>5</v>
      </c>
      <c r="AX200" s="3">
        <f>infections!AX200-infections!AW200</f>
        <v>0</v>
      </c>
      <c r="AY200" s="3">
        <f>infections!AY200-infections!AX200</f>
        <v>9</v>
      </c>
      <c r="AZ200" s="3">
        <f>infections!AZ200-infections!AY200</f>
        <v>0</v>
      </c>
      <c r="BA200" s="3">
        <f>infections!BA200-infections!AZ200</f>
        <v>15</v>
      </c>
      <c r="BB200" s="3">
        <f>infections!BB200-infections!BA200</f>
        <v>26</v>
      </c>
      <c r="BC200" s="3">
        <f>infections!BC200-infections!BB200</f>
        <v>32</v>
      </c>
      <c r="BD200" s="3">
        <f>infections!BD200-infections!BC200</f>
        <v>52</v>
      </c>
      <c r="BE200" s="3">
        <f>infections!BE200-infections!BD200</f>
        <v>40</v>
      </c>
      <c r="BF200" s="3">
        <f>infections!BF200-infections!BE200</f>
        <v>38</v>
      </c>
      <c r="BG200" s="3">
        <f>infections!BG200-infections!BF200</f>
        <v>34</v>
      </c>
      <c r="BH200" s="3">
        <f>infections!BH200-infections!BG200</f>
        <v>22</v>
      </c>
      <c r="BI200" s="3">
        <f>infections!BI200-infections!BH200</f>
        <v>0</v>
      </c>
      <c r="BJ200" s="3">
        <f>infections!BJ200-infections!BI200</f>
        <v>11</v>
      </c>
      <c r="BK200" s="3">
        <f>infections!BK200-infections!BJ200</f>
        <v>55</v>
      </c>
      <c r="BL200" s="3">
        <f>infections!BL200-infections!BK200</f>
        <v>42</v>
      </c>
      <c r="BM200" s="3">
        <f>infections!BM200-infections!BL200</f>
        <v>31</v>
      </c>
      <c r="BN200" s="3">
        <f>infections!BN200-infections!BM200</f>
        <v>28</v>
      </c>
      <c r="BO200" s="3">
        <f>infections!BO200-infections!BN200</f>
        <v>38</v>
      </c>
      <c r="BP200" s="3">
        <f>infections!BP200-infections!BO200</f>
        <v>48</v>
      </c>
      <c r="BQ200" s="3">
        <f>infections!BQ200-infections!BP200</f>
        <v>34</v>
      </c>
      <c r="BR200" s="3">
        <f>infections!BR200-infections!BQ200</f>
        <v>70</v>
      </c>
      <c r="BS200" s="3">
        <f>infections!BS200-infections!BR200</f>
        <v>52</v>
      </c>
      <c r="BT200" s="3">
        <f>infections!BT200-infections!BS200</f>
        <v>46</v>
      </c>
      <c r="BU200" s="3">
        <f>infections!BU200-infections!BT200</f>
        <v>26</v>
      </c>
      <c r="BV200" s="3">
        <f>infections!BV200-infections!BU200</f>
        <v>46</v>
      </c>
      <c r="BW200" s="3">
        <f>infections!BW200-infections!BV200</f>
        <v>39</v>
      </c>
      <c r="BX200" s="3">
        <f>infections!BX200-infections!BW200</f>
        <v>56</v>
      </c>
      <c r="BY200" s="3">
        <f>infections!BY200-infections!BX200</f>
        <v>37</v>
      </c>
    </row>
    <row r="201">
      <c r="B201" s="1" t="str">
        <f>infections!B201</f>
        <v>Somalia</v>
      </c>
      <c r="C201" s="4">
        <f>infections!C201</f>
        <v>5.1521</v>
      </c>
      <c r="D201" s="4">
        <f>infections!D201</f>
        <v>46.1996</v>
      </c>
      <c r="E201" s="4">
        <f>infections!E201</f>
        <v>0</v>
      </c>
      <c r="F201" s="3">
        <f>infections!F201-infections!E201</f>
        <v>0</v>
      </c>
      <c r="G201" s="3">
        <f>infections!G201-infections!F201</f>
        <v>0</v>
      </c>
      <c r="H201" s="3">
        <f>infections!H201-infections!G201</f>
        <v>0</v>
      </c>
      <c r="I201" s="3">
        <f>infections!I201-infections!H201</f>
        <v>0</v>
      </c>
      <c r="J201" s="3">
        <f>infections!J201-infections!I201</f>
        <v>0</v>
      </c>
      <c r="K201" s="3">
        <f>infections!K201-infections!J201</f>
        <v>0</v>
      </c>
      <c r="L201" s="3">
        <f>infections!L201-infections!K201</f>
        <v>0</v>
      </c>
      <c r="M201" s="3">
        <f>infections!M201-infections!L201</f>
        <v>0</v>
      </c>
      <c r="N201" s="3">
        <f>infections!N201-infections!M201</f>
        <v>0</v>
      </c>
      <c r="O201" s="3">
        <f>infections!O201-infections!N201</f>
        <v>0</v>
      </c>
      <c r="P201" s="3">
        <f>infections!P201-infections!O201</f>
        <v>0</v>
      </c>
      <c r="Q201" s="3">
        <f>infections!Q201-infections!P201</f>
        <v>0</v>
      </c>
      <c r="R201" s="3">
        <f>infections!R201-infections!Q201</f>
        <v>0</v>
      </c>
      <c r="S201" s="3">
        <f>infections!S201-infections!R201</f>
        <v>0</v>
      </c>
      <c r="T201" s="3">
        <f>infections!T201-infections!S201</f>
        <v>0</v>
      </c>
      <c r="U201" s="3">
        <f>infections!U201-infections!T201</f>
        <v>0</v>
      </c>
      <c r="V201" s="3">
        <f>infections!V201-infections!U201</f>
        <v>0</v>
      </c>
      <c r="W201" s="3">
        <f>infections!W201-infections!V201</f>
        <v>0</v>
      </c>
      <c r="X201" s="3">
        <f>infections!X201-infections!W201</f>
        <v>0</v>
      </c>
      <c r="Y201" s="3">
        <f>infections!Y201-infections!X201</f>
        <v>0</v>
      </c>
      <c r="Z201" s="3">
        <f>infections!Z201-infections!Y201</f>
        <v>0</v>
      </c>
      <c r="AA201" s="3">
        <f>infections!AA201-infections!Z201</f>
        <v>0</v>
      </c>
      <c r="AB201" s="3">
        <f>infections!AB201-infections!AA201</f>
        <v>0</v>
      </c>
      <c r="AC201" s="3">
        <f>infections!AC201-infections!AB201</f>
        <v>0</v>
      </c>
      <c r="AD201" s="3">
        <f>infections!AD201-infections!AC201</f>
        <v>0</v>
      </c>
      <c r="AE201" s="3">
        <f>infections!AE201-infections!AD201</f>
        <v>0</v>
      </c>
      <c r="AF201" s="3">
        <f>infections!AF201-infections!AE201</f>
        <v>0</v>
      </c>
      <c r="AG201" s="3">
        <f>infections!AG201-infections!AF201</f>
        <v>0</v>
      </c>
      <c r="AH201" s="3">
        <f>infections!AH201-infections!AG201</f>
        <v>0</v>
      </c>
      <c r="AI201" s="3">
        <f>infections!AI201-infections!AH201</f>
        <v>0</v>
      </c>
      <c r="AJ201" s="3">
        <f>infections!AJ201-infections!AI201</f>
        <v>0</v>
      </c>
      <c r="AK201" s="3">
        <f>infections!AK201-infections!AJ201</f>
        <v>0</v>
      </c>
      <c r="AL201" s="3">
        <f>infections!AL201-infections!AK201</f>
        <v>0</v>
      </c>
      <c r="AM201" s="3">
        <f>infections!AM201-infections!AL201</f>
        <v>0</v>
      </c>
      <c r="AN201" s="3">
        <f>infections!AN201-infections!AM201</f>
        <v>0</v>
      </c>
      <c r="AO201" s="3">
        <f>infections!AO201-infections!AN201</f>
        <v>0</v>
      </c>
      <c r="AP201" s="3">
        <f>infections!AP201-infections!AO201</f>
        <v>0</v>
      </c>
      <c r="AQ201" s="3">
        <f>infections!AQ201-infections!AP201</f>
        <v>0</v>
      </c>
      <c r="AR201" s="3">
        <f>infections!AR201-infections!AQ201</f>
        <v>0</v>
      </c>
      <c r="AS201" s="3">
        <f>infections!AS201-infections!AR201</f>
        <v>0</v>
      </c>
      <c r="AT201" s="3">
        <f>infections!AT201-infections!AS201</f>
        <v>0</v>
      </c>
      <c r="AU201" s="3">
        <f>infections!AU201-infections!AT201</f>
        <v>0</v>
      </c>
      <c r="AV201" s="3">
        <f>infections!AV201-infections!AU201</f>
        <v>0</v>
      </c>
      <c r="AW201" s="3">
        <f>infections!AW201-infections!AV201</f>
        <v>0</v>
      </c>
      <c r="AX201" s="3">
        <f>infections!AX201-infections!AW201</f>
        <v>0</v>
      </c>
      <c r="AY201" s="3">
        <f>infections!AY201-infections!AX201</f>
        <v>0</v>
      </c>
      <c r="AZ201" s="3">
        <f>infections!AZ201-infections!AY201</f>
        <v>0</v>
      </c>
      <c r="BA201" s="3">
        <f>infections!BA201-infections!AZ201</f>
        <v>0</v>
      </c>
      <c r="BB201" s="3">
        <f>infections!BB201-infections!BA201</f>
        <v>0</v>
      </c>
      <c r="BC201" s="3">
        <f>infections!BC201-infections!BB201</f>
        <v>0</v>
      </c>
      <c r="BD201" s="3">
        <f>infections!BD201-infections!BC201</f>
        <v>0</v>
      </c>
      <c r="BE201" s="3">
        <f>infections!BE201-infections!BD201</f>
        <v>0</v>
      </c>
      <c r="BF201" s="3">
        <f>infections!BF201-infections!BE201</f>
        <v>0</v>
      </c>
      <c r="BG201" s="3">
        <f>infections!BG201-infections!BF201</f>
        <v>1</v>
      </c>
      <c r="BH201" s="3">
        <f>infections!BH201-infections!BG201</f>
        <v>0</v>
      </c>
      <c r="BI201" s="3">
        <f>infections!BI201-infections!BH201</f>
        <v>0</v>
      </c>
      <c r="BJ201" s="3">
        <f>infections!BJ201-infections!BI201</f>
        <v>0</v>
      </c>
      <c r="BK201" s="3">
        <f>infections!BK201-infections!BJ201</f>
        <v>0</v>
      </c>
      <c r="BL201" s="3">
        <f>infections!BL201-infections!BK201</f>
        <v>0</v>
      </c>
      <c r="BM201" s="3">
        <f>infections!BM201-infections!BL201</f>
        <v>0</v>
      </c>
      <c r="BN201" s="3">
        <f>infections!BN201-infections!BM201</f>
        <v>0</v>
      </c>
      <c r="BO201" s="3">
        <f>infections!BO201-infections!BN201</f>
        <v>0</v>
      </c>
      <c r="BP201" s="3">
        <f>infections!BP201-infections!BO201</f>
        <v>0</v>
      </c>
      <c r="BQ201" s="3">
        <f>infections!BQ201-infections!BP201</f>
        <v>1</v>
      </c>
      <c r="BR201" s="3">
        <f>infections!BR201-infections!BQ201</f>
        <v>1</v>
      </c>
      <c r="BS201" s="3">
        <f>infections!BS201-infections!BR201</f>
        <v>0</v>
      </c>
      <c r="BT201" s="3">
        <f>infections!BT201-infections!BS201</f>
        <v>0</v>
      </c>
      <c r="BU201" s="3">
        <f>infections!BU201-infections!BT201</f>
        <v>0</v>
      </c>
      <c r="BV201" s="3">
        <f>infections!BV201-infections!BU201</f>
        <v>2</v>
      </c>
      <c r="BW201" s="3">
        <f>infections!BW201-infections!BV201</f>
        <v>0</v>
      </c>
      <c r="BX201" s="3">
        <f>infections!BX201-infections!BW201</f>
        <v>0</v>
      </c>
      <c r="BY201" s="3">
        <f>infections!BY201-infections!BX201</f>
        <v>2</v>
      </c>
    </row>
    <row r="202">
      <c r="B202" s="1" t="str">
        <f>infections!B202</f>
        <v>South Africa</v>
      </c>
      <c r="C202" s="4">
        <f>infections!C202</f>
        <v>-30.5595</v>
      </c>
      <c r="D202" s="4">
        <f>infections!D202</f>
        <v>22.9375</v>
      </c>
      <c r="E202" s="4">
        <f>infections!E202</f>
        <v>0</v>
      </c>
      <c r="F202" s="3">
        <f>infections!F202-infections!E202</f>
        <v>0</v>
      </c>
      <c r="G202" s="3">
        <f>infections!G202-infections!F202</f>
        <v>0</v>
      </c>
      <c r="H202" s="3">
        <f>infections!H202-infections!G202</f>
        <v>0</v>
      </c>
      <c r="I202" s="3">
        <f>infections!I202-infections!H202</f>
        <v>0</v>
      </c>
      <c r="J202" s="3">
        <f>infections!J202-infections!I202</f>
        <v>0</v>
      </c>
      <c r="K202" s="3">
        <f>infections!K202-infections!J202</f>
        <v>0</v>
      </c>
      <c r="L202" s="3">
        <f>infections!L202-infections!K202</f>
        <v>0</v>
      </c>
      <c r="M202" s="3">
        <f>infections!M202-infections!L202</f>
        <v>0</v>
      </c>
      <c r="N202" s="3">
        <f>infections!N202-infections!M202</f>
        <v>0</v>
      </c>
      <c r="O202" s="3">
        <f>infections!O202-infections!N202</f>
        <v>0</v>
      </c>
      <c r="P202" s="3">
        <f>infections!P202-infections!O202</f>
        <v>0</v>
      </c>
      <c r="Q202" s="3">
        <f>infections!Q202-infections!P202</f>
        <v>0</v>
      </c>
      <c r="R202" s="3">
        <f>infections!R202-infections!Q202</f>
        <v>0</v>
      </c>
      <c r="S202" s="3">
        <f>infections!S202-infections!R202</f>
        <v>0</v>
      </c>
      <c r="T202" s="3">
        <f>infections!T202-infections!S202</f>
        <v>0</v>
      </c>
      <c r="U202" s="3">
        <f>infections!U202-infections!T202</f>
        <v>0</v>
      </c>
      <c r="V202" s="3">
        <f>infections!V202-infections!U202</f>
        <v>0</v>
      </c>
      <c r="W202" s="3">
        <f>infections!W202-infections!V202</f>
        <v>0</v>
      </c>
      <c r="X202" s="3">
        <f>infections!X202-infections!W202</f>
        <v>0</v>
      </c>
      <c r="Y202" s="3">
        <f>infections!Y202-infections!X202</f>
        <v>0</v>
      </c>
      <c r="Z202" s="3">
        <f>infections!Z202-infections!Y202</f>
        <v>0</v>
      </c>
      <c r="AA202" s="3">
        <f>infections!AA202-infections!Z202</f>
        <v>0</v>
      </c>
      <c r="AB202" s="3">
        <f>infections!AB202-infections!AA202</f>
        <v>0</v>
      </c>
      <c r="AC202" s="3">
        <f>infections!AC202-infections!AB202</f>
        <v>0</v>
      </c>
      <c r="AD202" s="3">
        <f>infections!AD202-infections!AC202</f>
        <v>0</v>
      </c>
      <c r="AE202" s="3">
        <f>infections!AE202-infections!AD202</f>
        <v>0</v>
      </c>
      <c r="AF202" s="3">
        <f>infections!AF202-infections!AE202</f>
        <v>0</v>
      </c>
      <c r="AG202" s="3">
        <f>infections!AG202-infections!AF202</f>
        <v>0</v>
      </c>
      <c r="AH202" s="3">
        <f>infections!AH202-infections!AG202</f>
        <v>0</v>
      </c>
      <c r="AI202" s="3">
        <f>infections!AI202-infections!AH202</f>
        <v>0</v>
      </c>
      <c r="AJ202" s="3">
        <f>infections!AJ202-infections!AI202</f>
        <v>0</v>
      </c>
      <c r="AK202" s="3">
        <f>infections!AK202-infections!AJ202</f>
        <v>0</v>
      </c>
      <c r="AL202" s="3">
        <f>infections!AL202-infections!AK202</f>
        <v>0</v>
      </c>
      <c r="AM202" s="3">
        <f>infections!AM202-infections!AL202</f>
        <v>0</v>
      </c>
      <c r="AN202" s="3">
        <f>infections!AN202-infections!AM202</f>
        <v>0</v>
      </c>
      <c r="AO202" s="3">
        <f>infections!AO202-infections!AN202</f>
        <v>0</v>
      </c>
      <c r="AP202" s="3">
        <f>infections!AP202-infections!AO202</f>
        <v>0</v>
      </c>
      <c r="AQ202" s="3">
        <f>infections!AQ202-infections!AP202</f>
        <v>0</v>
      </c>
      <c r="AR202" s="3">
        <f>infections!AR202-infections!AQ202</f>
        <v>0</v>
      </c>
      <c r="AS202" s="3">
        <f>infections!AS202-infections!AR202</f>
        <v>0</v>
      </c>
      <c r="AT202" s="3">
        <f>infections!AT202-infections!AS202</f>
        <v>0</v>
      </c>
      <c r="AU202" s="3">
        <f>infections!AU202-infections!AT202</f>
        <v>0</v>
      </c>
      <c r="AV202" s="3">
        <f>infections!AV202-infections!AU202</f>
        <v>1</v>
      </c>
      <c r="AW202" s="3">
        <f>infections!AW202-infections!AV202</f>
        <v>0</v>
      </c>
      <c r="AX202" s="3">
        <f>infections!AX202-infections!AW202</f>
        <v>0</v>
      </c>
      <c r="AY202" s="3">
        <f>infections!AY202-infections!AX202</f>
        <v>2</v>
      </c>
      <c r="AZ202" s="3">
        <f>infections!AZ202-infections!AY202</f>
        <v>0</v>
      </c>
      <c r="BA202" s="3">
        <f>infections!BA202-infections!AZ202</f>
        <v>4</v>
      </c>
      <c r="BB202" s="3">
        <f>infections!BB202-infections!BA202</f>
        <v>6</v>
      </c>
      <c r="BC202" s="3">
        <f>infections!BC202-infections!BB202</f>
        <v>4</v>
      </c>
      <c r="BD202" s="3">
        <f>infections!BD202-infections!BC202</f>
        <v>7</v>
      </c>
      <c r="BE202" s="3">
        <f>infections!BE202-infections!BD202</f>
        <v>14</v>
      </c>
      <c r="BF202" s="3">
        <f>infections!BF202-infections!BE202</f>
        <v>13</v>
      </c>
      <c r="BG202" s="3">
        <f>infections!BG202-infections!BF202</f>
        <v>11</v>
      </c>
      <c r="BH202" s="3">
        <f>infections!BH202-infections!BG202</f>
        <v>0</v>
      </c>
      <c r="BI202" s="3">
        <f>infections!BI202-infections!BH202</f>
        <v>54</v>
      </c>
      <c r="BJ202" s="3">
        <f>infections!BJ202-infections!BI202</f>
        <v>34</v>
      </c>
      <c r="BK202" s="3">
        <f>infections!BK202-infections!BJ202</f>
        <v>52</v>
      </c>
      <c r="BL202" s="3">
        <f>infections!BL202-infections!BK202</f>
        <v>38</v>
      </c>
      <c r="BM202" s="3">
        <f>infections!BM202-infections!BL202</f>
        <v>34</v>
      </c>
      <c r="BN202" s="3">
        <f>infections!BN202-infections!BM202</f>
        <v>128</v>
      </c>
      <c r="BO202" s="3">
        <f>infections!BO202-infections!BN202</f>
        <v>152</v>
      </c>
      <c r="BP202" s="3">
        <f>infections!BP202-infections!BO202</f>
        <v>155</v>
      </c>
      <c r="BQ202" s="3">
        <f>infections!BQ202-infections!BP202</f>
        <v>218</v>
      </c>
      <c r="BR202" s="3">
        <f>infections!BR202-infections!BQ202</f>
        <v>243</v>
      </c>
      <c r="BS202" s="3">
        <f>infections!BS202-infections!BR202</f>
        <v>17</v>
      </c>
      <c r="BT202" s="3">
        <f>infections!BT202-infections!BS202</f>
        <v>93</v>
      </c>
      <c r="BU202" s="3">
        <f>infections!BU202-infections!BT202</f>
        <v>46</v>
      </c>
      <c r="BV202" s="3">
        <f>infections!BV202-infections!BU202</f>
        <v>27</v>
      </c>
      <c r="BW202" s="3">
        <f>infections!BW202-infections!BV202</f>
        <v>27</v>
      </c>
      <c r="BX202" s="3">
        <f>infections!BX202-infections!BW202</f>
        <v>82</v>
      </c>
      <c r="BY202" s="3">
        <f>infections!BY202-infections!BX202</f>
        <v>43</v>
      </c>
    </row>
    <row r="203">
      <c r="B203" s="1" t="str">
        <f>infections!B203</f>
        <v>Spain</v>
      </c>
      <c r="C203" s="4">
        <f>infections!C203</f>
        <v>40</v>
      </c>
      <c r="D203" s="4">
        <f>infections!D203</f>
        <v>-4</v>
      </c>
      <c r="E203" s="4">
        <f>infections!E203</f>
        <v>0</v>
      </c>
      <c r="F203" s="3">
        <f>infections!F203-infections!E203</f>
        <v>0</v>
      </c>
      <c r="G203" s="3">
        <f>infections!G203-infections!F203</f>
        <v>0</v>
      </c>
      <c r="H203" s="3">
        <f>infections!H203-infections!G203</f>
        <v>0</v>
      </c>
      <c r="I203" s="3">
        <f>infections!I203-infections!H203</f>
        <v>0</v>
      </c>
      <c r="J203" s="3">
        <f>infections!J203-infections!I203</f>
        <v>0</v>
      </c>
      <c r="K203" s="3">
        <f>infections!K203-infections!J203</f>
        <v>0</v>
      </c>
      <c r="L203" s="3">
        <f>infections!L203-infections!K203</f>
        <v>0</v>
      </c>
      <c r="M203" s="3">
        <f>infections!M203-infections!L203</f>
        <v>0</v>
      </c>
      <c r="N203" s="3">
        <f>infections!N203-infections!M203</f>
        <v>0</v>
      </c>
      <c r="O203" s="3">
        <f>infections!O203-infections!N203</f>
        <v>1</v>
      </c>
      <c r="P203" s="3">
        <f>infections!P203-infections!O203</f>
        <v>0</v>
      </c>
      <c r="Q203" s="3">
        <f>infections!Q203-infections!P203</f>
        <v>0</v>
      </c>
      <c r="R203" s="3">
        <f>infections!R203-infections!Q203</f>
        <v>0</v>
      </c>
      <c r="S203" s="3">
        <f>infections!S203-infections!R203</f>
        <v>0</v>
      </c>
      <c r="T203" s="3">
        <f>infections!T203-infections!S203</f>
        <v>0</v>
      </c>
      <c r="U203" s="3">
        <f>infections!U203-infections!T203</f>
        <v>0</v>
      </c>
      <c r="V203" s="3">
        <f>infections!V203-infections!U203</f>
        <v>0</v>
      </c>
      <c r="W203" s="3">
        <f>infections!W203-infections!V203</f>
        <v>1</v>
      </c>
      <c r="X203" s="3">
        <f>infections!X203-infections!W203</f>
        <v>0</v>
      </c>
      <c r="Y203" s="3">
        <f>infections!Y203-infections!X203</f>
        <v>0</v>
      </c>
      <c r="Z203" s="3">
        <f>infections!Z203-infections!Y203</f>
        <v>0</v>
      </c>
      <c r="AA203" s="3">
        <f>infections!AA203-infections!Z203</f>
        <v>0</v>
      </c>
      <c r="AB203" s="3">
        <f>infections!AB203-infections!AA203</f>
        <v>0</v>
      </c>
      <c r="AC203" s="3">
        <f>infections!AC203-infections!AB203</f>
        <v>0</v>
      </c>
      <c r="AD203" s="3">
        <f>infections!AD203-infections!AC203</f>
        <v>0</v>
      </c>
      <c r="AE203" s="3">
        <f>infections!AE203-infections!AD203</f>
        <v>0</v>
      </c>
      <c r="AF203" s="3">
        <f>infections!AF203-infections!AE203</f>
        <v>0</v>
      </c>
      <c r="AG203" s="3">
        <f>infections!AG203-infections!AF203</f>
        <v>0</v>
      </c>
      <c r="AH203" s="3">
        <f>infections!AH203-infections!AG203</f>
        <v>0</v>
      </c>
      <c r="AI203" s="3">
        <f>infections!AI203-infections!AH203</f>
        <v>0</v>
      </c>
      <c r="AJ203" s="3">
        <f>infections!AJ203-infections!AI203</f>
        <v>0</v>
      </c>
      <c r="AK203" s="3">
        <f>infections!AK203-infections!AJ203</f>
        <v>0</v>
      </c>
      <c r="AL203" s="3">
        <f>infections!AL203-infections!AK203</f>
        <v>0</v>
      </c>
      <c r="AM203" s="3">
        <f>infections!AM203-infections!AL203</f>
        <v>4</v>
      </c>
      <c r="AN203" s="3">
        <f>infections!AN203-infections!AM203</f>
        <v>7</v>
      </c>
      <c r="AO203" s="3">
        <f>infections!AO203-infections!AN203</f>
        <v>2</v>
      </c>
      <c r="AP203" s="3">
        <f>infections!AP203-infections!AO203</f>
        <v>17</v>
      </c>
      <c r="AQ203" s="3">
        <f>infections!AQ203-infections!AP203</f>
        <v>13</v>
      </c>
      <c r="AR203" s="3">
        <f>infections!AR203-infections!AQ203</f>
        <v>39</v>
      </c>
      <c r="AS203" s="3">
        <f>infections!AS203-infections!AR203</f>
        <v>36</v>
      </c>
      <c r="AT203" s="3">
        <f>infections!AT203-infections!AS203</f>
        <v>45</v>
      </c>
      <c r="AU203" s="3">
        <f>infections!AU203-infections!AT203</f>
        <v>57</v>
      </c>
      <c r="AV203" s="3">
        <f>infections!AV203-infections!AU203</f>
        <v>37</v>
      </c>
      <c r="AW203" s="3">
        <f>infections!AW203-infections!AV203</f>
        <v>141</v>
      </c>
      <c r="AX203" s="3">
        <f>infections!AX203-infections!AW203</f>
        <v>100</v>
      </c>
      <c r="AY203" s="3">
        <f>infections!AY203-infections!AX203</f>
        <v>173</v>
      </c>
      <c r="AZ203" s="3">
        <f>infections!AZ203-infections!AY203</f>
        <v>400</v>
      </c>
      <c r="BA203" s="3">
        <f>infections!BA203-infections!AZ203</f>
        <v>622</v>
      </c>
      <c r="BB203" s="3">
        <f>infections!BB203-infections!BA203</f>
        <v>582</v>
      </c>
      <c r="BC203" s="3">
        <f>infections!BC203-infections!BB203</f>
        <v>0</v>
      </c>
      <c r="BD203" s="3">
        <f>infections!BD203-infections!BC203</f>
        <v>2955</v>
      </c>
      <c r="BE203" s="3">
        <f>infections!BE203-infections!BD203</f>
        <v>1159</v>
      </c>
      <c r="BF203" s="3">
        <f>infections!BF203-infections!BE203</f>
        <v>1407</v>
      </c>
      <c r="BG203" s="3">
        <f>infections!BG203-infections!BF203</f>
        <v>2144</v>
      </c>
      <c r="BH203" s="3">
        <f>infections!BH203-infections!BG203</f>
        <v>1806</v>
      </c>
      <c r="BI203" s="3">
        <f>infections!BI203-infections!BH203</f>
        <v>2162</v>
      </c>
      <c r="BJ203" s="3">
        <f>infections!BJ203-infections!BI203</f>
        <v>4053</v>
      </c>
      <c r="BK203" s="3">
        <f>infections!BK203-infections!BJ203</f>
        <v>2447</v>
      </c>
      <c r="BL203" s="3">
        <f>infections!BL203-infections!BK203</f>
        <v>4964</v>
      </c>
      <c r="BM203" s="3">
        <f>infections!BM203-infections!BL203</f>
        <v>3394</v>
      </c>
      <c r="BN203" s="3">
        <f>infections!BN203-infections!BM203</f>
        <v>6368</v>
      </c>
      <c r="BO203" s="3">
        <f>infections!BO203-infections!BN203</f>
        <v>4749</v>
      </c>
      <c r="BP203" s="3">
        <f>infections!BP203-infections!BO203</f>
        <v>9630</v>
      </c>
      <c r="BQ203" s="3">
        <f>infections!BQ203-infections!BP203</f>
        <v>8271</v>
      </c>
      <c r="BR203" s="3">
        <f>infections!BR203-infections!BQ203</f>
        <v>7933</v>
      </c>
      <c r="BS203" s="3">
        <f>infections!BS203-infections!BR203</f>
        <v>7516</v>
      </c>
      <c r="BT203" s="3">
        <f>infections!BT203-infections!BS203</f>
        <v>6875</v>
      </c>
      <c r="BU203" s="3">
        <f>infections!BU203-infections!BT203</f>
        <v>7846</v>
      </c>
      <c r="BV203" s="3">
        <f>infections!BV203-infections!BU203</f>
        <v>7967</v>
      </c>
      <c r="BW203" s="3">
        <f>infections!BW203-infections!BV203</f>
        <v>8195</v>
      </c>
      <c r="BX203" s="3">
        <f>infections!BX203-infections!BW203</f>
        <v>7947</v>
      </c>
      <c r="BY203" s="3">
        <f>infections!BY203-infections!BX203</f>
        <v>7134</v>
      </c>
    </row>
    <row r="204">
      <c r="B204" s="1" t="str">
        <f>infections!B204</f>
        <v>Sri Lanka</v>
      </c>
      <c r="C204" s="4">
        <f>infections!C204</f>
        <v>7</v>
      </c>
      <c r="D204" s="4">
        <f>infections!D204</f>
        <v>81</v>
      </c>
      <c r="E204" s="4">
        <f>infections!E204</f>
        <v>0</v>
      </c>
      <c r="F204" s="3">
        <f>infections!F204-infections!E204</f>
        <v>0</v>
      </c>
      <c r="G204" s="3">
        <f>infections!G204-infections!F204</f>
        <v>0</v>
      </c>
      <c r="H204" s="3">
        <f>infections!H204-infections!G204</f>
        <v>0</v>
      </c>
      <c r="I204" s="3">
        <f>infections!I204-infections!H204</f>
        <v>0</v>
      </c>
      <c r="J204" s="3">
        <f>infections!J204-infections!I204</f>
        <v>1</v>
      </c>
      <c r="K204" s="3">
        <f>infections!K204-infections!J204</f>
        <v>0</v>
      </c>
      <c r="L204" s="3">
        <f>infections!L204-infections!K204</f>
        <v>0</v>
      </c>
      <c r="M204" s="3">
        <f>infections!M204-infections!L204</f>
        <v>0</v>
      </c>
      <c r="N204" s="3">
        <f>infections!N204-infections!M204</f>
        <v>0</v>
      </c>
      <c r="O204" s="3">
        <f>infections!O204-infections!N204</f>
        <v>0</v>
      </c>
      <c r="P204" s="3">
        <f>infections!P204-infections!O204</f>
        <v>0</v>
      </c>
      <c r="Q204" s="3">
        <f>infections!Q204-infections!P204</f>
        <v>0</v>
      </c>
      <c r="R204" s="3">
        <f>infections!R204-infections!Q204</f>
        <v>0</v>
      </c>
      <c r="S204" s="3">
        <f>infections!S204-infections!R204</f>
        <v>0</v>
      </c>
      <c r="T204" s="3">
        <f>infections!T204-infections!S204</f>
        <v>0</v>
      </c>
      <c r="U204" s="3">
        <f>infections!U204-infections!T204</f>
        <v>0</v>
      </c>
      <c r="V204" s="3">
        <f>infections!V204-infections!U204</f>
        <v>0</v>
      </c>
      <c r="W204" s="3">
        <f>infections!W204-infections!V204</f>
        <v>0</v>
      </c>
      <c r="X204" s="3">
        <f>infections!X204-infections!W204</f>
        <v>0</v>
      </c>
      <c r="Y204" s="3">
        <f>infections!Y204-infections!X204</f>
        <v>0</v>
      </c>
      <c r="Z204" s="3">
        <f>infections!Z204-infections!Y204</f>
        <v>0</v>
      </c>
      <c r="AA204" s="3">
        <f>infections!AA204-infections!Z204</f>
        <v>0</v>
      </c>
      <c r="AB204" s="3">
        <f>infections!AB204-infections!AA204</f>
        <v>0</v>
      </c>
      <c r="AC204" s="3">
        <f>infections!AC204-infections!AB204</f>
        <v>0</v>
      </c>
      <c r="AD204" s="3">
        <f>infections!AD204-infections!AC204</f>
        <v>0</v>
      </c>
      <c r="AE204" s="3">
        <f>infections!AE204-infections!AD204</f>
        <v>0</v>
      </c>
      <c r="AF204" s="3">
        <f>infections!AF204-infections!AE204</f>
        <v>0</v>
      </c>
      <c r="AG204" s="3">
        <f>infections!AG204-infections!AF204</f>
        <v>0</v>
      </c>
      <c r="AH204" s="3">
        <f>infections!AH204-infections!AG204</f>
        <v>0</v>
      </c>
      <c r="AI204" s="3">
        <f>infections!AI204-infections!AH204</f>
        <v>0</v>
      </c>
      <c r="AJ204" s="3">
        <f>infections!AJ204-infections!AI204</f>
        <v>0</v>
      </c>
      <c r="AK204" s="3">
        <f>infections!AK204-infections!AJ204</f>
        <v>0</v>
      </c>
      <c r="AL204" s="3">
        <f>infections!AL204-infections!AK204</f>
        <v>0</v>
      </c>
      <c r="AM204" s="3">
        <f>infections!AM204-infections!AL204</f>
        <v>0</v>
      </c>
      <c r="AN204" s="3">
        <f>infections!AN204-infections!AM204</f>
        <v>0</v>
      </c>
      <c r="AO204" s="3">
        <f>infections!AO204-infections!AN204</f>
        <v>0</v>
      </c>
      <c r="AP204" s="3">
        <f>infections!AP204-infections!AO204</f>
        <v>0</v>
      </c>
      <c r="AQ204" s="3">
        <f>infections!AQ204-infections!AP204</f>
        <v>0</v>
      </c>
      <c r="AR204" s="3">
        <f>infections!AR204-infections!AQ204</f>
        <v>0</v>
      </c>
      <c r="AS204" s="3">
        <f>infections!AS204-infections!AR204</f>
        <v>0</v>
      </c>
      <c r="AT204" s="3">
        <f>infections!AT204-infections!AS204</f>
        <v>0</v>
      </c>
      <c r="AU204" s="3">
        <f>infections!AU204-infections!AT204</f>
        <v>0</v>
      </c>
      <c r="AV204" s="3">
        <f>infections!AV204-infections!AU204</f>
        <v>0</v>
      </c>
      <c r="AW204" s="3">
        <f>infections!AW204-infections!AV204</f>
        <v>0</v>
      </c>
      <c r="AX204" s="3">
        <f>infections!AX204-infections!AW204</f>
        <v>0</v>
      </c>
      <c r="AY204" s="3">
        <f>infections!AY204-infections!AX204</f>
        <v>0</v>
      </c>
      <c r="AZ204" s="3">
        <f>infections!AZ204-infections!AY204</f>
        <v>0</v>
      </c>
      <c r="BA204" s="3">
        <f>infections!BA204-infections!AZ204</f>
        <v>0</v>
      </c>
      <c r="BB204" s="3">
        <f>infections!BB204-infections!BA204</f>
        <v>1</v>
      </c>
      <c r="BC204" s="3">
        <f>infections!BC204-infections!BB204</f>
        <v>0</v>
      </c>
      <c r="BD204" s="3">
        <f>infections!BD204-infections!BC204</f>
        <v>4</v>
      </c>
      <c r="BE204" s="3">
        <f>infections!BE204-infections!BD204</f>
        <v>4</v>
      </c>
      <c r="BF204" s="3">
        <f>infections!BF204-infections!BE204</f>
        <v>8</v>
      </c>
      <c r="BG204" s="3">
        <f>infections!BG204-infections!BF204</f>
        <v>10</v>
      </c>
      <c r="BH204" s="3">
        <f>infections!BH204-infections!BG204</f>
        <v>16</v>
      </c>
      <c r="BI204" s="3">
        <f>infections!BI204-infections!BH204</f>
        <v>7</v>
      </c>
      <c r="BJ204" s="3">
        <f>infections!BJ204-infections!BI204</f>
        <v>9</v>
      </c>
      <c r="BK204" s="3">
        <f>infections!BK204-infections!BJ204</f>
        <v>13</v>
      </c>
      <c r="BL204" s="3">
        <f>infections!BL204-infections!BK204</f>
        <v>4</v>
      </c>
      <c r="BM204" s="3">
        <f>infections!BM204-infections!BL204</f>
        <v>5</v>
      </c>
      <c r="BN204" s="3">
        <f>infections!BN204-infections!BM204</f>
        <v>15</v>
      </c>
      <c r="BO204" s="3">
        <f>infections!BO204-infections!BN204</f>
        <v>5</v>
      </c>
      <c r="BP204" s="3">
        <f>infections!BP204-infections!BO204</f>
        <v>0</v>
      </c>
      <c r="BQ204" s="3">
        <f>infections!BQ204-infections!BP204</f>
        <v>4</v>
      </c>
      <c r="BR204" s="3">
        <f>infections!BR204-infections!BQ204</f>
        <v>0</v>
      </c>
      <c r="BS204" s="3">
        <f>infections!BS204-infections!BR204</f>
        <v>7</v>
      </c>
      <c r="BT204" s="3">
        <f>infections!BT204-infections!BS204</f>
        <v>4</v>
      </c>
      <c r="BU204" s="3">
        <f>infections!BU204-infections!BT204</f>
        <v>5</v>
      </c>
      <c r="BV204" s="3">
        <f>infections!BV204-infections!BU204</f>
        <v>21</v>
      </c>
      <c r="BW204" s="3">
        <f>infections!BW204-infections!BV204</f>
        <v>3</v>
      </c>
      <c r="BX204" s="3">
        <f>infections!BX204-infections!BW204</f>
        <v>5</v>
      </c>
      <c r="BY204" s="3">
        <f>infections!BY204-infections!BX204</f>
        <v>8</v>
      </c>
    </row>
    <row r="205">
      <c r="B205" s="1" t="str">
        <f>infections!B205</f>
        <v>Sudan</v>
      </c>
      <c r="C205" s="4">
        <f>infections!C205</f>
        <v>12.8628</v>
      </c>
      <c r="D205" s="4">
        <f>infections!D205</f>
        <v>30.2176</v>
      </c>
      <c r="E205" s="4">
        <f>infections!E205</f>
        <v>0</v>
      </c>
      <c r="F205" s="3">
        <f>infections!F205-infections!E205</f>
        <v>0</v>
      </c>
      <c r="G205" s="3">
        <f>infections!G205-infections!F205</f>
        <v>0</v>
      </c>
      <c r="H205" s="3">
        <f>infections!H205-infections!G205</f>
        <v>0</v>
      </c>
      <c r="I205" s="3">
        <f>infections!I205-infections!H205</f>
        <v>0</v>
      </c>
      <c r="J205" s="3">
        <f>infections!J205-infections!I205</f>
        <v>0</v>
      </c>
      <c r="K205" s="3">
        <f>infections!K205-infections!J205</f>
        <v>0</v>
      </c>
      <c r="L205" s="3">
        <f>infections!L205-infections!K205</f>
        <v>0</v>
      </c>
      <c r="M205" s="3">
        <f>infections!M205-infections!L205</f>
        <v>0</v>
      </c>
      <c r="N205" s="3">
        <f>infections!N205-infections!M205</f>
        <v>0</v>
      </c>
      <c r="O205" s="3">
        <f>infections!O205-infections!N205</f>
        <v>0</v>
      </c>
      <c r="P205" s="3">
        <f>infections!P205-infections!O205</f>
        <v>0</v>
      </c>
      <c r="Q205" s="3">
        <f>infections!Q205-infections!P205</f>
        <v>0</v>
      </c>
      <c r="R205" s="3">
        <f>infections!R205-infections!Q205</f>
        <v>0</v>
      </c>
      <c r="S205" s="3">
        <f>infections!S205-infections!R205</f>
        <v>0</v>
      </c>
      <c r="T205" s="3">
        <f>infections!T205-infections!S205</f>
        <v>0</v>
      </c>
      <c r="U205" s="3">
        <f>infections!U205-infections!T205</f>
        <v>0</v>
      </c>
      <c r="V205" s="3">
        <f>infections!V205-infections!U205</f>
        <v>0</v>
      </c>
      <c r="W205" s="3">
        <f>infections!W205-infections!V205</f>
        <v>0</v>
      </c>
      <c r="X205" s="3">
        <f>infections!X205-infections!W205</f>
        <v>0</v>
      </c>
      <c r="Y205" s="3">
        <f>infections!Y205-infections!X205</f>
        <v>0</v>
      </c>
      <c r="Z205" s="3">
        <f>infections!Z205-infections!Y205</f>
        <v>0</v>
      </c>
      <c r="AA205" s="3">
        <f>infections!AA205-infections!Z205</f>
        <v>0</v>
      </c>
      <c r="AB205" s="3">
        <f>infections!AB205-infections!AA205</f>
        <v>0</v>
      </c>
      <c r="AC205" s="3">
        <f>infections!AC205-infections!AB205</f>
        <v>0</v>
      </c>
      <c r="AD205" s="3">
        <f>infections!AD205-infections!AC205</f>
        <v>0</v>
      </c>
      <c r="AE205" s="3">
        <f>infections!AE205-infections!AD205</f>
        <v>0</v>
      </c>
      <c r="AF205" s="3">
        <f>infections!AF205-infections!AE205</f>
        <v>0</v>
      </c>
      <c r="AG205" s="3">
        <f>infections!AG205-infections!AF205</f>
        <v>0</v>
      </c>
      <c r="AH205" s="3">
        <f>infections!AH205-infections!AG205</f>
        <v>0</v>
      </c>
      <c r="AI205" s="3">
        <f>infections!AI205-infections!AH205</f>
        <v>0</v>
      </c>
      <c r="AJ205" s="3">
        <f>infections!AJ205-infections!AI205</f>
        <v>0</v>
      </c>
      <c r="AK205" s="3">
        <f>infections!AK205-infections!AJ205</f>
        <v>0</v>
      </c>
      <c r="AL205" s="3">
        <f>infections!AL205-infections!AK205</f>
        <v>0</v>
      </c>
      <c r="AM205" s="3">
        <f>infections!AM205-infections!AL205</f>
        <v>0</v>
      </c>
      <c r="AN205" s="3">
        <f>infections!AN205-infections!AM205</f>
        <v>0</v>
      </c>
      <c r="AO205" s="3">
        <f>infections!AO205-infections!AN205</f>
        <v>0</v>
      </c>
      <c r="AP205" s="3">
        <f>infections!AP205-infections!AO205</f>
        <v>0</v>
      </c>
      <c r="AQ205" s="3">
        <f>infections!AQ205-infections!AP205</f>
        <v>0</v>
      </c>
      <c r="AR205" s="3">
        <f>infections!AR205-infections!AQ205</f>
        <v>0</v>
      </c>
      <c r="AS205" s="3">
        <f>infections!AS205-infections!AR205</f>
        <v>0</v>
      </c>
      <c r="AT205" s="3">
        <f>infections!AT205-infections!AS205</f>
        <v>0</v>
      </c>
      <c r="AU205" s="3">
        <f>infections!AU205-infections!AT205</f>
        <v>0</v>
      </c>
      <c r="AV205" s="3">
        <f>infections!AV205-infections!AU205</f>
        <v>0</v>
      </c>
      <c r="AW205" s="3">
        <f>infections!AW205-infections!AV205</f>
        <v>0</v>
      </c>
      <c r="AX205" s="3">
        <f>infections!AX205-infections!AW205</f>
        <v>0</v>
      </c>
      <c r="AY205" s="3">
        <f>infections!AY205-infections!AX205</f>
        <v>0</v>
      </c>
      <c r="AZ205" s="3">
        <f>infections!AZ205-infections!AY205</f>
        <v>0</v>
      </c>
      <c r="BA205" s="3">
        <f>infections!BA205-infections!AZ205</f>
        <v>0</v>
      </c>
      <c r="BB205" s="3">
        <f>infections!BB205-infections!BA205</f>
        <v>0</v>
      </c>
      <c r="BC205" s="3">
        <f>infections!BC205-infections!BB205</f>
        <v>0</v>
      </c>
      <c r="BD205" s="3">
        <f>infections!BD205-infections!BC205</f>
        <v>1</v>
      </c>
      <c r="BE205" s="3">
        <f>infections!BE205-infections!BD205</f>
        <v>0</v>
      </c>
      <c r="BF205" s="3">
        <f>infections!BF205-infections!BE205</f>
        <v>0</v>
      </c>
      <c r="BG205" s="3">
        <f>infections!BG205-infections!BF205</f>
        <v>0</v>
      </c>
      <c r="BH205" s="3">
        <f>infections!BH205-infections!BG205</f>
        <v>0</v>
      </c>
      <c r="BI205" s="3">
        <f>infections!BI205-infections!BH205</f>
        <v>1</v>
      </c>
      <c r="BJ205" s="3">
        <f>infections!BJ205-infections!BI205</f>
        <v>0</v>
      </c>
      <c r="BK205" s="3">
        <f>infections!BK205-infections!BJ205</f>
        <v>0</v>
      </c>
      <c r="BL205" s="3">
        <f>infections!BL205-infections!BK205</f>
        <v>0</v>
      </c>
      <c r="BM205" s="3">
        <f>infections!BM205-infections!BL205</f>
        <v>0</v>
      </c>
      <c r="BN205" s="3">
        <f>infections!BN205-infections!BM205</f>
        <v>0</v>
      </c>
      <c r="BO205" s="3">
        <f>infections!BO205-infections!BN205</f>
        <v>1</v>
      </c>
      <c r="BP205" s="3">
        <f>infections!BP205-infections!BO205</f>
        <v>0</v>
      </c>
      <c r="BQ205" s="3">
        <f>infections!BQ205-infections!BP205</f>
        <v>0</v>
      </c>
      <c r="BR205" s="3">
        <f>infections!BR205-infections!BQ205</f>
        <v>0</v>
      </c>
      <c r="BS205" s="3">
        <f>infections!BS205-infections!BR205</f>
        <v>2</v>
      </c>
      <c r="BT205" s="3">
        <f>infections!BT205-infections!BS205</f>
        <v>1</v>
      </c>
      <c r="BU205" s="3">
        <f>infections!BU205-infections!BT205</f>
        <v>0</v>
      </c>
      <c r="BV205" s="3">
        <f>infections!BV205-infections!BU205</f>
        <v>1</v>
      </c>
      <c r="BW205" s="3">
        <f>infections!BW205-infections!BV205</f>
        <v>0</v>
      </c>
      <c r="BX205" s="3">
        <f>infections!BX205-infections!BW205</f>
        <v>1</v>
      </c>
      <c r="BY205" s="3">
        <f>infections!BY205-infections!BX205</f>
        <v>2</v>
      </c>
    </row>
    <row r="206">
      <c r="B206" s="1" t="str">
        <f>infections!B206</f>
        <v>Suriname</v>
      </c>
      <c r="C206" s="4">
        <f>infections!C206</f>
        <v>3.9193</v>
      </c>
      <c r="D206" s="4">
        <f>infections!D206</f>
        <v>-56.0278</v>
      </c>
      <c r="E206" s="4">
        <f>infections!E206</f>
        <v>0</v>
      </c>
      <c r="F206" s="3">
        <f>infections!F206-infections!E206</f>
        <v>0</v>
      </c>
      <c r="G206" s="3">
        <f>infections!G206-infections!F206</f>
        <v>0</v>
      </c>
      <c r="H206" s="3">
        <f>infections!H206-infections!G206</f>
        <v>0</v>
      </c>
      <c r="I206" s="3">
        <f>infections!I206-infections!H206</f>
        <v>0</v>
      </c>
      <c r="J206" s="3">
        <f>infections!J206-infections!I206</f>
        <v>0</v>
      </c>
      <c r="K206" s="3">
        <f>infections!K206-infections!J206</f>
        <v>0</v>
      </c>
      <c r="L206" s="3">
        <f>infections!L206-infections!K206</f>
        <v>0</v>
      </c>
      <c r="M206" s="3">
        <f>infections!M206-infections!L206</f>
        <v>0</v>
      </c>
      <c r="N206" s="3">
        <f>infections!N206-infections!M206</f>
        <v>0</v>
      </c>
      <c r="O206" s="3">
        <f>infections!O206-infections!N206</f>
        <v>0</v>
      </c>
      <c r="P206" s="3">
        <f>infections!P206-infections!O206</f>
        <v>0</v>
      </c>
      <c r="Q206" s="3">
        <f>infections!Q206-infections!P206</f>
        <v>0</v>
      </c>
      <c r="R206" s="3">
        <f>infections!R206-infections!Q206</f>
        <v>0</v>
      </c>
      <c r="S206" s="3">
        <f>infections!S206-infections!R206</f>
        <v>0</v>
      </c>
      <c r="T206" s="3">
        <f>infections!T206-infections!S206</f>
        <v>0</v>
      </c>
      <c r="U206" s="3">
        <f>infections!U206-infections!T206</f>
        <v>0</v>
      </c>
      <c r="V206" s="3">
        <f>infections!V206-infections!U206</f>
        <v>0</v>
      </c>
      <c r="W206" s="3">
        <f>infections!W206-infections!V206</f>
        <v>0</v>
      </c>
      <c r="X206" s="3">
        <f>infections!X206-infections!W206</f>
        <v>0</v>
      </c>
      <c r="Y206" s="3">
        <f>infections!Y206-infections!X206</f>
        <v>0</v>
      </c>
      <c r="Z206" s="3">
        <f>infections!Z206-infections!Y206</f>
        <v>0</v>
      </c>
      <c r="AA206" s="3">
        <f>infections!AA206-infections!Z206</f>
        <v>0</v>
      </c>
      <c r="AB206" s="3">
        <f>infections!AB206-infections!AA206</f>
        <v>0</v>
      </c>
      <c r="AC206" s="3">
        <f>infections!AC206-infections!AB206</f>
        <v>0</v>
      </c>
      <c r="AD206" s="3">
        <f>infections!AD206-infections!AC206</f>
        <v>0</v>
      </c>
      <c r="AE206" s="3">
        <f>infections!AE206-infections!AD206</f>
        <v>0</v>
      </c>
      <c r="AF206" s="3">
        <f>infections!AF206-infections!AE206</f>
        <v>0</v>
      </c>
      <c r="AG206" s="3">
        <f>infections!AG206-infections!AF206</f>
        <v>0</v>
      </c>
      <c r="AH206" s="3">
        <f>infections!AH206-infections!AG206</f>
        <v>0</v>
      </c>
      <c r="AI206" s="3">
        <f>infections!AI206-infections!AH206</f>
        <v>0</v>
      </c>
      <c r="AJ206" s="3">
        <f>infections!AJ206-infections!AI206</f>
        <v>0</v>
      </c>
      <c r="AK206" s="3">
        <f>infections!AK206-infections!AJ206</f>
        <v>0</v>
      </c>
      <c r="AL206" s="3">
        <f>infections!AL206-infections!AK206</f>
        <v>0</v>
      </c>
      <c r="AM206" s="3">
        <f>infections!AM206-infections!AL206</f>
        <v>0</v>
      </c>
      <c r="AN206" s="3">
        <f>infections!AN206-infections!AM206</f>
        <v>0</v>
      </c>
      <c r="AO206" s="3">
        <f>infections!AO206-infections!AN206</f>
        <v>0</v>
      </c>
      <c r="AP206" s="3">
        <f>infections!AP206-infections!AO206</f>
        <v>0</v>
      </c>
      <c r="AQ206" s="3">
        <f>infections!AQ206-infections!AP206</f>
        <v>0</v>
      </c>
      <c r="AR206" s="3">
        <f>infections!AR206-infections!AQ206</f>
        <v>0</v>
      </c>
      <c r="AS206" s="3">
        <f>infections!AS206-infections!AR206</f>
        <v>0</v>
      </c>
      <c r="AT206" s="3">
        <f>infections!AT206-infections!AS206</f>
        <v>0</v>
      </c>
      <c r="AU206" s="3">
        <f>infections!AU206-infections!AT206</f>
        <v>0</v>
      </c>
      <c r="AV206" s="3">
        <f>infections!AV206-infections!AU206</f>
        <v>0</v>
      </c>
      <c r="AW206" s="3">
        <f>infections!AW206-infections!AV206</f>
        <v>0</v>
      </c>
      <c r="AX206" s="3">
        <f>infections!AX206-infections!AW206</f>
        <v>0</v>
      </c>
      <c r="AY206" s="3">
        <f>infections!AY206-infections!AX206</f>
        <v>0</v>
      </c>
      <c r="AZ206" s="3">
        <f>infections!AZ206-infections!AY206</f>
        <v>0</v>
      </c>
      <c r="BA206" s="3">
        <f>infections!BA206-infections!AZ206</f>
        <v>0</v>
      </c>
      <c r="BB206" s="3">
        <f>infections!BB206-infections!BA206</f>
        <v>0</v>
      </c>
      <c r="BC206" s="3">
        <f>infections!BC206-infections!BB206</f>
        <v>0</v>
      </c>
      <c r="BD206" s="3">
        <f>infections!BD206-infections!BC206</f>
        <v>0</v>
      </c>
      <c r="BE206" s="3">
        <f>infections!BE206-infections!BD206</f>
        <v>1</v>
      </c>
      <c r="BF206" s="3">
        <f>infections!BF206-infections!BE206</f>
        <v>0</v>
      </c>
      <c r="BG206" s="3">
        <f>infections!BG206-infections!BF206</f>
        <v>0</v>
      </c>
      <c r="BH206" s="3">
        <f>infections!BH206-infections!BG206</f>
        <v>0</v>
      </c>
      <c r="BI206" s="3">
        <f>infections!BI206-infections!BH206</f>
        <v>0</v>
      </c>
      <c r="BJ206" s="3">
        <f>infections!BJ206-infections!BI206</f>
        <v>0</v>
      </c>
      <c r="BK206" s="3">
        <f>infections!BK206-infections!BJ206</f>
        <v>3</v>
      </c>
      <c r="BL206" s="3">
        <f>infections!BL206-infections!BK206</f>
        <v>0</v>
      </c>
      <c r="BM206" s="3">
        <f>infections!BM206-infections!BL206</f>
        <v>1</v>
      </c>
      <c r="BN206" s="3">
        <f>infections!BN206-infections!BM206</f>
        <v>0</v>
      </c>
      <c r="BO206" s="3">
        <f>infections!BO206-infections!BN206</f>
        <v>2</v>
      </c>
      <c r="BP206" s="3">
        <f>infections!BP206-infections!BO206</f>
        <v>1</v>
      </c>
      <c r="BQ206" s="3">
        <f>infections!BQ206-infections!BP206</f>
        <v>0</v>
      </c>
      <c r="BR206" s="3">
        <f>infections!BR206-infections!BQ206</f>
        <v>0</v>
      </c>
      <c r="BS206" s="3">
        <f>infections!BS206-infections!BR206</f>
        <v>0</v>
      </c>
      <c r="BT206" s="3">
        <f>infections!BT206-infections!BS206</f>
        <v>0</v>
      </c>
      <c r="BU206" s="3">
        <f>infections!BU206-infections!BT206</f>
        <v>0</v>
      </c>
      <c r="BV206" s="3">
        <f>infections!BV206-infections!BU206</f>
        <v>1</v>
      </c>
      <c r="BW206" s="3">
        <f>infections!BW206-infections!BV206</f>
        <v>1</v>
      </c>
      <c r="BX206" s="3">
        <f>infections!BX206-infections!BW206</f>
        <v>0</v>
      </c>
      <c r="BY206" s="3">
        <f>infections!BY206-infections!BX206</f>
        <v>0</v>
      </c>
    </row>
    <row r="207">
      <c r="B207" s="1" t="str">
        <f>infections!B207</f>
        <v>Sweden</v>
      </c>
      <c r="C207" s="4">
        <f>infections!C207</f>
        <v>63</v>
      </c>
      <c r="D207" s="4">
        <f>infections!D207</f>
        <v>16</v>
      </c>
      <c r="E207" s="4">
        <f>infections!E207</f>
        <v>0</v>
      </c>
      <c r="F207" s="3">
        <f>infections!F207-infections!E207</f>
        <v>0</v>
      </c>
      <c r="G207" s="3">
        <f>infections!G207-infections!F207</f>
        <v>0</v>
      </c>
      <c r="H207" s="3">
        <f>infections!H207-infections!G207</f>
        <v>0</v>
      </c>
      <c r="I207" s="3">
        <f>infections!I207-infections!H207</f>
        <v>0</v>
      </c>
      <c r="J207" s="3">
        <f>infections!J207-infections!I207</f>
        <v>0</v>
      </c>
      <c r="K207" s="3">
        <f>infections!K207-infections!J207</f>
        <v>0</v>
      </c>
      <c r="L207" s="3">
        <f>infections!L207-infections!K207</f>
        <v>0</v>
      </c>
      <c r="M207" s="3">
        <f>infections!M207-infections!L207</f>
        <v>0</v>
      </c>
      <c r="N207" s="3">
        <f>infections!N207-infections!M207</f>
        <v>1</v>
      </c>
      <c r="O207" s="3">
        <f>infections!O207-infections!N207</f>
        <v>0</v>
      </c>
      <c r="P207" s="3">
        <f>infections!P207-infections!O207</f>
        <v>0</v>
      </c>
      <c r="Q207" s="3">
        <f>infections!Q207-infections!P207</f>
        <v>0</v>
      </c>
      <c r="R207" s="3">
        <f>infections!R207-infections!Q207</f>
        <v>0</v>
      </c>
      <c r="S207" s="3">
        <f>infections!S207-infections!R207</f>
        <v>0</v>
      </c>
      <c r="T207" s="3">
        <f>infections!T207-infections!S207</f>
        <v>0</v>
      </c>
      <c r="U207" s="3">
        <f>infections!U207-infections!T207</f>
        <v>0</v>
      </c>
      <c r="V207" s="3">
        <f>infections!V207-infections!U207</f>
        <v>0</v>
      </c>
      <c r="W207" s="3">
        <f>infections!W207-infections!V207</f>
        <v>0</v>
      </c>
      <c r="X207" s="3">
        <f>infections!X207-infections!W207</f>
        <v>0</v>
      </c>
      <c r="Y207" s="3">
        <f>infections!Y207-infections!X207</f>
        <v>0</v>
      </c>
      <c r="Z207" s="3">
        <f>infections!Z207-infections!Y207</f>
        <v>0</v>
      </c>
      <c r="AA207" s="3">
        <f>infections!AA207-infections!Z207</f>
        <v>0</v>
      </c>
      <c r="AB207" s="3">
        <f>infections!AB207-infections!AA207</f>
        <v>0</v>
      </c>
      <c r="AC207" s="3">
        <f>infections!AC207-infections!AB207</f>
        <v>0</v>
      </c>
      <c r="AD207" s="3">
        <f>infections!AD207-infections!AC207</f>
        <v>0</v>
      </c>
      <c r="AE207" s="3">
        <f>infections!AE207-infections!AD207</f>
        <v>0</v>
      </c>
      <c r="AF207" s="3">
        <f>infections!AF207-infections!AE207</f>
        <v>0</v>
      </c>
      <c r="AG207" s="3">
        <f>infections!AG207-infections!AF207</f>
        <v>0</v>
      </c>
      <c r="AH207" s="3">
        <f>infections!AH207-infections!AG207</f>
        <v>0</v>
      </c>
      <c r="AI207" s="3">
        <f>infections!AI207-infections!AH207</f>
        <v>0</v>
      </c>
      <c r="AJ207" s="3">
        <f>infections!AJ207-infections!AI207</f>
        <v>0</v>
      </c>
      <c r="AK207" s="3">
        <f>infections!AK207-infections!AJ207</f>
        <v>0</v>
      </c>
      <c r="AL207" s="3">
        <f>infections!AL207-infections!AK207</f>
        <v>0</v>
      </c>
      <c r="AM207" s="3">
        <f>infections!AM207-infections!AL207</f>
        <v>0</v>
      </c>
      <c r="AN207" s="3">
        <f>infections!AN207-infections!AM207</f>
        <v>1</v>
      </c>
      <c r="AO207" s="3">
        <f>infections!AO207-infections!AN207</f>
        <v>5</v>
      </c>
      <c r="AP207" s="3">
        <f>infections!AP207-infections!AO207</f>
        <v>0</v>
      </c>
      <c r="AQ207" s="3">
        <f>infections!AQ207-infections!AP207</f>
        <v>5</v>
      </c>
      <c r="AR207" s="3">
        <f>infections!AR207-infections!AQ207</f>
        <v>2</v>
      </c>
      <c r="AS207" s="3">
        <f>infections!AS207-infections!AR207</f>
        <v>1</v>
      </c>
      <c r="AT207" s="3">
        <f>infections!AT207-infections!AS207</f>
        <v>6</v>
      </c>
      <c r="AU207" s="3">
        <f>infections!AU207-infections!AT207</f>
        <v>14</v>
      </c>
      <c r="AV207" s="3">
        <f>infections!AV207-infections!AU207</f>
        <v>59</v>
      </c>
      <c r="AW207" s="3">
        <f>infections!AW207-infections!AV207</f>
        <v>7</v>
      </c>
      <c r="AX207" s="3">
        <f>infections!AX207-infections!AW207</f>
        <v>60</v>
      </c>
      <c r="AY207" s="3">
        <f>infections!AY207-infections!AX207</f>
        <v>42</v>
      </c>
      <c r="AZ207" s="3">
        <f>infections!AZ207-infections!AY207</f>
        <v>45</v>
      </c>
      <c r="BA207" s="3">
        <f>infections!BA207-infections!AZ207</f>
        <v>107</v>
      </c>
      <c r="BB207" s="3">
        <f>infections!BB207-infections!BA207</f>
        <v>145</v>
      </c>
      <c r="BC207" s="3">
        <f>infections!BC207-infections!BB207</f>
        <v>99</v>
      </c>
      <c r="BD207" s="3">
        <f>infections!BD207-infections!BC207</f>
        <v>215</v>
      </c>
      <c r="BE207" s="3">
        <f>infections!BE207-infections!BD207</f>
        <v>147</v>
      </c>
      <c r="BF207" s="3">
        <f>infections!BF207-infections!BE207</f>
        <v>61</v>
      </c>
      <c r="BG207" s="3">
        <f>infections!BG207-infections!BF207</f>
        <v>81</v>
      </c>
      <c r="BH207" s="3">
        <f>infections!BH207-infections!BG207</f>
        <v>87</v>
      </c>
      <c r="BI207" s="3">
        <f>infections!BI207-infections!BH207</f>
        <v>89</v>
      </c>
      <c r="BJ207" s="3">
        <f>infections!BJ207-infections!BI207</f>
        <v>160</v>
      </c>
      <c r="BK207" s="3">
        <f>infections!BK207-infections!BJ207</f>
        <v>200</v>
      </c>
      <c r="BL207" s="3">
        <f>infections!BL207-infections!BK207</f>
        <v>124</v>
      </c>
      <c r="BM207" s="3">
        <f>infections!BM207-infections!BL207</f>
        <v>171</v>
      </c>
      <c r="BN207" s="3">
        <f>infections!BN207-infections!BM207</f>
        <v>112</v>
      </c>
      <c r="BO207" s="3">
        <f>infections!BO207-infections!BN207</f>
        <v>240</v>
      </c>
      <c r="BP207" s="3">
        <f>infections!BP207-infections!BO207</f>
        <v>240</v>
      </c>
      <c r="BQ207" s="3">
        <f>infections!BQ207-infections!BP207</f>
        <v>314</v>
      </c>
      <c r="BR207" s="3">
        <f>infections!BR207-infections!BQ207</f>
        <v>229</v>
      </c>
      <c r="BS207" s="3">
        <f>infections!BS207-infections!BR207</f>
        <v>378</v>
      </c>
      <c r="BT207" s="3">
        <f>infections!BT207-infections!BS207</f>
        <v>253</v>
      </c>
      <c r="BU207" s="3">
        <f>infections!BU207-infections!BT207</f>
        <v>328</v>
      </c>
      <c r="BV207" s="3">
        <f>infections!BV207-infections!BU207</f>
        <v>407</v>
      </c>
      <c r="BW207" s="3">
        <f>infections!BW207-infections!BV207</f>
        <v>512</v>
      </c>
      <c r="BX207" s="3">
        <f>infections!BX207-infections!BW207</f>
        <v>621</v>
      </c>
      <c r="BY207" s="3">
        <f>infections!BY207-infections!BX207</f>
        <v>563</v>
      </c>
    </row>
    <row r="208">
      <c r="B208" s="1" t="str">
        <f>infections!B208</f>
        <v>Switzerland</v>
      </c>
      <c r="C208" s="4">
        <f>infections!C208</f>
        <v>46.8182</v>
      </c>
      <c r="D208" s="4">
        <f>infections!D208</f>
        <v>8.2275</v>
      </c>
      <c r="E208" s="4">
        <f>infections!E208</f>
        <v>0</v>
      </c>
      <c r="F208" s="3">
        <f>infections!F208-infections!E208</f>
        <v>0</v>
      </c>
      <c r="G208" s="3">
        <f>infections!G208-infections!F208</f>
        <v>0</v>
      </c>
      <c r="H208" s="3">
        <f>infections!H208-infections!G208</f>
        <v>0</v>
      </c>
      <c r="I208" s="3">
        <f>infections!I208-infections!H208</f>
        <v>0</v>
      </c>
      <c r="J208" s="3">
        <f>infections!J208-infections!I208</f>
        <v>0</v>
      </c>
      <c r="K208" s="3">
        <f>infections!K208-infections!J208</f>
        <v>0</v>
      </c>
      <c r="L208" s="3">
        <f>infections!L208-infections!K208</f>
        <v>0</v>
      </c>
      <c r="M208" s="3">
        <f>infections!M208-infections!L208</f>
        <v>0</v>
      </c>
      <c r="N208" s="3">
        <f>infections!N208-infections!M208</f>
        <v>0</v>
      </c>
      <c r="O208" s="3">
        <f>infections!O208-infections!N208</f>
        <v>0</v>
      </c>
      <c r="P208" s="3">
        <f>infections!P208-infections!O208</f>
        <v>0</v>
      </c>
      <c r="Q208" s="3">
        <f>infections!Q208-infections!P208</f>
        <v>0</v>
      </c>
      <c r="R208" s="3">
        <f>infections!R208-infections!Q208</f>
        <v>0</v>
      </c>
      <c r="S208" s="3">
        <f>infections!S208-infections!R208</f>
        <v>0</v>
      </c>
      <c r="T208" s="3">
        <f>infections!T208-infections!S208</f>
        <v>0</v>
      </c>
      <c r="U208" s="3">
        <f>infections!U208-infections!T208</f>
        <v>0</v>
      </c>
      <c r="V208" s="3">
        <f>infections!V208-infections!U208</f>
        <v>0</v>
      </c>
      <c r="W208" s="3">
        <f>infections!W208-infections!V208</f>
        <v>0</v>
      </c>
      <c r="X208" s="3">
        <f>infections!X208-infections!W208</f>
        <v>0</v>
      </c>
      <c r="Y208" s="3">
        <f>infections!Y208-infections!X208</f>
        <v>0</v>
      </c>
      <c r="Z208" s="3">
        <f>infections!Z208-infections!Y208</f>
        <v>0</v>
      </c>
      <c r="AA208" s="3">
        <f>infections!AA208-infections!Z208</f>
        <v>0</v>
      </c>
      <c r="AB208" s="3">
        <f>infections!AB208-infections!AA208</f>
        <v>0</v>
      </c>
      <c r="AC208" s="3">
        <f>infections!AC208-infections!AB208</f>
        <v>0</v>
      </c>
      <c r="AD208" s="3">
        <f>infections!AD208-infections!AC208</f>
        <v>0</v>
      </c>
      <c r="AE208" s="3">
        <f>infections!AE208-infections!AD208</f>
        <v>0</v>
      </c>
      <c r="AF208" s="3">
        <f>infections!AF208-infections!AE208</f>
        <v>0</v>
      </c>
      <c r="AG208" s="3">
        <f>infections!AG208-infections!AF208</f>
        <v>0</v>
      </c>
      <c r="AH208" s="3">
        <f>infections!AH208-infections!AG208</f>
        <v>0</v>
      </c>
      <c r="AI208" s="3">
        <f>infections!AI208-infections!AH208</f>
        <v>0</v>
      </c>
      <c r="AJ208" s="3">
        <f>infections!AJ208-infections!AI208</f>
        <v>0</v>
      </c>
      <c r="AK208" s="3">
        <f>infections!AK208-infections!AJ208</f>
        <v>0</v>
      </c>
      <c r="AL208" s="3">
        <f>infections!AL208-infections!AK208</f>
        <v>0</v>
      </c>
      <c r="AM208" s="3">
        <f>infections!AM208-infections!AL208</f>
        <v>1</v>
      </c>
      <c r="AN208" s="3">
        <f>infections!AN208-infections!AM208</f>
        <v>0</v>
      </c>
      <c r="AO208" s="3">
        <f>infections!AO208-infections!AN208</f>
        <v>7</v>
      </c>
      <c r="AP208" s="3">
        <f>infections!AP208-infections!AO208</f>
        <v>0</v>
      </c>
      <c r="AQ208" s="3">
        <f>infections!AQ208-infections!AP208</f>
        <v>10</v>
      </c>
      <c r="AR208" s="3">
        <f>infections!AR208-infections!AQ208</f>
        <v>9</v>
      </c>
      <c r="AS208" s="3">
        <f>infections!AS208-infections!AR208</f>
        <v>15</v>
      </c>
      <c r="AT208" s="3">
        <f>infections!AT208-infections!AS208</f>
        <v>14</v>
      </c>
      <c r="AU208" s="3">
        <f>infections!AU208-infections!AT208</f>
        <v>34</v>
      </c>
      <c r="AV208" s="3">
        <f>infections!AV208-infections!AU208</f>
        <v>24</v>
      </c>
      <c r="AW208" s="3">
        <f>infections!AW208-infections!AV208</f>
        <v>100</v>
      </c>
      <c r="AX208" s="3">
        <f>infections!AX208-infections!AW208</f>
        <v>54</v>
      </c>
      <c r="AY208" s="3">
        <f>infections!AY208-infections!AX208</f>
        <v>69</v>
      </c>
      <c r="AZ208" s="3">
        <f>infections!AZ208-infections!AY208</f>
        <v>37</v>
      </c>
      <c r="BA208" s="3">
        <f>infections!BA208-infections!AZ208</f>
        <v>117</v>
      </c>
      <c r="BB208" s="3">
        <f>infections!BB208-infections!BA208</f>
        <v>161</v>
      </c>
      <c r="BC208" s="3">
        <f>infections!BC208-infections!BB208</f>
        <v>0</v>
      </c>
      <c r="BD208" s="3">
        <f>infections!BD208-infections!BC208</f>
        <v>487</v>
      </c>
      <c r="BE208" s="3">
        <f>infections!BE208-infections!BD208</f>
        <v>220</v>
      </c>
      <c r="BF208" s="3">
        <f>infections!BF208-infections!BE208</f>
        <v>841</v>
      </c>
      <c r="BG208" s="3">
        <f>infections!BG208-infections!BF208</f>
        <v>0</v>
      </c>
      <c r="BH208" s="3">
        <f>infections!BH208-infections!BG208</f>
        <v>500</v>
      </c>
      <c r="BI208" s="3">
        <f>infections!BI208-infections!BH208</f>
        <v>328</v>
      </c>
      <c r="BJ208" s="3">
        <f>infections!BJ208-infections!BI208</f>
        <v>1047</v>
      </c>
      <c r="BK208" s="3">
        <f>infections!BK208-infections!BJ208</f>
        <v>1219</v>
      </c>
      <c r="BL208" s="3">
        <f>infections!BL208-infections!BK208</f>
        <v>1281</v>
      </c>
      <c r="BM208" s="3">
        <f>infections!BM208-infections!BL208</f>
        <v>899</v>
      </c>
      <c r="BN208" s="3">
        <f>infections!BN208-infections!BM208</f>
        <v>1321</v>
      </c>
      <c r="BO208" s="3">
        <f>infections!BO208-infections!BN208</f>
        <v>1082</v>
      </c>
      <c r="BP208" s="3">
        <f>infections!BP208-infections!BO208</f>
        <v>1020</v>
      </c>
      <c r="BQ208" s="3">
        <f>infections!BQ208-infections!BP208</f>
        <v>914</v>
      </c>
      <c r="BR208" s="3">
        <f>infections!BR208-infections!BQ208</f>
        <v>1117</v>
      </c>
      <c r="BS208" s="3">
        <f>infections!BS208-infections!BR208</f>
        <v>1148</v>
      </c>
      <c r="BT208" s="3">
        <f>infections!BT208-infections!BS208</f>
        <v>753</v>
      </c>
      <c r="BU208" s="3">
        <f>infections!BU208-infections!BT208</f>
        <v>1093</v>
      </c>
      <c r="BV208" s="3">
        <f>infections!BV208-infections!BU208</f>
        <v>683</v>
      </c>
      <c r="BW208" s="3">
        <f>infections!BW208-infections!BV208</f>
        <v>1163</v>
      </c>
      <c r="BX208" s="3">
        <f>infections!BX208-infections!BW208</f>
        <v>1059</v>
      </c>
      <c r="BY208" s="3">
        <f>infections!BY208-infections!BX208</f>
        <v>779</v>
      </c>
    </row>
    <row r="209">
      <c r="B209" s="1" t="str">
        <f>infections!B209</f>
        <v>Taiwan*</v>
      </c>
      <c r="C209" s="4">
        <f>infections!C209</f>
        <v>23.7</v>
      </c>
      <c r="D209" s="4">
        <f>infections!D209</f>
        <v>121</v>
      </c>
      <c r="E209" s="4">
        <f>infections!E209</f>
        <v>1</v>
      </c>
      <c r="F209" s="3">
        <f>infections!F209-infections!E209</f>
        <v>0</v>
      </c>
      <c r="G209" s="3">
        <f>infections!G209-infections!F209</f>
        <v>2</v>
      </c>
      <c r="H209" s="3">
        <f>infections!H209-infections!G209</f>
        <v>0</v>
      </c>
      <c r="I209" s="3">
        <f>infections!I209-infections!H209</f>
        <v>1</v>
      </c>
      <c r="J209" s="3">
        <f>infections!J209-infections!I209</f>
        <v>1</v>
      </c>
      <c r="K209" s="3">
        <f>infections!K209-infections!J209</f>
        <v>3</v>
      </c>
      <c r="L209" s="3">
        <f>infections!L209-infections!K209</f>
        <v>0</v>
      </c>
      <c r="M209" s="3">
        <f>infections!M209-infections!L209</f>
        <v>1</v>
      </c>
      <c r="N209" s="3">
        <f>infections!N209-infections!M209</f>
        <v>1</v>
      </c>
      <c r="O209" s="3">
        <f>infections!O209-infections!N209</f>
        <v>0</v>
      </c>
      <c r="P209" s="3">
        <f>infections!P209-infections!O209</f>
        <v>0</v>
      </c>
      <c r="Q209" s="3">
        <f>infections!Q209-infections!P209</f>
        <v>0</v>
      </c>
      <c r="R209" s="3">
        <f>infections!R209-infections!Q209</f>
        <v>1</v>
      </c>
      <c r="S209" s="3">
        <f>infections!S209-infections!R209</f>
        <v>0</v>
      </c>
      <c r="T209" s="3">
        <f>infections!T209-infections!S209</f>
        <v>5</v>
      </c>
      <c r="U209" s="3">
        <f>infections!U209-infections!T209</f>
        <v>0</v>
      </c>
      <c r="V209" s="3">
        <f>infections!V209-infections!U209</f>
        <v>1</v>
      </c>
      <c r="W209" s="3">
        <f>infections!W209-infections!V209</f>
        <v>1</v>
      </c>
      <c r="X209" s="3">
        <f>infections!X209-infections!W209</f>
        <v>0</v>
      </c>
      <c r="Y209" s="3">
        <f>infections!Y209-infections!X209</f>
        <v>0</v>
      </c>
      <c r="Z209" s="3">
        <f>infections!Z209-infections!Y209</f>
        <v>0</v>
      </c>
      <c r="AA209" s="3">
        <f>infections!AA209-infections!Z209</f>
        <v>0</v>
      </c>
      <c r="AB209" s="3">
        <f>infections!AB209-infections!AA209</f>
        <v>0</v>
      </c>
      <c r="AC209" s="3">
        <f>infections!AC209-infections!AB209</f>
        <v>0</v>
      </c>
      <c r="AD209" s="3">
        <f>infections!AD209-infections!AC209</f>
        <v>2</v>
      </c>
      <c r="AE209" s="3">
        <f>infections!AE209-infections!AD209</f>
        <v>2</v>
      </c>
      <c r="AF209" s="3">
        <f>infections!AF209-infections!AE209</f>
        <v>0</v>
      </c>
      <c r="AG209" s="3">
        <f>infections!AG209-infections!AF209</f>
        <v>1</v>
      </c>
      <c r="AH209" s="3">
        <f>infections!AH209-infections!AG209</f>
        <v>1</v>
      </c>
      <c r="AI209" s="3">
        <f>infections!AI209-infections!AH209</f>
        <v>2</v>
      </c>
      <c r="AJ209" s="3">
        <f>infections!AJ209-infections!AI209</f>
        <v>0</v>
      </c>
      <c r="AK209" s="3">
        <f>infections!AK209-infections!AJ209</f>
        <v>2</v>
      </c>
      <c r="AL209" s="3">
        <f>infections!AL209-infections!AK209</f>
        <v>2</v>
      </c>
      <c r="AM209" s="3">
        <f>infections!AM209-infections!AL209</f>
        <v>1</v>
      </c>
      <c r="AN209" s="3">
        <f>infections!AN209-infections!AM209</f>
        <v>1</v>
      </c>
      <c r="AO209" s="3">
        <f>infections!AO209-infections!AN209</f>
        <v>0</v>
      </c>
      <c r="AP209" s="3">
        <f>infections!AP209-infections!AO209</f>
        <v>2</v>
      </c>
      <c r="AQ209" s="3">
        <f>infections!AQ209-infections!AP209</f>
        <v>5</v>
      </c>
      <c r="AR209" s="3">
        <f>infections!AR209-infections!AQ209</f>
        <v>1</v>
      </c>
      <c r="AS209" s="3">
        <f>infections!AS209-infections!AR209</f>
        <v>1</v>
      </c>
      <c r="AT209" s="3">
        <f>infections!AT209-infections!AS209</f>
        <v>1</v>
      </c>
      <c r="AU209" s="3">
        <f>infections!AU209-infections!AT209</f>
        <v>0</v>
      </c>
      <c r="AV209" s="3">
        <f>infections!AV209-infections!AU209</f>
        <v>2</v>
      </c>
      <c r="AW209" s="3">
        <f>infections!AW209-infections!AV209</f>
        <v>1</v>
      </c>
      <c r="AX209" s="3">
        <f>infections!AX209-infections!AW209</f>
        <v>0</v>
      </c>
      <c r="AY209" s="3">
        <f>infections!AY209-infections!AX209</f>
        <v>0</v>
      </c>
      <c r="AZ209" s="3">
        <f>infections!AZ209-infections!AY209</f>
        <v>0</v>
      </c>
      <c r="BA209" s="3">
        <f>infections!BA209-infections!AZ209</f>
        <v>2</v>
      </c>
      <c r="BB209" s="3">
        <f>infections!BB209-infections!BA209</f>
        <v>1</v>
      </c>
      <c r="BC209" s="3">
        <f>infections!BC209-infections!BB209</f>
        <v>1</v>
      </c>
      <c r="BD209" s="3">
        <f>infections!BD209-infections!BC209</f>
        <v>1</v>
      </c>
      <c r="BE209" s="3">
        <f>infections!BE209-infections!BD209</f>
        <v>3</v>
      </c>
      <c r="BF209" s="3">
        <f>infections!BF209-infections!BE209</f>
        <v>6</v>
      </c>
      <c r="BG209" s="3">
        <f>infections!BG209-infections!BF209</f>
        <v>8</v>
      </c>
      <c r="BH209" s="3">
        <f>infections!BH209-infections!BG209</f>
        <v>10</v>
      </c>
      <c r="BI209" s="3">
        <f>infections!BI209-infections!BH209</f>
        <v>23</v>
      </c>
      <c r="BJ209" s="3">
        <f>infections!BJ209-infections!BI209</f>
        <v>8</v>
      </c>
      <c r="BK209" s="3">
        <f>infections!BK209-infections!BJ209</f>
        <v>27</v>
      </c>
      <c r="BL209" s="3">
        <f>infections!BL209-infections!BK209</f>
        <v>18</v>
      </c>
      <c r="BM209" s="3">
        <f>infections!BM209-infections!BL209</f>
        <v>16</v>
      </c>
      <c r="BN209" s="3">
        <f>infections!BN209-infections!BM209</f>
        <v>26</v>
      </c>
      <c r="BO209" s="3">
        <f>infections!BO209-infections!BN209</f>
        <v>20</v>
      </c>
      <c r="BP209" s="3">
        <f>infections!BP209-infections!BO209</f>
        <v>20</v>
      </c>
      <c r="BQ209" s="3">
        <f>infections!BQ209-infections!BP209</f>
        <v>17</v>
      </c>
      <c r="BR209" s="3">
        <f>infections!BR209-infections!BQ209</f>
        <v>15</v>
      </c>
      <c r="BS209" s="3">
        <f>infections!BS209-infections!BR209</f>
        <v>16</v>
      </c>
      <c r="BT209" s="3">
        <f>infections!BT209-infections!BS209</f>
        <v>15</v>
      </c>
      <c r="BU209" s="3">
        <f>infections!BU209-infections!BT209</f>
        <v>8</v>
      </c>
      <c r="BV209" s="3">
        <f>infections!BV209-infections!BU209</f>
        <v>16</v>
      </c>
      <c r="BW209" s="3">
        <f>infections!BW209-infections!BV209</f>
        <v>7</v>
      </c>
      <c r="BX209" s="3">
        <f>infections!BX209-infections!BW209</f>
        <v>10</v>
      </c>
      <c r="BY209" s="3">
        <f>infections!BY209-infections!BX209</f>
        <v>9</v>
      </c>
    </row>
    <row r="210">
      <c r="B210" s="1" t="str">
        <f>infections!B210</f>
        <v>Tanzania</v>
      </c>
      <c r="C210" s="4">
        <f>infections!C210</f>
        <v>-6.369</v>
      </c>
      <c r="D210" s="4">
        <f>infections!D210</f>
        <v>34.8888</v>
      </c>
      <c r="E210" s="4">
        <f>infections!E210</f>
        <v>0</v>
      </c>
      <c r="F210" s="3">
        <f>infections!F210-infections!E210</f>
        <v>0</v>
      </c>
      <c r="G210" s="3">
        <f>infections!G210-infections!F210</f>
        <v>0</v>
      </c>
      <c r="H210" s="3">
        <f>infections!H210-infections!G210</f>
        <v>0</v>
      </c>
      <c r="I210" s="3">
        <f>infections!I210-infections!H210</f>
        <v>0</v>
      </c>
      <c r="J210" s="3">
        <f>infections!J210-infections!I210</f>
        <v>0</v>
      </c>
      <c r="K210" s="3">
        <f>infections!K210-infections!J210</f>
        <v>0</v>
      </c>
      <c r="L210" s="3">
        <f>infections!L210-infections!K210</f>
        <v>0</v>
      </c>
      <c r="M210" s="3">
        <f>infections!M210-infections!L210</f>
        <v>0</v>
      </c>
      <c r="N210" s="3">
        <f>infections!N210-infections!M210</f>
        <v>0</v>
      </c>
      <c r="O210" s="3">
        <f>infections!O210-infections!N210</f>
        <v>0</v>
      </c>
      <c r="P210" s="3">
        <f>infections!P210-infections!O210</f>
        <v>0</v>
      </c>
      <c r="Q210" s="3">
        <f>infections!Q210-infections!P210</f>
        <v>0</v>
      </c>
      <c r="R210" s="3">
        <f>infections!R210-infections!Q210</f>
        <v>0</v>
      </c>
      <c r="S210" s="3">
        <f>infections!S210-infections!R210</f>
        <v>0</v>
      </c>
      <c r="T210" s="3">
        <f>infections!T210-infections!S210</f>
        <v>0</v>
      </c>
      <c r="U210" s="3">
        <f>infections!U210-infections!T210</f>
        <v>0</v>
      </c>
      <c r="V210" s="3">
        <f>infections!V210-infections!U210</f>
        <v>0</v>
      </c>
      <c r="W210" s="3">
        <f>infections!W210-infections!V210</f>
        <v>0</v>
      </c>
      <c r="X210" s="3">
        <f>infections!X210-infections!W210</f>
        <v>0</v>
      </c>
      <c r="Y210" s="3">
        <f>infections!Y210-infections!X210</f>
        <v>0</v>
      </c>
      <c r="Z210" s="3">
        <f>infections!Z210-infections!Y210</f>
        <v>0</v>
      </c>
      <c r="AA210" s="3">
        <f>infections!AA210-infections!Z210</f>
        <v>0</v>
      </c>
      <c r="AB210" s="3">
        <f>infections!AB210-infections!AA210</f>
        <v>0</v>
      </c>
      <c r="AC210" s="3">
        <f>infections!AC210-infections!AB210</f>
        <v>0</v>
      </c>
      <c r="AD210" s="3">
        <f>infections!AD210-infections!AC210</f>
        <v>0</v>
      </c>
      <c r="AE210" s="3">
        <f>infections!AE210-infections!AD210</f>
        <v>0</v>
      </c>
      <c r="AF210" s="3">
        <f>infections!AF210-infections!AE210</f>
        <v>0</v>
      </c>
      <c r="AG210" s="3">
        <f>infections!AG210-infections!AF210</f>
        <v>0</v>
      </c>
      <c r="AH210" s="3">
        <f>infections!AH210-infections!AG210</f>
        <v>0</v>
      </c>
      <c r="AI210" s="3">
        <f>infections!AI210-infections!AH210</f>
        <v>0</v>
      </c>
      <c r="AJ210" s="3">
        <f>infections!AJ210-infections!AI210</f>
        <v>0</v>
      </c>
      <c r="AK210" s="3">
        <f>infections!AK210-infections!AJ210</f>
        <v>0</v>
      </c>
      <c r="AL210" s="3">
        <f>infections!AL210-infections!AK210</f>
        <v>0</v>
      </c>
      <c r="AM210" s="3">
        <f>infections!AM210-infections!AL210</f>
        <v>0</v>
      </c>
      <c r="AN210" s="3">
        <f>infections!AN210-infections!AM210</f>
        <v>0</v>
      </c>
      <c r="AO210" s="3">
        <f>infections!AO210-infections!AN210</f>
        <v>0</v>
      </c>
      <c r="AP210" s="3">
        <f>infections!AP210-infections!AO210</f>
        <v>0</v>
      </c>
      <c r="AQ210" s="3">
        <f>infections!AQ210-infections!AP210</f>
        <v>0</v>
      </c>
      <c r="AR210" s="3">
        <f>infections!AR210-infections!AQ210</f>
        <v>0</v>
      </c>
      <c r="AS210" s="3">
        <f>infections!AS210-infections!AR210</f>
        <v>0</v>
      </c>
      <c r="AT210" s="3">
        <f>infections!AT210-infections!AS210</f>
        <v>0</v>
      </c>
      <c r="AU210" s="3">
        <f>infections!AU210-infections!AT210</f>
        <v>0</v>
      </c>
      <c r="AV210" s="3">
        <f>infections!AV210-infections!AU210</f>
        <v>0</v>
      </c>
      <c r="AW210" s="3">
        <f>infections!AW210-infections!AV210</f>
        <v>0</v>
      </c>
      <c r="AX210" s="3">
        <f>infections!AX210-infections!AW210</f>
        <v>0</v>
      </c>
      <c r="AY210" s="3">
        <f>infections!AY210-infections!AX210</f>
        <v>0</v>
      </c>
      <c r="AZ210" s="3">
        <f>infections!AZ210-infections!AY210</f>
        <v>0</v>
      </c>
      <c r="BA210" s="3">
        <f>infections!BA210-infections!AZ210</f>
        <v>0</v>
      </c>
      <c r="BB210" s="3">
        <f>infections!BB210-infections!BA210</f>
        <v>0</v>
      </c>
      <c r="BC210" s="3">
        <f>infections!BC210-infections!BB210</f>
        <v>0</v>
      </c>
      <c r="BD210" s="3">
        <f>infections!BD210-infections!BC210</f>
        <v>0</v>
      </c>
      <c r="BE210" s="3">
        <f>infections!BE210-infections!BD210</f>
        <v>0</v>
      </c>
      <c r="BF210" s="3">
        <f>infections!BF210-infections!BE210</f>
        <v>0</v>
      </c>
      <c r="BG210" s="3">
        <f>infections!BG210-infections!BF210</f>
        <v>1</v>
      </c>
      <c r="BH210" s="3">
        <f>infections!BH210-infections!BG210</f>
        <v>0</v>
      </c>
      <c r="BI210" s="3">
        <f>infections!BI210-infections!BH210</f>
        <v>2</v>
      </c>
      <c r="BJ210" s="3">
        <f>infections!BJ210-infections!BI210</f>
        <v>3</v>
      </c>
      <c r="BK210" s="3">
        <f>infections!BK210-infections!BJ210</f>
        <v>0</v>
      </c>
      <c r="BL210" s="3">
        <f>infections!BL210-infections!BK210</f>
        <v>0</v>
      </c>
      <c r="BM210" s="3">
        <f>infections!BM210-infections!BL210</f>
        <v>6</v>
      </c>
      <c r="BN210" s="3">
        <f>infections!BN210-infections!BM210</f>
        <v>0</v>
      </c>
      <c r="BO210" s="3">
        <f>infections!BO210-infections!BN210</f>
        <v>0</v>
      </c>
      <c r="BP210" s="3">
        <f>infections!BP210-infections!BO210</f>
        <v>0</v>
      </c>
      <c r="BQ210" s="3">
        <f>infections!BQ210-infections!BP210</f>
        <v>1</v>
      </c>
      <c r="BR210" s="3">
        <f>infections!BR210-infections!BQ210</f>
        <v>0</v>
      </c>
      <c r="BS210" s="3">
        <f>infections!BS210-infections!BR210</f>
        <v>1</v>
      </c>
      <c r="BT210" s="3">
        <f>infections!BT210-infections!BS210</f>
        <v>0</v>
      </c>
      <c r="BU210" s="3">
        <f>infections!BU210-infections!BT210</f>
        <v>5</v>
      </c>
      <c r="BV210" s="3">
        <f>infections!BV210-infections!BU210</f>
        <v>0</v>
      </c>
      <c r="BW210" s="3">
        <f>infections!BW210-infections!BV210</f>
        <v>1</v>
      </c>
      <c r="BX210" s="3">
        <f>infections!BX210-infections!BW210</f>
        <v>0</v>
      </c>
      <c r="BY210" s="3">
        <f>infections!BY210-infections!BX210</f>
        <v>0</v>
      </c>
    </row>
    <row r="211">
      <c r="B211" s="1" t="str">
        <f>infections!B211</f>
        <v>Thailand</v>
      </c>
      <c r="C211" s="4">
        <f>infections!C211</f>
        <v>15</v>
      </c>
      <c r="D211" s="4">
        <f>infections!D211</f>
        <v>101</v>
      </c>
      <c r="E211" s="4">
        <f>infections!E211</f>
        <v>2</v>
      </c>
      <c r="F211" s="3">
        <f>infections!F211-infections!E211</f>
        <v>1</v>
      </c>
      <c r="G211" s="3">
        <f>infections!G211-infections!F211</f>
        <v>2</v>
      </c>
      <c r="H211" s="3">
        <f>infections!H211-infections!G211</f>
        <v>2</v>
      </c>
      <c r="I211" s="3">
        <f>infections!I211-infections!H211</f>
        <v>1</v>
      </c>
      <c r="J211" s="3">
        <f>infections!J211-infections!I211</f>
        <v>0</v>
      </c>
      <c r="K211" s="3">
        <f>infections!K211-infections!J211</f>
        <v>6</v>
      </c>
      <c r="L211" s="3">
        <f>infections!L211-infections!K211</f>
        <v>0</v>
      </c>
      <c r="M211" s="3">
        <f>infections!M211-infections!L211</f>
        <v>0</v>
      </c>
      <c r="N211" s="3">
        <f>infections!N211-infections!M211</f>
        <v>5</v>
      </c>
      <c r="O211" s="3">
        <f>infections!O211-infections!N211</f>
        <v>0</v>
      </c>
      <c r="P211" s="3">
        <f>infections!P211-infections!O211</f>
        <v>0</v>
      </c>
      <c r="Q211" s="3">
        <f>infections!Q211-infections!P211</f>
        <v>0</v>
      </c>
      <c r="R211" s="3">
        <f>infections!R211-infections!Q211</f>
        <v>6</v>
      </c>
      <c r="S211" s="3">
        <f>infections!S211-infections!R211</f>
        <v>0</v>
      </c>
      <c r="T211" s="3">
        <f>infections!T211-infections!S211</f>
        <v>0</v>
      </c>
      <c r="U211" s="3">
        <f>infections!U211-infections!T211</f>
        <v>0</v>
      </c>
      <c r="V211" s="3">
        <f>infections!V211-infections!U211</f>
        <v>7</v>
      </c>
      <c r="W211" s="3">
        <f>infections!W211-infections!V211</f>
        <v>0</v>
      </c>
      <c r="X211" s="3">
        <f>infections!X211-infections!W211</f>
        <v>0</v>
      </c>
      <c r="Y211" s="3">
        <f>infections!Y211-infections!X211</f>
        <v>1</v>
      </c>
      <c r="Z211" s="3">
        <f>infections!Z211-infections!Y211</f>
        <v>0</v>
      </c>
      <c r="AA211" s="3">
        <f>infections!AA211-infections!Z211</f>
        <v>0</v>
      </c>
      <c r="AB211" s="3">
        <f>infections!AB211-infections!AA211</f>
        <v>0</v>
      </c>
      <c r="AC211" s="3">
        <f>infections!AC211-infections!AB211</f>
        <v>0</v>
      </c>
      <c r="AD211" s="3">
        <f>infections!AD211-infections!AC211</f>
        <v>1</v>
      </c>
      <c r="AE211" s="3">
        <f>infections!AE211-infections!AD211</f>
        <v>1</v>
      </c>
      <c r="AF211" s="3">
        <f>infections!AF211-infections!AE211</f>
        <v>0</v>
      </c>
      <c r="AG211" s="3">
        <f>infections!AG211-infections!AF211</f>
        <v>0</v>
      </c>
      <c r="AH211" s="3">
        <f>infections!AH211-infections!AG211</f>
        <v>0</v>
      </c>
      <c r="AI211" s="3">
        <f>infections!AI211-infections!AH211</f>
        <v>0</v>
      </c>
      <c r="AJ211" s="3">
        <f>infections!AJ211-infections!AI211</f>
        <v>0</v>
      </c>
      <c r="AK211" s="3">
        <f>infections!AK211-infections!AJ211</f>
        <v>0</v>
      </c>
      <c r="AL211" s="3">
        <f>infections!AL211-infections!AK211</f>
        <v>0</v>
      </c>
      <c r="AM211" s="3">
        <f>infections!AM211-infections!AL211</f>
        <v>2</v>
      </c>
      <c r="AN211" s="3">
        <f>infections!AN211-infections!AM211</f>
        <v>3</v>
      </c>
      <c r="AO211" s="3">
        <f>infections!AO211-infections!AN211</f>
        <v>0</v>
      </c>
      <c r="AP211" s="3">
        <f>infections!AP211-infections!AO211</f>
        <v>1</v>
      </c>
      <c r="AQ211" s="3">
        <f>infections!AQ211-infections!AP211</f>
        <v>1</v>
      </c>
      <c r="AR211" s="3">
        <f>infections!AR211-infections!AQ211</f>
        <v>0</v>
      </c>
      <c r="AS211" s="3">
        <f>infections!AS211-infections!AR211</f>
        <v>1</v>
      </c>
      <c r="AT211" s="3">
        <f>infections!AT211-infections!AS211</f>
        <v>0</v>
      </c>
      <c r="AU211" s="3">
        <f>infections!AU211-infections!AT211</f>
        <v>0</v>
      </c>
      <c r="AV211" s="3">
        <f>infections!AV211-infections!AU211</f>
        <v>4</v>
      </c>
      <c r="AW211" s="3">
        <f>infections!AW211-infections!AV211</f>
        <v>1</v>
      </c>
      <c r="AX211" s="3">
        <f>infections!AX211-infections!AW211</f>
        <v>2</v>
      </c>
      <c r="AY211" s="3">
        <f>infections!AY211-infections!AX211</f>
        <v>0</v>
      </c>
      <c r="AZ211" s="3">
        <f>infections!AZ211-infections!AY211</f>
        <v>0</v>
      </c>
      <c r="BA211" s="3">
        <f>infections!BA211-infections!AZ211</f>
        <v>3</v>
      </c>
      <c r="BB211" s="3">
        <f>infections!BB211-infections!BA211</f>
        <v>6</v>
      </c>
      <c r="BC211" s="3">
        <f>infections!BC211-infections!BB211</f>
        <v>11</v>
      </c>
      <c r="BD211" s="3">
        <f>infections!BD211-infections!BC211</f>
        <v>5</v>
      </c>
      <c r="BE211" s="3">
        <f>infections!BE211-infections!BD211</f>
        <v>7</v>
      </c>
      <c r="BF211" s="3">
        <f>infections!BF211-infections!BE211</f>
        <v>32</v>
      </c>
      <c r="BG211" s="3">
        <f>infections!BG211-infections!BF211</f>
        <v>33</v>
      </c>
      <c r="BH211" s="3">
        <f>infections!BH211-infections!BG211</f>
        <v>30</v>
      </c>
      <c r="BI211" s="3">
        <f>infections!BI211-infections!BH211</f>
        <v>35</v>
      </c>
      <c r="BJ211" s="3">
        <f>infections!BJ211-infections!BI211</f>
        <v>60</v>
      </c>
      <c r="BK211" s="3">
        <f>infections!BK211-infections!BJ211</f>
        <v>50</v>
      </c>
      <c r="BL211" s="3">
        <f>infections!BL211-infections!BK211</f>
        <v>89</v>
      </c>
      <c r="BM211" s="3">
        <f>infections!BM211-infections!BL211</f>
        <v>188</v>
      </c>
      <c r="BN211" s="3">
        <f>infections!BN211-infections!BM211</f>
        <v>122</v>
      </c>
      <c r="BO211" s="3">
        <f>infections!BO211-infections!BN211</f>
        <v>106</v>
      </c>
      <c r="BP211" s="3">
        <f>infections!BP211-infections!BO211</f>
        <v>107</v>
      </c>
      <c r="BQ211" s="3">
        <f>infections!BQ211-infections!BP211</f>
        <v>111</v>
      </c>
      <c r="BR211" s="3">
        <f>infections!BR211-infections!BQ211</f>
        <v>91</v>
      </c>
      <c r="BS211" s="3">
        <f>infections!BS211-infections!BR211</f>
        <v>109</v>
      </c>
      <c r="BT211" s="3">
        <f>infections!BT211-infections!BS211</f>
        <v>143</v>
      </c>
      <c r="BU211" s="3">
        <f>infections!BU211-infections!BT211</f>
        <v>136</v>
      </c>
      <c r="BV211" s="3">
        <f>infections!BV211-infections!BU211</f>
        <v>127</v>
      </c>
      <c r="BW211" s="3">
        <f>infections!BW211-infections!BV211</f>
        <v>120</v>
      </c>
      <c r="BX211" s="3">
        <f>infections!BX211-infections!BW211</f>
        <v>104</v>
      </c>
      <c r="BY211" s="3">
        <f>infections!BY211-infections!BX211</f>
        <v>103</v>
      </c>
    </row>
    <row r="212">
      <c r="B212" s="1" t="str">
        <f>infections!B212</f>
        <v>Togo</v>
      </c>
      <c r="C212" s="4">
        <f>infections!C212</f>
        <v>8.6195</v>
      </c>
      <c r="D212" s="4">
        <f>infections!D212</f>
        <v>0.8248</v>
      </c>
      <c r="E212" s="4">
        <f>infections!E212</f>
        <v>0</v>
      </c>
      <c r="F212" s="3">
        <f>infections!F212-infections!E212</f>
        <v>0</v>
      </c>
      <c r="G212" s="3">
        <f>infections!G212-infections!F212</f>
        <v>0</v>
      </c>
      <c r="H212" s="3">
        <f>infections!H212-infections!G212</f>
        <v>0</v>
      </c>
      <c r="I212" s="3">
        <f>infections!I212-infections!H212</f>
        <v>0</v>
      </c>
      <c r="J212" s="3">
        <f>infections!J212-infections!I212</f>
        <v>0</v>
      </c>
      <c r="K212" s="3">
        <f>infections!K212-infections!J212</f>
        <v>0</v>
      </c>
      <c r="L212" s="3">
        <f>infections!L212-infections!K212</f>
        <v>0</v>
      </c>
      <c r="M212" s="3">
        <f>infections!M212-infections!L212</f>
        <v>0</v>
      </c>
      <c r="N212" s="3">
        <f>infections!N212-infections!M212</f>
        <v>0</v>
      </c>
      <c r="O212" s="3">
        <f>infections!O212-infections!N212</f>
        <v>0</v>
      </c>
      <c r="P212" s="3">
        <f>infections!P212-infections!O212</f>
        <v>0</v>
      </c>
      <c r="Q212" s="3">
        <f>infections!Q212-infections!P212</f>
        <v>0</v>
      </c>
      <c r="R212" s="3">
        <f>infections!R212-infections!Q212</f>
        <v>0</v>
      </c>
      <c r="S212" s="3">
        <f>infections!S212-infections!R212</f>
        <v>0</v>
      </c>
      <c r="T212" s="3">
        <f>infections!T212-infections!S212</f>
        <v>0</v>
      </c>
      <c r="U212" s="3">
        <f>infections!U212-infections!T212</f>
        <v>0</v>
      </c>
      <c r="V212" s="3">
        <f>infections!V212-infections!U212</f>
        <v>0</v>
      </c>
      <c r="W212" s="3">
        <f>infections!W212-infections!V212</f>
        <v>0</v>
      </c>
      <c r="X212" s="3">
        <f>infections!X212-infections!W212</f>
        <v>0</v>
      </c>
      <c r="Y212" s="3">
        <f>infections!Y212-infections!X212</f>
        <v>0</v>
      </c>
      <c r="Z212" s="3">
        <f>infections!Z212-infections!Y212</f>
        <v>0</v>
      </c>
      <c r="AA212" s="3">
        <f>infections!AA212-infections!Z212</f>
        <v>0</v>
      </c>
      <c r="AB212" s="3">
        <f>infections!AB212-infections!AA212</f>
        <v>0</v>
      </c>
      <c r="AC212" s="3">
        <f>infections!AC212-infections!AB212</f>
        <v>0</v>
      </c>
      <c r="AD212" s="3">
        <f>infections!AD212-infections!AC212</f>
        <v>0</v>
      </c>
      <c r="AE212" s="3">
        <f>infections!AE212-infections!AD212</f>
        <v>0</v>
      </c>
      <c r="AF212" s="3">
        <f>infections!AF212-infections!AE212</f>
        <v>0</v>
      </c>
      <c r="AG212" s="3">
        <f>infections!AG212-infections!AF212</f>
        <v>0</v>
      </c>
      <c r="AH212" s="3">
        <f>infections!AH212-infections!AG212</f>
        <v>0</v>
      </c>
      <c r="AI212" s="3">
        <f>infections!AI212-infections!AH212</f>
        <v>0</v>
      </c>
      <c r="AJ212" s="3">
        <f>infections!AJ212-infections!AI212</f>
        <v>0</v>
      </c>
      <c r="AK212" s="3">
        <f>infections!AK212-infections!AJ212</f>
        <v>0</v>
      </c>
      <c r="AL212" s="3">
        <f>infections!AL212-infections!AK212</f>
        <v>0</v>
      </c>
      <c r="AM212" s="3">
        <f>infections!AM212-infections!AL212</f>
        <v>0</v>
      </c>
      <c r="AN212" s="3">
        <f>infections!AN212-infections!AM212</f>
        <v>0</v>
      </c>
      <c r="AO212" s="3">
        <f>infections!AO212-infections!AN212</f>
        <v>0</v>
      </c>
      <c r="AP212" s="3">
        <f>infections!AP212-infections!AO212</f>
        <v>0</v>
      </c>
      <c r="AQ212" s="3">
        <f>infections!AQ212-infections!AP212</f>
        <v>0</v>
      </c>
      <c r="AR212" s="3">
        <f>infections!AR212-infections!AQ212</f>
        <v>0</v>
      </c>
      <c r="AS212" s="3">
        <f>infections!AS212-infections!AR212</f>
        <v>0</v>
      </c>
      <c r="AT212" s="3">
        <f>infections!AT212-infections!AS212</f>
        <v>0</v>
      </c>
      <c r="AU212" s="3">
        <f>infections!AU212-infections!AT212</f>
        <v>0</v>
      </c>
      <c r="AV212" s="3">
        <f>infections!AV212-infections!AU212</f>
        <v>0</v>
      </c>
      <c r="AW212" s="3">
        <f>infections!AW212-infections!AV212</f>
        <v>1</v>
      </c>
      <c r="AX212" s="3">
        <f>infections!AX212-infections!AW212</f>
        <v>0</v>
      </c>
      <c r="AY212" s="3">
        <f>infections!AY212-infections!AX212</f>
        <v>0</v>
      </c>
      <c r="AZ212" s="3">
        <f>infections!AZ212-infections!AY212</f>
        <v>0</v>
      </c>
      <c r="BA212" s="3">
        <f>infections!BA212-infections!AZ212</f>
        <v>0</v>
      </c>
      <c r="BB212" s="3">
        <f>infections!BB212-infections!BA212</f>
        <v>0</v>
      </c>
      <c r="BC212" s="3">
        <f>infections!BC212-infections!BB212</f>
        <v>0</v>
      </c>
      <c r="BD212" s="3">
        <f>infections!BD212-infections!BC212</f>
        <v>0</v>
      </c>
      <c r="BE212" s="3">
        <f>infections!BE212-infections!BD212</f>
        <v>0</v>
      </c>
      <c r="BF212" s="3">
        <f>infections!BF212-infections!BE212</f>
        <v>0</v>
      </c>
      <c r="BG212" s="3">
        <f>infections!BG212-infections!BF212</f>
        <v>0</v>
      </c>
      <c r="BH212" s="3">
        <f>infections!BH212-infections!BG212</f>
        <v>0</v>
      </c>
      <c r="BI212" s="3">
        <f>infections!BI212-infections!BH212</f>
        <v>0</v>
      </c>
      <c r="BJ212" s="3">
        <f>infections!BJ212-infections!BI212</f>
        <v>0</v>
      </c>
      <c r="BK212" s="3">
        <f>infections!BK212-infections!BJ212</f>
        <v>8</v>
      </c>
      <c r="BL212" s="3">
        <f>infections!BL212-infections!BK212</f>
        <v>7</v>
      </c>
      <c r="BM212" s="3">
        <f>infections!BM212-infections!BL212</f>
        <v>0</v>
      </c>
      <c r="BN212" s="3">
        <f>infections!BN212-infections!BM212</f>
        <v>2</v>
      </c>
      <c r="BO212" s="3">
        <f>infections!BO212-infections!BN212</f>
        <v>2</v>
      </c>
      <c r="BP212" s="3">
        <f>infections!BP212-infections!BO212</f>
        <v>3</v>
      </c>
      <c r="BQ212" s="3">
        <f>infections!BQ212-infections!BP212</f>
        <v>0</v>
      </c>
      <c r="BR212" s="3">
        <f>infections!BR212-infections!BQ212</f>
        <v>2</v>
      </c>
      <c r="BS212" s="3">
        <f>infections!BS212-infections!BR212</f>
        <v>0</v>
      </c>
      <c r="BT212" s="3">
        <f>infections!BT212-infections!BS212</f>
        <v>0</v>
      </c>
      <c r="BU212" s="3">
        <f>infections!BU212-infections!BT212</f>
        <v>5</v>
      </c>
      <c r="BV212" s="3">
        <f>infections!BV212-infections!BU212</f>
        <v>4</v>
      </c>
      <c r="BW212" s="3">
        <f>infections!BW212-infections!BV212</f>
        <v>2</v>
      </c>
      <c r="BX212" s="3">
        <f>infections!BX212-infections!BW212</f>
        <v>3</v>
      </c>
      <c r="BY212" s="3">
        <f>infections!BY212-infections!BX212</f>
        <v>1</v>
      </c>
    </row>
    <row r="213">
      <c r="B213" s="1" t="str">
        <f>infections!B213</f>
        <v>Trinidad and Tobago</v>
      </c>
      <c r="C213" s="4">
        <f>infections!C213</f>
        <v>10.6918</v>
      </c>
      <c r="D213" s="4">
        <f>infections!D213</f>
        <v>-61.2225</v>
      </c>
      <c r="E213" s="4">
        <f>infections!E213</f>
        <v>0</v>
      </c>
      <c r="F213" s="3">
        <f>infections!F213-infections!E213</f>
        <v>0</v>
      </c>
      <c r="G213" s="3">
        <f>infections!G213-infections!F213</f>
        <v>0</v>
      </c>
      <c r="H213" s="3">
        <f>infections!H213-infections!G213</f>
        <v>0</v>
      </c>
      <c r="I213" s="3">
        <f>infections!I213-infections!H213</f>
        <v>0</v>
      </c>
      <c r="J213" s="3">
        <f>infections!J213-infections!I213</f>
        <v>0</v>
      </c>
      <c r="K213" s="3">
        <f>infections!K213-infections!J213</f>
        <v>0</v>
      </c>
      <c r="L213" s="3">
        <f>infections!L213-infections!K213</f>
        <v>0</v>
      </c>
      <c r="M213" s="3">
        <f>infections!M213-infections!L213</f>
        <v>0</v>
      </c>
      <c r="N213" s="3">
        <f>infections!N213-infections!M213</f>
        <v>0</v>
      </c>
      <c r="O213" s="3">
        <f>infections!O213-infections!N213</f>
        <v>0</v>
      </c>
      <c r="P213" s="3">
        <f>infections!P213-infections!O213</f>
        <v>0</v>
      </c>
      <c r="Q213" s="3">
        <f>infections!Q213-infections!P213</f>
        <v>0</v>
      </c>
      <c r="R213" s="3">
        <f>infections!R213-infections!Q213</f>
        <v>0</v>
      </c>
      <c r="S213" s="3">
        <f>infections!S213-infections!R213</f>
        <v>0</v>
      </c>
      <c r="T213" s="3">
        <f>infections!T213-infections!S213</f>
        <v>0</v>
      </c>
      <c r="U213" s="3">
        <f>infections!U213-infections!T213</f>
        <v>0</v>
      </c>
      <c r="V213" s="3">
        <f>infections!V213-infections!U213</f>
        <v>0</v>
      </c>
      <c r="W213" s="3">
        <f>infections!W213-infections!V213</f>
        <v>0</v>
      </c>
      <c r="X213" s="3">
        <f>infections!X213-infections!W213</f>
        <v>0</v>
      </c>
      <c r="Y213" s="3">
        <f>infections!Y213-infections!X213</f>
        <v>0</v>
      </c>
      <c r="Z213" s="3">
        <f>infections!Z213-infections!Y213</f>
        <v>0</v>
      </c>
      <c r="AA213" s="3">
        <f>infections!AA213-infections!Z213</f>
        <v>0</v>
      </c>
      <c r="AB213" s="3">
        <f>infections!AB213-infections!AA213</f>
        <v>0</v>
      </c>
      <c r="AC213" s="3">
        <f>infections!AC213-infections!AB213</f>
        <v>0</v>
      </c>
      <c r="AD213" s="3">
        <f>infections!AD213-infections!AC213</f>
        <v>0</v>
      </c>
      <c r="AE213" s="3">
        <f>infections!AE213-infections!AD213</f>
        <v>0</v>
      </c>
      <c r="AF213" s="3">
        <f>infections!AF213-infections!AE213</f>
        <v>0</v>
      </c>
      <c r="AG213" s="3">
        <f>infections!AG213-infections!AF213</f>
        <v>0</v>
      </c>
      <c r="AH213" s="3">
        <f>infections!AH213-infections!AG213</f>
        <v>0</v>
      </c>
      <c r="AI213" s="3">
        <f>infections!AI213-infections!AH213</f>
        <v>0</v>
      </c>
      <c r="AJ213" s="3">
        <f>infections!AJ213-infections!AI213</f>
        <v>0</v>
      </c>
      <c r="AK213" s="3">
        <f>infections!AK213-infections!AJ213</f>
        <v>0</v>
      </c>
      <c r="AL213" s="3">
        <f>infections!AL213-infections!AK213</f>
        <v>0</v>
      </c>
      <c r="AM213" s="3">
        <f>infections!AM213-infections!AL213</f>
        <v>0</v>
      </c>
      <c r="AN213" s="3">
        <f>infections!AN213-infections!AM213</f>
        <v>0</v>
      </c>
      <c r="AO213" s="3">
        <f>infections!AO213-infections!AN213</f>
        <v>0</v>
      </c>
      <c r="AP213" s="3">
        <f>infections!AP213-infections!AO213</f>
        <v>0</v>
      </c>
      <c r="AQ213" s="3">
        <f>infections!AQ213-infections!AP213</f>
        <v>0</v>
      </c>
      <c r="AR213" s="3">
        <f>infections!AR213-infections!AQ213</f>
        <v>0</v>
      </c>
      <c r="AS213" s="3">
        <f>infections!AS213-infections!AR213</f>
        <v>0</v>
      </c>
      <c r="AT213" s="3">
        <f>infections!AT213-infections!AS213</f>
        <v>0</v>
      </c>
      <c r="AU213" s="3">
        <f>infections!AU213-infections!AT213</f>
        <v>0</v>
      </c>
      <c r="AV213" s="3">
        <f>infections!AV213-infections!AU213</f>
        <v>0</v>
      </c>
      <c r="AW213" s="3">
        <f>infections!AW213-infections!AV213</f>
        <v>0</v>
      </c>
      <c r="AX213" s="3">
        <f>infections!AX213-infections!AW213</f>
        <v>0</v>
      </c>
      <c r="AY213" s="3">
        <f>infections!AY213-infections!AX213</f>
        <v>0</v>
      </c>
      <c r="AZ213" s="3">
        <f>infections!AZ213-infections!AY213</f>
        <v>0</v>
      </c>
      <c r="BA213" s="3">
        <f>infections!BA213-infections!AZ213</f>
        <v>0</v>
      </c>
      <c r="BB213" s="3">
        <f>infections!BB213-infections!BA213</f>
        <v>0</v>
      </c>
      <c r="BC213" s="3">
        <f>infections!BC213-infections!BB213</f>
        <v>0</v>
      </c>
      <c r="BD213" s="3">
        <f>infections!BD213-infections!BC213</f>
        <v>0</v>
      </c>
      <c r="BE213" s="3">
        <f>infections!BE213-infections!BD213</f>
        <v>2</v>
      </c>
      <c r="BF213" s="3">
        <f>infections!BF213-infections!BE213</f>
        <v>0</v>
      </c>
      <c r="BG213" s="3">
        <f>infections!BG213-infections!BF213</f>
        <v>2</v>
      </c>
      <c r="BH213" s="3">
        <f>infections!BH213-infections!BG213</f>
        <v>1</v>
      </c>
      <c r="BI213" s="3">
        <f>infections!BI213-infections!BH213</f>
        <v>2</v>
      </c>
      <c r="BJ213" s="3">
        <f>infections!BJ213-infections!BI213</f>
        <v>2</v>
      </c>
      <c r="BK213" s="3">
        <f>infections!BK213-infections!BJ213</f>
        <v>0</v>
      </c>
      <c r="BL213" s="3">
        <f>infections!BL213-infections!BK213</f>
        <v>40</v>
      </c>
      <c r="BM213" s="3">
        <f>infections!BM213-infections!BL213</f>
        <v>1</v>
      </c>
      <c r="BN213" s="3">
        <f>infections!BN213-infections!BM213</f>
        <v>1</v>
      </c>
      <c r="BO213" s="3">
        <f>infections!BO213-infections!BN213</f>
        <v>6</v>
      </c>
      <c r="BP213" s="3">
        <f>infections!BP213-infections!BO213</f>
        <v>3</v>
      </c>
      <c r="BQ213" s="3">
        <f>infections!BQ213-infections!BP213</f>
        <v>5</v>
      </c>
      <c r="BR213" s="3">
        <f>infections!BR213-infections!BQ213</f>
        <v>1</v>
      </c>
      <c r="BS213" s="3">
        <f>infections!BS213-infections!BR213</f>
        <v>8</v>
      </c>
      <c r="BT213" s="3">
        <f>infections!BT213-infections!BS213</f>
        <v>4</v>
      </c>
      <c r="BU213" s="3">
        <f>infections!BU213-infections!BT213</f>
        <v>4</v>
      </c>
      <c r="BV213" s="3">
        <f>infections!BV213-infections!BU213</f>
        <v>5</v>
      </c>
      <c r="BW213" s="3">
        <f>infections!BW213-infections!BV213</f>
        <v>3</v>
      </c>
      <c r="BX213" s="3">
        <f>infections!BX213-infections!BW213</f>
        <v>4</v>
      </c>
      <c r="BY213" s="3">
        <f>infections!BY213-infections!BX213</f>
        <v>4</v>
      </c>
    </row>
    <row r="214">
      <c r="B214" s="1" t="str">
        <f>infections!B214</f>
        <v>Tunisia</v>
      </c>
      <c r="C214" s="4">
        <f>infections!C214</f>
        <v>34</v>
      </c>
      <c r="D214" s="4">
        <f>infections!D214</f>
        <v>9</v>
      </c>
      <c r="E214" s="4">
        <f>infections!E214</f>
        <v>0</v>
      </c>
      <c r="F214" s="3">
        <f>infections!F214-infections!E214</f>
        <v>0</v>
      </c>
      <c r="G214" s="3">
        <f>infections!G214-infections!F214</f>
        <v>0</v>
      </c>
      <c r="H214" s="3">
        <f>infections!H214-infections!G214</f>
        <v>0</v>
      </c>
      <c r="I214" s="3">
        <f>infections!I214-infections!H214</f>
        <v>0</v>
      </c>
      <c r="J214" s="3">
        <f>infections!J214-infections!I214</f>
        <v>0</v>
      </c>
      <c r="K214" s="3">
        <f>infections!K214-infections!J214</f>
        <v>0</v>
      </c>
      <c r="L214" s="3">
        <f>infections!L214-infections!K214</f>
        <v>0</v>
      </c>
      <c r="M214" s="3">
        <f>infections!M214-infections!L214</f>
        <v>0</v>
      </c>
      <c r="N214" s="3">
        <f>infections!N214-infections!M214</f>
        <v>0</v>
      </c>
      <c r="O214" s="3">
        <f>infections!O214-infections!N214</f>
        <v>0</v>
      </c>
      <c r="P214" s="3">
        <f>infections!P214-infections!O214</f>
        <v>0</v>
      </c>
      <c r="Q214" s="3">
        <f>infections!Q214-infections!P214</f>
        <v>0</v>
      </c>
      <c r="R214" s="3">
        <f>infections!R214-infections!Q214</f>
        <v>0</v>
      </c>
      <c r="S214" s="3">
        <f>infections!S214-infections!R214</f>
        <v>0</v>
      </c>
      <c r="T214" s="3">
        <f>infections!T214-infections!S214</f>
        <v>0</v>
      </c>
      <c r="U214" s="3">
        <f>infections!U214-infections!T214</f>
        <v>0</v>
      </c>
      <c r="V214" s="3">
        <f>infections!V214-infections!U214</f>
        <v>0</v>
      </c>
      <c r="W214" s="3">
        <f>infections!W214-infections!V214</f>
        <v>0</v>
      </c>
      <c r="X214" s="3">
        <f>infections!X214-infections!W214</f>
        <v>0</v>
      </c>
      <c r="Y214" s="3">
        <f>infections!Y214-infections!X214</f>
        <v>0</v>
      </c>
      <c r="Z214" s="3">
        <f>infections!Z214-infections!Y214</f>
        <v>0</v>
      </c>
      <c r="AA214" s="3">
        <f>infections!AA214-infections!Z214</f>
        <v>0</v>
      </c>
      <c r="AB214" s="3">
        <f>infections!AB214-infections!AA214</f>
        <v>0</v>
      </c>
      <c r="AC214" s="3">
        <f>infections!AC214-infections!AB214</f>
        <v>0</v>
      </c>
      <c r="AD214" s="3">
        <f>infections!AD214-infections!AC214</f>
        <v>0</v>
      </c>
      <c r="AE214" s="3">
        <f>infections!AE214-infections!AD214</f>
        <v>0</v>
      </c>
      <c r="AF214" s="3">
        <f>infections!AF214-infections!AE214</f>
        <v>0</v>
      </c>
      <c r="AG214" s="3">
        <f>infections!AG214-infections!AF214</f>
        <v>0</v>
      </c>
      <c r="AH214" s="3">
        <f>infections!AH214-infections!AG214</f>
        <v>0</v>
      </c>
      <c r="AI214" s="3">
        <f>infections!AI214-infections!AH214</f>
        <v>0</v>
      </c>
      <c r="AJ214" s="3">
        <f>infections!AJ214-infections!AI214</f>
        <v>0</v>
      </c>
      <c r="AK214" s="3">
        <f>infections!AK214-infections!AJ214</f>
        <v>0</v>
      </c>
      <c r="AL214" s="3">
        <f>infections!AL214-infections!AK214</f>
        <v>0</v>
      </c>
      <c r="AM214" s="3">
        <f>infections!AM214-infections!AL214</f>
        <v>0</v>
      </c>
      <c r="AN214" s="3">
        <f>infections!AN214-infections!AM214</f>
        <v>0</v>
      </c>
      <c r="AO214" s="3">
        <f>infections!AO214-infections!AN214</f>
        <v>0</v>
      </c>
      <c r="AP214" s="3">
        <f>infections!AP214-infections!AO214</f>
        <v>0</v>
      </c>
      <c r="AQ214" s="3">
        <f>infections!AQ214-infections!AP214</f>
        <v>0</v>
      </c>
      <c r="AR214" s="3">
        <f>infections!AR214-infections!AQ214</f>
        <v>0</v>
      </c>
      <c r="AS214" s="3">
        <f>infections!AS214-infections!AR214</f>
        <v>0</v>
      </c>
      <c r="AT214" s="3">
        <f>infections!AT214-infections!AS214</f>
        <v>0</v>
      </c>
      <c r="AU214" s="3">
        <f>infections!AU214-infections!AT214</f>
        <v>1</v>
      </c>
      <c r="AV214" s="3">
        <f>infections!AV214-infections!AU214</f>
        <v>0</v>
      </c>
      <c r="AW214" s="3">
        <f>infections!AW214-infections!AV214</f>
        <v>0</v>
      </c>
      <c r="AX214" s="3">
        <f>infections!AX214-infections!AW214</f>
        <v>0</v>
      </c>
      <c r="AY214" s="3">
        <f>infections!AY214-infections!AX214</f>
        <v>1</v>
      </c>
      <c r="AZ214" s="3">
        <f>infections!AZ214-infections!AY214</f>
        <v>0</v>
      </c>
      <c r="BA214" s="3">
        <f>infections!BA214-infections!AZ214</f>
        <v>3</v>
      </c>
      <c r="BB214" s="3">
        <f>infections!BB214-infections!BA214</f>
        <v>2</v>
      </c>
      <c r="BC214" s="3">
        <f>infections!BC214-infections!BB214</f>
        <v>0</v>
      </c>
      <c r="BD214" s="3">
        <f>infections!BD214-infections!BC214</f>
        <v>9</v>
      </c>
      <c r="BE214" s="3">
        <f>infections!BE214-infections!BD214</f>
        <v>2</v>
      </c>
      <c r="BF214" s="3">
        <f>infections!BF214-infections!BE214</f>
        <v>0</v>
      </c>
      <c r="BG214" s="3">
        <f>infections!BG214-infections!BF214</f>
        <v>2</v>
      </c>
      <c r="BH214" s="3">
        <f>infections!BH214-infections!BG214</f>
        <v>4</v>
      </c>
      <c r="BI214" s="3">
        <f>infections!BI214-infections!BH214</f>
        <v>5</v>
      </c>
      <c r="BJ214" s="3">
        <f>infections!BJ214-infections!BI214</f>
        <v>10</v>
      </c>
      <c r="BK214" s="3">
        <f>infections!BK214-infections!BJ214</f>
        <v>15</v>
      </c>
      <c r="BL214" s="3">
        <f>infections!BL214-infections!BK214</f>
        <v>6</v>
      </c>
      <c r="BM214" s="3">
        <f>infections!BM214-infections!BL214</f>
        <v>15</v>
      </c>
      <c r="BN214" s="3">
        <f>infections!BN214-infections!BM214</f>
        <v>14</v>
      </c>
      <c r="BO214" s="3">
        <f>infections!BO214-infections!BN214</f>
        <v>25</v>
      </c>
      <c r="BP214" s="3">
        <f>infections!BP214-infections!BO214</f>
        <v>59</v>
      </c>
      <c r="BQ214" s="3">
        <f>infections!BQ214-infections!BP214</f>
        <v>24</v>
      </c>
      <c r="BR214" s="3">
        <f>infections!BR214-infections!BQ214</f>
        <v>30</v>
      </c>
      <c r="BS214" s="3">
        <f>infections!BS214-infections!BR214</f>
        <v>51</v>
      </c>
      <c r="BT214" s="3">
        <f>infections!BT214-infections!BS214</f>
        <v>34</v>
      </c>
      <c r="BU214" s="3">
        <f>infections!BU214-infections!BT214</f>
        <v>0</v>
      </c>
      <c r="BV214" s="3">
        <f>infections!BV214-infections!BU214</f>
        <v>82</v>
      </c>
      <c r="BW214" s="3">
        <f>infections!BW214-infections!BV214</f>
        <v>29</v>
      </c>
      <c r="BX214" s="3">
        <f>infections!BX214-infections!BW214</f>
        <v>32</v>
      </c>
      <c r="BY214" s="3">
        <f>infections!BY214-infections!BX214</f>
        <v>40</v>
      </c>
    </row>
    <row r="215">
      <c r="B215" s="1" t="str">
        <f>infections!B215</f>
        <v>Turkey</v>
      </c>
      <c r="C215" s="4">
        <f>infections!C215</f>
        <v>38.9637</v>
      </c>
      <c r="D215" s="4">
        <f>infections!D215</f>
        <v>35.2433</v>
      </c>
      <c r="E215" s="4">
        <f>infections!E215</f>
        <v>0</v>
      </c>
      <c r="F215" s="3">
        <f>infections!F215-infections!E215</f>
        <v>0</v>
      </c>
      <c r="G215" s="3">
        <f>infections!G215-infections!F215</f>
        <v>0</v>
      </c>
      <c r="H215" s="3">
        <f>infections!H215-infections!G215</f>
        <v>0</v>
      </c>
      <c r="I215" s="3">
        <f>infections!I215-infections!H215</f>
        <v>0</v>
      </c>
      <c r="J215" s="3">
        <f>infections!J215-infections!I215</f>
        <v>0</v>
      </c>
      <c r="K215" s="3">
        <f>infections!K215-infections!J215</f>
        <v>0</v>
      </c>
      <c r="L215" s="3">
        <f>infections!L215-infections!K215</f>
        <v>0</v>
      </c>
      <c r="M215" s="3">
        <f>infections!M215-infections!L215</f>
        <v>0</v>
      </c>
      <c r="N215" s="3">
        <f>infections!N215-infections!M215</f>
        <v>0</v>
      </c>
      <c r="O215" s="3">
        <f>infections!O215-infections!N215</f>
        <v>0</v>
      </c>
      <c r="P215" s="3">
        <f>infections!P215-infections!O215</f>
        <v>0</v>
      </c>
      <c r="Q215" s="3">
        <f>infections!Q215-infections!P215</f>
        <v>0</v>
      </c>
      <c r="R215" s="3">
        <f>infections!R215-infections!Q215</f>
        <v>0</v>
      </c>
      <c r="S215" s="3">
        <f>infections!S215-infections!R215</f>
        <v>0</v>
      </c>
      <c r="T215" s="3">
        <f>infections!T215-infections!S215</f>
        <v>0</v>
      </c>
      <c r="U215" s="3">
        <f>infections!U215-infections!T215</f>
        <v>0</v>
      </c>
      <c r="V215" s="3">
        <f>infections!V215-infections!U215</f>
        <v>0</v>
      </c>
      <c r="W215" s="3">
        <f>infections!W215-infections!V215</f>
        <v>0</v>
      </c>
      <c r="X215" s="3">
        <f>infections!X215-infections!W215</f>
        <v>0</v>
      </c>
      <c r="Y215" s="3">
        <f>infections!Y215-infections!X215</f>
        <v>0</v>
      </c>
      <c r="Z215" s="3">
        <f>infections!Z215-infections!Y215</f>
        <v>0</v>
      </c>
      <c r="AA215" s="3">
        <f>infections!AA215-infections!Z215</f>
        <v>0</v>
      </c>
      <c r="AB215" s="3">
        <f>infections!AB215-infections!AA215</f>
        <v>0</v>
      </c>
      <c r="AC215" s="3">
        <f>infections!AC215-infections!AB215</f>
        <v>0</v>
      </c>
      <c r="AD215" s="3">
        <f>infections!AD215-infections!AC215</f>
        <v>0</v>
      </c>
      <c r="AE215" s="3">
        <f>infections!AE215-infections!AD215</f>
        <v>0</v>
      </c>
      <c r="AF215" s="3">
        <f>infections!AF215-infections!AE215</f>
        <v>0</v>
      </c>
      <c r="AG215" s="3">
        <f>infections!AG215-infections!AF215</f>
        <v>0</v>
      </c>
      <c r="AH215" s="3">
        <f>infections!AH215-infections!AG215</f>
        <v>0</v>
      </c>
      <c r="AI215" s="3">
        <f>infections!AI215-infections!AH215</f>
        <v>0</v>
      </c>
      <c r="AJ215" s="3">
        <f>infections!AJ215-infections!AI215</f>
        <v>0</v>
      </c>
      <c r="AK215" s="3">
        <f>infections!AK215-infections!AJ215</f>
        <v>0</v>
      </c>
      <c r="AL215" s="3">
        <f>infections!AL215-infections!AK215</f>
        <v>0</v>
      </c>
      <c r="AM215" s="3">
        <f>infections!AM215-infections!AL215</f>
        <v>0</v>
      </c>
      <c r="AN215" s="3">
        <f>infections!AN215-infections!AM215</f>
        <v>0</v>
      </c>
      <c r="AO215" s="3">
        <f>infections!AO215-infections!AN215</f>
        <v>0</v>
      </c>
      <c r="AP215" s="3">
        <f>infections!AP215-infections!AO215</f>
        <v>0</v>
      </c>
      <c r="AQ215" s="3">
        <f>infections!AQ215-infections!AP215</f>
        <v>0</v>
      </c>
      <c r="AR215" s="3">
        <f>infections!AR215-infections!AQ215</f>
        <v>0</v>
      </c>
      <c r="AS215" s="3">
        <f>infections!AS215-infections!AR215</f>
        <v>0</v>
      </c>
      <c r="AT215" s="3">
        <f>infections!AT215-infections!AS215</f>
        <v>0</v>
      </c>
      <c r="AU215" s="3">
        <f>infections!AU215-infections!AT215</f>
        <v>0</v>
      </c>
      <c r="AV215" s="3">
        <f>infections!AV215-infections!AU215</f>
        <v>0</v>
      </c>
      <c r="AW215" s="3">
        <f>infections!AW215-infections!AV215</f>
        <v>0</v>
      </c>
      <c r="AX215" s="3">
        <f>infections!AX215-infections!AW215</f>
        <v>0</v>
      </c>
      <c r="AY215" s="3">
        <f>infections!AY215-infections!AX215</f>
        <v>0</v>
      </c>
      <c r="AZ215" s="3">
        <f>infections!AZ215-infections!AY215</f>
        <v>0</v>
      </c>
      <c r="BA215" s="3">
        <f>infections!BA215-infections!AZ215</f>
        <v>0</v>
      </c>
      <c r="BB215" s="3">
        <f>infections!BB215-infections!BA215</f>
        <v>1</v>
      </c>
      <c r="BC215" s="3">
        <f>infections!BC215-infections!BB215</f>
        <v>0</v>
      </c>
      <c r="BD215" s="3">
        <f>infections!BD215-infections!BC215</f>
        <v>4</v>
      </c>
      <c r="BE215" s="3">
        <f>infections!BE215-infections!BD215</f>
        <v>0</v>
      </c>
      <c r="BF215" s="3">
        <f>infections!BF215-infections!BE215</f>
        <v>1</v>
      </c>
      <c r="BG215" s="3">
        <f>infections!BG215-infections!BF215</f>
        <v>12</v>
      </c>
      <c r="BH215" s="3">
        <f>infections!BH215-infections!BG215</f>
        <v>29</v>
      </c>
      <c r="BI215" s="3">
        <f>infections!BI215-infections!BH215</f>
        <v>51</v>
      </c>
      <c r="BJ215" s="3">
        <f>infections!BJ215-infections!BI215</f>
        <v>94</v>
      </c>
      <c r="BK215" s="3">
        <f>infections!BK215-infections!BJ215</f>
        <v>167</v>
      </c>
      <c r="BL215" s="3">
        <f>infections!BL215-infections!BK215</f>
        <v>311</v>
      </c>
      <c r="BM215" s="3">
        <f>infections!BM215-infections!BL215</f>
        <v>566</v>
      </c>
      <c r="BN215" s="3">
        <f>infections!BN215-infections!BM215</f>
        <v>293</v>
      </c>
      <c r="BO215" s="3">
        <f>infections!BO215-infections!BN215</f>
        <v>343</v>
      </c>
      <c r="BP215" s="3">
        <f>infections!BP215-infections!BO215</f>
        <v>561</v>
      </c>
      <c r="BQ215" s="3">
        <f>infections!BQ215-infections!BP215</f>
        <v>1196</v>
      </c>
      <c r="BR215" s="3">
        <f>infections!BR215-infections!BQ215</f>
        <v>2069</v>
      </c>
      <c r="BS215" s="3">
        <f>infections!BS215-infections!BR215</f>
        <v>1704</v>
      </c>
      <c r="BT215" s="3">
        <f>infections!BT215-infections!BS215</f>
        <v>1815</v>
      </c>
      <c r="BU215" s="3">
        <f>infections!BU215-infections!BT215</f>
        <v>1610</v>
      </c>
      <c r="BV215" s="3">
        <f>infections!BV215-infections!BU215</f>
        <v>2704</v>
      </c>
      <c r="BW215" s="3">
        <f>infections!BW215-infections!BV215</f>
        <v>2148</v>
      </c>
      <c r="BX215" s="3">
        <f>infections!BX215-infections!BW215</f>
        <v>2456</v>
      </c>
      <c r="BY215" s="3">
        <f>infections!BY215-infections!BX215</f>
        <v>2786</v>
      </c>
    </row>
    <row r="216">
      <c r="B216" s="1" t="str">
        <f>infections!B216</f>
        <v>Uganda</v>
      </c>
      <c r="C216" s="4">
        <f>infections!C216</f>
        <v>1</v>
      </c>
      <c r="D216" s="4">
        <f>infections!D216</f>
        <v>32</v>
      </c>
      <c r="E216" s="4">
        <f>infections!E216</f>
        <v>0</v>
      </c>
      <c r="F216" s="3">
        <f>infections!F216-infections!E216</f>
        <v>0</v>
      </c>
      <c r="G216" s="3">
        <f>infections!G216-infections!F216</f>
        <v>0</v>
      </c>
      <c r="H216" s="3">
        <f>infections!H216-infections!G216</f>
        <v>0</v>
      </c>
      <c r="I216" s="3">
        <f>infections!I216-infections!H216</f>
        <v>0</v>
      </c>
      <c r="J216" s="3">
        <f>infections!J216-infections!I216</f>
        <v>0</v>
      </c>
      <c r="K216" s="3">
        <f>infections!K216-infections!J216</f>
        <v>0</v>
      </c>
      <c r="L216" s="3">
        <f>infections!L216-infections!K216</f>
        <v>0</v>
      </c>
      <c r="M216" s="3">
        <f>infections!M216-infections!L216</f>
        <v>0</v>
      </c>
      <c r="N216" s="3">
        <f>infections!N216-infections!M216</f>
        <v>0</v>
      </c>
      <c r="O216" s="3">
        <f>infections!O216-infections!N216</f>
        <v>0</v>
      </c>
      <c r="P216" s="3">
        <f>infections!P216-infections!O216</f>
        <v>0</v>
      </c>
      <c r="Q216" s="3">
        <f>infections!Q216-infections!P216</f>
        <v>0</v>
      </c>
      <c r="R216" s="3">
        <f>infections!R216-infections!Q216</f>
        <v>0</v>
      </c>
      <c r="S216" s="3">
        <f>infections!S216-infections!R216</f>
        <v>0</v>
      </c>
      <c r="T216" s="3">
        <f>infections!T216-infections!S216</f>
        <v>0</v>
      </c>
      <c r="U216" s="3">
        <f>infections!U216-infections!T216</f>
        <v>0</v>
      </c>
      <c r="V216" s="3">
        <f>infections!V216-infections!U216</f>
        <v>0</v>
      </c>
      <c r="W216" s="3">
        <f>infections!W216-infections!V216</f>
        <v>0</v>
      </c>
      <c r="X216" s="3">
        <f>infections!X216-infections!W216</f>
        <v>0</v>
      </c>
      <c r="Y216" s="3">
        <f>infections!Y216-infections!X216</f>
        <v>0</v>
      </c>
      <c r="Z216" s="3">
        <f>infections!Z216-infections!Y216</f>
        <v>0</v>
      </c>
      <c r="AA216" s="3">
        <f>infections!AA216-infections!Z216</f>
        <v>0</v>
      </c>
      <c r="AB216" s="3">
        <f>infections!AB216-infections!AA216</f>
        <v>0</v>
      </c>
      <c r="AC216" s="3">
        <f>infections!AC216-infections!AB216</f>
        <v>0</v>
      </c>
      <c r="AD216" s="3">
        <f>infections!AD216-infections!AC216</f>
        <v>0</v>
      </c>
      <c r="AE216" s="3">
        <f>infections!AE216-infections!AD216</f>
        <v>0</v>
      </c>
      <c r="AF216" s="3">
        <f>infections!AF216-infections!AE216</f>
        <v>0</v>
      </c>
      <c r="AG216" s="3">
        <f>infections!AG216-infections!AF216</f>
        <v>0</v>
      </c>
      <c r="AH216" s="3">
        <f>infections!AH216-infections!AG216</f>
        <v>0</v>
      </c>
      <c r="AI216" s="3">
        <f>infections!AI216-infections!AH216</f>
        <v>0</v>
      </c>
      <c r="AJ216" s="3">
        <f>infections!AJ216-infections!AI216</f>
        <v>0</v>
      </c>
      <c r="AK216" s="3">
        <f>infections!AK216-infections!AJ216</f>
        <v>0</v>
      </c>
      <c r="AL216" s="3">
        <f>infections!AL216-infections!AK216</f>
        <v>0</v>
      </c>
      <c r="AM216" s="3">
        <f>infections!AM216-infections!AL216</f>
        <v>0</v>
      </c>
      <c r="AN216" s="3">
        <f>infections!AN216-infections!AM216</f>
        <v>0</v>
      </c>
      <c r="AO216" s="3">
        <f>infections!AO216-infections!AN216</f>
        <v>0</v>
      </c>
      <c r="AP216" s="3">
        <f>infections!AP216-infections!AO216</f>
        <v>0</v>
      </c>
      <c r="AQ216" s="3">
        <f>infections!AQ216-infections!AP216</f>
        <v>0</v>
      </c>
      <c r="AR216" s="3">
        <f>infections!AR216-infections!AQ216</f>
        <v>0</v>
      </c>
      <c r="AS216" s="3">
        <f>infections!AS216-infections!AR216</f>
        <v>0</v>
      </c>
      <c r="AT216" s="3">
        <f>infections!AT216-infections!AS216</f>
        <v>0</v>
      </c>
      <c r="AU216" s="3">
        <f>infections!AU216-infections!AT216</f>
        <v>0</v>
      </c>
      <c r="AV216" s="3">
        <f>infections!AV216-infections!AU216</f>
        <v>0</v>
      </c>
      <c r="AW216" s="3">
        <f>infections!AW216-infections!AV216</f>
        <v>0</v>
      </c>
      <c r="AX216" s="3">
        <f>infections!AX216-infections!AW216</f>
        <v>0</v>
      </c>
      <c r="AY216" s="3">
        <f>infections!AY216-infections!AX216</f>
        <v>0</v>
      </c>
      <c r="AZ216" s="3">
        <f>infections!AZ216-infections!AY216</f>
        <v>0</v>
      </c>
      <c r="BA216" s="3">
        <f>infections!BA216-infections!AZ216</f>
        <v>0</v>
      </c>
      <c r="BB216" s="3">
        <f>infections!BB216-infections!BA216</f>
        <v>0</v>
      </c>
      <c r="BC216" s="3">
        <f>infections!BC216-infections!BB216</f>
        <v>0</v>
      </c>
      <c r="BD216" s="3">
        <f>infections!BD216-infections!BC216</f>
        <v>0</v>
      </c>
      <c r="BE216" s="3">
        <f>infections!BE216-infections!BD216</f>
        <v>0</v>
      </c>
      <c r="BF216" s="3">
        <f>infections!BF216-infections!BE216</f>
        <v>0</v>
      </c>
      <c r="BG216" s="3">
        <f>infections!BG216-infections!BF216</f>
        <v>0</v>
      </c>
      <c r="BH216" s="3">
        <f>infections!BH216-infections!BG216</f>
        <v>0</v>
      </c>
      <c r="BI216" s="3">
        <f>infections!BI216-infections!BH216</f>
        <v>0</v>
      </c>
      <c r="BJ216" s="3">
        <f>infections!BJ216-infections!BI216</f>
        <v>0</v>
      </c>
      <c r="BK216" s="3">
        <f>infections!BK216-infections!BJ216</f>
        <v>0</v>
      </c>
      <c r="BL216" s="3">
        <f>infections!BL216-infections!BK216</f>
        <v>1</v>
      </c>
      <c r="BM216" s="3">
        <f>infections!BM216-infections!BL216</f>
        <v>0</v>
      </c>
      <c r="BN216" s="3">
        <f>infections!BN216-infections!BM216</f>
        <v>8</v>
      </c>
      <c r="BO216" s="3">
        <f>infections!BO216-infections!BN216</f>
        <v>0</v>
      </c>
      <c r="BP216" s="3">
        <f>infections!BP216-infections!BO216</f>
        <v>5</v>
      </c>
      <c r="BQ216" s="3">
        <f>infections!BQ216-infections!BP216</f>
        <v>0</v>
      </c>
      <c r="BR216" s="3">
        <f>infections!BR216-infections!BQ216</f>
        <v>9</v>
      </c>
      <c r="BS216" s="3">
        <f>infections!BS216-infections!BR216</f>
        <v>7</v>
      </c>
      <c r="BT216" s="3">
        <f>infections!BT216-infections!BS216</f>
        <v>3</v>
      </c>
      <c r="BU216" s="3">
        <f>infections!BU216-infections!BT216</f>
        <v>0</v>
      </c>
      <c r="BV216" s="3">
        <f>infections!BV216-infections!BU216</f>
        <v>11</v>
      </c>
      <c r="BW216" s="3">
        <f>infections!BW216-infections!BV216</f>
        <v>0</v>
      </c>
      <c r="BX216" s="3">
        <f>infections!BX216-infections!BW216</f>
        <v>1</v>
      </c>
      <c r="BY216" s="3">
        <f>infections!BY216-infections!BX216</f>
        <v>3</v>
      </c>
    </row>
    <row r="217">
      <c r="B217" s="1" t="str">
        <f>infections!B217</f>
        <v>Ukraine</v>
      </c>
      <c r="C217" s="4">
        <f>infections!C217</f>
        <v>48.3794</v>
      </c>
      <c r="D217" s="4">
        <f>infections!D217</f>
        <v>31.1656</v>
      </c>
      <c r="E217" s="4">
        <f>infections!E217</f>
        <v>0</v>
      </c>
      <c r="F217" s="3">
        <f>infections!F217-infections!E217</f>
        <v>0</v>
      </c>
      <c r="G217" s="3">
        <f>infections!G217-infections!F217</f>
        <v>0</v>
      </c>
      <c r="H217" s="3">
        <f>infections!H217-infections!G217</f>
        <v>0</v>
      </c>
      <c r="I217" s="3">
        <f>infections!I217-infections!H217</f>
        <v>0</v>
      </c>
      <c r="J217" s="3">
        <f>infections!J217-infections!I217</f>
        <v>0</v>
      </c>
      <c r="K217" s="3">
        <f>infections!K217-infections!J217</f>
        <v>0</v>
      </c>
      <c r="L217" s="3">
        <f>infections!L217-infections!K217</f>
        <v>0</v>
      </c>
      <c r="M217" s="3">
        <f>infections!M217-infections!L217</f>
        <v>0</v>
      </c>
      <c r="N217" s="3">
        <f>infections!N217-infections!M217</f>
        <v>0</v>
      </c>
      <c r="O217" s="3">
        <f>infections!O217-infections!N217</f>
        <v>0</v>
      </c>
      <c r="P217" s="3">
        <f>infections!P217-infections!O217</f>
        <v>0</v>
      </c>
      <c r="Q217" s="3">
        <f>infections!Q217-infections!P217</f>
        <v>0</v>
      </c>
      <c r="R217" s="3">
        <f>infections!R217-infections!Q217</f>
        <v>0</v>
      </c>
      <c r="S217" s="3">
        <f>infections!S217-infections!R217</f>
        <v>0</v>
      </c>
      <c r="T217" s="3">
        <f>infections!T217-infections!S217</f>
        <v>0</v>
      </c>
      <c r="U217" s="3">
        <f>infections!U217-infections!T217</f>
        <v>0</v>
      </c>
      <c r="V217" s="3">
        <f>infections!V217-infections!U217</f>
        <v>0</v>
      </c>
      <c r="W217" s="3">
        <f>infections!W217-infections!V217</f>
        <v>0</v>
      </c>
      <c r="X217" s="3">
        <f>infections!X217-infections!W217</f>
        <v>0</v>
      </c>
      <c r="Y217" s="3">
        <f>infections!Y217-infections!X217</f>
        <v>0</v>
      </c>
      <c r="Z217" s="3">
        <f>infections!Z217-infections!Y217</f>
        <v>0</v>
      </c>
      <c r="AA217" s="3">
        <f>infections!AA217-infections!Z217</f>
        <v>0</v>
      </c>
      <c r="AB217" s="3">
        <f>infections!AB217-infections!AA217</f>
        <v>0</v>
      </c>
      <c r="AC217" s="3">
        <f>infections!AC217-infections!AB217</f>
        <v>0</v>
      </c>
      <c r="AD217" s="3">
        <f>infections!AD217-infections!AC217</f>
        <v>0</v>
      </c>
      <c r="AE217" s="3">
        <f>infections!AE217-infections!AD217</f>
        <v>0</v>
      </c>
      <c r="AF217" s="3">
        <f>infections!AF217-infections!AE217</f>
        <v>0</v>
      </c>
      <c r="AG217" s="3">
        <f>infections!AG217-infections!AF217</f>
        <v>0</v>
      </c>
      <c r="AH217" s="3">
        <f>infections!AH217-infections!AG217</f>
        <v>0</v>
      </c>
      <c r="AI217" s="3">
        <f>infections!AI217-infections!AH217</f>
        <v>0</v>
      </c>
      <c r="AJ217" s="3">
        <f>infections!AJ217-infections!AI217</f>
        <v>0</v>
      </c>
      <c r="AK217" s="3">
        <f>infections!AK217-infections!AJ217</f>
        <v>0</v>
      </c>
      <c r="AL217" s="3">
        <f>infections!AL217-infections!AK217</f>
        <v>0</v>
      </c>
      <c r="AM217" s="3">
        <f>infections!AM217-infections!AL217</f>
        <v>0</v>
      </c>
      <c r="AN217" s="3">
        <f>infections!AN217-infections!AM217</f>
        <v>0</v>
      </c>
      <c r="AO217" s="3">
        <f>infections!AO217-infections!AN217</f>
        <v>0</v>
      </c>
      <c r="AP217" s="3">
        <f>infections!AP217-infections!AO217</f>
        <v>0</v>
      </c>
      <c r="AQ217" s="3">
        <f>infections!AQ217-infections!AP217</f>
        <v>0</v>
      </c>
      <c r="AR217" s="3">
        <f>infections!AR217-infections!AQ217</f>
        <v>0</v>
      </c>
      <c r="AS217" s="3">
        <f>infections!AS217-infections!AR217</f>
        <v>0</v>
      </c>
      <c r="AT217" s="3">
        <f>infections!AT217-infections!AS217</f>
        <v>1</v>
      </c>
      <c r="AU217" s="3">
        <f>infections!AU217-infections!AT217</f>
        <v>0</v>
      </c>
      <c r="AV217" s="3">
        <f>infections!AV217-infections!AU217</f>
        <v>0</v>
      </c>
      <c r="AW217" s="3">
        <f>infections!AW217-infections!AV217</f>
        <v>0</v>
      </c>
      <c r="AX217" s="3">
        <f>infections!AX217-infections!AW217</f>
        <v>0</v>
      </c>
      <c r="AY217" s="3">
        <f>infections!AY217-infections!AX217</f>
        <v>0</v>
      </c>
      <c r="AZ217" s="3">
        <f>infections!AZ217-infections!AY217</f>
        <v>0</v>
      </c>
      <c r="BA217" s="3">
        <f>infections!BA217-infections!AZ217</f>
        <v>0</v>
      </c>
      <c r="BB217" s="3">
        <f>infections!BB217-infections!BA217</f>
        <v>0</v>
      </c>
      <c r="BC217" s="3">
        <f>infections!BC217-infections!BB217</f>
        <v>0</v>
      </c>
      <c r="BD217" s="3">
        <f>infections!BD217-infections!BC217</f>
        <v>2</v>
      </c>
      <c r="BE217" s="3">
        <f>infections!BE217-infections!BD217</f>
        <v>0</v>
      </c>
      <c r="BF217" s="3">
        <f>infections!BF217-infections!BE217</f>
        <v>0</v>
      </c>
      <c r="BG217" s="3">
        <f>infections!BG217-infections!BF217</f>
        <v>4</v>
      </c>
      <c r="BH217" s="3">
        <f>infections!BH217-infections!BG217</f>
        <v>7</v>
      </c>
      <c r="BI217" s="3">
        <f>infections!BI217-infections!BH217</f>
        <v>0</v>
      </c>
      <c r="BJ217" s="3">
        <f>infections!BJ217-infections!BI217</f>
        <v>2</v>
      </c>
      <c r="BK217" s="3">
        <f>infections!BK217-infections!BJ217</f>
        <v>13</v>
      </c>
      <c r="BL217" s="3">
        <f>infections!BL217-infections!BK217</f>
        <v>18</v>
      </c>
      <c r="BM217" s="3">
        <f>infections!BM217-infections!BL217</f>
        <v>26</v>
      </c>
      <c r="BN217" s="3">
        <f>infections!BN217-infections!BM217</f>
        <v>0</v>
      </c>
      <c r="BO217" s="3">
        <f>infections!BO217-infections!BN217</f>
        <v>24</v>
      </c>
      <c r="BP217" s="3">
        <f>infections!BP217-infections!BO217</f>
        <v>48</v>
      </c>
      <c r="BQ217" s="3">
        <f>infections!BQ217-infections!BP217</f>
        <v>51</v>
      </c>
      <c r="BR217" s="3">
        <f>infections!BR217-infections!BQ217</f>
        <v>114</v>
      </c>
      <c r="BS217" s="3">
        <f>infections!BS217-infections!BR217</f>
        <v>46</v>
      </c>
      <c r="BT217" s="3">
        <f>infections!BT217-infections!BS217</f>
        <v>119</v>
      </c>
      <c r="BU217" s="3">
        <f>infections!BU217-infections!BT217</f>
        <v>73</v>
      </c>
      <c r="BV217" s="3">
        <f>infections!BV217-infections!BU217</f>
        <v>97</v>
      </c>
      <c r="BW217" s="3">
        <f>infections!BW217-infections!BV217</f>
        <v>149</v>
      </c>
      <c r="BX217" s="3">
        <f>infections!BX217-infections!BW217</f>
        <v>103</v>
      </c>
      <c r="BY217" s="3">
        <f>infections!BY217-infections!BX217</f>
        <v>175</v>
      </c>
    </row>
    <row r="218">
      <c r="B218" s="1" t="str">
        <f>infections!B218</f>
        <v>United Arab Emirates</v>
      </c>
      <c r="C218" s="4">
        <f>infections!C218</f>
        <v>24</v>
      </c>
      <c r="D218" s="4">
        <f>infections!D218</f>
        <v>54</v>
      </c>
      <c r="E218" s="4">
        <f>infections!E218</f>
        <v>0</v>
      </c>
      <c r="F218" s="3">
        <f>infections!F218-infections!E218</f>
        <v>0</v>
      </c>
      <c r="G218" s="3">
        <f>infections!G218-infections!F218</f>
        <v>0</v>
      </c>
      <c r="H218" s="3">
        <f>infections!H218-infections!G218</f>
        <v>0</v>
      </c>
      <c r="I218" s="3">
        <f>infections!I218-infections!H218</f>
        <v>0</v>
      </c>
      <c r="J218" s="3">
        <f>infections!J218-infections!I218</f>
        <v>0</v>
      </c>
      <c r="K218" s="3">
        <f>infections!K218-infections!J218</f>
        <v>0</v>
      </c>
      <c r="L218" s="3">
        <f>infections!L218-infections!K218</f>
        <v>4</v>
      </c>
      <c r="M218" s="3">
        <f>infections!M218-infections!L218</f>
        <v>0</v>
      </c>
      <c r="N218" s="3">
        <f>infections!N218-infections!M218</f>
        <v>0</v>
      </c>
      <c r="O218" s="3">
        <f>infections!O218-infections!N218</f>
        <v>0</v>
      </c>
      <c r="P218" s="3">
        <f>infections!P218-infections!O218</f>
        <v>1</v>
      </c>
      <c r="Q218" s="3">
        <f>infections!Q218-infections!P218</f>
        <v>0</v>
      </c>
      <c r="R218" s="3">
        <f>infections!R218-infections!Q218</f>
        <v>0</v>
      </c>
      <c r="S218" s="3">
        <f>infections!S218-infections!R218</f>
        <v>0</v>
      </c>
      <c r="T218" s="3">
        <f>infections!T218-infections!S218</f>
        <v>0</v>
      </c>
      <c r="U218" s="3">
        <f>infections!U218-infections!T218</f>
        <v>0</v>
      </c>
      <c r="V218" s="3">
        <f>infections!V218-infections!U218</f>
        <v>2</v>
      </c>
      <c r="W218" s="3">
        <f>infections!W218-infections!V218</f>
        <v>0</v>
      </c>
      <c r="X218" s="3">
        <f>infections!X218-infections!W218</f>
        <v>1</v>
      </c>
      <c r="Y218" s="3">
        <f>infections!Y218-infections!X218</f>
        <v>0</v>
      </c>
      <c r="Z218" s="3">
        <f>infections!Z218-infections!Y218</f>
        <v>0</v>
      </c>
      <c r="AA218" s="3">
        <f>infections!AA218-infections!Z218</f>
        <v>0</v>
      </c>
      <c r="AB218" s="3">
        <f>infections!AB218-infections!AA218</f>
        <v>0</v>
      </c>
      <c r="AC218" s="3">
        <f>infections!AC218-infections!AB218</f>
        <v>0</v>
      </c>
      <c r="AD218" s="3">
        <f>infections!AD218-infections!AC218</f>
        <v>1</v>
      </c>
      <c r="AE218" s="3">
        <f>infections!AE218-infections!AD218</f>
        <v>0</v>
      </c>
      <c r="AF218" s="3">
        <f>infections!AF218-infections!AE218</f>
        <v>0</v>
      </c>
      <c r="AG218" s="3">
        <f>infections!AG218-infections!AF218</f>
        <v>0</v>
      </c>
      <c r="AH218" s="3">
        <f>infections!AH218-infections!AG218</f>
        <v>0</v>
      </c>
      <c r="AI218" s="3">
        <f>infections!AI218-infections!AH218</f>
        <v>0</v>
      </c>
      <c r="AJ218" s="3">
        <f>infections!AJ218-infections!AI218</f>
        <v>4</v>
      </c>
      <c r="AK218" s="3">
        <f>infections!AK218-infections!AJ218</f>
        <v>0</v>
      </c>
      <c r="AL218" s="3">
        <f>infections!AL218-infections!AK218</f>
        <v>0</v>
      </c>
      <c r="AM218" s="3">
        <f>infections!AM218-infections!AL218</f>
        <v>0</v>
      </c>
      <c r="AN218" s="3">
        <f>infections!AN218-infections!AM218</f>
        <v>0</v>
      </c>
      <c r="AO218" s="3">
        <f>infections!AO218-infections!AN218</f>
        <v>0</v>
      </c>
      <c r="AP218" s="3">
        <f>infections!AP218-infections!AO218</f>
        <v>6</v>
      </c>
      <c r="AQ218" s="3">
        <f>infections!AQ218-infections!AP218</f>
        <v>2</v>
      </c>
      <c r="AR218" s="3">
        <f>infections!AR218-infections!AQ218</f>
        <v>0</v>
      </c>
      <c r="AS218" s="3">
        <f>infections!AS218-infections!AR218</f>
        <v>0</v>
      </c>
      <c r="AT218" s="3">
        <f>infections!AT218-infections!AS218</f>
        <v>6</v>
      </c>
      <c r="AU218" s="3">
        <f>infections!AU218-infections!AT218</f>
        <v>0</v>
      </c>
      <c r="AV218" s="3">
        <f>infections!AV218-infections!AU218</f>
        <v>2</v>
      </c>
      <c r="AW218" s="3">
        <f>infections!AW218-infections!AV218</f>
        <v>0</v>
      </c>
      <c r="AX218" s="3">
        <f>infections!AX218-infections!AW218</f>
        <v>16</v>
      </c>
      <c r="AY218" s="3">
        <f>infections!AY218-infections!AX218</f>
        <v>0</v>
      </c>
      <c r="AZ218" s="3">
        <f>infections!AZ218-infections!AY218</f>
        <v>0</v>
      </c>
      <c r="BA218" s="3">
        <f>infections!BA218-infections!AZ218</f>
        <v>29</v>
      </c>
      <c r="BB218" s="3">
        <f>infections!BB218-infections!BA218</f>
        <v>0</v>
      </c>
      <c r="BC218" s="3">
        <f>infections!BC218-infections!BB218</f>
        <v>11</v>
      </c>
      <c r="BD218" s="3">
        <f>infections!BD218-infections!BC218</f>
        <v>0</v>
      </c>
      <c r="BE218" s="3">
        <f>infections!BE218-infections!BD218</f>
        <v>0</v>
      </c>
      <c r="BF218" s="3">
        <f>infections!BF218-infections!BE218</f>
        <v>13</v>
      </c>
      <c r="BG218" s="3">
        <f>infections!BG218-infections!BF218</f>
        <v>0</v>
      </c>
      <c r="BH218" s="3">
        <f>infections!BH218-infections!BG218</f>
        <v>0</v>
      </c>
      <c r="BI218" s="3">
        <f>infections!BI218-infections!BH218</f>
        <v>15</v>
      </c>
      <c r="BJ218" s="3">
        <f>infections!BJ218-infections!BI218</f>
        <v>27</v>
      </c>
      <c r="BK218" s="3">
        <f>infections!BK218-infections!BJ218</f>
        <v>0</v>
      </c>
      <c r="BL218" s="3">
        <f>infections!BL218-infections!BK218</f>
        <v>13</v>
      </c>
      <c r="BM218" s="3">
        <f>infections!BM218-infections!BL218</f>
        <v>0</v>
      </c>
      <c r="BN218" s="3">
        <f>infections!BN218-infections!BM218</f>
        <v>45</v>
      </c>
      <c r="BO218" s="3">
        <f>infections!BO218-infections!BN218</f>
        <v>50</v>
      </c>
      <c r="BP218" s="3">
        <f>infections!BP218-infections!BO218</f>
        <v>85</v>
      </c>
      <c r="BQ218" s="3">
        <f>infections!BQ218-infections!BP218</f>
        <v>0</v>
      </c>
      <c r="BR218" s="3">
        <f>infections!BR218-infections!BQ218</f>
        <v>72</v>
      </c>
      <c r="BS218" s="3">
        <f>infections!BS218-infections!BR218</f>
        <v>63</v>
      </c>
      <c r="BT218" s="3">
        <f>infections!BT218-infections!BS218</f>
        <v>102</v>
      </c>
      <c r="BU218" s="3">
        <f>infections!BU218-infections!BT218</f>
        <v>41</v>
      </c>
      <c r="BV218" s="3">
        <f>infections!BV218-infections!BU218</f>
        <v>53</v>
      </c>
      <c r="BW218" s="3">
        <f>infections!BW218-infections!BV218</f>
        <v>150</v>
      </c>
      <c r="BX218" s="3">
        <f>infections!BX218-infections!BW218</f>
        <v>210</v>
      </c>
      <c r="BY218" s="3">
        <f>infections!BY218-infections!BX218</f>
        <v>240</v>
      </c>
    </row>
    <row r="219">
      <c r="B219" s="1" t="str">
        <f>infections!B219</f>
        <v>United Kingdom</v>
      </c>
      <c r="C219" s="4">
        <f>infections!C219</f>
        <v>32.3078</v>
      </c>
      <c r="D219" s="4">
        <f>infections!D219</f>
        <v>-64.7505</v>
      </c>
      <c r="E219" s="4">
        <f>infections!E219</f>
        <v>0</v>
      </c>
      <c r="F219" s="3">
        <f>infections!F219-infections!E219</f>
        <v>0</v>
      </c>
      <c r="G219" s="3">
        <f>infections!G219-infections!F219</f>
        <v>0</v>
      </c>
      <c r="H219" s="3">
        <f>infections!H219-infections!G219</f>
        <v>0</v>
      </c>
      <c r="I219" s="3">
        <f>infections!I219-infections!H219</f>
        <v>0</v>
      </c>
      <c r="J219" s="3">
        <f>infections!J219-infections!I219</f>
        <v>0</v>
      </c>
      <c r="K219" s="3">
        <f>infections!K219-infections!J219</f>
        <v>0</v>
      </c>
      <c r="L219" s="3">
        <f>infections!L219-infections!K219</f>
        <v>0</v>
      </c>
      <c r="M219" s="3">
        <f>infections!M219-infections!L219</f>
        <v>0</v>
      </c>
      <c r="N219" s="3">
        <f>infections!N219-infections!M219</f>
        <v>0</v>
      </c>
      <c r="O219" s="3">
        <f>infections!O219-infections!N219</f>
        <v>0</v>
      </c>
      <c r="P219" s="3">
        <f>infections!P219-infections!O219</f>
        <v>0</v>
      </c>
      <c r="Q219" s="3">
        <f>infections!Q219-infections!P219</f>
        <v>0</v>
      </c>
      <c r="R219" s="3">
        <f>infections!R219-infections!Q219</f>
        <v>0</v>
      </c>
      <c r="S219" s="3">
        <f>infections!S219-infections!R219</f>
        <v>0</v>
      </c>
      <c r="T219" s="3">
        <f>infections!T219-infections!S219</f>
        <v>0</v>
      </c>
      <c r="U219" s="3">
        <f>infections!U219-infections!T219</f>
        <v>0</v>
      </c>
      <c r="V219" s="3">
        <f>infections!V219-infections!U219</f>
        <v>0</v>
      </c>
      <c r="W219" s="3">
        <f>infections!W219-infections!V219</f>
        <v>0</v>
      </c>
      <c r="X219" s="3">
        <f>infections!X219-infections!W219</f>
        <v>0</v>
      </c>
      <c r="Y219" s="3">
        <f>infections!Y219-infections!X219</f>
        <v>0</v>
      </c>
      <c r="Z219" s="3">
        <f>infections!Z219-infections!Y219</f>
        <v>0</v>
      </c>
      <c r="AA219" s="3">
        <f>infections!AA219-infections!Z219</f>
        <v>0</v>
      </c>
      <c r="AB219" s="3">
        <f>infections!AB219-infections!AA219</f>
        <v>0</v>
      </c>
      <c r="AC219" s="3">
        <f>infections!AC219-infections!AB219</f>
        <v>0</v>
      </c>
      <c r="AD219" s="3">
        <f>infections!AD219-infections!AC219</f>
        <v>0</v>
      </c>
      <c r="AE219" s="3">
        <f>infections!AE219-infections!AD219</f>
        <v>0</v>
      </c>
      <c r="AF219" s="3">
        <f>infections!AF219-infections!AE219</f>
        <v>0</v>
      </c>
      <c r="AG219" s="3">
        <f>infections!AG219-infections!AF219</f>
        <v>0</v>
      </c>
      <c r="AH219" s="3">
        <f>infections!AH219-infections!AG219</f>
        <v>0</v>
      </c>
      <c r="AI219" s="3">
        <f>infections!AI219-infections!AH219</f>
        <v>0</v>
      </c>
      <c r="AJ219" s="3">
        <f>infections!AJ219-infections!AI219</f>
        <v>0</v>
      </c>
      <c r="AK219" s="3">
        <f>infections!AK219-infections!AJ219</f>
        <v>0</v>
      </c>
      <c r="AL219" s="3">
        <f>infections!AL219-infections!AK219</f>
        <v>0</v>
      </c>
      <c r="AM219" s="3">
        <f>infections!AM219-infections!AL219</f>
        <v>0</v>
      </c>
      <c r="AN219" s="3">
        <f>infections!AN219-infections!AM219</f>
        <v>0</v>
      </c>
      <c r="AO219" s="3">
        <f>infections!AO219-infections!AN219</f>
        <v>0</v>
      </c>
      <c r="AP219" s="3">
        <f>infections!AP219-infections!AO219</f>
        <v>0</v>
      </c>
      <c r="AQ219" s="3">
        <f>infections!AQ219-infections!AP219</f>
        <v>0</v>
      </c>
      <c r="AR219" s="3">
        <f>infections!AR219-infections!AQ219</f>
        <v>0</v>
      </c>
      <c r="AS219" s="3">
        <f>infections!AS219-infections!AR219</f>
        <v>0</v>
      </c>
      <c r="AT219" s="3">
        <f>infections!AT219-infections!AS219</f>
        <v>0</v>
      </c>
      <c r="AU219" s="3">
        <f>infections!AU219-infections!AT219</f>
        <v>0</v>
      </c>
      <c r="AV219" s="3">
        <f>infections!AV219-infections!AU219</f>
        <v>0</v>
      </c>
      <c r="AW219" s="3">
        <f>infections!AW219-infections!AV219</f>
        <v>0</v>
      </c>
      <c r="AX219" s="3">
        <f>infections!AX219-infections!AW219</f>
        <v>0</v>
      </c>
      <c r="AY219" s="3">
        <f>infections!AY219-infections!AX219</f>
        <v>0</v>
      </c>
      <c r="AZ219" s="3">
        <f>infections!AZ219-infections!AY219</f>
        <v>0</v>
      </c>
      <c r="BA219" s="3">
        <f>infections!BA219-infections!AZ219</f>
        <v>0</v>
      </c>
      <c r="BB219" s="3">
        <f>infections!BB219-infections!BA219</f>
        <v>0</v>
      </c>
      <c r="BC219" s="3">
        <f>infections!BC219-infections!BB219</f>
        <v>0</v>
      </c>
      <c r="BD219" s="3">
        <f>infections!BD219-infections!BC219</f>
        <v>0</v>
      </c>
      <c r="BE219" s="3">
        <f>infections!BE219-infections!BD219</f>
        <v>0</v>
      </c>
      <c r="BF219" s="3">
        <f>infections!BF219-infections!BE219</f>
        <v>0</v>
      </c>
      <c r="BG219" s="3">
        <f>infections!BG219-infections!BF219</f>
        <v>0</v>
      </c>
      <c r="BH219" s="3">
        <f>infections!BH219-infections!BG219</f>
        <v>0</v>
      </c>
      <c r="BI219" s="3">
        <f>infections!BI219-infections!BH219</f>
        <v>0</v>
      </c>
      <c r="BJ219" s="3">
        <f>infections!BJ219-infections!BI219</f>
        <v>2</v>
      </c>
      <c r="BK219" s="3">
        <f>infections!BK219-infections!BJ219</f>
        <v>0</v>
      </c>
      <c r="BL219" s="3">
        <f>infections!BL219-infections!BK219</f>
        <v>0</v>
      </c>
      <c r="BM219" s="3">
        <f>infections!BM219-infections!BL219</f>
        <v>4</v>
      </c>
      <c r="BN219" s="3">
        <f>infections!BN219-infections!BM219</f>
        <v>0</v>
      </c>
      <c r="BO219" s="3">
        <f>infections!BO219-infections!BN219</f>
        <v>0</v>
      </c>
      <c r="BP219" s="3">
        <f>infections!BP219-infections!BO219</f>
        <v>1</v>
      </c>
      <c r="BQ219" s="3">
        <f>infections!BQ219-infections!BP219</f>
        <v>8</v>
      </c>
      <c r="BR219" s="3">
        <f>infections!BR219-infections!BQ219</f>
        <v>2</v>
      </c>
      <c r="BS219" s="3">
        <f>infections!BS219-infections!BR219</f>
        <v>0</v>
      </c>
      <c r="BT219" s="3">
        <f>infections!BT219-infections!BS219</f>
        <v>5</v>
      </c>
      <c r="BU219" s="3">
        <f>infections!BU219-infections!BT219</f>
        <v>5</v>
      </c>
      <c r="BV219" s="3">
        <f>infections!BV219-infections!BU219</f>
        <v>5</v>
      </c>
      <c r="BW219" s="3">
        <f>infections!BW219-infections!BV219</f>
        <v>0</v>
      </c>
      <c r="BX219" s="3">
        <f>infections!BX219-infections!BW219</f>
        <v>3</v>
      </c>
      <c r="BY219" s="3">
        <f>infections!BY219-infections!BX219</f>
        <v>0</v>
      </c>
    </row>
    <row r="220">
      <c r="B220" s="1" t="str">
        <f>infections!B220</f>
        <v>United Kingdom</v>
      </c>
      <c r="C220" s="4">
        <f>infections!C220</f>
        <v>19.3133</v>
      </c>
      <c r="D220" s="4">
        <f>infections!D220</f>
        <v>-81.2546</v>
      </c>
      <c r="E220" s="4">
        <f>infections!E220</f>
        <v>0</v>
      </c>
      <c r="F220" s="3">
        <f>infections!F220-infections!E220</f>
        <v>0</v>
      </c>
      <c r="G220" s="3">
        <f>infections!G220-infections!F220</f>
        <v>0</v>
      </c>
      <c r="H220" s="3">
        <f>infections!H220-infections!G220</f>
        <v>0</v>
      </c>
      <c r="I220" s="3">
        <f>infections!I220-infections!H220</f>
        <v>0</v>
      </c>
      <c r="J220" s="3">
        <f>infections!J220-infections!I220</f>
        <v>0</v>
      </c>
      <c r="K220" s="3">
        <f>infections!K220-infections!J220</f>
        <v>0</v>
      </c>
      <c r="L220" s="3">
        <f>infections!L220-infections!K220</f>
        <v>0</v>
      </c>
      <c r="M220" s="3">
        <f>infections!M220-infections!L220</f>
        <v>0</v>
      </c>
      <c r="N220" s="3">
        <f>infections!N220-infections!M220</f>
        <v>0</v>
      </c>
      <c r="O220" s="3">
        <f>infections!O220-infections!N220</f>
        <v>0</v>
      </c>
      <c r="P220" s="3">
        <f>infections!P220-infections!O220</f>
        <v>0</v>
      </c>
      <c r="Q220" s="3">
        <f>infections!Q220-infections!P220</f>
        <v>0</v>
      </c>
      <c r="R220" s="3">
        <f>infections!R220-infections!Q220</f>
        <v>0</v>
      </c>
      <c r="S220" s="3">
        <f>infections!S220-infections!R220</f>
        <v>0</v>
      </c>
      <c r="T220" s="3">
        <f>infections!T220-infections!S220</f>
        <v>0</v>
      </c>
      <c r="U220" s="3">
        <f>infections!U220-infections!T220</f>
        <v>0</v>
      </c>
      <c r="V220" s="3">
        <f>infections!V220-infections!U220</f>
        <v>0</v>
      </c>
      <c r="W220" s="3">
        <f>infections!W220-infections!V220</f>
        <v>0</v>
      </c>
      <c r="X220" s="3">
        <f>infections!X220-infections!W220</f>
        <v>0</v>
      </c>
      <c r="Y220" s="3">
        <f>infections!Y220-infections!X220</f>
        <v>0</v>
      </c>
      <c r="Z220" s="3">
        <f>infections!Z220-infections!Y220</f>
        <v>0</v>
      </c>
      <c r="AA220" s="3">
        <f>infections!AA220-infections!Z220</f>
        <v>0</v>
      </c>
      <c r="AB220" s="3">
        <f>infections!AB220-infections!AA220</f>
        <v>0</v>
      </c>
      <c r="AC220" s="3">
        <f>infections!AC220-infections!AB220</f>
        <v>0</v>
      </c>
      <c r="AD220" s="3">
        <f>infections!AD220-infections!AC220</f>
        <v>0</v>
      </c>
      <c r="AE220" s="3">
        <f>infections!AE220-infections!AD220</f>
        <v>0</v>
      </c>
      <c r="AF220" s="3">
        <f>infections!AF220-infections!AE220</f>
        <v>0</v>
      </c>
      <c r="AG220" s="3">
        <f>infections!AG220-infections!AF220</f>
        <v>0</v>
      </c>
      <c r="AH220" s="3">
        <f>infections!AH220-infections!AG220</f>
        <v>0</v>
      </c>
      <c r="AI220" s="3">
        <f>infections!AI220-infections!AH220</f>
        <v>0</v>
      </c>
      <c r="AJ220" s="3">
        <f>infections!AJ220-infections!AI220</f>
        <v>0</v>
      </c>
      <c r="AK220" s="3">
        <f>infections!AK220-infections!AJ220</f>
        <v>0</v>
      </c>
      <c r="AL220" s="3">
        <f>infections!AL220-infections!AK220</f>
        <v>0</v>
      </c>
      <c r="AM220" s="3">
        <f>infections!AM220-infections!AL220</f>
        <v>0</v>
      </c>
      <c r="AN220" s="3">
        <f>infections!AN220-infections!AM220</f>
        <v>0</v>
      </c>
      <c r="AO220" s="3">
        <f>infections!AO220-infections!AN220</f>
        <v>0</v>
      </c>
      <c r="AP220" s="3">
        <f>infections!AP220-infections!AO220</f>
        <v>0</v>
      </c>
      <c r="AQ220" s="3">
        <f>infections!AQ220-infections!AP220</f>
        <v>0</v>
      </c>
      <c r="AR220" s="3">
        <f>infections!AR220-infections!AQ220</f>
        <v>0</v>
      </c>
      <c r="AS220" s="3">
        <f>infections!AS220-infections!AR220</f>
        <v>0</v>
      </c>
      <c r="AT220" s="3">
        <f>infections!AT220-infections!AS220</f>
        <v>0</v>
      </c>
      <c r="AU220" s="3">
        <f>infections!AU220-infections!AT220</f>
        <v>0</v>
      </c>
      <c r="AV220" s="3">
        <f>infections!AV220-infections!AU220</f>
        <v>0</v>
      </c>
      <c r="AW220" s="3">
        <f>infections!AW220-infections!AV220</f>
        <v>0</v>
      </c>
      <c r="AX220" s="3">
        <f>infections!AX220-infections!AW220</f>
        <v>0</v>
      </c>
      <c r="AY220" s="3">
        <f>infections!AY220-infections!AX220</f>
        <v>0</v>
      </c>
      <c r="AZ220" s="3">
        <f>infections!AZ220-infections!AY220</f>
        <v>0</v>
      </c>
      <c r="BA220" s="3">
        <f>infections!BA220-infections!AZ220</f>
        <v>0</v>
      </c>
      <c r="BB220" s="3">
        <f>infections!BB220-infections!BA220</f>
        <v>0</v>
      </c>
      <c r="BC220" s="3">
        <f>infections!BC220-infections!BB220</f>
        <v>0</v>
      </c>
      <c r="BD220" s="3">
        <f>infections!BD220-infections!BC220</f>
        <v>1</v>
      </c>
      <c r="BE220" s="3">
        <f>infections!BE220-infections!BD220</f>
        <v>0</v>
      </c>
      <c r="BF220" s="3">
        <f>infections!BF220-infections!BE220</f>
        <v>0</v>
      </c>
      <c r="BG220" s="3">
        <f>infections!BG220-infections!BF220</f>
        <v>0</v>
      </c>
      <c r="BH220" s="3">
        <f>infections!BH220-infections!BG220</f>
        <v>0</v>
      </c>
      <c r="BI220" s="3">
        <f>infections!BI220-infections!BH220</f>
        <v>0</v>
      </c>
      <c r="BJ220" s="3">
        <f>infections!BJ220-infections!BI220</f>
        <v>2</v>
      </c>
      <c r="BK220" s="3">
        <f>infections!BK220-infections!BJ220</f>
        <v>0</v>
      </c>
      <c r="BL220" s="3">
        <f>infections!BL220-infections!BK220</f>
        <v>0</v>
      </c>
      <c r="BM220" s="3">
        <f>infections!BM220-infections!BL220</f>
        <v>0</v>
      </c>
      <c r="BN220" s="3">
        <f>infections!BN220-infections!BM220</f>
        <v>2</v>
      </c>
      <c r="BO220" s="3">
        <f>infections!BO220-infections!BN220</f>
        <v>1</v>
      </c>
      <c r="BP220" s="3">
        <f>infections!BP220-infections!BO220</f>
        <v>2</v>
      </c>
      <c r="BQ220" s="3">
        <f>infections!BQ220-infections!BP220</f>
        <v>0</v>
      </c>
      <c r="BR220" s="3">
        <f>infections!BR220-infections!BQ220</f>
        <v>0</v>
      </c>
      <c r="BS220" s="3">
        <f>infections!BS220-infections!BR220</f>
        <v>0</v>
      </c>
      <c r="BT220" s="3">
        <f>infections!BT220-infections!BS220</f>
        <v>0</v>
      </c>
      <c r="BU220" s="3">
        <f>infections!BU220-infections!BT220</f>
        <v>4</v>
      </c>
      <c r="BV220" s="3">
        <f>infections!BV220-infections!BU220</f>
        <v>2</v>
      </c>
      <c r="BW220" s="3">
        <f>infections!BW220-infections!BV220</f>
        <v>8</v>
      </c>
      <c r="BX220" s="3">
        <f>infections!BX220-infections!BW220</f>
        <v>6</v>
      </c>
      <c r="BY220" s="3">
        <f>infections!BY220-infections!BX220</f>
        <v>0</v>
      </c>
    </row>
    <row r="221">
      <c r="B221" s="1" t="str">
        <f>infections!B221</f>
        <v>United Kingdom</v>
      </c>
      <c r="C221" s="4">
        <f>infections!C221</f>
        <v>49.3723</v>
      </c>
      <c r="D221" s="4">
        <f>infections!D221</f>
        <v>-2.3644</v>
      </c>
      <c r="E221" s="4">
        <f>infections!E221</f>
        <v>0</v>
      </c>
      <c r="F221" s="3">
        <f>infections!F221-infections!E221</f>
        <v>0</v>
      </c>
      <c r="G221" s="3">
        <f>infections!G221-infections!F221</f>
        <v>0</v>
      </c>
      <c r="H221" s="3">
        <f>infections!H221-infections!G221</f>
        <v>0</v>
      </c>
      <c r="I221" s="3">
        <f>infections!I221-infections!H221</f>
        <v>0</v>
      </c>
      <c r="J221" s="3">
        <f>infections!J221-infections!I221</f>
        <v>0</v>
      </c>
      <c r="K221" s="3">
        <f>infections!K221-infections!J221</f>
        <v>0</v>
      </c>
      <c r="L221" s="3">
        <f>infections!L221-infections!K221</f>
        <v>0</v>
      </c>
      <c r="M221" s="3">
        <f>infections!M221-infections!L221</f>
        <v>0</v>
      </c>
      <c r="N221" s="3">
        <f>infections!N221-infections!M221</f>
        <v>0</v>
      </c>
      <c r="O221" s="3">
        <f>infections!O221-infections!N221</f>
        <v>0</v>
      </c>
      <c r="P221" s="3">
        <f>infections!P221-infections!O221</f>
        <v>0</v>
      </c>
      <c r="Q221" s="3">
        <f>infections!Q221-infections!P221</f>
        <v>0</v>
      </c>
      <c r="R221" s="3">
        <f>infections!R221-infections!Q221</f>
        <v>0</v>
      </c>
      <c r="S221" s="3">
        <f>infections!S221-infections!R221</f>
        <v>0</v>
      </c>
      <c r="T221" s="3">
        <f>infections!T221-infections!S221</f>
        <v>0</v>
      </c>
      <c r="U221" s="3">
        <f>infections!U221-infections!T221</f>
        <v>0</v>
      </c>
      <c r="V221" s="3">
        <f>infections!V221-infections!U221</f>
        <v>0</v>
      </c>
      <c r="W221" s="3">
        <f>infections!W221-infections!V221</f>
        <v>0</v>
      </c>
      <c r="X221" s="3">
        <f>infections!X221-infections!W221</f>
        <v>0</v>
      </c>
      <c r="Y221" s="3">
        <f>infections!Y221-infections!X221</f>
        <v>0</v>
      </c>
      <c r="Z221" s="3">
        <f>infections!Z221-infections!Y221</f>
        <v>0</v>
      </c>
      <c r="AA221" s="3">
        <f>infections!AA221-infections!Z221</f>
        <v>0</v>
      </c>
      <c r="AB221" s="3">
        <f>infections!AB221-infections!AA221</f>
        <v>0</v>
      </c>
      <c r="AC221" s="3">
        <f>infections!AC221-infections!AB221</f>
        <v>0</v>
      </c>
      <c r="AD221" s="3">
        <f>infections!AD221-infections!AC221</f>
        <v>0</v>
      </c>
      <c r="AE221" s="3">
        <f>infections!AE221-infections!AD221</f>
        <v>0</v>
      </c>
      <c r="AF221" s="3">
        <f>infections!AF221-infections!AE221</f>
        <v>0</v>
      </c>
      <c r="AG221" s="3">
        <f>infections!AG221-infections!AF221</f>
        <v>0</v>
      </c>
      <c r="AH221" s="3">
        <f>infections!AH221-infections!AG221</f>
        <v>0</v>
      </c>
      <c r="AI221" s="3">
        <f>infections!AI221-infections!AH221</f>
        <v>0</v>
      </c>
      <c r="AJ221" s="3">
        <f>infections!AJ221-infections!AI221</f>
        <v>0</v>
      </c>
      <c r="AK221" s="3">
        <f>infections!AK221-infections!AJ221</f>
        <v>0</v>
      </c>
      <c r="AL221" s="3">
        <f>infections!AL221-infections!AK221</f>
        <v>0</v>
      </c>
      <c r="AM221" s="3">
        <f>infections!AM221-infections!AL221</f>
        <v>0</v>
      </c>
      <c r="AN221" s="3">
        <f>infections!AN221-infections!AM221</f>
        <v>0</v>
      </c>
      <c r="AO221" s="3">
        <f>infections!AO221-infections!AN221</f>
        <v>0</v>
      </c>
      <c r="AP221" s="3">
        <f>infections!AP221-infections!AO221</f>
        <v>0</v>
      </c>
      <c r="AQ221" s="3">
        <f>infections!AQ221-infections!AP221</f>
        <v>0</v>
      </c>
      <c r="AR221" s="3">
        <f>infections!AR221-infections!AQ221</f>
        <v>0</v>
      </c>
      <c r="AS221" s="3">
        <f>infections!AS221-infections!AR221</f>
        <v>0</v>
      </c>
      <c r="AT221" s="3">
        <f>infections!AT221-infections!AS221</f>
        <v>0</v>
      </c>
      <c r="AU221" s="3">
        <f>infections!AU221-infections!AT221</f>
        <v>0</v>
      </c>
      <c r="AV221" s="3">
        <f>infections!AV221-infections!AU221</f>
        <v>0</v>
      </c>
      <c r="AW221" s="3">
        <f>infections!AW221-infections!AV221</f>
        <v>0</v>
      </c>
      <c r="AX221" s="3">
        <f>infections!AX221-infections!AW221</f>
        <v>0</v>
      </c>
      <c r="AY221" s="3">
        <f>infections!AY221-infections!AX221</f>
        <v>0</v>
      </c>
      <c r="AZ221" s="3">
        <f>infections!AZ221-infections!AY221</f>
        <v>0</v>
      </c>
      <c r="BA221" s="3">
        <f>infections!BA221-infections!AZ221</f>
        <v>1</v>
      </c>
      <c r="BB221" s="3">
        <f>infections!BB221-infections!BA221</f>
        <v>1</v>
      </c>
      <c r="BC221" s="3">
        <f>infections!BC221-infections!BB221</f>
        <v>0</v>
      </c>
      <c r="BD221" s="3">
        <f>infections!BD221-infections!BC221</f>
        <v>0</v>
      </c>
      <c r="BE221" s="3">
        <f>infections!BE221-infections!BD221</f>
        <v>0</v>
      </c>
      <c r="BF221" s="3">
        <f>infections!BF221-infections!BE221</f>
        <v>1</v>
      </c>
      <c r="BG221" s="3">
        <f>infections!BG221-infections!BF221</f>
        <v>3</v>
      </c>
      <c r="BH221" s="3">
        <f>infections!BH221-infections!BG221</f>
        <v>0</v>
      </c>
      <c r="BI221" s="3">
        <f>infections!BI221-infections!BH221</f>
        <v>0</v>
      </c>
      <c r="BJ221" s="3">
        <f>infections!BJ221-infections!BI221</f>
        <v>5</v>
      </c>
      <c r="BK221" s="3">
        <f>infections!BK221-infections!BJ221</f>
        <v>3</v>
      </c>
      <c r="BL221" s="3">
        <f>infections!BL221-infections!BK221</f>
        <v>18</v>
      </c>
      <c r="BM221" s="3">
        <f>infections!BM221-infections!BL221</f>
        <v>0</v>
      </c>
      <c r="BN221" s="3">
        <f>infections!BN221-infections!BM221</f>
        <v>4</v>
      </c>
      <c r="BO221" s="3">
        <f>infections!BO221-infections!BN221</f>
        <v>0</v>
      </c>
      <c r="BP221" s="3">
        <f>infections!BP221-infections!BO221</f>
        <v>10</v>
      </c>
      <c r="BQ221" s="3">
        <f>infections!BQ221-infections!BP221</f>
        <v>20</v>
      </c>
      <c r="BR221" s="3">
        <f>infections!BR221-infections!BQ221</f>
        <v>22</v>
      </c>
      <c r="BS221" s="3">
        <f>infections!BS221-infections!BR221</f>
        <v>9</v>
      </c>
      <c r="BT221" s="3">
        <f>infections!BT221-infections!BS221</f>
        <v>11</v>
      </c>
      <c r="BU221" s="3">
        <f>infections!BU221-infections!BT221</f>
        <v>33</v>
      </c>
      <c r="BV221" s="3">
        <f>infections!BV221-infections!BU221</f>
        <v>0</v>
      </c>
      <c r="BW221" s="3">
        <f>infections!BW221-infections!BV221</f>
        <v>31</v>
      </c>
      <c r="BX221" s="3">
        <f>infections!BX221-infections!BW221</f>
        <v>21</v>
      </c>
      <c r="BY221" s="3">
        <f>infections!BY221-infections!BX221</f>
        <v>39</v>
      </c>
    </row>
    <row r="222">
      <c r="B222" s="1" t="str">
        <f>infections!B222</f>
        <v>United Kingdom</v>
      </c>
      <c r="C222" s="4">
        <f>infections!C222</f>
        <v>36.1408</v>
      </c>
      <c r="D222" s="4">
        <f>infections!D222</f>
        <v>-5.3536</v>
      </c>
      <c r="E222" s="4">
        <f>infections!E222</f>
        <v>0</v>
      </c>
      <c r="F222" s="3">
        <f>infections!F222-infections!E222</f>
        <v>0</v>
      </c>
      <c r="G222" s="3">
        <f>infections!G222-infections!F222</f>
        <v>0</v>
      </c>
      <c r="H222" s="3">
        <f>infections!H222-infections!G222</f>
        <v>0</v>
      </c>
      <c r="I222" s="3">
        <f>infections!I222-infections!H222</f>
        <v>0</v>
      </c>
      <c r="J222" s="3">
        <f>infections!J222-infections!I222</f>
        <v>0</v>
      </c>
      <c r="K222" s="3">
        <f>infections!K222-infections!J222</f>
        <v>0</v>
      </c>
      <c r="L222" s="3">
        <f>infections!L222-infections!K222</f>
        <v>0</v>
      </c>
      <c r="M222" s="3">
        <f>infections!M222-infections!L222</f>
        <v>0</v>
      </c>
      <c r="N222" s="3">
        <f>infections!N222-infections!M222</f>
        <v>0</v>
      </c>
      <c r="O222" s="3">
        <f>infections!O222-infections!N222</f>
        <v>0</v>
      </c>
      <c r="P222" s="3">
        <f>infections!P222-infections!O222</f>
        <v>0</v>
      </c>
      <c r="Q222" s="3">
        <f>infections!Q222-infections!P222</f>
        <v>0</v>
      </c>
      <c r="R222" s="3">
        <f>infections!R222-infections!Q222</f>
        <v>0</v>
      </c>
      <c r="S222" s="3">
        <f>infections!S222-infections!R222</f>
        <v>0</v>
      </c>
      <c r="T222" s="3">
        <f>infections!T222-infections!S222</f>
        <v>0</v>
      </c>
      <c r="U222" s="3">
        <f>infections!U222-infections!T222</f>
        <v>0</v>
      </c>
      <c r="V222" s="3">
        <f>infections!V222-infections!U222</f>
        <v>0</v>
      </c>
      <c r="W222" s="3">
        <f>infections!W222-infections!V222</f>
        <v>0</v>
      </c>
      <c r="X222" s="3">
        <f>infections!X222-infections!W222</f>
        <v>0</v>
      </c>
      <c r="Y222" s="3">
        <f>infections!Y222-infections!X222</f>
        <v>0</v>
      </c>
      <c r="Z222" s="3">
        <f>infections!Z222-infections!Y222</f>
        <v>0</v>
      </c>
      <c r="AA222" s="3">
        <f>infections!AA222-infections!Z222</f>
        <v>0</v>
      </c>
      <c r="AB222" s="3">
        <f>infections!AB222-infections!AA222</f>
        <v>0</v>
      </c>
      <c r="AC222" s="3">
        <f>infections!AC222-infections!AB222</f>
        <v>0</v>
      </c>
      <c r="AD222" s="3">
        <f>infections!AD222-infections!AC222</f>
        <v>0</v>
      </c>
      <c r="AE222" s="3">
        <f>infections!AE222-infections!AD222</f>
        <v>0</v>
      </c>
      <c r="AF222" s="3">
        <f>infections!AF222-infections!AE222</f>
        <v>0</v>
      </c>
      <c r="AG222" s="3">
        <f>infections!AG222-infections!AF222</f>
        <v>0</v>
      </c>
      <c r="AH222" s="3">
        <f>infections!AH222-infections!AG222</f>
        <v>0</v>
      </c>
      <c r="AI222" s="3">
        <f>infections!AI222-infections!AH222</f>
        <v>0</v>
      </c>
      <c r="AJ222" s="3">
        <f>infections!AJ222-infections!AI222</f>
        <v>0</v>
      </c>
      <c r="AK222" s="3">
        <f>infections!AK222-infections!AJ222</f>
        <v>0</v>
      </c>
      <c r="AL222" s="3">
        <f>infections!AL222-infections!AK222</f>
        <v>0</v>
      </c>
      <c r="AM222" s="3">
        <f>infections!AM222-infections!AL222</f>
        <v>0</v>
      </c>
      <c r="AN222" s="3">
        <f>infections!AN222-infections!AM222</f>
        <v>0</v>
      </c>
      <c r="AO222" s="3">
        <f>infections!AO222-infections!AN222</f>
        <v>0</v>
      </c>
      <c r="AP222" s="3">
        <f>infections!AP222-infections!AO222</f>
        <v>0</v>
      </c>
      <c r="AQ222" s="3">
        <f>infections!AQ222-infections!AP222</f>
        <v>0</v>
      </c>
      <c r="AR222" s="3">
        <f>infections!AR222-infections!AQ222</f>
        <v>0</v>
      </c>
      <c r="AS222" s="3">
        <f>infections!AS222-infections!AR222</f>
        <v>0</v>
      </c>
      <c r="AT222" s="3">
        <f>infections!AT222-infections!AS222</f>
        <v>0</v>
      </c>
      <c r="AU222" s="3">
        <f>infections!AU222-infections!AT222</f>
        <v>1</v>
      </c>
      <c r="AV222" s="3">
        <f>infections!AV222-infections!AU222</f>
        <v>0</v>
      </c>
      <c r="AW222" s="3">
        <f>infections!AW222-infections!AV222</f>
        <v>0</v>
      </c>
      <c r="AX222" s="3">
        <f>infections!AX222-infections!AW222</f>
        <v>0</v>
      </c>
      <c r="AY222" s="3">
        <f>infections!AY222-infections!AX222</f>
        <v>0</v>
      </c>
      <c r="AZ222" s="3">
        <f>infections!AZ222-infections!AY222</f>
        <v>0</v>
      </c>
      <c r="BA222" s="3">
        <f>infections!BA222-infections!AZ222</f>
        <v>0</v>
      </c>
      <c r="BB222" s="3">
        <f>infections!BB222-infections!BA222</f>
        <v>0</v>
      </c>
      <c r="BC222" s="3">
        <f>infections!BC222-infections!BB222</f>
        <v>0</v>
      </c>
      <c r="BD222" s="3">
        <f>infections!BD222-infections!BC222</f>
        <v>0</v>
      </c>
      <c r="BE222" s="3">
        <f>infections!BE222-infections!BD222</f>
        <v>0</v>
      </c>
      <c r="BF222" s="3">
        <f>infections!BF222-infections!BE222</f>
        <v>0</v>
      </c>
      <c r="BG222" s="3">
        <f>infections!BG222-infections!BF222</f>
        <v>0</v>
      </c>
      <c r="BH222" s="3">
        <f>infections!BH222-infections!BG222</f>
        <v>2</v>
      </c>
      <c r="BI222" s="3">
        <f>infections!BI222-infections!BH222</f>
        <v>5</v>
      </c>
      <c r="BJ222" s="3">
        <f>infections!BJ222-infections!BI222</f>
        <v>2</v>
      </c>
      <c r="BK222" s="3">
        <f>infections!BK222-infections!BJ222</f>
        <v>0</v>
      </c>
      <c r="BL222" s="3">
        <f>infections!BL222-infections!BK222</f>
        <v>0</v>
      </c>
      <c r="BM222" s="3">
        <f>infections!BM222-infections!BL222</f>
        <v>5</v>
      </c>
      <c r="BN222" s="3">
        <f>infections!BN222-infections!BM222</f>
        <v>0</v>
      </c>
      <c r="BO222" s="3">
        <f>infections!BO222-infections!BN222</f>
        <v>0</v>
      </c>
      <c r="BP222" s="3">
        <f>infections!BP222-infections!BO222</f>
        <v>11</v>
      </c>
      <c r="BQ222" s="3">
        <f>infections!BQ222-infections!BP222</f>
        <v>9</v>
      </c>
      <c r="BR222" s="3">
        <f>infections!BR222-infections!BQ222</f>
        <v>20</v>
      </c>
      <c r="BS222" s="3">
        <f>infections!BS222-infections!BR222</f>
        <v>1</v>
      </c>
      <c r="BT222" s="3">
        <f>infections!BT222-infections!BS222</f>
        <v>9</v>
      </c>
      <c r="BU222" s="3">
        <f>infections!BU222-infections!BT222</f>
        <v>4</v>
      </c>
      <c r="BV222" s="3">
        <f>infections!BV222-infections!BU222</f>
        <v>0</v>
      </c>
      <c r="BW222" s="3">
        <f>infections!BW222-infections!BV222</f>
        <v>12</v>
      </c>
      <c r="BX222" s="3">
        <f>infections!BX222-infections!BW222</f>
        <v>7</v>
      </c>
      <c r="BY222" s="3">
        <f>infections!BY222-infections!BX222</f>
        <v>7</v>
      </c>
    </row>
    <row r="223">
      <c r="B223" s="1" t="str">
        <f>infections!B223</f>
        <v>United Kingdom</v>
      </c>
      <c r="C223" s="4">
        <f>infections!C223</f>
        <v>54.2361</v>
      </c>
      <c r="D223" s="4">
        <f>infections!D223</f>
        <v>-4.5481</v>
      </c>
      <c r="E223" s="4">
        <f>infections!E223</f>
        <v>0</v>
      </c>
      <c r="F223" s="3">
        <f>infections!F223-infections!E223</f>
        <v>0</v>
      </c>
      <c r="G223" s="3">
        <f>infections!G223-infections!F223</f>
        <v>0</v>
      </c>
      <c r="H223" s="3">
        <f>infections!H223-infections!G223</f>
        <v>0</v>
      </c>
      <c r="I223" s="3">
        <f>infections!I223-infections!H223</f>
        <v>0</v>
      </c>
      <c r="J223" s="3">
        <f>infections!J223-infections!I223</f>
        <v>0</v>
      </c>
      <c r="K223" s="3">
        <f>infections!K223-infections!J223</f>
        <v>0</v>
      </c>
      <c r="L223" s="3">
        <f>infections!L223-infections!K223</f>
        <v>0</v>
      </c>
      <c r="M223" s="3">
        <f>infections!M223-infections!L223</f>
        <v>0</v>
      </c>
      <c r="N223" s="3">
        <f>infections!N223-infections!M223</f>
        <v>0</v>
      </c>
      <c r="O223" s="3">
        <f>infections!O223-infections!N223</f>
        <v>0</v>
      </c>
      <c r="P223" s="3">
        <f>infections!P223-infections!O223</f>
        <v>0</v>
      </c>
      <c r="Q223" s="3">
        <f>infections!Q223-infections!P223</f>
        <v>0</v>
      </c>
      <c r="R223" s="3">
        <f>infections!R223-infections!Q223</f>
        <v>0</v>
      </c>
      <c r="S223" s="3">
        <f>infections!S223-infections!R223</f>
        <v>0</v>
      </c>
      <c r="T223" s="3">
        <f>infections!T223-infections!S223</f>
        <v>0</v>
      </c>
      <c r="U223" s="3">
        <f>infections!U223-infections!T223</f>
        <v>0</v>
      </c>
      <c r="V223" s="3">
        <f>infections!V223-infections!U223</f>
        <v>0</v>
      </c>
      <c r="W223" s="3">
        <f>infections!W223-infections!V223</f>
        <v>0</v>
      </c>
      <c r="X223" s="3">
        <f>infections!X223-infections!W223</f>
        <v>0</v>
      </c>
      <c r="Y223" s="3">
        <f>infections!Y223-infections!X223</f>
        <v>0</v>
      </c>
      <c r="Z223" s="3">
        <f>infections!Z223-infections!Y223</f>
        <v>0</v>
      </c>
      <c r="AA223" s="3">
        <f>infections!AA223-infections!Z223</f>
        <v>0</v>
      </c>
      <c r="AB223" s="3">
        <f>infections!AB223-infections!AA223</f>
        <v>0</v>
      </c>
      <c r="AC223" s="3">
        <f>infections!AC223-infections!AB223</f>
        <v>0</v>
      </c>
      <c r="AD223" s="3">
        <f>infections!AD223-infections!AC223</f>
        <v>0</v>
      </c>
      <c r="AE223" s="3">
        <f>infections!AE223-infections!AD223</f>
        <v>0</v>
      </c>
      <c r="AF223" s="3">
        <f>infections!AF223-infections!AE223</f>
        <v>0</v>
      </c>
      <c r="AG223" s="3">
        <f>infections!AG223-infections!AF223</f>
        <v>0</v>
      </c>
      <c r="AH223" s="3">
        <f>infections!AH223-infections!AG223</f>
        <v>0</v>
      </c>
      <c r="AI223" s="3">
        <f>infections!AI223-infections!AH223</f>
        <v>0</v>
      </c>
      <c r="AJ223" s="3">
        <f>infections!AJ223-infections!AI223</f>
        <v>0</v>
      </c>
      <c r="AK223" s="3">
        <f>infections!AK223-infections!AJ223</f>
        <v>0</v>
      </c>
      <c r="AL223" s="3">
        <f>infections!AL223-infections!AK223</f>
        <v>0</v>
      </c>
      <c r="AM223" s="3">
        <f>infections!AM223-infections!AL223</f>
        <v>0</v>
      </c>
      <c r="AN223" s="3">
        <f>infections!AN223-infections!AM223</f>
        <v>0</v>
      </c>
      <c r="AO223" s="3">
        <f>infections!AO223-infections!AN223</f>
        <v>0</v>
      </c>
      <c r="AP223" s="3">
        <f>infections!AP223-infections!AO223</f>
        <v>0</v>
      </c>
      <c r="AQ223" s="3">
        <f>infections!AQ223-infections!AP223</f>
        <v>0</v>
      </c>
      <c r="AR223" s="3">
        <f>infections!AR223-infections!AQ223</f>
        <v>0</v>
      </c>
      <c r="AS223" s="3">
        <f>infections!AS223-infections!AR223</f>
        <v>0</v>
      </c>
      <c r="AT223" s="3">
        <f>infections!AT223-infections!AS223</f>
        <v>0</v>
      </c>
      <c r="AU223" s="3">
        <f>infections!AU223-infections!AT223</f>
        <v>0</v>
      </c>
      <c r="AV223" s="3">
        <f>infections!AV223-infections!AU223</f>
        <v>0</v>
      </c>
      <c r="AW223" s="3">
        <f>infections!AW223-infections!AV223</f>
        <v>0</v>
      </c>
      <c r="AX223" s="3">
        <f>infections!AX223-infections!AW223</f>
        <v>0</v>
      </c>
      <c r="AY223" s="3">
        <f>infections!AY223-infections!AX223</f>
        <v>0</v>
      </c>
      <c r="AZ223" s="3">
        <f>infections!AZ223-infections!AY223</f>
        <v>0</v>
      </c>
      <c r="BA223" s="3">
        <f>infections!BA223-infections!AZ223</f>
        <v>0</v>
      </c>
      <c r="BB223" s="3">
        <f>infections!BB223-infections!BA223</f>
        <v>0</v>
      </c>
      <c r="BC223" s="3">
        <f>infections!BC223-infections!BB223</f>
        <v>0</v>
      </c>
      <c r="BD223" s="3">
        <f>infections!BD223-infections!BC223</f>
        <v>0</v>
      </c>
      <c r="BE223" s="3">
        <f>infections!BE223-infections!BD223</f>
        <v>0</v>
      </c>
      <c r="BF223" s="3">
        <f>infections!BF223-infections!BE223</f>
        <v>0</v>
      </c>
      <c r="BG223" s="3">
        <f>infections!BG223-infections!BF223</f>
        <v>0</v>
      </c>
      <c r="BH223" s="3">
        <f>infections!BH223-infections!BG223</f>
        <v>0</v>
      </c>
      <c r="BI223" s="3">
        <f>infections!BI223-infections!BH223</f>
        <v>0</v>
      </c>
      <c r="BJ223" s="3">
        <f>infections!BJ223-infections!BI223</f>
        <v>0</v>
      </c>
      <c r="BK223" s="3">
        <f>infections!BK223-infections!BJ223</f>
        <v>1</v>
      </c>
      <c r="BL223" s="3">
        <f>infections!BL223-infections!BK223</f>
        <v>0</v>
      </c>
      <c r="BM223" s="3">
        <f>infections!BM223-infections!BL223</f>
        <v>4</v>
      </c>
      <c r="BN223" s="3">
        <f>infections!BN223-infections!BM223</f>
        <v>8</v>
      </c>
      <c r="BO223" s="3">
        <f>infections!BO223-infections!BN223</f>
        <v>10</v>
      </c>
      <c r="BP223" s="3">
        <f>infections!BP223-infections!BO223</f>
        <v>0</v>
      </c>
      <c r="BQ223" s="3">
        <f>infections!BQ223-infections!BP223</f>
        <v>2</v>
      </c>
      <c r="BR223" s="3">
        <f>infections!BR223-infections!BQ223</f>
        <v>4</v>
      </c>
      <c r="BS223" s="3">
        <f>infections!BS223-infections!BR223</f>
        <v>3</v>
      </c>
      <c r="BT223" s="3">
        <f>infections!BT223-infections!BS223</f>
        <v>10</v>
      </c>
      <c r="BU223" s="3">
        <f>infections!BU223-infections!BT223</f>
        <v>7</v>
      </c>
      <c r="BV223" s="3">
        <f>infections!BV223-infections!BU223</f>
        <v>11</v>
      </c>
      <c r="BW223" s="3">
        <f>infections!BW223-infections!BV223</f>
        <v>8</v>
      </c>
      <c r="BX223" s="3">
        <f>infections!BX223-infections!BW223</f>
        <v>27</v>
      </c>
      <c r="BY223" s="3">
        <f>infections!BY223-infections!BX223</f>
        <v>19</v>
      </c>
    </row>
    <row r="224">
      <c r="B224" s="1" t="str">
        <f>infections!B224</f>
        <v>United Kingdom</v>
      </c>
      <c r="C224" s="4">
        <f>infections!C224</f>
        <v>16.7425</v>
      </c>
      <c r="D224" s="4">
        <f>infections!D224</f>
        <v>-62.1874</v>
      </c>
      <c r="E224" s="4">
        <f>infections!E224</f>
        <v>0</v>
      </c>
      <c r="F224" s="3">
        <f>infections!F224-infections!E224</f>
        <v>0</v>
      </c>
      <c r="G224" s="3">
        <f>infections!G224-infections!F224</f>
        <v>0</v>
      </c>
      <c r="H224" s="3">
        <f>infections!H224-infections!G224</f>
        <v>0</v>
      </c>
      <c r="I224" s="3">
        <f>infections!I224-infections!H224</f>
        <v>0</v>
      </c>
      <c r="J224" s="3">
        <f>infections!J224-infections!I224</f>
        <v>0</v>
      </c>
      <c r="K224" s="3">
        <f>infections!K224-infections!J224</f>
        <v>0</v>
      </c>
      <c r="L224" s="3">
        <f>infections!L224-infections!K224</f>
        <v>0</v>
      </c>
      <c r="M224" s="3">
        <f>infections!M224-infections!L224</f>
        <v>0</v>
      </c>
      <c r="N224" s="3">
        <f>infections!N224-infections!M224</f>
        <v>0</v>
      </c>
      <c r="O224" s="3">
        <f>infections!O224-infections!N224</f>
        <v>0</v>
      </c>
      <c r="P224" s="3">
        <f>infections!P224-infections!O224</f>
        <v>0</v>
      </c>
      <c r="Q224" s="3">
        <f>infections!Q224-infections!P224</f>
        <v>0</v>
      </c>
      <c r="R224" s="3">
        <f>infections!R224-infections!Q224</f>
        <v>0</v>
      </c>
      <c r="S224" s="3">
        <f>infections!S224-infections!R224</f>
        <v>0</v>
      </c>
      <c r="T224" s="3">
        <f>infections!T224-infections!S224</f>
        <v>0</v>
      </c>
      <c r="U224" s="3">
        <f>infections!U224-infections!T224</f>
        <v>0</v>
      </c>
      <c r="V224" s="3">
        <f>infections!V224-infections!U224</f>
        <v>0</v>
      </c>
      <c r="W224" s="3">
        <f>infections!W224-infections!V224</f>
        <v>0</v>
      </c>
      <c r="X224" s="3">
        <f>infections!X224-infections!W224</f>
        <v>0</v>
      </c>
      <c r="Y224" s="3">
        <f>infections!Y224-infections!X224</f>
        <v>0</v>
      </c>
      <c r="Z224" s="3">
        <f>infections!Z224-infections!Y224</f>
        <v>0</v>
      </c>
      <c r="AA224" s="3">
        <f>infections!AA224-infections!Z224</f>
        <v>0</v>
      </c>
      <c r="AB224" s="3">
        <f>infections!AB224-infections!AA224</f>
        <v>0</v>
      </c>
      <c r="AC224" s="3">
        <f>infections!AC224-infections!AB224</f>
        <v>0</v>
      </c>
      <c r="AD224" s="3">
        <f>infections!AD224-infections!AC224</f>
        <v>0</v>
      </c>
      <c r="AE224" s="3">
        <f>infections!AE224-infections!AD224</f>
        <v>0</v>
      </c>
      <c r="AF224" s="3">
        <f>infections!AF224-infections!AE224</f>
        <v>0</v>
      </c>
      <c r="AG224" s="3">
        <f>infections!AG224-infections!AF224</f>
        <v>0</v>
      </c>
      <c r="AH224" s="3">
        <f>infections!AH224-infections!AG224</f>
        <v>0</v>
      </c>
      <c r="AI224" s="3">
        <f>infections!AI224-infections!AH224</f>
        <v>0</v>
      </c>
      <c r="AJ224" s="3">
        <f>infections!AJ224-infections!AI224</f>
        <v>0</v>
      </c>
      <c r="AK224" s="3">
        <f>infections!AK224-infections!AJ224</f>
        <v>0</v>
      </c>
      <c r="AL224" s="3">
        <f>infections!AL224-infections!AK224</f>
        <v>0</v>
      </c>
      <c r="AM224" s="3">
        <f>infections!AM224-infections!AL224</f>
        <v>0</v>
      </c>
      <c r="AN224" s="3">
        <f>infections!AN224-infections!AM224</f>
        <v>0</v>
      </c>
      <c r="AO224" s="3">
        <f>infections!AO224-infections!AN224</f>
        <v>0</v>
      </c>
      <c r="AP224" s="3">
        <f>infections!AP224-infections!AO224</f>
        <v>0</v>
      </c>
      <c r="AQ224" s="3">
        <f>infections!AQ224-infections!AP224</f>
        <v>0</v>
      </c>
      <c r="AR224" s="3">
        <f>infections!AR224-infections!AQ224</f>
        <v>0</v>
      </c>
      <c r="AS224" s="3">
        <f>infections!AS224-infections!AR224</f>
        <v>0</v>
      </c>
      <c r="AT224" s="3">
        <f>infections!AT224-infections!AS224</f>
        <v>0</v>
      </c>
      <c r="AU224" s="3">
        <f>infections!AU224-infections!AT224</f>
        <v>0</v>
      </c>
      <c r="AV224" s="3">
        <f>infections!AV224-infections!AU224</f>
        <v>0</v>
      </c>
      <c r="AW224" s="3">
        <f>infections!AW224-infections!AV224</f>
        <v>0</v>
      </c>
      <c r="AX224" s="3">
        <f>infections!AX224-infections!AW224</f>
        <v>0</v>
      </c>
      <c r="AY224" s="3">
        <f>infections!AY224-infections!AX224</f>
        <v>0</v>
      </c>
      <c r="AZ224" s="3">
        <f>infections!AZ224-infections!AY224</f>
        <v>0</v>
      </c>
      <c r="BA224" s="3">
        <f>infections!BA224-infections!AZ224</f>
        <v>0</v>
      </c>
      <c r="BB224" s="3">
        <f>infections!BB224-infections!BA224</f>
        <v>0</v>
      </c>
      <c r="BC224" s="3">
        <f>infections!BC224-infections!BB224</f>
        <v>0</v>
      </c>
      <c r="BD224" s="3">
        <f>infections!BD224-infections!BC224</f>
        <v>0</v>
      </c>
      <c r="BE224" s="3">
        <f>infections!BE224-infections!BD224</f>
        <v>0</v>
      </c>
      <c r="BF224" s="3">
        <f>infections!BF224-infections!BE224</f>
        <v>0</v>
      </c>
      <c r="BG224" s="3">
        <f>infections!BG224-infections!BF224</f>
        <v>0</v>
      </c>
      <c r="BH224" s="3">
        <f>infections!BH224-infections!BG224</f>
        <v>0</v>
      </c>
      <c r="BI224" s="3">
        <f>infections!BI224-infections!BH224</f>
        <v>1</v>
      </c>
      <c r="BJ224" s="3">
        <f>infections!BJ224-infections!BI224</f>
        <v>0</v>
      </c>
      <c r="BK224" s="3">
        <f>infections!BK224-infections!BJ224</f>
        <v>0</v>
      </c>
      <c r="BL224" s="3">
        <f>infections!BL224-infections!BK224</f>
        <v>0</v>
      </c>
      <c r="BM224" s="3">
        <f>infections!BM224-infections!BL224</f>
        <v>0</v>
      </c>
      <c r="BN224" s="3">
        <f>infections!BN224-infections!BM224</f>
        <v>0</v>
      </c>
      <c r="BO224" s="3">
        <f>infections!BO224-infections!BN224</f>
        <v>0</v>
      </c>
      <c r="BP224" s="3">
        <f>infections!BP224-infections!BO224</f>
        <v>0</v>
      </c>
      <c r="BQ224" s="3">
        <f>infections!BQ224-infections!BP224</f>
        <v>4</v>
      </c>
      <c r="BR224" s="3">
        <f>infections!BR224-infections!BQ224</f>
        <v>0</v>
      </c>
      <c r="BS224" s="3">
        <f>infections!BS224-infections!BR224</f>
        <v>0</v>
      </c>
      <c r="BT224" s="3">
        <f>infections!BT224-infections!BS224</f>
        <v>0</v>
      </c>
      <c r="BU224" s="3">
        <f>infections!BU224-infections!BT224</f>
        <v>0</v>
      </c>
      <c r="BV224" s="3">
        <f>infections!BV224-infections!BU224</f>
        <v>0</v>
      </c>
      <c r="BW224" s="3">
        <f>infections!BW224-infections!BV224</f>
        <v>0</v>
      </c>
      <c r="BX224" s="3">
        <f>infections!BX224-infections!BW224</f>
        <v>0</v>
      </c>
      <c r="BY224" s="3">
        <f>infections!BY224-infections!BX224</f>
        <v>1</v>
      </c>
    </row>
    <row r="225">
      <c r="B225" s="1" t="str">
        <f>infections!B225</f>
        <v>United Kingdom</v>
      </c>
      <c r="C225" s="4">
        <f>infections!C225</f>
        <v>55.3781</v>
      </c>
      <c r="D225" s="4">
        <f>infections!D225</f>
        <v>-3.436</v>
      </c>
      <c r="E225" s="4">
        <f>infections!E225</f>
        <v>0</v>
      </c>
      <c r="F225" s="3">
        <f>infections!F225-infections!E225</f>
        <v>0</v>
      </c>
      <c r="G225" s="3">
        <f>infections!G225-infections!F225</f>
        <v>0</v>
      </c>
      <c r="H225" s="3">
        <f>infections!H225-infections!G225</f>
        <v>0</v>
      </c>
      <c r="I225" s="3">
        <f>infections!I225-infections!H225</f>
        <v>0</v>
      </c>
      <c r="J225" s="3">
        <f>infections!J225-infections!I225</f>
        <v>0</v>
      </c>
      <c r="K225" s="3">
        <f>infections!K225-infections!J225</f>
        <v>0</v>
      </c>
      <c r="L225" s="3">
        <f>infections!L225-infections!K225</f>
        <v>0</v>
      </c>
      <c r="M225" s="3">
        <f>infections!M225-infections!L225</f>
        <v>0</v>
      </c>
      <c r="N225" s="3">
        <f>infections!N225-infections!M225</f>
        <v>2</v>
      </c>
      <c r="O225" s="3">
        <f>infections!O225-infections!N225</f>
        <v>0</v>
      </c>
      <c r="P225" s="3">
        <f>infections!P225-infections!O225</f>
        <v>0</v>
      </c>
      <c r="Q225" s="3">
        <f>infections!Q225-infections!P225</f>
        <v>0</v>
      </c>
      <c r="R225" s="3">
        <f>infections!R225-infections!Q225</f>
        <v>0</v>
      </c>
      <c r="S225" s="3">
        <f>infections!S225-infections!R225</f>
        <v>0</v>
      </c>
      <c r="T225" s="3">
        <f>infections!T225-infections!S225</f>
        <v>0</v>
      </c>
      <c r="U225" s="3">
        <f>infections!U225-infections!T225</f>
        <v>1</v>
      </c>
      <c r="V225" s="3">
        <f>infections!V225-infections!U225</f>
        <v>0</v>
      </c>
      <c r="W225" s="3">
        <f>infections!W225-infections!V225</f>
        <v>0</v>
      </c>
      <c r="X225" s="3">
        <f>infections!X225-infections!W225</f>
        <v>5</v>
      </c>
      <c r="Y225" s="3">
        <f>infections!Y225-infections!X225</f>
        <v>0</v>
      </c>
      <c r="Z225" s="3">
        <f>infections!Z225-infections!Y225</f>
        <v>1</v>
      </c>
      <c r="AA225" s="3">
        <f>infections!AA225-infections!Z225</f>
        <v>0</v>
      </c>
      <c r="AB225" s="3">
        <f>infections!AB225-infections!AA225</f>
        <v>0</v>
      </c>
      <c r="AC225" s="3">
        <f>infections!AC225-infections!AB225</f>
        <v>0</v>
      </c>
      <c r="AD225" s="3">
        <f>infections!AD225-infections!AC225</f>
        <v>0</v>
      </c>
      <c r="AE225" s="3">
        <f>infections!AE225-infections!AD225</f>
        <v>0</v>
      </c>
      <c r="AF225" s="3">
        <f>infections!AF225-infections!AE225</f>
        <v>0</v>
      </c>
      <c r="AG225" s="3">
        <f>infections!AG225-infections!AF225</f>
        <v>0</v>
      </c>
      <c r="AH225" s="3">
        <f>infections!AH225-infections!AG225</f>
        <v>0</v>
      </c>
      <c r="AI225" s="3">
        <f>infections!AI225-infections!AH225</f>
        <v>0</v>
      </c>
      <c r="AJ225" s="3">
        <f>infections!AJ225-infections!AI225</f>
        <v>0</v>
      </c>
      <c r="AK225" s="3">
        <f>infections!AK225-infections!AJ225</f>
        <v>0</v>
      </c>
      <c r="AL225" s="3">
        <f>infections!AL225-infections!AK225</f>
        <v>4</v>
      </c>
      <c r="AM225" s="3">
        <f>infections!AM225-infections!AL225</f>
        <v>0</v>
      </c>
      <c r="AN225" s="3">
        <f>infections!AN225-infections!AM225</f>
        <v>0</v>
      </c>
      <c r="AO225" s="3">
        <f>infections!AO225-infections!AN225</f>
        <v>2</v>
      </c>
      <c r="AP225" s="3">
        <f>infections!AP225-infections!AO225</f>
        <v>5</v>
      </c>
      <c r="AQ225" s="3">
        <f>infections!AQ225-infections!AP225</f>
        <v>3</v>
      </c>
      <c r="AR225" s="3">
        <f>infections!AR225-infections!AQ225</f>
        <v>13</v>
      </c>
      <c r="AS225" s="3">
        <f>infections!AS225-infections!AR225</f>
        <v>4</v>
      </c>
      <c r="AT225" s="3">
        <f>infections!AT225-infections!AS225</f>
        <v>11</v>
      </c>
      <c r="AU225" s="3">
        <f>infections!AU225-infections!AT225</f>
        <v>34</v>
      </c>
      <c r="AV225" s="3">
        <f>infections!AV225-infections!AU225</f>
        <v>30</v>
      </c>
      <c r="AW225" s="3">
        <f>infections!AW225-infections!AV225</f>
        <v>48</v>
      </c>
      <c r="AX225" s="3">
        <f>infections!AX225-infections!AW225</f>
        <v>43</v>
      </c>
      <c r="AY225" s="3">
        <f>infections!AY225-infections!AX225</f>
        <v>67</v>
      </c>
      <c r="AZ225" s="3">
        <f>infections!AZ225-infections!AY225</f>
        <v>48</v>
      </c>
      <c r="BA225" s="3">
        <f>infections!BA225-infections!AZ225</f>
        <v>61</v>
      </c>
      <c r="BB225" s="3">
        <f>infections!BB225-infections!BA225</f>
        <v>74</v>
      </c>
      <c r="BC225" s="3">
        <f>infections!BC225-infections!BB225</f>
        <v>0</v>
      </c>
      <c r="BD225" s="3">
        <f>infections!BD225-infections!BC225</f>
        <v>342</v>
      </c>
      <c r="BE225" s="3">
        <f>infections!BE225-infections!BD225</f>
        <v>342</v>
      </c>
      <c r="BF225" s="3">
        <f>infections!BF225-infections!BE225</f>
        <v>0</v>
      </c>
      <c r="BG225" s="3">
        <f>infections!BG225-infections!BF225</f>
        <v>403</v>
      </c>
      <c r="BH225" s="3">
        <f>infections!BH225-infections!BG225</f>
        <v>407</v>
      </c>
      <c r="BI225" s="3">
        <f>infections!BI225-infections!BH225</f>
        <v>676</v>
      </c>
      <c r="BJ225" s="3">
        <f>infections!BJ225-infections!BI225</f>
        <v>63</v>
      </c>
      <c r="BK225" s="3">
        <f>infections!BK225-infections!BJ225</f>
        <v>1294</v>
      </c>
      <c r="BL225" s="3">
        <f>infections!BL225-infections!BK225</f>
        <v>1035</v>
      </c>
      <c r="BM225" s="3">
        <f>infections!BM225-infections!BL225</f>
        <v>665</v>
      </c>
      <c r="BN225" s="3">
        <f>infections!BN225-infections!BM225</f>
        <v>967</v>
      </c>
      <c r="BO225" s="3">
        <f>infections!BO225-infections!BN225</f>
        <v>1427</v>
      </c>
      <c r="BP225" s="3">
        <f>infections!BP225-infections!BO225</f>
        <v>1452</v>
      </c>
      <c r="BQ225" s="3">
        <f>infections!BQ225-infections!BP225</f>
        <v>2129</v>
      </c>
      <c r="BR225" s="3">
        <f>infections!BR225-infections!BQ225</f>
        <v>2885</v>
      </c>
      <c r="BS225" s="3">
        <f>infections!BS225-infections!BR225</f>
        <v>2546</v>
      </c>
      <c r="BT225" s="3">
        <f>infections!BT225-infections!BS225</f>
        <v>2433</v>
      </c>
      <c r="BU225" s="3">
        <f>infections!BU225-infections!BT225</f>
        <v>2619</v>
      </c>
      <c r="BV225" s="3">
        <f>infections!BV225-infections!BU225</f>
        <v>3009</v>
      </c>
      <c r="BW225" s="3">
        <f>infections!BW225-infections!BV225</f>
        <v>4324</v>
      </c>
      <c r="BX225" s="3">
        <f>infections!BX225-infections!BW225</f>
        <v>4244</v>
      </c>
      <c r="BY225" s="3">
        <f>infections!BY225-infections!BX225</f>
        <v>4450</v>
      </c>
    </row>
    <row r="226">
      <c r="B226" s="1" t="str">
        <f>infections!B226</f>
        <v>Uruguay</v>
      </c>
      <c r="C226" s="4">
        <f>infections!C226</f>
        <v>-32.5228</v>
      </c>
      <c r="D226" s="4">
        <f>infections!D226</f>
        <v>-55.7658</v>
      </c>
      <c r="E226" s="4">
        <f>infections!E226</f>
        <v>0</v>
      </c>
      <c r="F226" s="3">
        <f>infections!F226-infections!E226</f>
        <v>0</v>
      </c>
      <c r="G226" s="3">
        <f>infections!G226-infections!F226</f>
        <v>0</v>
      </c>
      <c r="H226" s="3">
        <f>infections!H226-infections!G226</f>
        <v>0</v>
      </c>
      <c r="I226" s="3">
        <f>infections!I226-infections!H226</f>
        <v>0</v>
      </c>
      <c r="J226" s="3">
        <f>infections!J226-infections!I226</f>
        <v>0</v>
      </c>
      <c r="K226" s="3">
        <f>infections!K226-infections!J226</f>
        <v>0</v>
      </c>
      <c r="L226" s="3">
        <f>infections!L226-infections!K226</f>
        <v>0</v>
      </c>
      <c r="M226" s="3">
        <f>infections!M226-infections!L226</f>
        <v>0</v>
      </c>
      <c r="N226" s="3">
        <f>infections!N226-infections!M226</f>
        <v>0</v>
      </c>
      <c r="O226" s="3">
        <f>infections!O226-infections!N226</f>
        <v>0</v>
      </c>
      <c r="P226" s="3">
        <f>infections!P226-infections!O226</f>
        <v>0</v>
      </c>
      <c r="Q226" s="3">
        <f>infections!Q226-infections!P226</f>
        <v>0</v>
      </c>
      <c r="R226" s="3">
        <f>infections!R226-infections!Q226</f>
        <v>0</v>
      </c>
      <c r="S226" s="3">
        <f>infections!S226-infections!R226</f>
        <v>0</v>
      </c>
      <c r="T226" s="3">
        <f>infections!T226-infections!S226</f>
        <v>0</v>
      </c>
      <c r="U226" s="3">
        <f>infections!U226-infections!T226</f>
        <v>0</v>
      </c>
      <c r="V226" s="3">
        <f>infections!V226-infections!U226</f>
        <v>0</v>
      </c>
      <c r="W226" s="3">
        <f>infections!W226-infections!V226</f>
        <v>0</v>
      </c>
      <c r="X226" s="3">
        <f>infections!X226-infections!W226</f>
        <v>0</v>
      </c>
      <c r="Y226" s="3">
        <f>infections!Y226-infections!X226</f>
        <v>0</v>
      </c>
      <c r="Z226" s="3">
        <f>infections!Z226-infections!Y226</f>
        <v>0</v>
      </c>
      <c r="AA226" s="3">
        <f>infections!AA226-infections!Z226</f>
        <v>0</v>
      </c>
      <c r="AB226" s="3">
        <f>infections!AB226-infections!AA226</f>
        <v>0</v>
      </c>
      <c r="AC226" s="3">
        <f>infections!AC226-infections!AB226</f>
        <v>0</v>
      </c>
      <c r="AD226" s="3">
        <f>infections!AD226-infections!AC226</f>
        <v>0</v>
      </c>
      <c r="AE226" s="3">
        <f>infections!AE226-infections!AD226</f>
        <v>0</v>
      </c>
      <c r="AF226" s="3">
        <f>infections!AF226-infections!AE226</f>
        <v>0</v>
      </c>
      <c r="AG226" s="3">
        <f>infections!AG226-infections!AF226</f>
        <v>0</v>
      </c>
      <c r="AH226" s="3">
        <f>infections!AH226-infections!AG226</f>
        <v>0</v>
      </c>
      <c r="AI226" s="3">
        <f>infections!AI226-infections!AH226</f>
        <v>0</v>
      </c>
      <c r="AJ226" s="3">
        <f>infections!AJ226-infections!AI226</f>
        <v>0</v>
      </c>
      <c r="AK226" s="3">
        <f>infections!AK226-infections!AJ226</f>
        <v>0</v>
      </c>
      <c r="AL226" s="3">
        <f>infections!AL226-infections!AK226</f>
        <v>0</v>
      </c>
      <c r="AM226" s="3">
        <f>infections!AM226-infections!AL226</f>
        <v>0</v>
      </c>
      <c r="AN226" s="3">
        <f>infections!AN226-infections!AM226</f>
        <v>0</v>
      </c>
      <c r="AO226" s="3">
        <f>infections!AO226-infections!AN226</f>
        <v>0</v>
      </c>
      <c r="AP226" s="3">
        <f>infections!AP226-infections!AO226</f>
        <v>0</v>
      </c>
      <c r="AQ226" s="3">
        <f>infections!AQ226-infections!AP226</f>
        <v>0</v>
      </c>
      <c r="AR226" s="3">
        <f>infections!AR226-infections!AQ226</f>
        <v>0</v>
      </c>
      <c r="AS226" s="3">
        <f>infections!AS226-infections!AR226</f>
        <v>0</v>
      </c>
      <c r="AT226" s="3">
        <f>infections!AT226-infections!AS226</f>
        <v>0</v>
      </c>
      <c r="AU226" s="3">
        <f>infections!AU226-infections!AT226</f>
        <v>0</v>
      </c>
      <c r="AV226" s="3">
        <f>infections!AV226-infections!AU226</f>
        <v>0</v>
      </c>
      <c r="AW226" s="3">
        <f>infections!AW226-infections!AV226</f>
        <v>0</v>
      </c>
      <c r="AX226" s="3">
        <f>infections!AX226-infections!AW226</f>
        <v>0</v>
      </c>
      <c r="AY226" s="3">
        <f>infections!AY226-infections!AX226</f>
        <v>0</v>
      </c>
      <c r="AZ226" s="3">
        <f>infections!AZ226-infections!AY226</f>
        <v>0</v>
      </c>
      <c r="BA226" s="3">
        <f>infections!BA226-infections!AZ226</f>
        <v>0</v>
      </c>
      <c r="BB226" s="3">
        <f>infections!BB226-infections!BA226</f>
        <v>0</v>
      </c>
      <c r="BC226" s="3">
        <f>infections!BC226-infections!BB226</f>
        <v>0</v>
      </c>
      <c r="BD226" s="3">
        <f>infections!BD226-infections!BC226</f>
        <v>0</v>
      </c>
      <c r="BE226" s="3">
        <f>infections!BE226-infections!BD226</f>
        <v>4</v>
      </c>
      <c r="BF226" s="3">
        <f>infections!BF226-infections!BE226</f>
        <v>0</v>
      </c>
      <c r="BG226" s="3">
        <f>infections!BG226-infections!BF226</f>
        <v>4</v>
      </c>
      <c r="BH226" s="3">
        <f>infections!BH226-infections!BG226</f>
        <v>21</v>
      </c>
      <c r="BI226" s="3">
        <f>infections!BI226-infections!BH226</f>
        <v>21</v>
      </c>
      <c r="BJ226" s="3">
        <f>infections!BJ226-infections!BI226</f>
        <v>29</v>
      </c>
      <c r="BK226" s="3">
        <f>infections!BK226-infections!BJ226</f>
        <v>15</v>
      </c>
      <c r="BL226" s="3">
        <f>infections!BL226-infections!BK226</f>
        <v>16</v>
      </c>
      <c r="BM226" s="3">
        <f>infections!BM226-infections!BL226</f>
        <v>48</v>
      </c>
      <c r="BN226" s="3">
        <f>infections!BN226-infections!BM226</f>
        <v>4</v>
      </c>
      <c r="BO226" s="3">
        <f>infections!BO226-infections!BN226</f>
        <v>0</v>
      </c>
      <c r="BP226" s="3">
        <f>infections!BP226-infections!BO226</f>
        <v>27</v>
      </c>
      <c r="BQ226" s="3">
        <f>infections!BQ226-infections!BP226</f>
        <v>28</v>
      </c>
      <c r="BR226" s="3">
        <f>infections!BR226-infections!BQ226</f>
        <v>21</v>
      </c>
      <c r="BS226" s="3">
        <f>infections!BS226-infections!BR226</f>
        <v>36</v>
      </c>
      <c r="BT226" s="3">
        <f>infections!BT226-infections!BS226</f>
        <v>30</v>
      </c>
      <c r="BU226" s="3">
        <f>infections!BU226-infections!BT226</f>
        <v>6</v>
      </c>
      <c r="BV226" s="3">
        <f>infections!BV226-infections!BU226</f>
        <v>28</v>
      </c>
      <c r="BW226" s="3">
        <f>infections!BW226-infections!BV226</f>
        <v>0</v>
      </c>
      <c r="BX226" s="3">
        <f>infections!BX226-infections!BW226</f>
        <v>12</v>
      </c>
      <c r="BY226" s="3">
        <f>infections!BY226-infections!BX226</f>
        <v>19</v>
      </c>
    </row>
    <row r="227">
      <c r="B227" s="1" t="str">
        <f>infections!B227</f>
        <v>US</v>
      </c>
      <c r="C227" s="4">
        <f>infections!C227</f>
        <v>37.0902</v>
      </c>
      <c r="D227" s="4">
        <f>infections!D227</f>
        <v>-95.7129</v>
      </c>
      <c r="E227" s="4">
        <f>infections!E227</f>
        <v>1</v>
      </c>
      <c r="F227" s="3">
        <f>infections!F227-infections!E227</f>
        <v>0</v>
      </c>
      <c r="G227" s="3">
        <f>infections!G227-infections!F227</f>
        <v>1</v>
      </c>
      <c r="H227" s="3">
        <f>infections!H227-infections!G227</f>
        <v>0</v>
      </c>
      <c r="I227" s="3">
        <f>infections!I227-infections!H227</f>
        <v>3</v>
      </c>
      <c r="J227" s="3">
        <f>infections!J227-infections!I227</f>
        <v>0</v>
      </c>
      <c r="K227" s="3">
        <f>infections!K227-infections!J227</f>
        <v>0</v>
      </c>
      <c r="L227" s="3">
        <f>infections!L227-infections!K227</f>
        <v>0</v>
      </c>
      <c r="M227" s="3">
        <f>infections!M227-infections!L227</f>
        <v>0</v>
      </c>
      <c r="N227" s="3">
        <f>infections!N227-infections!M227</f>
        <v>2</v>
      </c>
      <c r="O227" s="3">
        <f>infections!O227-infections!N227</f>
        <v>1</v>
      </c>
      <c r="P227" s="3">
        <f>infections!P227-infections!O227</f>
        <v>0</v>
      </c>
      <c r="Q227" s="3">
        <f>infections!Q227-infections!P227</f>
        <v>3</v>
      </c>
      <c r="R227" s="3">
        <f>infections!R227-infections!Q227</f>
        <v>0</v>
      </c>
      <c r="S227" s="3">
        <f>infections!S227-infections!R227</f>
        <v>0</v>
      </c>
      <c r="T227" s="3">
        <f>infections!T227-infections!S227</f>
        <v>0</v>
      </c>
      <c r="U227" s="3">
        <f>infections!U227-infections!T227</f>
        <v>0</v>
      </c>
      <c r="V227" s="3">
        <f>infections!V227-infections!U227</f>
        <v>0</v>
      </c>
      <c r="W227" s="3">
        <f>infections!W227-infections!V227</f>
        <v>0</v>
      </c>
      <c r="X227" s="3">
        <f>infections!X227-infections!W227</f>
        <v>0</v>
      </c>
      <c r="Y227" s="3">
        <f>infections!Y227-infections!X227</f>
        <v>1</v>
      </c>
      <c r="Z227" s="3">
        <f>infections!Z227-infections!Y227</f>
        <v>0</v>
      </c>
      <c r="AA227" s="3">
        <f>infections!AA227-infections!Z227</f>
        <v>1</v>
      </c>
      <c r="AB227" s="3">
        <f>infections!AB227-infections!AA227</f>
        <v>0</v>
      </c>
      <c r="AC227" s="3">
        <f>infections!AC227-infections!AB227</f>
        <v>0</v>
      </c>
      <c r="AD227" s="3">
        <f>infections!AD227-infections!AC227</f>
        <v>0</v>
      </c>
      <c r="AE227" s="3">
        <f>infections!AE227-infections!AD227</f>
        <v>0</v>
      </c>
      <c r="AF227" s="3">
        <f>infections!AF227-infections!AE227</f>
        <v>0</v>
      </c>
      <c r="AG227" s="3">
        <f>infections!AG227-infections!AF227</f>
        <v>0</v>
      </c>
      <c r="AH227" s="3">
        <f>infections!AH227-infections!AG227</f>
        <v>0</v>
      </c>
      <c r="AI227" s="3">
        <f>infections!AI227-infections!AH227</f>
        <v>2</v>
      </c>
      <c r="AJ227" s="3">
        <f>infections!AJ227-infections!AI227</f>
        <v>0</v>
      </c>
      <c r="AK227" s="3">
        <f>infections!AK227-infections!AJ227</f>
        <v>0</v>
      </c>
      <c r="AL227" s="3">
        <f>infections!AL227-infections!AK227</f>
        <v>36</v>
      </c>
      <c r="AM227" s="3">
        <f>infections!AM227-infections!AL227</f>
        <v>0</v>
      </c>
      <c r="AN227" s="3">
        <f>infections!AN227-infections!AM227</f>
        <v>6</v>
      </c>
      <c r="AO227" s="3">
        <f>infections!AO227-infections!AN227</f>
        <v>1</v>
      </c>
      <c r="AP227" s="3">
        <f>infections!AP227-infections!AO227</f>
        <v>2</v>
      </c>
      <c r="AQ227" s="3">
        <f>infections!AQ227-infections!AP227</f>
        <v>8</v>
      </c>
      <c r="AR227" s="3">
        <f>infections!AR227-infections!AQ227</f>
        <v>6</v>
      </c>
      <c r="AS227" s="3">
        <f>infections!AS227-infections!AR227</f>
        <v>24</v>
      </c>
      <c r="AT227" s="3">
        <f>infections!AT227-infections!AS227</f>
        <v>20</v>
      </c>
      <c r="AU227" s="3">
        <f>infections!AU227-infections!AT227</f>
        <v>31</v>
      </c>
      <c r="AV227" s="3">
        <f>infections!AV227-infections!AU227</f>
        <v>68</v>
      </c>
      <c r="AW227" s="3">
        <f>infections!AW227-infections!AV227</f>
        <v>45</v>
      </c>
      <c r="AX227" s="3">
        <f>infections!AX227-infections!AW227</f>
        <v>140</v>
      </c>
      <c r="AY227" s="3">
        <f>infections!AY227-infections!AX227</f>
        <v>116</v>
      </c>
      <c r="AZ227" s="3">
        <f>infections!AZ227-infections!AY227</f>
        <v>65</v>
      </c>
      <c r="BA227" s="3">
        <f>infections!BA227-infections!AZ227</f>
        <v>376</v>
      </c>
      <c r="BB227" s="3">
        <f>infections!BB227-infections!BA227</f>
        <v>322</v>
      </c>
      <c r="BC227" s="3">
        <f>infections!BC227-infections!BB227</f>
        <v>382</v>
      </c>
      <c r="BD227" s="3">
        <f>infections!BD227-infections!BC227</f>
        <v>516</v>
      </c>
      <c r="BE227" s="3">
        <f>infections!BE227-infections!BD227</f>
        <v>548</v>
      </c>
      <c r="BF227" s="3">
        <f>infections!BF227-infections!BE227</f>
        <v>772</v>
      </c>
      <c r="BG227" s="3">
        <f>infections!BG227-infections!BF227</f>
        <v>1133</v>
      </c>
      <c r="BH227" s="3">
        <f>infections!BH227-infections!BG227</f>
        <v>1789</v>
      </c>
      <c r="BI227" s="3">
        <f>infections!BI227-infections!BH227</f>
        <v>1362</v>
      </c>
      <c r="BJ227" s="3">
        <f>infections!BJ227-infections!BI227</f>
        <v>5894</v>
      </c>
      <c r="BK227" s="3">
        <f>infections!BK227-infections!BJ227</f>
        <v>5423</v>
      </c>
      <c r="BL227" s="3">
        <f>infections!BL227-infections!BK227</f>
        <v>6389</v>
      </c>
      <c r="BM227" s="3">
        <f>infections!BM227-infections!BL227</f>
        <v>7787</v>
      </c>
      <c r="BN227" s="3">
        <f>infections!BN227-infections!BM227</f>
        <v>10571</v>
      </c>
      <c r="BO227" s="3">
        <f>infections!BO227-infections!BN227</f>
        <v>9893</v>
      </c>
      <c r="BP227" s="3">
        <f>infections!BP227-infections!BO227</f>
        <v>12038</v>
      </c>
      <c r="BQ227" s="3">
        <f>infections!BQ227-infections!BP227</f>
        <v>18058</v>
      </c>
      <c r="BR227" s="3">
        <f>infections!BR227-infections!BQ227</f>
        <v>17821</v>
      </c>
      <c r="BS227" s="3">
        <f>infections!BS227-infections!BR227</f>
        <v>19821</v>
      </c>
      <c r="BT227" s="3">
        <f>infections!BT227-infections!BS227</f>
        <v>19408</v>
      </c>
      <c r="BU227" s="3">
        <f>infections!BU227-infections!BT227</f>
        <v>20921</v>
      </c>
      <c r="BV227" s="3">
        <f>infections!BV227-infections!BU227</f>
        <v>26365</v>
      </c>
      <c r="BW227" s="3">
        <f>infections!BW227-infections!BV227</f>
        <v>25200</v>
      </c>
      <c r="BX227" s="3">
        <f>infections!BX227-infections!BW227</f>
        <v>30081</v>
      </c>
      <c r="BY227" s="3">
        <f>infections!BY227-infections!BX227</f>
        <v>32133</v>
      </c>
    </row>
    <row r="228">
      <c r="B228" s="1" t="str">
        <f>infections!B228</f>
        <v>Uzbekistan</v>
      </c>
      <c r="C228" s="4">
        <f>infections!C228</f>
        <v>41.3775</v>
      </c>
      <c r="D228" s="4">
        <f>infections!D228</f>
        <v>64.5853</v>
      </c>
      <c r="E228" s="4">
        <f>infections!E228</f>
        <v>0</v>
      </c>
      <c r="F228" s="3">
        <f>infections!F228-infections!E228</f>
        <v>0</v>
      </c>
      <c r="G228" s="3">
        <f>infections!G228-infections!F228</f>
        <v>0</v>
      </c>
      <c r="H228" s="3">
        <f>infections!H228-infections!G228</f>
        <v>0</v>
      </c>
      <c r="I228" s="3">
        <f>infections!I228-infections!H228</f>
        <v>0</v>
      </c>
      <c r="J228" s="3">
        <f>infections!J228-infections!I228</f>
        <v>0</v>
      </c>
      <c r="K228" s="3">
        <f>infections!K228-infections!J228</f>
        <v>0</v>
      </c>
      <c r="L228" s="3">
        <f>infections!L228-infections!K228</f>
        <v>0</v>
      </c>
      <c r="M228" s="3">
        <f>infections!M228-infections!L228</f>
        <v>0</v>
      </c>
      <c r="N228" s="3">
        <f>infections!N228-infections!M228</f>
        <v>0</v>
      </c>
      <c r="O228" s="3">
        <f>infections!O228-infections!N228</f>
        <v>0</v>
      </c>
      <c r="P228" s="3">
        <f>infections!P228-infections!O228</f>
        <v>0</v>
      </c>
      <c r="Q228" s="3">
        <f>infections!Q228-infections!P228</f>
        <v>0</v>
      </c>
      <c r="R228" s="3">
        <f>infections!R228-infections!Q228</f>
        <v>0</v>
      </c>
      <c r="S228" s="3">
        <f>infections!S228-infections!R228</f>
        <v>0</v>
      </c>
      <c r="T228" s="3">
        <f>infections!T228-infections!S228</f>
        <v>0</v>
      </c>
      <c r="U228" s="3">
        <f>infections!U228-infections!T228</f>
        <v>0</v>
      </c>
      <c r="V228" s="3">
        <f>infections!V228-infections!U228</f>
        <v>0</v>
      </c>
      <c r="W228" s="3">
        <f>infections!W228-infections!V228</f>
        <v>0</v>
      </c>
      <c r="X228" s="3">
        <f>infections!X228-infections!W228</f>
        <v>0</v>
      </c>
      <c r="Y228" s="3">
        <f>infections!Y228-infections!X228</f>
        <v>0</v>
      </c>
      <c r="Z228" s="3">
        <f>infections!Z228-infections!Y228</f>
        <v>0</v>
      </c>
      <c r="AA228" s="3">
        <f>infections!AA228-infections!Z228</f>
        <v>0</v>
      </c>
      <c r="AB228" s="3">
        <f>infections!AB228-infections!AA228</f>
        <v>0</v>
      </c>
      <c r="AC228" s="3">
        <f>infections!AC228-infections!AB228</f>
        <v>0</v>
      </c>
      <c r="AD228" s="3">
        <f>infections!AD228-infections!AC228</f>
        <v>0</v>
      </c>
      <c r="AE228" s="3">
        <f>infections!AE228-infections!AD228</f>
        <v>0</v>
      </c>
      <c r="AF228" s="3">
        <f>infections!AF228-infections!AE228</f>
        <v>0</v>
      </c>
      <c r="AG228" s="3">
        <f>infections!AG228-infections!AF228</f>
        <v>0</v>
      </c>
      <c r="AH228" s="3">
        <f>infections!AH228-infections!AG228</f>
        <v>0</v>
      </c>
      <c r="AI228" s="3">
        <f>infections!AI228-infections!AH228</f>
        <v>0</v>
      </c>
      <c r="AJ228" s="3">
        <f>infections!AJ228-infections!AI228</f>
        <v>0</v>
      </c>
      <c r="AK228" s="3">
        <f>infections!AK228-infections!AJ228</f>
        <v>0</v>
      </c>
      <c r="AL228" s="3">
        <f>infections!AL228-infections!AK228</f>
        <v>0</v>
      </c>
      <c r="AM228" s="3">
        <f>infections!AM228-infections!AL228</f>
        <v>0</v>
      </c>
      <c r="AN228" s="3">
        <f>infections!AN228-infections!AM228</f>
        <v>0</v>
      </c>
      <c r="AO228" s="3">
        <f>infections!AO228-infections!AN228</f>
        <v>0</v>
      </c>
      <c r="AP228" s="3">
        <f>infections!AP228-infections!AO228</f>
        <v>0</v>
      </c>
      <c r="AQ228" s="3">
        <f>infections!AQ228-infections!AP228</f>
        <v>0</v>
      </c>
      <c r="AR228" s="3">
        <f>infections!AR228-infections!AQ228</f>
        <v>0</v>
      </c>
      <c r="AS228" s="3">
        <f>infections!AS228-infections!AR228</f>
        <v>0</v>
      </c>
      <c r="AT228" s="3">
        <f>infections!AT228-infections!AS228</f>
        <v>0</v>
      </c>
      <c r="AU228" s="3">
        <f>infections!AU228-infections!AT228</f>
        <v>0</v>
      </c>
      <c r="AV228" s="3">
        <f>infections!AV228-infections!AU228</f>
        <v>0</v>
      </c>
      <c r="AW228" s="3">
        <f>infections!AW228-infections!AV228</f>
        <v>0</v>
      </c>
      <c r="AX228" s="3">
        <f>infections!AX228-infections!AW228</f>
        <v>0</v>
      </c>
      <c r="AY228" s="3">
        <f>infections!AY228-infections!AX228</f>
        <v>0</v>
      </c>
      <c r="AZ228" s="3">
        <f>infections!AZ228-infections!AY228</f>
        <v>0</v>
      </c>
      <c r="BA228" s="3">
        <f>infections!BA228-infections!AZ228</f>
        <v>0</v>
      </c>
      <c r="BB228" s="3">
        <f>infections!BB228-infections!BA228</f>
        <v>0</v>
      </c>
      <c r="BC228" s="3">
        <f>infections!BC228-infections!BB228</f>
        <v>0</v>
      </c>
      <c r="BD228" s="3">
        <f>infections!BD228-infections!BC228</f>
        <v>0</v>
      </c>
      <c r="BE228" s="3">
        <f>infections!BE228-infections!BD228</f>
        <v>0</v>
      </c>
      <c r="BF228" s="3">
        <f>infections!BF228-infections!BE228</f>
        <v>1</v>
      </c>
      <c r="BG228" s="3">
        <f>infections!BG228-infections!BF228</f>
        <v>5</v>
      </c>
      <c r="BH228" s="3">
        <f>infections!BH228-infections!BG228</f>
        <v>4</v>
      </c>
      <c r="BI228" s="3">
        <f>infections!BI228-infections!BH228</f>
        <v>5</v>
      </c>
      <c r="BJ228" s="3">
        <f>infections!BJ228-infections!BI228</f>
        <v>8</v>
      </c>
      <c r="BK228" s="3">
        <f>infections!BK228-infections!BJ228</f>
        <v>10</v>
      </c>
      <c r="BL228" s="3">
        <f>infections!BL228-infections!BK228</f>
        <v>10</v>
      </c>
      <c r="BM228" s="3">
        <f>infections!BM228-infections!BL228</f>
        <v>0</v>
      </c>
      <c r="BN228" s="3">
        <f>infections!BN228-infections!BM228</f>
        <v>3</v>
      </c>
      <c r="BO228" s="3">
        <f>infections!BO228-infections!BN228</f>
        <v>4</v>
      </c>
      <c r="BP228" s="3">
        <f>infections!BP228-infections!BO228</f>
        <v>10</v>
      </c>
      <c r="BQ228" s="3">
        <f>infections!BQ228-infections!BP228</f>
        <v>15</v>
      </c>
      <c r="BR228" s="3">
        <f>infections!BR228-infections!BQ228</f>
        <v>13</v>
      </c>
      <c r="BS228" s="3">
        <f>infections!BS228-infections!BR228</f>
        <v>16</v>
      </c>
      <c r="BT228" s="3">
        <f>infections!BT228-infections!BS228</f>
        <v>40</v>
      </c>
      <c r="BU228" s="3">
        <f>infections!BU228-infections!BT228</f>
        <v>5</v>
      </c>
      <c r="BV228" s="3">
        <f>infections!BV228-infections!BU228</f>
        <v>23</v>
      </c>
      <c r="BW228" s="3">
        <f>infections!BW228-infections!BV228</f>
        <v>9</v>
      </c>
      <c r="BX228" s="3">
        <f>infections!BX228-infections!BW228</f>
        <v>24</v>
      </c>
      <c r="BY228" s="3">
        <f>infections!BY228-infections!BX228</f>
        <v>22</v>
      </c>
    </row>
    <row r="229">
      <c r="B229" s="1" t="str">
        <f>infections!B229</f>
        <v>Venezuela</v>
      </c>
      <c r="C229" s="4">
        <f>infections!C229</f>
        <v>6.4238</v>
      </c>
      <c r="D229" s="4">
        <f>infections!D229</f>
        <v>-66.5897</v>
      </c>
      <c r="E229" s="4">
        <f>infections!E229</f>
        <v>0</v>
      </c>
      <c r="F229" s="3">
        <f>infections!F229-infections!E229</f>
        <v>0</v>
      </c>
      <c r="G229" s="3">
        <f>infections!G229-infections!F229</f>
        <v>0</v>
      </c>
      <c r="H229" s="3">
        <f>infections!H229-infections!G229</f>
        <v>0</v>
      </c>
      <c r="I229" s="3">
        <f>infections!I229-infections!H229</f>
        <v>0</v>
      </c>
      <c r="J229" s="3">
        <f>infections!J229-infections!I229</f>
        <v>0</v>
      </c>
      <c r="K229" s="3">
        <f>infections!K229-infections!J229</f>
        <v>0</v>
      </c>
      <c r="L229" s="3">
        <f>infections!L229-infections!K229</f>
        <v>0</v>
      </c>
      <c r="M229" s="3">
        <f>infections!M229-infections!L229</f>
        <v>0</v>
      </c>
      <c r="N229" s="3">
        <f>infections!N229-infections!M229</f>
        <v>0</v>
      </c>
      <c r="O229" s="3">
        <f>infections!O229-infections!N229</f>
        <v>0</v>
      </c>
      <c r="P229" s="3">
        <f>infections!P229-infections!O229</f>
        <v>0</v>
      </c>
      <c r="Q229" s="3">
        <f>infections!Q229-infections!P229</f>
        <v>0</v>
      </c>
      <c r="R229" s="3">
        <f>infections!R229-infections!Q229</f>
        <v>0</v>
      </c>
      <c r="S229" s="3">
        <f>infections!S229-infections!R229</f>
        <v>0</v>
      </c>
      <c r="T229" s="3">
        <f>infections!T229-infections!S229</f>
        <v>0</v>
      </c>
      <c r="U229" s="3">
        <f>infections!U229-infections!T229</f>
        <v>0</v>
      </c>
      <c r="V229" s="3">
        <f>infections!V229-infections!U229</f>
        <v>0</v>
      </c>
      <c r="W229" s="3">
        <f>infections!W229-infections!V229</f>
        <v>0</v>
      </c>
      <c r="X229" s="3">
        <f>infections!X229-infections!W229</f>
        <v>0</v>
      </c>
      <c r="Y229" s="3">
        <f>infections!Y229-infections!X229</f>
        <v>0</v>
      </c>
      <c r="Z229" s="3">
        <f>infections!Z229-infections!Y229</f>
        <v>0</v>
      </c>
      <c r="AA229" s="3">
        <f>infections!AA229-infections!Z229</f>
        <v>0</v>
      </c>
      <c r="AB229" s="3">
        <f>infections!AB229-infections!AA229</f>
        <v>0</v>
      </c>
      <c r="AC229" s="3">
        <f>infections!AC229-infections!AB229</f>
        <v>0</v>
      </c>
      <c r="AD229" s="3">
        <f>infections!AD229-infections!AC229</f>
        <v>0</v>
      </c>
      <c r="AE229" s="3">
        <f>infections!AE229-infections!AD229</f>
        <v>0</v>
      </c>
      <c r="AF229" s="3">
        <f>infections!AF229-infections!AE229</f>
        <v>0</v>
      </c>
      <c r="AG229" s="3">
        <f>infections!AG229-infections!AF229</f>
        <v>0</v>
      </c>
      <c r="AH229" s="3">
        <f>infections!AH229-infections!AG229</f>
        <v>0</v>
      </c>
      <c r="AI229" s="3">
        <f>infections!AI229-infections!AH229</f>
        <v>0</v>
      </c>
      <c r="AJ229" s="3">
        <f>infections!AJ229-infections!AI229</f>
        <v>0</v>
      </c>
      <c r="AK229" s="3">
        <f>infections!AK229-infections!AJ229</f>
        <v>0</v>
      </c>
      <c r="AL229" s="3">
        <f>infections!AL229-infections!AK229</f>
        <v>0</v>
      </c>
      <c r="AM229" s="3">
        <f>infections!AM229-infections!AL229</f>
        <v>0</v>
      </c>
      <c r="AN229" s="3">
        <f>infections!AN229-infections!AM229</f>
        <v>0</v>
      </c>
      <c r="AO229" s="3">
        <f>infections!AO229-infections!AN229</f>
        <v>0</v>
      </c>
      <c r="AP229" s="3">
        <f>infections!AP229-infections!AO229</f>
        <v>0</v>
      </c>
      <c r="AQ229" s="3">
        <f>infections!AQ229-infections!AP229</f>
        <v>0</v>
      </c>
      <c r="AR229" s="3">
        <f>infections!AR229-infections!AQ229</f>
        <v>0</v>
      </c>
      <c r="AS229" s="3">
        <f>infections!AS229-infections!AR229</f>
        <v>0</v>
      </c>
      <c r="AT229" s="3">
        <f>infections!AT229-infections!AS229</f>
        <v>0</v>
      </c>
      <c r="AU229" s="3">
        <f>infections!AU229-infections!AT229</f>
        <v>0</v>
      </c>
      <c r="AV229" s="3">
        <f>infections!AV229-infections!AU229</f>
        <v>0</v>
      </c>
      <c r="AW229" s="3">
        <f>infections!AW229-infections!AV229</f>
        <v>0</v>
      </c>
      <c r="AX229" s="3">
        <f>infections!AX229-infections!AW229</f>
        <v>0</v>
      </c>
      <c r="AY229" s="3">
        <f>infections!AY229-infections!AX229</f>
        <v>0</v>
      </c>
      <c r="AZ229" s="3">
        <f>infections!AZ229-infections!AY229</f>
        <v>0</v>
      </c>
      <c r="BA229" s="3">
        <f>infections!BA229-infections!AZ229</f>
        <v>0</v>
      </c>
      <c r="BB229" s="3">
        <f>infections!BB229-infections!BA229</f>
        <v>0</v>
      </c>
      <c r="BC229" s="3">
        <f>infections!BC229-infections!BB229</f>
        <v>0</v>
      </c>
      <c r="BD229" s="3">
        <f>infections!BD229-infections!BC229</f>
        <v>0</v>
      </c>
      <c r="BE229" s="3">
        <f>infections!BE229-infections!BD229</f>
        <v>2</v>
      </c>
      <c r="BF229" s="3">
        <f>infections!BF229-infections!BE229</f>
        <v>8</v>
      </c>
      <c r="BG229" s="3">
        <f>infections!BG229-infections!BF229</f>
        <v>7</v>
      </c>
      <c r="BH229" s="3">
        <f>infections!BH229-infections!BG229</f>
        <v>16</v>
      </c>
      <c r="BI229" s="3">
        <f>infections!BI229-infections!BH229</f>
        <v>3</v>
      </c>
      <c r="BJ229" s="3">
        <f>infections!BJ229-infections!BI229</f>
        <v>6</v>
      </c>
      <c r="BK229" s="3">
        <f>infections!BK229-infections!BJ229</f>
        <v>0</v>
      </c>
      <c r="BL229" s="3">
        <f>infections!BL229-infections!BK229</f>
        <v>28</v>
      </c>
      <c r="BM229" s="3">
        <f>infections!BM229-infections!BL229</f>
        <v>0</v>
      </c>
      <c r="BN229" s="3">
        <f>infections!BN229-infections!BM229</f>
        <v>7</v>
      </c>
      <c r="BO229" s="3">
        <f>infections!BO229-infections!BN229</f>
        <v>7</v>
      </c>
      <c r="BP229" s="3">
        <f>infections!BP229-infections!BO229</f>
        <v>7</v>
      </c>
      <c r="BQ229" s="3">
        <f>infections!BQ229-infections!BP229</f>
        <v>16</v>
      </c>
      <c r="BR229" s="3">
        <f>infections!BR229-infections!BQ229</f>
        <v>0</v>
      </c>
      <c r="BS229" s="3">
        <f>infections!BS229-infections!BR229</f>
        <v>12</v>
      </c>
      <c r="BT229" s="3">
        <f>infections!BT229-infections!BS229</f>
        <v>0</v>
      </c>
      <c r="BU229" s="3">
        <f>infections!BU229-infections!BT229</f>
        <v>16</v>
      </c>
      <c r="BV229" s="3">
        <f>infections!BV229-infections!BU229</f>
        <v>0</v>
      </c>
      <c r="BW229" s="3">
        <f>infections!BW229-infections!BV229</f>
        <v>8</v>
      </c>
      <c r="BX229" s="3">
        <f>infections!BX229-infections!BW229</f>
        <v>3</v>
      </c>
      <c r="BY229" s="3">
        <f>infections!BY229-infections!BX229</f>
        <v>7</v>
      </c>
    </row>
    <row r="230">
      <c r="B230" s="1" t="str">
        <f>infections!B230</f>
        <v>Vietnam</v>
      </c>
      <c r="C230" s="4">
        <f>infections!C230</f>
        <v>16</v>
      </c>
      <c r="D230" s="4">
        <f>infections!D230</f>
        <v>108</v>
      </c>
      <c r="E230" s="4">
        <f>infections!E230</f>
        <v>0</v>
      </c>
      <c r="F230" s="3">
        <f>infections!F230-infections!E230</f>
        <v>2</v>
      </c>
      <c r="G230" s="3">
        <f>infections!G230-infections!F230</f>
        <v>0</v>
      </c>
      <c r="H230" s="3">
        <f>infections!H230-infections!G230</f>
        <v>0</v>
      </c>
      <c r="I230" s="3">
        <f>infections!I230-infections!H230</f>
        <v>0</v>
      </c>
      <c r="J230" s="3">
        <f>infections!J230-infections!I230</f>
        <v>0</v>
      </c>
      <c r="K230" s="3">
        <f>infections!K230-infections!J230</f>
        <v>0</v>
      </c>
      <c r="L230" s="3">
        <f>infections!L230-infections!K230</f>
        <v>0</v>
      </c>
      <c r="M230" s="3">
        <f>infections!M230-infections!L230</f>
        <v>0</v>
      </c>
      <c r="N230" s="3">
        <f>infections!N230-infections!M230</f>
        <v>0</v>
      </c>
      <c r="O230" s="3">
        <f>infections!O230-infections!N230</f>
        <v>4</v>
      </c>
      <c r="P230" s="3">
        <f>infections!P230-infections!O230</f>
        <v>0</v>
      </c>
      <c r="Q230" s="3">
        <f>infections!Q230-infections!P230</f>
        <v>2</v>
      </c>
      <c r="R230" s="3">
        <f>infections!R230-infections!Q230</f>
        <v>0</v>
      </c>
      <c r="S230" s="3">
        <f>infections!S230-infections!R230</f>
        <v>0</v>
      </c>
      <c r="T230" s="3">
        <f>infections!T230-infections!S230</f>
        <v>2</v>
      </c>
      <c r="U230" s="3">
        <f>infections!U230-infections!T230</f>
        <v>0</v>
      </c>
      <c r="V230" s="3">
        <f>infections!V230-infections!U230</f>
        <v>3</v>
      </c>
      <c r="W230" s="3">
        <f>infections!W230-infections!V230</f>
        <v>0</v>
      </c>
      <c r="X230" s="3">
        <f>infections!X230-infections!W230</f>
        <v>1</v>
      </c>
      <c r="Y230" s="3">
        <f>infections!Y230-infections!X230</f>
        <v>1</v>
      </c>
      <c r="Z230" s="3">
        <f>infections!Z230-infections!Y230</f>
        <v>0</v>
      </c>
      <c r="AA230" s="3">
        <f>infections!AA230-infections!Z230</f>
        <v>1</v>
      </c>
      <c r="AB230" s="3">
        <f>infections!AB230-infections!AA230</f>
        <v>0</v>
      </c>
      <c r="AC230" s="3">
        <f>infections!AC230-infections!AB230</f>
        <v>0</v>
      </c>
      <c r="AD230" s="3">
        <f>infections!AD230-infections!AC230</f>
        <v>0</v>
      </c>
      <c r="AE230" s="3">
        <f>infections!AE230-infections!AD230</f>
        <v>0</v>
      </c>
      <c r="AF230" s="3">
        <f>infections!AF230-infections!AE230</f>
        <v>0</v>
      </c>
      <c r="AG230" s="3">
        <f>infections!AG230-infections!AF230</f>
        <v>0</v>
      </c>
      <c r="AH230" s="3">
        <f>infections!AH230-infections!AG230</f>
        <v>0</v>
      </c>
      <c r="AI230" s="3">
        <f>infections!AI230-infections!AH230</f>
        <v>0</v>
      </c>
      <c r="AJ230" s="3">
        <f>infections!AJ230-infections!AI230</f>
        <v>0</v>
      </c>
      <c r="AK230" s="3">
        <f>infections!AK230-infections!AJ230</f>
        <v>0</v>
      </c>
      <c r="AL230" s="3">
        <f>infections!AL230-infections!AK230</f>
        <v>0</v>
      </c>
      <c r="AM230" s="3">
        <f>infections!AM230-infections!AL230</f>
        <v>0</v>
      </c>
      <c r="AN230" s="3">
        <f>infections!AN230-infections!AM230</f>
        <v>0</v>
      </c>
      <c r="AO230" s="3">
        <f>infections!AO230-infections!AN230</f>
        <v>0</v>
      </c>
      <c r="AP230" s="3">
        <f>infections!AP230-infections!AO230</f>
        <v>0</v>
      </c>
      <c r="AQ230" s="3">
        <f>infections!AQ230-infections!AP230</f>
        <v>0</v>
      </c>
      <c r="AR230" s="3">
        <f>infections!AR230-infections!AQ230</f>
        <v>0</v>
      </c>
      <c r="AS230" s="3">
        <f>infections!AS230-infections!AR230</f>
        <v>0</v>
      </c>
      <c r="AT230" s="3">
        <f>infections!AT230-infections!AS230</f>
        <v>0</v>
      </c>
      <c r="AU230" s="3">
        <f>infections!AU230-infections!AT230</f>
        <v>0</v>
      </c>
      <c r="AV230" s="3">
        <f>infections!AV230-infections!AU230</f>
        <v>0</v>
      </c>
      <c r="AW230" s="3">
        <f>infections!AW230-infections!AV230</f>
        <v>0</v>
      </c>
      <c r="AX230" s="3">
        <f>infections!AX230-infections!AW230</f>
        <v>2</v>
      </c>
      <c r="AY230" s="3">
        <f>infections!AY230-infections!AX230</f>
        <v>12</v>
      </c>
      <c r="AZ230" s="3">
        <f>infections!AZ230-infections!AY230</f>
        <v>0</v>
      </c>
      <c r="BA230" s="3">
        <f>infections!BA230-infections!AZ230</f>
        <v>1</v>
      </c>
      <c r="BB230" s="3">
        <f>infections!BB230-infections!BA230</f>
        <v>7</v>
      </c>
      <c r="BC230" s="3">
        <f>infections!BC230-infections!BB230</f>
        <v>1</v>
      </c>
      <c r="BD230" s="3">
        <f>infections!BD230-infections!BC230</f>
        <v>8</v>
      </c>
      <c r="BE230" s="3">
        <f>infections!BE230-infections!BD230</f>
        <v>6</v>
      </c>
      <c r="BF230" s="3">
        <f>infections!BF230-infections!BE230</f>
        <v>3</v>
      </c>
      <c r="BG230" s="3">
        <f>infections!BG230-infections!BF230</f>
        <v>5</v>
      </c>
      <c r="BH230" s="3">
        <f>infections!BH230-infections!BG230</f>
        <v>5</v>
      </c>
      <c r="BI230" s="3">
        <f>infections!BI230-infections!BH230</f>
        <v>9</v>
      </c>
      <c r="BJ230" s="3">
        <f>infections!BJ230-infections!BI230</f>
        <v>10</v>
      </c>
      <c r="BK230" s="3">
        <f>infections!BK230-infections!BJ230</f>
        <v>6</v>
      </c>
      <c r="BL230" s="3">
        <f>infections!BL230-infections!BK230</f>
        <v>3</v>
      </c>
      <c r="BM230" s="3">
        <f>infections!BM230-infections!BL230</f>
        <v>19</v>
      </c>
      <c r="BN230" s="3">
        <f>infections!BN230-infections!BM230</f>
        <v>10</v>
      </c>
      <c r="BO230" s="3">
        <f>infections!BO230-infections!BN230</f>
        <v>11</v>
      </c>
      <c r="BP230" s="3">
        <f>infections!BP230-infections!BO230</f>
        <v>7</v>
      </c>
      <c r="BQ230" s="3">
        <f>infections!BQ230-infections!BP230</f>
        <v>12</v>
      </c>
      <c r="BR230" s="3">
        <f>infections!BR230-infections!BQ230</f>
        <v>10</v>
      </c>
      <c r="BS230" s="3">
        <f>infections!BS230-infections!BR230</f>
        <v>11</v>
      </c>
      <c r="BT230" s="3">
        <f>infections!BT230-infections!BS230</f>
        <v>14</v>
      </c>
      <c r="BU230" s="3">
        <f>infections!BU230-infections!BT230</f>
        <v>15</v>
      </c>
      <c r="BV230" s="3">
        <f>infections!BV230-infections!BU230</f>
        <v>9</v>
      </c>
      <c r="BW230" s="3">
        <f>infections!BW230-infections!BV230</f>
        <v>6</v>
      </c>
      <c r="BX230" s="3">
        <f>infections!BX230-infections!BW230</f>
        <v>15</v>
      </c>
      <c r="BY230" s="3">
        <f>infections!BY230-infections!BX230</f>
        <v>4</v>
      </c>
    </row>
    <row r="231">
      <c r="B231" s="1" t="str">
        <f>infections!B231</f>
        <v>Zambia</v>
      </c>
      <c r="C231" s="4">
        <f>infections!C231</f>
        <v>-15.4167</v>
      </c>
      <c r="D231" s="4">
        <f>infections!D231</f>
        <v>28.2833</v>
      </c>
      <c r="E231" s="4">
        <f>infections!E231</f>
        <v>0</v>
      </c>
      <c r="F231" s="3">
        <f>infections!F231-infections!E231</f>
        <v>0</v>
      </c>
      <c r="G231" s="3">
        <f>infections!G231-infections!F231</f>
        <v>0</v>
      </c>
      <c r="H231" s="3">
        <f>infections!H231-infections!G231</f>
        <v>0</v>
      </c>
      <c r="I231" s="3">
        <f>infections!I231-infections!H231</f>
        <v>0</v>
      </c>
      <c r="J231" s="3">
        <f>infections!J231-infections!I231</f>
        <v>0</v>
      </c>
      <c r="K231" s="3">
        <f>infections!K231-infections!J231</f>
        <v>0</v>
      </c>
      <c r="L231" s="3">
        <f>infections!L231-infections!K231</f>
        <v>0</v>
      </c>
      <c r="M231" s="3">
        <f>infections!M231-infections!L231</f>
        <v>0</v>
      </c>
      <c r="N231" s="3">
        <f>infections!N231-infections!M231</f>
        <v>0</v>
      </c>
      <c r="O231" s="3">
        <f>infections!O231-infections!N231</f>
        <v>0</v>
      </c>
      <c r="P231" s="3">
        <f>infections!P231-infections!O231</f>
        <v>0</v>
      </c>
      <c r="Q231" s="3">
        <f>infections!Q231-infections!P231</f>
        <v>0</v>
      </c>
      <c r="R231" s="3">
        <f>infections!R231-infections!Q231</f>
        <v>0</v>
      </c>
      <c r="S231" s="3">
        <f>infections!S231-infections!R231</f>
        <v>0</v>
      </c>
      <c r="T231" s="3">
        <f>infections!T231-infections!S231</f>
        <v>0</v>
      </c>
      <c r="U231" s="3">
        <f>infections!U231-infections!T231</f>
        <v>0</v>
      </c>
      <c r="V231" s="3">
        <f>infections!V231-infections!U231</f>
        <v>0</v>
      </c>
      <c r="W231" s="3">
        <f>infections!W231-infections!V231</f>
        <v>0</v>
      </c>
      <c r="X231" s="3">
        <f>infections!X231-infections!W231</f>
        <v>0</v>
      </c>
      <c r="Y231" s="3">
        <f>infections!Y231-infections!X231</f>
        <v>0</v>
      </c>
      <c r="Z231" s="3">
        <f>infections!Z231-infections!Y231</f>
        <v>0</v>
      </c>
      <c r="AA231" s="3">
        <f>infections!AA231-infections!Z231</f>
        <v>0</v>
      </c>
      <c r="AB231" s="3">
        <f>infections!AB231-infections!AA231</f>
        <v>0</v>
      </c>
      <c r="AC231" s="3">
        <f>infections!AC231-infections!AB231</f>
        <v>0</v>
      </c>
      <c r="AD231" s="3">
        <f>infections!AD231-infections!AC231</f>
        <v>0</v>
      </c>
      <c r="AE231" s="3">
        <f>infections!AE231-infections!AD231</f>
        <v>0</v>
      </c>
      <c r="AF231" s="3">
        <f>infections!AF231-infections!AE231</f>
        <v>0</v>
      </c>
      <c r="AG231" s="3">
        <f>infections!AG231-infections!AF231</f>
        <v>0</v>
      </c>
      <c r="AH231" s="3">
        <f>infections!AH231-infections!AG231</f>
        <v>0</v>
      </c>
      <c r="AI231" s="3">
        <f>infections!AI231-infections!AH231</f>
        <v>0</v>
      </c>
      <c r="AJ231" s="3">
        <f>infections!AJ231-infections!AI231</f>
        <v>0</v>
      </c>
      <c r="AK231" s="3">
        <f>infections!AK231-infections!AJ231</f>
        <v>0</v>
      </c>
      <c r="AL231" s="3">
        <f>infections!AL231-infections!AK231</f>
        <v>0</v>
      </c>
      <c r="AM231" s="3">
        <f>infections!AM231-infections!AL231</f>
        <v>0</v>
      </c>
      <c r="AN231" s="3">
        <f>infections!AN231-infections!AM231</f>
        <v>0</v>
      </c>
      <c r="AO231" s="3">
        <f>infections!AO231-infections!AN231</f>
        <v>0</v>
      </c>
      <c r="AP231" s="3">
        <f>infections!AP231-infections!AO231</f>
        <v>0</v>
      </c>
      <c r="AQ231" s="3">
        <f>infections!AQ231-infections!AP231</f>
        <v>0</v>
      </c>
      <c r="AR231" s="3">
        <f>infections!AR231-infections!AQ231</f>
        <v>0</v>
      </c>
      <c r="AS231" s="3">
        <f>infections!AS231-infections!AR231</f>
        <v>0</v>
      </c>
      <c r="AT231" s="3">
        <f>infections!AT231-infections!AS231</f>
        <v>0</v>
      </c>
      <c r="AU231" s="3">
        <f>infections!AU231-infections!AT231</f>
        <v>0</v>
      </c>
      <c r="AV231" s="3">
        <f>infections!AV231-infections!AU231</f>
        <v>0</v>
      </c>
      <c r="AW231" s="3">
        <f>infections!AW231-infections!AV231</f>
        <v>0</v>
      </c>
      <c r="AX231" s="3">
        <f>infections!AX231-infections!AW231</f>
        <v>0</v>
      </c>
      <c r="AY231" s="3">
        <f>infections!AY231-infections!AX231</f>
        <v>0</v>
      </c>
      <c r="AZ231" s="3">
        <f>infections!AZ231-infections!AY231</f>
        <v>0</v>
      </c>
      <c r="BA231" s="3">
        <f>infections!BA231-infections!AZ231</f>
        <v>0</v>
      </c>
      <c r="BB231" s="3">
        <f>infections!BB231-infections!BA231</f>
        <v>0</v>
      </c>
      <c r="BC231" s="3">
        <f>infections!BC231-infections!BB231</f>
        <v>0</v>
      </c>
      <c r="BD231" s="3">
        <f>infections!BD231-infections!BC231</f>
        <v>0</v>
      </c>
      <c r="BE231" s="3">
        <f>infections!BE231-infections!BD231</f>
        <v>0</v>
      </c>
      <c r="BF231" s="3">
        <f>infections!BF231-infections!BE231</f>
        <v>0</v>
      </c>
      <c r="BG231" s="3">
        <f>infections!BG231-infections!BF231</f>
        <v>0</v>
      </c>
      <c r="BH231" s="3">
        <f>infections!BH231-infections!BG231</f>
        <v>0</v>
      </c>
      <c r="BI231" s="3">
        <f>infections!BI231-infections!BH231</f>
        <v>2</v>
      </c>
      <c r="BJ231" s="3">
        <f>infections!BJ231-infections!BI231</f>
        <v>0</v>
      </c>
      <c r="BK231" s="3">
        <f>infections!BK231-infections!BJ231</f>
        <v>0</v>
      </c>
      <c r="BL231" s="3">
        <f>infections!BL231-infections!BK231</f>
        <v>0</v>
      </c>
      <c r="BM231" s="3">
        <f>infections!BM231-infections!BL231</f>
        <v>1</v>
      </c>
      <c r="BN231" s="3">
        <f>infections!BN231-infections!BM231</f>
        <v>0</v>
      </c>
      <c r="BO231" s="3">
        <f>infections!BO231-infections!BN231</f>
        <v>0</v>
      </c>
      <c r="BP231" s="3">
        <f>infections!BP231-infections!BO231</f>
        <v>9</v>
      </c>
      <c r="BQ231" s="3">
        <f>infections!BQ231-infections!BP231</f>
        <v>4</v>
      </c>
      <c r="BR231" s="3">
        <f>infections!BR231-infections!BQ231</f>
        <v>6</v>
      </c>
      <c r="BS231" s="3">
        <f>infections!BS231-infections!BR231</f>
        <v>6</v>
      </c>
      <c r="BT231" s="3">
        <f>infections!BT231-infections!BS231</f>
        <v>1</v>
      </c>
      <c r="BU231" s="3">
        <f>infections!BU231-infections!BT231</f>
        <v>6</v>
      </c>
      <c r="BV231" s="3">
        <f>infections!BV231-infections!BU231</f>
        <v>0</v>
      </c>
      <c r="BW231" s="3">
        <f>infections!BW231-infections!BV231</f>
        <v>1</v>
      </c>
      <c r="BX231" s="3">
        <f>infections!BX231-infections!BW231</f>
        <v>3</v>
      </c>
      <c r="BY231" s="3">
        <f>infections!BY231-infections!BX231</f>
        <v>0</v>
      </c>
    </row>
    <row r="232">
      <c r="B232" s="1" t="str">
        <f>infections!B232</f>
        <v>Zimbabwe</v>
      </c>
      <c r="C232" s="4">
        <f>infections!C232</f>
        <v>-20</v>
      </c>
      <c r="D232" s="4">
        <f>infections!D232</f>
        <v>30</v>
      </c>
      <c r="E232" s="4">
        <f>infections!E232</f>
        <v>0</v>
      </c>
      <c r="F232" s="3">
        <f>infections!F232-infections!E232</f>
        <v>0</v>
      </c>
      <c r="G232" s="3">
        <f>infections!G232-infections!F232</f>
        <v>0</v>
      </c>
      <c r="H232" s="3">
        <f>infections!H232-infections!G232</f>
        <v>0</v>
      </c>
      <c r="I232" s="3">
        <f>infections!I232-infections!H232</f>
        <v>0</v>
      </c>
      <c r="J232" s="3">
        <f>infections!J232-infections!I232</f>
        <v>0</v>
      </c>
      <c r="K232" s="3">
        <f>infections!K232-infections!J232</f>
        <v>0</v>
      </c>
      <c r="L232" s="3">
        <f>infections!L232-infections!K232</f>
        <v>0</v>
      </c>
      <c r="M232" s="3">
        <f>infections!M232-infections!L232</f>
        <v>0</v>
      </c>
      <c r="N232" s="3">
        <f>infections!N232-infections!M232</f>
        <v>0</v>
      </c>
      <c r="O232" s="3">
        <f>infections!O232-infections!N232</f>
        <v>0</v>
      </c>
      <c r="P232" s="3">
        <f>infections!P232-infections!O232</f>
        <v>0</v>
      </c>
      <c r="Q232" s="3">
        <f>infections!Q232-infections!P232</f>
        <v>0</v>
      </c>
      <c r="R232" s="3">
        <f>infections!R232-infections!Q232</f>
        <v>0</v>
      </c>
      <c r="S232" s="3">
        <f>infections!S232-infections!R232</f>
        <v>0</v>
      </c>
      <c r="T232" s="3">
        <f>infections!T232-infections!S232</f>
        <v>0</v>
      </c>
      <c r="U232" s="3">
        <f>infections!U232-infections!T232</f>
        <v>0</v>
      </c>
      <c r="V232" s="3">
        <f>infections!V232-infections!U232</f>
        <v>0</v>
      </c>
      <c r="W232" s="3">
        <f>infections!W232-infections!V232</f>
        <v>0</v>
      </c>
      <c r="X232" s="3">
        <f>infections!X232-infections!W232</f>
        <v>0</v>
      </c>
      <c r="Y232" s="3">
        <f>infections!Y232-infections!X232</f>
        <v>0</v>
      </c>
      <c r="Z232" s="3">
        <f>infections!Z232-infections!Y232</f>
        <v>0</v>
      </c>
      <c r="AA232" s="3">
        <f>infections!AA232-infections!Z232</f>
        <v>0</v>
      </c>
      <c r="AB232" s="3">
        <f>infections!AB232-infections!AA232</f>
        <v>0</v>
      </c>
      <c r="AC232" s="3">
        <f>infections!AC232-infections!AB232</f>
        <v>0</v>
      </c>
      <c r="AD232" s="3">
        <f>infections!AD232-infections!AC232</f>
        <v>0</v>
      </c>
      <c r="AE232" s="3">
        <f>infections!AE232-infections!AD232</f>
        <v>0</v>
      </c>
      <c r="AF232" s="3">
        <f>infections!AF232-infections!AE232</f>
        <v>0</v>
      </c>
      <c r="AG232" s="3">
        <f>infections!AG232-infections!AF232</f>
        <v>0</v>
      </c>
      <c r="AH232" s="3">
        <f>infections!AH232-infections!AG232</f>
        <v>0</v>
      </c>
      <c r="AI232" s="3">
        <f>infections!AI232-infections!AH232</f>
        <v>0</v>
      </c>
      <c r="AJ232" s="3">
        <f>infections!AJ232-infections!AI232</f>
        <v>0</v>
      </c>
      <c r="AK232" s="3">
        <f>infections!AK232-infections!AJ232</f>
        <v>0</v>
      </c>
      <c r="AL232" s="3">
        <f>infections!AL232-infections!AK232</f>
        <v>0</v>
      </c>
      <c r="AM232" s="3">
        <f>infections!AM232-infections!AL232</f>
        <v>0</v>
      </c>
      <c r="AN232" s="3">
        <f>infections!AN232-infections!AM232</f>
        <v>0</v>
      </c>
      <c r="AO232" s="3">
        <f>infections!AO232-infections!AN232</f>
        <v>0</v>
      </c>
      <c r="AP232" s="3">
        <f>infections!AP232-infections!AO232</f>
        <v>0</v>
      </c>
      <c r="AQ232" s="3">
        <f>infections!AQ232-infections!AP232</f>
        <v>0</v>
      </c>
      <c r="AR232" s="3">
        <f>infections!AR232-infections!AQ232</f>
        <v>0</v>
      </c>
      <c r="AS232" s="3">
        <f>infections!AS232-infections!AR232</f>
        <v>0</v>
      </c>
      <c r="AT232" s="3">
        <f>infections!AT232-infections!AS232</f>
        <v>0</v>
      </c>
      <c r="AU232" s="3">
        <f>infections!AU232-infections!AT232</f>
        <v>0</v>
      </c>
      <c r="AV232" s="3">
        <f>infections!AV232-infections!AU232</f>
        <v>0</v>
      </c>
      <c r="AW232" s="3">
        <f>infections!AW232-infections!AV232</f>
        <v>0</v>
      </c>
      <c r="AX232" s="3">
        <f>infections!AX232-infections!AW232</f>
        <v>0</v>
      </c>
      <c r="AY232" s="3">
        <f>infections!AY232-infections!AX232</f>
        <v>0</v>
      </c>
      <c r="AZ232" s="3">
        <f>infections!AZ232-infections!AY232</f>
        <v>0</v>
      </c>
      <c r="BA232" s="3">
        <f>infections!BA232-infections!AZ232</f>
        <v>0</v>
      </c>
      <c r="BB232" s="3">
        <f>infections!BB232-infections!BA232</f>
        <v>0</v>
      </c>
      <c r="BC232" s="3">
        <f>infections!BC232-infections!BB232</f>
        <v>0</v>
      </c>
      <c r="BD232" s="3">
        <f>infections!BD232-infections!BC232</f>
        <v>0</v>
      </c>
      <c r="BE232" s="3">
        <f>infections!BE232-infections!BD232</f>
        <v>0</v>
      </c>
      <c r="BF232" s="3">
        <f>infections!BF232-infections!BE232</f>
        <v>0</v>
      </c>
      <c r="BG232" s="3">
        <f>infections!BG232-infections!BF232</f>
        <v>0</v>
      </c>
      <c r="BH232" s="3">
        <f>infections!BH232-infections!BG232</f>
        <v>0</v>
      </c>
      <c r="BI232" s="3">
        <f>infections!BI232-infections!BH232</f>
        <v>0</v>
      </c>
      <c r="BJ232" s="3">
        <f>infections!BJ232-infections!BI232</f>
        <v>0</v>
      </c>
      <c r="BK232" s="3">
        <f>infections!BK232-infections!BJ232</f>
        <v>1</v>
      </c>
      <c r="BL232" s="3">
        <f>infections!BL232-infections!BK232</f>
        <v>2</v>
      </c>
      <c r="BM232" s="3">
        <f>infections!BM232-infections!BL232</f>
        <v>0</v>
      </c>
      <c r="BN232" s="3">
        <f>infections!BN232-infections!BM232</f>
        <v>0</v>
      </c>
      <c r="BO232" s="3">
        <f>infections!BO232-infections!BN232</f>
        <v>0</v>
      </c>
      <c r="BP232" s="3">
        <f>infections!BP232-infections!BO232</f>
        <v>0</v>
      </c>
      <c r="BQ232" s="3">
        <f>infections!BQ232-infections!BP232</f>
        <v>0</v>
      </c>
      <c r="BR232" s="3">
        <f>infections!BR232-infections!BQ232</f>
        <v>2</v>
      </c>
      <c r="BS232" s="3">
        <f>infections!BS232-infections!BR232</f>
        <v>2</v>
      </c>
      <c r="BT232" s="3">
        <f>infections!BT232-infections!BS232</f>
        <v>0</v>
      </c>
      <c r="BU232" s="3">
        <f>infections!BU232-infections!BT232</f>
        <v>0</v>
      </c>
      <c r="BV232" s="3">
        <f>infections!BV232-infections!BU232</f>
        <v>1</v>
      </c>
      <c r="BW232" s="3">
        <f>infections!BW232-infections!BV232</f>
        <v>0</v>
      </c>
      <c r="BX232" s="3">
        <f>infections!BX232-infections!BW232</f>
        <v>1</v>
      </c>
      <c r="BY232" s="3">
        <f>infections!BY232-infections!BX232</f>
        <v>0</v>
      </c>
    </row>
    <row r="233">
      <c r="B233" s="1" t="str">
        <f>infections!B233</f>
        <v>Canada</v>
      </c>
      <c r="C233" s="4">
        <f>infections!C233</f>
        <v>0</v>
      </c>
      <c r="D233" s="4">
        <f>infections!D233</f>
        <v>0</v>
      </c>
      <c r="E233" s="4">
        <f>infections!E233</f>
        <v>0</v>
      </c>
      <c r="F233" s="3">
        <f>infections!F233-infections!E233</f>
        <v>0</v>
      </c>
      <c r="G233" s="3">
        <f>infections!G233-infections!F233</f>
        <v>0</v>
      </c>
      <c r="H233" s="3">
        <f>infections!H233-infections!G233</f>
        <v>0</v>
      </c>
      <c r="I233" s="3">
        <f>infections!I233-infections!H233</f>
        <v>0</v>
      </c>
      <c r="J233" s="3">
        <f>infections!J233-infections!I233</f>
        <v>0</v>
      </c>
      <c r="K233" s="3">
        <f>infections!K233-infections!J233</f>
        <v>0</v>
      </c>
      <c r="L233" s="3">
        <f>infections!L233-infections!K233</f>
        <v>0</v>
      </c>
      <c r="M233" s="3">
        <f>infections!M233-infections!L233</f>
        <v>0</v>
      </c>
      <c r="N233" s="3">
        <f>infections!N233-infections!M233</f>
        <v>0</v>
      </c>
      <c r="O233" s="3">
        <f>infections!O233-infections!N233</f>
        <v>0</v>
      </c>
      <c r="P233" s="3">
        <f>infections!P233-infections!O233</f>
        <v>0</v>
      </c>
      <c r="Q233" s="3">
        <f>infections!Q233-infections!P233</f>
        <v>0</v>
      </c>
      <c r="R233" s="3">
        <f>infections!R233-infections!Q233</f>
        <v>0</v>
      </c>
      <c r="S233" s="3">
        <f>infections!S233-infections!R233</f>
        <v>0</v>
      </c>
      <c r="T233" s="3">
        <f>infections!T233-infections!S233</f>
        <v>0</v>
      </c>
      <c r="U233" s="3">
        <f>infections!U233-infections!T233</f>
        <v>0</v>
      </c>
      <c r="V233" s="3">
        <f>infections!V233-infections!U233</f>
        <v>0</v>
      </c>
      <c r="W233" s="3">
        <f>infections!W233-infections!V233</f>
        <v>0</v>
      </c>
      <c r="X233" s="3">
        <f>infections!X233-infections!W233</f>
        <v>0</v>
      </c>
      <c r="Y233" s="3">
        <f>infections!Y233-infections!X233</f>
        <v>0</v>
      </c>
      <c r="Z233" s="3">
        <f>infections!Z233-infections!Y233</f>
        <v>0</v>
      </c>
      <c r="AA233" s="3">
        <f>infections!AA233-infections!Z233</f>
        <v>0</v>
      </c>
      <c r="AB233" s="3">
        <f>infections!AB233-infections!AA233</f>
        <v>0</v>
      </c>
      <c r="AC233" s="3">
        <f>infections!AC233-infections!AB233</f>
        <v>0</v>
      </c>
      <c r="AD233" s="3">
        <f>infections!AD233-infections!AC233</f>
        <v>0</v>
      </c>
      <c r="AE233" s="3">
        <f>infections!AE233-infections!AD233</f>
        <v>0</v>
      </c>
      <c r="AF233" s="3">
        <f>infections!AF233-infections!AE233</f>
        <v>0</v>
      </c>
      <c r="AG233" s="3">
        <f>infections!AG233-infections!AF233</f>
        <v>0</v>
      </c>
      <c r="AH233" s="3">
        <f>infections!AH233-infections!AG233</f>
        <v>0</v>
      </c>
      <c r="AI233" s="3">
        <f>infections!AI233-infections!AH233</f>
        <v>0</v>
      </c>
      <c r="AJ233" s="3">
        <f>infections!AJ233-infections!AI233</f>
        <v>0</v>
      </c>
      <c r="AK233" s="3">
        <f>infections!AK233-infections!AJ233</f>
        <v>0</v>
      </c>
      <c r="AL233" s="3">
        <f>infections!AL233-infections!AK233</f>
        <v>0</v>
      </c>
      <c r="AM233" s="3">
        <f>infections!AM233-infections!AL233</f>
        <v>0</v>
      </c>
      <c r="AN233" s="3">
        <f>infections!AN233-infections!AM233</f>
        <v>0</v>
      </c>
      <c r="AO233" s="3">
        <f>infections!AO233-infections!AN233</f>
        <v>0</v>
      </c>
      <c r="AP233" s="3">
        <f>infections!AP233-infections!AO233</f>
        <v>0</v>
      </c>
      <c r="AQ233" s="3">
        <f>infections!AQ233-infections!AP233</f>
        <v>0</v>
      </c>
      <c r="AR233" s="3">
        <f>infections!AR233-infections!AQ233</f>
        <v>0</v>
      </c>
      <c r="AS233" s="3">
        <f>infections!AS233-infections!AR233</f>
        <v>0</v>
      </c>
      <c r="AT233" s="3">
        <f>infections!AT233-infections!AS233</f>
        <v>0</v>
      </c>
      <c r="AU233" s="3">
        <f>infections!AU233-infections!AT233</f>
        <v>0</v>
      </c>
      <c r="AV233" s="3">
        <f>infections!AV233-infections!AU233</f>
        <v>0</v>
      </c>
      <c r="AW233" s="3">
        <f>infections!AW233-infections!AV233</f>
        <v>0</v>
      </c>
      <c r="AX233" s="3">
        <f>infections!AX233-infections!AW233</f>
        <v>0</v>
      </c>
      <c r="AY233" s="3">
        <f>infections!AY233-infections!AX233</f>
        <v>0</v>
      </c>
      <c r="AZ233" s="3">
        <f>infections!AZ233-infections!AY233</f>
        <v>0</v>
      </c>
      <c r="BA233" s="3">
        <f>infections!BA233-infections!AZ233</f>
        <v>0</v>
      </c>
      <c r="BB233" s="3">
        <f>infections!BB233-infections!BA233</f>
        <v>0</v>
      </c>
      <c r="BC233" s="3">
        <f>infections!BC233-infections!BB233</f>
        <v>0</v>
      </c>
      <c r="BD233" s="3">
        <f>infections!BD233-infections!BC233</f>
        <v>0</v>
      </c>
      <c r="BE233" s="3">
        <f>infections!BE233-infections!BD233</f>
        <v>0</v>
      </c>
      <c r="BF233" s="3">
        <f>infections!BF233-infections!BE233</f>
        <v>0</v>
      </c>
      <c r="BG233" s="3">
        <f>infections!BG233-infections!BF233</f>
        <v>0</v>
      </c>
      <c r="BH233" s="3">
        <f>infections!BH233-infections!BG233</f>
        <v>0</v>
      </c>
      <c r="BI233" s="3">
        <f>infections!BI233-infections!BH233</f>
        <v>0</v>
      </c>
      <c r="BJ233" s="3">
        <f>infections!BJ233-infections!BI233</f>
        <v>0</v>
      </c>
      <c r="BK233" s="3">
        <f>infections!BK233-infections!BJ233</f>
        <v>0</v>
      </c>
      <c r="BL233" s="3">
        <f>infections!BL233-infections!BK233</f>
        <v>0</v>
      </c>
      <c r="BM233" s="3">
        <f>infections!BM233-infections!BL233</f>
        <v>0</v>
      </c>
      <c r="BN233" s="3">
        <f>infections!BN233-infections!BM233</f>
        <v>0</v>
      </c>
      <c r="BO233" s="3">
        <f>infections!BO233-infections!BN233</f>
        <v>0</v>
      </c>
      <c r="BP233" s="3">
        <f>infections!BP233-infections!BO233</f>
        <v>0</v>
      </c>
      <c r="BQ233" s="3">
        <f>infections!BQ233-infections!BP233</f>
        <v>0</v>
      </c>
      <c r="BR233" s="3">
        <f>infections!BR233-infections!BQ233</f>
        <v>0</v>
      </c>
      <c r="BS233" s="3">
        <f>infections!BS233-infections!BR233</f>
        <v>0</v>
      </c>
      <c r="BT233" s="3">
        <f>infections!BT233-infections!BS233</f>
        <v>0</v>
      </c>
      <c r="BU233" s="3">
        <f>infections!BU233-infections!BT233</f>
        <v>0</v>
      </c>
      <c r="BV233" s="3">
        <f>infections!BV233-infections!BU233</f>
        <v>0</v>
      </c>
      <c r="BW233" s="3">
        <f>infections!BW233-infections!BV233</f>
        <v>0</v>
      </c>
      <c r="BX233" s="3">
        <f>infections!BX233-infections!BW233</f>
        <v>0</v>
      </c>
      <c r="BY233" s="3">
        <f>infections!BY233-infections!BX233</f>
        <v>0</v>
      </c>
    </row>
    <row r="234">
      <c r="B234" s="1" t="str">
        <f>infections!B234</f>
        <v>Dominica</v>
      </c>
      <c r="C234" s="4">
        <f>infections!C234</f>
        <v>15.415</v>
      </c>
      <c r="D234" s="4">
        <f>infections!D234</f>
        <v>-61.371</v>
      </c>
      <c r="E234" s="4">
        <f>infections!E234</f>
        <v>0</v>
      </c>
      <c r="F234" s="3">
        <f>infections!F234-infections!E234</f>
        <v>0</v>
      </c>
      <c r="G234" s="3">
        <f>infections!G234-infections!F234</f>
        <v>0</v>
      </c>
      <c r="H234" s="3">
        <f>infections!H234-infections!G234</f>
        <v>0</v>
      </c>
      <c r="I234" s="3">
        <f>infections!I234-infections!H234</f>
        <v>0</v>
      </c>
      <c r="J234" s="3">
        <f>infections!J234-infections!I234</f>
        <v>0</v>
      </c>
      <c r="K234" s="3">
        <f>infections!K234-infections!J234</f>
        <v>0</v>
      </c>
      <c r="L234" s="3">
        <f>infections!L234-infections!K234</f>
        <v>0</v>
      </c>
      <c r="M234" s="3">
        <f>infections!M234-infections!L234</f>
        <v>0</v>
      </c>
      <c r="N234" s="3">
        <f>infections!N234-infections!M234</f>
        <v>0</v>
      </c>
      <c r="O234" s="3">
        <f>infections!O234-infections!N234</f>
        <v>0</v>
      </c>
      <c r="P234" s="3">
        <f>infections!P234-infections!O234</f>
        <v>0</v>
      </c>
      <c r="Q234" s="3">
        <f>infections!Q234-infections!P234</f>
        <v>0</v>
      </c>
      <c r="R234" s="3">
        <f>infections!R234-infections!Q234</f>
        <v>0</v>
      </c>
      <c r="S234" s="3">
        <f>infections!S234-infections!R234</f>
        <v>0</v>
      </c>
      <c r="T234" s="3">
        <f>infections!T234-infections!S234</f>
        <v>0</v>
      </c>
      <c r="U234" s="3">
        <f>infections!U234-infections!T234</f>
        <v>0</v>
      </c>
      <c r="V234" s="3">
        <f>infections!V234-infections!U234</f>
        <v>0</v>
      </c>
      <c r="W234" s="3">
        <f>infections!W234-infections!V234</f>
        <v>0</v>
      </c>
      <c r="X234" s="3">
        <f>infections!X234-infections!W234</f>
        <v>0</v>
      </c>
      <c r="Y234" s="3">
        <f>infections!Y234-infections!X234</f>
        <v>0</v>
      </c>
      <c r="Z234" s="3">
        <f>infections!Z234-infections!Y234</f>
        <v>0</v>
      </c>
      <c r="AA234" s="3">
        <f>infections!AA234-infections!Z234</f>
        <v>0</v>
      </c>
      <c r="AB234" s="3">
        <f>infections!AB234-infections!AA234</f>
        <v>0</v>
      </c>
      <c r="AC234" s="3">
        <f>infections!AC234-infections!AB234</f>
        <v>0</v>
      </c>
      <c r="AD234" s="3">
        <f>infections!AD234-infections!AC234</f>
        <v>0</v>
      </c>
      <c r="AE234" s="3">
        <f>infections!AE234-infections!AD234</f>
        <v>0</v>
      </c>
      <c r="AF234" s="3">
        <f>infections!AF234-infections!AE234</f>
        <v>0</v>
      </c>
      <c r="AG234" s="3">
        <f>infections!AG234-infections!AF234</f>
        <v>0</v>
      </c>
      <c r="AH234" s="3">
        <f>infections!AH234-infections!AG234</f>
        <v>0</v>
      </c>
      <c r="AI234" s="3">
        <f>infections!AI234-infections!AH234</f>
        <v>0</v>
      </c>
      <c r="AJ234" s="3">
        <f>infections!AJ234-infections!AI234</f>
        <v>0</v>
      </c>
      <c r="AK234" s="3">
        <f>infections!AK234-infections!AJ234</f>
        <v>0</v>
      </c>
      <c r="AL234" s="3">
        <f>infections!AL234-infections!AK234</f>
        <v>0</v>
      </c>
      <c r="AM234" s="3">
        <f>infections!AM234-infections!AL234</f>
        <v>0</v>
      </c>
      <c r="AN234" s="3">
        <f>infections!AN234-infections!AM234</f>
        <v>0</v>
      </c>
      <c r="AO234" s="3">
        <f>infections!AO234-infections!AN234</f>
        <v>0</v>
      </c>
      <c r="AP234" s="3">
        <f>infections!AP234-infections!AO234</f>
        <v>0</v>
      </c>
      <c r="AQ234" s="3">
        <f>infections!AQ234-infections!AP234</f>
        <v>0</v>
      </c>
      <c r="AR234" s="3">
        <f>infections!AR234-infections!AQ234</f>
        <v>0</v>
      </c>
      <c r="AS234" s="3">
        <f>infections!AS234-infections!AR234</f>
        <v>0</v>
      </c>
      <c r="AT234" s="3">
        <f>infections!AT234-infections!AS234</f>
        <v>0</v>
      </c>
      <c r="AU234" s="3">
        <f>infections!AU234-infections!AT234</f>
        <v>0</v>
      </c>
      <c r="AV234" s="3">
        <f>infections!AV234-infections!AU234</f>
        <v>0</v>
      </c>
      <c r="AW234" s="3">
        <f>infections!AW234-infections!AV234</f>
        <v>0</v>
      </c>
      <c r="AX234" s="3">
        <f>infections!AX234-infections!AW234</f>
        <v>0</v>
      </c>
      <c r="AY234" s="3">
        <f>infections!AY234-infections!AX234</f>
        <v>0</v>
      </c>
      <c r="AZ234" s="3">
        <f>infections!AZ234-infections!AY234</f>
        <v>0</v>
      </c>
      <c r="BA234" s="3">
        <f>infections!BA234-infections!AZ234</f>
        <v>0</v>
      </c>
      <c r="BB234" s="3">
        <f>infections!BB234-infections!BA234</f>
        <v>0</v>
      </c>
      <c r="BC234" s="3">
        <f>infections!BC234-infections!BB234</f>
        <v>0</v>
      </c>
      <c r="BD234" s="3">
        <f>infections!BD234-infections!BC234</f>
        <v>0</v>
      </c>
      <c r="BE234" s="3">
        <f>infections!BE234-infections!BD234</f>
        <v>0</v>
      </c>
      <c r="BF234" s="3">
        <f>infections!BF234-infections!BE234</f>
        <v>0</v>
      </c>
      <c r="BG234" s="3">
        <f>infections!BG234-infections!BF234</f>
        <v>0</v>
      </c>
      <c r="BH234" s="3">
        <f>infections!BH234-infections!BG234</f>
        <v>0</v>
      </c>
      <c r="BI234" s="3">
        <f>infections!BI234-infections!BH234</f>
        <v>0</v>
      </c>
      <c r="BJ234" s="3">
        <f>infections!BJ234-infections!BI234</f>
        <v>0</v>
      </c>
      <c r="BK234" s="3">
        <f>infections!BK234-infections!BJ234</f>
        <v>0</v>
      </c>
      <c r="BL234" s="3">
        <f>infections!BL234-infections!BK234</f>
        <v>0</v>
      </c>
      <c r="BM234" s="3">
        <f>infections!BM234-infections!BL234</f>
        <v>1</v>
      </c>
      <c r="BN234" s="3">
        <f>infections!BN234-infections!BM234</f>
        <v>1</v>
      </c>
      <c r="BO234" s="3">
        <f>infections!BO234-infections!BN234</f>
        <v>0</v>
      </c>
      <c r="BP234" s="3">
        <f>infections!BP234-infections!BO234</f>
        <v>5</v>
      </c>
      <c r="BQ234" s="3">
        <f>infections!BQ234-infections!BP234</f>
        <v>4</v>
      </c>
      <c r="BR234" s="3">
        <f>infections!BR234-infections!BQ234</f>
        <v>0</v>
      </c>
      <c r="BS234" s="3">
        <f>infections!BS234-infections!BR234</f>
        <v>0</v>
      </c>
      <c r="BT234" s="3">
        <f>infections!BT234-infections!BS234</f>
        <v>0</v>
      </c>
      <c r="BU234" s="3">
        <f>infections!BU234-infections!BT234</f>
        <v>0</v>
      </c>
      <c r="BV234" s="3">
        <f>infections!BV234-infections!BU234</f>
        <v>1</v>
      </c>
      <c r="BW234" s="3">
        <f>infections!BW234-infections!BV234</f>
        <v>0</v>
      </c>
      <c r="BX234" s="3">
        <f>infections!BX234-infections!BW234</f>
        <v>0</v>
      </c>
      <c r="BY234" s="3">
        <f>infections!BY234-infections!BX234</f>
        <v>0</v>
      </c>
    </row>
    <row r="235">
      <c r="B235" s="1" t="str">
        <f>infections!B235</f>
        <v>Grenada</v>
      </c>
      <c r="C235" s="4">
        <f>infections!C235</f>
        <v>12.1165</v>
      </c>
      <c r="D235" s="4">
        <f>infections!D235</f>
        <v>-61.679</v>
      </c>
      <c r="E235" s="4">
        <f>infections!E235</f>
        <v>0</v>
      </c>
      <c r="F235" s="3">
        <f>infections!F235-infections!E235</f>
        <v>0</v>
      </c>
      <c r="G235" s="3">
        <f>infections!G235-infections!F235</f>
        <v>0</v>
      </c>
      <c r="H235" s="3">
        <f>infections!H235-infections!G235</f>
        <v>0</v>
      </c>
      <c r="I235" s="3">
        <f>infections!I235-infections!H235</f>
        <v>0</v>
      </c>
      <c r="J235" s="3">
        <f>infections!J235-infections!I235</f>
        <v>0</v>
      </c>
      <c r="K235" s="3">
        <f>infections!K235-infections!J235</f>
        <v>0</v>
      </c>
      <c r="L235" s="3">
        <f>infections!L235-infections!K235</f>
        <v>0</v>
      </c>
      <c r="M235" s="3">
        <f>infections!M235-infections!L235</f>
        <v>0</v>
      </c>
      <c r="N235" s="3">
        <f>infections!N235-infections!M235</f>
        <v>0</v>
      </c>
      <c r="O235" s="3">
        <f>infections!O235-infections!N235</f>
        <v>0</v>
      </c>
      <c r="P235" s="3">
        <f>infections!P235-infections!O235</f>
        <v>0</v>
      </c>
      <c r="Q235" s="3">
        <f>infections!Q235-infections!P235</f>
        <v>0</v>
      </c>
      <c r="R235" s="3">
        <f>infections!R235-infections!Q235</f>
        <v>0</v>
      </c>
      <c r="S235" s="3">
        <f>infections!S235-infections!R235</f>
        <v>0</v>
      </c>
      <c r="T235" s="3">
        <f>infections!T235-infections!S235</f>
        <v>0</v>
      </c>
      <c r="U235" s="3">
        <f>infections!U235-infections!T235</f>
        <v>0</v>
      </c>
      <c r="V235" s="3">
        <f>infections!V235-infections!U235</f>
        <v>0</v>
      </c>
      <c r="W235" s="3">
        <f>infections!W235-infections!V235</f>
        <v>0</v>
      </c>
      <c r="X235" s="3">
        <f>infections!X235-infections!W235</f>
        <v>0</v>
      </c>
      <c r="Y235" s="3">
        <f>infections!Y235-infections!X235</f>
        <v>0</v>
      </c>
      <c r="Z235" s="3">
        <f>infections!Z235-infections!Y235</f>
        <v>0</v>
      </c>
      <c r="AA235" s="3">
        <f>infections!AA235-infections!Z235</f>
        <v>0</v>
      </c>
      <c r="AB235" s="3">
        <f>infections!AB235-infections!AA235</f>
        <v>0</v>
      </c>
      <c r="AC235" s="3">
        <f>infections!AC235-infections!AB235</f>
        <v>0</v>
      </c>
      <c r="AD235" s="3">
        <f>infections!AD235-infections!AC235</f>
        <v>0</v>
      </c>
      <c r="AE235" s="3">
        <f>infections!AE235-infections!AD235</f>
        <v>0</v>
      </c>
      <c r="AF235" s="3">
        <f>infections!AF235-infections!AE235</f>
        <v>0</v>
      </c>
      <c r="AG235" s="3">
        <f>infections!AG235-infections!AF235</f>
        <v>0</v>
      </c>
      <c r="AH235" s="3">
        <f>infections!AH235-infections!AG235</f>
        <v>0</v>
      </c>
      <c r="AI235" s="3">
        <f>infections!AI235-infections!AH235</f>
        <v>0</v>
      </c>
      <c r="AJ235" s="3">
        <f>infections!AJ235-infections!AI235</f>
        <v>0</v>
      </c>
      <c r="AK235" s="3">
        <f>infections!AK235-infections!AJ235</f>
        <v>0</v>
      </c>
      <c r="AL235" s="3">
        <f>infections!AL235-infections!AK235</f>
        <v>0</v>
      </c>
      <c r="AM235" s="3">
        <f>infections!AM235-infections!AL235</f>
        <v>0</v>
      </c>
      <c r="AN235" s="3">
        <f>infections!AN235-infections!AM235</f>
        <v>0</v>
      </c>
      <c r="AO235" s="3">
        <f>infections!AO235-infections!AN235</f>
        <v>0</v>
      </c>
      <c r="AP235" s="3">
        <f>infections!AP235-infections!AO235</f>
        <v>0</v>
      </c>
      <c r="AQ235" s="3">
        <f>infections!AQ235-infections!AP235</f>
        <v>0</v>
      </c>
      <c r="AR235" s="3">
        <f>infections!AR235-infections!AQ235</f>
        <v>0</v>
      </c>
      <c r="AS235" s="3">
        <f>infections!AS235-infections!AR235</f>
        <v>0</v>
      </c>
      <c r="AT235" s="3">
        <f>infections!AT235-infections!AS235</f>
        <v>0</v>
      </c>
      <c r="AU235" s="3">
        <f>infections!AU235-infections!AT235</f>
        <v>0</v>
      </c>
      <c r="AV235" s="3">
        <f>infections!AV235-infections!AU235</f>
        <v>0</v>
      </c>
      <c r="AW235" s="3">
        <f>infections!AW235-infections!AV235</f>
        <v>0</v>
      </c>
      <c r="AX235" s="3">
        <f>infections!AX235-infections!AW235</f>
        <v>0</v>
      </c>
      <c r="AY235" s="3">
        <f>infections!AY235-infections!AX235</f>
        <v>0</v>
      </c>
      <c r="AZ235" s="3">
        <f>infections!AZ235-infections!AY235</f>
        <v>0</v>
      </c>
      <c r="BA235" s="3">
        <f>infections!BA235-infections!AZ235</f>
        <v>0</v>
      </c>
      <c r="BB235" s="3">
        <f>infections!BB235-infections!BA235</f>
        <v>0</v>
      </c>
      <c r="BC235" s="3">
        <f>infections!BC235-infections!BB235</f>
        <v>0</v>
      </c>
      <c r="BD235" s="3">
        <f>infections!BD235-infections!BC235</f>
        <v>0</v>
      </c>
      <c r="BE235" s="3">
        <f>infections!BE235-infections!BD235</f>
        <v>0</v>
      </c>
      <c r="BF235" s="3">
        <f>infections!BF235-infections!BE235</f>
        <v>0</v>
      </c>
      <c r="BG235" s="3">
        <f>infections!BG235-infections!BF235</f>
        <v>0</v>
      </c>
      <c r="BH235" s="3">
        <f>infections!BH235-infections!BG235</f>
        <v>0</v>
      </c>
      <c r="BI235" s="3">
        <f>infections!BI235-infections!BH235</f>
        <v>0</v>
      </c>
      <c r="BJ235" s="3">
        <f>infections!BJ235-infections!BI235</f>
        <v>0</v>
      </c>
      <c r="BK235" s="3">
        <f>infections!BK235-infections!BJ235</f>
        <v>0</v>
      </c>
      <c r="BL235" s="3">
        <f>infections!BL235-infections!BK235</f>
        <v>0</v>
      </c>
      <c r="BM235" s="3">
        <f>infections!BM235-infections!BL235</f>
        <v>1</v>
      </c>
      <c r="BN235" s="3">
        <f>infections!BN235-infections!BM235</f>
        <v>0</v>
      </c>
      <c r="BO235" s="3">
        <f>infections!BO235-infections!BN235</f>
        <v>0</v>
      </c>
      <c r="BP235" s="3">
        <f>infections!BP235-infections!BO235</f>
        <v>0</v>
      </c>
      <c r="BQ235" s="3">
        <f>infections!BQ235-infections!BP235</f>
        <v>6</v>
      </c>
      <c r="BR235" s="3">
        <f>infections!BR235-infections!BQ235</f>
        <v>0</v>
      </c>
      <c r="BS235" s="3">
        <f>infections!BS235-infections!BR235</f>
        <v>0</v>
      </c>
      <c r="BT235" s="3">
        <f>infections!BT235-infections!BS235</f>
        <v>2</v>
      </c>
      <c r="BU235" s="3">
        <f>infections!BU235-infections!BT235</f>
        <v>0</v>
      </c>
      <c r="BV235" s="3">
        <f>infections!BV235-infections!BU235</f>
        <v>0</v>
      </c>
      <c r="BW235" s="3">
        <f>infections!BW235-infections!BV235</f>
        <v>0</v>
      </c>
      <c r="BX235" s="3">
        <f>infections!BX235-infections!BW235</f>
        <v>1</v>
      </c>
      <c r="BY235" s="3">
        <f>infections!BY235-infections!BX235</f>
        <v>2</v>
      </c>
    </row>
    <row r="236">
      <c r="B236" s="1" t="str">
        <f>infections!B236</f>
        <v>Mozambique</v>
      </c>
      <c r="C236" s="4">
        <f>infections!C236</f>
        <v>-18.665695</v>
      </c>
      <c r="D236" s="4">
        <f>infections!D236</f>
        <v>35.529562</v>
      </c>
      <c r="E236" s="4">
        <f>infections!E236</f>
        <v>0</v>
      </c>
      <c r="F236" s="3">
        <f>infections!F236-infections!E236</f>
        <v>0</v>
      </c>
      <c r="G236" s="3">
        <f>infections!G236-infections!F236</f>
        <v>0</v>
      </c>
      <c r="H236" s="3">
        <f>infections!H236-infections!G236</f>
        <v>0</v>
      </c>
      <c r="I236" s="3">
        <f>infections!I236-infections!H236</f>
        <v>0</v>
      </c>
      <c r="J236" s="3">
        <f>infections!J236-infections!I236</f>
        <v>0</v>
      </c>
      <c r="K236" s="3">
        <f>infections!K236-infections!J236</f>
        <v>0</v>
      </c>
      <c r="L236" s="3">
        <f>infections!L236-infections!K236</f>
        <v>0</v>
      </c>
      <c r="M236" s="3">
        <f>infections!M236-infections!L236</f>
        <v>0</v>
      </c>
      <c r="N236" s="3">
        <f>infections!N236-infections!M236</f>
        <v>0</v>
      </c>
      <c r="O236" s="3">
        <f>infections!O236-infections!N236</f>
        <v>0</v>
      </c>
      <c r="P236" s="3">
        <f>infections!P236-infections!O236</f>
        <v>0</v>
      </c>
      <c r="Q236" s="3">
        <f>infections!Q236-infections!P236</f>
        <v>0</v>
      </c>
      <c r="R236" s="3">
        <f>infections!R236-infections!Q236</f>
        <v>0</v>
      </c>
      <c r="S236" s="3">
        <f>infections!S236-infections!R236</f>
        <v>0</v>
      </c>
      <c r="T236" s="3">
        <f>infections!T236-infections!S236</f>
        <v>0</v>
      </c>
      <c r="U236" s="3">
        <f>infections!U236-infections!T236</f>
        <v>0</v>
      </c>
      <c r="V236" s="3">
        <f>infections!V236-infections!U236</f>
        <v>0</v>
      </c>
      <c r="W236" s="3">
        <f>infections!W236-infections!V236</f>
        <v>0</v>
      </c>
      <c r="X236" s="3">
        <f>infections!X236-infections!W236</f>
        <v>0</v>
      </c>
      <c r="Y236" s="3">
        <f>infections!Y236-infections!X236</f>
        <v>0</v>
      </c>
      <c r="Z236" s="3">
        <f>infections!Z236-infections!Y236</f>
        <v>0</v>
      </c>
      <c r="AA236" s="3">
        <f>infections!AA236-infections!Z236</f>
        <v>0</v>
      </c>
      <c r="AB236" s="3">
        <f>infections!AB236-infections!AA236</f>
        <v>0</v>
      </c>
      <c r="AC236" s="3">
        <f>infections!AC236-infections!AB236</f>
        <v>0</v>
      </c>
      <c r="AD236" s="3">
        <f>infections!AD236-infections!AC236</f>
        <v>0</v>
      </c>
      <c r="AE236" s="3">
        <f>infections!AE236-infections!AD236</f>
        <v>0</v>
      </c>
      <c r="AF236" s="3">
        <f>infections!AF236-infections!AE236</f>
        <v>0</v>
      </c>
      <c r="AG236" s="3">
        <f>infections!AG236-infections!AF236</f>
        <v>0</v>
      </c>
      <c r="AH236" s="3">
        <f>infections!AH236-infections!AG236</f>
        <v>0</v>
      </c>
      <c r="AI236" s="3">
        <f>infections!AI236-infections!AH236</f>
        <v>0</v>
      </c>
      <c r="AJ236" s="3">
        <f>infections!AJ236-infections!AI236</f>
        <v>0</v>
      </c>
      <c r="AK236" s="3">
        <f>infections!AK236-infections!AJ236</f>
        <v>0</v>
      </c>
      <c r="AL236" s="3">
        <f>infections!AL236-infections!AK236</f>
        <v>0</v>
      </c>
      <c r="AM236" s="3">
        <f>infections!AM236-infections!AL236</f>
        <v>0</v>
      </c>
      <c r="AN236" s="3">
        <f>infections!AN236-infections!AM236</f>
        <v>0</v>
      </c>
      <c r="AO236" s="3">
        <f>infections!AO236-infections!AN236</f>
        <v>0</v>
      </c>
      <c r="AP236" s="3">
        <f>infections!AP236-infections!AO236</f>
        <v>0</v>
      </c>
      <c r="AQ236" s="3">
        <f>infections!AQ236-infections!AP236</f>
        <v>0</v>
      </c>
      <c r="AR236" s="3">
        <f>infections!AR236-infections!AQ236</f>
        <v>0</v>
      </c>
      <c r="AS236" s="3">
        <f>infections!AS236-infections!AR236</f>
        <v>0</v>
      </c>
      <c r="AT236" s="3">
        <f>infections!AT236-infections!AS236</f>
        <v>0</v>
      </c>
      <c r="AU236" s="3">
        <f>infections!AU236-infections!AT236</f>
        <v>0</v>
      </c>
      <c r="AV236" s="3">
        <f>infections!AV236-infections!AU236</f>
        <v>0</v>
      </c>
      <c r="AW236" s="3">
        <f>infections!AW236-infections!AV236</f>
        <v>0</v>
      </c>
      <c r="AX236" s="3">
        <f>infections!AX236-infections!AW236</f>
        <v>0</v>
      </c>
      <c r="AY236" s="3">
        <f>infections!AY236-infections!AX236</f>
        <v>0</v>
      </c>
      <c r="AZ236" s="3">
        <f>infections!AZ236-infections!AY236</f>
        <v>0</v>
      </c>
      <c r="BA236" s="3">
        <f>infections!BA236-infections!AZ236</f>
        <v>0</v>
      </c>
      <c r="BB236" s="3">
        <f>infections!BB236-infections!BA236</f>
        <v>0</v>
      </c>
      <c r="BC236" s="3">
        <f>infections!BC236-infections!BB236</f>
        <v>0</v>
      </c>
      <c r="BD236" s="3">
        <f>infections!BD236-infections!BC236</f>
        <v>0</v>
      </c>
      <c r="BE236" s="3">
        <f>infections!BE236-infections!BD236</f>
        <v>0</v>
      </c>
      <c r="BF236" s="3">
        <f>infections!BF236-infections!BE236</f>
        <v>0</v>
      </c>
      <c r="BG236" s="3">
        <f>infections!BG236-infections!BF236</f>
        <v>0</v>
      </c>
      <c r="BH236" s="3">
        <f>infections!BH236-infections!BG236</f>
        <v>0</v>
      </c>
      <c r="BI236" s="3">
        <f>infections!BI236-infections!BH236</f>
        <v>0</v>
      </c>
      <c r="BJ236" s="3">
        <f>infections!BJ236-infections!BI236</f>
        <v>0</v>
      </c>
      <c r="BK236" s="3">
        <f>infections!BK236-infections!BJ236</f>
        <v>0</v>
      </c>
      <c r="BL236" s="3">
        <f>infections!BL236-infections!BK236</f>
        <v>0</v>
      </c>
      <c r="BM236" s="3">
        <f>infections!BM236-infections!BL236</f>
        <v>1</v>
      </c>
      <c r="BN236" s="3">
        <f>infections!BN236-infections!BM236</f>
        <v>0</v>
      </c>
      <c r="BO236" s="3">
        <f>infections!BO236-infections!BN236</f>
        <v>2</v>
      </c>
      <c r="BP236" s="3">
        <f>infections!BP236-infections!BO236</f>
        <v>2</v>
      </c>
      <c r="BQ236" s="3">
        <f>infections!BQ236-infections!BP236</f>
        <v>2</v>
      </c>
      <c r="BR236" s="3">
        <f>infections!BR236-infections!BQ236</f>
        <v>0</v>
      </c>
      <c r="BS236" s="3">
        <f>infections!BS236-infections!BR236</f>
        <v>1</v>
      </c>
      <c r="BT236" s="3">
        <f>infections!BT236-infections!BS236</f>
        <v>0</v>
      </c>
      <c r="BU236" s="3">
        <f>infections!BU236-infections!BT236</f>
        <v>0</v>
      </c>
      <c r="BV236" s="3">
        <f>infections!BV236-infections!BU236</f>
        <v>0</v>
      </c>
      <c r="BW236" s="3">
        <f>infections!BW236-infections!BV236</f>
        <v>2</v>
      </c>
      <c r="BX236" s="3">
        <f>infections!BX236-infections!BW236</f>
        <v>0</v>
      </c>
      <c r="BY236" s="3">
        <f>infections!BY236-infections!BX236</f>
        <v>0</v>
      </c>
    </row>
    <row r="237">
      <c r="B237" s="1" t="str">
        <f>infections!B237</f>
        <v>Syria</v>
      </c>
      <c r="C237" s="4">
        <f>infections!C237</f>
        <v>34.802075</v>
      </c>
      <c r="D237" s="4">
        <f>infections!D237</f>
        <v>38.996815</v>
      </c>
      <c r="E237" s="4">
        <f>infections!E237</f>
        <v>0</v>
      </c>
      <c r="F237" s="3">
        <f>infections!F237-infections!E237</f>
        <v>0</v>
      </c>
      <c r="G237" s="3">
        <f>infections!G237-infections!F237</f>
        <v>0</v>
      </c>
      <c r="H237" s="3">
        <f>infections!H237-infections!G237</f>
        <v>0</v>
      </c>
      <c r="I237" s="3">
        <f>infections!I237-infections!H237</f>
        <v>0</v>
      </c>
      <c r="J237" s="3">
        <f>infections!J237-infections!I237</f>
        <v>0</v>
      </c>
      <c r="K237" s="3">
        <f>infections!K237-infections!J237</f>
        <v>0</v>
      </c>
      <c r="L237" s="3">
        <f>infections!L237-infections!K237</f>
        <v>0</v>
      </c>
      <c r="M237" s="3">
        <f>infections!M237-infections!L237</f>
        <v>0</v>
      </c>
      <c r="N237" s="3">
        <f>infections!N237-infections!M237</f>
        <v>0</v>
      </c>
      <c r="O237" s="3">
        <f>infections!O237-infections!N237</f>
        <v>0</v>
      </c>
      <c r="P237" s="3">
        <f>infections!P237-infections!O237</f>
        <v>0</v>
      </c>
      <c r="Q237" s="3">
        <f>infections!Q237-infections!P237</f>
        <v>0</v>
      </c>
      <c r="R237" s="3">
        <f>infections!R237-infections!Q237</f>
        <v>0</v>
      </c>
      <c r="S237" s="3">
        <f>infections!S237-infections!R237</f>
        <v>0</v>
      </c>
      <c r="T237" s="3">
        <f>infections!T237-infections!S237</f>
        <v>0</v>
      </c>
      <c r="U237" s="3">
        <f>infections!U237-infections!T237</f>
        <v>0</v>
      </c>
      <c r="V237" s="3">
        <f>infections!V237-infections!U237</f>
        <v>0</v>
      </c>
      <c r="W237" s="3">
        <f>infections!W237-infections!V237</f>
        <v>0</v>
      </c>
      <c r="X237" s="3">
        <f>infections!X237-infections!W237</f>
        <v>0</v>
      </c>
      <c r="Y237" s="3">
        <f>infections!Y237-infections!X237</f>
        <v>0</v>
      </c>
      <c r="Z237" s="3">
        <f>infections!Z237-infections!Y237</f>
        <v>0</v>
      </c>
      <c r="AA237" s="3">
        <f>infections!AA237-infections!Z237</f>
        <v>0</v>
      </c>
      <c r="AB237" s="3">
        <f>infections!AB237-infections!AA237</f>
        <v>0</v>
      </c>
      <c r="AC237" s="3">
        <f>infections!AC237-infections!AB237</f>
        <v>0</v>
      </c>
      <c r="AD237" s="3">
        <f>infections!AD237-infections!AC237</f>
        <v>0</v>
      </c>
      <c r="AE237" s="3">
        <f>infections!AE237-infections!AD237</f>
        <v>0</v>
      </c>
      <c r="AF237" s="3">
        <f>infections!AF237-infections!AE237</f>
        <v>0</v>
      </c>
      <c r="AG237" s="3">
        <f>infections!AG237-infections!AF237</f>
        <v>0</v>
      </c>
      <c r="AH237" s="3">
        <f>infections!AH237-infections!AG237</f>
        <v>0</v>
      </c>
      <c r="AI237" s="3">
        <f>infections!AI237-infections!AH237</f>
        <v>0</v>
      </c>
      <c r="AJ237" s="3">
        <f>infections!AJ237-infections!AI237</f>
        <v>0</v>
      </c>
      <c r="AK237" s="3">
        <f>infections!AK237-infections!AJ237</f>
        <v>0</v>
      </c>
      <c r="AL237" s="3">
        <f>infections!AL237-infections!AK237</f>
        <v>0</v>
      </c>
      <c r="AM237" s="3">
        <f>infections!AM237-infections!AL237</f>
        <v>0</v>
      </c>
      <c r="AN237" s="3">
        <f>infections!AN237-infections!AM237</f>
        <v>0</v>
      </c>
      <c r="AO237" s="3">
        <f>infections!AO237-infections!AN237</f>
        <v>0</v>
      </c>
      <c r="AP237" s="3">
        <f>infections!AP237-infections!AO237</f>
        <v>0</v>
      </c>
      <c r="AQ237" s="3">
        <f>infections!AQ237-infections!AP237</f>
        <v>0</v>
      </c>
      <c r="AR237" s="3">
        <f>infections!AR237-infections!AQ237</f>
        <v>0</v>
      </c>
      <c r="AS237" s="3">
        <f>infections!AS237-infections!AR237</f>
        <v>0</v>
      </c>
      <c r="AT237" s="3">
        <f>infections!AT237-infections!AS237</f>
        <v>0</v>
      </c>
      <c r="AU237" s="3">
        <f>infections!AU237-infections!AT237</f>
        <v>0</v>
      </c>
      <c r="AV237" s="3">
        <f>infections!AV237-infections!AU237</f>
        <v>0</v>
      </c>
      <c r="AW237" s="3">
        <f>infections!AW237-infections!AV237</f>
        <v>0</v>
      </c>
      <c r="AX237" s="3">
        <f>infections!AX237-infections!AW237</f>
        <v>0</v>
      </c>
      <c r="AY237" s="3">
        <f>infections!AY237-infections!AX237</f>
        <v>0</v>
      </c>
      <c r="AZ237" s="3">
        <f>infections!AZ237-infections!AY237</f>
        <v>0</v>
      </c>
      <c r="BA237" s="3">
        <f>infections!BA237-infections!AZ237</f>
        <v>0</v>
      </c>
      <c r="BB237" s="3">
        <f>infections!BB237-infections!BA237</f>
        <v>0</v>
      </c>
      <c r="BC237" s="3">
        <f>infections!BC237-infections!BB237</f>
        <v>0</v>
      </c>
      <c r="BD237" s="3">
        <f>infections!BD237-infections!BC237</f>
        <v>0</v>
      </c>
      <c r="BE237" s="3">
        <f>infections!BE237-infections!BD237</f>
        <v>0</v>
      </c>
      <c r="BF237" s="3">
        <f>infections!BF237-infections!BE237</f>
        <v>0</v>
      </c>
      <c r="BG237" s="3">
        <f>infections!BG237-infections!BF237</f>
        <v>0</v>
      </c>
      <c r="BH237" s="3">
        <f>infections!BH237-infections!BG237</f>
        <v>0</v>
      </c>
      <c r="BI237" s="3">
        <f>infections!BI237-infections!BH237</f>
        <v>0</v>
      </c>
      <c r="BJ237" s="3">
        <f>infections!BJ237-infections!BI237</f>
        <v>0</v>
      </c>
      <c r="BK237" s="3">
        <f>infections!BK237-infections!BJ237</f>
        <v>0</v>
      </c>
      <c r="BL237" s="3">
        <f>infections!BL237-infections!BK237</f>
        <v>0</v>
      </c>
      <c r="BM237" s="3">
        <f>infections!BM237-infections!BL237</f>
        <v>1</v>
      </c>
      <c r="BN237" s="3">
        <f>infections!BN237-infections!BM237</f>
        <v>0</v>
      </c>
      <c r="BO237" s="3">
        <f>infections!BO237-infections!BN237</f>
        <v>0</v>
      </c>
      <c r="BP237" s="3">
        <f>infections!BP237-infections!BO237</f>
        <v>4</v>
      </c>
      <c r="BQ237" s="3">
        <f>infections!BQ237-infections!BP237</f>
        <v>0</v>
      </c>
      <c r="BR237" s="3">
        <f>infections!BR237-infections!BQ237</f>
        <v>0</v>
      </c>
      <c r="BS237" s="3">
        <f>infections!BS237-infections!BR237</f>
        <v>0</v>
      </c>
      <c r="BT237" s="3">
        <f>infections!BT237-infections!BS237</f>
        <v>4</v>
      </c>
      <c r="BU237" s="3">
        <f>infections!BU237-infections!BT237</f>
        <v>1</v>
      </c>
      <c r="BV237" s="3">
        <f>infections!BV237-infections!BU237</f>
        <v>0</v>
      </c>
      <c r="BW237" s="3">
        <f>infections!BW237-infections!BV237</f>
        <v>0</v>
      </c>
      <c r="BX237" s="3">
        <f>infections!BX237-infections!BW237</f>
        <v>6</v>
      </c>
      <c r="BY237" s="3">
        <f>infections!BY237-infections!BX237</f>
        <v>0</v>
      </c>
    </row>
    <row r="238">
      <c r="B238" s="1" t="str">
        <f>infections!B238</f>
        <v>Timor-Leste</v>
      </c>
      <c r="C238" s="4">
        <f>infections!C238</f>
        <v>-8.874217</v>
      </c>
      <c r="D238" s="4">
        <f>infections!D238</f>
        <v>125.727539</v>
      </c>
      <c r="E238" s="4">
        <f>infections!E238</f>
        <v>0</v>
      </c>
      <c r="F238" s="3">
        <f>infections!F238-infections!E238</f>
        <v>0</v>
      </c>
      <c r="G238" s="3">
        <f>infections!G238-infections!F238</f>
        <v>0</v>
      </c>
      <c r="H238" s="3">
        <f>infections!H238-infections!G238</f>
        <v>0</v>
      </c>
      <c r="I238" s="3">
        <f>infections!I238-infections!H238</f>
        <v>0</v>
      </c>
      <c r="J238" s="3">
        <f>infections!J238-infections!I238</f>
        <v>0</v>
      </c>
      <c r="K238" s="3">
        <f>infections!K238-infections!J238</f>
        <v>0</v>
      </c>
      <c r="L238" s="3">
        <f>infections!L238-infections!K238</f>
        <v>0</v>
      </c>
      <c r="M238" s="3">
        <f>infections!M238-infections!L238</f>
        <v>0</v>
      </c>
      <c r="N238" s="3">
        <f>infections!N238-infections!M238</f>
        <v>0</v>
      </c>
      <c r="O238" s="3">
        <f>infections!O238-infections!N238</f>
        <v>0</v>
      </c>
      <c r="P238" s="3">
        <f>infections!P238-infections!O238</f>
        <v>0</v>
      </c>
      <c r="Q238" s="3">
        <f>infections!Q238-infections!P238</f>
        <v>0</v>
      </c>
      <c r="R238" s="3">
        <f>infections!R238-infections!Q238</f>
        <v>0</v>
      </c>
      <c r="S238" s="3">
        <f>infections!S238-infections!R238</f>
        <v>0</v>
      </c>
      <c r="T238" s="3">
        <f>infections!T238-infections!S238</f>
        <v>0</v>
      </c>
      <c r="U238" s="3">
        <f>infections!U238-infections!T238</f>
        <v>0</v>
      </c>
      <c r="V238" s="3">
        <f>infections!V238-infections!U238</f>
        <v>0</v>
      </c>
      <c r="W238" s="3">
        <f>infections!W238-infections!V238</f>
        <v>0</v>
      </c>
      <c r="X238" s="3">
        <f>infections!X238-infections!W238</f>
        <v>0</v>
      </c>
      <c r="Y238" s="3">
        <f>infections!Y238-infections!X238</f>
        <v>0</v>
      </c>
      <c r="Z238" s="3">
        <f>infections!Z238-infections!Y238</f>
        <v>0</v>
      </c>
      <c r="AA238" s="3">
        <f>infections!AA238-infections!Z238</f>
        <v>0</v>
      </c>
      <c r="AB238" s="3">
        <f>infections!AB238-infections!AA238</f>
        <v>0</v>
      </c>
      <c r="AC238" s="3">
        <f>infections!AC238-infections!AB238</f>
        <v>0</v>
      </c>
      <c r="AD238" s="3">
        <f>infections!AD238-infections!AC238</f>
        <v>0</v>
      </c>
      <c r="AE238" s="3">
        <f>infections!AE238-infections!AD238</f>
        <v>0</v>
      </c>
      <c r="AF238" s="3">
        <f>infections!AF238-infections!AE238</f>
        <v>0</v>
      </c>
      <c r="AG238" s="3">
        <f>infections!AG238-infections!AF238</f>
        <v>0</v>
      </c>
      <c r="AH238" s="3">
        <f>infections!AH238-infections!AG238</f>
        <v>0</v>
      </c>
      <c r="AI238" s="3">
        <f>infections!AI238-infections!AH238</f>
        <v>0</v>
      </c>
      <c r="AJ238" s="3">
        <f>infections!AJ238-infections!AI238</f>
        <v>0</v>
      </c>
      <c r="AK238" s="3">
        <f>infections!AK238-infections!AJ238</f>
        <v>0</v>
      </c>
      <c r="AL238" s="3">
        <f>infections!AL238-infections!AK238</f>
        <v>0</v>
      </c>
      <c r="AM238" s="3">
        <f>infections!AM238-infections!AL238</f>
        <v>0</v>
      </c>
      <c r="AN238" s="3">
        <f>infections!AN238-infections!AM238</f>
        <v>0</v>
      </c>
      <c r="AO238" s="3">
        <f>infections!AO238-infections!AN238</f>
        <v>0</v>
      </c>
      <c r="AP238" s="3">
        <f>infections!AP238-infections!AO238</f>
        <v>0</v>
      </c>
      <c r="AQ238" s="3">
        <f>infections!AQ238-infections!AP238</f>
        <v>0</v>
      </c>
      <c r="AR238" s="3">
        <f>infections!AR238-infections!AQ238</f>
        <v>0</v>
      </c>
      <c r="AS238" s="3">
        <f>infections!AS238-infections!AR238</f>
        <v>0</v>
      </c>
      <c r="AT238" s="3">
        <f>infections!AT238-infections!AS238</f>
        <v>0</v>
      </c>
      <c r="AU238" s="3">
        <f>infections!AU238-infections!AT238</f>
        <v>0</v>
      </c>
      <c r="AV238" s="3">
        <f>infections!AV238-infections!AU238</f>
        <v>0</v>
      </c>
      <c r="AW238" s="3">
        <f>infections!AW238-infections!AV238</f>
        <v>0</v>
      </c>
      <c r="AX238" s="3">
        <f>infections!AX238-infections!AW238</f>
        <v>0</v>
      </c>
      <c r="AY238" s="3">
        <f>infections!AY238-infections!AX238</f>
        <v>0</v>
      </c>
      <c r="AZ238" s="3">
        <f>infections!AZ238-infections!AY238</f>
        <v>0</v>
      </c>
      <c r="BA238" s="3">
        <f>infections!BA238-infections!AZ238</f>
        <v>0</v>
      </c>
      <c r="BB238" s="3">
        <f>infections!BB238-infections!BA238</f>
        <v>0</v>
      </c>
      <c r="BC238" s="3">
        <f>infections!BC238-infections!BB238</f>
        <v>0</v>
      </c>
      <c r="BD238" s="3">
        <f>infections!BD238-infections!BC238</f>
        <v>0</v>
      </c>
      <c r="BE238" s="3">
        <f>infections!BE238-infections!BD238</f>
        <v>0</v>
      </c>
      <c r="BF238" s="3">
        <f>infections!BF238-infections!BE238</f>
        <v>0</v>
      </c>
      <c r="BG238" s="3">
        <f>infections!BG238-infections!BF238</f>
        <v>0</v>
      </c>
      <c r="BH238" s="3">
        <f>infections!BH238-infections!BG238</f>
        <v>0</v>
      </c>
      <c r="BI238" s="3">
        <f>infections!BI238-infections!BH238</f>
        <v>0</v>
      </c>
      <c r="BJ238" s="3">
        <f>infections!BJ238-infections!BI238</f>
        <v>0</v>
      </c>
      <c r="BK238" s="3">
        <f>infections!BK238-infections!BJ238</f>
        <v>0</v>
      </c>
      <c r="BL238" s="3">
        <f>infections!BL238-infections!BK238</f>
        <v>0</v>
      </c>
      <c r="BM238" s="3">
        <f>infections!BM238-infections!BL238</f>
        <v>1</v>
      </c>
      <c r="BN238" s="3">
        <f>infections!BN238-infections!BM238</f>
        <v>0</v>
      </c>
      <c r="BO238" s="3">
        <f>infections!BO238-infections!BN238</f>
        <v>0</v>
      </c>
      <c r="BP238" s="3">
        <f>infections!BP238-infections!BO238</f>
        <v>0</v>
      </c>
      <c r="BQ238" s="3">
        <f>infections!BQ238-infections!BP238</f>
        <v>0</v>
      </c>
      <c r="BR238" s="3">
        <f>infections!BR238-infections!BQ238</f>
        <v>0</v>
      </c>
      <c r="BS238" s="3">
        <f>infections!BS238-infections!BR238</f>
        <v>0</v>
      </c>
      <c r="BT238" s="3">
        <f>infections!BT238-infections!BS238</f>
        <v>0</v>
      </c>
      <c r="BU238" s="3">
        <f>infections!BU238-infections!BT238</f>
        <v>0</v>
      </c>
      <c r="BV238" s="3">
        <f>infections!BV238-infections!BU238</f>
        <v>0</v>
      </c>
      <c r="BW238" s="3">
        <f>infections!BW238-infections!BV238</f>
        <v>0</v>
      </c>
      <c r="BX238" s="3">
        <f>infections!BX238-infections!BW238</f>
        <v>0</v>
      </c>
      <c r="BY238" s="3">
        <f>infections!BY238-infections!BX238</f>
        <v>0</v>
      </c>
    </row>
    <row r="239">
      <c r="B239" s="1" t="str">
        <f>infections!B239</f>
        <v>Belize</v>
      </c>
      <c r="C239" s="4">
        <f>infections!C239</f>
        <v>13.1939</v>
      </c>
      <c r="D239" s="4">
        <f>infections!D239</f>
        <v>-59.5432</v>
      </c>
      <c r="E239" s="4">
        <f>infections!E239</f>
        <v>0</v>
      </c>
      <c r="F239" s="3">
        <f>infections!F239-infections!E239</f>
        <v>0</v>
      </c>
      <c r="G239" s="3">
        <f>infections!G239-infections!F239</f>
        <v>0</v>
      </c>
      <c r="H239" s="3">
        <f>infections!H239-infections!G239</f>
        <v>0</v>
      </c>
      <c r="I239" s="3">
        <f>infections!I239-infections!H239</f>
        <v>0</v>
      </c>
      <c r="J239" s="3">
        <f>infections!J239-infections!I239</f>
        <v>0</v>
      </c>
      <c r="K239" s="3">
        <f>infections!K239-infections!J239</f>
        <v>0</v>
      </c>
      <c r="L239" s="3">
        <f>infections!L239-infections!K239</f>
        <v>0</v>
      </c>
      <c r="M239" s="3">
        <f>infections!M239-infections!L239</f>
        <v>0</v>
      </c>
      <c r="N239" s="3">
        <f>infections!N239-infections!M239</f>
        <v>0</v>
      </c>
      <c r="O239" s="3">
        <f>infections!O239-infections!N239</f>
        <v>0</v>
      </c>
      <c r="P239" s="3">
        <f>infections!P239-infections!O239</f>
        <v>0</v>
      </c>
      <c r="Q239" s="3">
        <f>infections!Q239-infections!P239</f>
        <v>0</v>
      </c>
      <c r="R239" s="3">
        <f>infections!R239-infections!Q239</f>
        <v>0</v>
      </c>
      <c r="S239" s="3">
        <f>infections!S239-infections!R239</f>
        <v>0</v>
      </c>
      <c r="T239" s="3">
        <f>infections!T239-infections!S239</f>
        <v>0</v>
      </c>
      <c r="U239" s="3">
        <f>infections!U239-infections!T239</f>
        <v>0</v>
      </c>
      <c r="V239" s="3">
        <f>infections!V239-infections!U239</f>
        <v>0</v>
      </c>
      <c r="W239" s="3">
        <f>infections!W239-infections!V239</f>
        <v>0</v>
      </c>
      <c r="X239" s="3">
        <f>infections!X239-infections!W239</f>
        <v>0</v>
      </c>
      <c r="Y239" s="3">
        <f>infections!Y239-infections!X239</f>
        <v>0</v>
      </c>
      <c r="Z239" s="3">
        <f>infections!Z239-infections!Y239</f>
        <v>0</v>
      </c>
      <c r="AA239" s="3">
        <f>infections!AA239-infections!Z239</f>
        <v>0</v>
      </c>
      <c r="AB239" s="3">
        <f>infections!AB239-infections!AA239</f>
        <v>0</v>
      </c>
      <c r="AC239" s="3">
        <f>infections!AC239-infections!AB239</f>
        <v>0</v>
      </c>
      <c r="AD239" s="3">
        <f>infections!AD239-infections!AC239</f>
        <v>0</v>
      </c>
      <c r="AE239" s="3">
        <f>infections!AE239-infections!AD239</f>
        <v>0</v>
      </c>
      <c r="AF239" s="3">
        <f>infections!AF239-infections!AE239</f>
        <v>0</v>
      </c>
      <c r="AG239" s="3">
        <f>infections!AG239-infections!AF239</f>
        <v>0</v>
      </c>
      <c r="AH239" s="3">
        <f>infections!AH239-infections!AG239</f>
        <v>0</v>
      </c>
      <c r="AI239" s="3">
        <f>infections!AI239-infections!AH239</f>
        <v>0</v>
      </c>
      <c r="AJ239" s="3">
        <f>infections!AJ239-infections!AI239</f>
        <v>0</v>
      </c>
      <c r="AK239" s="3">
        <f>infections!AK239-infections!AJ239</f>
        <v>0</v>
      </c>
      <c r="AL239" s="3">
        <f>infections!AL239-infections!AK239</f>
        <v>0</v>
      </c>
      <c r="AM239" s="3">
        <f>infections!AM239-infections!AL239</f>
        <v>0</v>
      </c>
      <c r="AN239" s="3">
        <f>infections!AN239-infections!AM239</f>
        <v>0</v>
      </c>
      <c r="AO239" s="3">
        <f>infections!AO239-infections!AN239</f>
        <v>0</v>
      </c>
      <c r="AP239" s="3">
        <f>infections!AP239-infections!AO239</f>
        <v>0</v>
      </c>
      <c r="AQ239" s="3">
        <f>infections!AQ239-infections!AP239</f>
        <v>0</v>
      </c>
      <c r="AR239" s="3">
        <f>infections!AR239-infections!AQ239</f>
        <v>0</v>
      </c>
      <c r="AS239" s="3">
        <f>infections!AS239-infections!AR239</f>
        <v>0</v>
      </c>
      <c r="AT239" s="3">
        <f>infections!AT239-infections!AS239</f>
        <v>0</v>
      </c>
      <c r="AU239" s="3">
        <f>infections!AU239-infections!AT239</f>
        <v>0</v>
      </c>
      <c r="AV239" s="3">
        <f>infections!AV239-infections!AU239</f>
        <v>0</v>
      </c>
      <c r="AW239" s="3">
        <f>infections!AW239-infections!AV239</f>
        <v>0</v>
      </c>
      <c r="AX239" s="3">
        <f>infections!AX239-infections!AW239</f>
        <v>0</v>
      </c>
      <c r="AY239" s="3">
        <f>infections!AY239-infections!AX239</f>
        <v>0</v>
      </c>
      <c r="AZ239" s="3">
        <f>infections!AZ239-infections!AY239</f>
        <v>0</v>
      </c>
      <c r="BA239" s="3">
        <f>infections!BA239-infections!AZ239</f>
        <v>0</v>
      </c>
      <c r="BB239" s="3">
        <f>infections!BB239-infections!BA239</f>
        <v>0</v>
      </c>
      <c r="BC239" s="3">
        <f>infections!BC239-infections!BB239</f>
        <v>0</v>
      </c>
      <c r="BD239" s="3">
        <f>infections!BD239-infections!BC239</f>
        <v>0</v>
      </c>
      <c r="BE239" s="3">
        <f>infections!BE239-infections!BD239</f>
        <v>0</v>
      </c>
      <c r="BF239" s="3">
        <f>infections!BF239-infections!BE239</f>
        <v>0</v>
      </c>
      <c r="BG239" s="3">
        <f>infections!BG239-infections!BF239</f>
        <v>0</v>
      </c>
      <c r="BH239" s="3">
        <f>infections!BH239-infections!BG239</f>
        <v>0</v>
      </c>
      <c r="BI239" s="3">
        <f>infections!BI239-infections!BH239</f>
        <v>0</v>
      </c>
      <c r="BJ239" s="3">
        <f>infections!BJ239-infections!BI239</f>
        <v>0</v>
      </c>
      <c r="BK239" s="3">
        <f>infections!BK239-infections!BJ239</f>
        <v>0</v>
      </c>
      <c r="BL239" s="3">
        <f>infections!BL239-infections!BK239</f>
        <v>0</v>
      </c>
      <c r="BM239" s="3">
        <f>infections!BM239-infections!BL239</f>
        <v>0</v>
      </c>
      <c r="BN239" s="3">
        <f>infections!BN239-infections!BM239</f>
        <v>1</v>
      </c>
      <c r="BO239" s="3">
        <f>infections!BO239-infections!BN239</f>
        <v>0</v>
      </c>
      <c r="BP239" s="3">
        <f>infections!BP239-infections!BO239</f>
        <v>1</v>
      </c>
      <c r="BQ239" s="3">
        <f>infections!BQ239-infections!BP239</f>
        <v>0</v>
      </c>
      <c r="BR239" s="3">
        <f>infections!BR239-infections!BQ239</f>
        <v>0</v>
      </c>
      <c r="BS239" s="3">
        <f>infections!BS239-infections!BR239</f>
        <v>0</v>
      </c>
      <c r="BT239" s="3">
        <f>infections!BT239-infections!BS239</f>
        <v>0</v>
      </c>
      <c r="BU239" s="3">
        <f>infections!BU239-infections!BT239</f>
        <v>1</v>
      </c>
      <c r="BV239" s="3">
        <f>infections!BV239-infections!BU239</f>
        <v>0</v>
      </c>
      <c r="BW239" s="3">
        <f>infections!BW239-infections!BV239</f>
        <v>0</v>
      </c>
      <c r="BX239" s="3">
        <f>infections!BX239-infections!BW239</f>
        <v>0</v>
      </c>
      <c r="BY239" s="3">
        <f>infections!BY239-infections!BX239</f>
        <v>1</v>
      </c>
    </row>
    <row r="240">
      <c r="B240" s="1" t="str">
        <f>infections!B240</f>
        <v>Canada</v>
      </c>
      <c r="C240" s="4">
        <f>infections!C240</f>
        <v>0</v>
      </c>
      <c r="D240" s="4">
        <f>infections!D240</f>
        <v>0</v>
      </c>
      <c r="E240" s="4">
        <f>infections!E240</f>
        <v>0</v>
      </c>
      <c r="F240" s="3">
        <f>infections!F240-infections!E240</f>
        <v>0</v>
      </c>
      <c r="G240" s="3">
        <f>infections!G240-infections!F240</f>
        <v>0</v>
      </c>
      <c r="H240" s="3">
        <f>infections!H240-infections!G240</f>
        <v>0</v>
      </c>
      <c r="I240" s="3">
        <f>infections!I240-infections!H240</f>
        <v>0</v>
      </c>
      <c r="J240" s="3">
        <f>infections!J240-infections!I240</f>
        <v>0</v>
      </c>
      <c r="K240" s="3">
        <f>infections!K240-infections!J240</f>
        <v>0</v>
      </c>
      <c r="L240" s="3">
        <f>infections!L240-infections!K240</f>
        <v>0</v>
      </c>
      <c r="M240" s="3">
        <f>infections!M240-infections!L240</f>
        <v>0</v>
      </c>
      <c r="N240" s="3">
        <f>infections!N240-infections!M240</f>
        <v>0</v>
      </c>
      <c r="O240" s="3">
        <f>infections!O240-infections!N240</f>
        <v>0</v>
      </c>
      <c r="P240" s="3">
        <f>infections!P240-infections!O240</f>
        <v>0</v>
      </c>
      <c r="Q240" s="3">
        <f>infections!Q240-infections!P240</f>
        <v>0</v>
      </c>
      <c r="R240" s="3">
        <f>infections!R240-infections!Q240</f>
        <v>0</v>
      </c>
      <c r="S240" s="3">
        <f>infections!S240-infections!R240</f>
        <v>0</v>
      </c>
      <c r="T240" s="3">
        <f>infections!T240-infections!S240</f>
        <v>0</v>
      </c>
      <c r="U240" s="3">
        <f>infections!U240-infections!T240</f>
        <v>0</v>
      </c>
      <c r="V240" s="3">
        <f>infections!V240-infections!U240</f>
        <v>0</v>
      </c>
      <c r="W240" s="3">
        <f>infections!W240-infections!V240</f>
        <v>0</v>
      </c>
      <c r="X240" s="3">
        <f>infections!X240-infections!W240</f>
        <v>0</v>
      </c>
      <c r="Y240" s="3">
        <f>infections!Y240-infections!X240</f>
        <v>0</v>
      </c>
      <c r="Z240" s="3">
        <f>infections!Z240-infections!Y240</f>
        <v>0</v>
      </c>
      <c r="AA240" s="3">
        <f>infections!AA240-infections!Z240</f>
        <v>0</v>
      </c>
      <c r="AB240" s="3">
        <f>infections!AB240-infections!AA240</f>
        <v>0</v>
      </c>
      <c r="AC240" s="3">
        <f>infections!AC240-infections!AB240</f>
        <v>0</v>
      </c>
      <c r="AD240" s="3">
        <f>infections!AD240-infections!AC240</f>
        <v>0</v>
      </c>
      <c r="AE240" s="3">
        <f>infections!AE240-infections!AD240</f>
        <v>0</v>
      </c>
      <c r="AF240" s="3">
        <f>infections!AF240-infections!AE240</f>
        <v>0</v>
      </c>
      <c r="AG240" s="3">
        <f>infections!AG240-infections!AF240</f>
        <v>0</v>
      </c>
      <c r="AH240" s="3">
        <f>infections!AH240-infections!AG240</f>
        <v>0</v>
      </c>
      <c r="AI240" s="3">
        <f>infections!AI240-infections!AH240</f>
        <v>0</v>
      </c>
      <c r="AJ240" s="3">
        <f>infections!AJ240-infections!AI240</f>
        <v>0</v>
      </c>
      <c r="AK240" s="3">
        <f>infections!AK240-infections!AJ240</f>
        <v>0</v>
      </c>
      <c r="AL240" s="3">
        <f>infections!AL240-infections!AK240</f>
        <v>0</v>
      </c>
      <c r="AM240" s="3">
        <f>infections!AM240-infections!AL240</f>
        <v>0</v>
      </c>
      <c r="AN240" s="3">
        <f>infections!AN240-infections!AM240</f>
        <v>0</v>
      </c>
      <c r="AO240" s="3">
        <f>infections!AO240-infections!AN240</f>
        <v>0</v>
      </c>
      <c r="AP240" s="3">
        <f>infections!AP240-infections!AO240</f>
        <v>0</v>
      </c>
      <c r="AQ240" s="3">
        <f>infections!AQ240-infections!AP240</f>
        <v>0</v>
      </c>
      <c r="AR240" s="3">
        <f>infections!AR240-infections!AQ240</f>
        <v>0</v>
      </c>
      <c r="AS240" s="3">
        <f>infections!AS240-infections!AR240</f>
        <v>0</v>
      </c>
      <c r="AT240" s="3">
        <f>infections!AT240-infections!AS240</f>
        <v>0</v>
      </c>
      <c r="AU240" s="3">
        <f>infections!AU240-infections!AT240</f>
        <v>0</v>
      </c>
      <c r="AV240" s="3">
        <f>infections!AV240-infections!AU240</f>
        <v>0</v>
      </c>
      <c r="AW240" s="3">
        <f>infections!AW240-infections!AV240</f>
        <v>0</v>
      </c>
      <c r="AX240" s="3">
        <f>infections!AX240-infections!AW240</f>
        <v>0</v>
      </c>
      <c r="AY240" s="3">
        <f>infections!AY240-infections!AX240</f>
        <v>0</v>
      </c>
      <c r="AZ240" s="3">
        <f>infections!AZ240-infections!AY240</f>
        <v>0</v>
      </c>
      <c r="BA240" s="3">
        <f>infections!BA240-infections!AZ240</f>
        <v>0</v>
      </c>
      <c r="BB240" s="3">
        <f>infections!BB240-infections!BA240</f>
        <v>0</v>
      </c>
      <c r="BC240" s="3">
        <f>infections!BC240-infections!BB240</f>
        <v>0</v>
      </c>
      <c r="BD240" s="3">
        <f>infections!BD240-infections!BC240</f>
        <v>0</v>
      </c>
      <c r="BE240" s="3">
        <f>infections!BE240-infections!BD240</f>
        <v>0</v>
      </c>
      <c r="BF240" s="3">
        <f>infections!BF240-infections!BE240</f>
        <v>0</v>
      </c>
      <c r="BG240" s="3">
        <f>infections!BG240-infections!BF240</f>
        <v>0</v>
      </c>
      <c r="BH240" s="3">
        <f>infections!BH240-infections!BG240</f>
        <v>0</v>
      </c>
      <c r="BI240" s="3">
        <f>infections!BI240-infections!BH240</f>
        <v>0</v>
      </c>
      <c r="BJ240" s="3">
        <f>infections!BJ240-infections!BI240</f>
        <v>0</v>
      </c>
      <c r="BK240" s="3">
        <f>infections!BK240-infections!BJ240</f>
        <v>0</v>
      </c>
      <c r="BL240" s="3">
        <f>infections!BL240-infections!BK240</f>
        <v>0</v>
      </c>
      <c r="BM240" s="3">
        <f>infections!BM240-infections!BL240</f>
        <v>0</v>
      </c>
      <c r="BN240" s="3">
        <f>infections!BN240-infections!BM240</f>
        <v>0</v>
      </c>
      <c r="BO240" s="3">
        <f>infections!BO240-infections!BN240</f>
        <v>0</v>
      </c>
      <c r="BP240" s="3">
        <f>infections!BP240-infections!BO240</f>
        <v>0</v>
      </c>
      <c r="BQ240" s="3">
        <f>infections!BQ240-infections!BP240</f>
        <v>0</v>
      </c>
      <c r="BR240" s="3">
        <f>infections!BR240-infections!BQ240</f>
        <v>0</v>
      </c>
      <c r="BS240" s="3">
        <f>infections!BS240-infections!BR240</f>
        <v>0</v>
      </c>
      <c r="BT240" s="3">
        <f>infections!BT240-infections!BS240</f>
        <v>0</v>
      </c>
      <c r="BU240" s="3">
        <f>infections!BU240-infections!BT240</f>
        <v>0</v>
      </c>
      <c r="BV240" s="3">
        <f>infections!BV240-infections!BU240</f>
        <v>0</v>
      </c>
      <c r="BW240" s="3">
        <f>infections!BW240-infections!BV240</f>
        <v>0</v>
      </c>
      <c r="BX240" s="3">
        <f>infections!BX240-infections!BW240</f>
        <v>0</v>
      </c>
      <c r="BY240" s="3">
        <f>infections!BY240-infections!BX240</f>
        <v>0</v>
      </c>
    </row>
    <row r="241">
      <c r="B241" s="1" t="str">
        <f>infections!B241</f>
        <v>Laos</v>
      </c>
      <c r="C241" s="4">
        <f>infections!C241</f>
        <v>19.85627</v>
      </c>
      <c r="D241" s="4">
        <f>infections!D241</f>
        <v>102.495496</v>
      </c>
      <c r="E241" s="4">
        <f>infections!E241</f>
        <v>0</v>
      </c>
      <c r="F241" s="3">
        <f>infections!F241-infections!E241</f>
        <v>0</v>
      </c>
      <c r="G241" s="3">
        <f>infections!G241-infections!F241</f>
        <v>0</v>
      </c>
      <c r="H241" s="3">
        <f>infections!H241-infections!G241</f>
        <v>0</v>
      </c>
      <c r="I241" s="3">
        <f>infections!I241-infections!H241</f>
        <v>0</v>
      </c>
      <c r="J241" s="3">
        <f>infections!J241-infections!I241</f>
        <v>0</v>
      </c>
      <c r="K241" s="3">
        <f>infections!K241-infections!J241</f>
        <v>0</v>
      </c>
      <c r="L241" s="3">
        <f>infections!L241-infections!K241</f>
        <v>0</v>
      </c>
      <c r="M241" s="3">
        <f>infections!M241-infections!L241</f>
        <v>0</v>
      </c>
      <c r="N241" s="3">
        <f>infections!N241-infections!M241</f>
        <v>0</v>
      </c>
      <c r="O241" s="3">
        <f>infections!O241-infections!N241</f>
        <v>0</v>
      </c>
      <c r="P241" s="3">
        <f>infections!P241-infections!O241</f>
        <v>0</v>
      </c>
      <c r="Q241" s="3">
        <f>infections!Q241-infections!P241</f>
        <v>0</v>
      </c>
      <c r="R241" s="3">
        <f>infections!R241-infections!Q241</f>
        <v>0</v>
      </c>
      <c r="S241" s="3">
        <f>infections!S241-infections!R241</f>
        <v>0</v>
      </c>
      <c r="T241" s="3">
        <f>infections!T241-infections!S241</f>
        <v>0</v>
      </c>
      <c r="U241" s="3">
        <f>infections!U241-infections!T241</f>
        <v>0</v>
      </c>
      <c r="V241" s="3">
        <f>infections!V241-infections!U241</f>
        <v>0</v>
      </c>
      <c r="W241" s="3">
        <f>infections!W241-infections!V241</f>
        <v>0</v>
      </c>
      <c r="X241" s="3">
        <f>infections!X241-infections!W241</f>
        <v>0</v>
      </c>
      <c r="Y241" s="3">
        <f>infections!Y241-infections!X241</f>
        <v>0</v>
      </c>
      <c r="Z241" s="3">
        <f>infections!Z241-infections!Y241</f>
        <v>0</v>
      </c>
      <c r="AA241" s="3">
        <f>infections!AA241-infections!Z241</f>
        <v>0</v>
      </c>
      <c r="AB241" s="3">
        <f>infections!AB241-infections!AA241</f>
        <v>0</v>
      </c>
      <c r="AC241" s="3">
        <f>infections!AC241-infections!AB241</f>
        <v>0</v>
      </c>
      <c r="AD241" s="3">
        <f>infections!AD241-infections!AC241</f>
        <v>0</v>
      </c>
      <c r="AE241" s="3">
        <f>infections!AE241-infections!AD241</f>
        <v>0</v>
      </c>
      <c r="AF241" s="3">
        <f>infections!AF241-infections!AE241</f>
        <v>0</v>
      </c>
      <c r="AG241" s="3">
        <f>infections!AG241-infections!AF241</f>
        <v>0</v>
      </c>
      <c r="AH241" s="3">
        <f>infections!AH241-infections!AG241</f>
        <v>0</v>
      </c>
      <c r="AI241" s="3">
        <f>infections!AI241-infections!AH241</f>
        <v>0</v>
      </c>
      <c r="AJ241" s="3">
        <f>infections!AJ241-infections!AI241</f>
        <v>0</v>
      </c>
      <c r="AK241" s="3">
        <f>infections!AK241-infections!AJ241</f>
        <v>0</v>
      </c>
      <c r="AL241" s="3">
        <f>infections!AL241-infections!AK241</f>
        <v>0</v>
      </c>
      <c r="AM241" s="3">
        <f>infections!AM241-infections!AL241</f>
        <v>0</v>
      </c>
      <c r="AN241" s="3">
        <f>infections!AN241-infections!AM241</f>
        <v>0</v>
      </c>
      <c r="AO241" s="3">
        <f>infections!AO241-infections!AN241</f>
        <v>0</v>
      </c>
      <c r="AP241" s="3">
        <f>infections!AP241-infections!AO241</f>
        <v>0</v>
      </c>
      <c r="AQ241" s="3">
        <f>infections!AQ241-infections!AP241</f>
        <v>0</v>
      </c>
      <c r="AR241" s="3">
        <f>infections!AR241-infections!AQ241</f>
        <v>0</v>
      </c>
      <c r="AS241" s="3">
        <f>infections!AS241-infections!AR241</f>
        <v>0</v>
      </c>
      <c r="AT241" s="3">
        <f>infections!AT241-infections!AS241</f>
        <v>0</v>
      </c>
      <c r="AU241" s="3">
        <f>infections!AU241-infections!AT241</f>
        <v>0</v>
      </c>
      <c r="AV241" s="3">
        <f>infections!AV241-infections!AU241</f>
        <v>0</v>
      </c>
      <c r="AW241" s="3">
        <f>infections!AW241-infections!AV241</f>
        <v>0</v>
      </c>
      <c r="AX241" s="3">
        <f>infections!AX241-infections!AW241</f>
        <v>0</v>
      </c>
      <c r="AY241" s="3">
        <f>infections!AY241-infections!AX241</f>
        <v>0</v>
      </c>
      <c r="AZ241" s="3">
        <f>infections!AZ241-infections!AY241</f>
        <v>0</v>
      </c>
      <c r="BA241" s="3">
        <f>infections!BA241-infections!AZ241</f>
        <v>0</v>
      </c>
      <c r="BB241" s="3">
        <f>infections!BB241-infections!BA241</f>
        <v>0</v>
      </c>
      <c r="BC241" s="3">
        <f>infections!BC241-infections!BB241</f>
        <v>0</v>
      </c>
      <c r="BD241" s="3">
        <f>infections!BD241-infections!BC241</f>
        <v>0</v>
      </c>
      <c r="BE241" s="3">
        <f>infections!BE241-infections!BD241</f>
        <v>0</v>
      </c>
      <c r="BF241" s="3">
        <f>infections!BF241-infections!BE241</f>
        <v>0</v>
      </c>
      <c r="BG241" s="3">
        <f>infections!BG241-infections!BF241</f>
        <v>0</v>
      </c>
      <c r="BH241" s="3">
        <f>infections!BH241-infections!BG241</f>
        <v>0</v>
      </c>
      <c r="BI241" s="3">
        <f>infections!BI241-infections!BH241</f>
        <v>0</v>
      </c>
      <c r="BJ241" s="3">
        <f>infections!BJ241-infections!BI241</f>
        <v>0</v>
      </c>
      <c r="BK241" s="3">
        <f>infections!BK241-infections!BJ241</f>
        <v>0</v>
      </c>
      <c r="BL241" s="3">
        <f>infections!BL241-infections!BK241</f>
        <v>0</v>
      </c>
      <c r="BM241" s="3">
        <f>infections!BM241-infections!BL241</f>
        <v>0</v>
      </c>
      <c r="BN241" s="3">
        <f>infections!BN241-infections!BM241</f>
        <v>0</v>
      </c>
      <c r="BO241" s="3">
        <f>infections!BO241-infections!BN241</f>
        <v>2</v>
      </c>
      <c r="BP241" s="3">
        <f>infections!BP241-infections!BO241</f>
        <v>1</v>
      </c>
      <c r="BQ241" s="3">
        <f>infections!BQ241-infections!BP241</f>
        <v>3</v>
      </c>
      <c r="BR241" s="3">
        <f>infections!BR241-infections!BQ241</f>
        <v>0</v>
      </c>
      <c r="BS241" s="3">
        <f>infections!BS241-infections!BR241</f>
        <v>2</v>
      </c>
      <c r="BT241" s="3">
        <f>infections!BT241-infections!BS241</f>
        <v>0</v>
      </c>
      <c r="BU241" s="3">
        <f>infections!BU241-infections!BT241</f>
        <v>0</v>
      </c>
      <c r="BV241" s="3">
        <f>infections!BV241-infections!BU241</f>
        <v>1</v>
      </c>
      <c r="BW241" s="3">
        <f>infections!BW241-infections!BV241</f>
        <v>1</v>
      </c>
      <c r="BX241" s="3">
        <f>infections!BX241-infections!BW241</f>
        <v>0</v>
      </c>
      <c r="BY241" s="3">
        <f>infections!BY241-infections!BX241</f>
        <v>0</v>
      </c>
    </row>
    <row r="242">
      <c r="B242" s="1" t="str">
        <f>infections!B242</f>
        <v>Libya</v>
      </c>
      <c r="C242" s="4">
        <f>infections!C242</f>
        <v>26.3351</v>
      </c>
      <c r="D242" s="4">
        <f>infections!D242</f>
        <v>17.228331</v>
      </c>
      <c r="E242" s="4">
        <f>infections!E242</f>
        <v>0</v>
      </c>
      <c r="F242" s="3">
        <f>infections!F242-infections!E242</f>
        <v>0</v>
      </c>
      <c r="G242" s="3">
        <f>infections!G242-infections!F242</f>
        <v>0</v>
      </c>
      <c r="H242" s="3">
        <f>infections!H242-infections!G242</f>
        <v>0</v>
      </c>
      <c r="I242" s="3">
        <f>infections!I242-infections!H242</f>
        <v>0</v>
      </c>
      <c r="J242" s="3">
        <f>infections!J242-infections!I242</f>
        <v>0</v>
      </c>
      <c r="K242" s="3">
        <f>infections!K242-infections!J242</f>
        <v>0</v>
      </c>
      <c r="L242" s="3">
        <f>infections!L242-infections!K242</f>
        <v>0</v>
      </c>
      <c r="M242" s="3">
        <f>infections!M242-infections!L242</f>
        <v>0</v>
      </c>
      <c r="N242" s="3">
        <f>infections!N242-infections!M242</f>
        <v>0</v>
      </c>
      <c r="O242" s="3">
        <f>infections!O242-infections!N242</f>
        <v>0</v>
      </c>
      <c r="P242" s="3">
        <f>infections!P242-infections!O242</f>
        <v>0</v>
      </c>
      <c r="Q242" s="3">
        <f>infections!Q242-infections!P242</f>
        <v>0</v>
      </c>
      <c r="R242" s="3">
        <f>infections!R242-infections!Q242</f>
        <v>0</v>
      </c>
      <c r="S242" s="3">
        <f>infections!S242-infections!R242</f>
        <v>0</v>
      </c>
      <c r="T242" s="3">
        <f>infections!T242-infections!S242</f>
        <v>0</v>
      </c>
      <c r="U242" s="3">
        <f>infections!U242-infections!T242</f>
        <v>0</v>
      </c>
      <c r="V242" s="3">
        <f>infections!V242-infections!U242</f>
        <v>0</v>
      </c>
      <c r="W242" s="3">
        <f>infections!W242-infections!V242</f>
        <v>0</v>
      </c>
      <c r="X242" s="3">
        <f>infections!X242-infections!W242</f>
        <v>0</v>
      </c>
      <c r="Y242" s="3">
        <f>infections!Y242-infections!X242</f>
        <v>0</v>
      </c>
      <c r="Z242" s="3">
        <f>infections!Z242-infections!Y242</f>
        <v>0</v>
      </c>
      <c r="AA242" s="3">
        <f>infections!AA242-infections!Z242</f>
        <v>0</v>
      </c>
      <c r="AB242" s="3">
        <f>infections!AB242-infections!AA242</f>
        <v>0</v>
      </c>
      <c r="AC242" s="3">
        <f>infections!AC242-infections!AB242</f>
        <v>0</v>
      </c>
      <c r="AD242" s="3">
        <f>infections!AD242-infections!AC242</f>
        <v>0</v>
      </c>
      <c r="AE242" s="3">
        <f>infections!AE242-infections!AD242</f>
        <v>0</v>
      </c>
      <c r="AF242" s="3">
        <f>infections!AF242-infections!AE242</f>
        <v>0</v>
      </c>
      <c r="AG242" s="3">
        <f>infections!AG242-infections!AF242</f>
        <v>0</v>
      </c>
      <c r="AH242" s="3">
        <f>infections!AH242-infections!AG242</f>
        <v>0</v>
      </c>
      <c r="AI242" s="3">
        <f>infections!AI242-infections!AH242</f>
        <v>0</v>
      </c>
      <c r="AJ242" s="3">
        <f>infections!AJ242-infections!AI242</f>
        <v>0</v>
      </c>
      <c r="AK242" s="3">
        <f>infections!AK242-infections!AJ242</f>
        <v>0</v>
      </c>
      <c r="AL242" s="3">
        <f>infections!AL242-infections!AK242</f>
        <v>0</v>
      </c>
      <c r="AM242" s="3">
        <f>infections!AM242-infections!AL242</f>
        <v>0</v>
      </c>
      <c r="AN242" s="3">
        <f>infections!AN242-infections!AM242</f>
        <v>0</v>
      </c>
      <c r="AO242" s="3">
        <f>infections!AO242-infections!AN242</f>
        <v>0</v>
      </c>
      <c r="AP242" s="3">
        <f>infections!AP242-infections!AO242</f>
        <v>0</v>
      </c>
      <c r="AQ242" s="3">
        <f>infections!AQ242-infections!AP242</f>
        <v>0</v>
      </c>
      <c r="AR242" s="3">
        <f>infections!AR242-infections!AQ242</f>
        <v>0</v>
      </c>
      <c r="AS242" s="3">
        <f>infections!AS242-infections!AR242</f>
        <v>0</v>
      </c>
      <c r="AT242" s="3">
        <f>infections!AT242-infections!AS242</f>
        <v>0</v>
      </c>
      <c r="AU242" s="3">
        <f>infections!AU242-infections!AT242</f>
        <v>0</v>
      </c>
      <c r="AV242" s="3">
        <f>infections!AV242-infections!AU242</f>
        <v>0</v>
      </c>
      <c r="AW242" s="3">
        <f>infections!AW242-infections!AV242</f>
        <v>0</v>
      </c>
      <c r="AX242" s="3">
        <f>infections!AX242-infections!AW242</f>
        <v>0</v>
      </c>
      <c r="AY242" s="3">
        <f>infections!AY242-infections!AX242</f>
        <v>0</v>
      </c>
      <c r="AZ242" s="3">
        <f>infections!AZ242-infections!AY242</f>
        <v>0</v>
      </c>
      <c r="BA242" s="3">
        <f>infections!BA242-infections!AZ242</f>
        <v>0</v>
      </c>
      <c r="BB242" s="3">
        <f>infections!BB242-infections!BA242</f>
        <v>0</v>
      </c>
      <c r="BC242" s="3">
        <f>infections!BC242-infections!BB242</f>
        <v>0</v>
      </c>
      <c r="BD242" s="3">
        <f>infections!BD242-infections!BC242</f>
        <v>0</v>
      </c>
      <c r="BE242" s="3">
        <f>infections!BE242-infections!BD242</f>
        <v>0</v>
      </c>
      <c r="BF242" s="3">
        <f>infections!BF242-infections!BE242</f>
        <v>0</v>
      </c>
      <c r="BG242" s="3">
        <f>infections!BG242-infections!BF242</f>
        <v>0</v>
      </c>
      <c r="BH242" s="3">
        <f>infections!BH242-infections!BG242</f>
        <v>0</v>
      </c>
      <c r="BI242" s="3">
        <f>infections!BI242-infections!BH242</f>
        <v>0</v>
      </c>
      <c r="BJ242" s="3">
        <f>infections!BJ242-infections!BI242</f>
        <v>0</v>
      </c>
      <c r="BK242" s="3">
        <f>infections!BK242-infections!BJ242</f>
        <v>0</v>
      </c>
      <c r="BL242" s="3">
        <f>infections!BL242-infections!BK242</f>
        <v>0</v>
      </c>
      <c r="BM242" s="3">
        <f>infections!BM242-infections!BL242</f>
        <v>0</v>
      </c>
      <c r="BN242" s="3">
        <f>infections!BN242-infections!BM242</f>
        <v>0</v>
      </c>
      <c r="BO242" s="3">
        <f>infections!BO242-infections!BN242</f>
        <v>1</v>
      </c>
      <c r="BP242" s="3">
        <f>infections!BP242-infections!BO242</f>
        <v>0</v>
      </c>
      <c r="BQ242" s="3">
        <f>infections!BQ242-infections!BP242</f>
        <v>0</v>
      </c>
      <c r="BR242" s="3">
        <f>infections!BR242-infections!BQ242</f>
        <v>0</v>
      </c>
      <c r="BS242" s="3">
        <f>infections!BS242-infections!BR242</f>
        <v>2</v>
      </c>
      <c r="BT242" s="3">
        <f>infections!BT242-infections!BS242</f>
        <v>5</v>
      </c>
      <c r="BU242" s="3">
        <f>infections!BU242-infections!BT242</f>
        <v>0</v>
      </c>
      <c r="BV242" s="3">
        <f>infections!BV242-infections!BU242</f>
        <v>2</v>
      </c>
      <c r="BW242" s="3">
        <f>infections!BW242-infections!BV242</f>
        <v>0</v>
      </c>
      <c r="BX242" s="3">
        <f>infections!BX242-infections!BW242</f>
        <v>1</v>
      </c>
      <c r="BY242" s="3">
        <f>infections!BY242-infections!BX242</f>
        <v>0</v>
      </c>
    </row>
    <row r="243">
      <c r="B243" s="1" t="str">
        <f>infections!B243</f>
        <v>West Bank and Gaza</v>
      </c>
      <c r="C243" s="4">
        <f>infections!C243</f>
        <v>31.9522</v>
      </c>
      <c r="D243" s="4">
        <f>infections!D243</f>
        <v>35.2332</v>
      </c>
      <c r="E243" s="4">
        <f>infections!E243</f>
        <v>0</v>
      </c>
      <c r="F243" s="3">
        <f>infections!F243-infections!E243</f>
        <v>0</v>
      </c>
      <c r="G243" s="3">
        <f>infections!G243-infections!F243</f>
        <v>0</v>
      </c>
      <c r="H243" s="3">
        <f>infections!H243-infections!G243</f>
        <v>0</v>
      </c>
      <c r="I243" s="3">
        <f>infections!I243-infections!H243</f>
        <v>0</v>
      </c>
      <c r="J243" s="3">
        <f>infections!J243-infections!I243</f>
        <v>0</v>
      </c>
      <c r="K243" s="3">
        <f>infections!K243-infections!J243</f>
        <v>0</v>
      </c>
      <c r="L243" s="3">
        <f>infections!L243-infections!K243</f>
        <v>0</v>
      </c>
      <c r="M243" s="3">
        <f>infections!M243-infections!L243</f>
        <v>0</v>
      </c>
      <c r="N243" s="3">
        <f>infections!N243-infections!M243</f>
        <v>0</v>
      </c>
      <c r="O243" s="3">
        <f>infections!O243-infections!N243</f>
        <v>0</v>
      </c>
      <c r="P243" s="3">
        <f>infections!P243-infections!O243</f>
        <v>0</v>
      </c>
      <c r="Q243" s="3">
        <f>infections!Q243-infections!P243</f>
        <v>0</v>
      </c>
      <c r="R243" s="3">
        <f>infections!R243-infections!Q243</f>
        <v>0</v>
      </c>
      <c r="S243" s="3">
        <f>infections!S243-infections!R243</f>
        <v>0</v>
      </c>
      <c r="T243" s="3">
        <f>infections!T243-infections!S243</f>
        <v>0</v>
      </c>
      <c r="U243" s="3">
        <f>infections!U243-infections!T243</f>
        <v>0</v>
      </c>
      <c r="V243" s="3">
        <f>infections!V243-infections!U243</f>
        <v>0</v>
      </c>
      <c r="W243" s="3">
        <f>infections!W243-infections!V243</f>
        <v>0</v>
      </c>
      <c r="X243" s="3">
        <f>infections!X243-infections!W243</f>
        <v>0</v>
      </c>
      <c r="Y243" s="3">
        <f>infections!Y243-infections!X243</f>
        <v>0</v>
      </c>
      <c r="Z243" s="3">
        <f>infections!Z243-infections!Y243</f>
        <v>0</v>
      </c>
      <c r="AA243" s="3">
        <f>infections!AA243-infections!Z243</f>
        <v>0</v>
      </c>
      <c r="AB243" s="3">
        <f>infections!AB243-infections!AA243</f>
        <v>0</v>
      </c>
      <c r="AC243" s="3">
        <f>infections!AC243-infections!AB243</f>
        <v>0</v>
      </c>
      <c r="AD243" s="3">
        <f>infections!AD243-infections!AC243</f>
        <v>0</v>
      </c>
      <c r="AE243" s="3">
        <f>infections!AE243-infections!AD243</f>
        <v>0</v>
      </c>
      <c r="AF243" s="3">
        <f>infections!AF243-infections!AE243</f>
        <v>0</v>
      </c>
      <c r="AG243" s="3">
        <f>infections!AG243-infections!AF243</f>
        <v>0</v>
      </c>
      <c r="AH243" s="3">
        <f>infections!AH243-infections!AG243</f>
        <v>0</v>
      </c>
      <c r="AI243" s="3">
        <f>infections!AI243-infections!AH243</f>
        <v>0</v>
      </c>
      <c r="AJ243" s="3">
        <f>infections!AJ243-infections!AI243</f>
        <v>0</v>
      </c>
      <c r="AK243" s="3">
        <f>infections!AK243-infections!AJ243</f>
        <v>0</v>
      </c>
      <c r="AL243" s="3">
        <f>infections!AL243-infections!AK243</f>
        <v>0</v>
      </c>
      <c r="AM243" s="3">
        <f>infections!AM243-infections!AL243</f>
        <v>0</v>
      </c>
      <c r="AN243" s="3">
        <f>infections!AN243-infections!AM243</f>
        <v>0</v>
      </c>
      <c r="AO243" s="3">
        <f>infections!AO243-infections!AN243</f>
        <v>0</v>
      </c>
      <c r="AP243" s="3">
        <f>infections!AP243-infections!AO243</f>
        <v>0</v>
      </c>
      <c r="AQ243" s="3">
        <f>infections!AQ243-infections!AP243</f>
        <v>0</v>
      </c>
      <c r="AR243" s="3">
        <f>infections!AR243-infections!AQ243</f>
        <v>0</v>
      </c>
      <c r="AS243" s="3">
        <f>infections!AS243-infections!AR243</f>
        <v>0</v>
      </c>
      <c r="AT243" s="3">
        <f>infections!AT243-infections!AS243</f>
        <v>0</v>
      </c>
      <c r="AU243" s="3">
        <f>infections!AU243-infections!AT243</f>
        <v>0</v>
      </c>
      <c r="AV243" s="3">
        <f>infections!AV243-infections!AU243</f>
        <v>4</v>
      </c>
      <c r="AW243" s="3">
        <f>infections!AW243-infections!AV243</f>
        <v>3</v>
      </c>
      <c r="AX243" s="3">
        <f>infections!AX243-infections!AW243</f>
        <v>9</v>
      </c>
      <c r="AY243" s="3">
        <f>infections!AY243-infections!AX243</f>
        <v>0</v>
      </c>
      <c r="AZ243" s="3">
        <f>infections!AZ243-infections!AY243</f>
        <v>3</v>
      </c>
      <c r="BA243" s="3">
        <f>infections!BA243-infections!AZ243</f>
        <v>7</v>
      </c>
      <c r="BB243" s="3">
        <f>infections!BB243-infections!BA243</f>
        <v>4</v>
      </c>
      <c r="BC243" s="3">
        <f>infections!BC243-infections!BB243</f>
        <v>0</v>
      </c>
      <c r="BD243" s="3">
        <f>infections!BD243-infections!BC243</f>
        <v>1</v>
      </c>
      <c r="BE243" s="3">
        <f>infections!BE243-infections!BD243</f>
        <v>4</v>
      </c>
      <c r="BF243" s="3">
        <f>infections!BF243-infections!BE243</f>
        <v>3</v>
      </c>
      <c r="BG243" s="3">
        <f>infections!BG243-infections!BF243</f>
        <v>0</v>
      </c>
      <c r="BH243" s="3">
        <f>infections!BH243-infections!BG243</f>
        <v>1</v>
      </c>
      <c r="BI243" s="3">
        <f>infections!BI243-infections!BH243</f>
        <v>2</v>
      </c>
      <c r="BJ243" s="3">
        <f>infections!BJ243-infections!BI243</f>
        <v>3</v>
      </c>
      <c r="BK243" s="3">
        <f>infections!BK243-infections!BJ243</f>
        <v>3</v>
      </c>
      <c r="BL243" s="3">
        <f>infections!BL243-infections!BK243</f>
        <v>1</v>
      </c>
      <c r="BM243" s="3">
        <f>infections!BM243-infections!BL243</f>
        <v>4</v>
      </c>
      <c r="BN243" s="3">
        <f>infections!BN243-infections!BM243</f>
        <v>7</v>
      </c>
      <c r="BO243" s="3">
        <f>infections!BO243-infections!BN243</f>
        <v>0</v>
      </c>
      <c r="BP243" s="3">
        <f>infections!BP243-infections!BO243</f>
        <v>0</v>
      </c>
      <c r="BQ243" s="3">
        <f>infections!BQ243-infections!BP243</f>
        <v>25</v>
      </c>
      <c r="BR243" s="3">
        <f>infections!BR243-infections!BQ243</f>
        <v>7</v>
      </c>
      <c r="BS243" s="3">
        <f>infections!BS243-infections!BR243</f>
        <v>7</v>
      </c>
      <c r="BT243" s="3">
        <f>infections!BT243-infections!BS243</f>
        <v>11</v>
      </c>
      <c r="BU243" s="3">
        <f>infections!BU243-infections!BT243</f>
        <v>7</v>
      </c>
      <c r="BV243" s="3">
        <f>infections!BV243-infections!BU243</f>
        <v>3</v>
      </c>
      <c r="BW243" s="3">
        <f>infections!BW243-infections!BV243</f>
        <v>15</v>
      </c>
      <c r="BX243" s="3">
        <f>infections!BX243-infections!BW243</f>
        <v>27</v>
      </c>
      <c r="BY243" s="3">
        <f>infections!BY243-infections!BX243</f>
        <v>33</v>
      </c>
    </row>
    <row r="244">
      <c r="B244" s="1" t="str">
        <f>infections!B244</f>
        <v>Guinea-Bissau</v>
      </c>
      <c r="C244" s="4">
        <f>infections!C244</f>
        <v>11.8037</v>
      </c>
      <c r="D244" s="4">
        <f>infections!D244</f>
        <v>-15.1804</v>
      </c>
      <c r="E244" s="4">
        <f>infections!E244</f>
        <v>0</v>
      </c>
      <c r="F244" s="3">
        <f>infections!F244-infections!E244</f>
        <v>0</v>
      </c>
      <c r="G244" s="3">
        <f>infections!G244-infections!F244</f>
        <v>0</v>
      </c>
      <c r="H244" s="3">
        <f>infections!H244-infections!G244</f>
        <v>0</v>
      </c>
      <c r="I244" s="3">
        <f>infections!I244-infections!H244</f>
        <v>0</v>
      </c>
      <c r="J244" s="3">
        <f>infections!J244-infections!I244</f>
        <v>0</v>
      </c>
      <c r="K244" s="3">
        <f>infections!K244-infections!J244</f>
        <v>0</v>
      </c>
      <c r="L244" s="3">
        <f>infections!L244-infections!K244</f>
        <v>0</v>
      </c>
      <c r="M244" s="3">
        <f>infections!M244-infections!L244</f>
        <v>0</v>
      </c>
      <c r="N244" s="3">
        <f>infections!N244-infections!M244</f>
        <v>0</v>
      </c>
      <c r="O244" s="3">
        <f>infections!O244-infections!N244</f>
        <v>0</v>
      </c>
      <c r="P244" s="3">
        <f>infections!P244-infections!O244</f>
        <v>0</v>
      </c>
      <c r="Q244" s="3">
        <f>infections!Q244-infections!P244</f>
        <v>0</v>
      </c>
      <c r="R244" s="3">
        <f>infections!R244-infections!Q244</f>
        <v>0</v>
      </c>
      <c r="S244" s="3">
        <f>infections!S244-infections!R244</f>
        <v>0</v>
      </c>
      <c r="T244" s="3">
        <f>infections!T244-infections!S244</f>
        <v>0</v>
      </c>
      <c r="U244" s="3">
        <f>infections!U244-infections!T244</f>
        <v>0</v>
      </c>
      <c r="V244" s="3">
        <f>infections!V244-infections!U244</f>
        <v>0</v>
      </c>
      <c r="W244" s="3">
        <f>infections!W244-infections!V244</f>
        <v>0</v>
      </c>
      <c r="X244" s="3">
        <f>infections!X244-infections!W244</f>
        <v>0</v>
      </c>
      <c r="Y244" s="3">
        <f>infections!Y244-infections!X244</f>
        <v>0</v>
      </c>
      <c r="Z244" s="3">
        <f>infections!Z244-infections!Y244</f>
        <v>0</v>
      </c>
      <c r="AA244" s="3">
        <f>infections!AA244-infections!Z244</f>
        <v>0</v>
      </c>
      <c r="AB244" s="3">
        <f>infections!AB244-infections!AA244</f>
        <v>0</v>
      </c>
      <c r="AC244" s="3">
        <f>infections!AC244-infections!AB244</f>
        <v>0</v>
      </c>
      <c r="AD244" s="3">
        <f>infections!AD244-infections!AC244</f>
        <v>0</v>
      </c>
      <c r="AE244" s="3">
        <f>infections!AE244-infections!AD244</f>
        <v>0</v>
      </c>
      <c r="AF244" s="3">
        <f>infections!AF244-infections!AE244</f>
        <v>0</v>
      </c>
      <c r="AG244" s="3">
        <f>infections!AG244-infections!AF244</f>
        <v>0</v>
      </c>
      <c r="AH244" s="3">
        <f>infections!AH244-infections!AG244</f>
        <v>0</v>
      </c>
      <c r="AI244" s="3">
        <f>infections!AI244-infections!AH244</f>
        <v>0</v>
      </c>
      <c r="AJ244" s="3">
        <f>infections!AJ244-infections!AI244</f>
        <v>0</v>
      </c>
      <c r="AK244" s="3">
        <f>infections!AK244-infections!AJ244</f>
        <v>0</v>
      </c>
      <c r="AL244" s="3">
        <f>infections!AL244-infections!AK244</f>
        <v>0</v>
      </c>
      <c r="AM244" s="3">
        <f>infections!AM244-infections!AL244</f>
        <v>0</v>
      </c>
      <c r="AN244" s="3">
        <f>infections!AN244-infections!AM244</f>
        <v>0</v>
      </c>
      <c r="AO244" s="3">
        <f>infections!AO244-infections!AN244</f>
        <v>0</v>
      </c>
      <c r="AP244" s="3">
        <f>infections!AP244-infections!AO244</f>
        <v>0</v>
      </c>
      <c r="AQ244" s="3">
        <f>infections!AQ244-infections!AP244</f>
        <v>0</v>
      </c>
      <c r="AR244" s="3">
        <f>infections!AR244-infections!AQ244</f>
        <v>0</v>
      </c>
      <c r="AS244" s="3">
        <f>infections!AS244-infections!AR244</f>
        <v>0</v>
      </c>
      <c r="AT244" s="3">
        <f>infections!AT244-infections!AS244</f>
        <v>0</v>
      </c>
      <c r="AU244" s="3">
        <f>infections!AU244-infections!AT244</f>
        <v>0</v>
      </c>
      <c r="AV244" s="3">
        <f>infections!AV244-infections!AU244</f>
        <v>0</v>
      </c>
      <c r="AW244" s="3">
        <f>infections!AW244-infections!AV244</f>
        <v>0</v>
      </c>
      <c r="AX244" s="3">
        <f>infections!AX244-infections!AW244</f>
        <v>0</v>
      </c>
      <c r="AY244" s="3">
        <f>infections!AY244-infections!AX244</f>
        <v>0</v>
      </c>
      <c r="AZ244" s="3">
        <f>infections!AZ244-infections!AY244</f>
        <v>0</v>
      </c>
      <c r="BA244" s="3">
        <f>infections!BA244-infections!AZ244</f>
        <v>0</v>
      </c>
      <c r="BB244" s="3">
        <f>infections!BB244-infections!BA244</f>
        <v>0</v>
      </c>
      <c r="BC244" s="3">
        <f>infections!BC244-infections!BB244</f>
        <v>0</v>
      </c>
      <c r="BD244" s="3">
        <f>infections!BD244-infections!BC244</f>
        <v>0</v>
      </c>
      <c r="BE244" s="3">
        <f>infections!BE244-infections!BD244</f>
        <v>0</v>
      </c>
      <c r="BF244" s="3">
        <f>infections!BF244-infections!BE244</f>
        <v>0</v>
      </c>
      <c r="BG244" s="3">
        <f>infections!BG244-infections!BF244</f>
        <v>0</v>
      </c>
      <c r="BH244" s="3">
        <f>infections!BH244-infections!BG244</f>
        <v>0</v>
      </c>
      <c r="BI244" s="3">
        <f>infections!BI244-infections!BH244</f>
        <v>0</v>
      </c>
      <c r="BJ244" s="3">
        <f>infections!BJ244-infections!BI244</f>
        <v>0</v>
      </c>
      <c r="BK244" s="3">
        <f>infections!BK244-infections!BJ244</f>
        <v>0</v>
      </c>
      <c r="BL244" s="3">
        <f>infections!BL244-infections!BK244</f>
        <v>0</v>
      </c>
      <c r="BM244" s="3">
        <f>infections!BM244-infections!BL244</f>
        <v>0</v>
      </c>
      <c r="BN244" s="3">
        <f>infections!BN244-infections!BM244</f>
        <v>0</v>
      </c>
      <c r="BO244" s="3">
        <f>infections!BO244-infections!BN244</f>
        <v>0</v>
      </c>
      <c r="BP244" s="3">
        <f>infections!BP244-infections!BO244</f>
        <v>2</v>
      </c>
      <c r="BQ244" s="3">
        <f>infections!BQ244-infections!BP244</f>
        <v>0</v>
      </c>
      <c r="BR244" s="3">
        <f>infections!BR244-infections!BQ244</f>
        <v>0</v>
      </c>
      <c r="BS244" s="3">
        <f>infections!BS244-infections!BR244</f>
        <v>0</v>
      </c>
      <c r="BT244" s="3">
        <f>infections!BT244-infections!BS244</f>
        <v>0</v>
      </c>
      <c r="BU244" s="3">
        <f>infections!BU244-infections!BT244</f>
        <v>6</v>
      </c>
      <c r="BV244" s="3">
        <f>infections!BV244-infections!BU244</f>
        <v>0</v>
      </c>
      <c r="BW244" s="3">
        <f>infections!BW244-infections!BV244</f>
        <v>1</v>
      </c>
      <c r="BX244" s="3">
        <f>infections!BX244-infections!BW244</f>
        <v>0</v>
      </c>
      <c r="BY244" s="3">
        <f>infections!BY244-infections!BX244</f>
        <v>6</v>
      </c>
    </row>
    <row r="245">
      <c r="B245" s="1" t="str">
        <f>infections!B245</f>
        <v>Mali</v>
      </c>
      <c r="C245" s="4">
        <f>infections!C245</f>
        <v>17.570692</v>
      </c>
      <c r="D245" s="4">
        <f>infections!D245</f>
        <v>-3.996166</v>
      </c>
      <c r="E245" s="4">
        <f>infections!E245</f>
        <v>0</v>
      </c>
      <c r="F245" s="3">
        <f>infections!F245-infections!E245</f>
        <v>0</v>
      </c>
      <c r="G245" s="3">
        <f>infections!G245-infections!F245</f>
        <v>0</v>
      </c>
      <c r="H245" s="3">
        <f>infections!H245-infections!G245</f>
        <v>0</v>
      </c>
      <c r="I245" s="3">
        <f>infections!I245-infections!H245</f>
        <v>0</v>
      </c>
      <c r="J245" s="3">
        <f>infections!J245-infections!I245</f>
        <v>0</v>
      </c>
      <c r="K245" s="3">
        <f>infections!K245-infections!J245</f>
        <v>0</v>
      </c>
      <c r="L245" s="3">
        <f>infections!L245-infections!K245</f>
        <v>0</v>
      </c>
      <c r="M245" s="3">
        <f>infections!M245-infections!L245</f>
        <v>0</v>
      </c>
      <c r="N245" s="3">
        <f>infections!N245-infections!M245</f>
        <v>0</v>
      </c>
      <c r="O245" s="3">
        <f>infections!O245-infections!N245</f>
        <v>0</v>
      </c>
      <c r="P245" s="3">
        <f>infections!P245-infections!O245</f>
        <v>0</v>
      </c>
      <c r="Q245" s="3">
        <f>infections!Q245-infections!P245</f>
        <v>0</v>
      </c>
      <c r="R245" s="3">
        <f>infections!R245-infections!Q245</f>
        <v>0</v>
      </c>
      <c r="S245" s="3">
        <f>infections!S245-infections!R245</f>
        <v>0</v>
      </c>
      <c r="T245" s="3">
        <f>infections!T245-infections!S245</f>
        <v>0</v>
      </c>
      <c r="U245" s="3">
        <f>infections!U245-infections!T245</f>
        <v>0</v>
      </c>
      <c r="V245" s="3">
        <f>infections!V245-infections!U245</f>
        <v>0</v>
      </c>
      <c r="W245" s="3">
        <f>infections!W245-infections!V245</f>
        <v>0</v>
      </c>
      <c r="X245" s="3">
        <f>infections!X245-infections!W245</f>
        <v>0</v>
      </c>
      <c r="Y245" s="3">
        <f>infections!Y245-infections!X245</f>
        <v>0</v>
      </c>
      <c r="Z245" s="3">
        <f>infections!Z245-infections!Y245</f>
        <v>0</v>
      </c>
      <c r="AA245" s="3">
        <f>infections!AA245-infections!Z245</f>
        <v>0</v>
      </c>
      <c r="AB245" s="3">
        <f>infections!AB245-infections!AA245</f>
        <v>0</v>
      </c>
      <c r="AC245" s="3">
        <f>infections!AC245-infections!AB245</f>
        <v>0</v>
      </c>
      <c r="AD245" s="3">
        <f>infections!AD245-infections!AC245</f>
        <v>0</v>
      </c>
      <c r="AE245" s="3">
        <f>infections!AE245-infections!AD245</f>
        <v>0</v>
      </c>
      <c r="AF245" s="3">
        <f>infections!AF245-infections!AE245</f>
        <v>0</v>
      </c>
      <c r="AG245" s="3">
        <f>infections!AG245-infections!AF245</f>
        <v>0</v>
      </c>
      <c r="AH245" s="3">
        <f>infections!AH245-infections!AG245</f>
        <v>0</v>
      </c>
      <c r="AI245" s="3">
        <f>infections!AI245-infections!AH245</f>
        <v>0</v>
      </c>
      <c r="AJ245" s="3">
        <f>infections!AJ245-infections!AI245</f>
        <v>0</v>
      </c>
      <c r="AK245" s="3">
        <f>infections!AK245-infections!AJ245</f>
        <v>0</v>
      </c>
      <c r="AL245" s="3">
        <f>infections!AL245-infections!AK245</f>
        <v>0</v>
      </c>
      <c r="AM245" s="3">
        <f>infections!AM245-infections!AL245</f>
        <v>0</v>
      </c>
      <c r="AN245" s="3">
        <f>infections!AN245-infections!AM245</f>
        <v>0</v>
      </c>
      <c r="AO245" s="3">
        <f>infections!AO245-infections!AN245</f>
        <v>0</v>
      </c>
      <c r="AP245" s="3">
        <f>infections!AP245-infections!AO245</f>
        <v>0</v>
      </c>
      <c r="AQ245" s="3">
        <f>infections!AQ245-infections!AP245</f>
        <v>0</v>
      </c>
      <c r="AR245" s="3">
        <f>infections!AR245-infections!AQ245</f>
        <v>0</v>
      </c>
      <c r="AS245" s="3">
        <f>infections!AS245-infections!AR245</f>
        <v>0</v>
      </c>
      <c r="AT245" s="3">
        <f>infections!AT245-infections!AS245</f>
        <v>0</v>
      </c>
      <c r="AU245" s="3">
        <f>infections!AU245-infections!AT245</f>
        <v>0</v>
      </c>
      <c r="AV245" s="3">
        <f>infections!AV245-infections!AU245</f>
        <v>0</v>
      </c>
      <c r="AW245" s="3">
        <f>infections!AW245-infections!AV245</f>
        <v>0</v>
      </c>
      <c r="AX245" s="3">
        <f>infections!AX245-infections!AW245</f>
        <v>0</v>
      </c>
      <c r="AY245" s="3">
        <f>infections!AY245-infections!AX245</f>
        <v>0</v>
      </c>
      <c r="AZ245" s="3">
        <f>infections!AZ245-infections!AY245</f>
        <v>0</v>
      </c>
      <c r="BA245" s="3">
        <f>infections!BA245-infections!AZ245</f>
        <v>0</v>
      </c>
      <c r="BB245" s="3">
        <f>infections!BB245-infections!BA245</f>
        <v>0</v>
      </c>
      <c r="BC245" s="3">
        <f>infections!BC245-infections!BB245</f>
        <v>0</v>
      </c>
      <c r="BD245" s="3">
        <f>infections!BD245-infections!BC245</f>
        <v>0</v>
      </c>
      <c r="BE245" s="3">
        <f>infections!BE245-infections!BD245</f>
        <v>0</v>
      </c>
      <c r="BF245" s="3">
        <f>infections!BF245-infections!BE245</f>
        <v>0</v>
      </c>
      <c r="BG245" s="3">
        <f>infections!BG245-infections!BF245</f>
        <v>0</v>
      </c>
      <c r="BH245" s="3">
        <f>infections!BH245-infections!BG245</f>
        <v>0</v>
      </c>
      <c r="BI245" s="3">
        <f>infections!BI245-infections!BH245</f>
        <v>0</v>
      </c>
      <c r="BJ245" s="3">
        <f>infections!BJ245-infections!BI245</f>
        <v>0</v>
      </c>
      <c r="BK245" s="3">
        <f>infections!BK245-infections!BJ245</f>
        <v>0</v>
      </c>
      <c r="BL245" s="3">
        <f>infections!BL245-infections!BK245</f>
        <v>0</v>
      </c>
      <c r="BM245" s="3">
        <f>infections!BM245-infections!BL245</f>
        <v>0</v>
      </c>
      <c r="BN245" s="3">
        <f>infections!BN245-infections!BM245</f>
        <v>0</v>
      </c>
      <c r="BO245" s="3">
        <f>infections!BO245-infections!BN245</f>
        <v>0</v>
      </c>
      <c r="BP245" s="3">
        <f>infections!BP245-infections!BO245</f>
        <v>2</v>
      </c>
      <c r="BQ245" s="3">
        <f>infections!BQ245-infections!BP245</f>
        <v>2</v>
      </c>
      <c r="BR245" s="3">
        <f>infections!BR245-infections!BQ245</f>
        <v>7</v>
      </c>
      <c r="BS245" s="3">
        <f>infections!BS245-infections!BR245</f>
        <v>7</v>
      </c>
      <c r="BT245" s="3">
        <f>infections!BT245-infections!BS245</f>
        <v>0</v>
      </c>
      <c r="BU245" s="3">
        <f>infections!BU245-infections!BT245</f>
        <v>7</v>
      </c>
      <c r="BV245" s="3">
        <f>infections!BV245-infections!BU245</f>
        <v>3</v>
      </c>
      <c r="BW245" s="3">
        <f>infections!BW245-infections!BV245</f>
        <v>3</v>
      </c>
      <c r="BX245" s="3">
        <f>infections!BX245-infections!BW245</f>
        <v>5</v>
      </c>
      <c r="BY245" s="3">
        <f>infections!BY245-infections!BX245</f>
        <v>3</v>
      </c>
    </row>
    <row r="246">
      <c r="B246" s="1" t="str">
        <f>infections!B246</f>
        <v>Saint Kitts and Nevis</v>
      </c>
      <c r="C246" s="4">
        <f>infections!C246</f>
        <v>17.357822</v>
      </c>
      <c r="D246" s="4">
        <f>infections!D246</f>
        <v>-62.782998</v>
      </c>
      <c r="E246" s="4">
        <f>infections!E246</f>
        <v>0</v>
      </c>
      <c r="F246" s="3">
        <f>infections!F246-infections!E246</f>
        <v>0</v>
      </c>
      <c r="G246" s="3">
        <f>infections!G246-infections!F246</f>
        <v>0</v>
      </c>
      <c r="H246" s="3">
        <f>infections!H246-infections!G246</f>
        <v>0</v>
      </c>
      <c r="I246" s="3">
        <f>infections!I246-infections!H246</f>
        <v>0</v>
      </c>
      <c r="J246" s="3">
        <f>infections!J246-infections!I246</f>
        <v>0</v>
      </c>
      <c r="K246" s="3">
        <f>infections!K246-infections!J246</f>
        <v>0</v>
      </c>
      <c r="L246" s="3">
        <f>infections!L246-infections!K246</f>
        <v>0</v>
      </c>
      <c r="M246" s="3">
        <f>infections!M246-infections!L246</f>
        <v>0</v>
      </c>
      <c r="N246" s="3">
        <f>infections!N246-infections!M246</f>
        <v>0</v>
      </c>
      <c r="O246" s="3">
        <f>infections!O246-infections!N246</f>
        <v>0</v>
      </c>
      <c r="P246" s="3">
        <f>infections!P246-infections!O246</f>
        <v>0</v>
      </c>
      <c r="Q246" s="3">
        <f>infections!Q246-infections!P246</f>
        <v>0</v>
      </c>
      <c r="R246" s="3">
        <f>infections!R246-infections!Q246</f>
        <v>0</v>
      </c>
      <c r="S246" s="3">
        <f>infections!S246-infections!R246</f>
        <v>0</v>
      </c>
      <c r="T246" s="3">
        <f>infections!T246-infections!S246</f>
        <v>0</v>
      </c>
      <c r="U246" s="3">
        <f>infections!U246-infections!T246</f>
        <v>0</v>
      </c>
      <c r="V246" s="3">
        <f>infections!V246-infections!U246</f>
        <v>0</v>
      </c>
      <c r="W246" s="3">
        <f>infections!W246-infections!V246</f>
        <v>0</v>
      </c>
      <c r="X246" s="3">
        <f>infections!X246-infections!W246</f>
        <v>0</v>
      </c>
      <c r="Y246" s="3">
        <f>infections!Y246-infections!X246</f>
        <v>0</v>
      </c>
      <c r="Z246" s="3">
        <f>infections!Z246-infections!Y246</f>
        <v>0</v>
      </c>
      <c r="AA246" s="3">
        <f>infections!AA246-infections!Z246</f>
        <v>0</v>
      </c>
      <c r="AB246" s="3">
        <f>infections!AB246-infections!AA246</f>
        <v>0</v>
      </c>
      <c r="AC246" s="3">
        <f>infections!AC246-infections!AB246</f>
        <v>0</v>
      </c>
      <c r="AD246" s="3">
        <f>infections!AD246-infections!AC246</f>
        <v>0</v>
      </c>
      <c r="AE246" s="3">
        <f>infections!AE246-infections!AD246</f>
        <v>0</v>
      </c>
      <c r="AF246" s="3">
        <f>infections!AF246-infections!AE246</f>
        <v>0</v>
      </c>
      <c r="AG246" s="3">
        <f>infections!AG246-infections!AF246</f>
        <v>0</v>
      </c>
      <c r="AH246" s="3">
        <f>infections!AH246-infections!AG246</f>
        <v>0</v>
      </c>
      <c r="AI246" s="3">
        <f>infections!AI246-infections!AH246</f>
        <v>0</v>
      </c>
      <c r="AJ246" s="3">
        <f>infections!AJ246-infections!AI246</f>
        <v>0</v>
      </c>
      <c r="AK246" s="3">
        <f>infections!AK246-infections!AJ246</f>
        <v>0</v>
      </c>
      <c r="AL246" s="3">
        <f>infections!AL246-infections!AK246</f>
        <v>0</v>
      </c>
      <c r="AM246" s="3">
        <f>infections!AM246-infections!AL246</f>
        <v>0</v>
      </c>
      <c r="AN246" s="3">
        <f>infections!AN246-infections!AM246</f>
        <v>0</v>
      </c>
      <c r="AO246" s="3">
        <f>infections!AO246-infections!AN246</f>
        <v>0</v>
      </c>
      <c r="AP246" s="3">
        <f>infections!AP246-infections!AO246</f>
        <v>0</v>
      </c>
      <c r="AQ246" s="3">
        <f>infections!AQ246-infections!AP246</f>
        <v>0</v>
      </c>
      <c r="AR246" s="3">
        <f>infections!AR246-infections!AQ246</f>
        <v>0</v>
      </c>
      <c r="AS246" s="3">
        <f>infections!AS246-infections!AR246</f>
        <v>0</v>
      </c>
      <c r="AT246" s="3">
        <f>infections!AT246-infections!AS246</f>
        <v>0</v>
      </c>
      <c r="AU246" s="3">
        <f>infections!AU246-infections!AT246</f>
        <v>0</v>
      </c>
      <c r="AV246" s="3">
        <f>infections!AV246-infections!AU246</f>
        <v>0</v>
      </c>
      <c r="AW246" s="3">
        <f>infections!AW246-infections!AV246</f>
        <v>0</v>
      </c>
      <c r="AX246" s="3">
        <f>infections!AX246-infections!AW246</f>
        <v>0</v>
      </c>
      <c r="AY246" s="3">
        <f>infections!AY246-infections!AX246</f>
        <v>0</v>
      </c>
      <c r="AZ246" s="3">
        <f>infections!AZ246-infections!AY246</f>
        <v>0</v>
      </c>
      <c r="BA246" s="3">
        <f>infections!BA246-infections!AZ246</f>
        <v>0</v>
      </c>
      <c r="BB246" s="3">
        <f>infections!BB246-infections!BA246</f>
        <v>0</v>
      </c>
      <c r="BC246" s="3">
        <f>infections!BC246-infections!BB246</f>
        <v>0</v>
      </c>
      <c r="BD246" s="3">
        <f>infections!BD246-infections!BC246</f>
        <v>0</v>
      </c>
      <c r="BE246" s="3">
        <f>infections!BE246-infections!BD246</f>
        <v>0</v>
      </c>
      <c r="BF246" s="3">
        <f>infections!BF246-infections!BE246</f>
        <v>0</v>
      </c>
      <c r="BG246" s="3">
        <f>infections!BG246-infections!BF246</f>
        <v>0</v>
      </c>
      <c r="BH246" s="3">
        <f>infections!BH246-infections!BG246</f>
        <v>0</v>
      </c>
      <c r="BI246" s="3">
        <f>infections!BI246-infections!BH246</f>
        <v>0</v>
      </c>
      <c r="BJ246" s="3">
        <f>infections!BJ246-infections!BI246</f>
        <v>0</v>
      </c>
      <c r="BK246" s="3">
        <f>infections!BK246-infections!BJ246</f>
        <v>0</v>
      </c>
      <c r="BL246" s="3">
        <f>infections!BL246-infections!BK246</f>
        <v>0</v>
      </c>
      <c r="BM246" s="3">
        <f>infections!BM246-infections!BL246</f>
        <v>0</v>
      </c>
      <c r="BN246" s="3">
        <f>infections!BN246-infections!BM246</f>
        <v>0</v>
      </c>
      <c r="BO246" s="3">
        <f>infections!BO246-infections!BN246</f>
        <v>0</v>
      </c>
      <c r="BP246" s="3">
        <f>infections!BP246-infections!BO246</f>
        <v>2</v>
      </c>
      <c r="BQ246" s="3">
        <f>infections!BQ246-infections!BP246</f>
        <v>0</v>
      </c>
      <c r="BR246" s="3">
        <f>infections!BR246-infections!BQ246</f>
        <v>0</v>
      </c>
      <c r="BS246" s="3">
        <f>infections!BS246-infections!BR246</f>
        <v>0</v>
      </c>
      <c r="BT246" s="3">
        <f>infections!BT246-infections!BS246</f>
        <v>0</v>
      </c>
      <c r="BU246" s="3">
        <f>infections!BU246-infections!BT246</f>
        <v>5</v>
      </c>
      <c r="BV246" s="3">
        <f>infections!BV246-infections!BU246</f>
        <v>1</v>
      </c>
      <c r="BW246" s="3">
        <f>infections!BW246-infections!BV246</f>
        <v>0</v>
      </c>
      <c r="BX246" s="3">
        <f>infections!BX246-infections!BW246</f>
        <v>1</v>
      </c>
      <c r="BY246" s="3">
        <f>infections!BY246-infections!BX246</f>
        <v>0</v>
      </c>
    </row>
    <row r="247">
      <c r="B247" s="1" t="str">
        <f>infections!B247</f>
        <v>Canada</v>
      </c>
      <c r="C247" s="4">
        <f>infections!C247</f>
        <v>64.8255</v>
      </c>
      <c r="D247" s="4">
        <f>infections!D247</f>
        <v>-124.8457</v>
      </c>
      <c r="E247" s="4">
        <f>infections!E247</f>
        <v>0</v>
      </c>
      <c r="F247" s="3">
        <f>infections!F247-infections!E247</f>
        <v>0</v>
      </c>
      <c r="G247" s="3">
        <f>infections!G247-infections!F247</f>
        <v>0</v>
      </c>
      <c r="H247" s="3">
        <f>infections!H247-infections!G247</f>
        <v>0</v>
      </c>
      <c r="I247" s="3">
        <f>infections!I247-infections!H247</f>
        <v>0</v>
      </c>
      <c r="J247" s="3">
        <f>infections!J247-infections!I247</f>
        <v>0</v>
      </c>
      <c r="K247" s="3">
        <f>infections!K247-infections!J247</f>
        <v>0</v>
      </c>
      <c r="L247" s="3">
        <f>infections!L247-infections!K247</f>
        <v>0</v>
      </c>
      <c r="M247" s="3">
        <f>infections!M247-infections!L247</f>
        <v>0</v>
      </c>
      <c r="N247" s="3">
        <f>infections!N247-infections!M247</f>
        <v>0</v>
      </c>
      <c r="O247" s="3">
        <f>infections!O247-infections!N247</f>
        <v>0</v>
      </c>
      <c r="P247" s="3">
        <f>infections!P247-infections!O247</f>
        <v>0</v>
      </c>
      <c r="Q247" s="3">
        <f>infections!Q247-infections!P247</f>
        <v>0</v>
      </c>
      <c r="R247" s="3">
        <f>infections!R247-infections!Q247</f>
        <v>0</v>
      </c>
      <c r="S247" s="3">
        <f>infections!S247-infections!R247</f>
        <v>0</v>
      </c>
      <c r="T247" s="3">
        <f>infections!T247-infections!S247</f>
        <v>0</v>
      </c>
      <c r="U247" s="3">
        <f>infections!U247-infections!T247</f>
        <v>0</v>
      </c>
      <c r="V247" s="3">
        <f>infections!V247-infections!U247</f>
        <v>0</v>
      </c>
      <c r="W247" s="3">
        <f>infections!W247-infections!V247</f>
        <v>0</v>
      </c>
      <c r="X247" s="3">
        <f>infections!X247-infections!W247</f>
        <v>0</v>
      </c>
      <c r="Y247" s="3">
        <f>infections!Y247-infections!X247</f>
        <v>0</v>
      </c>
      <c r="Z247" s="3">
        <f>infections!Z247-infections!Y247</f>
        <v>0</v>
      </c>
      <c r="AA247" s="3">
        <f>infections!AA247-infections!Z247</f>
        <v>0</v>
      </c>
      <c r="AB247" s="3">
        <f>infections!AB247-infections!AA247</f>
        <v>0</v>
      </c>
      <c r="AC247" s="3">
        <f>infections!AC247-infections!AB247</f>
        <v>0</v>
      </c>
      <c r="AD247" s="3">
        <f>infections!AD247-infections!AC247</f>
        <v>0</v>
      </c>
      <c r="AE247" s="3">
        <f>infections!AE247-infections!AD247</f>
        <v>0</v>
      </c>
      <c r="AF247" s="3">
        <f>infections!AF247-infections!AE247</f>
        <v>0</v>
      </c>
      <c r="AG247" s="3">
        <f>infections!AG247-infections!AF247</f>
        <v>0</v>
      </c>
      <c r="AH247" s="3">
        <f>infections!AH247-infections!AG247</f>
        <v>0</v>
      </c>
      <c r="AI247" s="3">
        <f>infections!AI247-infections!AH247</f>
        <v>0</v>
      </c>
      <c r="AJ247" s="3">
        <f>infections!AJ247-infections!AI247</f>
        <v>0</v>
      </c>
      <c r="AK247" s="3">
        <f>infections!AK247-infections!AJ247</f>
        <v>0</v>
      </c>
      <c r="AL247" s="3">
        <f>infections!AL247-infections!AK247</f>
        <v>0</v>
      </c>
      <c r="AM247" s="3">
        <f>infections!AM247-infections!AL247</f>
        <v>0</v>
      </c>
      <c r="AN247" s="3">
        <f>infections!AN247-infections!AM247</f>
        <v>0</v>
      </c>
      <c r="AO247" s="3">
        <f>infections!AO247-infections!AN247</f>
        <v>0</v>
      </c>
      <c r="AP247" s="3">
        <f>infections!AP247-infections!AO247</f>
        <v>0</v>
      </c>
      <c r="AQ247" s="3">
        <f>infections!AQ247-infections!AP247</f>
        <v>0</v>
      </c>
      <c r="AR247" s="3">
        <f>infections!AR247-infections!AQ247</f>
        <v>0</v>
      </c>
      <c r="AS247" s="3">
        <f>infections!AS247-infections!AR247</f>
        <v>0</v>
      </c>
      <c r="AT247" s="3">
        <f>infections!AT247-infections!AS247</f>
        <v>0</v>
      </c>
      <c r="AU247" s="3">
        <f>infections!AU247-infections!AT247</f>
        <v>0</v>
      </c>
      <c r="AV247" s="3">
        <f>infections!AV247-infections!AU247</f>
        <v>0</v>
      </c>
      <c r="AW247" s="3">
        <f>infections!AW247-infections!AV247</f>
        <v>0</v>
      </c>
      <c r="AX247" s="3">
        <f>infections!AX247-infections!AW247</f>
        <v>0</v>
      </c>
      <c r="AY247" s="3">
        <f>infections!AY247-infections!AX247</f>
        <v>0</v>
      </c>
      <c r="AZ247" s="3">
        <f>infections!AZ247-infections!AY247</f>
        <v>0</v>
      </c>
      <c r="BA247" s="3">
        <f>infections!BA247-infections!AZ247</f>
        <v>0</v>
      </c>
      <c r="BB247" s="3">
        <f>infections!BB247-infections!BA247</f>
        <v>0</v>
      </c>
      <c r="BC247" s="3">
        <f>infections!BC247-infections!BB247</f>
        <v>0</v>
      </c>
      <c r="BD247" s="3">
        <f>infections!BD247-infections!BC247</f>
        <v>0</v>
      </c>
      <c r="BE247" s="3">
        <f>infections!BE247-infections!BD247</f>
        <v>0</v>
      </c>
      <c r="BF247" s="3">
        <f>infections!BF247-infections!BE247</f>
        <v>0</v>
      </c>
      <c r="BG247" s="3">
        <f>infections!BG247-infections!BF247</f>
        <v>0</v>
      </c>
      <c r="BH247" s="3">
        <f>infections!BH247-infections!BG247</f>
        <v>0</v>
      </c>
      <c r="BI247" s="3">
        <f>infections!BI247-infections!BH247</f>
        <v>0</v>
      </c>
      <c r="BJ247" s="3">
        <f>infections!BJ247-infections!BI247</f>
        <v>0</v>
      </c>
      <c r="BK247" s="3">
        <f>infections!BK247-infections!BJ247</f>
        <v>0</v>
      </c>
      <c r="BL247" s="3">
        <f>infections!BL247-infections!BK247</f>
        <v>0</v>
      </c>
      <c r="BM247" s="3">
        <f>infections!BM247-infections!BL247</f>
        <v>0</v>
      </c>
      <c r="BN247" s="3">
        <f>infections!BN247-infections!BM247</f>
        <v>0</v>
      </c>
      <c r="BO247" s="3">
        <f>infections!BO247-infections!BN247</f>
        <v>0</v>
      </c>
      <c r="BP247" s="3">
        <f>infections!BP247-infections!BO247</f>
        <v>0</v>
      </c>
      <c r="BQ247" s="3">
        <f>infections!BQ247-infections!BP247</f>
        <v>1</v>
      </c>
      <c r="BR247" s="3">
        <f>infections!BR247-infections!BQ247</f>
        <v>0</v>
      </c>
      <c r="BS247" s="3">
        <f>infections!BS247-infections!BR247</f>
        <v>0</v>
      </c>
      <c r="BT247" s="3">
        <f>infections!BT247-infections!BS247</f>
        <v>0</v>
      </c>
      <c r="BU247" s="3">
        <f>infections!BU247-infections!BT247</f>
        <v>0</v>
      </c>
      <c r="BV247" s="3">
        <f>infections!BV247-infections!BU247</f>
        <v>0</v>
      </c>
      <c r="BW247" s="3">
        <f>infections!BW247-infections!BV247</f>
        <v>1</v>
      </c>
      <c r="BX247" s="3">
        <f>infections!BX247-infections!BW247</f>
        <v>0</v>
      </c>
      <c r="BY247" s="3">
        <f>infections!BY247-infections!BX247</f>
        <v>0</v>
      </c>
    </row>
    <row r="248">
      <c r="B248" s="1" t="str">
        <f>infections!B248</f>
        <v>Canada</v>
      </c>
      <c r="C248" s="4">
        <f>infections!C248</f>
        <v>64.2823</v>
      </c>
      <c r="D248" s="4">
        <f>infections!D248</f>
        <v>-135</v>
      </c>
      <c r="E248" s="4">
        <f>infections!E248</f>
        <v>0</v>
      </c>
      <c r="F248" s="3">
        <f>infections!F248-infections!E248</f>
        <v>0</v>
      </c>
      <c r="G248" s="3">
        <f>infections!G248-infections!F248</f>
        <v>0</v>
      </c>
      <c r="H248" s="3">
        <f>infections!H248-infections!G248</f>
        <v>0</v>
      </c>
      <c r="I248" s="3">
        <f>infections!I248-infections!H248</f>
        <v>0</v>
      </c>
      <c r="J248" s="3">
        <f>infections!J248-infections!I248</f>
        <v>0</v>
      </c>
      <c r="K248" s="3">
        <f>infections!K248-infections!J248</f>
        <v>0</v>
      </c>
      <c r="L248" s="3">
        <f>infections!L248-infections!K248</f>
        <v>0</v>
      </c>
      <c r="M248" s="3">
        <f>infections!M248-infections!L248</f>
        <v>0</v>
      </c>
      <c r="N248" s="3">
        <f>infections!N248-infections!M248</f>
        <v>0</v>
      </c>
      <c r="O248" s="3">
        <f>infections!O248-infections!N248</f>
        <v>0</v>
      </c>
      <c r="P248" s="3">
        <f>infections!P248-infections!O248</f>
        <v>0</v>
      </c>
      <c r="Q248" s="3">
        <f>infections!Q248-infections!P248</f>
        <v>0</v>
      </c>
      <c r="R248" s="3">
        <f>infections!R248-infections!Q248</f>
        <v>0</v>
      </c>
      <c r="S248" s="3">
        <f>infections!S248-infections!R248</f>
        <v>0</v>
      </c>
      <c r="T248" s="3">
        <f>infections!T248-infections!S248</f>
        <v>0</v>
      </c>
      <c r="U248" s="3">
        <f>infections!U248-infections!T248</f>
        <v>0</v>
      </c>
      <c r="V248" s="3">
        <f>infections!V248-infections!U248</f>
        <v>0</v>
      </c>
      <c r="W248" s="3">
        <f>infections!W248-infections!V248</f>
        <v>0</v>
      </c>
      <c r="X248" s="3">
        <f>infections!X248-infections!W248</f>
        <v>0</v>
      </c>
      <c r="Y248" s="3">
        <f>infections!Y248-infections!X248</f>
        <v>0</v>
      </c>
      <c r="Z248" s="3">
        <f>infections!Z248-infections!Y248</f>
        <v>0</v>
      </c>
      <c r="AA248" s="3">
        <f>infections!AA248-infections!Z248</f>
        <v>0</v>
      </c>
      <c r="AB248" s="3">
        <f>infections!AB248-infections!AA248</f>
        <v>0</v>
      </c>
      <c r="AC248" s="3">
        <f>infections!AC248-infections!AB248</f>
        <v>0</v>
      </c>
      <c r="AD248" s="3">
        <f>infections!AD248-infections!AC248</f>
        <v>0</v>
      </c>
      <c r="AE248" s="3">
        <f>infections!AE248-infections!AD248</f>
        <v>0</v>
      </c>
      <c r="AF248" s="3">
        <f>infections!AF248-infections!AE248</f>
        <v>0</v>
      </c>
      <c r="AG248" s="3">
        <f>infections!AG248-infections!AF248</f>
        <v>0</v>
      </c>
      <c r="AH248" s="3">
        <f>infections!AH248-infections!AG248</f>
        <v>0</v>
      </c>
      <c r="AI248" s="3">
        <f>infections!AI248-infections!AH248</f>
        <v>0</v>
      </c>
      <c r="AJ248" s="3">
        <f>infections!AJ248-infections!AI248</f>
        <v>0</v>
      </c>
      <c r="AK248" s="3">
        <f>infections!AK248-infections!AJ248</f>
        <v>0</v>
      </c>
      <c r="AL248" s="3">
        <f>infections!AL248-infections!AK248</f>
        <v>0</v>
      </c>
      <c r="AM248" s="3">
        <f>infections!AM248-infections!AL248</f>
        <v>0</v>
      </c>
      <c r="AN248" s="3">
        <f>infections!AN248-infections!AM248</f>
        <v>0</v>
      </c>
      <c r="AO248" s="3">
        <f>infections!AO248-infections!AN248</f>
        <v>0</v>
      </c>
      <c r="AP248" s="3">
        <f>infections!AP248-infections!AO248</f>
        <v>0</v>
      </c>
      <c r="AQ248" s="3">
        <f>infections!AQ248-infections!AP248</f>
        <v>0</v>
      </c>
      <c r="AR248" s="3">
        <f>infections!AR248-infections!AQ248</f>
        <v>0</v>
      </c>
      <c r="AS248" s="3">
        <f>infections!AS248-infections!AR248</f>
        <v>0</v>
      </c>
      <c r="AT248" s="3">
        <f>infections!AT248-infections!AS248</f>
        <v>0</v>
      </c>
      <c r="AU248" s="3">
        <f>infections!AU248-infections!AT248</f>
        <v>0</v>
      </c>
      <c r="AV248" s="3">
        <f>infections!AV248-infections!AU248</f>
        <v>0</v>
      </c>
      <c r="AW248" s="3">
        <f>infections!AW248-infections!AV248</f>
        <v>0</v>
      </c>
      <c r="AX248" s="3">
        <f>infections!AX248-infections!AW248</f>
        <v>0</v>
      </c>
      <c r="AY248" s="3">
        <f>infections!AY248-infections!AX248</f>
        <v>0</v>
      </c>
      <c r="AZ248" s="3">
        <f>infections!AZ248-infections!AY248</f>
        <v>0</v>
      </c>
      <c r="BA248" s="3">
        <f>infections!BA248-infections!AZ248</f>
        <v>0</v>
      </c>
      <c r="BB248" s="3">
        <f>infections!BB248-infections!BA248</f>
        <v>0</v>
      </c>
      <c r="BC248" s="3">
        <f>infections!BC248-infections!BB248</f>
        <v>0</v>
      </c>
      <c r="BD248" s="3">
        <f>infections!BD248-infections!BC248</f>
        <v>0</v>
      </c>
      <c r="BE248" s="3">
        <f>infections!BE248-infections!BD248</f>
        <v>0</v>
      </c>
      <c r="BF248" s="3">
        <f>infections!BF248-infections!BE248</f>
        <v>0</v>
      </c>
      <c r="BG248" s="3">
        <f>infections!BG248-infections!BF248</f>
        <v>0</v>
      </c>
      <c r="BH248" s="3">
        <f>infections!BH248-infections!BG248</f>
        <v>0</v>
      </c>
      <c r="BI248" s="3">
        <f>infections!BI248-infections!BH248</f>
        <v>0</v>
      </c>
      <c r="BJ248" s="3">
        <f>infections!BJ248-infections!BI248</f>
        <v>0</v>
      </c>
      <c r="BK248" s="3">
        <f>infections!BK248-infections!BJ248</f>
        <v>0</v>
      </c>
      <c r="BL248" s="3">
        <f>infections!BL248-infections!BK248</f>
        <v>0</v>
      </c>
      <c r="BM248" s="3">
        <f>infections!BM248-infections!BL248</f>
        <v>0</v>
      </c>
      <c r="BN248" s="3">
        <f>infections!BN248-infections!BM248</f>
        <v>0</v>
      </c>
      <c r="BO248" s="3">
        <f>infections!BO248-infections!BN248</f>
        <v>0</v>
      </c>
      <c r="BP248" s="3">
        <f>infections!BP248-infections!BO248</f>
        <v>0</v>
      </c>
      <c r="BQ248" s="3">
        <f>infections!BQ248-infections!BP248</f>
        <v>3</v>
      </c>
      <c r="BR248" s="3">
        <f>infections!BR248-infections!BQ248</f>
        <v>0</v>
      </c>
      <c r="BS248" s="3">
        <f>infections!BS248-infections!BR248</f>
        <v>1</v>
      </c>
      <c r="BT248" s="3">
        <f>infections!BT248-infections!BS248</f>
        <v>0</v>
      </c>
      <c r="BU248" s="3">
        <f>infections!BU248-infections!BT248</f>
        <v>0</v>
      </c>
      <c r="BV248" s="3">
        <f>infections!BV248-infections!BU248</f>
        <v>1</v>
      </c>
      <c r="BW248" s="3">
        <f>infections!BW248-infections!BV248</f>
        <v>0</v>
      </c>
      <c r="BX248" s="3">
        <f>infections!BX248-infections!BW248</f>
        <v>1</v>
      </c>
      <c r="BY248" s="3">
        <f>infections!BY248-infections!BX248</f>
        <v>0</v>
      </c>
    </row>
    <row r="249">
      <c r="B249" s="1" t="str">
        <f>infections!B249</f>
        <v>Kosovo</v>
      </c>
      <c r="C249" s="4">
        <f>infections!C249</f>
        <v>42.602636</v>
      </c>
      <c r="D249" s="4">
        <f>infections!D249</f>
        <v>20.902977</v>
      </c>
      <c r="E249" s="4">
        <f>infections!E249</f>
        <v>0</v>
      </c>
      <c r="F249" s="3">
        <f>infections!F249-infections!E249</f>
        <v>0</v>
      </c>
      <c r="G249" s="3">
        <f>infections!G249-infections!F249</f>
        <v>0</v>
      </c>
      <c r="H249" s="3">
        <f>infections!H249-infections!G249</f>
        <v>0</v>
      </c>
      <c r="I249" s="3">
        <f>infections!I249-infections!H249</f>
        <v>0</v>
      </c>
      <c r="J249" s="3">
        <f>infections!J249-infections!I249</f>
        <v>0</v>
      </c>
      <c r="K249" s="3">
        <f>infections!K249-infections!J249</f>
        <v>0</v>
      </c>
      <c r="L249" s="3">
        <f>infections!L249-infections!K249</f>
        <v>0</v>
      </c>
      <c r="M249" s="3">
        <f>infections!M249-infections!L249</f>
        <v>0</v>
      </c>
      <c r="N249" s="3">
        <f>infections!N249-infections!M249</f>
        <v>0</v>
      </c>
      <c r="O249" s="3">
        <f>infections!O249-infections!N249</f>
        <v>0</v>
      </c>
      <c r="P249" s="3">
        <f>infections!P249-infections!O249</f>
        <v>0</v>
      </c>
      <c r="Q249" s="3">
        <f>infections!Q249-infections!P249</f>
        <v>0</v>
      </c>
      <c r="R249" s="3">
        <f>infections!R249-infections!Q249</f>
        <v>0</v>
      </c>
      <c r="S249" s="3">
        <f>infections!S249-infections!R249</f>
        <v>0</v>
      </c>
      <c r="T249" s="3">
        <f>infections!T249-infections!S249</f>
        <v>0</v>
      </c>
      <c r="U249" s="3">
        <f>infections!U249-infections!T249</f>
        <v>0</v>
      </c>
      <c r="V249" s="3">
        <f>infections!V249-infections!U249</f>
        <v>0</v>
      </c>
      <c r="W249" s="3">
        <f>infections!W249-infections!V249</f>
        <v>0</v>
      </c>
      <c r="X249" s="3">
        <f>infections!X249-infections!W249</f>
        <v>0</v>
      </c>
      <c r="Y249" s="3">
        <f>infections!Y249-infections!X249</f>
        <v>0</v>
      </c>
      <c r="Z249" s="3">
        <f>infections!Z249-infections!Y249</f>
        <v>0</v>
      </c>
      <c r="AA249" s="3">
        <f>infections!AA249-infections!Z249</f>
        <v>0</v>
      </c>
      <c r="AB249" s="3">
        <f>infections!AB249-infections!AA249</f>
        <v>0</v>
      </c>
      <c r="AC249" s="3">
        <f>infections!AC249-infections!AB249</f>
        <v>0</v>
      </c>
      <c r="AD249" s="3">
        <f>infections!AD249-infections!AC249</f>
        <v>0</v>
      </c>
      <c r="AE249" s="3">
        <f>infections!AE249-infections!AD249</f>
        <v>0</v>
      </c>
      <c r="AF249" s="3">
        <f>infections!AF249-infections!AE249</f>
        <v>0</v>
      </c>
      <c r="AG249" s="3">
        <f>infections!AG249-infections!AF249</f>
        <v>0</v>
      </c>
      <c r="AH249" s="3">
        <f>infections!AH249-infections!AG249</f>
        <v>0</v>
      </c>
      <c r="AI249" s="3">
        <f>infections!AI249-infections!AH249</f>
        <v>0</v>
      </c>
      <c r="AJ249" s="3">
        <f>infections!AJ249-infections!AI249</f>
        <v>0</v>
      </c>
      <c r="AK249" s="3">
        <f>infections!AK249-infections!AJ249</f>
        <v>0</v>
      </c>
      <c r="AL249" s="3">
        <f>infections!AL249-infections!AK249</f>
        <v>0</v>
      </c>
      <c r="AM249" s="3">
        <f>infections!AM249-infections!AL249</f>
        <v>0</v>
      </c>
      <c r="AN249" s="3">
        <f>infections!AN249-infections!AM249</f>
        <v>0</v>
      </c>
      <c r="AO249" s="3">
        <f>infections!AO249-infections!AN249</f>
        <v>0</v>
      </c>
      <c r="AP249" s="3">
        <f>infections!AP249-infections!AO249</f>
        <v>0</v>
      </c>
      <c r="AQ249" s="3">
        <f>infections!AQ249-infections!AP249</f>
        <v>0</v>
      </c>
      <c r="AR249" s="3">
        <f>infections!AR249-infections!AQ249</f>
        <v>0</v>
      </c>
      <c r="AS249" s="3">
        <f>infections!AS249-infections!AR249</f>
        <v>0</v>
      </c>
      <c r="AT249" s="3">
        <f>infections!AT249-infections!AS249</f>
        <v>0</v>
      </c>
      <c r="AU249" s="3">
        <f>infections!AU249-infections!AT249</f>
        <v>0</v>
      </c>
      <c r="AV249" s="3">
        <f>infections!AV249-infections!AU249</f>
        <v>0</v>
      </c>
      <c r="AW249" s="3">
        <f>infections!AW249-infections!AV249</f>
        <v>0</v>
      </c>
      <c r="AX249" s="3">
        <f>infections!AX249-infections!AW249</f>
        <v>0</v>
      </c>
      <c r="AY249" s="3">
        <f>infections!AY249-infections!AX249</f>
        <v>0</v>
      </c>
      <c r="AZ249" s="3">
        <f>infections!AZ249-infections!AY249</f>
        <v>0</v>
      </c>
      <c r="BA249" s="3">
        <f>infections!BA249-infections!AZ249</f>
        <v>0</v>
      </c>
      <c r="BB249" s="3">
        <f>infections!BB249-infections!BA249</f>
        <v>0</v>
      </c>
      <c r="BC249" s="3">
        <f>infections!BC249-infections!BB249</f>
        <v>0</v>
      </c>
      <c r="BD249" s="3">
        <f>infections!BD249-infections!BC249</f>
        <v>0</v>
      </c>
      <c r="BE249" s="3">
        <f>infections!BE249-infections!BD249</f>
        <v>0</v>
      </c>
      <c r="BF249" s="3">
        <f>infections!BF249-infections!BE249</f>
        <v>0</v>
      </c>
      <c r="BG249" s="3">
        <f>infections!BG249-infections!BF249</f>
        <v>0</v>
      </c>
      <c r="BH249" s="3">
        <f>infections!BH249-infections!BG249</f>
        <v>0</v>
      </c>
      <c r="BI249" s="3">
        <f>infections!BI249-infections!BH249</f>
        <v>0</v>
      </c>
      <c r="BJ249" s="3">
        <f>infections!BJ249-infections!BI249</f>
        <v>0</v>
      </c>
      <c r="BK249" s="3">
        <f>infections!BK249-infections!BJ249</f>
        <v>0</v>
      </c>
      <c r="BL249" s="3">
        <f>infections!BL249-infections!BK249</f>
        <v>0</v>
      </c>
      <c r="BM249" s="3">
        <f>infections!BM249-infections!BL249</f>
        <v>0</v>
      </c>
      <c r="BN249" s="3">
        <f>infections!BN249-infections!BM249</f>
        <v>0</v>
      </c>
      <c r="BO249" s="3">
        <f>infections!BO249-infections!BN249</f>
        <v>0</v>
      </c>
      <c r="BP249" s="3">
        <f>infections!BP249-infections!BO249</f>
        <v>0</v>
      </c>
      <c r="BQ249" s="3">
        <f>infections!BQ249-infections!BP249</f>
        <v>71</v>
      </c>
      <c r="BR249" s="3">
        <f>infections!BR249-infections!BQ249</f>
        <v>15</v>
      </c>
      <c r="BS249" s="3">
        <f>infections!BS249-infections!BR249</f>
        <v>5</v>
      </c>
      <c r="BT249" s="3">
        <f>infections!BT249-infections!BS249</f>
        <v>3</v>
      </c>
      <c r="BU249" s="3">
        <f>infections!BU249-infections!BT249</f>
        <v>0</v>
      </c>
      <c r="BV249" s="3">
        <f>infections!BV249-infections!BU249</f>
        <v>18</v>
      </c>
      <c r="BW249" s="3">
        <f>infections!BW249-infections!BV249</f>
        <v>13</v>
      </c>
      <c r="BX249" s="3">
        <f>infections!BX249-infections!BW249</f>
        <v>0</v>
      </c>
      <c r="BY249" s="3">
        <f>infections!BY249-infections!BX249</f>
        <v>1</v>
      </c>
    </row>
    <row r="250">
      <c r="B250" s="1" t="str">
        <f>infections!B250</f>
        <v>Burma</v>
      </c>
      <c r="C250" s="4">
        <f>infections!C250</f>
        <v>21.9162</v>
      </c>
      <c r="D250" s="4">
        <f>infections!D250</f>
        <v>95.956</v>
      </c>
      <c r="E250" s="4">
        <f>infections!E250</f>
        <v>0</v>
      </c>
      <c r="F250" s="3">
        <f>infections!F250-infections!E250</f>
        <v>0</v>
      </c>
      <c r="G250" s="3">
        <f>infections!G250-infections!F250</f>
        <v>0</v>
      </c>
      <c r="H250" s="3">
        <f>infections!H250-infections!G250</f>
        <v>0</v>
      </c>
      <c r="I250" s="3">
        <f>infections!I250-infections!H250</f>
        <v>0</v>
      </c>
      <c r="J250" s="3">
        <f>infections!J250-infections!I250</f>
        <v>0</v>
      </c>
      <c r="K250" s="3">
        <f>infections!K250-infections!J250</f>
        <v>0</v>
      </c>
      <c r="L250" s="3">
        <f>infections!L250-infections!K250</f>
        <v>0</v>
      </c>
      <c r="M250" s="3">
        <f>infections!M250-infections!L250</f>
        <v>0</v>
      </c>
      <c r="N250" s="3">
        <f>infections!N250-infections!M250</f>
        <v>0</v>
      </c>
      <c r="O250" s="3">
        <f>infections!O250-infections!N250</f>
        <v>0</v>
      </c>
      <c r="P250" s="3">
        <f>infections!P250-infections!O250</f>
        <v>0</v>
      </c>
      <c r="Q250" s="3">
        <f>infections!Q250-infections!P250</f>
        <v>0</v>
      </c>
      <c r="R250" s="3">
        <f>infections!R250-infections!Q250</f>
        <v>0</v>
      </c>
      <c r="S250" s="3">
        <f>infections!S250-infections!R250</f>
        <v>0</v>
      </c>
      <c r="T250" s="3">
        <f>infections!T250-infections!S250</f>
        <v>0</v>
      </c>
      <c r="U250" s="3">
        <f>infections!U250-infections!T250</f>
        <v>0</v>
      </c>
      <c r="V250" s="3">
        <f>infections!V250-infections!U250</f>
        <v>0</v>
      </c>
      <c r="W250" s="3">
        <f>infections!W250-infections!V250</f>
        <v>0</v>
      </c>
      <c r="X250" s="3">
        <f>infections!X250-infections!W250</f>
        <v>0</v>
      </c>
      <c r="Y250" s="3">
        <f>infections!Y250-infections!X250</f>
        <v>0</v>
      </c>
      <c r="Z250" s="3">
        <f>infections!Z250-infections!Y250</f>
        <v>0</v>
      </c>
      <c r="AA250" s="3">
        <f>infections!AA250-infections!Z250</f>
        <v>0</v>
      </c>
      <c r="AB250" s="3">
        <f>infections!AB250-infections!AA250</f>
        <v>0</v>
      </c>
      <c r="AC250" s="3">
        <f>infections!AC250-infections!AB250</f>
        <v>0</v>
      </c>
      <c r="AD250" s="3">
        <f>infections!AD250-infections!AC250</f>
        <v>0</v>
      </c>
      <c r="AE250" s="3">
        <f>infections!AE250-infections!AD250</f>
        <v>0</v>
      </c>
      <c r="AF250" s="3">
        <f>infections!AF250-infections!AE250</f>
        <v>0</v>
      </c>
      <c r="AG250" s="3">
        <f>infections!AG250-infections!AF250</f>
        <v>0</v>
      </c>
      <c r="AH250" s="3">
        <f>infections!AH250-infections!AG250</f>
        <v>0</v>
      </c>
      <c r="AI250" s="3">
        <f>infections!AI250-infections!AH250</f>
        <v>0</v>
      </c>
      <c r="AJ250" s="3">
        <f>infections!AJ250-infections!AI250</f>
        <v>0</v>
      </c>
      <c r="AK250" s="3">
        <f>infections!AK250-infections!AJ250</f>
        <v>0</v>
      </c>
      <c r="AL250" s="3">
        <f>infections!AL250-infections!AK250</f>
        <v>0</v>
      </c>
      <c r="AM250" s="3">
        <f>infections!AM250-infections!AL250</f>
        <v>0</v>
      </c>
      <c r="AN250" s="3">
        <f>infections!AN250-infections!AM250</f>
        <v>0</v>
      </c>
      <c r="AO250" s="3">
        <f>infections!AO250-infections!AN250</f>
        <v>0</v>
      </c>
      <c r="AP250" s="3">
        <f>infections!AP250-infections!AO250</f>
        <v>0</v>
      </c>
      <c r="AQ250" s="3">
        <f>infections!AQ250-infections!AP250</f>
        <v>0</v>
      </c>
      <c r="AR250" s="3">
        <f>infections!AR250-infections!AQ250</f>
        <v>0</v>
      </c>
      <c r="AS250" s="3">
        <f>infections!AS250-infections!AR250</f>
        <v>0</v>
      </c>
      <c r="AT250" s="3">
        <f>infections!AT250-infections!AS250</f>
        <v>0</v>
      </c>
      <c r="AU250" s="3">
        <f>infections!AU250-infections!AT250</f>
        <v>0</v>
      </c>
      <c r="AV250" s="3">
        <f>infections!AV250-infections!AU250</f>
        <v>0</v>
      </c>
      <c r="AW250" s="3">
        <f>infections!AW250-infections!AV250</f>
        <v>0</v>
      </c>
      <c r="AX250" s="3">
        <f>infections!AX250-infections!AW250</f>
        <v>0</v>
      </c>
      <c r="AY250" s="3">
        <f>infections!AY250-infections!AX250</f>
        <v>0</v>
      </c>
      <c r="AZ250" s="3">
        <f>infections!AZ250-infections!AY250</f>
        <v>0</v>
      </c>
      <c r="BA250" s="3">
        <f>infections!BA250-infections!AZ250</f>
        <v>0</v>
      </c>
      <c r="BB250" s="3">
        <f>infections!BB250-infections!BA250</f>
        <v>0</v>
      </c>
      <c r="BC250" s="3">
        <f>infections!BC250-infections!BB250</f>
        <v>0</v>
      </c>
      <c r="BD250" s="3">
        <f>infections!BD250-infections!BC250</f>
        <v>0</v>
      </c>
      <c r="BE250" s="3">
        <f>infections!BE250-infections!BD250</f>
        <v>0</v>
      </c>
      <c r="BF250" s="3">
        <f>infections!BF250-infections!BE250</f>
        <v>0</v>
      </c>
      <c r="BG250" s="3">
        <f>infections!BG250-infections!BF250</f>
        <v>0</v>
      </c>
      <c r="BH250" s="3">
        <f>infections!BH250-infections!BG250</f>
        <v>0</v>
      </c>
      <c r="BI250" s="3">
        <f>infections!BI250-infections!BH250</f>
        <v>0</v>
      </c>
      <c r="BJ250" s="3">
        <f>infections!BJ250-infections!BI250</f>
        <v>0</v>
      </c>
      <c r="BK250" s="3">
        <f>infections!BK250-infections!BJ250</f>
        <v>0</v>
      </c>
      <c r="BL250" s="3">
        <f>infections!BL250-infections!BK250</f>
        <v>0</v>
      </c>
      <c r="BM250" s="3">
        <f>infections!BM250-infections!BL250</f>
        <v>0</v>
      </c>
      <c r="BN250" s="3">
        <f>infections!BN250-infections!BM250</f>
        <v>0</v>
      </c>
      <c r="BO250" s="3">
        <f>infections!BO250-infections!BN250</f>
        <v>0</v>
      </c>
      <c r="BP250" s="3">
        <f>infections!BP250-infections!BO250</f>
        <v>0</v>
      </c>
      <c r="BQ250" s="3">
        <f>infections!BQ250-infections!BP250</f>
        <v>0</v>
      </c>
      <c r="BR250" s="3">
        <f>infections!BR250-infections!BQ250</f>
        <v>8</v>
      </c>
      <c r="BS250" s="3">
        <f>infections!BS250-infections!BR250</f>
        <v>0</v>
      </c>
      <c r="BT250" s="3">
        <f>infections!BT250-infections!BS250</f>
        <v>2</v>
      </c>
      <c r="BU250" s="3">
        <f>infections!BU250-infections!BT250</f>
        <v>4</v>
      </c>
      <c r="BV250" s="3">
        <f>infections!BV250-infections!BU250</f>
        <v>1</v>
      </c>
      <c r="BW250" s="3">
        <f>infections!BW250-infections!BV250</f>
        <v>0</v>
      </c>
      <c r="BX250" s="3">
        <f>infections!BX250-infections!BW250</f>
        <v>5</v>
      </c>
      <c r="BY250" s="3">
        <f>infections!BY250-infections!BX250</f>
        <v>0</v>
      </c>
    </row>
    <row r="251">
      <c r="B251" s="1" t="str">
        <f>infections!B251</f>
        <v>United Kingdom</v>
      </c>
      <c r="C251" s="4">
        <f>infections!C251</f>
        <v>18.2206</v>
      </c>
      <c r="D251" s="4">
        <f>infections!D251</f>
        <v>-63.0686</v>
      </c>
      <c r="E251" s="4">
        <f>infections!E251</f>
        <v>0</v>
      </c>
      <c r="F251" s="3">
        <f>infections!F251-infections!E251</f>
        <v>0</v>
      </c>
      <c r="G251" s="3">
        <f>infections!G251-infections!F251</f>
        <v>0</v>
      </c>
      <c r="H251" s="3">
        <f>infections!H251-infections!G251</f>
        <v>0</v>
      </c>
      <c r="I251" s="3">
        <f>infections!I251-infections!H251</f>
        <v>0</v>
      </c>
      <c r="J251" s="3">
        <f>infections!J251-infections!I251</f>
        <v>0</v>
      </c>
      <c r="K251" s="3">
        <f>infections!K251-infections!J251</f>
        <v>0</v>
      </c>
      <c r="L251" s="3">
        <f>infections!L251-infections!K251</f>
        <v>0</v>
      </c>
      <c r="M251" s="3">
        <f>infections!M251-infections!L251</f>
        <v>0</v>
      </c>
      <c r="N251" s="3">
        <f>infections!N251-infections!M251</f>
        <v>0</v>
      </c>
      <c r="O251" s="3">
        <f>infections!O251-infections!N251</f>
        <v>0</v>
      </c>
      <c r="P251" s="3">
        <f>infections!P251-infections!O251</f>
        <v>0</v>
      </c>
      <c r="Q251" s="3">
        <f>infections!Q251-infections!P251</f>
        <v>0</v>
      </c>
      <c r="R251" s="3">
        <f>infections!R251-infections!Q251</f>
        <v>0</v>
      </c>
      <c r="S251" s="3">
        <f>infections!S251-infections!R251</f>
        <v>0</v>
      </c>
      <c r="T251" s="3">
        <f>infections!T251-infections!S251</f>
        <v>0</v>
      </c>
      <c r="U251" s="3">
        <f>infections!U251-infections!T251</f>
        <v>0</v>
      </c>
      <c r="V251" s="3">
        <f>infections!V251-infections!U251</f>
        <v>0</v>
      </c>
      <c r="W251" s="3">
        <f>infections!W251-infections!V251</f>
        <v>0</v>
      </c>
      <c r="X251" s="3">
        <f>infections!X251-infections!W251</f>
        <v>0</v>
      </c>
      <c r="Y251" s="3">
        <f>infections!Y251-infections!X251</f>
        <v>0</v>
      </c>
      <c r="Z251" s="3">
        <f>infections!Z251-infections!Y251</f>
        <v>0</v>
      </c>
      <c r="AA251" s="3">
        <f>infections!AA251-infections!Z251</f>
        <v>0</v>
      </c>
      <c r="AB251" s="3">
        <f>infections!AB251-infections!AA251</f>
        <v>0</v>
      </c>
      <c r="AC251" s="3">
        <f>infections!AC251-infections!AB251</f>
        <v>0</v>
      </c>
      <c r="AD251" s="3">
        <f>infections!AD251-infections!AC251</f>
        <v>0</v>
      </c>
      <c r="AE251" s="3">
        <f>infections!AE251-infections!AD251</f>
        <v>0</v>
      </c>
      <c r="AF251" s="3">
        <f>infections!AF251-infections!AE251</f>
        <v>0</v>
      </c>
      <c r="AG251" s="3">
        <f>infections!AG251-infections!AF251</f>
        <v>0</v>
      </c>
      <c r="AH251" s="3">
        <f>infections!AH251-infections!AG251</f>
        <v>0</v>
      </c>
      <c r="AI251" s="3">
        <f>infections!AI251-infections!AH251</f>
        <v>0</v>
      </c>
      <c r="AJ251" s="3">
        <f>infections!AJ251-infections!AI251</f>
        <v>0</v>
      </c>
      <c r="AK251" s="3">
        <f>infections!AK251-infections!AJ251</f>
        <v>0</v>
      </c>
      <c r="AL251" s="3">
        <f>infections!AL251-infections!AK251</f>
        <v>0</v>
      </c>
      <c r="AM251" s="3">
        <f>infections!AM251-infections!AL251</f>
        <v>0</v>
      </c>
      <c r="AN251" s="3">
        <f>infections!AN251-infections!AM251</f>
        <v>0</v>
      </c>
      <c r="AO251" s="3">
        <f>infections!AO251-infections!AN251</f>
        <v>0</v>
      </c>
      <c r="AP251" s="3">
        <f>infections!AP251-infections!AO251</f>
        <v>0</v>
      </c>
      <c r="AQ251" s="3">
        <f>infections!AQ251-infections!AP251</f>
        <v>0</v>
      </c>
      <c r="AR251" s="3">
        <f>infections!AR251-infections!AQ251</f>
        <v>0</v>
      </c>
      <c r="AS251" s="3">
        <f>infections!AS251-infections!AR251</f>
        <v>0</v>
      </c>
      <c r="AT251" s="3">
        <f>infections!AT251-infections!AS251</f>
        <v>0</v>
      </c>
      <c r="AU251" s="3">
        <f>infections!AU251-infections!AT251</f>
        <v>0</v>
      </c>
      <c r="AV251" s="3">
        <f>infections!AV251-infections!AU251</f>
        <v>0</v>
      </c>
      <c r="AW251" s="3">
        <f>infections!AW251-infections!AV251</f>
        <v>0</v>
      </c>
      <c r="AX251" s="3">
        <f>infections!AX251-infections!AW251</f>
        <v>0</v>
      </c>
      <c r="AY251" s="3">
        <f>infections!AY251-infections!AX251</f>
        <v>0</v>
      </c>
      <c r="AZ251" s="3">
        <f>infections!AZ251-infections!AY251</f>
        <v>0</v>
      </c>
      <c r="BA251" s="3">
        <f>infections!BA251-infections!AZ251</f>
        <v>0</v>
      </c>
      <c r="BB251" s="3">
        <f>infections!BB251-infections!BA251</f>
        <v>0</v>
      </c>
      <c r="BC251" s="3">
        <f>infections!BC251-infections!BB251</f>
        <v>0</v>
      </c>
      <c r="BD251" s="3">
        <f>infections!BD251-infections!BC251</f>
        <v>0</v>
      </c>
      <c r="BE251" s="3">
        <f>infections!BE251-infections!BD251</f>
        <v>0</v>
      </c>
      <c r="BF251" s="3">
        <f>infections!BF251-infections!BE251</f>
        <v>0</v>
      </c>
      <c r="BG251" s="3">
        <f>infections!BG251-infections!BF251</f>
        <v>0</v>
      </c>
      <c r="BH251" s="3">
        <f>infections!BH251-infections!BG251</f>
        <v>0</v>
      </c>
      <c r="BI251" s="3">
        <f>infections!BI251-infections!BH251</f>
        <v>0</v>
      </c>
      <c r="BJ251" s="3">
        <f>infections!BJ251-infections!BI251</f>
        <v>0</v>
      </c>
      <c r="BK251" s="3">
        <f>infections!BK251-infections!BJ251</f>
        <v>0</v>
      </c>
      <c r="BL251" s="3">
        <f>infections!BL251-infections!BK251</f>
        <v>0</v>
      </c>
      <c r="BM251" s="3">
        <f>infections!BM251-infections!BL251</f>
        <v>0</v>
      </c>
      <c r="BN251" s="3">
        <f>infections!BN251-infections!BM251</f>
        <v>0</v>
      </c>
      <c r="BO251" s="3">
        <f>infections!BO251-infections!BN251</f>
        <v>0</v>
      </c>
      <c r="BP251" s="3">
        <f>infections!BP251-infections!BO251</f>
        <v>0</v>
      </c>
      <c r="BQ251" s="3">
        <f>infections!BQ251-infections!BP251</f>
        <v>0</v>
      </c>
      <c r="BR251" s="3">
        <f>infections!BR251-infections!BQ251</f>
        <v>0</v>
      </c>
      <c r="BS251" s="3">
        <f>infections!BS251-infections!BR251</f>
        <v>2</v>
      </c>
      <c r="BT251" s="3">
        <f>infections!BT251-infections!BS251</f>
        <v>0</v>
      </c>
      <c r="BU251" s="3">
        <f>infections!BU251-infections!BT251</f>
        <v>0</v>
      </c>
      <c r="BV251" s="3">
        <f>infections!BV251-infections!BU251</f>
        <v>0</v>
      </c>
      <c r="BW251" s="3">
        <f>infections!BW251-infections!BV251</f>
        <v>0</v>
      </c>
      <c r="BX251" s="3">
        <f>infections!BX251-infections!BW251</f>
        <v>1</v>
      </c>
      <c r="BY251" s="3">
        <f>infections!BY251-infections!BX251</f>
        <v>0</v>
      </c>
    </row>
    <row r="252">
      <c r="B252" s="1" t="str">
        <f>infections!B252</f>
        <v>United Kingdom</v>
      </c>
      <c r="C252" s="4">
        <f>infections!C252</f>
        <v>18.4207</v>
      </c>
      <c r="D252" s="4">
        <f>infections!D252</f>
        <v>-64.64</v>
      </c>
      <c r="E252" s="4">
        <f>infections!E252</f>
        <v>0</v>
      </c>
      <c r="F252" s="3">
        <f>infections!F252-infections!E252</f>
        <v>0</v>
      </c>
      <c r="G252" s="3">
        <f>infections!G252-infections!F252</f>
        <v>0</v>
      </c>
      <c r="H252" s="3">
        <f>infections!H252-infections!G252</f>
        <v>0</v>
      </c>
      <c r="I252" s="3">
        <f>infections!I252-infections!H252</f>
        <v>0</v>
      </c>
      <c r="J252" s="3">
        <f>infections!J252-infections!I252</f>
        <v>0</v>
      </c>
      <c r="K252" s="3">
        <f>infections!K252-infections!J252</f>
        <v>0</v>
      </c>
      <c r="L252" s="3">
        <f>infections!L252-infections!K252</f>
        <v>0</v>
      </c>
      <c r="M252" s="3">
        <f>infections!M252-infections!L252</f>
        <v>0</v>
      </c>
      <c r="N252" s="3">
        <f>infections!N252-infections!M252</f>
        <v>0</v>
      </c>
      <c r="O252" s="3">
        <f>infections!O252-infections!N252</f>
        <v>0</v>
      </c>
      <c r="P252" s="3">
        <f>infections!P252-infections!O252</f>
        <v>0</v>
      </c>
      <c r="Q252" s="3">
        <f>infections!Q252-infections!P252</f>
        <v>0</v>
      </c>
      <c r="R252" s="3">
        <f>infections!R252-infections!Q252</f>
        <v>0</v>
      </c>
      <c r="S252" s="3">
        <f>infections!S252-infections!R252</f>
        <v>0</v>
      </c>
      <c r="T252" s="3">
        <f>infections!T252-infections!S252</f>
        <v>0</v>
      </c>
      <c r="U252" s="3">
        <f>infections!U252-infections!T252</f>
        <v>0</v>
      </c>
      <c r="V252" s="3">
        <f>infections!V252-infections!U252</f>
        <v>0</v>
      </c>
      <c r="W252" s="3">
        <f>infections!W252-infections!V252</f>
        <v>0</v>
      </c>
      <c r="X252" s="3">
        <f>infections!X252-infections!W252</f>
        <v>0</v>
      </c>
      <c r="Y252" s="3">
        <f>infections!Y252-infections!X252</f>
        <v>0</v>
      </c>
      <c r="Z252" s="3">
        <f>infections!Z252-infections!Y252</f>
        <v>0</v>
      </c>
      <c r="AA252" s="3">
        <f>infections!AA252-infections!Z252</f>
        <v>0</v>
      </c>
      <c r="AB252" s="3">
        <f>infections!AB252-infections!AA252</f>
        <v>0</v>
      </c>
      <c r="AC252" s="3">
        <f>infections!AC252-infections!AB252</f>
        <v>0</v>
      </c>
      <c r="AD252" s="3">
        <f>infections!AD252-infections!AC252</f>
        <v>0</v>
      </c>
      <c r="AE252" s="3">
        <f>infections!AE252-infections!AD252</f>
        <v>0</v>
      </c>
      <c r="AF252" s="3">
        <f>infections!AF252-infections!AE252</f>
        <v>0</v>
      </c>
      <c r="AG252" s="3">
        <f>infections!AG252-infections!AF252</f>
        <v>0</v>
      </c>
      <c r="AH252" s="3">
        <f>infections!AH252-infections!AG252</f>
        <v>0</v>
      </c>
      <c r="AI252" s="3">
        <f>infections!AI252-infections!AH252</f>
        <v>0</v>
      </c>
      <c r="AJ252" s="3">
        <f>infections!AJ252-infections!AI252</f>
        <v>0</v>
      </c>
      <c r="AK252" s="3">
        <f>infections!AK252-infections!AJ252</f>
        <v>0</v>
      </c>
      <c r="AL252" s="3">
        <f>infections!AL252-infections!AK252</f>
        <v>0</v>
      </c>
      <c r="AM252" s="3">
        <f>infections!AM252-infections!AL252</f>
        <v>0</v>
      </c>
      <c r="AN252" s="3">
        <f>infections!AN252-infections!AM252</f>
        <v>0</v>
      </c>
      <c r="AO252" s="3">
        <f>infections!AO252-infections!AN252</f>
        <v>0</v>
      </c>
      <c r="AP252" s="3">
        <f>infections!AP252-infections!AO252</f>
        <v>0</v>
      </c>
      <c r="AQ252" s="3">
        <f>infections!AQ252-infections!AP252</f>
        <v>0</v>
      </c>
      <c r="AR252" s="3">
        <f>infections!AR252-infections!AQ252</f>
        <v>0</v>
      </c>
      <c r="AS252" s="3">
        <f>infections!AS252-infections!AR252</f>
        <v>0</v>
      </c>
      <c r="AT252" s="3">
        <f>infections!AT252-infections!AS252</f>
        <v>0</v>
      </c>
      <c r="AU252" s="3">
        <f>infections!AU252-infections!AT252</f>
        <v>0</v>
      </c>
      <c r="AV252" s="3">
        <f>infections!AV252-infections!AU252</f>
        <v>0</v>
      </c>
      <c r="AW252" s="3">
        <f>infections!AW252-infections!AV252</f>
        <v>0</v>
      </c>
      <c r="AX252" s="3">
        <f>infections!AX252-infections!AW252</f>
        <v>0</v>
      </c>
      <c r="AY252" s="3">
        <f>infections!AY252-infections!AX252</f>
        <v>0</v>
      </c>
      <c r="AZ252" s="3">
        <f>infections!AZ252-infections!AY252</f>
        <v>0</v>
      </c>
      <c r="BA252" s="3">
        <f>infections!BA252-infections!AZ252</f>
        <v>0</v>
      </c>
      <c r="BB252" s="3">
        <f>infections!BB252-infections!BA252</f>
        <v>0</v>
      </c>
      <c r="BC252" s="3">
        <f>infections!BC252-infections!BB252</f>
        <v>0</v>
      </c>
      <c r="BD252" s="3">
        <f>infections!BD252-infections!BC252</f>
        <v>0</v>
      </c>
      <c r="BE252" s="3">
        <f>infections!BE252-infections!BD252</f>
        <v>0</v>
      </c>
      <c r="BF252" s="3">
        <f>infections!BF252-infections!BE252</f>
        <v>0</v>
      </c>
      <c r="BG252" s="3">
        <f>infections!BG252-infections!BF252</f>
        <v>0</v>
      </c>
      <c r="BH252" s="3">
        <f>infections!BH252-infections!BG252</f>
        <v>0</v>
      </c>
      <c r="BI252" s="3">
        <f>infections!BI252-infections!BH252</f>
        <v>0</v>
      </c>
      <c r="BJ252" s="3">
        <f>infections!BJ252-infections!BI252</f>
        <v>0</v>
      </c>
      <c r="BK252" s="3">
        <f>infections!BK252-infections!BJ252</f>
        <v>0</v>
      </c>
      <c r="BL252" s="3">
        <f>infections!BL252-infections!BK252</f>
        <v>0</v>
      </c>
      <c r="BM252" s="3">
        <f>infections!BM252-infections!BL252</f>
        <v>0</v>
      </c>
      <c r="BN252" s="3">
        <f>infections!BN252-infections!BM252</f>
        <v>0</v>
      </c>
      <c r="BO252" s="3">
        <f>infections!BO252-infections!BN252</f>
        <v>0</v>
      </c>
      <c r="BP252" s="3">
        <f>infections!BP252-infections!BO252</f>
        <v>0</v>
      </c>
      <c r="BQ252" s="3">
        <f>infections!BQ252-infections!BP252</f>
        <v>0</v>
      </c>
      <c r="BR252" s="3">
        <f>infections!BR252-infections!BQ252</f>
        <v>0</v>
      </c>
      <c r="BS252" s="3">
        <f>infections!BS252-infections!BR252</f>
        <v>2</v>
      </c>
      <c r="BT252" s="3">
        <f>infections!BT252-infections!BS252</f>
        <v>0</v>
      </c>
      <c r="BU252" s="3">
        <f>infections!BU252-infections!BT252</f>
        <v>0</v>
      </c>
      <c r="BV252" s="3">
        <f>infections!BV252-infections!BU252</f>
        <v>1</v>
      </c>
      <c r="BW252" s="3">
        <f>infections!BW252-infections!BV252</f>
        <v>0</v>
      </c>
      <c r="BX252" s="3">
        <f>infections!BX252-infections!BW252</f>
        <v>0</v>
      </c>
      <c r="BY252" s="3">
        <f>infections!BY252-infections!BX252</f>
        <v>0</v>
      </c>
    </row>
    <row r="253">
      <c r="B253" s="1" t="str">
        <f>infections!B253</f>
        <v>United Kingdom</v>
      </c>
      <c r="C253" s="4">
        <f>infections!C253</f>
        <v>21.694</v>
      </c>
      <c r="D253" s="4">
        <f>infections!D253</f>
        <v>-71.7979</v>
      </c>
      <c r="E253" s="4">
        <f>infections!E253</f>
        <v>0</v>
      </c>
      <c r="F253" s="3">
        <f>infections!F253-infections!E253</f>
        <v>0</v>
      </c>
      <c r="G253" s="3">
        <f>infections!G253-infections!F253</f>
        <v>0</v>
      </c>
      <c r="H253" s="3">
        <f>infections!H253-infections!G253</f>
        <v>0</v>
      </c>
      <c r="I253" s="3">
        <f>infections!I253-infections!H253</f>
        <v>0</v>
      </c>
      <c r="J253" s="3">
        <f>infections!J253-infections!I253</f>
        <v>0</v>
      </c>
      <c r="K253" s="3">
        <f>infections!K253-infections!J253</f>
        <v>0</v>
      </c>
      <c r="L253" s="3">
        <f>infections!L253-infections!K253</f>
        <v>0</v>
      </c>
      <c r="M253" s="3">
        <f>infections!M253-infections!L253</f>
        <v>0</v>
      </c>
      <c r="N253" s="3">
        <f>infections!N253-infections!M253</f>
        <v>0</v>
      </c>
      <c r="O253" s="3">
        <f>infections!O253-infections!N253</f>
        <v>0</v>
      </c>
      <c r="P253" s="3">
        <f>infections!P253-infections!O253</f>
        <v>0</v>
      </c>
      <c r="Q253" s="3">
        <f>infections!Q253-infections!P253</f>
        <v>0</v>
      </c>
      <c r="R253" s="3">
        <f>infections!R253-infections!Q253</f>
        <v>0</v>
      </c>
      <c r="S253" s="3">
        <f>infections!S253-infections!R253</f>
        <v>0</v>
      </c>
      <c r="T253" s="3">
        <f>infections!T253-infections!S253</f>
        <v>0</v>
      </c>
      <c r="U253" s="3">
        <f>infections!U253-infections!T253</f>
        <v>0</v>
      </c>
      <c r="V253" s="3">
        <f>infections!V253-infections!U253</f>
        <v>0</v>
      </c>
      <c r="W253" s="3">
        <f>infections!W253-infections!V253</f>
        <v>0</v>
      </c>
      <c r="X253" s="3">
        <f>infections!X253-infections!W253</f>
        <v>0</v>
      </c>
      <c r="Y253" s="3">
        <f>infections!Y253-infections!X253</f>
        <v>0</v>
      </c>
      <c r="Z253" s="3">
        <f>infections!Z253-infections!Y253</f>
        <v>0</v>
      </c>
      <c r="AA253" s="3">
        <f>infections!AA253-infections!Z253</f>
        <v>0</v>
      </c>
      <c r="AB253" s="3">
        <f>infections!AB253-infections!AA253</f>
        <v>0</v>
      </c>
      <c r="AC253" s="3">
        <f>infections!AC253-infections!AB253</f>
        <v>0</v>
      </c>
      <c r="AD253" s="3">
        <f>infections!AD253-infections!AC253</f>
        <v>0</v>
      </c>
      <c r="AE253" s="3">
        <f>infections!AE253-infections!AD253</f>
        <v>0</v>
      </c>
      <c r="AF253" s="3">
        <f>infections!AF253-infections!AE253</f>
        <v>0</v>
      </c>
      <c r="AG253" s="3">
        <f>infections!AG253-infections!AF253</f>
        <v>0</v>
      </c>
      <c r="AH253" s="3">
        <f>infections!AH253-infections!AG253</f>
        <v>0</v>
      </c>
      <c r="AI253" s="3">
        <f>infections!AI253-infections!AH253</f>
        <v>0</v>
      </c>
      <c r="AJ253" s="3">
        <f>infections!AJ253-infections!AI253</f>
        <v>0</v>
      </c>
      <c r="AK253" s="3">
        <f>infections!AK253-infections!AJ253</f>
        <v>0</v>
      </c>
      <c r="AL253" s="3">
        <f>infections!AL253-infections!AK253</f>
        <v>0</v>
      </c>
      <c r="AM253" s="3">
        <f>infections!AM253-infections!AL253</f>
        <v>0</v>
      </c>
      <c r="AN253" s="3">
        <f>infections!AN253-infections!AM253</f>
        <v>0</v>
      </c>
      <c r="AO253" s="3">
        <f>infections!AO253-infections!AN253</f>
        <v>0</v>
      </c>
      <c r="AP253" s="3">
        <f>infections!AP253-infections!AO253</f>
        <v>0</v>
      </c>
      <c r="AQ253" s="3">
        <f>infections!AQ253-infections!AP253</f>
        <v>0</v>
      </c>
      <c r="AR253" s="3">
        <f>infections!AR253-infections!AQ253</f>
        <v>0</v>
      </c>
      <c r="AS253" s="3">
        <f>infections!AS253-infections!AR253</f>
        <v>0</v>
      </c>
      <c r="AT253" s="3">
        <f>infections!AT253-infections!AS253</f>
        <v>0</v>
      </c>
      <c r="AU253" s="3">
        <f>infections!AU253-infections!AT253</f>
        <v>0</v>
      </c>
      <c r="AV253" s="3">
        <f>infections!AV253-infections!AU253</f>
        <v>0</v>
      </c>
      <c r="AW253" s="3">
        <f>infections!AW253-infections!AV253</f>
        <v>0</v>
      </c>
      <c r="AX253" s="3">
        <f>infections!AX253-infections!AW253</f>
        <v>0</v>
      </c>
      <c r="AY253" s="3">
        <f>infections!AY253-infections!AX253</f>
        <v>0</v>
      </c>
      <c r="AZ253" s="3">
        <f>infections!AZ253-infections!AY253</f>
        <v>0</v>
      </c>
      <c r="BA253" s="3">
        <f>infections!BA253-infections!AZ253</f>
        <v>0</v>
      </c>
      <c r="BB253" s="3">
        <f>infections!BB253-infections!BA253</f>
        <v>0</v>
      </c>
      <c r="BC253" s="3">
        <f>infections!BC253-infections!BB253</f>
        <v>0</v>
      </c>
      <c r="BD253" s="3">
        <f>infections!BD253-infections!BC253</f>
        <v>0</v>
      </c>
      <c r="BE253" s="3">
        <f>infections!BE253-infections!BD253</f>
        <v>0</v>
      </c>
      <c r="BF253" s="3">
        <f>infections!BF253-infections!BE253</f>
        <v>0</v>
      </c>
      <c r="BG253" s="3">
        <f>infections!BG253-infections!BF253</f>
        <v>0</v>
      </c>
      <c r="BH253" s="3">
        <f>infections!BH253-infections!BG253</f>
        <v>0</v>
      </c>
      <c r="BI253" s="3">
        <f>infections!BI253-infections!BH253</f>
        <v>0</v>
      </c>
      <c r="BJ253" s="3">
        <f>infections!BJ253-infections!BI253</f>
        <v>0</v>
      </c>
      <c r="BK253" s="3">
        <f>infections!BK253-infections!BJ253</f>
        <v>0</v>
      </c>
      <c r="BL253" s="3">
        <f>infections!BL253-infections!BK253</f>
        <v>0</v>
      </c>
      <c r="BM253" s="3">
        <f>infections!BM253-infections!BL253</f>
        <v>0</v>
      </c>
      <c r="BN253" s="3">
        <f>infections!BN253-infections!BM253</f>
        <v>0</v>
      </c>
      <c r="BO253" s="3">
        <f>infections!BO253-infections!BN253</f>
        <v>0</v>
      </c>
      <c r="BP253" s="3">
        <f>infections!BP253-infections!BO253</f>
        <v>0</v>
      </c>
      <c r="BQ253" s="3">
        <f>infections!BQ253-infections!BP253</f>
        <v>0</v>
      </c>
      <c r="BR253" s="3">
        <f>infections!BR253-infections!BQ253</f>
        <v>0</v>
      </c>
      <c r="BS253" s="3">
        <f>infections!BS253-infections!BR253</f>
        <v>4</v>
      </c>
      <c r="BT253" s="3">
        <f>infections!BT253-infections!BS253</f>
        <v>0</v>
      </c>
      <c r="BU253" s="3">
        <f>infections!BU253-infections!BT253</f>
        <v>1</v>
      </c>
      <c r="BV253" s="3">
        <f>infections!BV253-infections!BU253</f>
        <v>0</v>
      </c>
      <c r="BW253" s="3">
        <f>infections!BW253-infections!BV253</f>
        <v>1</v>
      </c>
      <c r="BX253" s="3">
        <f>infections!BX253-infections!BW253</f>
        <v>-1</v>
      </c>
      <c r="BY253" s="3">
        <f>infections!BY253-infections!BX253</f>
        <v>0</v>
      </c>
    </row>
    <row r="254">
      <c r="B254" s="1" t="str">
        <f>infections!B254</f>
        <v>MS Zaandam</v>
      </c>
      <c r="C254" s="4">
        <f>infections!C254</f>
        <v>0</v>
      </c>
      <c r="D254" s="4">
        <f>infections!D254</f>
        <v>0</v>
      </c>
      <c r="E254" s="4">
        <f>infections!E254</f>
        <v>0</v>
      </c>
      <c r="F254" s="3">
        <f>infections!F254-infections!E254</f>
        <v>0</v>
      </c>
      <c r="G254" s="3">
        <f>infections!G254-infections!F254</f>
        <v>0</v>
      </c>
      <c r="H254" s="3">
        <f>infections!H254-infections!G254</f>
        <v>0</v>
      </c>
      <c r="I254" s="3">
        <f>infections!I254-infections!H254</f>
        <v>0</v>
      </c>
      <c r="J254" s="3">
        <f>infections!J254-infections!I254</f>
        <v>0</v>
      </c>
      <c r="K254" s="3">
        <f>infections!K254-infections!J254</f>
        <v>0</v>
      </c>
      <c r="L254" s="3">
        <f>infections!L254-infections!K254</f>
        <v>0</v>
      </c>
      <c r="M254" s="3">
        <f>infections!M254-infections!L254</f>
        <v>0</v>
      </c>
      <c r="N254" s="3">
        <f>infections!N254-infections!M254</f>
        <v>0</v>
      </c>
      <c r="O254" s="3">
        <f>infections!O254-infections!N254</f>
        <v>0</v>
      </c>
      <c r="P254" s="3">
        <f>infections!P254-infections!O254</f>
        <v>0</v>
      </c>
      <c r="Q254" s="3">
        <f>infections!Q254-infections!P254</f>
        <v>0</v>
      </c>
      <c r="R254" s="3">
        <f>infections!R254-infections!Q254</f>
        <v>0</v>
      </c>
      <c r="S254" s="3">
        <f>infections!S254-infections!R254</f>
        <v>0</v>
      </c>
      <c r="T254" s="3">
        <f>infections!T254-infections!S254</f>
        <v>0</v>
      </c>
      <c r="U254" s="3">
        <f>infections!U254-infections!T254</f>
        <v>0</v>
      </c>
      <c r="V254" s="3">
        <f>infections!V254-infections!U254</f>
        <v>0</v>
      </c>
      <c r="W254" s="3">
        <f>infections!W254-infections!V254</f>
        <v>0</v>
      </c>
      <c r="X254" s="3">
        <f>infections!X254-infections!W254</f>
        <v>0</v>
      </c>
      <c r="Y254" s="3">
        <f>infections!Y254-infections!X254</f>
        <v>0</v>
      </c>
      <c r="Z254" s="3">
        <f>infections!Z254-infections!Y254</f>
        <v>0</v>
      </c>
      <c r="AA254" s="3">
        <f>infections!AA254-infections!Z254</f>
        <v>0</v>
      </c>
      <c r="AB254" s="3">
        <f>infections!AB254-infections!AA254</f>
        <v>0</v>
      </c>
      <c r="AC254" s="3">
        <f>infections!AC254-infections!AB254</f>
        <v>0</v>
      </c>
      <c r="AD254" s="3">
        <f>infections!AD254-infections!AC254</f>
        <v>0</v>
      </c>
      <c r="AE254" s="3">
        <f>infections!AE254-infections!AD254</f>
        <v>0</v>
      </c>
      <c r="AF254" s="3">
        <f>infections!AF254-infections!AE254</f>
        <v>0</v>
      </c>
      <c r="AG254" s="3">
        <f>infections!AG254-infections!AF254</f>
        <v>0</v>
      </c>
      <c r="AH254" s="3">
        <f>infections!AH254-infections!AG254</f>
        <v>0</v>
      </c>
      <c r="AI254" s="3">
        <f>infections!AI254-infections!AH254</f>
        <v>0</v>
      </c>
      <c r="AJ254" s="3">
        <f>infections!AJ254-infections!AI254</f>
        <v>0</v>
      </c>
      <c r="AK254" s="3">
        <f>infections!AK254-infections!AJ254</f>
        <v>0</v>
      </c>
      <c r="AL254" s="3">
        <f>infections!AL254-infections!AK254</f>
        <v>0</v>
      </c>
      <c r="AM254" s="3">
        <f>infections!AM254-infections!AL254</f>
        <v>0</v>
      </c>
      <c r="AN254" s="3">
        <f>infections!AN254-infections!AM254</f>
        <v>0</v>
      </c>
      <c r="AO254" s="3">
        <f>infections!AO254-infections!AN254</f>
        <v>0</v>
      </c>
      <c r="AP254" s="3">
        <f>infections!AP254-infections!AO254</f>
        <v>0</v>
      </c>
      <c r="AQ254" s="3">
        <f>infections!AQ254-infections!AP254</f>
        <v>0</v>
      </c>
      <c r="AR254" s="3">
        <f>infections!AR254-infections!AQ254</f>
        <v>0</v>
      </c>
      <c r="AS254" s="3">
        <f>infections!AS254-infections!AR254</f>
        <v>0</v>
      </c>
      <c r="AT254" s="3">
        <f>infections!AT254-infections!AS254</f>
        <v>0</v>
      </c>
      <c r="AU254" s="3">
        <f>infections!AU254-infections!AT254</f>
        <v>0</v>
      </c>
      <c r="AV254" s="3">
        <f>infections!AV254-infections!AU254</f>
        <v>0</v>
      </c>
      <c r="AW254" s="3">
        <f>infections!AW254-infections!AV254</f>
        <v>0</v>
      </c>
      <c r="AX254" s="3">
        <f>infections!AX254-infections!AW254</f>
        <v>0</v>
      </c>
      <c r="AY254" s="3">
        <f>infections!AY254-infections!AX254</f>
        <v>0</v>
      </c>
      <c r="AZ254" s="3">
        <f>infections!AZ254-infections!AY254</f>
        <v>0</v>
      </c>
      <c r="BA254" s="3">
        <f>infections!BA254-infections!AZ254</f>
        <v>0</v>
      </c>
      <c r="BB254" s="3">
        <f>infections!BB254-infections!BA254</f>
        <v>0</v>
      </c>
      <c r="BC254" s="3">
        <f>infections!BC254-infections!BB254</f>
        <v>0</v>
      </c>
      <c r="BD254" s="3">
        <f>infections!BD254-infections!BC254</f>
        <v>0</v>
      </c>
      <c r="BE254" s="3">
        <f>infections!BE254-infections!BD254</f>
        <v>0</v>
      </c>
      <c r="BF254" s="3">
        <f>infections!BF254-infections!BE254</f>
        <v>0</v>
      </c>
      <c r="BG254" s="3">
        <f>infections!BG254-infections!BF254</f>
        <v>0</v>
      </c>
      <c r="BH254" s="3">
        <f>infections!BH254-infections!BG254</f>
        <v>0</v>
      </c>
      <c r="BI254" s="3">
        <f>infections!BI254-infections!BH254</f>
        <v>0</v>
      </c>
      <c r="BJ254" s="3">
        <f>infections!BJ254-infections!BI254</f>
        <v>0</v>
      </c>
      <c r="BK254" s="3">
        <f>infections!BK254-infections!BJ254</f>
        <v>0</v>
      </c>
      <c r="BL254" s="3">
        <f>infections!BL254-infections!BK254</f>
        <v>0</v>
      </c>
      <c r="BM254" s="3">
        <f>infections!BM254-infections!BL254</f>
        <v>0</v>
      </c>
      <c r="BN254" s="3">
        <f>infections!BN254-infections!BM254</f>
        <v>0</v>
      </c>
      <c r="BO254" s="3">
        <f>infections!BO254-infections!BN254</f>
        <v>0</v>
      </c>
      <c r="BP254" s="3">
        <f>infections!BP254-infections!BO254</f>
        <v>0</v>
      </c>
      <c r="BQ254" s="3">
        <f>infections!BQ254-infections!BP254</f>
        <v>0</v>
      </c>
      <c r="BR254" s="3">
        <f>infections!BR254-infections!BQ254</f>
        <v>0</v>
      </c>
      <c r="BS254" s="3">
        <f>infections!BS254-infections!BR254</f>
        <v>2</v>
      </c>
      <c r="BT254" s="3">
        <f>infections!BT254-infections!BS254</f>
        <v>0</v>
      </c>
      <c r="BU254" s="3">
        <f>infections!BU254-infections!BT254</f>
        <v>0</v>
      </c>
      <c r="BV254" s="3">
        <f>infections!BV254-infections!BU254</f>
        <v>0</v>
      </c>
      <c r="BW254" s="3">
        <f>infections!BW254-infections!BV254</f>
        <v>7</v>
      </c>
      <c r="BX254" s="3">
        <f>infections!BX254-infections!BW254</f>
        <v>0</v>
      </c>
      <c r="BY254" s="3">
        <f>infections!BY254-infections!BX254</f>
        <v>0</v>
      </c>
    </row>
    <row r="255">
      <c r="B255" s="1" t="str">
        <f>infections!B255</f>
        <v>Botswana</v>
      </c>
      <c r="C255" s="4">
        <f>infections!C255</f>
        <v>-22.3285</v>
      </c>
      <c r="D255" s="4">
        <f>infections!D255</f>
        <v>24.6849</v>
      </c>
      <c r="E255" s="4">
        <f>infections!E255</f>
        <v>0</v>
      </c>
      <c r="F255" s="3">
        <f>infections!F255-infections!E255</f>
        <v>0</v>
      </c>
      <c r="G255" s="3">
        <f>infections!G255-infections!F255</f>
        <v>0</v>
      </c>
      <c r="H255" s="3">
        <f>infections!H255-infections!G255</f>
        <v>0</v>
      </c>
      <c r="I255" s="3">
        <f>infections!I255-infections!H255</f>
        <v>0</v>
      </c>
      <c r="J255" s="3">
        <f>infections!J255-infections!I255</f>
        <v>0</v>
      </c>
      <c r="K255" s="3">
        <f>infections!K255-infections!J255</f>
        <v>0</v>
      </c>
      <c r="L255" s="3">
        <f>infections!L255-infections!K255</f>
        <v>0</v>
      </c>
      <c r="M255" s="3">
        <f>infections!M255-infections!L255</f>
        <v>0</v>
      </c>
      <c r="N255" s="3">
        <f>infections!N255-infections!M255</f>
        <v>0</v>
      </c>
      <c r="O255" s="3">
        <f>infections!O255-infections!N255</f>
        <v>0</v>
      </c>
      <c r="P255" s="3">
        <f>infections!P255-infections!O255</f>
        <v>0</v>
      </c>
      <c r="Q255" s="3">
        <f>infections!Q255-infections!P255</f>
        <v>0</v>
      </c>
      <c r="R255" s="3">
        <f>infections!R255-infections!Q255</f>
        <v>0</v>
      </c>
      <c r="S255" s="3">
        <f>infections!S255-infections!R255</f>
        <v>0</v>
      </c>
      <c r="T255" s="3">
        <f>infections!T255-infections!S255</f>
        <v>0</v>
      </c>
      <c r="U255" s="3">
        <f>infections!U255-infections!T255</f>
        <v>0</v>
      </c>
      <c r="V255" s="3">
        <f>infections!V255-infections!U255</f>
        <v>0</v>
      </c>
      <c r="W255" s="3">
        <f>infections!W255-infections!V255</f>
        <v>0</v>
      </c>
      <c r="X255" s="3">
        <f>infections!X255-infections!W255</f>
        <v>0</v>
      </c>
      <c r="Y255" s="3">
        <f>infections!Y255-infections!X255</f>
        <v>0</v>
      </c>
      <c r="Z255" s="3">
        <f>infections!Z255-infections!Y255</f>
        <v>0</v>
      </c>
      <c r="AA255" s="3">
        <f>infections!AA255-infections!Z255</f>
        <v>0</v>
      </c>
      <c r="AB255" s="3">
        <f>infections!AB255-infections!AA255</f>
        <v>0</v>
      </c>
      <c r="AC255" s="3">
        <f>infections!AC255-infections!AB255</f>
        <v>0</v>
      </c>
      <c r="AD255" s="3">
        <f>infections!AD255-infections!AC255</f>
        <v>0</v>
      </c>
      <c r="AE255" s="3">
        <f>infections!AE255-infections!AD255</f>
        <v>0</v>
      </c>
      <c r="AF255" s="3">
        <f>infections!AF255-infections!AE255</f>
        <v>0</v>
      </c>
      <c r="AG255" s="3">
        <f>infections!AG255-infections!AF255</f>
        <v>0</v>
      </c>
      <c r="AH255" s="3">
        <f>infections!AH255-infections!AG255</f>
        <v>0</v>
      </c>
      <c r="AI255" s="3">
        <f>infections!AI255-infections!AH255</f>
        <v>0</v>
      </c>
      <c r="AJ255" s="3">
        <f>infections!AJ255-infections!AI255</f>
        <v>0</v>
      </c>
      <c r="AK255" s="3">
        <f>infections!AK255-infections!AJ255</f>
        <v>0</v>
      </c>
      <c r="AL255" s="3">
        <f>infections!AL255-infections!AK255</f>
        <v>0</v>
      </c>
      <c r="AM255" s="3">
        <f>infections!AM255-infections!AL255</f>
        <v>0</v>
      </c>
      <c r="AN255" s="3">
        <f>infections!AN255-infections!AM255</f>
        <v>0</v>
      </c>
      <c r="AO255" s="3">
        <f>infections!AO255-infections!AN255</f>
        <v>0</v>
      </c>
      <c r="AP255" s="3">
        <f>infections!AP255-infections!AO255</f>
        <v>0</v>
      </c>
      <c r="AQ255" s="3">
        <f>infections!AQ255-infections!AP255</f>
        <v>0</v>
      </c>
      <c r="AR255" s="3">
        <f>infections!AR255-infections!AQ255</f>
        <v>0</v>
      </c>
      <c r="AS255" s="3">
        <f>infections!AS255-infections!AR255</f>
        <v>0</v>
      </c>
      <c r="AT255" s="3">
        <f>infections!AT255-infections!AS255</f>
        <v>0</v>
      </c>
      <c r="AU255" s="3">
        <f>infections!AU255-infections!AT255</f>
        <v>0</v>
      </c>
      <c r="AV255" s="3">
        <f>infections!AV255-infections!AU255</f>
        <v>0</v>
      </c>
      <c r="AW255" s="3">
        <f>infections!AW255-infections!AV255</f>
        <v>0</v>
      </c>
      <c r="AX255" s="3">
        <f>infections!AX255-infections!AW255</f>
        <v>0</v>
      </c>
      <c r="AY255" s="3">
        <f>infections!AY255-infections!AX255</f>
        <v>0</v>
      </c>
      <c r="AZ255" s="3">
        <f>infections!AZ255-infections!AY255</f>
        <v>0</v>
      </c>
      <c r="BA255" s="3">
        <f>infections!BA255-infections!AZ255</f>
        <v>0</v>
      </c>
      <c r="BB255" s="3">
        <f>infections!BB255-infections!BA255</f>
        <v>0</v>
      </c>
      <c r="BC255" s="3">
        <f>infections!BC255-infections!BB255</f>
        <v>0</v>
      </c>
      <c r="BD255" s="3">
        <f>infections!BD255-infections!BC255</f>
        <v>0</v>
      </c>
      <c r="BE255" s="3">
        <f>infections!BE255-infections!BD255</f>
        <v>0</v>
      </c>
      <c r="BF255" s="3">
        <f>infections!BF255-infections!BE255</f>
        <v>0</v>
      </c>
      <c r="BG255" s="3">
        <f>infections!BG255-infections!BF255</f>
        <v>0</v>
      </c>
      <c r="BH255" s="3">
        <f>infections!BH255-infections!BG255</f>
        <v>0</v>
      </c>
      <c r="BI255" s="3">
        <f>infections!BI255-infections!BH255</f>
        <v>0</v>
      </c>
      <c r="BJ255" s="3">
        <f>infections!BJ255-infections!BI255</f>
        <v>0</v>
      </c>
      <c r="BK255" s="3">
        <f>infections!BK255-infections!BJ255</f>
        <v>0</v>
      </c>
      <c r="BL255" s="3">
        <f>infections!BL255-infections!BK255</f>
        <v>0</v>
      </c>
      <c r="BM255" s="3">
        <f>infections!BM255-infections!BL255</f>
        <v>0</v>
      </c>
      <c r="BN255" s="3">
        <f>infections!BN255-infections!BM255</f>
        <v>0</v>
      </c>
      <c r="BO255" s="3">
        <f>infections!BO255-infections!BN255</f>
        <v>0</v>
      </c>
      <c r="BP255" s="3">
        <f>infections!BP255-infections!BO255</f>
        <v>0</v>
      </c>
      <c r="BQ255" s="3">
        <f>infections!BQ255-infections!BP255</f>
        <v>0</v>
      </c>
      <c r="BR255" s="3">
        <f>infections!BR255-infections!BQ255</f>
        <v>0</v>
      </c>
      <c r="BS255" s="3">
        <f>infections!BS255-infections!BR255</f>
        <v>0</v>
      </c>
      <c r="BT255" s="3">
        <f>infections!BT255-infections!BS255</f>
        <v>0</v>
      </c>
      <c r="BU255" s="3">
        <f>infections!BU255-infections!BT255</f>
        <v>3</v>
      </c>
      <c r="BV255" s="3">
        <f>infections!BV255-infections!BU255</f>
        <v>1</v>
      </c>
      <c r="BW255" s="3">
        <f>infections!BW255-infections!BV255</f>
        <v>0</v>
      </c>
      <c r="BX255" s="3">
        <f>infections!BX255-infections!BW255</f>
        <v>0</v>
      </c>
      <c r="BY255" s="3">
        <f>infections!BY255-infections!BX255</f>
        <v>0</v>
      </c>
    </row>
    <row r="256">
      <c r="B256" s="1" t="str">
        <f>infections!B256</f>
        <v>Burundi</v>
      </c>
      <c r="C256" s="4">
        <f>infections!C256</f>
        <v>-3.3731</v>
      </c>
      <c r="D256" s="4">
        <f>infections!D256</f>
        <v>29.9189</v>
      </c>
      <c r="E256" s="4">
        <f>infections!E256</f>
        <v>0</v>
      </c>
      <c r="F256" s="3">
        <f>infections!F256-infections!E256</f>
        <v>0</v>
      </c>
      <c r="G256" s="3">
        <f>infections!G256-infections!F256</f>
        <v>0</v>
      </c>
      <c r="H256" s="3">
        <f>infections!H256-infections!G256</f>
        <v>0</v>
      </c>
      <c r="I256" s="3">
        <f>infections!I256-infections!H256</f>
        <v>0</v>
      </c>
      <c r="J256" s="3">
        <f>infections!J256-infections!I256</f>
        <v>0</v>
      </c>
      <c r="K256" s="3">
        <f>infections!K256-infections!J256</f>
        <v>0</v>
      </c>
      <c r="L256" s="3">
        <f>infections!L256-infections!K256</f>
        <v>0</v>
      </c>
      <c r="M256" s="3">
        <f>infections!M256-infections!L256</f>
        <v>0</v>
      </c>
      <c r="N256" s="3">
        <f>infections!N256-infections!M256</f>
        <v>0</v>
      </c>
      <c r="O256" s="3">
        <f>infections!O256-infections!N256</f>
        <v>0</v>
      </c>
      <c r="P256" s="3">
        <f>infections!P256-infections!O256</f>
        <v>0</v>
      </c>
      <c r="Q256" s="3">
        <f>infections!Q256-infections!P256</f>
        <v>0</v>
      </c>
      <c r="R256" s="3">
        <f>infections!R256-infections!Q256</f>
        <v>0</v>
      </c>
      <c r="S256" s="3">
        <f>infections!S256-infections!R256</f>
        <v>0</v>
      </c>
      <c r="T256" s="3">
        <f>infections!T256-infections!S256</f>
        <v>0</v>
      </c>
      <c r="U256" s="3">
        <f>infections!U256-infections!T256</f>
        <v>0</v>
      </c>
      <c r="V256" s="3">
        <f>infections!V256-infections!U256</f>
        <v>0</v>
      </c>
      <c r="W256" s="3">
        <f>infections!W256-infections!V256</f>
        <v>0</v>
      </c>
      <c r="X256" s="3">
        <f>infections!X256-infections!W256</f>
        <v>0</v>
      </c>
      <c r="Y256" s="3">
        <f>infections!Y256-infections!X256</f>
        <v>0</v>
      </c>
      <c r="Z256" s="3">
        <f>infections!Z256-infections!Y256</f>
        <v>0</v>
      </c>
      <c r="AA256" s="3">
        <f>infections!AA256-infections!Z256</f>
        <v>0</v>
      </c>
      <c r="AB256" s="3">
        <f>infections!AB256-infections!AA256</f>
        <v>0</v>
      </c>
      <c r="AC256" s="3">
        <f>infections!AC256-infections!AB256</f>
        <v>0</v>
      </c>
      <c r="AD256" s="3">
        <f>infections!AD256-infections!AC256</f>
        <v>0</v>
      </c>
      <c r="AE256" s="3">
        <f>infections!AE256-infections!AD256</f>
        <v>0</v>
      </c>
      <c r="AF256" s="3">
        <f>infections!AF256-infections!AE256</f>
        <v>0</v>
      </c>
      <c r="AG256" s="3">
        <f>infections!AG256-infections!AF256</f>
        <v>0</v>
      </c>
      <c r="AH256" s="3">
        <f>infections!AH256-infections!AG256</f>
        <v>0</v>
      </c>
      <c r="AI256" s="3">
        <f>infections!AI256-infections!AH256</f>
        <v>0</v>
      </c>
      <c r="AJ256" s="3">
        <f>infections!AJ256-infections!AI256</f>
        <v>0</v>
      </c>
      <c r="AK256" s="3">
        <f>infections!AK256-infections!AJ256</f>
        <v>0</v>
      </c>
      <c r="AL256" s="3">
        <f>infections!AL256-infections!AK256</f>
        <v>0</v>
      </c>
      <c r="AM256" s="3">
        <f>infections!AM256-infections!AL256</f>
        <v>0</v>
      </c>
      <c r="AN256" s="3">
        <f>infections!AN256-infections!AM256</f>
        <v>0</v>
      </c>
      <c r="AO256" s="3">
        <f>infections!AO256-infections!AN256</f>
        <v>0</v>
      </c>
      <c r="AP256" s="3">
        <f>infections!AP256-infections!AO256</f>
        <v>0</v>
      </c>
      <c r="AQ256" s="3">
        <f>infections!AQ256-infections!AP256</f>
        <v>0</v>
      </c>
      <c r="AR256" s="3">
        <f>infections!AR256-infections!AQ256</f>
        <v>0</v>
      </c>
      <c r="AS256" s="3">
        <f>infections!AS256-infections!AR256</f>
        <v>0</v>
      </c>
      <c r="AT256" s="3">
        <f>infections!AT256-infections!AS256</f>
        <v>0</v>
      </c>
      <c r="AU256" s="3">
        <f>infections!AU256-infections!AT256</f>
        <v>0</v>
      </c>
      <c r="AV256" s="3">
        <f>infections!AV256-infections!AU256</f>
        <v>0</v>
      </c>
      <c r="AW256" s="3">
        <f>infections!AW256-infections!AV256</f>
        <v>0</v>
      </c>
      <c r="AX256" s="3">
        <f>infections!AX256-infections!AW256</f>
        <v>0</v>
      </c>
      <c r="AY256" s="3">
        <f>infections!AY256-infections!AX256</f>
        <v>0</v>
      </c>
      <c r="AZ256" s="3">
        <f>infections!AZ256-infections!AY256</f>
        <v>0</v>
      </c>
      <c r="BA256" s="3">
        <f>infections!BA256-infections!AZ256</f>
        <v>0</v>
      </c>
      <c r="BB256" s="3">
        <f>infections!BB256-infections!BA256</f>
        <v>0</v>
      </c>
      <c r="BC256" s="3">
        <f>infections!BC256-infections!BB256</f>
        <v>0</v>
      </c>
      <c r="BD256" s="3">
        <f>infections!BD256-infections!BC256</f>
        <v>0</v>
      </c>
      <c r="BE256" s="3">
        <f>infections!BE256-infections!BD256</f>
        <v>0</v>
      </c>
      <c r="BF256" s="3">
        <f>infections!BF256-infections!BE256</f>
        <v>0</v>
      </c>
      <c r="BG256" s="3">
        <f>infections!BG256-infections!BF256</f>
        <v>0</v>
      </c>
      <c r="BH256" s="3">
        <f>infections!BH256-infections!BG256</f>
        <v>0</v>
      </c>
      <c r="BI256" s="3">
        <f>infections!BI256-infections!BH256</f>
        <v>0</v>
      </c>
      <c r="BJ256" s="3">
        <f>infections!BJ256-infections!BI256</f>
        <v>0</v>
      </c>
      <c r="BK256" s="3">
        <f>infections!BK256-infections!BJ256</f>
        <v>0</v>
      </c>
      <c r="BL256" s="3">
        <f>infections!BL256-infections!BK256</f>
        <v>0</v>
      </c>
      <c r="BM256" s="3">
        <f>infections!BM256-infections!BL256</f>
        <v>0</v>
      </c>
      <c r="BN256" s="3">
        <f>infections!BN256-infections!BM256</f>
        <v>0</v>
      </c>
      <c r="BO256" s="3">
        <f>infections!BO256-infections!BN256</f>
        <v>0</v>
      </c>
      <c r="BP256" s="3">
        <f>infections!BP256-infections!BO256</f>
        <v>0</v>
      </c>
      <c r="BQ256" s="3">
        <f>infections!BQ256-infections!BP256</f>
        <v>0</v>
      </c>
      <c r="BR256" s="3">
        <f>infections!BR256-infections!BQ256</f>
        <v>0</v>
      </c>
      <c r="BS256" s="3">
        <f>infections!BS256-infections!BR256</f>
        <v>0</v>
      </c>
      <c r="BT256" s="3">
        <f>infections!BT256-infections!BS256</f>
        <v>0</v>
      </c>
      <c r="BU256" s="3">
        <f>infections!BU256-infections!BT256</f>
        <v>0</v>
      </c>
      <c r="BV256" s="3">
        <f>infections!BV256-infections!BU256</f>
        <v>2</v>
      </c>
      <c r="BW256" s="3">
        <f>infections!BW256-infections!BV256</f>
        <v>0</v>
      </c>
      <c r="BX256" s="3">
        <f>infections!BX256-infections!BW256</f>
        <v>1</v>
      </c>
      <c r="BY256" s="3">
        <f>infections!BY256-infections!BX256</f>
        <v>0</v>
      </c>
    </row>
    <row r="257">
      <c r="B257" s="1" t="str">
        <f>infections!B257</f>
        <v>Sierra Leone</v>
      </c>
      <c r="C257" s="4">
        <f>infections!C257</f>
        <v>8.460555</v>
      </c>
      <c r="D257" s="4">
        <f>infections!D257</f>
        <v>-11.779889</v>
      </c>
      <c r="E257" s="4">
        <f>infections!E257</f>
        <v>0</v>
      </c>
      <c r="F257" s="3">
        <f>infections!F257-infections!E257</f>
        <v>0</v>
      </c>
      <c r="G257" s="3">
        <f>infections!G257-infections!F257</f>
        <v>0</v>
      </c>
      <c r="H257" s="3">
        <f>infections!H257-infections!G257</f>
        <v>0</v>
      </c>
      <c r="I257" s="3">
        <f>infections!I257-infections!H257</f>
        <v>0</v>
      </c>
      <c r="J257" s="3">
        <f>infections!J257-infections!I257</f>
        <v>0</v>
      </c>
      <c r="K257" s="3">
        <f>infections!K257-infections!J257</f>
        <v>0</v>
      </c>
      <c r="L257" s="3">
        <f>infections!L257-infections!K257</f>
        <v>0</v>
      </c>
      <c r="M257" s="3">
        <f>infections!M257-infections!L257</f>
        <v>0</v>
      </c>
      <c r="N257" s="3">
        <f>infections!N257-infections!M257</f>
        <v>0</v>
      </c>
      <c r="O257" s="3">
        <f>infections!O257-infections!N257</f>
        <v>0</v>
      </c>
      <c r="P257" s="3">
        <f>infections!P257-infections!O257</f>
        <v>0</v>
      </c>
      <c r="Q257" s="3">
        <f>infections!Q257-infections!P257</f>
        <v>0</v>
      </c>
      <c r="R257" s="3">
        <f>infections!R257-infections!Q257</f>
        <v>0</v>
      </c>
      <c r="S257" s="3">
        <f>infections!S257-infections!R257</f>
        <v>0</v>
      </c>
      <c r="T257" s="3">
        <f>infections!T257-infections!S257</f>
        <v>0</v>
      </c>
      <c r="U257" s="3">
        <f>infections!U257-infections!T257</f>
        <v>0</v>
      </c>
      <c r="V257" s="3">
        <f>infections!V257-infections!U257</f>
        <v>0</v>
      </c>
      <c r="W257" s="3">
        <f>infections!W257-infections!V257</f>
        <v>0</v>
      </c>
      <c r="X257" s="3">
        <f>infections!X257-infections!W257</f>
        <v>0</v>
      </c>
      <c r="Y257" s="3">
        <f>infections!Y257-infections!X257</f>
        <v>0</v>
      </c>
      <c r="Z257" s="3">
        <f>infections!Z257-infections!Y257</f>
        <v>0</v>
      </c>
      <c r="AA257" s="3">
        <f>infections!AA257-infections!Z257</f>
        <v>0</v>
      </c>
      <c r="AB257" s="3">
        <f>infections!AB257-infections!AA257</f>
        <v>0</v>
      </c>
      <c r="AC257" s="3">
        <f>infections!AC257-infections!AB257</f>
        <v>0</v>
      </c>
      <c r="AD257" s="3">
        <f>infections!AD257-infections!AC257</f>
        <v>0</v>
      </c>
      <c r="AE257" s="3">
        <f>infections!AE257-infections!AD257</f>
        <v>0</v>
      </c>
      <c r="AF257" s="3">
        <f>infections!AF257-infections!AE257</f>
        <v>0</v>
      </c>
      <c r="AG257" s="3">
        <f>infections!AG257-infections!AF257</f>
        <v>0</v>
      </c>
      <c r="AH257" s="3">
        <f>infections!AH257-infections!AG257</f>
        <v>0</v>
      </c>
      <c r="AI257" s="3">
        <f>infections!AI257-infections!AH257</f>
        <v>0</v>
      </c>
      <c r="AJ257" s="3">
        <f>infections!AJ257-infections!AI257</f>
        <v>0</v>
      </c>
      <c r="AK257" s="3">
        <f>infections!AK257-infections!AJ257</f>
        <v>0</v>
      </c>
      <c r="AL257" s="3">
        <f>infections!AL257-infections!AK257</f>
        <v>0</v>
      </c>
      <c r="AM257" s="3">
        <f>infections!AM257-infections!AL257</f>
        <v>0</v>
      </c>
      <c r="AN257" s="3">
        <f>infections!AN257-infections!AM257</f>
        <v>0</v>
      </c>
      <c r="AO257" s="3">
        <f>infections!AO257-infections!AN257</f>
        <v>0</v>
      </c>
      <c r="AP257" s="3">
        <f>infections!AP257-infections!AO257</f>
        <v>0</v>
      </c>
      <c r="AQ257" s="3">
        <f>infections!AQ257-infections!AP257</f>
        <v>0</v>
      </c>
      <c r="AR257" s="3">
        <f>infections!AR257-infections!AQ257</f>
        <v>0</v>
      </c>
      <c r="AS257" s="3">
        <f>infections!AS257-infections!AR257</f>
        <v>0</v>
      </c>
      <c r="AT257" s="3">
        <f>infections!AT257-infections!AS257</f>
        <v>0</v>
      </c>
      <c r="AU257" s="3">
        <f>infections!AU257-infections!AT257</f>
        <v>0</v>
      </c>
      <c r="AV257" s="3">
        <f>infections!AV257-infections!AU257</f>
        <v>0</v>
      </c>
      <c r="AW257" s="3">
        <f>infections!AW257-infections!AV257</f>
        <v>0</v>
      </c>
      <c r="AX257" s="3">
        <f>infections!AX257-infections!AW257</f>
        <v>0</v>
      </c>
      <c r="AY257" s="3">
        <f>infections!AY257-infections!AX257</f>
        <v>0</v>
      </c>
      <c r="AZ257" s="3">
        <f>infections!AZ257-infections!AY257</f>
        <v>0</v>
      </c>
      <c r="BA257" s="3">
        <f>infections!BA257-infections!AZ257</f>
        <v>0</v>
      </c>
      <c r="BB257" s="3">
        <f>infections!BB257-infections!BA257</f>
        <v>0</v>
      </c>
      <c r="BC257" s="3">
        <f>infections!BC257-infections!BB257</f>
        <v>0</v>
      </c>
      <c r="BD257" s="3">
        <f>infections!BD257-infections!BC257</f>
        <v>0</v>
      </c>
      <c r="BE257" s="3">
        <f>infections!BE257-infections!BD257</f>
        <v>0</v>
      </c>
      <c r="BF257" s="3">
        <f>infections!BF257-infections!BE257</f>
        <v>0</v>
      </c>
      <c r="BG257" s="3">
        <f>infections!BG257-infections!BF257</f>
        <v>0</v>
      </c>
      <c r="BH257" s="3">
        <f>infections!BH257-infections!BG257</f>
        <v>0</v>
      </c>
      <c r="BI257" s="3">
        <f>infections!BI257-infections!BH257</f>
        <v>0</v>
      </c>
      <c r="BJ257" s="3">
        <f>infections!BJ257-infections!BI257</f>
        <v>0</v>
      </c>
      <c r="BK257" s="3">
        <f>infections!BK257-infections!BJ257</f>
        <v>0</v>
      </c>
      <c r="BL257" s="3">
        <f>infections!BL257-infections!BK257</f>
        <v>0</v>
      </c>
      <c r="BM257" s="3">
        <f>infections!BM257-infections!BL257</f>
        <v>0</v>
      </c>
      <c r="BN257" s="3">
        <f>infections!BN257-infections!BM257</f>
        <v>0</v>
      </c>
      <c r="BO257" s="3">
        <f>infections!BO257-infections!BN257</f>
        <v>0</v>
      </c>
      <c r="BP257" s="3">
        <f>infections!BP257-infections!BO257</f>
        <v>0</v>
      </c>
      <c r="BQ257" s="3">
        <f>infections!BQ257-infections!BP257</f>
        <v>0</v>
      </c>
      <c r="BR257" s="3">
        <f>infections!BR257-infections!BQ257</f>
        <v>0</v>
      </c>
      <c r="BS257" s="3">
        <f>infections!BS257-infections!BR257</f>
        <v>0</v>
      </c>
      <c r="BT257" s="3">
        <f>infections!BT257-infections!BS257</f>
        <v>0</v>
      </c>
      <c r="BU257" s="3">
        <f>infections!BU257-infections!BT257</f>
        <v>0</v>
      </c>
      <c r="BV257" s="3">
        <f>infections!BV257-infections!BU257</f>
        <v>1</v>
      </c>
      <c r="BW257" s="3">
        <f>infections!BW257-infections!BV257</f>
        <v>1</v>
      </c>
      <c r="BX257" s="3">
        <f>infections!BX257-infections!BW257</f>
        <v>0</v>
      </c>
      <c r="BY257" s="3">
        <f>infections!BY257-infections!BX257</f>
        <v>0</v>
      </c>
    </row>
    <row r="258">
      <c r="B258" s="1" t="str">
        <f>infections!B258</f>
        <v>Netherlands</v>
      </c>
      <c r="C258" s="4">
        <f>infections!C258</f>
        <v>12.1784</v>
      </c>
      <c r="D258" s="4">
        <f>infections!D258</f>
        <v>-68.2385</v>
      </c>
      <c r="E258" s="4">
        <f>infections!E258</f>
        <v>0</v>
      </c>
      <c r="F258" s="3">
        <f>infections!F258-infections!E258</f>
        <v>0</v>
      </c>
      <c r="G258" s="3">
        <f>infections!G258-infections!F258</f>
        <v>0</v>
      </c>
      <c r="H258" s="3">
        <f>infections!H258-infections!G258</f>
        <v>0</v>
      </c>
      <c r="I258" s="3">
        <f>infections!I258-infections!H258</f>
        <v>0</v>
      </c>
      <c r="J258" s="3">
        <f>infections!J258-infections!I258</f>
        <v>0</v>
      </c>
      <c r="K258" s="3">
        <f>infections!K258-infections!J258</f>
        <v>0</v>
      </c>
      <c r="L258" s="3">
        <f>infections!L258-infections!K258</f>
        <v>0</v>
      </c>
      <c r="M258" s="3">
        <f>infections!M258-infections!L258</f>
        <v>0</v>
      </c>
      <c r="N258" s="3">
        <f>infections!N258-infections!M258</f>
        <v>0</v>
      </c>
      <c r="O258" s="3">
        <f>infections!O258-infections!N258</f>
        <v>0</v>
      </c>
      <c r="P258" s="3">
        <f>infections!P258-infections!O258</f>
        <v>0</v>
      </c>
      <c r="Q258" s="3">
        <f>infections!Q258-infections!P258</f>
        <v>0</v>
      </c>
      <c r="R258" s="3">
        <f>infections!R258-infections!Q258</f>
        <v>0</v>
      </c>
      <c r="S258" s="3">
        <f>infections!S258-infections!R258</f>
        <v>0</v>
      </c>
      <c r="T258" s="3">
        <f>infections!T258-infections!S258</f>
        <v>0</v>
      </c>
      <c r="U258" s="3">
        <f>infections!U258-infections!T258</f>
        <v>0</v>
      </c>
      <c r="V258" s="3">
        <f>infections!V258-infections!U258</f>
        <v>0</v>
      </c>
      <c r="W258" s="3">
        <f>infections!W258-infections!V258</f>
        <v>0</v>
      </c>
      <c r="X258" s="3">
        <f>infections!X258-infections!W258</f>
        <v>0</v>
      </c>
      <c r="Y258" s="3">
        <f>infections!Y258-infections!X258</f>
        <v>0</v>
      </c>
      <c r="Z258" s="3">
        <f>infections!Z258-infections!Y258</f>
        <v>0</v>
      </c>
      <c r="AA258" s="3">
        <f>infections!AA258-infections!Z258</f>
        <v>0</v>
      </c>
      <c r="AB258" s="3">
        <f>infections!AB258-infections!AA258</f>
        <v>0</v>
      </c>
      <c r="AC258" s="3">
        <f>infections!AC258-infections!AB258</f>
        <v>0</v>
      </c>
      <c r="AD258" s="3">
        <f>infections!AD258-infections!AC258</f>
        <v>0</v>
      </c>
      <c r="AE258" s="3">
        <f>infections!AE258-infections!AD258</f>
        <v>0</v>
      </c>
      <c r="AF258" s="3">
        <f>infections!AF258-infections!AE258</f>
        <v>0</v>
      </c>
      <c r="AG258" s="3">
        <f>infections!AG258-infections!AF258</f>
        <v>0</v>
      </c>
      <c r="AH258" s="3">
        <f>infections!AH258-infections!AG258</f>
        <v>0</v>
      </c>
      <c r="AI258" s="3">
        <f>infections!AI258-infections!AH258</f>
        <v>0</v>
      </c>
      <c r="AJ258" s="3">
        <f>infections!AJ258-infections!AI258</f>
        <v>0</v>
      </c>
      <c r="AK258" s="3">
        <f>infections!AK258-infections!AJ258</f>
        <v>0</v>
      </c>
      <c r="AL258" s="3">
        <f>infections!AL258-infections!AK258</f>
        <v>0</v>
      </c>
      <c r="AM258" s="3">
        <f>infections!AM258-infections!AL258</f>
        <v>0</v>
      </c>
      <c r="AN258" s="3">
        <f>infections!AN258-infections!AM258</f>
        <v>0</v>
      </c>
      <c r="AO258" s="3">
        <f>infections!AO258-infections!AN258</f>
        <v>0</v>
      </c>
      <c r="AP258" s="3">
        <f>infections!AP258-infections!AO258</f>
        <v>0</v>
      </c>
      <c r="AQ258" s="3">
        <f>infections!AQ258-infections!AP258</f>
        <v>0</v>
      </c>
      <c r="AR258" s="3">
        <f>infections!AR258-infections!AQ258</f>
        <v>0</v>
      </c>
      <c r="AS258" s="3">
        <f>infections!AS258-infections!AR258</f>
        <v>0</v>
      </c>
      <c r="AT258" s="3">
        <f>infections!AT258-infections!AS258</f>
        <v>0</v>
      </c>
      <c r="AU258" s="3">
        <f>infections!AU258-infections!AT258</f>
        <v>0</v>
      </c>
      <c r="AV258" s="3">
        <f>infections!AV258-infections!AU258</f>
        <v>0</v>
      </c>
      <c r="AW258" s="3">
        <f>infections!AW258-infections!AV258</f>
        <v>0</v>
      </c>
      <c r="AX258" s="3">
        <f>infections!AX258-infections!AW258</f>
        <v>0</v>
      </c>
      <c r="AY258" s="3">
        <f>infections!AY258-infections!AX258</f>
        <v>0</v>
      </c>
      <c r="AZ258" s="3">
        <f>infections!AZ258-infections!AY258</f>
        <v>0</v>
      </c>
      <c r="BA258" s="3">
        <f>infections!BA258-infections!AZ258</f>
        <v>0</v>
      </c>
      <c r="BB258" s="3">
        <f>infections!BB258-infections!BA258</f>
        <v>0</v>
      </c>
      <c r="BC258" s="3">
        <f>infections!BC258-infections!BB258</f>
        <v>0</v>
      </c>
      <c r="BD258" s="3">
        <f>infections!BD258-infections!BC258</f>
        <v>0</v>
      </c>
      <c r="BE258" s="3">
        <f>infections!BE258-infections!BD258</f>
        <v>0</v>
      </c>
      <c r="BF258" s="3">
        <f>infections!BF258-infections!BE258</f>
        <v>0</v>
      </c>
      <c r="BG258" s="3">
        <f>infections!BG258-infections!BF258</f>
        <v>0</v>
      </c>
      <c r="BH258" s="3">
        <f>infections!BH258-infections!BG258</f>
        <v>0</v>
      </c>
      <c r="BI258" s="3">
        <f>infections!BI258-infections!BH258</f>
        <v>0</v>
      </c>
      <c r="BJ258" s="3">
        <f>infections!BJ258-infections!BI258</f>
        <v>0</v>
      </c>
      <c r="BK258" s="3">
        <f>infections!BK258-infections!BJ258</f>
        <v>0</v>
      </c>
      <c r="BL258" s="3">
        <f>infections!BL258-infections!BK258</f>
        <v>0</v>
      </c>
      <c r="BM258" s="3">
        <f>infections!BM258-infections!BL258</f>
        <v>0</v>
      </c>
      <c r="BN258" s="3">
        <f>infections!BN258-infections!BM258</f>
        <v>0</v>
      </c>
      <c r="BO258" s="3">
        <f>infections!BO258-infections!BN258</f>
        <v>0</v>
      </c>
      <c r="BP258" s="3">
        <f>infections!BP258-infections!BO258</f>
        <v>0</v>
      </c>
      <c r="BQ258" s="3">
        <f>infections!BQ258-infections!BP258</f>
        <v>0</v>
      </c>
      <c r="BR258" s="3">
        <f>infections!BR258-infections!BQ258</f>
        <v>0</v>
      </c>
      <c r="BS258" s="3">
        <f>infections!BS258-infections!BR258</f>
        <v>0</v>
      </c>
      <c r="BT258" s="3">
        <f>infections!BT258-infections!BS258</f>
        <v>0</v>
      </c>
      <c r="BU258" s="3">
        <f>infections!BU258-infections!BT258</f>
        <v>0</v>
      </c>
      <c r="BV258" s="3">
        <f>infections!BV258-infections!BU258</f>
        <v>0</v>
      </c>
      <c r="BW258" s="3">
        <f>infections!BW258-infections!BV258</f>
        <v>0</v>
      </c>
      <c r="BX258" s="3">
        <f>infections!BX258-infections!BW258</f>
        <v>2</v>
      </c>
      <c r="BY258" s="3">
        <f>infections!BY258-infections!BX258</f>
        <v>0</v>
      </c>
    </row>
    <row r="259">
      <c r="B259" s="1" t="str">
        <f>infections!B259</f>
        <v>Malawi</v>
      </c>
      <c r="C259" s="4">
        <f>infections!C259</f>
        <v>-13.254308</v>
      </c>
      <c r="D259" s="4">
        <f>infections!D259</f>
        <v>34.301525</v>
      </c>
      <c r="E259" s="4">
        <f>infections!E259</f>
        <v>0</v>
      </c>
      <c r="F259" s="3">
        <f>infections!F259-infections!E259</f>
        <v>0</v>
      </c>
      <c r="G259" s="3">
        <f>infections!G259-infections!F259</f>
        <v>0</v>
      </c>
      <c r="H259" s="3">
        <f>infections!H259-infections!G259</f>
        <v>0</v>
      </c>
      <c r="I259" s="3">
        <f>infections!I259-infections!H259</f>
        <v>0</v>
      </c>
      <c r="J259" s="3">
        <f>infections!J259-infections!I259</f>
        <v>0</v>
      </c>
      <c r="K259" s="3">
        <f>infections!K259-infections!J259</f>
        <v>0</v>
      </c>
      <c r="L259" s="3">
        <f>infections!L259-infections!K259</f>
        <v>0</v>
      </c>
      <c r="M259" s="3">
        <f>infections!M259-infections!L259</f>
        <v>0</v>
      </c>
      <c r="N259" s="3">
        <f>infections!N259-infections!M259</f>
        <v>0</v>
      </c>
      <c r="O259" s="3">
        <f>infections!O259-infections!N259</f>
        <v>0</v>
      </c>
      <c r="P259" s="3">
        <f>infections!P259-infections!O259</f>
        <v>0</v>
      </c>
      <c r="Q259" s="3">
        <f>infections!Q259-infections!P259</f>
        <v>0</v>
      </c>
      <c r="R259" s="3">
        <f>infections!R259-infections!Q259</f>
        <v>0</v>
      </c>
      <c r="S259" s="3">
        <f>infections!S259-infections!R259</f>
        <v>0</v>
      </c>
      <c r="T259" s="3">
        <f>infections!T259-infections!S259</f>
        <v>0</v>
      </c>
      <c r="U259" s="3">
        <f>infections!U259-infections!T259</f>
        <v>0</v>
      </c>
      <c r="V259" s="3">
        <f>infections!V259-infections!U259</f>
        <v>0</v>
      </c>
      <c r="W259" s="3">
        <f>infections!W259-infections!V259</f>
        <v>0</v>
      </c>
      <c r="X259" s="3">
        <f>infections!X259-infections!W259</f>
        <v>0</v>
      </c>
      <c r="Y259" s="3">
        <f>infections!Y259-infections!X259</f>
        <v>0</v>
      </c>
      <c r="Z259" s="3">
        <f>infections!Z259-infections!Y259</f>
        <v>0</v>
      </c>
      <c r="AA259" s="3">
        <f>infections!AA259-infections!Z259</f>
        <v>0</v>
      </c>
      <c r="AB259" s="3">
        <f>infections!AB259-infections!AA259</f>
        <v>0</v>
      </c>
      <c r="AC259" s="3">
        <f>infections!AC259-infections!AB259</f>
        <v>0</v>
      </c>
      <c r="AD259" s="3">
        <f>infections!AD259-infections!AC259</f>
        <v>0</v>
      </c>
      <c r="AE259" s="3">
        <f>infections!AE259-infections!AD259</f>
        <v>0</v>
      </c>
      <c r="AF259" s="3">
        <f>infections!AF259-infections!AE259</f>
        <v>0</v>
      </c>
      <c r="AG259" s="3">
        <f>infections!AG259-infections!AF259</f>
        <v>0</v>
      </c>
      <c r="AH259" s="3">
        <f>infections!AH259-infections!AG259</f>
        <v>0</v>
      </c>
      <c r="AI259" s="3">
        <f>infections!AI259-infections!AH259</f>
        <v>0</v>
      </c>
      <c r="AJ259" s="3">
        <f>infections!AJ259-infections!AI259</f>
        <v>0</v>
      </c>
      <c r="AK259" s="3">
        <f>infections!AK259-infections!AJ259</f>
        <v>0</v>
      </c>
      <c r="AL259" s="3">
        <f>infections!AL259-infections!AK259</f>
        <v>0</v>
      </c>
      <c r="AM259" s="3">
        <f>infections!AM259-infections!AL259</f>
        <v>0</v>
      </c>
      <c r="AN259" s="3">
        <f>infections!AN259-infections!AM259</f>
        <v>0</v>
      </c>
      <c r="AO259" s="3">
        <f>infections!AO259-infections!AN259</f>
        <v>0</v>
      </c>
      <c r="AP259" s="3">
        <f>infections!AP259-infections!AO259</f>
        <v>0</v>
      </c>
      <c r="AQ259" s="3">
        <f>infections!AQ259-infections!AP259</f>
        <v>0</v>
      </c>
      <c r="AR259" s="3">
        <f>infections!AR259-infections!AQ259</f>
        <v>0</v>
      </c>
      <c r="AS259" s="3">
        <f>infections!AS259-infections!AR259</f>
        <v>0</v>
      </c>
      <c r="AT259" s="3">
        <f>infections!AT259-infections!AS259</f>
        <v>0</v>
      </c>
      <c r="AU259" s="3">
        <f>infections!AU259-infections!AT259</f>
        <v>0</v>
      </c>
      <c r="AV259" s="3">
        <f>infections!AV259-infections!AU259</f>
        <v>0</v>
      </c>
      <c r="AW259" s="3">
        <f>infections!AW259-infections!AV259</f>
        <v>0</v>
      </c>
      <c r="AX259" s="3">
        <f>infections!AX259-infections!AW259</f>
        <v>0</v>
      </c>
      <c r="AY259" s="3">
        <f>infections!AY259-infections!AX259</f>
        <v>0</v>
      </c>
      <c r="AZ259" s="3">
        <f>infections!AZ259-infections!AY259</f>
        <v>0</v>
      </c>
      <c r="BA259" s="3">
        <f>infections!BA259-infections!AZ259</f>
        <v>0</v>
      </c>
      <c r="BB259" s="3">
        <f>infections!BB259-infections!BA259</f>
        <v>0</v>
      </c>
      <c r="BC259" s="3">
        <f>infections!BC259-infections!BB259</f>
        <v>0</v>
      </c>
      <c r="BD259" s="3">
        <f>infections!BD259-infections!BC259</f>
        <v>0</v>
      </c>
      <c r="BE259" s="3">
        <f>infections!BE259-infections!BD259</f>
        <v>0</v>
      </c>
      <c r="BF259" s="3">
        <f>infections!BF259-infections!BE259</f>
        <v>0</v>
      </c>
      <c r="BG259" s="3">
        <f>infections!BG259-infections!BF259</f>
        <v>0</v>
      </c>
      <c r="BH259" s="3">
        <f>infections!BH259-infections!BG259</f>
        <v>0</v>
      </c>
      <c r="BI259" s="3">
        <f>infections!BI259-infections!BH259</f>
        <v>0</v>
      </c>
      <c r="BJ259" s="3">
        <f>infections!BJ259-infections!BI259</f>
        <v>0</v>
      </c>
      <c r="BK259" s="3">
        <f>infections!BK259-infections!BJ259</f>
        <v>0</v>
      </c>
      <c r="BL259" s="3">
        <f>infections!BL259-infections!BK259</f>
        <v>0</v>
      </c>
      <c r="BM259" s="3">
        <f>infections!BM259-infections!BL259</f>
        <v>0</v>
      </c>
      <c r="BN259" s="3">
        <f>infections!BN259-infections!BM259</f>
        <v>0</v>
      </c>
      <c r="BO259" s="3">
        <f>infections!BO259-infections!BN259</f>
        <v>0</v>
      </c>
      <c r="BP259" s="3">
        <f>infections!BP259-infections!BO259</f>
        <v>0</v>
      </c>
      <c r="BQ259" s="3">
        <f>infections!BQ259-infections!BP259</f>
        <v>0</v>
      </c>
      <c r="BR259" s="3">
        <f>infections!BR259-infections!BQ259</f>
        <v>0</v>
      </c>
      <c r="BS259" s="3">
        <f>infections!BS259-infections!BR259</f>
        <v>0</v>
      </c>
      <c r="BT259" s="3">
        <f>infections!BT259-infections!BS259</f>
        <v>0</v>
      </c>
      <c r="BU259" s="3">
        <f>infections!BU259-infections!BT259</f>
        <v>0</v>
      </c>
      <c r="BV259" s="3">
        <f>infections!BV259-infections!BU259</f>
        <v>0</v>
      </c>
      <c r="BW259" s="3">
        <f>infections!BW259-infections!BV259</f>
        <v>0</v>
      </c>
      <c r="BX259" s="3">
        <f>infections!BX259-infections!BW259</f>
        <v>3</v>
      </c>
      <c r="BY259" s="3">
        <f>infections!BY259-infections!BX259</f>
        <v>0</v>
      </c>
    </row>
    <row r="260">
      <c r="C260" s="4">
        <f>infections!C260</f>
        <v>-51.7963</v>
      </c>
      <c r="E260" s="4">
        <f>infections!E260</f>
        <v>0</v>
      </c>
      <c r="F260" s="4">
        <f>infections!F260</f>
        <v>0</v>
      </c>
    </row>
    <row r="261">
      <c r="C261" s="4">
        <f>infections!C261</f>
        <v>46.8852</v>
      </c>
    </row>
    <row r="262">
      <c r="C262" s="4">
        <f>infections!C262</f>
        <v>6.877</v>
      </c>
    </row>
    <row r="263">
      <c r="C263" s="4">
        <f>infections!C263</f>
        <v>24.2155</v>
      </c>
    </row>
    <row r="264">
      <c r="C264" s="4">
        <f>infections!C264</f>
        <v>0.18636</v>
      </c>
    </row>
    <row r="265">
      <c r="C265" s="4" t="str">
        <f>infections!C265</f>
        <v/>
      </c>
    </row>
    <row r="266">
      <c r="C266" s="4" t="str">
        <f>infections!C266</f>
        <v/>
      </c>
    </row>
    <row r="267">
      <c r="C267" s="4" t="str">
        <f>infections!C267</f>
        <v/>
      </c>
    </row>
    <row r="268">
      <c r="C268" s="4" t="str">
        <f>infections!C268</f>
        <v/>
      </c>
    </row>
    <row r="269">
      <c r="C269" s="4" t="str">
        <f>infections!C269</f>
        <v/>
      </c>
    </row>
    <row r="270">
      <c r="C270" s="4" t="str">
        <f>infections!C270</f>
        <v/>
      </c>
    </row>
    <row r="271">
      <c r="C271" s="4" t="str">
        <f>infections!C271</f>
        <v/>
      </c>
    </row>
    <row r="272">
      <c r="C272" s="4" t="str">
        <f>infections!C272</f>
        <v/>
      </c>
    </row>
    <row r="273">
      <c r="C273" s="4" t="str">
        <f>infections!C273</f>
        <v/>
      </c>
    </row>
    <row r="274">
      <c r="C274" s="4" t="str">
        <f>infections!C274</f>
        <v/>
      </c>
    </row>
    <row r="275">
      <c r="C275" s="4" t="str">
        <f>infections!C275</f>
        <v/>
      </c>
    </row>
    <row r="276">
      <c r="C276" s="4" t="str">
        <f>infections!C276</f>
        <v/>
      </c>
    </row>
    <row r="277">
      <c r="C277" s="4" t="str">
        <f>infections!C277</f>
        <v/>
      </c>
    </row>
    <row r="278">
      <c r="C278" s="4" t="str">
        <f>infections!C278</f>
        <v/>
      </c>
    </row>
    <row r="279">
      <c r="C279" s="4" t="str">
        <f>infections!C279</f>
        <v/>
      </c>
    </row>
    <row r="280">
      <c r="C280" s="4" t="str">
        <f>infections!C280</f>
        <v/>
      </c>
    </row>
    <row r="281">
      <c r="C281" s="4" t="str">
        <f>infections!C281</f>
        <v/>
      </c>
    </row>
    <row r="282">
      <c r="C282" s="4" t="str">
        <f>infections!C282</f>
        <v/>
      </c>
    </row>
    <row r="283">
      <c r="C283" s="4" t="str">
        <f>infections!C283</f>
        <v/>
      </c>
    </row>
    <row r="284">
      <c r="C284" s="4" t="str">
        <f>infections!C284</f>
        <v/>
      </c>
    </row>
    <row r="285">
      <c r="C285" s="4" t="str">
        <f>infections!C285</f>
        <v/>
      </c>
    </row>
    <row r="286">
      <c r="C286" s="4" t="str">
        <f>infections!C286</f>
        <v/>
      </c>
    </row>
    <row r="287">
      <c r="C287" s="4" t="str">
        <f>infections!C287</f>
        <v/>
      </c>
    </row>
    <row r="288">
      <c r="C288" s="4" t="str">
        <f>infections!C288</f>
        <v/>
      </c>
    </row>
    <row r="289">
      <c r="C289" s="4" t="str">
        <f>infections!C289</f>
        <v/>
      </c>
    </row>
    <row r="290">
      <c r="C290" s="4" t="str">
        <f>infections!C290</f>
        <v/>
      </c>
    </row>
    <row r="291">
      <c r="C291" s="4" t="str">
        <f>infections!C291</f>
        <v/>
      </c>
    </row>
    <row r="292">
      <c r="C292" s="4" t="str">
        <f>infections!C292</f>
        <v/>
      </c>
    </row>
    <row r="293">
      <c r="C293" s="4" t="str">
        <f>infections!C293</f>
        <v/>
      </c>
    </row>
    <row r="294">
      <c r="C294" s="4" t="str">
        <f>infections!C294</f>
        <v/>
      </c>
    </row>
    <row r="295">
      <c r="C295" s="4" t="str">
        <f>infections!C295</f>
        <v/>
      </c>
    </row>
    <row r="296">
      <c r="C296" s="4" t="str">
        <f>infections!C296</f>
        <v/>
      </c>
    </row>
    <row r="297">
      <c r="C297" s="4" t="str">
        <f>infections!C297</f>
        <v/>
      </c>
    </row>
    <row r="298">
      <c r="C298" s="4" t="str">
        <f>infections!C298</f>
        <v/>
      </c>
    </row>
    <row r="299">
      <c r="C299" s="4" t="str">
        <f>infections!C299</f>
        <v/>
      </c>
    </row>
    <row r="300">
      <c r="C300" s="4" t="str">
        <f>infections!C300</f>
        <v/>
      </c>
    </row>
    <row r="301">
      <c r="C301" s="4" t="str">
        <f>infections!C301</f>
        <v/>
      </c>
    </row>
    <row r="302">
      <c r="C302" s="4" t="str">
        <f>infections!C302</f>
        <v/>
      </c>
    </row>
    <row r="303">
      <c r="C303" s="4" t="str">
        <f>infections!C303</f>
        <v/>
      </c>
    </row>
    <row r="304">
      <c r="C304" s="4" t="str">
        <f>infections!C304</f>
        <v/>
      </c>
    </row>
    <row r="305">
      <c r="C305" s="4" t="str">
        <f>infections!C305</f>
        <v/>
      </c>
    </row>
    <row r="306">
      <c r="C306" s="4" t="str">
        <f>infections!C306</f>
        <v/>
      </c>
    </row>
    <row r="307">
      <c r="C307" s="4" t="str">
        <f>infections!C307</f>
        <v/>
      </c>
    </row>
    <row r="308">
      <c r="C308" s="4" t="str">
        <f>infections!C308</f>
        <v/>
      </c>
    </row>
    <row r="309">
      <c r="C309" s="4" t="str">
        <f>infections!C309</f>
        <v/>
      </c>
    </row>
    <row r="310">
      <c r="C310" s="4" t="str">
        <f>infections!C310</f>
        <v/>
      </c>
    </row>
    <row r="311">
      <c r="C311" s="4" t="str">
        <f>infections!C311</f>
        <v/>
      </c>
    </row>
    <row r="312">
      <c r="C312" s="4" t="str">
        <f>infections!C312</f>
        <v/>
      </c>
    </row>
    <row r="313">
      <c r="C313" s="4" t="str">
        <f>infections!C313</f>
        <v/>
      </c>
    </row>
    <row r="314">
      <c r="C314" s="4" t="str">
        <f>infections!C314</f>
        <v/>
      </c>
    </row>
    <row r="315">
      <c r="C315" s="4" t="str">
        <f>infections!C315</f>
        <v/>
      </c>
    </row>
    <row r="316">
      <c r="C316" s="4" t="str">
        <f>infections!C316</f>
        <v/>
      </c>
    </row>
    <row r="317">
      <c r="C317" s="4" t="str">
        <f>infections!C317</f>
        <v/>
      </c>
    </row>
    <row r="318">
      <c r="C318" s="4" t="str">
        <f>infections!C318</f>
        <v/>
      </c>
    </row>
    <row r="319">
      <c r="C319" s="4" t="str">
        <f>infections!C319</f>
        <v/>
      </c>
    </row>
    <row r="320">
      <c r="C320" s="4" t="str">
        <f>infections!C320</f>
        <v/>
      </c>
    </row>
    <row r="321">
      <c r="C321" s="4" t="str">
        <f>infections!C321</f>
        <v/>
      </c>
    </row>
    <row r="322">
      <c r="C322" s="4" t="str">
        <f>infections!C322</f>
        <v/>
      </c>
    </row>
    <row r="323">
      <c r="C323" s="4" t="str">
        <f>infections!C323</f>
        <v/>
      </c>
    </row>
    <row r="324">
      <c r="C324" s="4" t="str">
        <f>infections!C324</f>
        <v/>
      </c>
    </row>
    <row r="325">
      <c r="C325" s="4" t="str">
        <f>infections!C325</f>
        <v/>
      </c>
    </row>
    <row r="326">
      <c r="C326" s="4" t="str">
        <f>infections!C326</f>
        <v/>
      </c>
    </row>
    <row r="327">
      <c r="C327" s="4" t="str">
        <f>infections!C327</f>
        <v/>
      </c>
    </row>
    <row r="328">
      <c r="C328" s="4" t="str">
        <f>infections!C328</f>
        <v/>
      </c>
    </row>
    <row r="329">
      <c r="C329" s="4" t="str">
        <f>infections!C329</f>
        <v/>
      </c>
    </row>
    <row r="330">
      <c r="C330" s="4" t="str">
        <f>infections!C330</f>
        <v/>
      </c>
    </row>
    <row r="331">
      <c r="C331" s="4" t="str">
        <f>infections!C331</f>
        <v/>
      </c>
    </row>
    <row r="332">
      <c r="C332" s="4" t="str">
        <f>infections!C332</f>
        <v/>
      </c>
    </row>
    <row r="333">
      <c r="C333" s="4" t="str">
        <f>infections!C333</f>
        <v/>
      </c>
    </row>
    <row r="334">
      <c r="C334" s="4" t="str">
        <f>infections!C334</f>
        <v/>
      </c>
    </row>
    <row r="335">
      <c r="C335" s="4" t="str">
        <f>infections!C335</f>
        <v/>
      </c>
    </row>
    <row r="336">
      <c r="C336" s="4" t="str">
        <f>infections!C336</f>
        <v/>
      </c>
    </row>
    <row r="337">
      <c r="C337" s="4" t="str">
        <f>infections!C337</f>
        <v/>
      </c>
    </row>
    <row r="338">
      <c r="C338" s="4" t="str">
        <f>infections!C338</f>
        <v/>
      </c>
    </row>
    <row r="339">
      <c r="C339" s="4" t="str">
        <f>infections!C339</f>
        <v/>
      </c>
    </row>
    <row r="340">
      <c r="C340" s="4" t="str">
        <f>infections!C340</f>
        <v/>
      </c>
    </row>
    <row r="341">
      <c r="C341" s="4" t="str">
        <f>infections!C341</f>
        <v/>
      </c>
    </row>
    <row r="342">
      <c r="C342" s="4" t="str">
        <f>infections!C342</f>
        <v/>
      </c>
    </row>
    <row r="343">
      <c r="C343" s="4" t="str">
        <f>infections!C343</f>
        <v/>
      </c>
    </row>
    <row r="344">
      <c r="C344" s="4" t="str">
        <f>infections!C344</f>
        <v/>
      </c>
    </row>
    <row r="345">
      <c r="C345" s="4" t="str">
        <f>infections!C345</f>
        <v/>
      </c>
    </row>
    <row r="346">
      <c r="C346" s="4" t="str">
        <f>infections!C346</f>
        <v/>
      </c>
    </row>
    <row r="347">
      <c r="C347" s="4" t="str">
        <f>infections!C347</f>
        <v/>
      </c>
    </row>
    <row r="348">
      <c r="C348" s="4" t="str">
        <f>infections!C348</f>
        <v/>
      </c>
    </row>
    <row r="349">
      <c r="C349" s="4" t="str">
        <f>infections!C349</f>
        <v/>
      </c>
    </row>
    <row r="350">
      <c r="C350" s="4" t="str">
        <f>infections!C350</f>
        <v/>
      </c>
    </row>
    <row r="351">
      <c r="C351" s="4" t="str">
        <f>infections!C351</f>
        <v/>
      </c>
    </row>
    <row r="352">
      <c r="C352" s="4" t="str">
        <f>infections!C352</f>
        <v/>
      </c>
    </row>
    <row r="353">
      <c r="C353" s="4" t="str">
        <f>infections!C353</f>
        <v/>
      </c>
    </row>
    <row r="354">
      <c r="C354" s="4" t="str">
        <f>infections!C354</f>
        <v/>
      </c>
    </row>
    <row r="355">
      <c r="C355" s="4" t="str">
        <f>infections!C355</f>
        <v/>
      </c>
    </row>
    <row r="356">
      <c r="C356" s="4" t="str">
        <f>infections!C356</f>
        <v/>
      </c>
    </row>
    <row r="357">
      <c r="C357" s="4" t="str">
        <f>infections!C357</f>
        <v/>
      </c>
    </row>
    <row r="358">
      <c r="C358" s="4" t="str">
        <f>infections!C358</f>
        <v/>
      </c>
    </row>
    <row r="359">
      <c r="C359" s="4" t="str">
        <f>infections!C359</f>
        <v/>
      </c>
    </row>
    <row r="360">
      <c r="C360" s="4" t="str">
        <f>infections!C360</f>
        <v/>
      </c>
    </row>
    <row r="361">
      <c r="C361" s="4" t="str">
        <f>infections!C361</f>
        <v/>
      </c>
    </row>
    <row r="362">
      <c r="C362" s="4" t="str">
        <f>infections!C362</f>
        <v/>
      </c>
    </row>
    <row r="363">
      <c r="C363" s="4" t="str">
        <f>infections!C363</f>
        <v/>
      </c>
    </row>
    <row r="364">
      <c r="C364" s="4" t="str">
        <f>infections!C364</f>
        <v/>
      </c>
    </row>
    <row r="365">
      <c r="C365" s="4" t="str">
        <f>infections!C365</f>
        <v/>
      </c>
    </row>
    <row r="366">
      <c r="C366" s="4" t="str">
        <f>infections!C366</f>
        <v/>
      </c>
    </row>
    <row r="367">
      <c r="C367" s="4" t="str">
        <f>infections!C367</f>
        <v/>
      </c>
    </row>
    <row r="368">
      <c r="C368" s="4" t="str">
        <f>infections!C368</f>
        <v/>
      </c>
    </row>
    <row r="369">
      <c r="C369" s="4" t="str">
        <f>infections!C369</f>
        <v/>
      </c>
    </row>
    <row r="370">
      <c r="C370" s="4" t="str">
        <f>infections!C370</f>
        <v/>
      </c>
    </row>
    <row r="371">
      <c r="C371" s="4" t="str">
        <f>infections!C371</f>
        <v/>
      </c>
    </row>
    <row r="372">
      <c r="C372" s="4" t="str">
        <f>infections!C372</f>
        <v/>
      </c>
    </row>
    <row r="373">
      <c r="C373" s="4" t="str">
        <f>infections!C373</f>
        <v/>
      </c>
    </row>
    <row r="374">
      <c r="C374" s="4" t="str">
        <f>infections!C374</f>
        <v/>
      </c>
    </row>
    <row r="375">
      <c r="C375" s="4" t="str">
        <f>infections!C375</f>
        <v/>
      </c>
    </row>
    <row r="376">
      <c r="C376" s="4" t="str">
        <f>infections!C376</f>
        <v/>
      </c>
    </row>
    <row r="377">
      <c r="C377" s="4" t="str">
        <f>infections!C377</f>
        <v/>
      </c>
    </row>
    <row r="378">
      <c r="C378" s="4" t="str">
        <f>infections!C378</f>
        <v/>
      </c>
    </row>
    <row r="379">
      <c r="C379" s="4" t="str">
        <f>infections!C379</f>
        <v/>
      </c>
    </row>
    <row r="380">
      <c r="C380" s="4" t="str">
        <f>infections!C380</f>
        <v/>
      </c>
    </row>
    <row r="381">
      <c r="C381" s="4" t="str">
        <f>infections!C381</f>
        <v/>
      </c>
    </row>
    <row r="382">
      <c r="C382" s="4" t="str">
        <f>infections!C382</f>
        <v/>
      </c>
    </row>
    <row r="383">
      <c r="C383" s="4" t="str">
        <f>infections!C383</f>
        <v/>
      </c>
    </row>
    <row r="384">
      <c r="C384" s="4" t="str">
        <f>infections!C384</f>
        <v/>
      </c>
    </row>
    <row r="385">
      <c r="C385" s="4" t="str">
        <f>infections!C385</f>
        <v/>
      </c>
    </row>
    <row r="386">
      <c r="C386" s="4" t="str">
        <f>infections!C386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IFERROR(__xludf.DUMMYFUNCTION("importdata(""https://raw.githubusercontent.com/CSSEGISandData/COVID-19/master/csse_covid_19_data/csse_covid_19_time_series/time_series_covid19_deaths_global.csv"")"),"Province/State")</f>
        <v>Province/State</v>
      </c>
      <c r="B1" s="1" t="str">
        <f>IFERROR(__xludf.DUMMYFUNCTION("""COMPUTED_VALUE"""),"Country/Region")</f>
        <v>Country/Region</v>
      </c>
      <c r="C1" s="1" t="str">
        <f>IFERROR(__xludf.DUMMYFUNCTION("""COMPUTED_VALUE"""),"Lat")</f>
        <v>Lat</v>
      </c>
      <c r="D1" s="1" t="str">
        <f>IFERROR(__xludf.DUMMYFUNCTION("""COMPUTED_VALUE"""),"Long")</f>
        <v>Long</v>
      </c>
      <c r="E1" s="1">
        <f>IFERROR(__xludf.DUMMYFUNCTION("""COMPUTED_VALUE"""),43852.0)</f>
        <v>43852</v>
      </c>
      <c r="F1" s="1">
        <f>IFERROR(__xludf.DUMMYFUNCTION("""COMPUTED_VALUE"""),43853.0)</f>
        <v>43853</v>
      </c>
      <c r="G1" s="1">
        <f>IFERROR(__xludf.DUMMYFUNCTION("""COMPUTED_VALUE"""),43854.0)</f>
        <v>43854</v>
      </c>
      <c r="H1" s="1">
        <f>IFERROR(__xludf.DUMMYFUNCTION("""COMPUTED_VALUE"""),43855.0)</f>
        <v>43855</v>
      </c>
      <c r="I1" s="1">
        <f>IFERROR(__xludf.DUMMYFUNCTION("""COMPUTED_VALUE"""),43856.0)</f>
        <v>43856</v>
      </c>
      <c r="J1" s="1">
        <f>IFERROR(__xludf.DUMMYFUNCTION("""COMPUTED_VALUE"""),43857.0)</f>
        <v>43857</v>
      </c>
      <c r="K1" s="1">
        <f>IFERROR(__xludf.DUMMYFUNCTION("""COMPUTED_VALUE"""),43858.0)</f>
        <v>43858</v>
      </c>
      <c r="L1" s="1">
        <f>IFERROR(__xludf.DUMMYFUNCTION("""COMPUTED_VALUE"""),43859.0)</f>
        <v>43859</v>
      </c>
      <c r="M1" s="1">
        <f>IFERROR(__xludf.DUMMYFUNCTION("""COMPUTED_VALUE"""),43860.0)</f>
        <v>43860</v>
      </c>
      <c r="N1" s="1">
        <f>IFERROR(__xludf.DUMMYFUNCTION("""COMPUTED_VALUE"""),43861.0)</f>
        <v>43861</v>
      </c>
      <c r="O1" s="1">
        <f>IFERROR(__xludf.DUMMYFUNCTION("""COMPUTED_VALUE"""),43862.0)</f>
        <v>43862</v>
      </c>
      <c r="P1" s="1">
        <f>IFERROR(__xludf.DUMMYFUNCTION("""COMPUTED_VALUE"""),43863.0)</f>
        <v>43863</v>
      </c>
      <c r="Q1" s="1">
        <f>IFERROR(__xludf.DUMMYFUNCTION("""COMPUTED_VALUE"""),43864.0)</f>
        <v>43864</v>
      </c>
      <c r="R1" s="1">
        <f>IFERROR(__xludf.DUMMYFUNCTION("""COMPUTED_VALUE"""),43865.0)</f>
        <v>43865</v>
      </c>
      <c r="S1" s="1">
        <f>IFERROR(__xludf.DUMMYFUNCTION("""COMPUTED_VALUE"""),43866.0)</f>
        <v>43866</v>
      </c>
      <c r="T1" s="1">
        <f>IFERROR(__xludf.DUMMYFUNCTION("""COMPUTED_VALUE"""),43867.0)</f>
        <v>43867</v>
      </c>
      <c r="U1" s="1">
        <f>IFERROR(__xludf.DUMMYFUNCTION("""COMPUTED_VALUE"""),43868.0)</f>
        <v>43868</v>
      </c>
      <c r="V1" s="1">
        <f>IFERROR(__xludf.DUMMYFUNCTION("""COMPUTED_VALUE"""),43869.0)</f>
        <v>43869</v>
      </c>
      <c r="W1" s="1">
        <f>IFERROR(__xludf.DUMMYFUNCTION("""COMPUTED_VALUE"""),43870.0)</f>
        <v>43870</v>
      </c>
      <c r="X1" s="1">
        <f>IFERROR(__xludf.DUMMYFUNCTION("""COMPUTED_VALUE"""),43871.0)</f>
        <v>43871</v>
      </c>
      <c r="Y1" s="1">
        <f>IFERROR(__xludf.DUMMYFUNCTION("""COMPUTED_VALUE"""),43872.0)</f>
        <v>43872</v>
      </c>
      <c r="Z1" s="1">
        <f>IFERROR(__xludf.DUMMYFUNCTION("""COMPUTED_VALUE"""),43873.0)</f>
        <v>43873</v>
      </c>
      <c r="AA1" s="1">
        <f>IFERROR(__xludf.DUMMYFUNCTION("""COMPUTED_VALUE"""),43874.0)</f>
        <v>43874</v>
      </c>
      <c r="AB1" s="1">
        <f>IFERROR(__xludf.DUMMYFUNCTION("""COMPUTED_VALUE"""),43875.0)</f>
        <v>43875</v>
      </c>
      <c r="AC1" s="1">
        <f>IFERROR(__xludf.DUMMYFUNCTION("""COMPUTED_VALUE"""),43876.0)</f>
        <v>43876</v>
      </c>
      <c r="AD1" s="1">
        <f>IFERROR(__xludf.DUMMYFUNCTION("""COMPUTED_VALUE"""),43877.0)</f>
        <v>43877</v>
      </c>
      <c r="AE1" s="1">
        <f>IFERROR(__xludf.DUMMYFUNCTION("""COMPUTED_VALUE"""),43878.0)</f>
        <v>43878</v>
      </c>
      <c r="AF1" s="1">
        <f>IFERROR(__xludf.DUMMYFUNCTION("""COMPUTED_VALUE"""),43879.0)</f>
        <v>43879</v>
      </c>
      <c r="AG1" s="1">
        <f>IFERROR(__xludf.DUMMYFUNCTION("""COMPUTED_VALUE"""),43880.0)</f>
        <v>43880</v>
      </c>
      <c r="AH1" s="1">
        <f>IFERROR(__xludf.DUMMYFUNCTION("""COMPUTED_VALUE"""),43881.0)</f>
        <v>43881</v>
      </c>
      <c r="AI1" s="1">
        <f>IFERROR(__xludf.DUMMYFUNCTION("""COMPUTED_VALUE"""),43882.0)</f>
        <v>43882</v>
      </c>
      <c r="AJ1" s="1">
        <f>IFERROR(__xludf.DUMMYFUNCTION("""COMPUTED_VALUE"""),43883.0)</f>
        <v>43883</v>
      </c>
      <c r="AK1" s="1">
        <f>IFERROR(__xludf.DUMMYFUNCTION("""COMPUTED_VALUE"""),43884.0)</f>
        <v>43884</v>
      </c>
      <c r="AL1" s="1">
        <f>IFERROR(__xludf.DUMMYFUNCTION("""COMPUTED_VALUE"""),43885.0)</f>
        <v>43885</v>
      </c>
      <c r="AM1" s="1">
        <f>IFERROR(__xludf.DUMMYFUNCTION("""COMPUTED_VALUE"""),43886.0)</f>
        <v>43886</v>
      </c>
      <c r="AN1" s="1">
        <f>IFERROR(__xludf.DUMMYFUNCTION("""COMPUTED_VALUE"""),43887.0)</f>
        <v>43887</v>
      </c>
      <c r="AO1" s="1">
        <f>IFERROR(__xludf.DUMMYFUNCTION("""COMPUTED_VALUE"""),43888.0)</f>
        <v>43888</v>
      </c>
      <c r="AP1" s="1">
        <f>IFERROR(__xludf.DUMMYFUNCTION("""COMPUTED_VALUE"""),43889.0)</f>
        <v>43889</v>
      </c>
      <c r="AQ1" s="1">
        <f>IFERROR(__xludf.DUMMYFUNCTION("""COMPUTED_VALUE"""),43890.0)</f>
        <v>43890</v>
      </c>
      <c r="AR1" s="1">
        <f>IFERROR(__xludf.DUMMYFUNCTION("""COMPUTED_VALUE"""),43891.0)</f>
        <v>43891</v>
      </c>
      <c r="AS1" s="1">
        <f>IFERROR(__xludf.DUMMYFUNCTION("""COMPUTED_VALUE"""),43892.0)</f>
        <v>43892</v>
      </c>
      <c r="AT1" s="1">
        <f>IFERROR(__xludf.DUMMYFUNCTION("""COMPUTED_VALUE"""),43893.0)</f>
        <v>43893</v>
      </c>
      <c r="AU1" s="1">
        <f>IFERROR(__xludf.DUMMYFUNCTION("""COMPUTED_VALUE"""),43894.0)</f>
        <v>43894</v>
      </c>
      <c r="AV1" s="1">
        <f>IFERROR(__xludf.DUMMYFUNCTION("""COMPUTED_VALUE"""),43895.0)</f>
        <v>43895</v>
      </c>
      <c r="AW1" s="1">
        <f>IFERROR(__xludf.DUMMYFUNCTION("""COMPUTED_VALUE"""),43896.0)</f>
        <v>43896</v>
      </c>
      <c r="AX1" s="1">
        <f>IFERROR(__xludf.DUMMYFUNCTION("""COMPUTED_VALUE"""),43897.0)</f>
        <v>43897</v>
      </c>
      <c r="AY1" s="1">
        <f>IFERROR(__xludf.DUMMYFUNCTION("""COMPUTED_VALUE"""),43898.0)</f>
        <v>43898</v>
      </c>
      <c r="AZ1" s="1">
        <f>IFERROR(__xludf.DUMMYFUNCTION("""COMPUTED_VALUE"""),43899.0)</f>
        <v>43899</v>
      </c>
      <c r="BA1" s="1">
        <f>IFERROR(__xludf.DUMMYFUNCTION("""COMPUTED_VALUE"""),43900.0)</f>
        <v>43900</v>
      </c>
      <c r="BB1" s="1">
        <f>IFERROR(__xludf.DUMMYFUNCTION("""COMPUTED_VALUE"""),43901.0)</f>
        <v>43901</v>
      </c>
      <c r="BC1" s="1">
        <f>IFERROR(__xludf.DUMMYFUNCTION("""COMPUTED_VALUE"""),43902.0)</f>
        <v>43902</v>
      </c>
      <c r="BD1" s="1">
        <f>IFERROR(__xludf.DUMMYFUNCTION("""COMPUTED_VALUE"""),43903.0)</f>
        <v>43903</v>
      </c>
      <c r="BE1" s="1">
        <f>IFERROR(__xludf.DUMMYFUNCTION("""COMPUTED_VALUE"""),43904.0)</f>
        <v>43904</v>
      </c>
      <c r="BF1" s="1">
        <f>IFERROR(__xludf.DUMMYFUNCTION("""COMPUTED_VALUE"""),43905.0)</f>
        <v>43905</v>
      </c>
      <c r="BG1" s="1">
        <f>IFERROR(__xludf.DUMMYFUNCTION("""COMPUTED_VALUE"""),43906.0)</f>
        <v>43906</v>
      </c>
      <c r="BH1" s="1">
        <f>IFERROR(__xludf.DUMMYFUNCTION("""COMPUTED_VALUE"""),43907.0)</f>
        <v>43907</v>
      </c>
      <c r="BI1" s="1">
        <f>IFERROR(__xludf.DUMMYFUNCTION("""COMPUTED_VALUE"""),43908.0)</f>
        <v>43908</v>
      </c>
      <c r="BJ1" s="1">
        <f>IFERROR(__xludf.DUMMYFUNCTION("""COMPUTED_VALUE"""),43909.0)</f>
        <v>43909</v>
      </c>
      <c r="BK1" s="1">
        <f>IFERROR(__xludf.DUMMYFUNCTION("""COMPUTED_VALUE"""),43910.0)</f>
        <v>43910</v>
      </c>
      <c r="BL1" s="1">
        <f>IFERROR(__xludf.DUMMYFUNCTION("""COMPUTED_VALUE"""),43911.0)</f>
        <v>43911</v>
      </c>
      <c r="BM1" s="1">
        <f>IFERROR(__xludf.DUMMYFUNCTION("""COMPUTED_VALUE"""),43912.0)</f>
        <v>43912</v>
      </c>
      <c r="BN1" s="1">
        <f>IFERROR(__xludf.DUMMYFUNCTION("""COMPUTED_VALUE"""),43913.0)</f>
        <v>43913</v>
      </c>
      <c r="BO1" s="1">
        <f>IFERROR(__xludf.DUMMYFUNCTION("""COMPUTED_VALUE"""),43914.0)</f>
        <v>43914</v>
      </c>
      <c r="BP1" s="1">
        <f>IFERROR(__xludf.DUMMYFUNCTION("""COMPUTED_VALUE"""),43915.0)</f>
        <v>43915</v>
      </c>
      <c r="BQ1" s="1">
        <f>IFERROR(__xludf.DUMMYFUNCTION("""COMPUTED_VALUE"""),43916.0)</f>
        <v>43916</v>
      </c>
      <c r="BR1" s="1">
        <f>IFERROR(__xludf.DUMMYFUNCTION("""COMPUTED_VALUE"""),43917.0)</f>
        <v>43917</v>
      </c>
      <c r="BS1" s="1">
        <f>IFERROR(__xludf.DUMMYFUNCTION("""COMPUTED_VALUE"""),43918.0)</f>
        <v>43918</v>
      </c>
      <c r="BT1" s="1">
        <f>IFERROR(__xludf.DUMMYFUNCTION("""COMPUTED_VALUE"""),43919.0)</f>
        <v>43919</v>
      </c>
      <c r="BU1" s="1">
        <f>IFERROR(__xludf.DUMMYFUNCTION("""COMPUTED_VALUE"""),43920.0)</f>
        <v>43920</v>
      </c>
      <c r="BV1" s="1">
        <f>IFERROR(__xludf.DUMMYFUNCTION("""COMPUTED_VALUE"""),43921.0)</f>
        <v>43921</v>
      </c>
      <c r="BW1" s="1">
        <f>IFERROR(__xludf.DUMMYFUNCTION("""COMPUTED_VALUE"""),43922.0)</f>
        <v>43922</v>
      </c>
      <c r="BX1" s="1">
        <f>IFERROR(__xludf.DUMMYFUNCTION("""COMPUTED_VALUE"""),43923.0)</f>
        <v>43923</v>
      </c>
      <c r="BY1" s="1">
        <f>IFERROR(__xludf.DUMMYFUNCTION("""COMPUTED_VALUE"""),43924.0)</f>
        <v>43924</v>
      </c>
      <c r="BZ1" s="1">
        <f>IFERROR(__xludf.DUMMYFUNCTION("""COMPUTED_VALUE"""),43925.0)</f>
        <v>43925</v>
      </c>
      <c r="CA1" s="1">
        <f>IFERROR(__xludf.DUMMYFUNCTION("""COMPUTED_VALUE"""),43926.0)</f>
        <v>43926</v>
      </c>
      <c r="CB1" s="1">
        <f>IFERROR(__xludf.DUMMYFUNCTION("""COMPUTED_VALUE"""),43927.0)</f>
        <v>43927</v>
      </c>
      <c r="CC1" s="1"/>
    </row>
    <row r="2">
      <c r="A2" s="3" t="str">
        <f>IFERROR(__xludf.DUMMYFUNCTION("""COMPUTED_VALUE"""),"")</f>
        <v/>
      </c>
      <c r="B2" s="3" t="str">
        <f>IFERROR(__xludf.DUMMYFUNCTION("""COMPUTED_VALUE"""),"Afghanistan")</f>
        <v>Afghanistan</v>
      </c>
      <c r="C2" s="3">
        <f>IFERROR(__xludf.DUMMYFUNCTION("""COMPUTED_VALUE"""),33.0)</f>
        <v>33</v>
      </c>
      <c r="D2" s="3">
        <f>IFERROR(__xludf.DUMMYFUNCTION("""COMPUTED_VALUE"""),65.0)</f>
        <v>65</v>
      </c>
      <c r="E2" s="3">
        <f>IFERROR(__xludf.DUMMYFUNCTION("""COMPUTED_VALUE"""),0.0)</f>
        <v>0</v>
      </c>
      <c r="F2" s="3">
        <f>IFERROR(__xludf.DUMMYFUNCTION("""COMPUTED_VALUE"""),0.0)</f>
        <v>0</v>
      </c>
      <c r="G2" s="3">
        <f>IFERROR(__xludf.DUMMYFUNCTION("""COMPUTED_VALUE"""),0.0)</f>
        <v>0</v>
      </c>
      <c r="H2" s="3">
        <f>IFERROR(__xludf.DUMMYFUNCTION("""COMPUTED_VALUE"""),0.0)</f>
        <v>0</v>
      </c>
      <c r="I2" s="3">
        <f>IFERROR(__xludf.DUMMYFUNCTION("""COMPUTED_VALUE"""),0.0)</f>
        <v>0</v>
      </c>
      <c r="J2" s="3">
        <f>IFERROR(__xludf.DUMMYFUNCTION("""COMPUTED_VALUE"""),0.0)</f>
        <v>0</v>
      </c>
      <c r="K2" s="3">
        <f>IFERROR(__xludf.DUMMYFUNCTION("""COMPUTED_VALUE"""),0.0)</f>
        <v>0</v>
      </c>
      <c r="L2" s="3">
        <f>IFERROR(__xludf.DUMMYFUNCTION("""COMPUTED_VALUE"""),0.0)</f>
        <v>0</v>
      </c>
      <c r="M2" s="3">
        <f>IFERROR(__xludf.DUMMYFUNCTION("""COMPUTED_VALUE"""),0.0)</f>
        <v>0</v>
      </c>
      <c r="N2" s="3">
        <f>IFERROR(__xludf.DUMMYFUNCTION("""COMPUTED_VALUE"""),0.0)</f>
        <v>0</v>
      </c>
      <c r="O2" s="3">
        <f>IFERROR(__xludf.DUMMYFUNCTION("""COMPUTED_VALUE"""),0.0)</f>
        <v>0</v>
      </c>
      <c r="P2" s="3">
        <f>IFERROR(__xludf.DUMMYFUNCTION("""COMPUTED_VALUE"""),0.0)</f>
        <v>0</v>
      </c>
      <c r="Q2" s="3">
        <f>IFERROR(__xludf.DUMMYFUNCTION("""COMPUTED_VALUE"""),0.0)</f>
        <v>0</v>
      </c>
      <c r="R2" s="3">
        <f>IFERROR(__xludf.DUMMYFUNCTION("""COMPUTED_VALUE"""),0.0)</f>
        <v>0</v>
      </c>
      <c r="S2" s="3">
        <f>IFERROR(__xludf.DUMMYFUNCTION("""COMPUTED_VALUE"""),0.0)</f>
        <v>0</v>
      </c>
      <c r="T2" s="3">
        <f>IFERROR(__xludf.DUMMYFUNCTION("""COMPUTED_VALUE"""),0.0)</f>
        <v>0</v>
      </c>
      <c r="U2" s="3">
        <f>IFERROR(__xludf.DUMMYFUNCTION("""COMPUTED_VALUE"""),0.0)</f>
        <v>0</v>
      </c>
      <c r="V2" s="3">
        <f>IFERROR(__xludf.DUMMYFUNCTION("""COMPUTED_VALUE"""),0.0)</f>
        <v>0</v>
      </c>
      <c r="W2" s="3">
        <f>IFERROR(__xludf.DUMMYFUNCTION("""COMPUTED_VALUE"""),0.0)</f>
        <v>0</v>
      </c>
      <c r="X2" s="3">
        <f>IFERROR(__xludf.DUMMYFUNCTION("""COMPUTED_VALUE"""),0.0)</f>
        <v>0</v>
      </c>
      <c r="Y2" s="3">
        <f>IFERROR(__xludf.DUMMYFUNCTION("""COMPUTED_VALUE"""),0.0)</f>
        <v>0</v>
      </c>
      <c r="Z2" s="3">
        <f>IFERROR(__xludf.DUMMYFUNCTION("""COMPUTED_VALUE"""),0.0)</f>
        <v>0</v>
      </c>
      <c r="AA2" s="3">
        <f>IFERROR(__xludf.DUMMYFUNCTION("""COMPUTED_VALUE"""),0.0)</f>
        <v>0</v>
      </c>
      <c r="AB2" s="3">
        <f>IFERROR(__xludf.DUMMYFUNCTION("""COMPUTED_VALUE"""),0.0)</f>
        <v>0</v>
      </c>
      <c r="AC2" s="3">
        <f>IFERROR(__xludf.DUMMYFUNCTION("""COMPUTED_VALUE"""),0.0)</f>
        <v>0</v>
      </c>
      <c r="AD2" s="3">
        <f>IFERROR(__xludf.DUMMYFUNCTION("""COMPUTED_VALUE"""),0.0)</f>
        <v>0</v>
      </c>
      <c r="AE2" s="3">
        <f>IFERROR(__xludf.DUMMYFUNCTION("""COMPUTED_VALUE"""),0.0)</f>
        <v>0</v>
      </c>
      <c r="AF2" s="3">
        <f>IFERROR(__xludf.DUMMYFUNCTION("""COMPUTED_VALUE"""),0.0)</f>
        <v>0</v>
      </c>
      <c r="AG2" s="3">
        <f>IFERROR(__xludf.DUMMYFUNCTION("""COMPUTED_VALUE"""),0.0)</f>
        <v>0</v>
      </c>
      <c r="AH2" s="3">
        <f>IFERROR(__xludf.DUMMYFUNCTION("""COMPUTED_VALUE"""),0.0)</f>
        <v>0</v>
      </c>
      <c r="AI2" s="3">
        <f>IFERROR(__xludf.DUMMYFUNCTION("""COMPUTED_VALUE"""),0.0)</f>
        <v>0</v>
      </c>
      <c r="AJ2" s="3">
        <f>IFERROR(__xludf.DUMMYFUNCTION("""COMPUTED_VALUE"""),0.0)</f>
        <v>0</v>
      </c>
      <c r="AK2" s="3">
        <f>IFERROR(__xludf.DUMMYFUNCTION("""COMPUTED_VALUE"""),0.0)</f>
        <v>0</v>
      </c>
      <c r="AL2" s="3">
        <f>IFERROR(__xludf.DUMMYFUNCTION("""COMPUTED_VALUE"""),0.0)</f>
        <v>0</v>
      </c>
      <c r="AM2" s="3">
        <f>IFERROR(__xludf.DUMMYFUNCTION("""COMPUTED_VALUE"""),0.0)</f>
        <v>0</v>
      </c>
      <c r="AN2" s="3">
        <f>IFERROR(__xludf.DUMMYFUNCTION("""COMPUTED_VALUE"""),0.0)</f>
        <v>0</v>
      </c>
      <c r="AO2" s="3">
        <f>IFERROR(__xludf.DUMMYFUNCTION("""COMPUTED_VALUE"""),0.0)</f>
        <v>0</v>
      </c>
      <c r="AP2" s="3">
        <f>IFERROR(__xludf.DUMMYFUNCTION("""COMPUTED_VALUE"""),0.0)</f>
        <v>0</v>
      </c>
      <c r="AQ2" s="3">
        <f>IFERROR(__xludf.DUMMYFUNCTION("""COMPUTED_VALUE"""),0.0)</f>
        <v>0</v>
      </c>
      <c r="AR2" s="3">
        <f>IFERROR(__xludf.DUMMYFUNCTION("""COMPUTED_VALUE"""),0.0)</f>
        <v>0</v>
      </c>
      <c r="AS2" s="3">
        <f>IFERROR(__xludf.DUMMYFUNCTION("""COMPUTED_VALUE"""),0.0)</f>
        <v>0</v>
      </c>
      <c r="AT2" s="3">
        <f>IFERROR(__xludf.DUMMYFUNCTION("""COMPUTED_VALUE"""),0.0)</f>
        <v>0</v>
      </c>
      <c r="AU2" s="3">
        <f>IFERROR(__xludf.DUMMYFUNCTION("""COMPUTED_VALUE"""),0.0)</f>
        <v>0</v>
      </c>
      <c r="AV2" s="3">
        <f>IFERROR(__xludf.DUMMYFUNCTION("""COMPUTED_VALUE"""),0.0)</f>
        <v>0</v>
      </c>
      <c r="AW2" s="3">
        <f>IFERROR(__xludf.DUMMYFUNCTION("""COMPUTED_VALUE"""),0.0)</f>
        <v>0</v>
      </c>
      <c r="AX2" s="3">
        <f>IFERROR(__xludf.DUMMYFUNCTION("""COMPUTED_VALUE"""),0.0)</f>
        <v>0</v>
      </c>
      <c r="AY2" s="3">
        <f>IFERROR(__xludf.DUMMYFUNCTION("""COMPUTED_VALUE"""),0.0)</f>
        <v>0</v>
      </c>
      <c r="AZ2" s="3">
        <f>IFERROR(__xludf.DUMMYFUNCTION("""COMPUTED_VALUE"""),0.0)</f>
        <v>0</v>
      </c>
      <c r="BA2" s="3">
        <f>IFERROR(__xludf.DUMMYFUNCTION("""COMPUTED_VALUE"""),0.0)</f>
        <v>0</v>
      </c>
      <c r="BB2" s="3">
        <f>IFERROR(__xludf.DUMMYFUNCTION("""COMPUTED_VALUE"""),0.0)</f>
        <v>0</v>
      </c>
      <c r="BC2" s="3">
        <f>IFERROR(__xludf.DUMMYFUNCTION("""COMPUTED_VALUE"""),0.0)</f>
        <v>0</v>
      </c>
      <c r="BD2" s="3">
        <f>IFERROR(__xludf.DUMMYFUNCTION("""COMPUTED_VALUE"""),0.0)</f>
        <v>0</v>
      </c>
      <c r="BE2" s="3">
        <f>IFERROR(__xludf.DUMMYFUNCTION("""COMPUTED_VALUE"""),0.0)</f>
        <v>0</v>
      </c>
      <c r="BF2" s="3">
        <f>IFERROR(__xludf.DUMMYFUNCTION("""COMPUTED_VALUE"""),0.0)</f>
        <v>0</v>
      </c>
      <c r="BG2" s="3">
        <f>IFERROR(__xludf.DUMMYFUNCTION("""COMPUTED_VALUE"""),0.0)</f>
        <v>0</v>
      </c>
      <c r="BH2" s="3">
        <f>IFERROR(__xludf.DUMMYFUNCTION("""COMPUTED_VALUE"""),0.0)</f>
        <v>0</v>
      </c>
      <c r="BI2" s="3">
        <f>IFERROR(__xludf.DUMMYFUNCTION("""COMPUTED_VALUE"""),0.0)</f>
        <v>0</v>
      </c>
      <c r="BJ2" s="3">
        <f>IFERROR(__xludf.DUMMYFUNCTION("""COMPUTED_VALUE"""),0.0)</f>
        <v>0</v>
      </c>
      <c r="BK2" s="3">
        <f>IFERROR(__xludf.DUMMYFUNCTION("""COMPUTED_VALUE"""),0.0)</f>
        <v>0</v>
      </c>
      <c r="BL2" s="3">
        <f>IFERROR(__xludf.DUMMYFUNCTION("""COMPUTED_VALUE"""),0.0)</f>
        <v>0</v>
      </c>
      <c r="BM2" s="3">
        <f>IFERROR(__xludf.DUMMYFUNCTION("""COMPUTED_VALUE"""),1.0)</f>
        <v>1</v>
      </c>
      <c r="BN2" s="3">
        <f>IFERROR(__xludf.DUMMYFUNCTION("""COMPUTED_VALUE"""),1.0)</f>
        <v>1</v>
      </c>
      <c r="BO2" s="3">
        <f>IFERROR(__xludf.DUMMYFUNCTION("""COMPUTED_VALUE"""),1.0)</f>
        <v>1</v>
      </c>
      <c r="BP2" s="3">
        <f>IFERROR(__xludf.DUMMYFUNCTION("""COMPUTED_VALUE"""),2.0)</f>
        <v>2</v>
      </c>
      <c r="BQ2" s="3">
        <f>IFERROR(__xludf.DUMMYFUNCTION("""COMPUTED_VALUE"""),4.0)</f>
        <v>4</v>
      </c>
      <c r="BR2" s="3">
        <f>IFERROR(__xludf.DUMMYFUNCTION("""COMPUTED_VALUE"""),4.0)</f>
        <v>4</v>
      </c>
      <c r="BS2" s="3">
        <f>IFERROR(__xludf.DUMMYFUNCTION("""COMPUTED_VALUE"""),4.0)</f>
        <v>4</v>
      </c>
      <c r="BT2" s="3">
        <f>IFERROR(__xludf.DUMMYFUNCTION("""COMPUTED_VALUE"""),4.0)</f>
        <v>4</v>
      </c>
      <c r="BU2" s="3">
        <f>IFERROR(__xludf.DUMMYFUNCTION("""COMPUTED_VALUE"""),4.0)</f>
        <v>4</v>
      </c>
      <c r="BV2" s="3">
        <f>IFERROR(__xludf.DUMMYFUNCTION("""COMPUTED_VALUE"""),4.0)</f>
        <v>4</v>
      </c>
      <c r="BW2" s="3">
        <f>IFERROR(__xludf.DUMMYFUNCTION("""COMPUTED_VALUE"""),4.0)</f>
        <v>4</v>
      </c>
      <c r="BX2" s="3">
        <f>IFERROR(__xludf.DUMMYFUNCTION("""COMPUTED_VALUE"""),6.0)</f>
        <v>6</v>
      </c>
      <c r="BY2" s="3">
        <f>IFERROR(__xludf.DUMMYFUNCTION("""COMPUTED_VALUE"""),6.0)</f>
        <v>6</v>
      </c>
      <c r="BZ2" s="3">
        <f>IFERROR(__xludf.DUMMYFUNCTION("""COMPUTED_VALUE"""),7.0)</f>
        <v>7</v>
      </c>
      <c r="CA2" s="3">
        <f>IFERROR(__xludf.DUMMYFUNCTION("""COMPUTED_VALUE"""),7.0)</f>
        <v>7</v>
      </c>
      <c r="CB2" s="3">
        <f>IFERROR(__xludf.DUMMYFUNCTION("""COMPUTED_VALUE"""),11.0)</f>
        <v>11</v>
      </c>
    </row>
    <row r="3">
      <c r="A3" s="3" t="str">
        <f>IFERROR(__xludf.DUMMYFUNCTION("""COMPUTED_VALUE"""),"")</f>
        <v/>
      </c>
      <c r="B3" s="3" t="str">
        <f>IFERROR(__xludf.DUMMYFUNCTION("""COMPUTED_VALUE"""),"Albania")</f>
        <v>Albania</v>
      </c>
      <c r="C3" s="3">
        <f>IFERROR(__xludf.DUMMYFUNCTION("""COMPUTED_VALUE"""),41.1533)</f>
        <v>41.1533</v>
      </c>
      <c r="D3" s="3">
        <f>IFERROR(__xludf.DUMMYFUNCTION("""COMPUTED_VALUE"""),20.1683)</f>
        <v>20.1683</v>
      </c>
      <c r="E3" s="3">
        <f>IFERROR(__xludf.DUMMYFUNCTION("""COMPUTED_VALUE"""),0.0)</f>
        <v>0</v>
      </c>
      <c r="F3" s="3">
        <f>IFERROR(__xludf.DUMMYFUNCTION("""COMPUTED_VALUE"""),0.0)</f>
        <v>0</v>
      </c>
      <c r="G3" s="3">
        <f>IFERROR(__xludf.DUMMYFUNCTION("""COMPUTED_VALUE"""),0.0)</f>
        <v>0</v>
      </c>
      <c r="H3" s="3">
        <f>IFERROR(__xludf.DUMMYFUNCTION("""COMPUTED_VALUE"""),0.0)</f>
        <v>0</v>
      </c>
      <c r="I3" s="3">
        <f>IFERROR(__xludf.DUMMYFUNCTION("""COMPUTED_VALUE"""),0.0)</f>
        <v>0</v>
      </c>
      <c r="J3" s="3">
        <f>IFERROR(__xludf.DUMMYFUNCTION("""COMPUTED_VALUE"""),0.0)</f>
        <v>0</v>
      </c>
      <c r="K3" s="3">
        <f>IFERROR(__xludf.DUMMYFUNCTION("""COMPUTED_VALUE"""),0.0)</f>
        <v>0</v>
      </c>
      <c r="L3" s="3">
        <f>IFERROR(__xludf.DUMMYFUNCTION("""COMPUTED_VALUE"""),0.0)</f>
        <v>0</v>
      </c>
      <c r="M3" s="3">
        <f>IFERROR(__xludf.DUMMYFUNCTION("""COMPUTED_VALUE"""),0.0)</f>
        <v>0</v>
      </c>
      <c r="N3" s="3">
        <f>IFERROR(__xludf.DUMMYFUNCTION("""COMPUTED_VALUE"""),0.0)</f>
        <v>0</v>
      </c>
      <c r="O3" s="3">
        <f>IFERROR(__xludf.DUMMYFUNCTION("""COMPUTED_VALUE"""),0.0)</f>
        <v>0</v>
      </c>
      <c r="P3" s="3">
        <f>IFERROR(__xludf.DUMMYFUNCTION("""COMPUTED_VALUE"""),0.0)</f>
        <v>0</v>
      </c>
      <c r="Q3" s="3">
        <f>IFERROR(__xludf.DUMMYFUNCTION("""COMPUTED_VALUE"""),0.0)</f>
        <v>0</v>
      </c>
      <c r="R3" s="3">
        <f>IFERROR(__xludf.DUMMYFUNCTION("""COMPUTED_VALUE"""),0.0)</f>
        <v>0</v>
      </c>
      <c r="S3" s="3">
        <f>IFERROR(__xludf.DUMMYFUNCTION("""COMPUTED_VALUE"""),0.0)</f>
        <v>0</v>
      </c>
      <c r="T3" s="3">
        <f>IFERROR(__xludf.DUMMYFUNCTION("""COMPUTED_VALUE"""),0.0)</f>
        <v>0</v>
      </c>
      <c r="U3" s="3">
        <f>IFERROR(__xludf.DUMMYFUNCTION("""COMPUTED_VALUE"""),0.0)</f>
        <v>0</v>
      </c>
      <c r="V3" s="3">
        <f>IFERROR(__xludf.DUMMYFUNCTION("""COMPUTED_VALUE"""),0.0)</f>
        <v>0</v>
      </c>
      <c r="W3" s="3">
        <f>IFERROR(__xludf.DUMMYFUNCTION("""COMPUTED_VALUE"""),0.0)</f>
        <v>0</v>
      </c>
      <c r="X3" s="3">
        <f>IFERROR(__xludf.DUMMYFUNCTION("""COMPUTED_VALUE"""),0.0)</f>
        <v>0</v>
      </c>
      <c r="Y3" s="3">
        <f>IFERROR(__xludf.DUMMYFUNCTION("""COMPUTED_VALUE"""),0.0)</f>
        <v>0</v>
      </c>
      <c r="Z3" s="3">
        <f>IFERROR(__xludf.DUMMYFUNCTION("""COMPUTED_VALUE"""),0.0)</f>
        <v>0</v>
      </c>
      <c r="AA3" s="3">
        <f>IFERROR(__xludf.DUMMYFUNCTION("""COMPUTED_VALUE"""),0.0)</f>
        <v>0</v>
      </c>
      <c r="AB3" s="3">
        <f>IFERROR(__xludf.DUMMYFUNCTION("""COMPUTED_VALUE"""),0.0)</f>
        <v>0</v>
      </c>
      <c r="AC3" s="3">
        <f>IFERROR(__xludf.DUMMYFUNCTION("""COMPUTED_VALUE"""),0.0)</f>
        <v>0</v>
      </c>
      <c r="AD3" s="3">
        <f>IFERROR(__xludf.DUMMYFUNCTION("""COMPUTED_VALUE"""),0.0)</f>
        <v>0</v>
      </c>
      <c r="AE3" s="3">
        <f>IFERROR(__xludf.DUMMYFUNCTION("""COMPUTED_VALUE"""),0.0)</f>
        <v>0</v>
      </c>
      <c r="AF3" s="3">
        <f>IFERROR(__xludf.DUMMYFUNCTION("""COMPUTED_VALUE"""),0.0)</f>
        <v>0</v>
      </c>
      <c r="AG3" s="3">
        <f>IFERROR(__xludf.DUMMYFUNCTION("""COMPUTED_VALUE"""),0.0)</f>
        <v>0</v>
      </c>
      <c r="AH3" s="3">
        <f>IFERROR(__xludf.DUMMYFUNCTION("""COMPUTED_VALUE"""),0.0)</f>
        <v>0</v>
      </c>
      <c r="AI3" s="3">
        <f>IFERROR(__xludf.DUMMYFUNCTION("""COMPUTED_VALUE"""),0.0)</f>
        <v>0</v>
      </c>
      <c r="AJ3" s="3">
        <f>IFERROR(__xludf.DUMMYFUNCTION("""COMPUTED_VALUE"""),0.0)</f>
        <v>0</v>
      </c>
      <c r="AK3" s="3">
        <f>IFERROR(__xludf.DUMMYFUNCTION("""COMPUTED_VALUE"""),0.0)</f>
        <v>0</v>
      </c>
      <c r="AL3" s="3">
        <f>IFERROR(__xludf.DUMMYFUNCTION("""COMPUTED_VALUE"""),0.0)</f>
        <v>0</v>
      </c>
      <c r="AM3" s="3">
        <f>IFERROR(__xludf.DUMMYFUNCTION("""COMPUTED_VALUE"""),0.0)</f>
        <v>0</v>
      </c>
      <c r="AN3" s="3">
        <f>IFERROR(__xludf.DUMMYFUNCTION("""COMPUTED_VALUE"""),0.0)</f>
        <v>0</v>
      </c>
      <c r="AO3" s="3">
        <f>IFERROR(__xludf.DUMMYFUNCTION("""COMPUTED_VALUE"""),0.0)</f>
        <v>0</v>
      </c>
      <c r="AP3" s="3">
        <f>IFERROR(__xludf.DUMMYFUNCTION("""COMPUTED_VALUE"""),0.0)</f>
        <v>0</v>
      </c>
      <c r="AQ3" s="3">
        <f>IFERROR(__xludf.DUMMYFUNCTION("""COMPUTED_VALUE"""),0.0)</f>
        <v>0</v>
      </c>
      <c r="AR3" s="3">
        <f>IFERROR(__xludf.DUMMYFUNCTION("""COMPUTED_VALUE"""),0.0)</f>
        <v>0</v>
      </c>
      <c r="AS3" s="3">
        <f>IFERROR(__xludf.DUMMYFUNCTION("""COMPUTED_VALUE"""),0.0)</f>
        <v>0</v>
      </c>
      <c r="AT3" s="3">
        <f>IFERROR(__xludf.DUMMYFUNCTION("""COMPUTED_VALUE"""),0.0)</f>
        <v>0</v>
      </c>
      <c r="AU3" s="3">
        <f>IFERROR(__xludf.DUMMYFUNCTION("""COMPUTED_VALUE"""),0.0)</f>
        <v>0</v>
      </c>
      <c r="AV3" s="3">
        <f>IFERROR(__xludf.DUMMYFUNCTION("""COMPUTED_VALUE"""),0.0)</f>
        <v>0</v>
      </c>
      <c r="AW3" s="3">
        <f>IFERROR(__xludf.DUMMYFUNCTION("""COMPUTED_VALUE"""),0.0)</f>
        <v>0</v>
      </c>
      <c r="AX3" s="3">
        <f>IFERROR(__xludf.DUMMYFUNCTION("""COMPUTED_VALUE"""),0.0)</f>
        <v>0</v>
      </c>
      <c r="AY3" s="3">
        <f>IFERROR(__xludf.DUMMYFUNCTION("""COMPUTED_VALUE"""),0.0)</f>
        <v>0</v>
      </c>
      <c r="AZ3" s="3">
        <f>IFERROR(__xludf.DUMMYFUNCTION("""COMPUTED_VALUE"""),0.0)</f>
        <v>0</v>
      </c>
      <c r="BA3" s="3">
        <f>IFERROR(__xludf.DUMMYFUNCTION("""COMPUTED_VALUE"""),0.0)</f>
        <v>0</v>
      </c>
      <c r="BB3" s="3">
        <f>IFERROR(__xludf.DUMMYFUNCTION("""COMPUTED_VALUE"""),1.0)</f>
        <v>1</v>
      </c>
      <c r="BC3" s="3">
        <f>IFERROR(__xludf.DUMMYFUNCTION("""COMPUTED_VALUE"""),1.0)</f>
        <v>1</v>
      </c>
      <c r="BD3" s="3">
        <f>IFERROR(__xludf.DUMMYFUNCTION("""COMPUTED_VALUE"""),1.0)</f>
        <v>1</v>
      </c>
      <c r="BE3" s="3">
        <f>IFERROR(__xludf.DUMMYFUNCTION("""COMPUTED_VALUE"""),1.0)</f>
        <v>1</v>
      </c>
      <c r="BF3" s="3">
        <f>IFERROR(__xludf.DUMMYFUNCTION("""COMPUTED_VALUE"""),1.0)</f>
        <v>1</v>
      </c>
      <c r="BG3" s="3">
        <f>IFERROR(__xludf.DUMMYFUNCTION("""COMPUTED_VALUE"""),1.0)</f>
        <v>1</v>
      </c>
      <c r="BH3" s="3">
        <f>IFERROR(__xludf.DUMMYFUNCTION("""COMPUTED_VALUE"""),1.0)</f>
        <v>1</v>
      </c>
      <c r="BI3" s="3">
        <f>IFERROR(__xludf.DUMMYFUNCTION("""COMPUTED_VALUE"""),2.0)</f>
        <v>2</v>
      </c>
      <c r="BJ3" s="3">
        <f>IFERROR(__xludf.DUMMYFUNCTION("""COMPUTED_VALUE"""),2.0)</f>
        <v>2</v>
      </c>
      <c r="BK3" s="3">
        <f>IFERROR(__xludf.DUMMYFUNCTION("""COMPUTED_VALUE"""),2.0)</f>
        <v>2</v>
      </c>
      <c r="BL3" s="3">
        <f>IFERROR(__xludf.DUMMYFUNCTION("""COMPUTED_VALUE"""),2.0)</f>
        <v>2</v>
      </c>
      <c r="BM3" s="3">
        <f>IFERROR(__xludf.DUMMYFUNCTION("""COMPUTED_VALUE"""),2.0)</f>
        <v>2</v>
      </c>
      <c r="BN3" s="3">
        <f>IFERROR(__xludf.DUMMYFUNCTION("""COMPUTED_VALUE"""),4.0)</f>
        <v>4</v>
      </c>
      <c r="BO3" s="3">
        <f>IFERROR(__xludf.DUMMYFUNCTION("""COMPUTED_VALUE"""),5.0)</f>
        <v>5</v>
      </c>
      <c r="BP3" s="3">
        <f>IFERROR(__xludf.DUMMYFUNCTION("""COMPUTED_VALUE"""),5.0)</f>
        <v>5</v>
      </c>
      <c r="BQ3" s="3">
        <f>IFERROR(__xludf.DUMMYFUNCTION("""COMPUTED_VALUE"""),6.0)</f>
        <v>6</v>
      </c>
      <c r="BR3" s="3">
        <f>IFERROR(__xludf.DUMMYFUNCTION("""COMPUTED_VALUE"""),8.0)</f>
        <v>8</v>
      </c>
      <c r="BS3" s="3">
        <f>IFERROR(__xludf.DUMMYFUNCTION("""COMPUTED_VALUE"""),10.0)</f>
        <v>10</v>
      </c>
      <c r="BT3" s="3">
        <f>IFERROR(__xludf.DUMMYFUNCTION("""COMPUTED_VALUE"""),10.0)</f>
        <v>10</v>
      </c>
      <c r="BU3" s="3">
        <f>IFERROR(__xludf.DUMMYFUNCTION("""COMPUTED_VALUE"""),11.0)</f>
        <v>11</v>
      </c>
      <c r="BV3" s="3">
        <f>IFERROR(__xludf.DUMMYFUNCTION("""COMPUTED_VALUE"""),15.0)</f>
        <v>15</v>
      </c>
      <c r="BW3" s="3">
        <f>IFERROR(__xludf.DUMMYFUNCTION("""COMPUTED_VALUE"""),15.0)</f>
        <v>15</v>
      </c>
      <c r="BX3" s="3">
        <f>IFERROR(__xludf.DUMMYFUNCTION("""COMPUTED_VALUE"""),16.0)</f>
        <v>16</v>
      </c>
      <c r="BY3" s="3">
        <f>IFERROR(__xludf.DUMMYFUNCTION("""COMPUTED_VALUE"""),17.0)</f>
        <v>17</v>
      </c>
      <c r="BZ3" s="3">
        <f>IFERROR(__xludf.DUMMYFUNCTION("""COMPUTED_VALUE"""),20.0)</f>
        <v>20</v>
      </c>
      <c r="CA3" s="3">
        <f>IFERROR(__xludf.DUMMYFUNCTION("""COMPUTED_VALUE"""),20.0)</f>
        <v>20</v>
      </c>
      <c r="CB3" s="3">
        <f>IFERROR(__xludf.DUMMYFUNCTION("""COMPUTED_VALUE"""),21.0)</f>
        <v>21</v>
      </c>
    </row>
    <row r="4">
      <c r="A4" s="3" t="str">
        <f>IFERROR(__xludf.DUMMYFUNCTION("""COMPUTED_VALUE"""),"")</f>
        <v/>
      </c>
      <c r="B4" s="3" t="str">
        <f>IFERROR(__xludf.DUMMYFUNCTION("""COMPUTED_VALUE"""),"Algeria")</f>
        <v>Algeria</v>
      </c>
      <c r="C4" s="3">
        <f>IFERROR(__xludf.DUMMYFUNCTION("""COMPUTED_VALUE"""),28.0339)</f>
        <v>28.0339</v>
      </c>
      <c r="D4" s="3">
        <f>IFERROR(__xludf.DUMMYFUNCTION("""COMPUTED_VALUE"""),1.6596)</f>
        <v>1.6596</v>
      </c>
      <c r="E4" s="3">
        <f>IFERROR(__xludf.DUMMYFUNCTION("""COMPUTED_VALUE"""),0.0)</f>
        <v>0</v>
      </c>
      <c r="F4" s="3">
        <f>IFERROR(__xludf.DUMMYFUNCTION("""COMPUTED_VALUE"""),0.0)</f>
        <v>0</v>
      </c>
      <c r="G4" s="3">
        <f>IFERROR(__xludf.DUMMYFUNCTION("""COMPUTED_VALUE"""),0.0)</f>
        <v>0</v>
      </c>
      <c r="H4" s="3">
        <f>IFERROR(__xludf.DUMMYFUNCTION("""COMPUTED_VALUE"""),0.0)</f>
        <v>0</v>
      </c>
      <c r="I4" s="3">
        <f>IFERROR(__xludf.DUMMYFUNCTION("""COMPUTED_VALUE"""),0.0)</f>
        <v>0</v>
      </c>
      <c r="J4" s="3">
        <f>IFERROR(__xludf.DUMMYFUNCTION("""COMPUTED_VALUE"""),0.0)</f>
        <v>0</v>
      </c>
      <c r="K4" s="3">
        <f>IFERROR(__xludf.DUMMYFUNCTION("""COMPUTED_VALUE"""),0.0)</f>
        <v>0</v>
      </c>
      <c r="L4" s="3">
        <f>IFERROR(__xludf.DUMMYFUNCTION("""COMPUTED_VALUE"""),0.0)</f>
        <v>0</v>
      </c>
      <c r="M4" s="3">
        <f>IFERROR(__xludf.DUMMYFUNCTION("""COMPUTED_VALUE"""),0.0)</f>
        <v>0</v>
      </c>
      <c r="N4" s="3">
        <f>IFERROR(__xludf.DUMMYFUNCTION("""COMPUTED_VALUE"""),0.0)</f>
        <v>0</v>
      </c>
      <c r="O4" s="3">
        <f>IFERROR(__xludf.DUMMYFUNCTION("""COMPUTED_VALUE"""),0.0)</f>
        <v>0</v>
      </c>
      <c r="P4" s="3">
        <f>IFERROR(__xludf.DUMMYFUNCTION("""COMPUTED_VALUE"""),0.0)</f>
        <v>0</v>
      </c>
      <c r="Q4" s="3">
        <f>IFERROR(__xludf.DUMMYFUNCTION("""COMPUTED_VALUE"""),0.0)</f>
        <v>0</v>
      </c>
      <c r="R4" s="3">
        <f>IFERROR(__xludf.DUMMYFUNCTION("""COMPUTED_VALUE"""),0.0)</f>
        <v>0</v>
      </c>
      <c r="S4" s="3">
        <f>IFERROR(__xludf.DUMMYFUNCTION("""COMPUTED_VALUE"""),0.0)</f>
        <v>0</v>
      </c>
      <c r="T4" s="3">
        <f>IFERROR(__xludf.DUMMYFUNCTION("""COMPUTED_VALUE"""),0.0)</f>
        <v>0</v>
      </c>
      <c r="U4" s="3">
        <f>IFERROR(__xludf.DUMMYFUNCTION("""COMPUTED_VALUE"""),0.0)</f>
        <v>0</v>
      </c>
      <c r="V4" s="3">
        <f>IFERROR(__xludf.DUMMYFUNCTION("""COMPUTED_VALUE"""),0.0)</f>
        <v>0</v>
      </c>
      <c r="W4" s="3">
        <f>IFERROR(__xludf.DUMMYFUNCTION("""COMPUTED_VALUE"""),0.0)</f>
        <v>0</v>
      </c>
      <c r="X4" s="3">
        <f>IFERROR(__xludf.DUMMYFUNCTION("""COMPUTED_VALUE"""),0.0)</f>
        <v>0</v>
      </c>
      <c r="Y4" s="3">
        <f>IFERROR(__xludf.DUMMYFUNCTION("""COMPUTED_VALUE"""),0.0)</f>
        <v>0</v>
      </c>
      <c r="Z4" s="3">
        <f>IFERROR(__xludf.DUMMYFUNCTION("""COMPUTED_VALUE"""),0.0)</f>
        <v>0</v>
      </c>
      <c r="AA4" s="3">
        <f>IFERROR(__xludf.DUMMYFUNCTION("""COMPUTED_VALUE"""),0.0)</f>
        <v>0</v>
      </c>
      <c r="AB4" s="3">
        <f>IFERROR(__xludf.DUMMYFUNCTION("""COMPUTED_VALUE"""),0.0)</f>
        <v>0</v>
      </c>
      <c r="AC4" s="3">
        <f>IFERROR(__xludf.DUMMYFUNCTION("""COMPUTED_VALUE"""),0.0)</f>
        <v>0</v>
      </c>
      <c r="AD4" s="3">
        <f>IFERROR(__xludf.DUMMYFUNCTION("""COMPUTED_VALUE"""),0.0)</f>
        <v>0</v>
      </c>
      <c r="AE4" s="3">
        <f>IFERROR(__xludf.DUMMYFUNCTION("""COMPUTED_VALUE"""),0.0)</f>
        <v>0</v>
      </c>
      <c r="AF4" s="3">
        <f>IFERROR(__xludf.DUMMYFUNCTION("""COMPUTED_VALUE"""),0.0)</f>
        <v>0</v>
      </c>
      <c r="AG4" s="3">
        <f>IFERROR(__xludf.DUMMYFUNCTION("""COMPUTED_VALUE"""),0.0)</f>
        <v>0</v>
      </c>
      <c r="AH4" s="3">
        <f>IFERROR(__xludf.DUMMYFUNCTION("""COMPUTED_VALUE"""),0.0)</f>
        <v>0</v>
      </c>
      <c r="AI4" s="3">
        <f>IFERROR(__xludf.DUMMYFUNCTION("""COMPUTED_VALUE"""),0.0)</f>
        <v>0</v>
      </c>
      <c r="AJ4" s="3">
        <f>IFERROR(__xludf.DUMMYFUNCTION("""COMPUTED_VALUE"""),0.0)</f>
        <v>0</v>
      </c>
      <c r="AK4" s="3">
        <f>IFERROR(__xludf.DUMMYFUNCTION("""COMPUTED_VALUE"""),0.0)</f>
        <v>0</v>
      </c>
      <c r="AL4" s="3">
        <f>IFERROR(__xludf.DUMMYFUNCTION("""COMPUTED_VALUE"""),0.0)</f>
        <v>0</v>
      </c>
      <c r="AM4" s="3">
        <f>IFERROR(__xludf.DUMMYFUNCTION("""COMPUTED_VALUE"""),0.0)</f>
        <v>0</v>
      </c>
      <c r="AN4" s="3">
        <f>IFERROR(__xludf.DUMMYFUNCTION("""COMPUTED_VALUE"""),0.0)</f>
        <v>0</v>
      </c>
      <c r="AO4" s="3">
        <f>IFERROR(__xludf.DUMMYFUNCTION("""COMPUTED_VALUE"""),0.0)</f>
        <v>0</v>
      </c>
      <c r="AP4" s="3">
        <f>IFERROR(__xludf.DUMMYFUNCTION("""COMPUTED_VALUE"""),0.0)</f>
        <v>0</v>
      </c>
      <c r="AQ4" s="3">
        <f>IFERROR(__xludf.DUMMYFUNCTION("""COMPUTED_VALUE"""),0.0)</f>
        <v>0</v>
      </c>
      <c r="AR4" s="3">
        <f>IFERROR(__xludf.DUMMYFUNCTION("""COMPUTED_VALUE"""),0.0)</f>
        <v>0</v>
      </c>
      <c r="AS4" s="3">
        <f>IFERROR(__xludf.DUMMYFUNCTION("""COMPUTED_VALUE"""),0.0)</f>
        <v>0</v>
      </c>
      <c r="AT4" s="3">
        <f>IFERROR(__xludf.DUMMYFUNCTION("""COMPUTED_VALUE"""),0.0)</f>
        <v>0</v>
      </c>
      <c r="AU4" s="3">
        <f>IFERROR(__xludf.DUMMYFUNCTION("""COMPUTED_VALUE"""),0.0)</f>
        <v>0</v>
      </c>
      <c r="AV4" s="3">
        <f>IFERROR(__xludf.DUMMYFUNCTION("""COMPUTED_VALUE"""),0.0)</f>
        <v>0</v>
      </c>
      <c r="AW4" s="3">
        <f>IFERROR(__xludf.DUMMYFUNCTION("""COMPUTED_VALUE"""),0.0)</f>
        <v>0</v>
      </c>
      <c r="AX4" s="3">
        <f>IFERROR(__xludf.DUMMYFUNCTION("""COMPUTED_VALUE"""),0.0)</f>
        <v>0</v>
      </c>
      <c r="AY4" s="3">
        <f>IFERROR(__xludf.DUMMYFUNCTION("""COMPUTED_VALUE"""),0.0)</f>
        <v>0</v>
      </c>
      <c r="AZ4" s="3">
        <f>IFERROR(__xludf.DUMMYFUNCTION("""COMPUTED_VALUE"""),0.0)</f>
        <v>0</v>
      </c>
      <c r="BA4" s="3">
        <f>IFERROR(__xludf.DUMMYFUNCTION("""COMPUTED_VALUE"""),0.0)</f>
        <v>0</v>
      </c>
      <c r="BB4" s="3">
        <f>IFERROR(__xludf.DUMMYFUNCTION("""COMPUTED_VALUE"""),0.0)</f>
        <v>0</v>
      </c>
      <c r="BC4" s="3">
        <f>IFERROR(__xludf.DUMMYFUNCTION("""COMPUTED_VALUE"""),1.0)</f>
        <v>1</v>
      </c>
      <c r="BD4" s="3">
        <f>IFERROR(__xludf.DUMMYFUNCTION("""COMPUTED_VALUE"""),2.0)</f>
        <v>2</v>
      </c>
      <c r="BE4" s="3">
        <f>IFERROR(__xludf.DUMMYFUNCTION("""COMPUTED_VALUE"""),3.0)</f>
        <v>3</v>
      </c>
      <c r="BF4" s="3">
        <f>IFERROR(__xludf.DUMMYFUNCTION("""COMPUTED_VALUE"""),4.0)</f>
        <v>4</v>
      </c>
      <c r="BG4" s="3">
        <f>IFERROR(__xludf.DUMMYFUNCTION("""COMPUTED_VALUE"""),4.0)</f>
        <v>4</v>
      </c>
      <c r="BH4" s="3">
        <f>IFERROR(__xludf.DUMMYFUNCTION("""COMPUTED_VALUE"""),4.0)</f>
        <v>4</v>
      </c>
      <c r="BI4" s="3">
        <f>IFERROR(__xludf.DUMMYFUNCTION("""COMPUTED_VALUE"""),7.0)</f>
        <v>7</v>
      </c>
      <c r="BJ4" s="3">
        <f>IFERROR(__xludf.DUMMYFUNCTION("""COMPUTED_VALUE"""),9.0)</f>
        <v>9</v>
      </c>
      <c r="BK4" s="3">
        <f>IFERROR(__xludf.DUMMYFUNCTION("""COMPUTED_VALUE"""),11.0)</f>
        <v>11</v>
      </c>
      <c r="BL4" s="3">
        <f>IFERROR(__xludf.DUMMYFUNCTION("""COMPUTED_VALUE"""),15.0)</f>
        <v>15</v>
      </c>
      <c r="BM4" s="3">
        <f>IFERROR(__xludf.DUMMYFUNCTION("""COMPUTED_VALUE"""),17.0)</f>
        <v>17</v>
      </c>
      <c r="BN4" s="3">
        <f>IFERROR(__xludf.DUMMYFUNCTION("""COMPUTED_VALUE"""),17.0)</f>
        <v>17</v>
      </c>
      <c r="BO4" s="3">
        <f>IFERROR(__xludf.DUMMYFUNCTION("""COMPUTED_VALUE"""),19.0)</f>
        <v>19</v>
      </c>
      <c r="BP4" s="3">
        <f>IFERROR(__xludf.DUMMYFUNCTION("""COMPUTED_VALUE"""),21.0)</f>
        <v>21</v>
      </c>
      <c r="BQ4" s="3">
        <f>IFERROR(__xludf.DUMMYFUNCTION("""COMPUTED_VALUE"""),25.0)</f>
        <v>25</v>
      </c>
      <c r="BR4" s="3">
        <f>IFERROR(__xludf.DUMMYFUNCTION("""COMPUTED_VALUE"""),26.0)</f>
        <v>26</v>
      </c>
      <c r="BS4" s="3">
        <f>IFERROR(__xludf.DUMMYFUNCTION("""COMPUTED_VALUE"""),29.0)</f>
        <v>29</v>
      </c>
      <c r="BT4" s="3">
        <f>IFERROR(__xludf.DUMMYFUNCTION("""COMPUTED_VALUE"""),31.0)</f>
        <v>31</v>
      </c>
      <c r="BU4" s="3">
        <f>IFERROR(__xludf.DUMMYFUNCTION("""COMPUTED_VALUE"""),35.0)</f>
        <v>35</v>
      </c>
      <c r="BV4" s="3">
        <f>IFERROR(__xludf.DUMMYFUNCTION("""COMPUTED_VALUE"""),44.0)</f>
        <v>44</v>
      </c>
      <c r="BW4" s="3">
        <f>IFERROR(__xludf.DUMMYFUNCTION("""COMPUTED_VALUE"""),58.0)</f>
        <v>58</v>
      </c>
      <c r="BX4" s="3">
        <f>IFERROR(__xludf.DUMMYFUNCTION("""COMPUTED_VALUE"""),86.0)</f>
        <v>86</v>
      </c>
      <c r="BY4" s="3">
        <f>IFERROR(__xludf.DUMMYFUNCTION("""COMPUTED_VALUE"""),105.0)</f>
        <v>105</v>
      </c>
      <c r="BZ4" s="3">
        <f>IFERROR(__xludf.DUMMYFUNCTION("""COMPUTED_VALUE"""),130.0)</f>
        <v>130</v>
      </c>
      <c r="CA4" s="3">
        <f>IFERROR(__xludf.DUMMYFUNCTION("""COMPUTED_VALUE"""),152.0)</f>
        <v>152</v>
      </c>
      <c r="CB4" s="3">
        <f>IFERROR(__xludf.DUMMYFUNCTION("""COMPUTED_VALUE"""),173.0)</f>
        <v>173</v>
      </c>
    </row>
    <row r="5">
      <c r="A5" s="3" t="str">
        <f>IFERROR(__xludf.DUMMYFUNCTION("""COMPUTED_VALUE"""),"")</f>
        <v/>
      </c>
      <c r="B5" s="3" t="str">
        <f>IFERROR(__xludf.DUMMYFUNCTION("""COMPUTED_VALUE"""),"Andorra")</f>
        <v>Andorra</v>
      </c>
      <c r="C5" s="3">
        <f>IFERROR(__xludf.DUMMYFUNCTION("""COMPUTED_VALUE"""),42.5063)</f>
        <v>42.5063</v>
      </c>
      <c r="D5" s="3">
        <f>IFERROR(__xludf.DUMMYFUNCTION("""COMPUTED_VALUE"""),1.5218)</f>
        <v>1.5218</v>
      </c>
      <c r="E5" s="3">
        <f>IFERROR(__xludf.DUMMYFUNCTION("""COMPUTED_VALUE"""),0.0)</f>
        <v>0</v>
      </c>
      <c r="F5" s="3">
        <f>IFERROR(__xludf.DUMMYFUNCTION("""COMPUTED_VALUE"""),0.0)</f>
        <v>0</v>
      </c>
      <c r="G5" s="3">
        <f>IFERROR(__xludf.DUMMYFUNCTION("""COMPUTED_VALUE"""),0.0)</f>
        <v>0</v>
      </c>
      <c r="H5" s="3">
        <f>IFERROR(__xludf.DUMMYFUNCTION("""COMPUTED_VALUE"""),0.0)</f>
        <v>0</v>
      </c>
      <c r="I5" s="3">
        <f>IFERROR(__xludf.DUMMYFUNCTION("""COMPUTED_VALUE"""),0.0)</f>
        <v>0</v>
      </c>
      <c r="J5" s="3">
        <f>IFERROR(__xludf.DUMMYFUNCTION("""COMPUTED_VALUE"""),0.0)</f>
        <v>0</v>
      </c>
      <c r="K5" s="3">
        <f>IFERROR(__xludf.DUMMYFUNCTION("""COMPUTED_VALUE"""),0.0)</f>
        <v>0</v>
      </c>
      <c r="L5" s="3">
        <f>IFERROR(__xludf.DUMMYFUNCTION("""COMPUTED_VALUE"""),0.0)</f>
        <v>0</v>
      </c>
      <c r="M5" s="3">
        <f>IFERROR(__xludf.DUMMYFUNCTION("""COMPUTED_VALUE"""),0.0)</f>
        <v>0</v>
      </c>
      <c r="N5" s="3">
        <f>IFERROR(__xludf.DUMMYFUNCTION("""COMPUTED_VALUE"""),0.0)</f>
        <v>0</v>
      </c>
      <c r="O5" s="3">
        <f>IFERROR(__xludf.DUMMYFUNCTION("""COMPUTED_VALUE"""),0.0)</f>
        <v>0</v>
      </c>
      <c r="P5" s="3">
        <f>IFERROR(__xludf.DUMMYFUNCTION("""COMPUTED_VALUE"""),0.0)</f>
        <v>0</v>
      </c>
      <c r="Q5" s="3">
        <f>IFERROR(__xludf.DUMMYFUNCTION("""COMPUTED_VALUE"""),0.0)</f>
        <v>0</v>
      </c>
      <c r="R5" s="3">
        <f>IFERROR(__xludf.DUMMYFUNCTION("""COMPUTED_VALUE"""),0.0)</f>
        <v>0</v>
      </c>
      <c r="S5" s="3">
        <f>IFERROR(__xludf.DUMMYFUNCTION("""COMPUTED_VALUE"""),0.0)</f>
        <v>0</v>
      </c>
      <c r="T5" s="3">
        <f>IFERROR(__xludf.DUMMYFUNCTION("""COMPUTED_VALUE"""),0.0)</f>
        <v>0</v>
      </c>
      <c r="U5" s="3">
        <f>IFERROR(__xludf.DUMMYFUNCTION("""COMPUTED_VALUE"""),0.0)</f>
        <v>0</v>
      </c>
      <c r="V5" s="3">
        <f>IFERROR(__xludf.DUMMYFUNCTION("""COMPUTED_VALUE"""),0.0)</f>
        <v>0</v>
      </c>
      <c r="W5" s="3">
        <f>IFERROR(__xludf.DUMMYFUNCTION("""COMPUTED_VALUE"""),0.0)</f>
        <v>0</v>
      </c>
      <c r="X5" s="3">
        <f>IFERROR(__xludf.DUMMYFUNCTION("""COMPUTED_VALUE"""),0.0)</f>
        <v>0</v>
      </c>
      <c r="Y5" s="3">
        <f>IFERROR(__xludf.DUMMYFUNCTION("""COMPUTED_VALUE"""),0.0)</f>
        <v>0</v>
      </c>
      <c r="Z5" s="3">
        <f>IFERROR(__xludf.DUMMYFUNCTION("""COMPUTED_VALUE"""),0.0)</f>
        <v>0</v>
      </c>
      <c r="AA5" s="3">
        <f>IFERROR(__xludf.DUMMYFUNCTION("""COMPUTED_VALUE"""),0.0)</f>
        <v>0</v>
      </c>
      <c r="AB5" s="3">
        <f>IFERROR(__xludf.DUMMYFUNCTION("""COMPUTED_VALUE"""),0.0)</f>
        <v>0</v>
      </c>
      <c r="AC5" s="3">
        <f>IFERROR(__xludf.DUMMYFUNCTION("""COMPUTED_VALUE"""),0.0)</f>
        <v>0</v>
      </c>
      <c r="AD5" s="3">
        <f>IFERROR(__xludf.DUMMYFUNCTION("""COMPUTED_VALUE"""),0.0)</f>
        <v>0</v>
      </c>
      <c r="AE5" s="3">
        <f>IFERROR(__xludf.DUMMYFUNCTION("""COMPUTED_VALUE"""),0.0)</f>
        <v>0</v>
      </c>
      <c r="AF5" s="3">
        <f>IFERROR(__xludf.DUMMYFUNCTION("""COMPUTED_VALUE"""),0.0)</f>
        <v>0</v>
      </c>
      <c r="AG5" s="3">
        <f>IFERROR(__xludf.DUMMYFUNCTION("""COMPUTED_VALUE"""),0.0)</f>
        <v>0</v>
      </c>
      <c r="AH5" s="3">
        <f>IFERROR(__xludf.DUMMYFUNCTION("""COMPUTED_VALUE"""),0.0)</f>
        <v>0</v>
      </c>
      <c r="AI5" s="3">
        <f>IFERROR(__xludf.DUMMYFUNCTION("""COMPUTED_VALUE"""),0.0)</f>
        <v>0</v>
      </c>
      <c r="AJ5" s="3">
        <f>IFERROR(__xludf.DUMMYFUNCTION("""COMPUTED_VALUE"""),0.0)</f>
        <v>0</v>
      </c>
      <c r="AK5" s="3">
        <f>IFERROR(__xludf.DUMMYFUNCTION("""COMPUTED_VALUE"""),0.0)</f>
        <v>0</v>
      </c>
      <c r="AL5" s="3">
        <f>IFERROR(__xludf.DUMMYFUNCTION("""COMPUTED_VALUE"""),0.0)</f>
        <v>0</v>
      </c>
      <c r="AM5" s="3">
        <f>IFERROR(__xludf.DUMMYFUNCTION("""COMPUTED_VALUE"""),0.0)</f>
        <v>0</v>
      </c>
      <c r="AN5" s="3">
        <f>IFERROR(__xludf.DUMMYFUNCTION("""COMPUTED_VALUE"""),0.0)</f>
        <v>0</v>
      </c>
      <c r="AO5" s="3">
        <f>IFERROR(__xludf.DUMMYFUNCTION("""COMPUTED_VALUE"""),0.0)</f>
        <v>0</v>
      </c>
      <c r="AP5" s="3">
        <f>IFERROR(__xludf.DUMMYFUNCTION("""COMPUTED_VALUE"""),0.0)</f>
        <v>0</v>
      </c>
      <c r="AQ5" s="3">
        <f>IFERROR(__xludf.DUMMYFUNCTION("""COMPUTED_VALUE"""),0.0)</f>
        <v>0</v>
      </c>
      <c r="AR5" s="3">
        <f>IFERROR(__xludf.DUMMYFUNCTION("""COMPUTED_VALUE"""),0.0)</f>
        <v>0</v>
      </c>
      <c r="AS5" s="3">
        <f>IFERROR(__xludf.DUMMYFUNCTION("""COMPUTED_VALUE"""),0.0)</f>
        <v>0</v>
      </c>
      <c r="AT5" s="3">
        <f>IFERROR(__xludf.DUMMYFUNCTION("""COMPUTED_VALUE"""),0.0)</f>
        <v>0</v>
      </c>
      <c r="AU5" s="3">
        <f>IFERROR(__xludf.DUMMYFUNCTION("""COMPUTED_VALUE"""),0.0)</f>
        <v>0</v>
      </c>
      <c r="AV5" s="3">
        <f>IFERROR(__xludf.DUMMYFUNCTION("""COMPUTED_VALUE"""),0.0)</f>
        <v>0</v>
      </c>
      <c r="AW5" s="3">
        <f>IFERROR(__xludf.DUMMYFUNCTION("""COMPUTED_VALUE"""),0.0)</f>
        <v>0</v>
      </c>
      <c r="AX5" s="3">
        <f>IFERROR(__xludf.DUMMYFUNCTION("""COMPUTED_VALUE"""),0.0)</f>
        <v>0</v>
      </c>
      <c r="AY5" s="3">
        <f>IFERROR(__xludf.DUMMYFUNCTION("""COMPUTED_VALUE"""),0.0)</f>
        <v>0</v>
      </c>
      <c r="AZ5" s="3">
        <f>IFERROR(__xludf.DUMMYFUNCTION("""COMPUTED_VALUE"""),0.0)</f>
        <v>0</v>
      </c>
      <c r="BA5" s="3">
        <f>IFERROR(__xludf.DUMMYFUNCTION("""COMPUTED_VALUE"""),0.0)</f>
        <v>0</v>
      </c>
      <c r="BB5" s="3">
        <f>IFERROR(__xludf.DUMMYFUNCTION("""COMPUTED_VALUE"""),0.0)</f>
        <v>0</v>
      </c>
      <c r="BC5" s="3">
        <f>IFERROR(__xludf.DUMMYFUNCTION("""COMPUTED_VALUE"""),0.0)</f>
        <v>0</v>
      </c>
      <c r="BD5" s="3">
        <f>IFERROR(__xludf.DUMMYFUNCTION("""COMPUTED_VALUE"""),0.0)</f>
        <v>0</v>
      </c>
      <c r="BE5" s="3">
        <f>IFERROR(__xludf.DUMMYFUNCTION("""COMPUTED_VALUE"""),0.0)</f>
        <v>0</v>
      </c>
      <c r="BF5" s="3">
        <f>IFERROR(__xludf.DUMMYFUNCTION("""COMPUTED_VALUE"""),0.0)</f>
        <v>0</v>
      </c>
      <c r="BG5" s="3">
        <f>IFERROR(__xludf.DUMMYFUNCTION("""COMPUTED_VALUE"""),0.0)</f>
        <v>0</v>
      </c>
      <c r="BH5" s="3">
        <f>IFERROR(__xludf.DUMMYFUNCTION("""COMPUTED_VALUE"""),0.0)</f>
        <v>0</v>
      </c>
      <c r="BI5" s="3">
        <f>IFERROR(__xludf.DUMMYFUNCTION("""COMPUTED_VALUE"""),0.0)</f>
        <v>0</v>
      </c>
      <c r="BJ5" s="3">
        <f>IFERROR(__xludf.DUMMYFUNCTION("""COMPUTED_VALUE"""),0.0)</f>
        <v>0</v>
      </c>
      <c r="BK5" s="3">
        <f>IFERROR(__xludf.DUMMYFUNCTION("""COMPUTED_VALUE"""),0.0)</f>
        <v>0</v>
      </c>
      <c r="BL5" s="3">
        <f>IFERROR(__xludf.DUMMYFUNCTION("""COMPUTED_VALUE"""),0.0)</f>
        <v>0</v>
      </c>
      <c r="BM5" s="3">
        <f>IFERROR(__xludf.DUMMYFUNCTION("""COMPUTED_VALUE"""),1.0)</f>
        <v>1</v>
      </c>
      <c r="BN5" s="3">
        <f>IFERROR(__xludf.DUMMYFUNCTION("""COMPUTED_VALUE"""),1.0)</f>
        <v>1</v>
      </c>
      <c r="BO5" s="3">
        <f>IFERROR(__xludf.DUMMYFUNCTION("""COMPUTED_VALUE"""),1.0)</f>
        <v>1</v>
      </c>
      <c r="BP5" s="3">
        <f>IFERROR(__xludf.DUMMYFUNCTION("""COMPUTED_VALUE"""),1.0)</f>
        <v>1</v>
      </c>
      <c r="BQ5" s="3">
        <f>IFERROR(__xludf.DUMMYFUNCTION("""COMPUTED_VALUE"""),3.0)</f>
        <v>3</v>
      </c>
      <c r="BR5" s="3">
        <f>IFERROR(__xludf.DUMMYFUNCTION("""COMPUTED_VALUE"""),3.0)</f>
        <v>3</v>
      </c>
      <c r="BS5" s="3">
        <f>IFERROR(__xludf.DUMMYFUNCTION("""COMPUTED_VALUE"""),3.0)</f>
        <v>3</v>
      </c>
      <c r="BT5" s="3">
        <f>IFERROR(__xludf.DUMMYFUNCTION("""COMPUTED_VALUE"""),6.0)</f>
        <v>6</v>
      </c>
      <c r="BU5" s="3">
        <f>IFERROR(__xludf.DUMMYFUNCTION("""COMPUTED_VALUE"""),8.0)</f>
        <v>8</v>
      </c>
      <c r="BV5" s="3">
        <f>IFERROR(__xludf.DUMMYFUNCTION("""COMPUTED_VALUE"""),12.0)</f>
        <v>12</v>
      </c>
      <c r="BW5" s="3">
        <f>IFERROR(__xludf.DUMMYFUNCTION("""COMPUTED_VALUE"""),14.0)</f>
        <v>14</v>
      </c>
      <c r="BX5" s="3">
        <f>IFERROR(__xludf.DUMMYFUNCTION("""COMPUTED_VALUE"""),15.0)</f>
        <v>15</v>
      </c>
      <c r="BY5" s="3">
        <f>IFERROR(__xludf.DUMMYFUNCTION("""COMPUTED_VALUE"""),16.0)</f>
        <v>16</v>
      </c>
      <c r="BZ5" s="3">
        <f>IFERROR(__xludf.DUMMYFUNCTION("""COMPUTED_VALUE"""),17.0)</f>
        <v>17</v>
      </c>
      <c r="CA5" s="3">
        <f>IFERROR(__xludf.DUMMYFUNCTION("""COMPUTED_VALUE"""),18.0)</f>
        <v>18</v>
      </c>
      <c r="CB5" s="3">
        <f>IFERROR(__xludf.DUMMYFUNCTION("""COMPUTED_VALUE"""),21.0)</f>
        <v>21</v>
      </c>
    </row>
    <row r="6">
      <c r="A6" s="3" t="str">
        <f>IFERROR(__xludf.DUMMYFUNCTION("""COMPUTED_VALUE"""),"")</f>
        <v/>
      </c>
      <c r="B6" s="3" t="str">
        <f>IFERROR(__xludf.DUMMYFUNCTION("""COMPUTED_VALUE"""),"Angola")</f>
        <v>Angola</v>
      </c>
      <c r="C6" s="3">
        <f>IFERROR(__xludf.DUMMYFUNCTION("""COMPUTED_VALUE"""),-11.2027)</f>
        <v>-11.2027</v>
      </c>
      <c r="D6" s="3">
        <f>IFERROR(__xludf.DUMMYFUNCTION("""COMPUTED_VALUE"""),17.8739)</f>
        <v>17.8739</v>
      </c>
      <c r="E6" s="3">
        <f>IFERROR(__xludf.DUMMYFUNCTION("""COMPUTED_VALUE"""),0.0)</f>
        <v>0</v>
      </c>
      <c r="F6" s="3">
        <f>IFERROR(__xludf.DUMMYFUNCTION("""COMPUTED_VALUE"""),0.0)</f>
        <v>0</v>
      </c>
      <c r="G6" s="3">
        <f>IFERROR(__xludf.DUMMYFUNCTION("""COMPUTED_VALUE"""),0.0)</f>
        <v>0</v>
      </c>
      <c r="H6" s="3">
        <f>IFERROR(__xludf.DUMMYFUNCTION("""COMPUTED_VALUE"""),0.0)</f>
        <v>0</v>
      </c>
      <c r="I6" s="3">
        <f>IFERROR(__xludf.DUMMYFUNCTION("""COMPUTED_VALUE"""),0.0)</f>
        <v>0</v>
      </c>
      <c r="J6" s="3">
        <f>IFERROR(__xludf.DUMMYFUNCTION("""COMPUTED_VALUE"""),0.0)</f>
        <v>0</v>
      </c>
      <c r="K6" s="3">
        <f>IFERROR(__xludf.DUMMYFUNCTION("""COMPUTED_VALUE"""),0.0)</f>
        <v>0</v>
      </c>
      <c r="L6" s="3">
        <f>IFERROR(__xludf.DUMMYFUNCTION("""COMPUTED_VALUE"""),0.0)</f>
        <v>0</v>
      </c>
      <c r="M6" s="3">
        <f>IFERROR(__xludf.DUMMYFUNCTION("""COMPUTED_VALUE"""),0.0)</f>
        <v>0</v>
      </c>
      <c r="N6" s="3">
        <f>IFERROR(__xludf.DUMMYFUNCTION("""COMPUTED_VALUE"""),0.0)</f>
        <v>0</v>
      </c>
      <c r="O6" s="3">
        <f>IFERROR(__xludf.DUMMYFUNCTION("""COMPUTED_VALUE"""),0.0)</f>
        <v>0</v>
      </c>
      <c r="P6" s="3">
        <f>IFERROR(__xludf.DUMMYFUNCTION("""COMPUTED_VALUE"""),0.0)</f>
        <v>0</v>
      </c>
      <c r="Q6" s="3">
        <f>IFERROR(__xludf.DUMMYFUNCTION("""COMPUTED_VALUE"""),0.0)</f>
        <v>0</v>
      </c>
      <c r="R6" s="3">
        <f>IFERROR(__xludf.DUMMYFUNCTION("""COMPUTED_VALUE"""),0.0)</f>
        <v>0</v>
      </c>
      <c r="S6" s="3">
        <f>IFERROR(__xludf.DUMMYFUNCTION("""COMPUTED_VALUE"""),0.0)</f>
        <v>0</v>
      </c>
      <c r="T6" s="3">
        <f>IFERROR(__xludf.DUMMYFUNCTION("""COMPUTED_VALUE"""),0.0)</f>
        <v>0</v>
      </c>
      <c r="U6" s="3">
        <f>IFERROR(__xludf.DUMMYFUNCTION("""COMPUTED_VALUE"""),0.0)</f>
        <v>0</v>
      </c>
      <c r="V6" s="3">
        <f>IFERROR(__xludf.DUMMYFUNCTION("""COMPUTED_VALUE"""),0.0)</f>
        <v>0</v>
      </c>
      <c r="W6" s="3">
        <f>IFERROR(__xludf.DUMMYFUNCTION("""COMPUTED_VALUE"""),0.0)</f>
        <v>0</v>
      </c>
      <c r="X6" s="3">
        <f>IFERROR(__xludf.DUMMYFUNCTION("""COMPUTED_VALUE"""),0.0)</f>
        <v>0</v>
      </c>
      <c r="Y6" s="3">
        <f>IFERROR(__xludf.DUMMYFUNCTION("""COMPUTED_VALUE"""),0.0)</f>
        <v>0</v>
      </c>
      <c r="Z6" s="3">
        <f>IFERROR(__xludf.DUMMYFUNCTION("""COMPUTED_VALUE"""),0.0)</f>
        <v>0</v>
      </c>
      <c r="AA6" s="3">
        <f>IFERROR(__xludf.DUMMYFUNCTION("""COMPUTED_VALUE"""),0.0)</f>
        <v>0</v>
      </c>
      <c r="AB6" s="3">
        <f>IFERROR(__xludf.DUMMYFUNCTION("""COMPUTED_VALUE"""),0.0)</f>
        <v>0</v>
      </c>
      <c r="AC6" s="3">
        <f>IFERROR(__xludf.DUMMYFUNCTION("""COMPUTED_VALUE"""),0.0)</f>
        <v>0</v>
      </c>
      <c r="AD6" s="3">
        <f>IFERROR(__xludf.DUMMYFUNCTION("""COMPUTED_VALUE"""),0.0)</f>
        <v>0</v>
      </c>
      <c r="AE6" s="3">
        <f>IFERROR(__xludf.DUMMYFUNCTION("""COMPUTED_VALUE"""),0.0)</f>
        <v>0</v>
      </c>
      <c r="AF6" s="3">
        <f>IFERROR(__xludf.DUMMYFUNCTION("""COMPUTED_VALUE"""),0.0)</f>
        <v>0</v>
      </c>
      <c r="AG6" s="3">
        <f>IFERROR(__xludf.DUMMYFUNCTION("""COMPUTED_VALUE"""),0.0)</f>
        <v>0</v>
      </c>
      <c r="AH6" s="3">
        <f>IFERROR(__xludf.DUMMYFUNCTION("""COMPUTED_VALUE"""),0.0)</f>
        <v>0</v>
      </c>
      <c r="AI6" s="3">
        <f>IFERROR(__xludf.DUMMYFUNCTION("""COMPUTED_VALUE"""),0.0)</f>
        <v>0</v>
      </c>
      <c r="AJ6" s="3">
        <f>IFERROR(__xludf.DUMMYFUNCTION("""COMPUTED_VALUE"""),0.0)</f>
        <v>0</v>
      </c>
      <c r="AK6" s="3">
        <f>IFERROR(__xludf.DUMMYFUNCTION("""COMPUTED_VALUE"""),0.0)</f>
        <v>0</v>
      </c>
      <c r="AL6" s="3">
        <f>IFERROR(__xludf.DUMMYFUNCTION("""COMPUTED_VALUE"""),0.0)</f>
        <v>0</v>
      </c>
      <c r="AM6" s="3">
        <f>IFERROR(__xludf.DUMMYFUNCTION("""COMPUTED_VALUE"""),0.0)</f>
        <v>0</v>
      </c>
      <c r="AN6" s="3">
        <f>IFERROR(__xludf.DUMMYFUNCTION("""COMPUTED_VALUE"""),0.0)</f>
        <v>0</v>
      </c>
      <c r="AO6" s="3">
        <f>IFERROR(__xludf.DUMMYFUNCTION("""COMPUTED_VALUE"""),0.0)</f>
        <v>0</v>
      </c>
      <c r="AP6" s="3">
        <f>IFERROR(__xludf.DUMMYFUNCTION("""COMPUTED_VALUE"""),0.0)</f>
        <v>0</v>
      </c>
      <c r="AQ6" s="3">
        <f>IFERROR(__xludf.DUMMYFUNCTION("""COMPUTED_VALUE"""),0.0)</f>
        <v>0</v>
      </c>
      <c r="AR6" s="3">
        <f>IFERROR(__xludf.DUMMYFUNCTION("""COMPUTED_VALUE"""),0.0)</f>
        <v>0</v>
      </c>
      <c r="AS6" s="3">
        <f>IFERROR(__xludf.DUMMYFUNCTION("""COMPUTED_VALUE"""),0.0)</f>
        <v>0</v>
      </c>
      <c r="AT6" s="3">
        <f>IFERROR(__xludf.DUMMYFUNCTION("""COMPUTED_VALUE"""),0.0)</f>
        <v>0</v>
      </c>
      <c r="AU6" s="3">
        <f>IFERROR(__xludf.DUMMYFUNCTION("""COMPUTED_VALUE"""),0.0)</f>
        <v>0</v>
      </c>
      <c r="AV6" s="3">
        <f>IFERROR(__xludf.DUMMYFUNCTION("""COMPUTED_VALUE"""),0.0)</f>
        <v>0</v>
      </c>
      <c r="AW6" s="3">
        <f>IFERROR(__xludf.DUMMYFUNCTION("""COMPUTED_VALUE"""),0.0)</f>
        <v>0</v>
      </c>
      <c r="AX6" s="3">
        <f>IFERROR(__xludf.DUMMYFUNCTION("""COMPUTED_VALUE"""),0.0)</f>
        <v>0</v>
      </c>
      <c r="AY6" s="3">
        <f>IFERROR(__xludf.DUMMYFUNCTION("""COMPUTED_VALUE"""),0.0)</f>
        <v>0</v>
      </c>
      <c r="AZ6" s="3">
        <f>IFERROR(__xludf.DUMMYFUNCTION("""COMPUTED_VALUE"""),0.0)</f>
        <v>0</v>
      </c>
      <c r="BA6" s="3">
        <f>IFERROR(__xludf.DUMMYFUNCTION("""COMPUTED_VALUE"""),0.0)</f>
        <v>0</v>
      </c>
      <c r="BB6" s="3">
        <f>IFERROR(__xludf.DUMMYFUNCTION("""COMPUTED_VALUE"""),0.0)</f>
        <v>0</v>
      </c>
      <c r="BC6" s="3">
        <f>IFERROR(__xludf.DUMMYFUNCTION("""COMPUTED_VALUE"""),0.0)</f>
        <v>0</v>
      </c>
      <c r="BD6" s="3">
        <f>IFERROR(__xludf.DUMMYFUNCTION("""COMPUTED_VALUE"""),0.0)</f>
        <v>0</v>
      </c>
      <c r="BE6" s="3">
        <f>IFERROR(__xludf.DUMMYFUNCTION("""COMPUTED_VALUE"""),0.0)</f>
        <v>0</v>
      </c>
      <c r="BF6" s="3">
        <f>IFERROR(__xludf.DUMMYFUNCTION("""COMPUTED_VALUE"""),0.0)</f>
        <v>0</v>
      </c>
      <c r="BG6" s="3">
        <f>IFERROR(__xludf.DUMMYFUNCTION("""COMPUTED_VALUE"""),0.0)</f>
        <v>0</v>
      </c>
      <c r="BH6" s="3">
        <f>IFERROR(__xludf.DUMMYFUNCTION("""COMPUTED_VALUE"""),0.0)</f>
        <v>0</v>
      </c>
      <c r="BI6" s="3">
        <f>IFERROR(__xludf.DUMMYFUNCTION("""COMPUTED_VALUE"""),0.0)</f>
        <v>0</v>
      </c>
      <c r="BJ6" s="3">
        <f>IFERROR(__xludf.DUMMYFUNCTION("""COMPUTED_VALUE"""),0.0)</f>
        <v>0</v>
      </c>
      <c r="BK6" s="3">
        <f>IFERROR(__xludf.DUMMYFUNCTION("""COMPUTED_VALUE"""),0.0)</f>
        <v>0</v>
      </c>
      <c r="BL6" s="3">
        <f>IFERROR(__xludf.DUMMYFUNCTION("""COMPUTED_VALUE"""),0.0)</f>
        <v>0</v>
      </c>
      <c r="BM6" s="3">
        <f>IFERROR(__xludf.DUMMYFUNCTION("""COMPUTED_VALUE"""),0.0)</f>
        <v>0</v>
      </c>
      <c r="BN6" s="3">
        <f>IFERROR(__xludf.DUMMYFUNCTION("""COMPUTED_VALUE"""),0.0)</f>
        <v>0</v>
      </c>
      <c r="BO6" s="3">
        <f>IFERROR(__xludf.DUMMYFUNCTION("""COMPUTED_VALUE"""),0.0)</f>
        <v>0</v>
      </c>
      <c r="BP6" s="3">
        <f>IFERROR(__xludf.DUMMYFUNCTION("""COMPUTED_VALUE"""),0.0)</f>
        <v>0</v>
      </c>
      <c r="BQ6" s="3">
        <f>IFERROR(__xludf.DUMMYFUNCTION("""COMPUTED_VALUE"""),0.0)</f>
        <v>0</v>
      </c>
      <c r="BR6" s="3">
        <f>IFERROR(__xludf.DUMMYFUNCTION("""COMPUTED_VALUE"""),0.0)</f>
        <v>0</v>
      </c>
      <c r="BS6" s="3">
        <f>IFERROR(__xludf.DUMMYFUNCTION("""COMPUTED_VALUE"""),0.0)</f>
        <v>0</v>
      </c>
      <c r="BT6" s="3">
        <f>IFERROR(__xludf.DUMMYFUNCTION("""COMPUTED_VALUE"""),2.0)</f>
        <v>2</v>
      </c>
      <c r="BU6" s="3">
        <f>IFERROR(__xludf.DUMMYFUNCTION("""COMPUTED_VALUE"""),2.0)</f>
        <v>2</v>
      </c>
      <c r="BV6" s="3">
        <f>IFERROR(__xludf.DUMMYFUNCTION("""COMPUTED_VALUE"""),2.0)</f>
        <v>2</v>
      </c>
      <c r="BW6" s="3">
        <f>IFERROR(__xludf.DUMMYFUNCTION("""COMPUTED_VALUE"""),2.0)</f>
        <v>2</v>
      </c>
      <c r="BX6" s="3">
        <f>IFERROR(__xludf.DUMMYFUNCTION("""COMPUTED_VALUE"""),2.0)</f>
        <v>2</v>
      </c>
      <c r="BY6" s="3">
        <f>IFERROR(__xludf.DUMMYFUNCTION("""COMPUTED_VALUE"""),2.0)</f>
        <v>2</v>
      </c>
      <c r="BZ6" s="3">
        <f>IFERROR(__xludf.DUMMYFUNCTION("""COMPUTED_VALUE"""),2.0)</f>
        <v>2</v>
      </c>
      <c r="CA6" s="3">
        <f>IFERROR(__xludf.DUMMYFUNCTION("""COMPUTED_VALUE"""),2.0)</f>
        <v>2</v>
      </c>
      <c r="CB6" s="3">
        <f>IFERROR(__xludf.DUMMYFUNCTION("""COMPUTED_VALUE"""),2.0)</f>
        <v>2</v>
      </c>
    </row>
    <row r="7">
      <c r="A7" s="3" t="str">
        <f>IFERROR(__xludf.DUMMYFUNCTION("""COMPUTED_VALUE"""),"")</f>
        <v/>
      </c>
      <c r="B7" s="3" t="str">
        <f>IFERROR(__xludf.DUMMYFUNCTION("""COMPUTED_VALUE"""),"Antigua and Barbuda")</f>
        <v>Antigua and Barbuda</v>
      </c>
      <c r="C7" s="3">
        <f>IFERROR(__xludf.DUMMYFUNCTION("""COMPUTED_VALUE"""),17.0608)</f>
        <v>17.0608</v>
      </c>
      <c r="D7" s="3">
        <f>IFERROR(__xludf.DUMMYFUNCTION("""COMPUTED_VALUE"""),-61.7964)</f>
        <v>-61.7964</v>
      </c>
      <c r="E7" s="3">
        <f>IFERROR(__xludf.DUMMYFUNCTION("""COMPUTED_VALUE"""),0.0)</f>
        <v>0</v>
      </c>
      <c r="F7" s="3">
        <f>IFERROR(__xludf.DUMMYFUNCTION("""COMPUTED_VALUE"""),0.0)</f>
        <v>0</v>
      </c>
      <c r="G7" s="3">
        <f>IFERROR(__xludf.DUMMYFUNCTION("""COMPUTED_VALUE"""),0.0)</f>
        <v>0</v>
      </c>
      <c r="H7" s="3">
        <f>IFERROR(__xludf.DUMMYFUNCTION("""COMPUTED_VALUE"""),0.0)</f>
        <v>0</v>
      </c>
      <c r="I7" s="3">
        <f>IFERROR(__xludf.DUMMYFUNCTION("""COMPUTED_VALUE"""),0.0)</f>
        <v>0</v>
      </c>
      <c r="J7" s="3">
        <f>IFERROR(__xludf.DUMMYFUNCTION("""COMPUTED_VALUE"""),0.0)</f>
        <v>0</v>
      </c>
      <c r="K7" s="3">
        <f>IFERROR(__xludf.DUMMYFUNCTION("""COMPUTED_VALUE"""),0.0)</f>
        <v>0</v>
      </c>
      <c r="L7" s="3">
        <f>IFERROR(__xludf.DUMMYFUNCTION("""COMPUTED_VALUE"""),0.0)</f>
        <v>0</v>
      </c>
      <c r="M7" s="3">
        <f>IFERROR(__xludf.DUMMYFUNCTION("""COMPUTED_VALUE"""),0.0)</f>
        <v>0</v>
      </c>
      <c r="N7" s="3">
        <f>IFERROR(__xludf.DUMMYFUNCTION("""COMPUTED_VALUE"""),0.0)</f>
        <v>0</v>
      </c>
      <c r="O7" s="3">
        <f>IFERROR(__xludf.DUMMYFUNCTION("""COMPUTED_VALUE"""),0.0)</f>
        <v>0</v>
      </c>
      <c r="P7" s="3">
        <f>IFERROR(__xludf.DUMMYFUNCTION("""COMPUTED_VALUE"""),0.0)</f>
        <v>0</v>
      </c>
      <c r="Q7" s="3">
        <f>IFERROR(__xludf.DUMMYFUNCTION("""COMPUTED_VALUE"""),0.0)</f>
        <v>0</v>
      </c>
      <c r="R7" s="3">
        <f>IFERROR(__xludf.DUMMYFUNCTION("""COMPUTED_VALUE"""),0.0)</f>
        <v>0</v>
      </c>
      <c r="S7" s="3">
        <f>IFERROR(__xludf.DUMMYFUNCTION("""COMPUTED_VALUE"""),0.0)</f>
        <v>0</v>
      </c>
      <c r="T7" s="3">
        <f>IFERROR(__xludf.DUMMYFUNCTION("""COMPUTED_VALUE"""),0.0)</f>
        <v>0</v>
      </c>
      <c r="U7" s="3">
        <f>IFERROR(__xludf.DUMMYFUNCTION("""COMPUTED_VALUE"""),0.0)</f>
        <v>0</v>
      </c>
      <c r="V7" s="3">
        <f>IFERROR(__xludf.DUMMYFUNCTION("""COMPUTED_VALUE"""),0.0)</f>
        <v>0</v>
      </c>
      <c r="W7" s="3">
        <f>IFERROR(__xludf.DUMMYFUNCTION("""COMPUTED_VALUE"""),0.0)</f>
        <v>0</v>
      </c>
      <c r="X7" s="3">
        <f>IFERROR(__xludf.DUMMYFUNCTION("""COMPUTED_VALUE"""),0.0)</f>
        <v>0</v>
      </c>
      <c r="Y7" s="3">
        <f>IFERROR(__xludf.DUMMYFUNCTION("""COMPUTED_VALUE"""),0.0)</f>
        <v>0</v>
      </c>
      <c r="Z7" s="3">
        <f>IFERROR(__xludf.DUMMYFUNCTION("""COMPUTED_VALUE"""),0.0)</f>
        <v>0</v>
      </c>
      <c r="AA7" s="3">
        <f>IFERROR(__xludf.DUMMYFUNCTION("""COMPUTED_VALUE"""),0.0)</f>
        <v>0</v>
      </c>
      <c r="AB7" s="3">
        <f>IFERROR(__xludf.DUMMYFUNCTION("""COMPUTED_VALUE"""),0.0)</f>
        <v>0</v>
      </c>
      <c r="AC7" s="3">
        <f>IFERROR(__xludf.DUMMYFUNCTION("""COMPUTED_VALUE"""),0.0)</f>
        <v>0</v>
      </c>
      <c r="AD7" s="3">
        <f>IFERROR(__xludf.DUMMYFUNCTION("""COMPUTED_VALUE"""),0.0)</f>
        <v>0</v>
      </c>
      <c r="AE7" s="3">
        <f>IFERROR(__xludf.DUMMYFUNCTION("""COMPUTED_VALUE"""),0.0)</f>
        <v>0</v>
      </c>
      <c r="AF7" s="3">
        <f>IFERROR(__xludf.DUMMYFUNCTION("""COMPUTED_VALUE"""),0.0)</f>
        <v>0</v>
      </c>
      <c r="AG7" s="3">
        <f>IFERROR(__xludf.DUMMYFUNCTION("""COMPUTED_VALUE"""),0.0)</f>
        <v>0</v>
      </c>
      <c r="AH7" s="3">
        <f>IFERROR(__xludf.DUMMYFUNCTION("""COMPUTED_VALUE"""),0.0)</f>
        <v>0</v>
      </c>
      <c r="AI7" s="3">
        <f>IFERROR(__xludf.DUMMYFUNCTION("""COMPUTED_VALUE"""),0.0)</f>
        <v>0</v>
      </c>
      <c r="AJ7" s="3">
        <f>IFERROR(__xludf.DUMMYFUNCTION("""COMPUTED_VALUE"""),0.0)</f>
        <v>0</v>
      </c>
      <c r="AK7" s="3">
        <f>IFERROR(__xludf.DUMMYFUNCTION("""COMPUTED_VALUE"""),0.0)</f>
        <v>0</v>
      </c>
      <c r="AL7" s="3">
        <f>IFERROR(__xludf.DUMMYFUNCTION("""COMPUTED_VALUE"""),0.0)</f>
        <v>0</v>
      </c>
      <c r="AM7" s="3">
        <f>IFERROR(__xludf.DUMMYFUNCTION("""COMPUTED_VALUE"""),0.0)</f>
        <v>0</v>
      </c>
      <c r="AN7" s="3">
        <f>IFERROR(__xludf.DUMMYFUNCTION("""COMPUTED_VALUE"""),0.0)</f>
        <v>0</v>
      </c>
      <c r="AO7" s="3">
        <f>IFERROR(__xludf.DUMMYFUNCTION("""COMPUTED_VALUE"""),0.0)</f>
        <v>0</v>
      </c>
      <c r="AP7" s="3">
        <f>IFERROR(__xludf.DUMMYFUNCTION("""COMPUTED_VALUE"""),0.0)</f>
        <v>0</v>
      </c>
      <c r="AQ7" s="3">
        <f>IFERROR(__xludf.DUMMYFUNCTION("""COMPUTED_VALUE"""),0.0)</f>
        <v>0</v>
      </c>
      <c r="AR7" s="3">
        <f>IFERROR(__xludf.DUMMYFUNCTION("""COMPUTED_VALUE"""),0.0)</f>
        <v>0</v>
      </c>
      <c r="AS7" s="3">
        <f>IFERROR(__xludf.DUMMYFUNCTION("""COMPUTED_VALUE"""),0.0)</f>
        <v>0</v>
      </c>
      <c r="AT7" s="3">
        <f>IFERROR(__xludf.DUMMYFUNCTION("""COMPUTED_VALUE"""),0.0)</f>
        <v>0</v>
      </c>
      <c r="AU7" s="3">
        <f>IFERROR(__xludf.DUMMYFUNCTION("""COMPUTED_VALUE"""),0.0)</f>
        <v>0</v>
      </c>
      <c r="AV7" s="3">
        <f>IFERROR(__xludf.DUMMYFUNCTION("""COMPUTED_VALUE"""),0.0)</f>
        <v>0</v>
      </c>
      <c r="AW7" s="3">
        <f>IFERROR(__xludf.DUMMYFUNCTION("""COMPUTED_VALUE"""),0.0)</f>
        <v>0</v>
      </c>
      <c r="AX7" s="3">
        <f>IFERROR(__xludf.DUMMYFUNCTION("""COMPUTED_VALUE"""),0.0)</f>
        <v>0</v>
      </c>
      <c r="AY7" s="3">
        <f>IFERROR(__xludf.DUMMYFUNCTION("""COMPUTED_VALUE"""),0.0)</f>
        <v>0</v>
      </c>
      <c r="AZ7" s="3">
        <f>IFERROR(__xludf.DUMMYFUNCTION("""COMPUTED_VALUE"""),0.0)</f>
        <v>0</v>
      </c>
      <c r="BA7" s="3">
        <f>IFERROR(__xludf.DUMMYFUNCTION("""COMPUTED_VALUE"""),0.0)</f>
        <v>0</v>
      </c>
      <c r="BB7" s="3">
        <f>IFERROR(__xludf.DUMMYFUNCTION("""COMPUTED_VALUE"""),0.0)</f>
        <v>0</v>
      </c>
      <c r="BC7" s="3">
        <f>IFERROR(__xludf.DUMMYFUNCTION("""COMPUTED_VALUE"""),0.0)</f>
        <v>0</v>
      </c>
      <c r="BD7" s="3">
        <f>IFERROR(__xludf.DUMMYFUNCTION("""COMPUTED_VALUE"""),0.0)</f>
        <v>0</v>
      </c>
      <c r="BE7" s="3">
        <f>IFERROR(__xludf.DUMMYFUNCTION("""COMPUTED_VALUE"""),0.0)</f>
        <v>0</v>
      </c>
      <c r="BF7" s="3">
        <f>IFERROR(__xludf.DUMMYFUNCTION("""COMPUTED_VALUE"""),0.0)</f>
        <v>0</v>
      </c>
      <c r="BG7" s="3">
        <f>IFERROR(__xludf.DUMMYFUNCTION("""COMPUTED_VALUE"""),0.0)</f>
        <v>0</v>
      </c>
      <c r="BH7" s="3">
        <f>IFERROR(__xludf.DUMMYFUNCTION("""COMPUTED_VALUE"""),0.0)</f>
        <v>0</v>
      </c>
      <c r="BI7" s="3">
        <f>IFERROR(__xludf.DUMMYFUNCTION("""COMPUTED_VALUE"""),0.0)</f>
        <v>0</v>
      </c>
      <c r="BJ7" s="3">
        <f>IFERROR(__xludf.DUMMYFUNCTION("""COMPUTED_VALUE"""),0.0)</f>
        <v>0</v>
      </c>
      <c r="BK7" s="3">
        <f>IFERROR(__xludf.DUMMYFUNCTION("""COMPUTED_VALUE"""),0.0)</f>
        <v>0</v>
      </c>
      <c r="BL7" s="3">
        <f>IFERROR(__xludf.DUMMYFUNCTION("""COMPUTED_VALUE"""),0.0)</f>
        <v>0</v>
      </c>
      <c r="BM7" s="3">
        <f>IFERROR(__xludf.DUMMYFUNCTION("""COMPUTED_VALUE"""),0.0)</f>
        <v>0</v>
      </c>
      <c r="BN7" s="3">
        <f>IFERROR(__xludf.DUMMYFUNCTION("""COMPUTED_VALUE"""),0.0)</f>
        <v>0</v>
      </c>
      <c r="BO7" s="3">
        <f>IFERROR(__xludf.DUMMYFUNCTION("""COMPUTED_VALUE"""),0.0)</f>
        <v>0</v>
      </c>
      <c r="BP7" s="3">
        <f>IFERROR(__xludf.DUMMYFUNCTION("""COMPUTED_VALUE"""),0.0)</f>
        <v>0</v>
      </c>
      <c r="BQ7" s="3">
        <f>IFERROR(__xludf.DUMMYFUNCTION("""COMPUTED_VALUE"""),0.0)</f>
        <v>0</v>
      </c>
      <c r="BR7" s="3">
        <f>IFERROR(__xludf.DUMMYFUNCTION("""COMPUTED_VALUE"""),0.0)</f>
        <v>0</v>
      </c>
      <c r="BS7" s="3">
        <f>IFERROR(__xludf.DUMMYFUNCTION("""COMPUTED_VALUE"""),0.0)</f>
        <v>0</v>
      </c>
      <c r="BT7" s="3">
        <f>IFERROR(__xludf.DUMMYFUNCTION("""COMPUTED_VALUE"""),0.0)</f>
        <v>0</v>
      </c>
      <c r="BU7" s="3">
        <f>IFERROR(__xludf.DUMMYFUNCTION("""COMPUTED_VALUE"""),0.0)</f>
        <v>0</v>
      </c>
      <c r="BV7" s="3">
        <f>IFERROR(__xludf.DUMMYFUNCTION("""COMPUTED_VALUE"""),0.0)</f>
        <v>0</v>
      </c>
      <c r="BW7" s="3">
        <f>IFERROR(__xludf.DUMMYFUNCTION("""COMPUTED_VALUE"""),0.0)</f>
        <v>0</v>
      </c>
      <c r="BX7" s="3">
        <f>IFERROR(__xludf.DUMMYFUNCTION("""COMPUTED_VALUE"""),0.0)</f>
        <v>0</v>
      </c>
      <c r="BY7" s="3">
        <f>IFERROR(__xludf.DUMMYFUNCTION("""COMPUTED_VALUE"""),0.0)</f>
        <v>0</v>
      </c>
      <c r="BZ7" s="3">
        <f>IFERROR(__xludf.DUMMYFUNCTION("""COMPUTED_VALUE"""),0.0)</f>
        <v>0</v>
      </c>
      <c r="CA7" s="3">
        <f>IFERROR(__xludf.DUMMYFUNCTION("""COMPUTED_VALUE"""),0.0)</f>
        <v>0</v>
      </c>
      <c r="CB7" s="3">
        <f>IFERROR(__xludf.DUMMYFUNCTION("""COMPUTED_VALUE"""),0.0)</f>
        <v>0</v>
      </c>
    </row>
    <row r="8">
      <c r="A8" s="3" t="str">
        <f>IFERROR(__xludf.DUMMYFUNCTION("""COMPUTED_VALUE"""),"")</f>
        <v/>
      </c>
      <c r="B8" s="3" t="str">
        <f>IFERROR(__xludf.DUMMYFUNCTION("""COMPUTED_VALUE"""),"Argentina")</f>
        <v>Argentina</v>
      </c>
      <c r="C8" s="3">
        <f>IFERROR(__xludf.DUMMYFUNCTION("""COMPUTED_VALUE"""),-38.4161)</f>
        <v>-38.4161</v>
      </c>
      <c r="D8" s="3">
        <f>IFERROR(__xludf.DUMMYFUNCTION("""COMPUTED_VALUE"""),-63.6167)</f>
        <v>-63.6167</v>
      </c>
      <c r="E8" s="3">
        <f>IFERROR(__xludf.DUMMYFUNCTION("""COMPUTED_VALUE"""),0.0)</f>
        <v>0</v>
      </c>
      <c r="F8" s="3">
        <f>IFERROR(__xludf.DUMMYFUNCTION("""COMPUTED_VALUE"""),0.0)</f>
        <v>0</v>
      </c>
      <c r="G8" s="3">
        <f>IFERROR(__xludf.DUMMYFUNCTION("""COMPUTED_VALUE"""),0.0)</f>
        <v>0</v>
      </c>
      <c r="H8" s="3">
        <f>IFERROR(__xludf.DUMMYFUNCTION("""COMPUTED_VALUE"""),0.0)</f>
        <v>0</v>
      </c>
      <c r="I8" s="3">
        <f>IFERROR(__xludf.DUMMYFUNCTION("""COMPUTED_VALUE"""),0.0)</f>
        <v>0</v>
      </c>
      <c r="J8" s="3">
        <f>IFERROR(__xludf.DUMMYFUNCTION("""COMPUTED_VALUE"""),0.0)</f>
        <v>0</v>
      </c>
      <c r="K8" s="3">
        <f>IFERROR(__xludf.DUMMYFUNCTION("""COMPUTED_VALUE"""),0.0)</f>
        <v>0</v>
      </c>
      <c r="L8" s="3">
        <f>IFERROR(__xludf.DUMMYFUNCTION("""COMPUTED_VALUE"""),0.0)</f>
        <v>0</v>
      </c>
      <c r="M8" s="3">
        <f>IFERROR(__xludf.DUMMYFUNCTION("""COMPUTED_VALUE"""),0.0)</f>
        <v>0</v>
      </c>
      <c r="N8" s="3">
        <f>IFERROR(__xludf.DUMMYFUNCTION("""COMPUTED_VALUE"""),0.0)</f>
        <v>0</v>
      </c>
      <c r="O8" s="3">
        <f>IFERROR(__xludf.DUMMYFUNCTION("""COMPUTED_VALUE"""),0.0)</f>
        <v>0</v>
      </c>
      <c r="P8" s="3">
        <f>IFERROR(__xludf.DUMMYFUNCTION("""COMPUTED_VALUE"""),0.0)</f>
        <v>0</v>
      </c>
      <c r="Q8" s="3">
        <f>IFERROR(__xludf.DUMMYFUNCTION("""COMPUTED_VALUE"""),0.0)</f>
        <v>0</v>
      </c>
      <c r="R8" s="3">
        <f>IFERROR(__xludf.DUMMYFUNCTION("""COMPUTED_VALUE"""),0.0)</f>
        <v>0</v>
      </c>
      <c r="S8" s="3">
        <f>IFERROR(__xludf.DUMMYFUNCTION("""COMPUTED_VALUE"""),0.0)</f>
        <v>0</v>
      </c>
      <c r="T8" s="3">
        <f>IFERROR(__xludf.DUMMYFUNCTION("""COMPUTED_VALUE"""),0.0)</f>
        <v>0</v>
      </c>
      <c r="U8" s="3">
        <f>IFERROR(__xludf.DUMMYFUNCTION("""COMPUTED_VALUE"""),0.0)</f>
        <v>0</v>
      </c>
      <c r="V8" s="3">
        <f>IFERROR(__xludf.DUMMYFUNCTION("""COMPUTED_VALUE"""),0.0)</f>
        <v>0</v>
      </c>
      <c r="W8" s="3">
        <f>IFERROR(__xludf.DUMMYFUNCTION("""COMPUTED_VALUE"""),0.0)</f>
        <v>0</v>
      </c>
      <c r="X8" s="3">
        <f>IFERROR(__xludf.DUMMYFUNCTION("""COMPUTED_VALUE"""),0.0)</f>
        <v>0</v>
      </c>
      <c r="Y8" s="3">
        <f>IFERROR(__xludf.DUMMYFUNCTION("""COMPUTED_VALUE"""),0.0)</f>
        <v>0</v>
      </c>
      <c r="Z8" s="3">
        <f>IFERROR(__xludf.DUMMYFUNCTION("""COMPUTED_VALUE"""),0.0)</f>
        <v>0</v>
      </c>
      <c r="AA8" s="3">
        <f>IFERROR(__xludf.DUMMYFUNCTION("""COMPUTED_VALUE"""),0.0)</f>
        <v>0</v>
      </c>
      <c r="AB8" s="3">
        <f>IFERROR(__xludf.DUMMYFUNCTION("""COMPUTED_VALUE"""),0.0)</f>
        <v>0</v>
      </c>
      <c r="AC8" s="3">
        <f>IFERROR(__xludf.DUMMYFUNCTION("""COMPUTED_VALUE"""),0.0)</f>
        <v>0</v>
      </c>
      <c r="AD8" s="3">
        <f>IFERROR(__xludf.DUMMYFUNCTION("""COMPUTED_VALUE"""),0.0)</f>
        <v>0</v>
      </c>
      <c r="AE8" s="3">
        <f>IFERROR(__xludf.DUMMYFUNCTION("""COMPUTED_VALUE"""),0.0)</f>
        <v>0</v>
      </c>
      <c r="AF8" s="3">
        <f>IFERROR(__xludf.DUMMYFUNCTION("""COMPUTED_VALUE"""),0.0)</f>
        <v>0</v>
      </c>
      <c r="AG8" s="3">
        <f>IFERROR(__xludf.DUMMYFUNCTION("""COMPUTED_VALUE"""),0.0)</f>
        <v>0</v>
      </c>
      <c r="AH8" s="3">
        <f>IFERROR(__xludf.DUMMYFUNCTION("""COMPUTED_VALUE"""),0.0)</f>
        <v>0</v>
      </c>
      <c r="AI8" s="3">
        <f>IFERROR(__xludf.DUMMYFUNCTION("""COMPUTED_VALUE"""),0.0)</f>
        <v>0</v>
      </c>
      <c r="AJ8" s="3">
        <f>IFERROR(__xludf.DUMMYFUNCTION("""COMPUTED_VALUE"""),0.0)</f>
        <v>0</v>
      </c>
      <c r="AK8" s="3">
        <f>IFERROR(__xludf.DUMMYFUNCTION("""COMPUTED_VALUE"""),0.0)</f>
        <v>0</v>
      </c>
      <c r="AL8" s="3">
        <f>IFERROR(__xludf.DUMMYFUNCTION("""COMPUTED_VALUE"""),0.0)</f>
        <v>0</v>
      </c>
      <c r="AM8" s="3">
        <f>IFERROR(__xludf.DUMMYFUNCTION("""COMPUTED_VALUE"""),0.0)</f>
        <v>0</v>
      </c>
      <c r="AN8" s="3">
        <f>IFERROR(__xludf.DUMMYFUNCTION("""COMPUTED_VALUE"""),0.0)</f>
        <v>0</v>
      </c>
      <c r="AO8" s="3">
        <f>IFERROR(__xludf.DUMMYFUNCTION("""COMPUTED_VALUE"""),0.0)</f>
        <v>0</v>
      </c>
      <c r="AP8" s="3">
        <f>IFERROR(__xludf.DUMMYFUNCTION("""COMPUTED_VALUE"""),0.0)</f>
        <v>0</v>
      </c>
      <c r="AQ8" s="3">
        <f>IFERROR(__xludf.DUMMYFUNCTION("""COMPUTED_VALUE"""),0.0)</f>
        <v>0</v>
      </c>
      <c r="AR8" s="3">
        <f>IFERROR(__xludf.DUMMYFUNCTION("""COMPUTED_VALUE"""),0.0)</f>
        <v>0</v>
      </c>
      <c r="AS8" s="3">
        <f>IFERROR(__xludf.DUMMYFUNCTION("""COMPUTED_VALUE"""),0.0)</f>
        <v>0</v>
      </c>
      <c r="AT8" s="3">
        <f>IFERROR(__xludf.DUMMYFUNCTION("""COMPUTED_VALUE"""),0.0)</f>
        <v>0</v>
      </c>
      <c r="AU8" s="3">
        <f>IFERROR(__xludf.DUMMYFUNCTION("""COMPUTED_VALUE"""),0.0)</f>
        <v>0</v>
      </c>
      <c r="AV8" s="3">
        <f>IFERROR(__xludf.DUMMYFUNCTION("""COMPUTED_VALUE"""),0.0)</f>
        <v>0</v>
      </c>
      <c r="AW8" s="3">
        <f>IFERROR(__xludf.DUMMYFUNCTION("""COMPUTED_VALUE"""),0.0)</f>
        <v>0</v>
      </c>
      <c r="AX8" s="3">
        <f>IFERROR(__xludf.DUMMYFUNCTION("""COMPUTED_VALUE"""),0.0)</f>
        <v>0</v>
      </c>
      <c r="AY8" s="3">
        <f>IFERROR(__xludf.DUMMYFUNCTION("""COMPUTED_VALUE"""),1.0)</f>
        <v>1</v>
      </c>
      <c r="AZ8" s="3">
        <f>IFERROR(__xludf.DUMMYFUNCTION("""COMPUTED_VALUE"""),1.0)</f>
        <v>1</v>
      </c>
      <c r="BA8" s="3">
        <f>IFERROR(__xludf.DUMMYFUNCTION("""COMPUTED_VALUE"""),1.0)</f>
        <v>1</v>
      </c>
      <c r="BB8" s="3">
        <f>IFERROR(__xludf.DUMMYFUNCTION("""COMPUTED_VALUE"""),1.0)</f>
        <v>1</v>
      </c>
      <c r="BC8" s="3">
        <f>IFERROR(__xludf.DUMMYFUNCTION("""COMPUTED_VALUE"""),1.0)</f>
        <v>1</v>
      </c>
      <c r="BD8" s="3">
        <f>IFERROR(__xludf.DUMMYFUNCTION("""COMPUTED_VALUE"""),2.0)</f>
        <v>2</v>
      </c>
      <c r="BE8" s="3">
        <f>IFERROR(__xludf.DUMMYFUNCTION("""COMPUTED_VALUE"""),2.0)</f>
        <v>2</v>
      </c>
      <c r="BF8" s="3">
        <f>IFERROR(__xludf.DUMMYFUNCTION("""COMPUTED_VALUE"""),2.0)</f>
        <v>2</v>
      </c>
      <c r="BG8" s="3">
        <f>IFERROR(__xludf.DUMMYFUNCTION("""COMPUTED_VALUE"""),2.0)</f>
        <v>2</v>
      </c>
      <c r="BH8" s="3">
        <f>IFERROR(__xludf.DUMMYFUNCTION("""COMPUTED_VALUE"""),2.0)</f>
        <v>2</v>
      </c>
      <c r="BI8" s="3">
        <f>IFERROR(__xludf.DUMMYFUNCTION("""COMPUTED_VALUE"""),2.0)</f>
        <v>2</v>
      </c>
      <c r="BJ8" s="3">
        <f>IFERROR(__xludf.DUMMYFUNCTION("""COMPUTED_VALUE"""),3.0)</f>
        <v>3</v>
      </c>
      <c r="BK8" s="3">
        <f>IFERROR(__xludf.DUMMYFUNCTION("""COMPUTED_VALUE"""),3.0)</f>
        <v>3</v>
      </c>
      <c r="BL8" s="3">
        <f>IFERROR(__xludf.DUMMYFUNCTION("""COMPUTED_VALUE"""),4.0)</f>
        <v>4</v>
      </c>
      <c r="BM8" s="3">
        <f>IFERROR(__xludf.DUMMYFUNCTION("""COMPUTED_VALUE"""),4.0)</f>
        <v>4</v>
      </c>
      <c r="BN8" s="3">
        <f>IFERROR(__xludf.DUMMYFUNCTION("""COMPUTED_VALUE"""),4.0)</f>
        <v>4</v>
      </c>
      <c r="BO8" s="3">
        <f>IFERROR(__xludf.DUMMYFUNCTION("""COMPUTED_VALUE"""),6.0)</f>
        <v>6</v>
      </c>
      <c r="BP8" s="3">
        <f>IFERROR(__xludf.DUMMYFUNCTION("""COMPUTED_VALUE"""),8.0)</f>
        <v>8</v>
      </c>
      <c r="BQ8" s="3">
        <f>IFERROR(__xludf.DUMMYFUNCTION("""COMPUTED_VALUE"""),9.0)</f>
        <v>9</v>
      </c>
      <c r="BR8" s="3">
        <f>IFERROR(__xludf.DUMMYFUNCTION("""COMPUTED_VALUE"""),13.0)</f>
        <v>13</v>
      </c>
      <c r="BS8" s="3">
        <f>IFERROR(__xludf.DUMMYFUNCTION("""COMPUTED_VALUE"""),18.0)</f>
        <v>18</v>
      </c>
      <c r="BT8" s="3">
        <f>IFERROR(__xludf.DUMMYFUNCTION("""COMPUTED_VALUE"""),19.0)</f>
        <v>19</v>
      </c>
      <c r="BU8" s="3">
        <f>IFERROR(__xludf.DUMMYFUNCTION("""COMPUTED_VALUE"""),23.0)</f>
        <v>23</v>
      </c>
      <c r="BV8" s="3">
        <f>IFERROR(__xludf.DUMMYFUNCTION("""COMPUTED_VALUE"""),27.0)</f>
        <v>27</v>
      </c>
      <c r="BW8" s="3">
        <f>IFERROR(__xludf.DUMMYFUNCTION("""COMPUTED_VALUE"""),28.0)</f>
        <v>28</v>
      </c>
      <c r="BX8" s="3">
        <f>IFERROR(__xludf.DUMMYFUNCTION("""COMPUTED_VALUE"""),36.0)</f>
        <v>36</v>
      </c>
      <c r="BY8" s="3">
        <f>IFERROR(__xludf.DUMMYFUNCTION("""COMPUTED_VALUE"""),39.0)</f>
        <v>39</v>
      </c>
      <c r="BZ8" s="3">
        <f>IFERROR(__xludf.DUMMYFUNCTION("""COMPUTED_VALUE"""),43.0)</f>
        <v>43</v>
      </c>
      <c r="CA8" s="3">
        <f>IFERROR(__xludf.DUMMYFUNCTION("""COMPUTED_VALUE"""),44.0)</f>
        <v>44</v>
      </c>
      <c r="CB8" s="3">
        <f>IFERROR(__xludf.DUMMYFUNCTION("""COMPUTED_VALUE"""),48.0)</f>
        <v>48</v>
      </c>
    </row>
    <row r="9">
      <c r="A9" s="3" t="str">
        <f>IFERROR(__xludf.DUMMYFUNCTION("""COMPUTED_VALUE"""),"")</f>
        <v/>
      </c>
      <c r="B9" s="3" t="str">
        <f>IFERROR(__xludf.DUMMYFUNCTION("""COMPUTED_VALUE"""),"Armenia")</f>
        <v>Armenia</v>
      </c>
      <c r="C9" s="3">
        <f>IFERROR(__xludf.DUMMYFUNCTION("""COMPUTED_VALUE"""),40.0691)</f>
        <v>40.0691</v>
      </c>
      <c r="D9" s="3">
        <f>IFERROR(__xludf.DUMMYFUNCTION("""COMPUTED_VALUE"""),45.0382)</f>
        <v>45.0382</v>
      </c>
      <c r="E9" s="3">
        <f>IFERROR(__xludf.DUMMYFUNCTION("""COMPUTED_VALUE"""),0.0)</f>
        <v>0</v>
      </c>
      <c r="F9" s="3">
        <f>IFERROR(__xludf.DUMMYFUNCTION("""COMPUTED_VALUE"""),0.0)</f>
        <v>0</v>
      </c>
      <c r="G9" s="3">
        <f>IFERROR(__xludf.DUMMYFUNCTION("""COMPUTED_VALUE"""),0.0)</f>
        <v>0</v>
      </c>
      <c r="H9" s="3">
        <f>IFERROR(__xludf.DUMMYFUNCTION("""COMPUTED_VALUE"""),0.0)</f>
        <v>0</v>
      </c>
      <c r="I9" s="3">
        <f>IFERROR(__xludf.DUMMYFUNCTION("""COMPUTED_VALUE"""),0.0)</f>
        <v>0</v>
      </c>
      <c r="J9" s="3">
        <f>IFERROR(__xludf.DUMMYFUNCTION("""COMPUTED_VALUE"""),0.0)</f>
        <v>0</v>
      </c>
      <c r="K9" s="3">
        <f>IFERROR(__xludf.DUMMYFUNCTION("""COMPUTED_VALUE"""),0.0)</f>
        <v>0</v>
      </c>
      <c r="L9" s="3">
        <f>IFERROR(__xludf.DUMMYFUNCTION("""COMPUTED_VALUE"""),0.0)</f>
        <v>0</v>
      </c>
      <c r="M9" s="3">
        <f>IFERROR(__xludf.DUMMYFUNCTION("""COMPUTED_VALUE"""),0.0)</f>
        <v>0</v>
      </c>
      <c r="N9" s="3">
        <f>IFERROR(__xludf.DUMMYFUNCTION("""COMPUTED_VALUE"""),0.0)</f>
        <v>0</v>
      </c>
      <c r="O9" s="3">
        <f>IFERROR(__xludf.DUMMYFUNCTION("""COMPUTED_VALUE"""),0.0)</f>
        <v>0</v>
      </c>
      <c r="P9" s="3">
        <f>IFERROR(__xludf.DUMMYFUNCTION("""COMPUTED_VALUE"""),0.0)</f>
        <v>0</v>
      </c>
      <c r="Q9" s="3">
        <f>IFERROR(__xludf.DUMMYFUNCTION("""COMPUTED_VALUE"""),0.0)</f>
        <v>0</v>
      </c>
      <c r="R9" s="3">
        <f>IFERROR(__xludf.DUMMYFUNCTION("""COMPUTED_VALUE"""),0.0)</f>
        <v>0</v>
      </c>
      <c r="S9" s="3">
        <f>IFERROR(__xludf.DUMMYFUNCTION("""COMPUTED_VALUE"""),0.0)</f>
        <v>0</v>
      </c>
      <c r="T9" s="3">
        <f>IFERROR(__xludf.DUMMYFUNCTION("""COMPUTED_VALUE"""),0.0)</f>
        <v>0</v>
      </c>
      <c r="U9" s="3">
        <f>IFERROR(__xludf.DUMMYFUNCTION("""COMPUTED_VALUE"""),0.0)</f>
        <v>0</v>
      </c>
      <c r="V9" s="3">
        <f>IFERROR(__xludf.DUMMYFUNCTION("""COMPUTED_VALUE"""),0.0)</f>
        <v>0</v>
      </c>
      <c r="W9" s="3">
        <f>IFERROR(__xludf.DUMMYFUNCTION("""COMPUTED_VALUE"""),0.0)</f>
        <v>0</v>
      </c>
      <c r="X9" s="3">
        <f>IFERROR(__xludf.DUMMYFUNCTION("""COMPUTED_VALUE"""),0.0)</f>
        <v>0</v>
      </c>
      <c r="Y9" s="3">
        <f>IFERROR(__xludf.DUMMYFUNCTION("""COMPUTED_VALUE"""),0.0)</f>
        <v>0</v>
      </c>
      <c r="Z9" s="3">
        <f>IFERROR(__xludf.DUMMYFUNCTION("""COMPUTED_VALUE"""),0.0)</f>
        <v>0</v>
      </c>
      <c r="AA9" s="3">
        <f>IFERROR(__xludf.DUMMYFUNCTION("""COMPUTED_VALUE"""),0.0)</f>
        <v>0</v>
      </c>
      <c r="AB9" s="3">
        <f>IFERROR(__xludf.DUMMYFUNCTION("""COMPUTED_VALUE"""),0.0)</f>
        <v>0</v>
      </c>
      <c r="AC9" s="3">
        <f>IFERROR(__xludf.DUMMYFUNCTION("""COMPUTED_VALUE"""),0.0)</f>
        <v>0</v>
      </c>
      <c r="AD9" s="3">
        <f>IFERROR(__xludf.DUMMYFUNCTION("""COMPUTED_VALUE"""),0.0)</f>
        <v>0</v>
      </c>
      <c r="AE9" s="3">
        <f>IFERROR(__xludf.DUMMYFUNCTION("""COMPUTED_VALUE"""),0.0)</f>
        <v>0</v>
      </c>
      <c r="AF9" s="3">
        <f>IFERROR(__xludf.DUMMYFUNCTION("""COMPUTED_VALUE"""),0.0)</f>
        <v>0</v>
      </c>
      <c r="AG9" s="3">
        <f>IFERROR(__xludf.DUMMYFUNCTION("""COMPUTED_VALUE"""),0.0)</f>
        <v>0</v>
      </c>
      <c r="AH9" s="3">
        <f>IFERROR(__xludf.DUMMYFUNCTION("""COMPUTED_VALUE"""),0.0)</f>
        <v>0</v>
      </c>
      <c r="AI9" s="3">
        <f>IFERROR(__xludf.DUMMYFUNCTION("""COMPUTED_VALUE"""),0.0)</f>
        <v>0</v>
      </c>
      <c r="AJ9" s="3">
        <f>IFERROR(__xludf.DUMMYFUNCTION("""COMPUTED_VALUE"""),0.0)</f>
        <v>0</v>
      </c>
      <c r="AK9" s="3">
        <f>IFERROR(__xludf.DUMMYFUNCTION("""COMPUTED_VALUE"""),0.0)</f>
        <v>0</v>
      </c>
      <c r="AL9" s="3">
        <f>IFERROR(__xludf.DUMMYFUNCTION("""COMPUTED_VALUE"""),0.0)</f>
        <v>0</v>
      </c>
      <c r="AM9" s="3">
        <f>IFERROR(__xludf.DUMMYFUNCTION("""COMPUTED_VALUE"""),0.0)</f>
        <v>0</v>
      </c>
      <c r="AN9" s="3">
        <f>IFERROR(__xludf.DUMMYFUNCTION("""COMPUTED_VALUE"""),0.0)</f>
        <v>0</v>
      </c>
      <c r="AO9" s="3">
        <f>IFERROR(__xludf.DUMMYFUNCTION("""COMPUTED_VALUE"""),0.0)</f>
        <v>0</v>
      </c>
      <c r="AP9" s="3">
        <f>IFERROR(__xludf.DUMMYFUNCTION("""COMPUTED_VALUE"""),0.0)</f>
        <v>0</v>
      </c>
      <c r="AQ9" s="3">
        <f>IFERROR(__xludf.DUMMYFUNCTION("""COMPUTED_VALUE"""),0.0)</f>
        <v>0</v>
      </c>
      <c r="AR9" s="3">
        <f>IFERROR(__xludf.DUMMYFUNCTION("""COMPUTED_VALUE"""),0.0)</f>
        <v>0</v>
      </c>
      <c r="AS9" s="3">
        <f>IFERROR(__xludf.DUMMYFUNCTION("""COMPUTED_VALUE"""),0.0)</f>
        <v>0</v>
      </c>
      <c r="AT9" s="3">
        <f>IFERROR(__xludf.DUMMYFUNCTION("""COMPUTED_VALUE"""),0.0)</f>
        <v>0</v>
      </c>
      <c r="AU9" s="3">
        <f>IFERROR(__xludf.DUMMYFUNCTION("""COMPUTED_VALUE"""),0.0)</f>
        <v>0</v>
      </c>
      <c r="AV9" s="3">
        <f>IFERROR(__xludf.DUMMYFUNCTION("""COMPUTED_VALUE"""),0.0)</f>
        <v>0</v>
      </c>
      <c r="AW9" s="3">
        <f>IFERROR(__xludf.DUMMYFUNCTION("""COMPUTED_VALUE"""),0.0)</f>
        <v>0</v>
      </c>
      <c r="AX9" s="3">
        <f>IFERROR(__xludf.DUMMYFUNCTION("""COMPUTED_VALUE"""),0.0)</f>
        <v>0</v>
      </c>
      <c r="AY9" s="3">
        <f>IFERROR(__xludf.DUMMYFUNCTION("""COMPUTED_VALUE"""),0.0)</f>
        <v>0</v>
      </c>
      <c r="AZ9" s="3">
        <f>IFERROR(__xludf.DUMMYFUNCTION("""COMPUTED_VALUE"""),0.0)</f>
        <v>0</v>
      </c>
      <c r="BA9" s="3">
        <f>IFERROR(__xludf.DUMMYFUNCTION("""COMPUTED_VALUE"""),0.0)</f>
        <v>0</v>
      </c>
      <c r="BB9" s="3">
        <f>IFERROR(__xludf.DUMMYFUNCTION("""COMPUTED_VALUE"""),0.0)</f>
        <v>0</v>
      </c>
      <c r="BC9" s="3">
        <f>IFERROR(__xludf.DUMMYFUNCTION("""COMPUTED_VALUE"""),0.0)</f>
        <v>0</v>
      </c>
      <c r="BD9" s="3">
        <f>IFERROR(__xludf.DUMMYFUNCTION("""COMPUTED_VALUE"""),0.0)</f>
        <v>0</v>
      </c>
      <c r="BE9" s="3">
        <f>IFERROR(__xludf.DUMMYFUNCTION("""COMPUTED_VALUE"""),0.0)</f>
        <v>0</v>
      </c>
      <c r="BF9" s="3">
        <f>IFERROR(__xludf.DUMMYFUNCTION("""COMPUTED_VALUE"""),0.0)</f>
        <v>0</v>
      </c>
      <c r="BG9" s="3">
        <f>IFERROR(__xludf.DUMMYFUNCTION("""COMPUTED_VALUE"""),0.0)</f>
        <v>0</v>
      </c>
      <c r="BH9" s="3">
        <f>IFERROR(__xludf.DUMMYFUNCTION("""COMPUTED_VALUE"""),0.0)</f>
        <v>0</v>
      </c>
      <c r="BI9" s="3">
        <f>IFERROR(__xludf.DUMMYFUNCTION("""COMPUTED_VALUE"""),0.0)</f>
        <v>0</v>
      </c>
      <c r="BJ9" s="3">
        <f>IFERROR(__xludf.DUMMYFUNCTION("""COMPUTED_VALUE"""),0.0)</f>
        <v>0</v>
      </c>
      <c r="BK9" s="3">
        <f>IFERROR(__xludf.DUMMYFUNCTION("""COMPUTED_VALUE"""),0.0)</f>
        <v>0</v>
      </c>
      <c r="BL9" s="3">
        <f>IFERROR(__xludf.DUMMYFUNCTION("""COMPUTED_VALUE"""),0.0)</f>
        <v>0</v>
      </c>
      <c r="BM9" s="3">
        <f>IFERROR(__xludf.DUMMYFUNCTION("""COMPUTED_VALUE"""),0.0)</f>
        <v>0</v>
      </c>
      <c r="BN9" s="3">
        <f>IFERROR(__xludf.DUMMYFUNCTION("""COMPUTED_VALUE"""),0.0)</f>
        <v>0</v>
      </c>
      <c r="BO9" s="3">
        <f>IFERROR(__xludf.DUMMYFUNCTION("""COMPUTED_VALUE"""),0.0)</f>
        <v>0</v>
      </c>
      <c r="BP9" s="3">
        <f>IFERROR(__xludf.DUMMYFUNCTION("""COMPUTED_VALUE"""),0.0)</f>
        <v>0</v>
      </c>
      <c r="BQ9" s="3">
        <f>IFERROR(__xludf.DUMMYFUNCTION("""COMPUTED_VALUE"""),1.0)</f>
        <v>1</v>
      </c>
      <c r="BR9" s="3">
        <f>IFERROR(__xludf.DUMMYFUNCTION("""COMPUTED_VALUE"""),1.0)</f>
        <v>1</v>
      </c>
      <c r="BS9" s="3">
        <f>IFERROR(__xludf.DUMMYFUNCTION("""COMPUTED_VALUE"""),1.0)</f>
        <v>1</v>
      </c>
      <c r="BT9" s="3">
        <f>IFERROR(__xludf.DUMMYFUNCTION("""COMPUTED_VALUE"""),3.0)</f>
        <v>3</v>
      </c>
      <c r="BU9" s="3">
        <f>IFERROR(__xludf.DUMMYFUNCTION("""COMPUTED_VALUE"""),3.0)</f>
        <v>3</v>
      </c>
      <c r="BV9" s="3">
        <f>IFERROR(__xludf.DUMMYFUNCTION("""COMPUTED_VALUE"""),3.0)</f>
        <v>3</v>
      </c>
      <c r="BW9" s="3">
        <f>IFERROR(__xludf.DUMMYFUNCTION("""COMPUTED_VALUE"""),4.0)</f>
        <v>4</v>
      </c>
      <c r="BX9" s="3">
        <f>IFERROR(__xludf.DUMMYFUNCTION("""COMPUTED_VALUE"""),7.0)</f>
        <v>7</v>
      </c>
      <c r="BY9" s="3">
        <f>IFERROR(__xludf.DUMMYFUNCTION("""COMPUTED_VALUE"""),7.0)</f>
        <v>7</v>
      </c>
      <c r="BZ9" s="3">
        <f>IFERROR(__xludf.DUMMYFUNCTION("""COMPUTED_VALUE"""),7.0)</f>
        <v>7</v>
      </c>
      <c r="CA9" s="3">
        <f>IFERROR(__xludf.DUMMYFUNCTION("""COMPUTED_VALUE"""),7.0)</f>
        <v>7</v>
      </c>
      <c r="CB9" s="3">
        <f>IFERROR(__xludf.DUMMYFUNCTION("""COMPUTED_VALUE"""),8.0)</f>
        <v>8</v>
      </c>
    </row>
    <row r="10">
      <c r="A10" s="3" t="str">
        <f>IFERROR(__xludf.DUMMYFUNCTION("""COMPUTED_VALUE"""),"Australian Capital Territory")</f>
        <v>Australian Capital Territory</v>
      </c>
      <c r="B10" s="3" t="str">
        <f>IFERROR(__xludf.DUMMYFUNCTION("""COMPUTED_VALUE"""),"Australia")</f>
        <v>Australia</v>
      </c>
      <c r="C10" s="3">
        <f>IFERROR(__xludf.DUMMYFUNCTION("""COMPUTED_VALUE"""),-35.4735)</f>
        <v>-35.4735</v>
      </c>
      <c r="D10" s="3">
        <f>IFERROR(__xludf.DUMMYFUNCTION("""COMPUTED_VALUE"""),149.0124)</f>
        <v>149.0124</v>
      </c>
      <c r="E10" s="3">
        <f>IFERROR(__xludf.DUMMYFUNCTION("""COMPUTED_VALUE"""),0.0)</f>
        <v>0</v>
      </c>
      <c r="F10" s="3">
        <f>IFERROR(__xludf.DUMMYFUNCTION("""COMPUTED_VALUE"""),0.0)</f>
        <v>0</v>
      </c>
      <c r="G10" s="3">
        <f>IFERROR(__xludf.DUMMYFUNCTION("""COMPUTED_VALUE"""),0.0)</f>
        <v>0</v>
      </c>
      <c r="H10" s="3">
        <f>IFERROR(__xludf.DUMMYFUNCTION("""COMPUTED_VALUE"""),0.0)</f>
        <v>0</v>
      </c>
      <c r="I10" s="3">
        <f>IFERROR(__xludf.DUMMYFUNCTION("""COMPUTED_VALUE"""),0.0)</f>
        <v>0</v>
      </c>
      <c r="J10" s="3">
        <f>IFERROR(__xludf.DUMMYFUNCTION("""COMPUTED_VALUE"""),0.0)</f>
        <v>0</v>
      </c>
      <c r="K10" s="3">
        <f>IFERROR(__xludf.DUMMYFUNCTION("""COMPUTED_VALUE"""),0.0)</f>
        <v>0</v>
      </c>
      <c r="L10" s="3">
        <f>IFERROR(__xludf.DUMMYFUNCTION("""COMPUTED_VALUE"""),0.0)</f>
        <v>0</v>
      </c>
      <c r="M10" s="3">
        <f>IFERROR(__xludf.DUMMYFUNCTION("""COMPUTED_VALUE"""),0.0)</f>
        <v>0</v>
      </c>
      <c r="N10" s="3">
        <f>IFERROR(__xludf.DUMMYFUNCTION("""COMPUTED_VALUE"""),0.0)</f>
        <v>0</v>
      </c>
      <c r="O10" s="3">
        <f>IFERROR(__xludf.DUMMYFUNCTION("""COMPUTED_VALUE"""),0.0)</f>
        <v>0</v>
      </c>
      <c r="P10" s="3">
        <f>IFERROR(__xludf.DUMMYFUNCTION("""COMPUTED_VALUE"""),0.0)</f>
        <v>0</v>
      </c>
      <c r="Q10" s="3">
        <f>IFERROR(__xludf.DUMMYFUNCTION("""COMPUTED_VALUE"""),0.0)</f>
        <v>0</v>
      </c>
      <c r="R10" s="3">
        <f>IFERROR(__xludf.DUMMYFUNCTION("""COMPUTED_VALUE"""),0.0)</f>
        <v>0</v>
      </c>
      <c r="S10" s="3">
        <f>IFERROR(__xludf.DUMMYFUNCTION("""COMPUTED_VALUE"""),0.0)</f>
        <v>0</v>
      </c>
      <c r="T10" s="3">
        <f>IFERROR(__xludf.DUMMYFUNCTION("""COMPUTED_VALUE"""),0.0)</f>
        <v>0</v>
      </c>
      <c r="U10" s="3">
        <f>IFERROR(__xludf.DUMMYFUNCTION("""COMPUTED_VALUE"""),0.0)</f>
        <v>0</v>
      </c>
      <c r="V10" s="3">
        <f>IFERROR(__xludf.DUMMYFUNCTION("""COMPUTED_VALUE"""),0.0)</f>
        <v>0</v>
      </c>
      <c r="W10" s="3">
        <f>IFERROR(__xludf.DUMMYFUNCTION("""COMPUTED_VALUE"""),0.0)</f>
        <v>0</v>
      </c>
      <c r="X10" s="3">
        <f>IFERROR(__xludf.DUMMYFUNCTION("""COMPUTED_VALUE"""),0.0)</f>
        <v>0</v>
      </c>
      <c r="Y10" s="3">
        <f>IFERROR(__xludf.DUMMYFUNCTION("""COMPUTED_VALUE"""),0.0)</f>
        <v>0</v>
      </c>
      <c r="Z10" s="3">
        <f>IFERROR(__xludf.DUMMYFUNCTION("""COMPUTED_VALUE"""),0.0)</f>
        <v>0</v>
      </c>
      <c r="AA10" s="3">
        <f>IFERROR(__xludf.DUMMYFUNCTION("""COMPUTED_VALUE"""),0.0)</f>
        <v>0</v>
      </c>
      <c r="AB10" s="3">
        <f>IFERROR(__xludf.DUMMYFUNCTION("""COMPUTED_VALUE"""),0.0)</f>
        <v>0</v>
      </c>
      <c r="AC10" s="3">
        <f>IFERROR(__xludf.DUMMYFUNCTION("""COMPUTED_VALUE"""),0.0)</f>
        <v>0</v>
      </c>
      <c r="AD10" s="3">
        <f>IFERROR(__xludf.DUMMYFUNCTION("""COMPUTED_VALUE"""),0.0)</f>
        <v>0</v>
      </c>
      <c r="AE10" s="3">
        <f>IFERROR(__xludf.DUMMYFUNCTION("""COMPUTED_VALUE"""),0.0)</f>
        <v>0</v>
      </c>
      <c r="AF10" s="3">
        <f>IFERROR(__xludf.DUMMYFUNCTION("""COMPUTED_VALUE"""),0.0)</f>
        <v>0</v>
      </c>
      <c r="AG10" s="3">
        <f>IFERROR(__xludf.DUMMYFUNCTION("""COMPUTED_VALUE"""),0.0)</f>
        <v>0</v>
      </c>
      <c r="AH10" s="3">
        <f>IFERROR(__xludf.DUMMYFUNCTION("""COMPUTED_VALUE"""),0.0)</f>
        <v>0</v>
      </c>
      <c r="AI10" s="3">
        <f>IFERROR(__xludf.DUMMYFUNCTION("""COMPUTED_VALUE"""),0.0)</f>
        <v>0</v>
      </c>
      <c r="AJ10" s="3">
        <f>IFERROR(__xludf.DUMMYFUNCTION("""COMPUTED_VALUE"""),0.0)</f>
        <v>0</v>
      </c>
      <c r="AK10" s="3">
        <f>IFERROR(__xludf.DUMMYFUNCTION("""COMPUTED_VALUE"""),0.0)</f>
        <v>0</v>
      </c>
      <c r="AL10" s="3">
        <f>IFERROR(__xludf.DUMMYFUNCTION("""COMPUTED_VALUE"""),0.0)</f>
        <v>0</v>
      </c>
      <c r="AM10" s="3">
        <f>IFERROR(__xludf.DUMMYFUNCTION("""COMPUTED_VALUE"""),0.0)</f>
        <v>0</v>
      </c>
      <c r="AN10" s="3">
        <f>IFERROR(__xludf.DUMMYFUNCTION("""COMPUTED_VALUE"""),0.0)</f>
        <v>0</v>
      </c>
      <c r="AO10" s="3">
        <f>IFERROR(__xludf.DUMMYFUNCTION("""COMPUTED_VALUE"""),0.0)</f>
        <v>0</v>
      </c>
      <c r="AP10" s="3">
        <f>IFERROR(__xludf.DUMMYFUNCTION("""COMPUTED_VALUE"""),0.0)</f>
        <v>0</v>
      </c>
      <c r="AQ10" s="3">
        <f>IFERROR(__xludf.DUMMYFUNCTION("""COMPUTED_VALUE"""),0.0)</f>
        <v>0</v>
      </c>
      <c r="AR10" s="3">
        <f>IFERROR(__xludf.DUMMYFUNCTION("""COMPUTED_VALUE"""),0.0)</f>
        <v>0</v>
      </c>
      <c r="AS10" s="3">
        <f>IFERROR(__xludf.DUMMYFUNCTION("""COMPUTED_VALUE"""),0.0)</f>
        <v>0</v>
      </c>
      <c r="AT10" s="3">
        <f>IFERROR(__xludf.DUMMYFUNCTION("""COMPUTED_VALUE"""),0.0)</f>
        <v>0</v>
      </c>
      <c r="AU10" s="3">
        <f>IFERROR(__xludf.DUMMYFUNCTION("""COMPUTED_VALUE"""),0.0)</f>
        <v>0</v>
      </c>
      <c r="AV10" s="3">
        <f>IFERROR(__xludf.DUMMYFUNCTION("""COMPUTED_VALUE"""),0.0)</f>
        <v>0</v>
      </c>
      <c r="AW10" s="3">
        <f>IFERROR(__xludf.DUMMYFUNCTION("""COMPUTED_VALUE"""),0.0)</f>
        <v>0</v>
      </c>
      <c r="AX10" s="3">
        <f>IFERROR(__xludf.DUMMYFUNCTION("""COMPUTED_VALUE"""),0.0)</f>
        <v>0</v>
      </c>
      <c r="AY10" s="3">
        <f>IFERROR(__xludf.DUMMYFUNCTION("""COMPUTED_VALUE"""),0.0)</f>
        <v>0</v>
      </c>
      <c r="AZ10" s="3">
        <f>IFERROR(__xludf.DUMMYFUNCTION("""COMPUTED_VALUE"""),0.0)</f>
        <v>0</v>
      </c>
      <c r="BA10" s="3">
        <f>IFERROR(__xludf.DUMMYFUNCTION("""COMPUTED_VALUE"""),0.0)</f>
        <v>0</v>
      </c>
      <c r="BB10" s="3">
        <f>IFERROR(__xludf.DUMMYFUNCTION("""COMPUTED_VALUE"""),0.0)</f>
        <v>0</v>
      </c>
      <c r="BC10" s="3">
        <f>IFERROR(__xludf.DUMMYFUNCTION("""COMPUTED_VALUE"""),0.0)</f>
        <v>0</v>
      </c>
      <c r="BD10" s="3">
        <f>IFERROR(__xludf.DUMMYFUNCTION("""COMPUTED_VALUE"""),0.0)</f>
        <v>0</v>
      </c>
      <c r="BE10" s="3">
        <f>IFERROR(__xludf.DUMMYFUNCTION("""COMPUTED_VALUE"""),0.0)</f>
        <v>0</v>
      </c>
      <c r="BF10" s="3">
        <f>IFERROR(__xludf.DUMMYFUNCTION("""COMPUTED_VALUE"""),0.0)</f>
        <v>0</v>
      </c>
      <c r="BG10" s="3">
        <f>IFERROR(__xludf.DUMMYFUNCTION("""COMPUTED_VALUE"""),0.0)</f>
        <v>0</v>
      </c>
      <c r="BH10" s="3">
        <f>IFERROR(__xludf.DUMMYFUNCTION("""COMPUTED_VALUE"""),0.0)</f>
        <v>0</v>
      </c>
      <c r="BI10" s="3">
        <f>IFERROR(__xludf.DUMMYFUNCTION("""COMPUTED_VALUE"""),0.0)</f>
        <v>0</v>
      </c>
      <c r="BJ10" s="3">
        <f>IFERROR(__xludf.DUMMYFUNCTION("""COMPUTED_VALUE"""),0.0)</f>
        <v>0</v>
      </c>
      <c r="BK10" s="3">
        <f>IFERROR(__xludf.DUMMYFUNCTION("""COMPUTED_VALUE"""),0.0)</f>
        <v>0</v>
      </c>
      <c r="BL10" s="3">
        <f>IFERROR(__xludf.DUMMYFUNCTION("""COMPUTED_VALUE"""),0.0)</f>
        <v>0</v>
      </c>
      <c r="BM10" s="3">
        <f>IFERROR(__xludf.DUMMYFUNCTION("""COMPUTED_VALUE"""),0.0)</f>
        <v>0</v>
      </c>
      <c r="BN10" s="3">
        <f>IFERROR(__xludf.DUMMYFUNCTION("""COMPUTED_VALUE"""),0.0)</f>
        <v>0</v>
      </c>
      <c r="BO10" s="3">
        <f>IFERROR(__xludf.DUMMYFUNCTION("""COMPUTED_VALUE"""),0.0)</f>
        <v>0</v>
      </c>
      <c r="BP10" s="3">
        <f>IFERROR(__xludf.DUMMYFUNCTION("""COMPUTED_VALUE"""),0.0)</f>
        <v>0</v>
      </c>
      <c r="BQ10" s="3">
        <f>IFERROR(__xludf.DUMMYFUNCTION("""COMPUTED_VALUE"""),0.0)</f>
        <v>0</v>
      </c>
      <c r="BR10" s="3">
        <f>IFERROR(__xludf.DUMMYFUNCTION("""COMPUTED_VALUE"""),0.0)</f>
        <v>0</v>
      </c>
      <c r="BS10" s="3">
        <f>IFERROR(__xludf.DUMMYFUNCTION("""COMPUTED_VALUE"""),0.0)</f>
        <v>0</v>
      </c>
      <c r="BT10" s="3">
        <f>IFERROR(__xludf.DUMMYFUNCTION("""COMPUTED_VALUE"""),0.0)</f>
        <v>0</v>
      </c>
      <c r="BU10" s="3">
        <f>IFERROR(__xludf.DUMMYFUNCTION("""COMPUTED_VALUE"""),1.0)</f>
        <v>1</v>
      </c>
      <c r="BV10" s="3">
        <f>IFERROR(__xludf.DUMMYFUNCTION("""COMPUTED_VALUE"""),1.0)</f>
        <v>1</v>
      </c>
      <c r="BW10" s="3">
        <f>IFERROR(__xludf.DUMMYFUNCTION("""COMPUTED_VALUE"""),1.0)</f>
        <v>1</v>
      </c>
      <c r="BX10" s="3">
        <f>IFERROR(__xludf.DUMMYFUNCTION("""COMPUTED_VALUE"""),1.0)</f>
        <v>1</v>
      </c>
      <c r="BY10" s="3">
        <f>IFERROR(__xludf.DUMMYFUNCTION("""COMPUTED_VALUE"""),1.0)</f>
        <v>1</v>
      </c>
      <c r="BZ10" s="3">
        <f>IFERROR(__xludf.DUMMYFUNCTION("""COMPUTED_VALUE"""),2.0)</f>
        <v>2</v>
      </c>
      <c r="CA10" s="3">
        <f>IFERROR(__xludf.DUMMYFUNCTION("""COMPUTED_VALUE"""),2.0)</f>
        <v>2</v>
      </c>
      <c r="CB10" s="3">
        <f>IFERROR(__xludf.DUMMYFUNCTION("""COMPUTED_VALUE"""),2.0)</f>
        <v>2</v>
      </c>
    </row>
    <row r="11">
      <c r="A11" s="3" t="str">
        <f>IFERROR(__xludf.DUMMYFUNCTION("""COMPUTED_VALUE"""),"New South Wales")</f>
        <v>New South Wales</v>
      </c>
      <c r="B11" s="3" t="str">
        <f>IFERROR(__xludf.DUMMYFUNCTION("""COMPUTED_VALUE"""),"Australia")</f>
        <v>Australia</v>
      </c>
      <c r="C11" s="3">
        <f>IFERROR(__xludf.DUMMYFUNCTION("""COMPUTED_VALUE"""),-33.8688)</f>
        <v>-33.8688</v>
      </c>
      <c r="D11" s="3">
        <f>IFERROR(__xludf.DUMMYFUNCTION("""COMPUTED_VALUE"""),151.2093)</f>
        <v>151.2093</v>
      </c>
      <c r="E11" s="3">
        <f>IFERROR(__xludf.DUMMYFUNCTION("""COMPUTED_VALUE"""),0.0)</f>
        <v>0</v>
      </c>
      <c r="F11" s="3">
        <f>IFERROR(__xludf.DUMMYFUNCTION("""COMPUTED_VALUE"""),0.0)</f>
        <v>0</v>
      </c>
      <c r="G11" s="3">
        <f>IFERROR(__xludf.DUMMYFUNCTION("""COMPUTED_VALUE"""),0.0)</f>
        <v>0</v>
      </c>
      <c r="H11" s="3">
        <f>IFERROR(__xludf.DUMMYFUNCTION("""COMPUTED_VALUE"""),0.0)</f>
        <v>0</v>
      </c>
      <c r="I11" s="3">
        <f>IFERROR(__xludf.DUMMYFUNCTION("""COMPUTED_VALUE"""),0.0)</f>
        <v>0</v>
      </c>
      <c r="J11" s="3">
        <f>IFERROR(__xludf.DUMMYFUNCTION("""COMPUTED_VALUE"""),0.0)</f>
        <v>0</v>
      </c>
      <c r="K11" s="3">
        <f>IFERROR(__xludf.DUMMYFUNCTION("""COMPUTED_VALUE"""),0.0)</f>
        <v>0</v>
      </c>
      <c r="L11" s="3">
        <f>IFERROR(__xludf.DUMMYFUNCTION("""COMPUTED_VALUE"""),0.0)</f>
        <v>0</v>
      </c>
      <c r="M11" s="3">
        <f>IFERROR(__xludf.DUMMYFUNCTION("""COMPUTED_VALUE"""),0.0)</f>
        <v>0</v>
      </c>
      <c r="N11" s="3">
        <f>IFERROR(__xludf.DUMMYFUNCTION("""COMPUTED_VALUE"""),0.0)</f>
        <v>0</v>
      </c>
      <c r="O11" s="3">
        <f>IFERROR(__xludf.DUMMYFUNCTION("""COMPUTED_VALUE"""),0.0)</f>
        <v>0</v>
      </c>
      <c r="P11" s="3">
        <f>IFERROR(__xludf.DUMMYFUNCTION("""COMPUTED_VALUE"""),0.0)</f>
        <v>0</v>
      </c>
      <c r="Q11" s="3">
        <f>IFERROR(__xludf.DUMMYFUNCTION("""COMPUTED_VALUE"""),0.0)</f>
        <v>0</v>
      </c>
      <c r="R11" s="3">
        <f>IFERROR(__xludf.DUMMYFUNCTION("""COMPUTED_VALUE"""),0.0)</f>
        <v>0</v>
      </c>
      <c r="S11" s="3">
        <f>IFERROR(__xludf.DUMMYFUNCTION("""COMPUTED_VALUE"""),0.0)</f>
        <v>0</v>
      </c>
      <c r="T11" s="3">
        <f>IFERROR(__xludf.DUMMYFUNCTION("""COMPUTED_VALUE"""),0.0)</f>
        <v>0</v>
      </c>
      <c r="U11" s="3">
        <f>IFERROR(__xludf.DUMMYFUNCTION("""COMPUTED_VALUE"""),0.0)</f>
        <v>0</v>
      </c>
      <c r="V11" s="3">
        <f>IFERROR(__xludf.DUMMYFUNCTION("""COMPUTED_VALUE"""),0.0)</f>
        <v>0</v>
      </c>
      <c r="W11" s="3">
        <f>IFERROR(__xludf.DUMMYFUNCTION("""COMPUTED_VALUE"""),0.0)</f>
        <v>0</v>
      </c>
      <c r="X11" s="3">
        <f>IFERROR(__xludf.DUMMYFUNCTION("""COMPUTED_VALUE"""),0.0)</f>
        <v>0</v>
      </c>
      <c r="Y11" s="3">
        <f>IFERROR(__xludf.DUMMYFUNCTION("""COMPUTED_VALUE"""),0.0)</f>
        <v>0</v>
      </c>
      <c r="Z11" s="3">
        <f>IFERROR(__xludf.DUMMYFUNCTION("""COMPUTED_VALUE"""),0.0)</f>
        <v>0</v>
      </c>
      <c r="AA11" s="3">
        <f>IFERROR(__xludf.DUMMYFUNCTION("""COMPUTED_VALUE"""),0.0)</f>
        <v>0</v>
      </c>
      <c r="AB11" s="3">
        <f>IFERROR(__xludf.DUMMYFUNCTION("""COMPUTED_VALUE"""),0.0)</f>
        <v>0</v>
      </c>
      <c r="AC11" s="3">
        <f>IFERROR(__xludf.DUMMYFUNCTION("""COMPUTED_VALUE"""),0.0)</f>
        <v>0</v>
      </c>
      <c r="AD11" s="3">
        <f>IFERROR(__xludf.DUMMYFUNCTION("""COMPUTED_VALUE"""),0.0)</f>
        <v>0</v>
      </c>
      <c r="AE11" s="3">
        <f>IFERROR(__xludf.DUMMYFUNCTION("""COMPUTED_VALUE"""),0.0)</f>
        <v>0</v>
      </c>
      <c r="AF11" s="3">
        <f>IFERROR(__xludf.DUMMYFUNCTION("""COMPUTED_VALUE"""),0.0)</f>
        <v>0</v>
      </c>
      <c r="AG11" s="3">
        <f>IFERROR(__xludf.DUMMYFUNCTION("""COMPUTED_VALUE"""),0.0)</f>
        <v>0</v>
      </c>
      <c r="AH11" s="3">
        <f>IFERROR(__xludf.DUMMYFUNCTION("""COMPUTED_VALUE"""),0.0)</f>
        <v>0</v>
      </c>
      <c r="AI11" s="3">
        <f>IFERROR(__xludf.DUMMYFUNCTION("""COMPUTED_VALUE"""),0.0)</f>
        <v>0</v>
      </c>
      <c r="AJ11" s="3">
        <f>IFERROR(__xludf.DUMMYFUNCTION("""COMPUTED_VALUE"""),0.0)</f>
        <v>0</v>
      </c>
      <c r="AK11" s="3">
        <f>IFERROR(__xludf.DUMMYFUNCTION("""COMPUTED_VALUE"""),0.0)</f>
        <v>0</v>
      </c>
      <c r="AL11" s="3">
        <f>IFERROR(__xludf.DUMMYFUNCTION("""COMPUTED_VALUE"""),0.0)</f>
        <v>0</v>
      </c>
      <c r="AM11" s="3">
        <f>IFERROR(__xludf.DUMMYFUNCTION("""COMPUTED_VALUE"""),0.0)</f>
        <v>0</v>
      </c>
      <c r="AN11" s="3">
        <f>IFERROR(__xludf.DUMMYFUNCTION("""COMPUTED_VALUE"""),0.0)</f>
        <v>0</v>
      </c>
      <c r="AO11" s="3">
        <f>IFERROR(__xludf.DUMMYFUNCTION("""COMPUTED_VALUE"""),0.0)</f>
        <v>0</v>
      </c>
      <c r="AP11" s="3">
        <f>IFERROR(__xludf.DUMMYFUNCTION("""COMPUTED_VALUE"""),0.0)</f>
        <v>0</v>
      </c>
      <c r="AQ11" s="3">
        <f>IFERROR(__xludf.DUMMYFUNCTION("""COMPUTED_VALUE"""),0.0)</f>
        <v>0</v>
      </c>
      <c r="AR11" s="3">
        <f>IFERROR(__xludf.DUMMYFUNCTION("""COMPUTED_VALUE"""),0.0)</f>
        <v>0</v>
      </c>
      <c r="AS11" s="3">
        <f>IFERROR(__xludf.DUMMYFUNCTION("""COMPUTED_VALUE"""),0.0)</f>
        <v>0</v>
      </c>
      <c r="AT11" s="3">
        <f>IFERROR(__xludf.DUMMYFUNCTION("""COMPUTED_VALUE"""),0.0)</f>
        <v>0</v>
      </c>
      <c r="AU11" s="3">
        <f>IFERROR(__xludf.DUMMYFUNCTION("""COMPUTED_VALUE"""),1.0)</f>
        <v>1</v>
      </c>
      <c r="AV11" s="3">
        <f>IFERROR(__xludf.DUMMYFUNCTION("""COMPUTED_VALUE"""),1.0)</f>
        <v>1</v>
      </c>
      <c r="AW11" s="3">
        <f>IFERROR(__xludf.DUMMYFUNCTION("""COMPUTED_VALUE"""),1.0)</f>
        <v>1</v>
      </c>
      <c r="AX11" s="3">
        <f>IFERROR(__xludf.DUMMYFUNCTION("""COMPUTED_VALUE"""),1.0)</f>
        <v>1</v>
      </c>
      <c r="AY11" s="3">
        <f>IFERROR(__xludf.DUMMYFUNCTION("""COMPUTED_VALUE"""),2.0)</f>
        <v>2</v>
      </c>
      <c r="AZ11" s="3">
        <f>IFERROR(__xludf.DUMMYFUNCTION("""COMPUTED_VALUE"""),2.0)</f>
        <v>2</v>
      </c>
      <c r="BA11" s="3">
        <f>IFERROR(__xludf.DUMMYFUNCTION("""COMPUTED_VALUE"""),2.0)</f>
        <v>2</v>
      </c>
      <c r="BB11" s="3">
        <f>IFERROR(__xludf.DUMMYFUNCTION("""COMPUTED_VALUE"""),2.0)</f>
        <v>2</v>
      </c>
      <c r="BC11" s="3">
        <f>IFERROR(__xludf.DUMMYFUNCTION("""COMPUTED_VALUE"""),2.0)</f>
        <v>2</v>
      </c>
      <c r="BD11" s="3">
        <f>IFERROR(__xludf.DUMMYFUNCTION("""COMPUTED_VALUE"""),2.0)</f>
        <v>2</v>
      </c>
      <c r="BE11" s="3">
        <f>IFERROR(__xludf.DUMMYFUNCTION("""COMPUTED_VALUE"""),2.0)</f>
        <v>2</v>
      </c>
      <c r="BF11" s="3">
        <f>IFERROR(__xludf.DUMMYFUNCTION("""COMPUTED_VALUE"""),2.0)</f>
        <v>2</v>
      </c>
      <c r="BG11" s="3">
        <f>IFERROR(__xludf.DUMMYFUNCTION("""COMPUTED_VALUE"""),2.0)</f>
        <v>2</v>
      </c>
      <c r="BH11" s="3">
        <f>IFERROR(__xludf.DUMMYFUNCTION("""COMPUTED_VALUE"""),4.0)</f>
        <v>4</v>
      </c>
      <c r="BI11" s="3">
        <f>IFERROR(__xludf.DUMMYFUNCTION("""COMPUTED_VALUE"""),5.0)</f>
        <v>5</v>
      </c>
      <c r="BJ11" s="3">
        <f>IFERROR(__xludf.DUMMYFUNCTION("""COMPUTED_VALUE"""),5.0)</f>
        <v>5</v>
      </c>
      <c r="BK11" s="3">
        <f>IFERROR(__xludf.DUMMYFUNCTION("""COMPUTED_VALUE"""),6.0)</f>
        <v>6</v>
      </c>
      <c r="BL11" s="3">
        <f>IFERROR(__xludf.DUMMYFUNCTION("""COMPUTED_VALUE"""),6.0)</f>
        <v>6</v>
      </c>
      <c r="BM11" s="3">
        <f>IFERROR(__xludf.DUMMYFUNCTION("""COMPUTED_VALUE"""),6.0)</f>
        <v>6</v>
      </c>
      <c r="BN11" s="3">
        <f>IFERROR(__xludf.DUMMYFUNCTION("""COMPUTED_VALUE"""),6.0)</f>
        <v>6</v>
      </c>
      <c r="BO11" s="3">
        <f>IFERROR(__xludf.DUMMYFUNCTION("""COMPUTED_VALUE"""),7.0)</f>
        <v>7</v>
      </c>
      <c r="BP11" s="3">
        <f>IFERROR(__xludf.DUMMYFUNCTION("""COMPUTED_VALUE"""),7.0)</f>
        <v>7</v>
      </c>
      <c r="BQ11" s="3">
        <f>IFERROR(__xludf.DUMMYFUNCTION("""COMPUTED_VALUE"""),7.0)</f>
        <v>7</v>
      </c>
      <c r="BR11" s="3">
        <f>IFERROR(__xludf.DUMMYFUNCTION("""COMPUTED_VALUE"""),7.0)</f>
        <v>7</v>
      </c>
      <c r="BS11" s="3">
        <f>IFERROR(__xludf.DUMMYFUNCTION("""COMPUTED_VALUE"""),8.0)</f>
        <v>8</v>
      </c>
      <c r="BT11" s="3">
        <f>IFERROR(__xludf.DUMMYFUNCTION("""COMPUTED_VALUE"""),8.0)</f>
        <v>8</v>
      </c>
      <c r="BU11" s="3">
        <f>IFERROR(__xludf.DUMMYFUNCTION("""COMPUTED_VALUE"""),8.0)</f>
        <v>8</v>
      </c>
      <c r="BV11" s="3">
        <f>IFERROR(__xludf.DUMMYFUNCTION("""COMPUTED_VALUE"""),8.0)</f>
        <v>8</v>
      </c>
      <c r="BW11" s="3">
        <f>IFERROR(__xludf.DUMMYFUNCTION("""COMPUTED_VALUE"""),9.0)</f>
        <v>9</v>
      </c>
      <c r="BX11" s="3">
        <f>IFERROR(__xludf.DUMMYFUNCTION("""COMPUTED_VALUE"""),10.0)</f>
        <v>10</v>
      </c>
      <c r="BY11" s="3">
        <f>IFERROR(__xludf.DUMMYFUNCTION("""COMPUTED_VALUE"""),12.0)</f>
        <v>12</v>
      </c>
      <c r="BZ11" s="3">
        <f>IFERROR(__xludf.DUMMYFUNCTION("""COMPUTED_VALUE"""),12.0)</f>
        <v>12</v>
      </c>
      <c r="CA11" s="3">
        <f>IFERROR(__xludf.DUMMYFUNCTION("""COMPUTED_VALUE"""),16.0)</f>
        <v>16</v>
      </c>
      <c r="CB11" s="3">
        <f>IFERROR(__xludf.DUMMYFUNCTION("""COMPUTED_VALUE"""),18.0)</f>
        <v>18</v>
      </c>
    </row>
    <row r="12">
      <c r="A12" s="3" t="str">
        <f>IFERROR(__xludf.DUMMYFUNCTION("""COMPUTED_VALUE"""),"Northern Territory")</f>
        <v>Northern Territory</v>
      </c>
      <c r="B12" s="3" t="str">
        <f>IFERROR(__xludf.DUMMYFUNCTION("""COMPUTED_VALUE"""),"Australia")</f>
        <v>Australia</v>
      </c>
      <c r="C12" s="3">
        <f>IFERROR(__xludf.DUMMYFUNCTION("""COMPUTED_VALUE"""),-12.4634)</f>
        <v>-12.4634</v>
      </c>
      <c r="D12" s="3">
        <f>IFERROR(__xludf.DUMMYFUNCTION("""COMPUTED_VALUE"""),130.8456)</f>
        <v>130.8456</v>
      </c>
      <c r="E12" s="3">
        <f>IFERROR(__xludf.DUMMYFUNCTION("""COMPUTED_VALUE"""),0.0)</f>
        <v>0</v>
      </c>
      <c r="F12" s="3">
        <f>IFERROR(__xludf.DUMMYFUNCTION("""COMPUTED_VALUE"""),0.0)</f>
        <v>0</v>
      </c>
      <c r="G12" s="3">
        <f>IFERROR(__xludf.DUMMYFUNCTION("""COMPUTED_VALUE"""),0.0)</f>
        <v>0</v>
      </c>
      <c r="H12" s="3">
        <f>IFERROR(__xludf.DUMMYFUNCTION("""COMPUTED_VALUE"""),0.0)</f>
        <v>0</v>
      </c>
      <c r="I12" s="3">
        <f>IFERROR(__xludf.DUMMYFUNCTION("""COMPUTED_VALUE"""),0.0)</f>
        <v>0</v>
      </c>
      <c r="J12" s="3">
        <f>IFERROR(__xludf.DUMMYFUNCTION("""COMPUTED_VALUE"""),0.0)</f>
        <v>0</v>
      </c>
      <c r="K12" s="3">
        <f>IFERROR(__xludf.DUMMYFUNCTION("""COMPUTED_VALUE"""),0.0)</f>
        <v>0</v>
      </c>
      <c r="L12" s="3">
        <f>IFERROR(__xludf.DUMMYFUNCTION("""COMPUTED_VALUE"""),0.0)</f>
        <v>0</v>
      </c>
      <c r="M12" s="3">
        <f>IFERROR(__xludf.DUMMYFUNCTION("""COMPUTED_VALUE"""),0.0)</f>
        <v>0</v>
      </c>
      <c r="N12" s="3">
        <f>IFERROR(__xludf.DUMMYFUNCTION("""COMPUTED_VALUE"""),0.0)</f>
        <v>0</v>
      </c>
      <c r="O12" s="3">
        <f>IFERROR(__xludf.DUMMYFUNCTION("""COMPUTED_VALUE"""),0.0)</f>
        <v>0</v>
      </c>
      <c r="P12" s="3">
        <f>IFERROR(__xludf.DUMMYFUNCTION("""COMPUTED_VALUE"""),0.0)</f>
        <v>0</v>
      </c>
      <c r="Q12" s="3">
        <f>IFERROR(__xludf.DUMMYFUNCTION("""COMPUTED_VALUE"""),0.0)</f>
        <v>0</v>
      </c>
      <c r="R12" s="3">
        <f>IFERROR(__xludf.DUMMYFUNCTION("""COMPUTED_VALUE"""),0.0)</f>
        <v>0</v>
      </c>
      <c r="S12" s="3">
        <f>IFERROR(__xludf.DUMMYFUNCTION("""COMPUTED_VALUE"""),0.0)</f>
        <v>0</v>
      </c>
      <c r="T12" s="3">
        <f>IFERROR(__xludf.DUMMYFUNCTION("""COMPUTED_VALUE"""),0.0)</f>
        <v>0</v>
      </c>
      <c r="U12" s="3">
        <f>IFERROR(__xludf.DUMMYFUNCTION("""COMPUTED_VALUE"""),0.0)</f>
        <v>0</v>
      </c>
      <c r="V12" s="3">
        <f>IFERROR(__xludf.DUMMYFUNCTION("""COMPUTED_VALUE"""),0.0)</f>
        <v>0</v>
      </c>
      <c r="W12" s="3">
        <f>IFERROR(__xludf.DUMMYFUNCTION("""COMPUTED_VALUE"""),0.0)</f>
        <v>0</v>
      </c>
      <c r="X12" s="3">
        <f>IFERROR(__xludf.DUMMYFUNCTION("""COMPUTED_VALUE"""),0.0)</f>
        <v>0</v>
      </c>
      <c r="Y12" s="3">
        <f>IFERROR(__xludf.DUMMYFUNCTION("""COMPUTED_VALUE"""),0.0)</f>
        <v>0</v>
      </c>
      <c r="Z12" s="3">
        <f>IFERROR(__xludf.DUMMYFUNCTION("""COMPUTED_VALUE"""),0.0)</f>
        <v>0</v>
      </c>
      <c r="AA12" s="3">
        <f>IFERROR(__xludf.DUMMYFUNCTION("""COMPUTED_VALUE"""),0.0)</f>
        <v>0</v>
      </c>
      <c r="AB12" s="3">
        <f>IFERROR(__xludf.DUMMYFUNCTION("""COMPUTED_VALUE"""),0.0)</f>
        <v>0</v>
      </c>
      <c r="AC12" s="3">
        <f>IFERROR(__xludf.DUMMYFUNCTION("""COMPUTED_VALUE"""),0.0)</f>
        <v>0</v>
      </c>
      <c r="AD12" s="3">
        <f>IFERROR(__xludf.DUMMYFUNCTION("""COMPUTED_VALUE"""),0.0)</f>
        <v>0</v>
      </c>
      <c r="AE12" s="3">
        <f>IFERROR(__xludf.DUMMYFUNCTION("""COMPUTED_VALUE"""),0.0)</f>
        <v>0</v>
      </c>
      <c r="AF12" s="3">
        <f>IFERROR(__xludf.DUMMYFUNCTION("""COMPUTED_VALUE"""),0.0)</f>
        <v>0</v>
      </c>
      <c r="AG12" s="3">
        <f>IFERROR(__xludf.DUMMYFUNCTION("""COMPUTED_VALUE"""),0.0)</f>
        <v>0</v>
      </c>
      <c r="AH12" s="3">
        <f>IFERROR(__xludf.DUMMYFUNCTION("""COMPUTED_VALUE"""),0.0)</f>
        <v>0</v>
      </c>
      <c r="AI12" s="3">
        <f>IFERROR(__xludf.DUMMYFUNCTION("""COMPUTED_VALUE"""),0.0)</f>
        <v>0</v>
      </c>
      <c r="AJ12" s="3">
        <f>IFERROR(__xludf.DUMMYFUNCTION("""COMPUTED_VALUE"""),0.0)</f>
        <v>0</v>
      </c>
      <c r="AK12" s="3">
        <f>IFERROR(__xludf.DUMMYFUNCTION("""COMPUTED_VALUE"""),0.0)</f>
        <v>0</v>
      </c>
      <c r="AL12" s="3">
        <f>IFERROR(__xludf.DUMMYFUNCTION("""COMPUTED_VALUE"""),0.0)</f>
        <v>0</v>
      </c>
      <c r="AM12" s="3">
        <f>IFERROR(__xludf.DUMMYFUNCTION("""COMPUTED_VALUE"""),0.0)</f>
        <v>0</v>
      </c>
      <c r="AN12" s="3">
        <f>IFERROR(__xludf.DUMMYFUNCTION("""COMPUTED_VALUE"""),0.0)</f>
        <v>0</v>
      </c>
      <c r="AO12" s="3">
        <f>IFERROR(__xludf.DUMMYFUNCTION("""COMPUTED_VALUE"""),0.0)</f>
        <v>0</v>
      </c>
      <c r="AP12" s="3">
        <f>IFERROR(__xludf.DUMMYFUNCTION("""COMPUTED_VALUE"""),0.0)</f>
        <v>0</v>
      </c>
      <c r="AQ12" s="3">
        <f>IFERROR(__xludf.DUMMYFUNCTION("""COMPUTED_VALUE"""),0.0)</f>
        <v>0</v>
      </c>
      <c r="AR12" s="3">
        <f>IFERROR(__xludf.DUMMYFUNCTION("""COMPUTED_VALUE"""),0.0)</f>
        <v>0</v>
      </c>
      <c r="AS12" s="3">
        <f>IFERROR(__xludf.DUMMYFUNCTION("""COMPUTED_VALUE"""),0.0)</f>
        <v>0</v>
      </c>
      <c r="AT12" s="3">
        <f>IFERROR(__xludf.DUMMYFUNCTION("""COMPUTED_VALUE"""),0.0)</f>
        <v>0</v>
      </c>
      <c r="AU12" s="3">
        <f>IFERROR(__xludf.DUMMYFUNCTION("""COMPUTED_VALUE"""),0.0)</f>
        <v>0</v>
      </c>
      <c r="AV12" s="3">
        <f>IFERROR(__xludf.DUMMYFUNCTION("""COMPUTED_VALUE"""),0.0)</f>
        <v>0</v>
      </c>
      <c r="AW12" s="3">
        <f>IFERROR(__xludf.DUMMYFUNCTION("""COMPUTED_VALUE"""),0.0)</f>
        <v>0</v>
      </c>
      <c r="AX12" s="3">
        <f>IFERROR(__xludf.DUMMYFUNCTION("""COMPUTED_VALUE"""),0.0)</f>
        <v>0</v>
      </c>
      <c r="AY12" s="3">
        <f>IFERROR(__xludf.DUMMYFUNCTION("""COMPUTED_VALUE"""),0.0)</f>
        <v>0</v>
      </c>
      <c r="AZ12" s="3">
        <f>IFERROR(__xludf.DUMMYFUNCTION("""COMPUTED_VALUE"""),0.0)</f>
        <v>0</v>
      </c>
      <c r="BA12" s="3">
        <f>IFERROR(__xludf.DUMMYFUNCTION("""COMPUTED_VALUE"""),0.0)</f>
        <v>0</v>
      </c>
      <c r="BB12" s="3">
        <f>IFERROR(__xludf.DUMMYFUNCTION("""COMPUTED_VALUE"""),0.0)</f>
        <v>0</v>
      </c>
      <c r="BC12" s="3">
        <f>IFERROR(__xludf.DUMMYFUNCTION("""COMPUTED_VALUE"""),0.0)</f>
        <v>0</v>
      </c>
      <c r="BD12" s="3">
        <f>IFERROR(__xludf.DUMMYFUNCTION("""COMPUTED_VALUE"""),0.0)</f>
        <v>0</v>
      </c>
      <c r="BE12" s="3">
        <f>IFERROR(__xludf.DUMMYFUNCTION("""COMPUTED_VALUE"""),0.0)</f>
        <v>0</v>
      </c>
      <c r="BF12" s="3">
        <f>IFERROR(__xludf.DUMMYFUNCTION("""COMPUTED_VALUE"""),0.0)</f>
        <v>0</v>
      </c>
      <c r="BG12" s="3">
        <f>IFERROR(__xludf.DUMMYFUNCTION("""COMPUTED_VALUE"""),0.0)</f>
        <v>0</v>
      </c>
      <c r="BH12" s="3">
        <f>IFERROR(__xludf.DUMMYFUNCTION("""COMPUTED_VALUE"""),0.0)</f>
        <v>0</v>
      </c>
      <c r="BI12" s="3">
        <f>IFERROR(__xludf.DUMMYFUNCTION("""COMPUTED_VALUE"""),0.0)</f>
        <v>0</v>
      </c>
      <c r="BJ12" s="3">
        <f>IFERROR(__xludf.DUMMYFUNCTION("""COMPUTED_VALUE"""),0.0)</f>
        <v>0</v>
      </c>
      <c r="BK12" s="3">
        <f>IFERROR(__xludf.DUMMYFUNCTION("""COMPUTED_VALUE"""),0.0)</f>
        <v>0</v>
      </c>
      <c r="BL12" s="3">
        <f>IFERROR(__xludf.DUMMYFUNCTION("""COMPUTED_VALUE"""),0.0)</f>
        <v>0</v>
      </c>
      <c r="BM12" s="3">
        <f>IFERROR(__xludf.DUMMYFUNCTION("""COMPUTED_VALUE"""),0.0)</f>
        <v>0</v>
      </c>
      <c r="BN12" s="3">
        <f>IFERROR(__xludf.DUMMYFUNCTION("""COMPUTED_VALUE"""),0.0)</f>
        <v>0</v>
      </c>
      <c r="BO12" s="3">
        <f>IFERROR(__xludf.DUMMYFUNCTION("""COMPUTED_VALUE"""),0.0)</f>
        <v>0</v>
      </c>
      <c r="BP12" s="3">
        <f>IFERROR(__xludf.DUMMYFUNCTION("""COMPUTED_VALUE"""),0.0)</f>
        <v>0</v>
      </c>
      <c r="BQ12" s="3">
        <f>IFERROR(__xludf.DUMMYFUNCTION("""COMPUTED_VALUE"""),0.0)</f>
        <v>0</v>
      </c>
      <c r="BR12" s="3">
        <f>IFERROR(__xludf.DUMMYFUNCTION("""COMPUTED_VALUE"""),0.0)</f>
        <v>0</v>
      </c>
      <c r="BS12" s="3">
        <f>IFERROR(__xludf.DUMMYFUNCTION("""COMPUTED_VALUE"""),0.0)</f>
        <v>0</v>
      </c>
      <c r="BT12" s="3">
        <f>IFERROR(__xludf.DUMMYFUNCTION("""COMPUTED_VALUE"""),0.0)</f>
        <v>0</v>
      </c>
      <c r="BU12" s="3">
        <f>IFERROR(__xludf.DUMMYFUNCTION("""COMPUTED_VALUE"""),0.0)</f>
        <v>0</v>
      </c>
      <c r="BV12" s="3">
        <f>IFERROR(__xludf.DUMMYFUNCTION("""COMPUTED_VALUE"""),0.0)</f>
        <v>0</v>
      </c>
      <c r="BW12" s="3">
        <f>IFERROR(__xludf.DUMMYFUNCTION("""COMPUTED_VALUE"""),0.0)</f>
        <v>0</v>
      </c>
      <c r="BX12" s="3">
        <f>IFERROR(__xludf.DUMMYFUNCTION("""COMPUTED_VALUE"""),0.0)</f>
        <v>0</v>
      </c>
      <c r="BY12" s="3">
        <f>IFERROR(__xludf.DUMMYFUNCTION("""COMPUTED_VALUE"""),0.0)</f>
        <v>0</v>
      </c>
      <c r="BZ12" s="3">
        <f>IFERROR(__xludf.DUMMYFUNCTION("""COMPUTED_VALUE"""),0.0)</f>
        <v>0</v>
      </c>
      <c r="CA12" s="3">
        <f>IFERROR(__xludf.DUMMYFUNCTION("""COMPUTED_VALUE"""),0.0)</f>
        <v>0</v>
      </c>
      <c r="CB12" s="3">
        <f>IFERROR(__xludf.DUMMYFUNCTION("""COMPUTED_VALUE"""),0.0)</f>
        <v>0</v>
      </c>
    </row>
    <row r="13">
      <c r="A13" s="3" t="str">
        <f>IFERROR(__xludf.DUMMYFUNCTION("""COMPUTED_VALUE"""),"Queensland")</f>
        <v>Queensland</v>
      </c>
      <c r="B13" s="3" t="str">
        <f>IFERROR(__xludf.DUMMYFUNCTION("""COMPUTED_VALUE"""),"Australia")</f>
        <v>Australia</v>
      </c>
      <c r="C13" s="3">
        <f>IFERROR(__xludf.DUMMYFUNCTION("""COMPUTED_VALUE"""),-28.0167)</f>
        <v>-28.0167</v>
      </c>
      <c r="D13" s="3">
        <f>IFERROR(__xludf.DUMMYFUNCTION("""COMPUTED_VALUE"""),153.4)</f>
        <v>153.4</v>
      </c>
      <c r="E13" s="3">
        <f>IFERROR(__xludf.DUMMYFUNCTION("""COMPUTED_VALUE"""),0.0)</f>
        <v>0</v>
      </c>
      <c r="F13" s="3">
        <f>IFERROR(__xludf.DUMMYFUNCTION("""COMPUTED_VALUE"""),0.0)</f>
        <v>0</v>
      </c>
      <c r="G13" s="3">
        <f>IFERROR(__xludf.DUMMYFUNCTION("""COMPUTED_VALUE"""),0.0)</f>
        <v>0</v>
      </c>
      <c r="H13" s="3">
        <f>IFERROR(__xludf.DUMMYFUNCTION("""COMPUTED_VALUE"""),0.0)</f>
        <v>0</v>
      </c>
      <c r="I13" s="3">
        <f>IFERROR(__xludf.DUMMYFUNCTION("""COMPUTED_VALUE"""),0.0)</f>
        <v>0</v>
      </c>
      <c r="J13" s="3">
        <f>IFERROR(__xludf.DUMMYFUNCTION("""COMPUTED_VALUE"""),0.0)</f>
        <v>0</v>
      </c>
      <c r="K13" s="3">
        <f>IFERROR(__xludf.DUMMYFUNCTION("""COMPUTED_VALUE"""),0.0)</f>
        <v>0</v>
      </c>
      <c r="L13" s="3">
        <f>IFERROR(__xludf.DUMMYFUNCTION("""COMPUTED_VALUE"""),0.0)</f>
        <v>0</v>
      </c>
      <c r="M13" s="3">
        <f>IFERROR(__xludf.DUMMYFUNCTION("""COMPUTED_VALUE"""),0.0)</f>
        <v>0</v>
      </c>
      <c r="N13" s="3">
        <f>IFERROR(__xludf.DUMMYFUNCTION("""COMPUTED_VALUE"""),0.0)</f>
        <v>0</v>
      </c>
      <c r="O13" s="3">
        <f>IFERROR(__xludf.DUMMYFUNCTION("""COMPUTED_VALUE"""),0.0)</f>
        <v>0</v>
      </c>
      <c r="P13" s="3">
        <f>IFERROR(__xludf.DUMMYFUNCTION("""COMPUTED_VALUE"""),0.0)</f>
        <v>0</v>
      </c>
      <c r="Q13" s="3">
        <f>IFERROR(__xludf.DUMMYFUNCTION("""COMPUTED_VALUE"""),0.0)</f>
        <v>0</v>
      </c>
      <c r="R13" s="3">
        <f>IFERROR(__xludf.DUMMYFUNCTION("""COMPUTED_VALUE"""),0.0)</f>
        <v>0</v>
      </c>
      <c r="S13" s="3">
        <f>IFERROR(__xludf.DUMMYFUNCTION("""COMPUTED_VALUE"""),0.0)</f>
        <v>0</v>
      </c>
      <c r="T13" s="3">
        <f>IFERROR(__xludf.DUMMYFUNCTION("""COMPUTED_VALUE"""),0.0)</f>
        <v>0</v>
      </c>
      <c r="U13" s="3">
        <f>IFERROR(__xludf.DUMMYFUNCTION("""COMPUTED_VALUE"""),0.0)</f>
        <v>0</v>
      </c>
      <c r="V13" s="3">
        <f>IFERROR(__xludf.DUMMYFUNCTION("""COMPUTED_VALUE"""),0.0)</f>
        <v>0</v>
      </c>
      <c r="W13" s="3">
        <f>IFERROR(__xludf.DUMMYFUNCTION("""COMPUTED_VALUE"""),0.0)</f>
        <v>0</v>
      </c>
      <c r="X13" s="3">
        <f>IFERROR(__xludf.DUMMYFUNCTION("""COMPUTED_VALUE"""),0.0)</f>
        <v>0</v>
      </c>
      <c r="Y13" s="3">
        <f>IFERROR(__xludf.DUMMYFUNCTION("""COMPUTED_VALUE"""),0.0)</f>
        <v>0</v>
      </c>
      <c r="Z13" s="3">
        <f>IFERROR(__xludf.DUMMYFUNCTION("""COMPUTED_VALUE"""),0.0)</f>
        <v>0</v>
      </c>
      <c r="AA13" s="3">
        <f>IFERROR(__xludf.DUMMYFUNCTION("""COMPUTED_VALUE"""),0.0)</f>
        <v>0</v>
      </c>
      <c r="AB13" s="3">
        <f>IFERROR(__xludf.DUMMYFUNCTION("""COMPUTED_VALUE"""),0.0)</f>
        <v>0</v>
      </c>
      <c r="AC13" s="3">
        <f>IFERROR(__xludf.DUMMYFUNCTION("""COMPUTED_VALUE"""),0.0)</f>
        <v>0</v>
      </c>
      <c r="AD13" s="3">
        <f>IFERROR(__xludf.DUMMYFUNCTION("""COMPUTED_VALUE"""),0.0)</f>
        <v>0</v>
      </c>
      <c r="AE13" s="3">
        <f>IFERROR(__xludf.DUMMYFUNCTION("""COMPUTED_VALUE"""),0.0)</f>
        <v>0</v>
      </c>
      <c r="AF13" s="3">
        <f>IFERROR(__xludf.DUMMYFUNCTION("""COMPUTED_VALUE"""),0.0)</f>
        <v>0</v>
      </c>
      <c r="AG13" s="3">
        <f>IFERROR(__xludf.DUMMYFUNCTION("""COMPUTED_VALUE"""),0.0)</f>
        <v>0</v>
      </c>
      <c r="AH13" s="3">
        <f>IFERROR(__xludf.DUMMYFUNCTION("""COMPUTED_VALUE"""),0.0)</f>
        <v>0</v>
      </c>
      <c r="AI13" s="3">
        <f>IFERROR(__xludf.DUMMYFUNCTION("""COMPUTED_VALUE"""),0.0)</f>
        <v>0</v>
      </c>
      <c r="AJ13" s="3">
        <f>IFERROR(__xludf.DUMMYFUNCTION("""COMPUTED_VALUE"""),0.0)</f>
        <v>0</v>
      </c>
      <c r="AK13" s="3">
        <f>IFERROR(__xludf.DUMMYFUNCTION("""COMPUTED_VALUE"""),0.0)</f>
        <v>0</v>
      </c>
      <c r="AL13" s="3">
        <f>IFERROR(__xludf.DUMMYFUNCTION("""COMPUTED_VALUE"""),0.0)</f>
        <v>0</v>
      </c>
      <c r="AM13" s="3">
        <f>IFERROR(__xludf.DUMMYFUNCTION("""COMPUTED_VALUE"""),0.0)</f>
        <v>0</v>
      </c>
      <c r="AN13" s="3">
        <f>IFERROR(__xludf.DUMMYFUNCTION("""COMPUTED_VALUE"""),0.0)</f>
        <v>0</v>
      </c>
      <c r="AO13" s="3">
        <f>IFERROR(__xludf.DUMMYFUNCTION("""COMPUTED_VALUE"""),0.0)</f>
        <v>0</v>
      </c>
      <c r="AP13" s="3">
        <f>IFERROR(__xludf.DUMMYFUNCTION("""COMPUTED_VALUE"""),0.0)</f>
        <v>0</v>
      </c>
      <c r="AQ13" s="3">
        <f>IFERROR(__xludf.DUMMYFUNCTION("""COMPUTED_VALUE"""),0.0)</f>
        <v>0</v>
      </c>
      <c r="AR13" s="3">
        <f>IFERROR(__xludf.DUMMYFUNCTION("""COMPUTED_VALUE"""),0.0)</f>
        <v>0</v>
      </c>
      <c r="AS13" s="3">
        <f>IFERROR(__xludf.DUMMYFUNCTION("""COMPUTED_VALUE"""),0.0)</f>
        <v>0</v>
      </c>
      <c r="AT13" s="3">
        <f>IFERROR(__xludf.DUMMYFUNCTION("""COMPUTED_VALUE"""),0.0)</f>
        <v>0</v>
      </c>
      <c r="AU13" s="3">
        <f>IFERROR(__xludf.DUMMYFUNCTION("""COMPUTED_VALUE"""),0.0)</f>
        <v>0</v>
      </c>
      <c r="AV13" s="3">
        <f>IFERROR(__xludf.DUMMYFUNCTION("""COMPUTED_VALUE"""),0.0)</f>
        <v>0</v>
      </c>
      <c r="AW13" s="3">
        <f>IFERROR(__xludf.DUMMYFUNCTION("""COMPUTED_VALUE"""),0.0)</f>
        <v>0</v>
      </c>
      <c r="AX13" s="3">
        <f>IFERROR(__xludf.DUMMYFUNCTION("""COMPUTED_VALUE"""),0.0)</f>
        <v>0</v>
      </c>
      <c r="AY13" s="3">
        <f>IFERROR(__xludf.DUMMYFUNCTION("""COMPUTED_VALUE"""),0.0)</f>
        <v>0</v>
      </c>
      <c r="AZ13" s="3">
        <f>IFERROR(__xludf.DUMMYFUNCTION("""COMPUTED_VALUE"""),0.0)</f>
        <v>0</v>
      </c>
      <c r="BA13" s="3">
        <f>IFERROR(__xludf.DUMMYFUNCTION("""COMPUTED_VALUE"""),0.0)</f>
        <v>0</v>
      </c>
      <c r="BB13" s="3">
        <f>IFERROR(__xludf.DUMMYFUNCTION("""COMPUTED_VALUE"""),0.0)</f>
        <v>0</v>
      </c>
      <c r="BC13" s="3">
        <f>IFERROR(__xludf.DUMMYFUNCTION("""COMPUTED_VALUE"""),0.0)</f>
        <v>0</v>
      </c>
      <c r="BD13" s="3">
        <f>IFERROR(__xludf.DUMMYFUNCTION("""COMPUTED_VALUE"""),0.0)</f>
        <v>0</v>
      </c>
      <c r="BE13" s="3">
        <f>IFERROR(__xludf.DUMMYFUNCTION("""COMPUTED_VALUE"""),0.0)</f>
        <v>0</v>
      </c>
      <c r="BF13" s="3">
        <f>IFERROR(__xludf.DUMMYFUNCTION("""COMPUTED_VALUE"""),0.0)</f>
        <v>0</v>
      </c>
      <c r="BG13" s="3">
        <f>IFERROR(__xludf.DUMMYFUNCTION("""COMPUTED_VALUE"""),0.0)</f>
        <v>0</v>
      </c>
      <c r="BH13" s="3">
        <f>IFERROR(__xludf.DUMMYFUNCTION("""COMPUTED_VALUE"""),0.0)</f>
        <v>0</v>
      </c>
      <c r="BI13" s="3">
        <f>IFERROR(__xludf.DUMMYFUNCTION("""COMPUTED_VALUE"""),0.0)</f>
        <v>0</v>
      </c>
      <c r="BJ13" s="3">
        <f>IFERROR(__xludf.DUMMYFUNCTION("""COMPUTED_VALUE"""),0.0)</f>
        <v>0</v>
      </c>
      <c r="BK13" s="3">
        <f>IFERROR(__xludf.DUMMYFUNCTION("""COMPUTED_VALUE"""),0.0)</f>
        <v>0</v>
      </c>
      <c r="BL13" s="3">
        <f>IFERROR(__xludf.DUMMYFUNCTION("""COMPUTED_VALUE"""),0.0)</f>
        <v>0</v>
      </c>
      <c r="BM13" s="3">
        <f>IFERROR(__xludf.DUMMYFUNCTION("""COMPUTED_VALUE"""),0.0)</f>
        <v>0</v>
      </c>
      <c r="BN13" s="3">
        <f>IFERROR(__xludf.DUMMYFUNCTION("""COMPUTED_VALUE"""),0.0)</f>
        <v>0</v>
      </c>
      <c r="BO13" s="3">
        <f>IFERROR(__xludf.DUMMYFUNCTION("""COMPUTED_VALUE"""),0.0)</f>
        <v>0</v>
      </c>
      <c r="BP13" s="3">
        <f>IFERROR(__xludf.DUMMYFUNCTION("""COMPUTED_VALUE"""),0.0)</f>
        <v>0</v>
      </c>
      <c r="BQ13" s="3">
        <f>IFERROR(__xludf.DUMMYFUNCTION("""COMPUTED_VALUE"""),1.0)</f>
        <v>1</v>
      </c>
      <c r="BR13" s="3">
        <f>IFERROR(__xludf.DUMMYFUNCTION("""COMPUTED_VALUE"""),1.0)</f>
        <v>1</v>
      </c>
      <c r="BS13" s="3">
        <f>IFERROR(__xludf.DUMMYFUNCTION("""COMPUTED_VALUE"""),1.0)</f>
        <v>1</v>
      </c>
      <c r="BT13" s="3">
        <f>IFERROR(__xludf.DUMMYFUNCTION("""COMPUTED_VALUE"""),2.0)</f>
        <v>2</v>
      </c>
      <c r="BU13" s="3">
        <f>IFERROR(__xludf.DUMMYFUNCTION("""COMPUTED_VALUE"""),2.0)</f>
        <v>2</v>
      </c>
      <c r="BV13" s="3">
        <f>IFERROR(__xludf.DUMMYFUNCTION("""COMPUTED_VALUE"""),2.0)</f>
        <v>2</v>
      </c>
      <c r="BW13" s="3">
        <f>IFERROR(__xludf.DUMMYFUNCTION("""COMPUTED_VALUE"""),2.0)</f>
        <v>2</v>
      </c>
      <c r="BX13" s="3">
        <f>IFERROR(__xludf.DUMMYFUNCTION("""COMPUTED_VALUE"""),4.0)</f>
        <v>4</v>
      </c>
      <c r="BY13" s="3">
        <f>IFERROR(__xludf.DUMMYFUNCTION("""COMPUTED_VALUE"""),4.0)</f>
        <v>4</v>
      </c>
      <c r="BZ13" s="3">
        <f>IFERROR(__xludf.DUMMYFUNCTION("""COMPUTED_VALUE"""),4.0)</f>
        <v>4</v>
      </c>
      <c r="CA13" s="3">
        <f>IFERROR(__xludf.DUMMYFUNCTION("""COMPUTED_VALUE"""),4.0)</f>
        <v>4</v>
      </c>
      <c r="CB13" s="3">
        <f>IFERROR(__xludf.DUMMYFUNCTION("""COMPUTED_VALUE"""),4.0)</f>
        <v>4</v>
      </c>
    </row>
    <row r="14">
      <c r="A14" s="3" t="str">
        <f>IFERROR(__xludf.DUMMYFUNCTION("""COMPUTED_VALUE"""),"South Australia")</f>
        <v>South Australia</v>
      </c>
      <c r="B14" s="3" t="str">
        <f>IFERROR(__xludf.DUMMYFUNCTION("""COMPUTED_VALUE"""),"Australia")</f>
        <v>Australia</v>
      </c>
      <c r="C14" s="3">
        <f>IFERROR(__xludf.DUMMYFUNCTION("""COMPUTED_VALUE"""),-34.9285)</f>
        <v>-34.9285</v>
      </c>
      <c r="D14" s="3">
        <f>IFERROR(__xludf.DUMMYFUNCTION("""COMPUTED_VALUE"""),138.6007)</f>
        <v>138.6007</v>
      </c>
      <c r="E14" s="3">
        <f>IFERROR(__xludf.DUMMYFUNCTION("""COMPUTED_VALUE"""),0.0)</f>
        <v>0</v>
      </c>
      <c r="F14" s="3">
        <f>IFERROR(__xludf.DUMMYFUNCTION("""COMPUTED_VALUE"""),0.0)</f>
        <v>0</v>
      </c>
      <c r="G14" s="3">
        <f>IFERROR(__xludf.DUMMYFUNCTION("""COMPUTED_VALUE"""),0.0)</f>
        <v>0</v>
      </c>
      <c r="H14" s="3">
        <f>IFERROR(__xludf.DUMMYFUNCTION("""COMPUTED_VALUE"""),0.0)</f>
        <v>0</v>
      </c>
      <c r="I14" s="3">
        <f>IFERROR(__xludf.DUMMYFUNCTION("""COMPUTED_VALUE"""),0.0)</f>
        <v>0</v>
      </c>
      <c r="J14" s="3">
        <f>IFERROR(__xludf.DUMMYFUNCTION("""COMPUTED_VALUE"""),0.0)</f>
        <v>0</v>
      </c>
      <c r="K14" s="3">
        <f>IFERROR(__xludf.DUMMYFUNCTION("""COMPUTED_VALUE"""),0.0)</f>
        <v>0</v>
      </c>
      <c r="L14" s="3">
        <f>IFERROR(__xludf.DUMMYFUNCTION("""COMPUTED_VALUE"""),0.0)</f>
        <v>0</v>
      </c>
      <c r="M14" s="3">
        <f>IFERROR(__xludf.DUMMYFUNCTION("""COMPUTED_VALUE"""),0.0)</f>
        <v>0</v>
      </c>
      <c r="N14" s="3">
        <f>IFERROR(__xludf.DUMMYFUNCTION("""COMPUTED_VALUE"""),0.0)</f>
        <v>0</v>
      </c>
      <c r="O14" s="3">
        <f>IFERROR(__xludf.DUMMYFUNCTION("""COMPUTED_VALUE"""),0.0)</f>
        <v>0</v>
      </c>
      <c r="P14" s="3">
        <f>IFERROR(__xludf.DUMMYFUNCTION("""COMPUTED_VALUE"""),0.0)</f>
        <v>0</v>
      </c>
      <c r="Q14" s="3">
        <f>IFERROR(__xludf.DUMMYFUNCTION("""COMPUTED_VALUE"""),0.0)</f>
        <v>0</v>
      </c>
      <c r="R14" s="3">
        <f>IFERROR(__xludf.DUMMYFUNCTION("""COMPUTED_VALUE"""),0.0)</f>
        <v>0</v>
      </c>
      <c r="S14" s="3">
        <f>IFERROR(__xludf.DUMMYFUNCTION("""COMPUTED_VALUE"""),0.0)</f>
        <v>0</v>
      </c>
      <c r="T14" s="3">
        <f>IFERROR(__xludf.DUMMYFUNCTION("""COMPUTED_VALUE"""),0.0)</f>
        <v>0</v>
      </c>
      <c r="U14" s="3">
        <f>IFERROR(__xludf.DUMMYFUNCTION("""COMPUTED_VALUE"""),0.0)</f>
        <v>0</v>
      </c>
      <c r="V14" s="3">
        <f>IFERROR(__xludf.DUMMYFUNCTION("""COMPUTED_VALUE"""),0.0)</f>
        <v>0</v>
      </c>
      <c r="W14" s="3">
        <f>IFERROR(__xludf.DUMMYFUNCTION("""COMPUTED_VALUE"""),0.0)</f>
        <v>0</v>
      </c>
      <c r="X14" s="3">
        <f>IFERROR(__xludf.DUMMYFUNCTION("""COMPUTED_VALUE"""),0.0)</f>
        <v>0</v>
      </c>
      <c r="Y14" s="3">
        <f>IFERROR(__xludf.DUMMYFUNCTION("""COMPUTED_VALUE"""),0.0)</f>
        <v>0</v>
      </c>
      <c r="Z14" s="3">
        <f>IFERROR(__xludf.DUMMYFUNCTION("""COMPUTED_VALUE"""),0.0)</f>
        <v>0</v>
      </c>
      <c r="AA14" s="3">
        <f>IFERROR(__xludf.DUMMYFUNCTION("""COMPUTED_VALUE"""),0.0)</f>
        <v>0</v>
      </c>
      <c r="AB14" s="3">
        <f>IFERROR(__xludf.DUMMYFUNCTION("""COMPUTED_VALUE"""),0.0)</f>
        <v>0</v>
      </c>
      <c r="AC14" s="3">
        <f>IFERROR(__xludf.DUMMYFUNCTION("""COMPUTED_VALUE"""),0.0)</f>
        <v>0</v>
      </c>
      <c r="AD14" s="3">
        <f>IFERROR(__xludf.DUMMYFUNCTION("""COMPUTED_VALUE"""),0.0)</f>
        <v>0</v>
      </c>
      <c r="AE14" s="3">
        <f>IFERROR(__xludf.DUMMYFUNCTION("""COMPUTED_VALUE"""),0.0)</f>
        <v>0</v>
      </c>
      <c r="AF14" s="3">
        <f>IFERROR(__xludf.DUMMYFUNCTION("""COMPUTED_VALUE"""),0.0)</f>
        <v>0</v>
      </c>
      <c r="AG14" s="3">
        <f>IFERROR(__xludf.DUMMYFUNCTION("""COMPUTED_VALUE"""),0.0)</f>
        <v>0</v>
      </c>
      <c r="AH14" s="3">
        <f>IFERROR(__xludf.DUMMYFUNCTION("""COMPUTED_VALUE"""),0.0)</f>
        <v>0</v>
      </c>
      <c r="AI14" s="3">
        <f>IFERROR(__xludf.DUMMYFUNCTION("""COMPUTED_VALUE"""),0.0)</f>
        <v>0</v>
      </c>
      <c r="AJ14" s="3">
        <f>IFERROR(__xludf.DUMMYFUNCTION("""COMPUTED_VALUE"""),0.0)</f>
        <v>0</v>
      </c>
      <c r="AK14" s="3">
        <f>IFERROR(__xludf.DUMMYFUNCTION("""COMPUTED_VALUE"""),0.0)</f>
        <v>0</v>
      </c>
      <c r="AL14" s="3">
        <f>IFERROR(__xludf.DUMMYFUNCTION("""COMPUTED_VALUE"""),0.0)</f>
        <v>0</v>
      </c>
      <c r="AM14" s="3">
        <f>IFERROR(__xludf.DUMMYFUNCTION("""COMPUTED_VALUE"""),0.0)</f>
        <v>0</v>
      </c>
      <c r="AN14" s="3">
        <f>IFERROR(__xludf.DUMMYFUNCTION("""COMPUTED_VALUE"""),0.0)</f>
        <v>0</v>
      </c>
      <c r="AO14" s="3">
        <f>IFERROR(__xludf.DUMMYFUNCTION("""COMPUTED_VALUE"""),0.0)</f>
        <v>0</v>
      </c>
      <c r="AP14" s="3">
        <f>IFERROR(__xludf.DUMMYFUNCTION("""COMPUTED_VALUE"""),0.0)</f>
        <v>0</v>
      </c>
      <c r="AQ14" s="3">
        <f>IFERROR(__xludf.DUMMYFUNCTION("""COMPUTED_VALUE"""),0.0)</f>
        <v>0</v>
      </c>
      <c r="AR14" s="3">
        <f>IFERROR(__xludf.DUMMYFUNCTION("""COMPUTED_VALUE"""),0.0)</f>
        <v>0</v>
      </c>
      <c r="AS14" s="3">
        <f>IFERROR(__xludf.DUMMYFUNCTION("""COMPUTED_VALUE"""),0.0)</f>
        <v>0</v>
      </c>
      <c r="AT14" s="3">
        <f>IFERROR(__xludf.DUMMYFUNCTION("""COMPUTED_VALUE"""),0.0)</f>
        <v>0</v>
      </c>
      <c r="AU14" s="3">
        <f>IFERROR(__xludf.DUMMYFUNCTION("""COMPUTED_VALUE"""),0.0)</f>
        <v>0</v>
      </c>
      <c r="AV14" s="3">
        <f>IFERROR(__xludf.DUMMYFUNCTION("""COMPUTED_VALUE"""),0.0)</f>
        <v>0</v>
      </c>
      <c r="AW14" s="3">
        <f>IFERROR(__xludf.DUMMYFUNCTION("""COMPUTED_VALUE"""),0.0)</f>
        <v>0</v>
      </c>
      <c r="AX14" s="3">
        <f>IFERROR(__xludf.DUMMYFUNCTION("""COMPUTED_VALUE"""),0.0)</f>
        <v>0</v>
      </c>
      <c r="AY14" s="3">
        <f>IFERROR(__xludf.DUMMYFUNCTION("""COMPUTED_VALUE"""),0.0)</f>
        <v>0</v>
      </c>
      <c r="AZ14" s="3">
        <f>IFERROR(__xludf.DUMMYFUNCTION("""COMPUTED_VALUE"""),0.0)</f>
        <v>0</v>
      </c>
      <c r="BA14" s="3">
        <f>IFERROR(__xludf.DUMMYFUNCTION("""COMPUTED_VALUE"""),0.0)</f>
        <v>0</v>
      </c>
      <c r="BB14" s="3">
        <f>IFERROR(__xludf.DUMMYFUNCTION("""COMPUTED_VALUE"""),0.0)</f>
        <v>0</v>
      </c>
      <c r="BC14" s="3">
        <f>IFERROR(__xludf.DUMMYFUNCTION("""COMPUTED_VALUE"""),0.0)</f>
        <v>0</v>
      </c>
      <c r="BD14" s="3">
        <f>IFERROR(__xludf.DUMMYFUNCTION("""COMPUTED_VALUE"""),0.0)</f>
        <v>0</v>
      </c>
      <c r="BE14" s="3">
        <f>IFERROR(__xludf.DUMMYFUNCTION("""COMPUTED_VALUE"""),0.0)</f>
        <v>0</v>
      </c>
      <c r="BF14" s="3">
        <f>IFERROR(__xludf.DUMMYFUNCTION("""COMPUTED_VALUE"""),0.0)</f>
        <v>0</v>
      </c>
      <c r="BG14" s="3">
        <f>IFERROR(__xludf.DUMMYFUNCTION("""COMPUTED_VALUE"""),0.0)</f>
        <v>0</v>
      </c>
      <c r="BH14" s="3">
        <f>IFERROR(__xludf.DUMMYFUNCTION("""COMPUTED_VALUE"""),0.0)</f>
        <v>0</v>
      </c>
      <c r="BI14" s="3">
        <f>IFERROR(__xludf.DUMMYFUNCTION("""COMPUTED_VALUE"""),0.0)</f>
        <v>0</v>
      </c>
      <c r="BJ14" s="3">
        <f>IFERROR(__xludf.DUMMYFUNCTION("""COMPUTED_VALUE"""),0.0)</f>
        <v>0</v>
      </c>
      <c r="BK14" s="3">
        <f>IFERROR(__xludf.DUMMYFUNCTION("""COMPUTED_VALUE"""),0.0)</f>
        <v>0</v>
      </c>
      <c r="BL14" s="3">
        <f>IFERROR(__xludf.DUMMYFUNCTION("""COMPUTED_VALUE"""),0.0)</f>
        <v>0</v>
      </c>
      <c r="BM14" s="3">
        <f>IFERROR(__xludf.DUMMYFUNCTION("""COMPUTED_VALUE"""),0.0)</f>
        <v>0</v>
      </c>
      <c r="BN14" s="3">
        <f>IFERROR(__xludf.DUMMYFUNCTION("""COMPUTED_VALUE"""),0.0)</f>
        <v>0</v>
      </c>
      <c r="BO14" s="3">
        <f>IFERROR(__xludf.DUMMYFUNCTION("""COMPUTED_VALUE"""),0.0)</f>
        <v>0</v>
      </c>
      <c r="BP14" s="3">
        <f>IFERROR(__xludf.DUMMYFUNCTION("""COMPUTED_VALUE"""),0.0)</f>
        <v>0</v>
      </c>
      <c r="BQ14" s="3">
        <f>IFERROR(__xludf.DUMMYFUNCTION("""COMPUTED_VALUE"""),0.0)</f>
        <v>0</v>
      </c>
      <c r="BR14" s="3">
        <f>IFERROR(__xludf.DUMMYFUNCTION("""COMPUTED_VALUE"""),0.0)</f>
        <v>0</v>
      </c>
      <c r="BS14" s="3">
        <f>IFERROR(__xludf.DUMMYFUNCTION("""COMPUTED_VALUE"""),0.0)</f>
        <v>0</v>
      </c>
      <c r="BT14" s="3">
        <f>IFERROR(__xludf.DUMMYFUNCTION("""COMPUTED_VALUE"""),0.0)</f>
        <v>0</v>
      </c>
      <c r="BU14" s="3">
        <f>IFERROR(__xludf.DUMMYFUNCTION("""COMPUTED_VALUE"""),0.0)</f>
        <v>0</v>
      </c>
      <c r="BV14" s="3">
        <f>IFERROR(__xludf.DUMMYFUNCTION("""COMPUTED_VALUE"""),0.0)</f>
        <v>0</v>
      </c>
      <c r="BW14" s="3">
        <f>IFERROR(__xludf.DUMMYFUNCTION("""COMPUTED_VALUE"""),0.0)</f>
        <v>0</v>
      </c>
      <c r="BX14" s="3">
        <f>IFERROR(__xludf.DUMMYFUNCTION("""COMPUTED_VALUE"""),0.0)</f>
        <v>0</v>
      </c>
      <c r="BY14" s="3">
        <f>IFERROR(__xludf.DUMMYFUNCTION("""COMPUTED_VALUE"""),0.0)</f>
        <v>0</v>
      </c>
      <c r="BZ14" s="3">
        <f>IFERROR(__xludf.DUMMYFUNCTION("""COMPUTED_VALUE"""),0.0)</f>
        <v>0</v>
      </c>
      <c r="CA14" s="3">
        <f>IFERROR(__xludf.DUMMYFUNCTION("""COMPUTED_VALUE"""),0.0)</f>
        <v>0</v>
      </c>
      <c r="CB14" s="3">
        <f>IFERROR(__xludf.DUMMYFUNCTION("""COMPUTED_VALUE"""),0.0)</f>
        <v>0</v>
      </c>
    </row>
    <row r="15">
      <c r="A15" s="3" t="str">
        <f>IFERROR(__xludf.DUMMYFUNCTION("""COMPUTED_VALUE"""),"Tasmania")</f>
        <v>Tasmania</v>
      </c>
      <c r="B15" s="3" t="str">
        <f>IFERROR(__xludf.DUMMYFUNCTION("""COMPUTED_VALUE"""),"Australia")</f>
        <v>Australia</v>
      </c>
      <c r="C15" s="3">
        <f>IFERROR(__xludf.DUMMYFUNCTION("""COMPUTED_VALUE"""),-41.4545)</f>
        <v>-41.4545</v>
      </c>
      <c r="D15" s="3">
        <f>IFERROR(__xludf.DUMMYFUNCTION("""COMPUTED_VALUE"""),145.9707)</f>
        <v>145.9707</v>
      </c>
      <c r="E15" s="3">
        <f>IFERROR(__xludf.DUMMYFUNCTION("""COMPUTED_VALUE"""),0.0)</f>
        <v>0</v>
      </c>
      <c r="F15" s="3">
        <f>IFERROR(__xludf.DUMMYFUNCTION("""COMPUTED_VALUE"""),0.0)</f>
        <v>0</v>
      </c>
      <c r="G15" s="3">
        <f>IFERROR(__xludf.DUMMYFUNCTION("""COMPUTED_VALUE"""),0.0)</f>
        <v>0</v>
      </c>
      <c r="H15" s="3">
        <f>IFERROR(__xludf.DUMMYFUNCTION("""COMPUTED_VALUE"""),0.0)</f>
        <v>0</v>
      </c>
      <c r="I15" s="3">
        <f>IFERROR(__xludf.DUMMYFUNCTION("""COMPUTED_VALUE"""),0.0)</f>
        <v>0</v>
      </c>
      <c r="J15" s="3">
        <f>IFERROR(__xludf.DUMMYFUNCTION("""COMPUTED_VALUE"""),0.0)</f>
        <v>0</v>
      </c>
      <c r="K15" s="3">
        <f>IFERROR(__xludf.DUMMYFUNCTION("""COMPUTED_VALUE"""),0.0)</f>
        <v>0</v>
      </c>
      <c r="L15" s="3">
        <f>IFERROR(__xludf.DUMMYFUNCTION("""COMPUTED_VALUE"""),0.0)</f>
        <v>0</v>
      </c>
      <c r="M15" s="3">
        <f>IFERROR(__xludf.DUMMYFUNCTION("""COMPUTED_VALUE"""),0.0)</f>
        <v>0</v>
      </c>
      <c r="N15" s="3">
        <f>IFERROR(__xludf.DUMMYFUNCTION("""COMPUTED_VALUE"""),0.0)</f>
        <v>0</v>
      </c>
      <c r="O15" s="3">
        <f>IFERROR(__xludf.DUMMYFUNCTION("""COMPUTED_VALUE"""),0.0)</f>
        <v>0</v>
      </c>
      <c r="P15" s="3">
        <f>IFERROR(__xludf.DUMMYFUNCTION("""COMPUTED_VALUE"""),0.0)</f>
        <v>0</v>
      </c>
      <c r="Q15" s="3">
        <f>IFERROR(__xludf.DUMMYFUNCTION("""COMPUTED_VALUE"""),0.0)</f>
        <v>0</v>
      </c>
      <c r="R15" s="3">
        <f>IFERROR(__xludf.DUMMYFUNCTION("""COMPUTED_VALUE"""),0.0)</f>
        <v>0</v>
      </c>
      <c r="S15" s="3">
        <f>IFERROR(__xludf.DUMMYFUNCTION("""COMPUTED_VALUE"""),0.0)</f>
        <v>0</v>
      </c>
      <c r="T15" s="3">
        <f>IFERROR(__xludf.DUMMYFUNCTION("""COMPUTED_VALUE"""),0.0)</f>
        <v>0</v>
      </c>
      <c r="U15" s="3">
        <f>IFERROR(__xludf.DUMMYFUNCTION("""COMPUTED_VALUE"""),0.0)</f>
        <v>0</v>
      </c>
      <c r="V15" s="3">
        <f>IFERROR(__xludf.DUMMYFUNCTION("""COMPUTED_VALUE"""),0.0)</f>
        <v>0</v>
      </c>
      <c r="W15" s="3">
        <f>IFERROR(__xludf.DUMMYFUNCTION("""COMPUTED_VALUE"""),0.0)</f>
        <v>0</v>
      </c>
      <c r="X15" s="3">
        <f>IFERROR(__xludf.DUMMYFUNCTION("""COMPUTED_VALUE"""),0.0)</f>
        <v>0</v>
      </c>
      <c r="Y15" s="3">
        <f>IFERROR(__xludf.DUMMYFUNCTION("""COMPUTED_VALUE"""),0.0)</f>
        <v>0</v>
      </c>
      <c r="Z15" s="3">
        <f>IFERROR(__xludf.DUMMYFUNCTION("""COMPUTED_VALUE"""),0.0)</f>
        <v>0</v>
      </c>
      <c r="AA15" s="3">
        <f>IFERROR(__xludf.DUMMYFUNCTION("""COMPUTED_VALUE"""),0.0)</f>
        <v>0</v>
      </c>
      <c r="AB15" s="3">
        <f>IFERROR(__xludf.DUMMYFUNCTION("""COMPUTED_VALUE"""),0.0)</f>
        <v>0</v>
      </c>
      <c r="AC15" s="3">
        <f>IFERROR(__xludf.DUMMYFUNCTION("""COMPUTED_VALUE"""),0.0)</f>
        <v>0</v>
      </c>
      <c r="AD15" s="3">
        <f>IFERROR(__xludf.DUMMYFUNCTION("""COMPUTED_VALUE"""),0.0)</f>
        <v>0</v>
      </c>
      <c r="AE15" s="3">
        <f>IFERROR(__xludf.DUMMYFUNCTION("""COMPUTED_VALUE"""),0.0)</f>
        <v>0</v>
      </c>
      <c r="AF15" s="3">
        <f>IFERROR(__xludf.DUMMYFUNCTION("""COMPUTED_VALUE"""),0.0)</f>
        <v>0</v>
      </c>
      <c r="AG15" s="3">
        <f>IFERROR(__xludf.DUMMYFUNCTION("""COMPUTED_VALUE"""),0.0)</f>
        <v>0</v>
      </c>
      <c r="AH15" s="3">
        <f>IFERROR(__xludf.DUMMYFUNCTION("""COMPUTED_VALUE"""),0.0)</f>
        <v>0</v>
      </c>
      <c r="AI15" s="3">
        <f>IFERROR(__xludf.DUMMYFUNCTION("""COMPUTED_VALUE"""),0.0)</f>
        <v>0</v>
      </c>
      <c r="AJ15" s="3">
        <f>IFERROR(__xludf.DUMMYFUNCTION("""COMPUTED_VALUE"""),0.0)</f>
        <v>0</v>
      </c>
      <c r="AK15" s="3">
        <f>IFERROR(__xludf.DUMMYFUNCTION("""COMPUTED_VALUE"""),0.0)</f>
        <v>0</v>
      </c>
      <c r="AL15" s="3">
        <f>IFERROR(__xludf.DUMMYFUNCTION("""COMPUTED_VALUE"""),0.0)</f>
        <v>0</v>
      </c>
      <c r="AM15" s="3">
        <f>IFERROR(__xludf.DUMMYFUNCTION("""COMPUTED_VALUE"""),0.0)</f>
        <v>0</v>
      </c>
      <c r="AN15" s="3">
        <f>IFERROR(__xludf.DUMMYFUNCTION("""COMPUTED_VALUE"""),0.0)</f>
        <v>0</v>
      </c>
      <c r="AO15" s="3">
        <f>IFERROR(__xludf.DUMMYFUNCTION("""COMPUTED_VALUE"""),0.0)</f>
        <v>0</v>
      </c>
      <c r="AP15" s="3">
        <f>IFERROR(__xludf.DUMMYFUNCTION("""COMPUTED_VALUE"""),0.0)</f>
        <v>0</v>
      </c>
      <c r="AQ15" s="3">
        <f>IFERROR(__xludf.DUMMYFUNCTION("""COMPUTED_VALUE"""),0.0)</f>
        <v>0</v>
      </c>
      <c r="AR15" s="3">
        <f>IFERROR(__xludf.DUMMYFUNCTION("""COMPUTED_VALUE"""),0.0)</f>
        <v>0</v>
      </c>
      <c r="AS15" s="3">
        <f>IFERROR(__xludf.DUMMYFUNCTION("""COMPUTED_VALUE"""),0.0)</f>
        <v>0</v>
      </c>
      <c r="AT15" s="3">
        <f>IFERROR(__xludf.DUMMYFUNCTION("""COMPUTED_VALUE"""),0.0)</f>
        <v>0</v>
      </c>
      <c r="AU15" s="3">
        <f>IFERROR(__xludf.DUMMYFUNCTION("""COMPUTED_VALUE"""),0.0)</f>
        <v>0</v>
      </c>
      <c r="AV15" s="3">
        <f>IFERROR(__xludf.DUMMYFUNCTION("""COMPUTED_VALUE"""),0.0)</f>
        <v>0</v>
      </c>
      <c r="AW15" s="3">
        <f>IFERROR(__xludf.DUMMYFUNCTION("""COMPUTED_VALUE"""),0.0)</f>
        <v>0</v>
      </c>
      <c r="AX15" s="3">
        <f>IFERROR(__xludf.DUMMYFUNCTION("""COMPUTED_VALUE"""),0.0)</f>
        <v>0</v>
      </c>
      <c r="AY15" s="3">
        <f>IFERROR(__xludf.DUMMYFUNCTION("""COMPUTED_VALUE"""),0.0)</f>
        <v>0</v>
      </c>
      <c r="AZ15" s="3">
        <f>IFERROR(__xludf.DUMMYFUNCTION("""COMPUTED_VALUE"""),0.0)</f>
        <v>0</v>
      </c>
      <c r="BA15" s="3">
        <f>IFERROR(__xludf.DUMMYFUNCTION("""COMPUTED_VALUE"""),0.0)</f>
        <v>0</v>
      </c>
      <c r="BB15" s="3">
        <f>IFERROR(__xludf.DUMMYFUNCTION("""COMPUTED_VALUE"""),0.0)</f>
        <v>0</v>
      </c>
      <c r="BC15" s="3">
        <f>IFERROR(__xludf.DUMMYFUNCTION("""COMPUTED_VALUE"""),0.0)</f>
        <v>0</v>
      </c>
      <c r="BD15" s="3">
        <f>IFERROR(__xludf.DUMMYFUNCTION("""COMPUTED_VALUE"""),0.0)</f>
        <v>0</v>
      </c>
      <c r="BE15" s="3">
        <f>IFERROR(__xludf.DUMMYFUNCTION("""COMPUTED_VALUE"""),0.0)</f>
        <v>0</v>
      </c>
      <c r="BF15" s="3">
        <f>IFERROR(__xludf.DUMMYFUNCTION("""COMPUTED_VALUE"""),0.0)</f>
        <v>0</v>
      </c>
      <c r="BG15" s="3">
        <f>IFERROR(__xludf.DUMMYFUNCTION("""COMPUTED_VALUE"""),0.0)</f>
        <v>0</v>
      </c>
      <c r="BH15" s="3">
        <f>IFERROR(__xludf.DUMMYFUNCTION("""COMPUTED_VALUE"""),0.0)</f>
        <v>0</v>
      </c>
      <c r="BI15" s="3">
        <f>IFERROR(__xludf.DUMMYFUNCTION("""COMPUTED_VALUE"""),0.0)</f>
        <v>0</v>
      </c>
      <c r="BJ15" s="3">
        <f>IFERROR(__xludf.DUMMYFUNCTION("""COMPUTED_VALUE"""),0.0)</f>
        <v>0</v>
      </c>
      <c r="BK15" s="3">
        <f>IFERROR(__xludf.DUMMYFUNCTION("""COMPUTED_VALUE"""),0.0)</f>
        <v>0</v>
      </c>
      <c r="BL15" s="3">
        <f>IFERROR(__xludf.DUMMYFUNCTION("""COMPUTED_VALUE"""),0.0)</f>
        <v>0</v>
      </c>
      <c r="BM15" s="3">
        <f>IFERROR(__xludf.DUMMYFUNCTION("""COMPUTED_VALUE"""),0.0)</f>
        <v>0</v>
      </c>
      <c r="BN15" s="3">
        <f>IFERROR(__xludf.DUMMYFUNCTION("""COMPUTED_VALUE"""),0.0)</f>
        <v>0</v>
      </c>
      <c r="BO15" s="3">
        <f>IFERROR(__xludf.DUMMYFUNCTION("""COMPUTED_VALUE"""),0.0)</f>
        <v>0</v>
      </c>
      <c r="BP15" s="3">
        <f>IFERROR(__xludf.DUMMYFUNCTION("""COMPUTED_VALUE"""),0.0)</f>
        <v>0</v>
      </c>
      <c r="BQ15" s="3">
        <f>IFERROR(__xludf.DUMMYFUNCTION("""COMPUTED_VALUE"""),0.0)</f>
        <v>0</v>
      </c>
      <c r="BR15" s="3">
        <f>IFERROR(__xludf.DUMMYFUNCTION("""COMPUTED_VALUE"""),0.0)</f>
        <v>0</v>
      </c>
      <c r="BS15" s="3">
        <f>IFERROR(__xludf.DUMMYFUNCTION("""COMPUTED_VALUE"""),0.0)</f>
        <v>0</v>
      </c>
      <c r="BT15" s="3">
        <f>IFERROR(__xludf.DUMMYFUNCTION("""COMPUTED_VALUE"""),0.0)</f>
        <v>0</v>
      </c>
      <c r="BU15" s="3">
        <f>IFERROR(__xludf.DUMMYFUNCTION("""COMPUTED_VALUE"""),0.0)</f>
        <v>0</v>
      </c>
      <c r="BV15" s="3">
        <f>IFERROR(__xludf.DUMMYFUNCTION("""COMPUTED_VALUE"""),1.0)</f>
        <v>1</v>
      </c>
      <c r="BW15" s="3">
        <f>IFERROR(__xludf.DUMMYFUNCTION("""COMPUTED_VALUE"""),2.0)</f>
        <v>2</v>
      </c>
      <c r="BX15" s="3">
        <f>IFERROR(__xludf.DUMMYFUNCTION("""COMPUTED_VALUE"""),2.0)</f>
        <v>2</v>
      </c>
      <c r="BY15" s="3">
        <f>IFERROR(__xludf.DUMMYFUNCTION("""COMPUTED_VALUE"""),2.0)</f>
        <v>2</v>
      </c>
      <c r="BZ15" s="3">
        <f>IFERROR(__xludf.DUMMYFUNCTION("""COMPUTED_VALUE"""),2.0)</f>
        <v>2</v>
      </c>
      <c r="CA15" s="3">
        <f>IFERROR(__xludf.DUMMYFUNCTION("""COMPUTED_VALUE"""),2.0)</f>
        <v>2</v>
      </c>
      <c r="CB15" s="3">
        <f>IFERROR(__xludf.DUMMYFUNCTION("""COMPUTED_VALUE"""),2.0)</f>
        <v>2</v>
      </c>
    </row>
    <row r="16">
      <c r="A16" s="3" t="str">
        <f>IFERROR(__xludf.DUMMYFUNCTION("""COMPUTED_VALUE"""),"Victoria")</f>
        <v>Victoria</v>
      </c>
      <c r="B16" s="3" t="str">
        <f>IFERROR(__xludf.DUMMYFUNCTION("""COMPUTED_VALUE"""),"Australia")</f>
        <v>Australia</v>
      </c>
      <c r="C16" s="3">
        <f>IFERROR(__xludf.DUMMYFUNCTION("""COMPUTED_VALUE"""),-37.8136)</f>
        <v>-37.8136</v>
      </c>
      <c r="D16" s="3">
        <f>IFERROR(__xludf.DUMMYFUNCTION("""COMPUTED_VALUE"""),144.9631)</f>
        <v>144.9631</v>
      </c>
      <c r="E16" s="3">
        <f>IFERROR(__xludf.DUMMYFUNCTION("""COMPUTED_VALUE"""),0.0)</f>
        <v>0</v>
      </c>
      <c r="F16" s="3">
        <f>IFERROR(__xludf.DUMMYFUNCTION("""COMPUTED_VALUE"""),0.0)</f>
        <v>0</v>
      </c>
      <c r="G16" s="3">
        <f>IFERROR(__xludf.DUMMYFUNCTION("""COMPUTED_VALUE"""),0.0)</f>
        <v>0</v>
      </c>
      <c r="H16" s="3">
        <f>IFERROR(__xludf.DUMMYFUNCTION("""COMPUTED_VALUE"""),0.0)</f>
        <v>0</v>
      </c>
      <c r="I16" s="3">
        <f>IFERROR(__xludf.DUMMYFUNCTION("""COMPUTED_VALUE"""),0.0)</f>
        <v>0</v>
      </c>
      <c r="J16" s="3">
        <f>IFERROR(__xludf.DUMMYFUNCTION("""COMPUTED_VALUE"""),0.0)</f>
        <v>0</v>
      </c>
      <c r="K16" s="3">
        <f>IFERROR(__xludf.DUMMYFUNCTION("""COMPUTED_VALUE"""),0.0)</f>
        <v>0</v>
      </c>
      <c r="L16" s="3">
        <f>IFERROR(__xludf.DUMMYFUNCTION("""COMPUTED_VALUE"""),0.0)</f>
        <v>0</v>
      </c>
      <c r="M16" s="3">
        <f>IFERROR(__xludf.DUMMYFUNCTION("""COMPUTED_VALUE"""),0.0)</f>
        <v>0</v>
      </c>
      <c r="N16" s="3">
        <f>IFERROR(__xludf.DUMMYFUNCTION("""COMPUTED_VALUE"""),0.0)</f>
        <v>0</v>
      </c>
      <c r="O16" s="3">
        <f>IFERROR(__xludf.DUMMYFUNCTION("""COMPUTED_VALUE"""),0.0)</f>
        <v>0</v>
      </c>
      <c r="P16" s="3">
        <f>IFERROR(__xludf.DUMMYFUNCTION("""COMPUTED_VALUE"""),0.0)</f>
        <v>0</v>
      </c>
      <c r="Q16" s="3">
        <f>IFERROR(__xludf.DUMMYFUNCTION("""COMPUTED_VALUE"""),0.0)</f>
        <v>0</v>
      </c>
      <c r="R16" s="3">
        <f>IFERROR(__xludf.DUMMYFUNCTION("""COMPUTED_VALUE"""),0.0)</f>
        <v>0</v>
      </c>
      <c r="S16" s="3">
        <f>IFERROR(__xludf.DUMMYFUNCTION("""COMPUTED_VALUE"""),0.0)</f>
        <v>0</v>
      </c>
      <c r="T16" s="3">
        <f>IFERROR(__xludf.DUMMYFUNCTION("""COMPUTED_VALUE"""),0.0)</f>
        <v>0</v>
      </c>
      <c r="U16" s="3">
        <f>IFERROR(__xludf.DUMMYFUNCTION("""COMPUTED_VALUE"""),0.0)</f>
        <v>0</v>
      </c>
      <c r="V16" s="3">
        <f>IFERROR(__xludf.DUMMYFUNCTION("""COMPUTED_VALUE"""),0.0)</f>
        <v>0</v>
      </c>
      <c r="W16" s="3">
        <f>IFERROR(__xludf.DUMMYFUNCTION("""COMPUTED_VALUE"""),0.0)</f>
        <v>0</v>
      </c>
      <c r="X16" s="3">
        <f>IFERROR(__xludf.DUMMYFUNCTION("""COMPUTED_VALUE"""),0.0)</f>
        <v>0</v>
      </c>
      <c r="Y16" s="3">
        <f>IFERROR(__xludf.DUMMYFUNCTION("""COMPUTED_VALUE"""),0.0)</f>
        <v>0</v>
      </c>
      <c r="Z16" s="3">
        <f>IFERROR(__xludf.DUMMYFUNCTION("""COMPUTED_VALUE"""),0.0)</f>
        <v>0</v>
      </c>
      <c r="AA16" s="3">
        <f>IFERROR(__xludf.DUMMYFUNCTION("""COMPUTED_VALUE"""),0.0)</f>
        <v>0</v>
      </c>
      <c r="AB16" s="3">
        <f>IFERROR(__xludf.DUMMYFUNCTION("""COMPUTED_VALUE"""),0.0)</f>
        <v>0</v>
      </c>
      <c r="AC16" s="3">
        <f>IFERROR(__xludf.DUMMYFUNCTION("""COMPUTED_VALUE"""),0.0)</f>
        <v>0</v>
      </c>
      <c r="AD16" s="3">
        <f>IFERROR(__xludf.DUMMYFUNCTION("""COMPUTED_VALUE"""),0.0)</f>
        <v>0</v>
      </c>
      <c r="AE16" s="3">
        <f>IFERROR(__xludf.DUMMYFUNCTION("""COMPUTED_VALUE"""),0.0)</f>
        <v>0</v>
      </c>
      <c r="AF16" s="3">
        <f>IFERROR(__xludf.DUMMYFUNCTION("""COMPUTED_VALUE"""),0.0)</f>
        <v>0</v>
      </c>
      <c r="AG16" s="3">
        <f>IFERROR(__xludf.DUMMYFUNCTION("""COMPUTED_VALUE"""),0.0)</f>
        <v>0</v>
      </c>
      <c r="AH16" s="3">
        <f>IFERROR(__xludf.DUMMYFUNCTION("""COMPUTED_VALUE"""),0.0)</f>
        <v>0</v>
      </c>
      <c r="AI16" s="3">
        <f>IFERROR(__xludf.DUMMYFUNCTION("""COMPUTED_VALUE"""),0.0)</f>
        <v>0</v>
      </c>
      <c r="AJ16" s="3">
        <f>IFERROR(__xludf.DUMMYFUNCTION("""COMPUTED_VALUE"""),0.0)</f>
        <v>0</v>
      </c>
      <c r="AK16" s="3">
        <f>IFERROR(__xludf.DUMMYFUNCTION("""COMPUTED_VALUE"""),0.0)</f>
        <v>0</v>
      </c>
      <c r="AL16" s="3">
        <f>IFERROR(__xludf.DUMMYFUNCTION("""COMPUTED_VALUE"""),0.0)</f>
        <v>0</v>
      </c>
      <c r="AM16" s="3">
        <f>IFERROR(__xludf.DUMMYFUNCTION("""COMPUTED_VALUE"""),0.0)</f>
        <v>0</v>
      </c>
      <c r="AN16" s="3">
        <f>IFERROR(__xludf.DUMMYFUNCTION("""COMPUTED_VALUE"""),0.0)</f>
        <v>0</v>
      </c>
      <c r="AO16" s="3">
        <f>IFERROR(__xludf.DUMMYFUNCTION("""COMPUTED_VALUE"""),0.0)</f>
        <v>0</v>
      </c>
      <c r="AP16" s="3">
        <f>IFERROR(__xludf.DUMMYFUNCTION("""COMPUTED_VALUE"""),0.0)</f>
        <v>0</v>
      </c>
      <c r="AQ16" s="3">
        <f>IFERROR(__xludf.DUMMYFUNCTION("""COMPUTED_VALUE"""),0.0)</f>
        <v>0</v>
      </c>
      <c r="AR16" s="3">
        <f>IFERROR(__xludf.DUMMYFUNCTION("""COMPUTED_VALUE"""),0.0)</f>
        <v>0</v>
      </c>
      <c r="AS16" s="3">
        <f>IFERROR(__xludf.DUMMYFUNCTION("""COMPUTED_VALUE"""),0.0)</f>
        <v>0</v>
      </c>
      <c r="AT16" s="3">
        <f>IFERROR(__xludf.DUMMYFUNCTION("""COMPUTED_VALUE"""),0.0)</f>
        <v>0</v>
      </c>
      <c r="AU16" s="3">
        <f>IFERROR(__xludf.DUMMYFUNCTION("""COMPUTED_VALUE"""),0.0)</f>
        <v>0</v>
      </c>
      <c r="AV16" s="3">
        <f>IFERROR(__xludf.DUMMYFUNCTION("""COMPUTED_VALUE"""),0.0)</f>
        <v>0</v>
      </c>
      <c r="AW16" s="3">
        <f>IFERROR(__xludf.DUMMYFUNCTION("""COMPUTED_VALUE"""),0.0)</f>
        <v>0</v>
      </c>
      <c r="AX16" s="3">
        <f>IFERROR(__xludf.DUMMYFUNCTION("""COMPUTED_VALUE"""),0.0)</f>
        <v>0</v>
      </c>
      <c r="AY16" s="3">
        <f>IFERROR(__xludf.DUMMYFUNCTION("""COMPUTED_VALUE"""),0.0)</f>
        <v>0</v>
      </c>
      <c r="AZ16" s="3">
        <f>IFERROR(__xludf.DUMMYFUNCTION("""COMPUTED_VALUE"""),0.0)</f>
        <v>0</v>
      </c>
      <c r="BA16" s="3">
        <f>IFERROR(__xludf.DUMMYFUNCTION("""COMPUTED_VALUE"""),0.0)</f>
        <v>0</v>
      </c>
      <c r="BB16" s="3">
        <f>IFERROR(__xludf.DUMMYFUNCTION("""COMPUTED_VALUE"""),0.0)</f>
        <v>0</v>
      </c>
      <c r="BC16" s="3">
        <f>IFERROR(__xludf.DUMMYFUNCTION("""COMPUTED_VALUE"""),0.0)</f>
        <v>0</v>
      </c>
      <c r="BD16" s="3">
        <f>IFERROR(__xludf.DUMMYFUNCTION("""COMPUTED_VALUE"""),0.0)</f>
        <v>0</v>
      </c>
      <c r="BE16" s="3">
        <f>IFERROR(__xludf.DUMMYFUNCTION("""COMPUTED_VALUE"""),0.0)</f>
        <v>0</v>
      </c>
      <c r="BF16" s="3">
        <f>IFERROR(__xludf.DUMMYFUNCTION("""COMPUTED_VALUE"""),0.0)</f>
        <v>0</v>
      </c>
      <c r="BG16" s="3">
        <f>IFERROR(__xludf.DUMMYFUNCTION("""COMPUTED_VALUE"""),0.0)</f>
        <v>0</v>
      </c>
      <c r="BH16" s="3">
        <f>IFERROR(__xludf.DUMMYFUNCTION("""COMPUTED_VALUE"""),0.0)</f>
        <v>0</v>
      </c>
      <c r="BI16" s="3">
        <f>IFERROR(__xludf.DUMMYFUNCTION("""COMPUTED_VALUE"""),0.0)</f>
        <v>0</v>
      </c>
      <c r="BJ16" s="3">
        <f>IFERROR(__xludf.DUMMYFUNCTION("""COMPUTED_VALUE"""),0.0)</f>
        <v>0</v>
      </c>
      <c r="BK16" s="3">
        <f>IFERROR(__xludf.DUMMYFUNCTION("""COMPUTED_VALUE"""),0.0)</f>
        <v>0</v>
      </c>
      <c r="BL16" s="3">
        <f>IFERROR(__xludf.DUMMYFUNCTION("""COMPUTED_VALUE"""),0.0)</f>
        <v>0</v>
      </c>
      <c r="BM16" s="3">
        <f>IFERROR(__xludf.DUMMYFUNCTION("""COMPUTED_VALUE"""),0.0)</f>
        <v>0</v>
      </c>
      <c r="BN16" s="3">
        <f>IFERROR(__xludf.DUMMYFUNCTION("""COMPUTED_VALUE"""),0.0)</f>
        <v>0</v>
      </c>
      <c r="BO16" s="3">
        <f>IFERROR(__xludf.DUMMYFUNCTION("""COMPUTED_VALUE"""),0.0)</f>
        <v>0</v>
      </c>
      <c r="BP16" s="3">
        <f>IFERROR(__xludf.DUMMYFUNCTION("""COMPUTED_VALUE"""),0.0)</f>
        <v>0</v>
      </c>
      <c r="BQ16" s="3">
        <f>IFERROR(__xludf.DUMMYFUNCTION("""COMPUTED_VALUE"""),3.0)</f>
        <v>3</v>
      </c>
      <c r="BR16" s="3">
        <f>IFERROR(__xludf.DUMMYFUNCTION("""COMPUTED_VALUE"""),3.0)</f>
        <v>3</v>
      </c>
      <c r="BS16" s="3">
        <f>IFERROR(__xludf.DUMMYFUNCTION("""COMPUTED_VALUE"""),3.0)</f>
        <v>3</v>
      </c>
      <c r="BT16" s="3">
        <f>IFERROR(__xludf.DUMMYFUNCTION("""COMPUTED_VALUE"""),4.0)</f>
        <v>4</v>
      </c>
      <c r="BU16" s="3">
        <f>IFERROR(__xludf.DUMMYFUNCTION("""COMPUTED_VALUE"""),4.0)</f>
        <v>4</v>
      </c>
      <c r="BV16" s="3">
        <f>IFERROR(__xludf.DUMMYFUNCTION("""COMPUTED_VALUE"""),4.0)</f>
        <v>4</v>
      </c>
      <c r="BW16" s="3">
        <f>IFERROR(__xludf.DUMMYFUNCTION("""COMPUTED_VALUE"""),4.0)</f>
        <v>4</v>
      </c>
      <c r="BX16" s="3">
        <f>IFERROR(__xludf.DUMMYFUNCTION("""COMPUTED_VALUE"""),5.0)</f>
        <v>5</v>
      </c>
      <c r="BY16" s="3">
        <f>IFERROR(__xludf.DUMMYFUNCTION("""COMPUTED_VALUE"""),7.0)</f>
        <v>7</v>
      </c>
      <c r="BZ16" s="3">
        <f>IFERROR(__xludf.DUMMYFUNCTION("""COMPUTED_VALUE"""),8.0)</f>
        <v>8</v>
      </c>
      <c r="CA16" s="3">
        <f>IFERROR(__xludf.DUMMYFUNCTION("""COMPUTED_VALUE"""),8.0)</f>
        <v>8</v>
      </c>
      <c r="CB16" s="3">
        <f>IFERROR(__xludf.DUMMYFUNCTION("""COMPUTED_VALUE"""),10.0)</f>
        <v>10</v>
      </c>
    </row>
    <row r="17">
      <c r="A17" s="3" t="str">
        <f>IFERROR(__xludf.DUMMYFUNCTION("""COMPUTED_VALUE"""),"Western Australia")</f>
        <v>Western Australia</v>
      </c>
      <c r="B17" s="3" t="str">
        <f>IFERROR(__xludf.DUMMYFUNCTION("""COMPUTED_VALUE"""),"Australia")</f>
        <v>Australia</v>
      </c>
      <c r="C17" s="3">
        <f>IFERROR(__xludf.DUMMYFUNCTION("""COMPUTED_VALUE"""),-31.9505)</f>
        <v>-31.9505</v>
      </c>
      <c r="D17" s="3">
        <f>IFERROR(__xludf.DUMMYFUNCTION("""COMPUTED_VALUE"""),115.8605)</f>
        <v>115.8605</v>
      </c>
      <c r="E17" s="3">
        <f>IFERROR(__xludf.DUMMYFUNCTION("""COMPUTED_VALUE"""),0.0)</f>
        <v>0</v>
      </c>
      <c r="F17" s="3">
        <f>IFERROR(__xludf.DUMMYFUNCTION("""COMPUTED_VALUE"""),0.0)</f>
        <v>0</v>
      </c>
      <c r="G17" s="3">
        <f>IFERROR(__xludf.DUMMYFUNCTION("""COMPUTED_VALUE"""),0.0)</f>
        <v>0</v>
      </c>
      <c r="H17" s="3">
        <f>IFERROR(__xludf.DUMMYFUNCTION("""COMPUTED_VALUE"""),0.0)</f>
        <v>0</v>
      </c>
      <c r="I17" s="3">
        <f>IFERROR(__xludf.DUMMYFUNCTION("""COMPUTED_VALUE"""),0.0)</f>
        <v>0</v>
      </c>
      <c r="J17" s="3">
        <f>IFERROR(__xludf.DUMMYFUNCTION("""COMPUTED_VALUE"""),0.0)</f>
        <v>0</v>
      </c>
      <c r="K17" s="3">
        <f>IFERROR(__xludf.DUMMYFUNCTION("""COMPUTED_VALUE"""),0.0)</f>
        <v>0</v>
      </c>
      <c r="L17" s="3">
        <f>IFERROR(__xludf.DUMMYFUNCTION("""COMPUTED_VALUE"""),0.0)</f>
        <v>0</v>
      </c>
      <c r="M17" s="3">
        <f>IFERROR(__xludf.DUMMYFUNCTION("""COMPUTED_VALUE"""),0.0)</f>
        <v>0</v>
      </c>
      <c r="N17" s="3">
        <f>IFERROR(__xludf.DUMMYFUNCTION("""COMPUTED_VALUE"""),0.0)</f>
        <v>0</v>
      </c>
      <c r="O17" s="3">
        <f>IFERROR(__xludf.DUMMYFUNCTION("""COMPUTED_VALUE"""),0.0)</f>
        <v>0</v>
      </c>
      <c r="P17" s="3">
        <f>IFERROR(__xludf.DUMMYFUNCTION("""COMPUTED_VALUE"""),0.0)</f>
        <v>0</v>
      </c>
      <c r="Q17" s="3">
        <f>IFERROR(__xludf.DUMMYFUNCTION("""COMPUTED_VALUE"""),0.0)</f>
        <v>0</v>
      </c>
      <c r="R17" s="3">
        <f>IFERROR(__xludf.DUMMYFUNCTION("""COMPUTED_VALUE"""),0.0)</f>
        <v>0</v>
      </c>
      <c r="S17" s="3">
        <f>IFERROR(__xludf.DUMMYFUNCTION("""COMPUTED_VALUE"""),0.0)</f>
        <v>0</v>
      </c>
      <c r="T17" s="3">
        <f>IFERROR(__xludf.DUMMYFUNCTION("""COMPUTED_VALUE"""),0.0)</f>
        <v>0</v>
      </c>
      <c r="U17" s="3">
        <f>IFERROR(__xludf.DUMMYFUNCTION("""COMPUTED_VALUE"""),0.0)</f>
        <v>0</v>
      </c>
      <c r="V17" s="3">
        <f>IFERROR(__xludf.DUMMYFUNCTION("""COMPUTED_VALUE"""),0.0)</f>
        <v>0</v>
      </c>
      <c r="W17" s="3">
        <f>IFERROR(__xludf.DUMMYFUNCTION("""COMPUTED_VALUE"""),0.0)</f>
        <v>0</v>
      </c>
      <c r="X17" s="3">
        <f>IFERROR(__xludf.DUMMYFUNCTION("""COMPUTED_VALUE"""),0.0)</f>
        <v>0</v>
      </c>
      <c r="Y17" s="3">
        <f>IFERROR(__xludf.DUMMYFUNCTION("""COMPUTED_VALUE"""),0.0)</f>
        <v>0</v>
      </c>
      <c r="Z17" s="3">
        <f>IFERROR(__xludf.DUMMYFUNCTION("""COMPUTED_VALUE"""),0.0)</f>
        <v>0</v>
      </c>
      <c r="AA17" s="3">
        <f>IFERROR(__xludf.DUMMYFUNCTION("""COMPUTED_VALUE"""),0.0)</f>
        <v>0</v>
      </c>
      <c r="AB17" s="3">
        <f>IFERROR(__xludf.DUMMYFUNCTION("""COMPUTED_VALUE"""),0.0)</f>
        <v>0</v>
      </c>
      <c r="AC17" s="3">
        <f>IFERROR(__xludf.DUMMYFUNCTION("""COMPUTED_VALUE"""),0.0)</f>
        <v>0</v>
      </c>
      <c r="AD17" s="3">
        <f>IFERROR(__xludf.DUMMYFUNCTION("""COMPUTED_VALUE"""),0.0)</f>
        <v>0</v>
      </c>
      <c r="AE17" s="3">
        <f>IFERROR(__xludf.DUMMYFUNCTION("""COMPUTED_VALUE"""),0.0)</f>
        <v>0</v>
      </c>
      <c r="AF17" s="3">
        <f>IFERROR(__xludf.DUMMYFUNCTION("""COMPUTED_VALUE"""),0.0)</f>
        <v>0</v>
      </c>
      <c r="AG17" s="3">
        <f>IFERROR(__xludf.DUMMYFUNCTION("""COMPUTED_VALUE"""),0.0)</f>
        <v>0</v>
      </c>
      <c r="AH17" s="3">
        <f>IFERROR(__xludf.DUMMYFUNCTION("""COMPUTED_VALUE"""),0.0)</f>
        <v>0</v>
      </c>
      <c r="AI17" s="3">
        <f>IFERROR(__xludf.DUMMYFUNCTION("""COMPUTED_VALUE"""),0.0)</f>
        <v>0</v>
      </c>
      <c r="AJ17" s="3">
        <f>IFERROR(__xludf.DUMMYFUNCTION("""COMPUTED_VALUE"""),0.0)</f>
        <v>0</v>
      </c>
      <c r="AK17" s="3">
        <f>IFERROR(__xludf.DUMMYFUNCTION("""COMPUTED_VALUE"""),0.0)</f>
        <v>0</v>
      </c>
      <c r="AL17" s="3">
        <f>IFERROR(__xludf.DUMMYFUNCTION("""COMPUTED_VALUE"""),0.0)</f>
        <v>0</v>
      </c>
      <c r="AM17" s="3">
        <f>IFERROR(__xludf.DUMMYFUNCTION("""COMPUTED_VALUE"""),0.0)</f>
        <v>0</v>
      </c>
      <c r="AN17" s="3">
        <f>IFERROR(__xludf.DUMMYFUNCTION("""COMPUTED_VALUE"""),0.0)</f>
        <v>0</v>
      </c>
      <c r="AO17" s="3">
        <f>IFERROR(__xludf.DUMMYFUNCTION("""COMPUTED_VALUE"""),0.0)</f>
        <v>0</v>
      </c>
      <c r="AP17" s="3">
        <f>IFERROR(__xludf.DUMMYFUNCTION("""COMPUTED_VALUE"""),0.0)</f>
        <v>0</v>
      </c>
      <c r="AQ17" s="3">
        <f>IFERROR(__xludf.DUMMYFUNCTION("""COMPUTED_VALUE"""),0.0)</f>
        <v>0</v>
      </c>
      <c r="AR17" s="3">
        <f>IFERROR(__xludf.DUMMYFUNCTION("""COMPUTED_VALUE"""),1.0)</f>
        <v>1</v>
      </c>
      <c r="AS17" s="3">
        <f>IFERROR(__xludf.DUMMYFUNCTION("""COMPUTED_VALUE"""),1.0)</f>
        <v>1</v>
      </c>
      <c r="AT17" s="3">
        <f>IFERROR(__xludf.DUMMYFUNCTION("""COMPUTED_VALUE"""),1.0)</f>
        <v>1</v>
      </c>
      <c r="AU17" s="3">
        <f>IFERROR(__xludf.DUMMYFUNCTION("""COMPUTED_VALUE"""),1.0)</f>
        <v>1</v>
      </c>
      <c r="AV17" s="3">
        <f>IFERROR(__xludf.DUMMYFUNCTION("""COMPUTED_VALUE"""),1.0)</f>
        <v>1</v>
      </c>
      <c r="AW17" s="3">
        <f>IFERROR(__xludf.DUMMYFUNCTION("""COMPUTED_VALUE"""),1.0)</f>
        <v>1</v>
      </c>
      <c r="AX17" s="3">
        <f>IFERROR(__xludf.DUMMYFUNCTION("""COMPUTED_VALUE"""),1.0)</f>
        <v>1</v>
      </c>
      <c r="AY17" s="3">
        <f>IFERROR(__xludf.DUMMYFUNCTION("""COMPUTED_VALUE"""),1.0)</f>
        <v>1</v>
      </c>
      <c r="AZ17" s="3">
        <f>IFERROR(__xludf.DUMMYFUNCTION("""COMPUTED_VALUE"""),1.0)</f>
        <v>1</v>
      </c>
      <c r="BA17" s="3">
        <f>IFERROR(__xludf.DUMMYFUNCTION("""COMPUTED_VALUE"""),1.0)</f>
        <v>1</v>
      </c>
      <c r="BB17" s="3">
        <f>IFERROR(__xludf.DUMMYFUNCTION("""COMPUTED_VALUE"""),1.0)</f>
        <v>1</v>
      </c>
      <c r="BC17" s="3">
        <f>IFERROR(__xludf.DUMMYFUNCTION("""COMPUTED_VALUE"""),1.0)</f>
        <v>1</v>
      </c>
      <c r="BD17" s="3">
        <f>IFERROR(__xludf.DUMMYFUNCTION("""COMPUTED_VALUE"""),1.0)</f>
        <v>1</v>
      </c>
      <c r="BE17" s="3">
        <f>IFERROR(__xludf.DUMMYFUNCTION("""COMPUTED_VALUE"""),1.0)</f>
        <v>1</v>
      </c>
      <c r="BF17" s="3">
        <f>IFERROR(__xludf.DUMMYFUNCTION("""COMPUTED_VALUE"""),1.0)</f>
        <v>1</v>
      </c>
      <c r="BG17" s="3">
        <f>IFERROR(__xludf.DUMMYFUNCTION("""COMPUTED_VALUE"""),1.0)</f>
        <v>1</v>
      </c>
      <c r="BH17" s="3">
        <f>IFERROR(__xludf.DUMMYFUNCTION("""COMPUTED_VALUE"""),1.0)</f>
        <v>1</v>
      </c>
      <c r="BI17" s="3">
        <f>IFERROR(__xludf.DUMMYFUNCTION("""COMPUTED_VALUE"""),1.0)</f>
        <v>1</v>
      </c>
      <c r="BJ17" s="3">
        <f>IFERROR(__xludf.DUMMYFUNCTION("""COMPUTED_VALUE"""),1.0)</f>
        <v>1</v>
      </c>
      <c r="BK17" s="3">
        <f>IFERROR(__xludf.DUMMYFUNCTION("""COMPUTED_VALUE"""),1.0)</f>
        <v>1</v>
      </c>
      <c r="BL17" s="3">
        <f>IFERROR(__xludf.DUMMYFUNCTION("""COMPUTED_VALUE"""),1.0)</f>
        <v>1</v>
      </c>
      <c r="BM17" s="3">
        <f>IFERROR(__xludf.DUMMYFUNCTION("""COMPUTED_VALUE"""),1.0)</f>
        <v>1</v>
      </c>
      <c r="BN17" s="3">
        <f>IFERROR(__xludf.DUMMYFUNCTION("""COMPUTED_VALUE"""),1.0)</f>
        <v>1</v>
      </c>
      <c r="BO17" s="3">
        <f>IFERROR(__xludf.DUMMYFUNCTION("""COMPUTED_VALUE"""),1.0)</f>
        <v>1</v>
      </c>
      <c r="BP17" s="3">
        <f>IFERROR(__xludf.DUMMYFUNCTION("""COMPUTED_VALUE"""),1.0)</f>
        <v>1</v>
      </c>
      <c r="BQ17" s="3">
        <f>IFERROR(__xludf.DUMMYFUNCTION("""COMPUTED_VALUE"""),2.0)</f>
        <v>2</v>
      </c>
      <c r="BR17" s="3">
        <f>IFERROR(__xludf.DUMMYFUNCTION("""COMPUTED_VALUE"""),2.0)</f>
        <v>2</v>
      </c>
      <c r="BS17" s="3">
        <f>IFERROR(__xludf.DUMMYFUNCTION("""COMPUTED_VALUE"""),2.0)</f>
        <v>2</v>
      </c>
      <c r="BT17" s="3">
        <f>IFERROR(__xludf.DUMMYFUNCTION("""COMPUTED_VALUE"""),2.0)</f>
        <v>2</v>
      </c>
      <c r="BU17" s="3">
        <f>IFERROR(__xludf.DUMMYFUNCTION("""COMPUTED_VALUE"""),2.0)</f>
        <v>2</v>
      </c>
      <c r="BV17" s="3">
        <f>IFERROR(__xludf.DUMMYFUNCTION("""COMPUTED_VALUE"""),2.0)</f>
        <v>2</v>
      </c>
      <c r="BW17" s="3">
        <f>IFERROR(__xludf.DUMMYFUNCTION("""COMPUTED_VALUE"""),2.0)</f>
        <v>2</v>
      </c>
      <c r="BX17" s="3">
        <f>IFERROR(__xludf.DUMMYFUNCTION("""COMPUTED_VALUE"""),2.0)</f>
        <v>2</v>
      </c>
      <c r="BY17" s="3">
        <f>IFERROR(__xludf.DUMMYFUNCTION("""COMPUTED_VALUE"""),2.0)</f>
        <v>2</v>
      </c>
      <c r="BZ17" s="3">
        <f>IFERROR(__xludf.DUMMYFUNCTION("""COMPUTED_VALUE"""),2.0)</f>
        <v>2</v>
      </c>
      <c r="CA17" s="3">
        <f>IFERROR(__xludf.DUMMYFUNCTION("""COMPUTED_VALUE"""),3.0)</f>
        <v>3</v>
      </c>
      <c r="CB17" s="3">
        <f>IFERROR(__xludf.DUMMYFUNCTION("""COMPUTED_VALUE"""),4.0)</f>
        <v>4</v>
      </c>
    </row>
    <row r="18">
      <c r="A18" s="3" t="str">
        <f>IFERROR(__xludf.DUMMYFUNCTION("""COMPUTED_VALUE"""),"")</f>
        <v/>
      </c>
      <c r="B18" s="3" t="str">
        <f>IFERROR(__xludf.DUMMYFUNCTION("""COMPUTED_VALUE"""),"Austria")</f>
        <v>Austria</v>
      </c>
      <c r="C18" s="3">
        <f>IFERROR(__xludf.DUMMYFUNCTION("""COMPUTED_VALUE"""),47.5162)</f>
        <v>47.5162</v>
      </c>
      <c r="D18" s="3">
        <f>IFERROR(__xludf.DUMMYFUNCTION("""COMPUTED_VALUE"""),14.5501)</f>
        <v>14.5501</v>
      </c>
      <c r="E18" s="3">
        <f>IFERROR(__xludf.DUMMYFUNCTION("""COMPUTED_VALUE"""),0.0)</f>
        <v>0</v>
      </c>
      <c r="F18" s="3">
        <f>IFERROR(__xludf.DUMMYFUNCTION("""COMPUTED_VALUE"""),0.0)</f>
        <v>0</v>
      </c>
      <c r="G18" s="3">
        <f>IFERROR(__xludf.DUMMYFUNCTION("""COMPUTED_VALUE"""),0.0)</f>
        <v>0</v>
      </c>
      <c r="H18" s="3">
        <f>IFERROR(__xludf.DUMMYFUNCTION("""COMPUTED_VALUE"""),0.0)</f>
        <v>0</v>
      </c>
      <c r="I18" s="3">
        <f>IFERROR(__xludf.DUMMYFUNCTION("""COMPUTED_VALUE"""),0.0)</f>
        <v>0</v>
      </c>
      <c r="J18" s="3">
        <f>IFERROR(__xludf.DUMMYFUNCTION("""COMPUTED_VALUE"""),0.0)</f>
        <v>0</v>
      </c>
      <c r="K18" s="3">
        <f>IFERROR(__xludf.DUMMYFUNCTION("""COMPUTED_VALUE"""),0.0)</f>
        <v>0</v>
      </c>
      <c r="L18" s="3">
        <f>IFERROR(__xludf.DUMMYFUNCTION("""COMPUTED_VALUE"""),0.0)</f>
        <v>0</v>
      </c>
      <c r="M18" s="3">
        <f>IFERROR(__xludf.DUMMYFUNCTION("""COMPUTED_VALUE"""),0.0)</f>
        <v>0</v>
      </c>
      <c r="N18" s="3">
        <f>IFERROR(__xludf.DUMMYFUNCTION("""COMPUTED_VALUE"""),0.0)</f>
        <v>0</v>
      </c>
      <c r="O18" s="3">
        <f>IFERROR(__xludf.DUMMYFUNCTION("""COMPUTED_VALUE"""),0.0)</f>
        <v>0</v>
      </c>
      <c r="P18" s="3">
        <f>IFERROR(__xludf.DUMMYFUNCTION("""COMPUTED_VALUE"""),0.0)</f>
        <v>0</v>
      </c>
      <c r="Q18" s="3">
        <f>IFERROR(__xludf.DUMMYFUNCTION("""COMPUTED_VALUE"""),0.0)</f>
        <v>0</v>
      </c>
      <c r="R18" s="3">
        <f>IFERROR(__xludf.DUMMYFUNCTION("""COMPUTED_VALUE"""),0.0)</f>
        <v>0</v>
      </c>
      <c r="S18" s="3">
        <f>IFERROR(__xludf.DUMMYFUNCTION("""COMPUTED_VALUE"""),0.0)</f>
        <v>0</v>
      </c>
      <c r="T18" s="3">
        <f>IFERROR(__xludf.DUMMYFUNCTION("""COMPUTED_VALUE"""),0.0)</f>
        <v>0</v>
      </c>
      <c r="U18" s="3">
        <f>IFERROR(__xludf.DUMMYFUNCTION("""COMPUTED_VALUE"""),0.0)</f>
        <v>0</v>
      </c>
      <c r="V18" s="3">
        <f>IFERROR(__xludf.DUMMYFUNCTION("""COMPUTED_VALUE"""),0.0)</f>
        <v>0</v>
      </c>
      <c r="W18" s="3">
        <f>IFERROR(__xludf.DUMMYFUNCTION("""COMPUTED_VALUE"""),0.0)</f>
        <v>0</v>
      </c>
      <c r="X18" s="3">
        <f>IFERROR(__xludf.DUMMYFUNCTION("""COMPUTED_VALUE"""),0.0)</f>
        <v>0</v>
      </c>
      <c r="Y18" s="3">
        <f>IFERROR(__xludf.DUMMYFUNCTION("""COMPUTED_VALUE"""),0.0)</f>
        <v>0</v>
      </c>
      <c r="Z18" s="3">
        <f>IFERROR(__xludf.DUMMYFUNCTION("""COMPUTED_VALUE"""),0.0)</f>
        <v>0</v>
      </c>
      <c r="AA18" s="3">
        <f>IFERROR(__xludf.DUMMYFUNCTION("""COMPUTED_VALUE"""),0.0)</f>
        <v>0</v>
      </c>
      <c r="AB18" s="3">
        <f>IFERROR(__xludf.DUMMYFUNCTION("""COMPUTED_VALUE"""),0.0)</f>
        <v>0</v>
      </c>
      <c r="AC18" s="3">
        <f>IFERROR(__xludf.DUMMYFUNCTION("""COMPUTED_VALUE"""),0.0)</f>
        <v>0</v>
      </c>
      <c r="AD18" s="3">
        <f>IFERROR(__xludf.DUMMYFUNCTION("""COMPUTED_VALUE"""),0.0)</f>
        <v>0</v>
      </c>
      <c r="AE18" s="3">
        <f>IFERROR(__xludf.DUMMYFUNCTION("""COMPUTED_VALUE"""),0.0)</f>
        <v>0</v>
      </c>
      <c r="AF18" s="3">
        <f>IFERROR(__xludf.DUMMYFUNCTION("""COMPUTED_VALUE"""),0.0)</f>
        <v>0</v>
      </c>
      <c r="AG18" s="3">
        <f>IFERROR(__xludf.DUMMYFUNCTION("""COMPUTED_VALUE"""),0.0)</f>
        <v>0</v>
      </c>
      <c r="AH18" s="3">
        <f>IFERROR(__xludf.DUMMYFUNCTION("""COMPUTED_VALUE"""),0.0)</f>
        <v>0</v>
      </c>
      <c r="AI18" s="3">
        <f>IFERROR(__xludf.DUMMYFUNCTION("""COMPUTED_VALUE"""),0.0)</f>
        <v>0</v>
      </c>
      <c r="AJ18" s="3">
        <f>IFERROR(__xludf.DUMMYFUNCTION("""COMPUTED_VALUE"""),0.0)</f>
        <v>0</v>
      </c>
      <c r="AK18" s="3">
        <f>IFERROR(__xludf.DUMMYFUNCTION("""COMPUTED_VALUE"""),0.0)</f>
        <v>0</v>
      </c>
      <c r="AL18" s="3">
        <f>IFERROR(__xludf.DUMMYFUNCTION("""COMPUTED_VALUE"""),0.0)</f>
        <v>0</v>
      </c>
      <c r="AM18" s="3">
        <f>IFERROR(__xludf.DUMMYFUNCTION("""COMPUTED_VALUE"""),0.0)</f>
        <v>0</v>
      </c>
      <c r="AN18" s="3">
        <f>IFERROR(__xludf.DUMMYFUNCTION("""COMPUTED_VALUE"""),0.0)</f>
        <v>0</v>
      </c>
      <c r="AO18" s="3">
        <f>IFERROR(__xludf.DUMMYFUNCTION("""COMPUTED_VALUE"""),0.0)</f>
        <v>0</v>
      </c>
      <c r="AP18" s="3">
        <f>IFERROR(__xludf.DUMMYFUNCTION("""COMPUTED_VALUE"""),0.0)</f>
        <v>0</v>
      </c>
      <c r="AQ18" s="3">
        <f>IFERROR(__xludf.DUMMYFUNCTION("""COMPUTED_VALUE"""),0.0)</f>
        <v>0</v>
      </c>
      <c r="AR18" s="3">
        <f>IFERROR(__xludf.DUMMYFUNCTION("""COMPUTED_VALUE"""),0.0)</f>
        <v>0</v>
      </c>
      <c r="AS18" s="3">
        <f>IFERROR(__xludf.DUMMYFUNCTION("""COMPUTED_VALUE"""),0.0)</f>
        <v>0</v>
      </c>
      <c r="AT18" s="3">
        <f>IFERROR(__xludf.DUMMYFUNCTION("""COMPUTED_VALUE"""),0.0)</f>
        <v>0</v>
      </c>
      <c r="AU18" s="3">
        <f>IFERROR(__xludf.DUMMYFUNCTION("""COMPUTED_VALUE"""),0.0)</f>
        <v>0</v>
      </c>
      <c r="AV18" s="3">
        <f>IFERROR(__xludf.DUMMYFUNCTION("""COMPUTED_VALUE"""),0.0)</f>
        <v>0</v>
      </c>
      <c r="AW18" s="3">
        <f>IFERROR(__xludf.DUMMYFUNCTION("""COMPUTED_VALUE"""),0.0)</f>
        <v>0</v>
      </c>
      <c r="AX18" s="3">
        <f>IFERROR(__xludf.DUMMYFUNCTION("""COMPUTED_VALUE"""),0.0)</f>
        <v>0</v>
      </c>
      <c r="AY18" s="3">
        <f>IFERROR(__xludf.DUMMYFUNCTION("""COMPUTED_VALUE"""),0.0)</f>
        <v>0</v>
      </c>
      <c r="AZ18" s="3">
        <f>IFERROR(__xludf.DUMMYFUNCTION("""COMPUTED_VALUE"""),0.0)</f>
        <v>0</v>
      </c>
      <c r="BA18" s="3">
        <f>IFERROR(__xludf.DUMMYFUNCTION("""COMPUTED_VALUE"""),0.0)</f>
        <v>0</v>
      </c>
      <c r="BB18" s="3">
        <f>IFERROR(__xludf.DUMMYFUNCTION("""COMPUTED_VALUE"""),0.0)</f>
        <v>0</v>
      </c>
      <c r="BC18" s="3">
        <f>IFERROR(__xludf.DUMMYFUNCTION("""COMPUTED_VALUE"""),1.0)</f>
        <v>1</v>
      </c>
      <c r="BD18" s="3">
        <f>IFERROR(__xludf.DUMMYFUNCTION("""COMPUTED_VALUE"""),1.0)</f>
        <v>1</v>
      </c>
      <c r="BE18" s="3">
        <f>IFERROR(__xludf.DUMMYFUNCTION("""COMPUTED_VALUE"""),1.0)</f>
        <v>1</v>
      </c>
      <c r="BF18" s="3">
        <f>IFERROR(__xludf.DUMMYFUNCTION("""COMPUTED_VALUE"""),1.0)</f>
        <v>1</v>
      </c>
      <c r="BG18" s="3">
        <f>IFERROR(__xludf.DUMMYFUNCTION("""COMPUTED_VALUE"""),3.0)</f>
        <v>3</v>
      </c>
      <c r="BH18" s="3">
        <f>IFERROR(__xludf.DUMMYFUNCTION("""COMPUTED_VALUE"""),3.0)</f>
        <v>3</v>
      </c>
      <c r="BI18" s="3">
        <f>IFERROR(__xludf.DUMMYFUNCTION("""COMPUTED_VALUE"""),4.0)</f>
        <v>4</v>
      </c>
      <c r="BJ18" s="3">
        <f>IFERROR(__xludf.DUMMYFUNCTION("""COMPUTED_VALUE"""),6.0)</f>
        <v>6</v>
      </c>
      <c r="BK18" s="3">
        <f>IFERROR(__xludf.DUMMYFUNCTION("""COMPUTED_VALUE"""),6.0)</f>
        <v>6</v>
      </c>
      <c r="BL18" s="3">
        <f>IFERROR(__xludf.DUMMYFUNCTION("""COMPUTED_VALUE"""),8.0)</f>
        <v>8</v>
      </c>
      <c r="BM18" s="3">
        <f>IFERROR(__xludf.DUMMYFUNCTION("""COMPUTED_VALUE"""),16.0)</f>
        <v>16</v>
      </c>
      <c r="BN18" s="3">
        <f>IFERROR(__xludf.DUMMYFUNCTION("""COMPUTED_VALUE"""),21.0)</f>
        <v>21</v>
      </c>
      <c r="BO18" s="3">
        <f>IFERROR(__xludf.DUMMYFUNCTION("""COMPUTED_VALUE"""),28.0)</f>
        <v>28</v>
      </c>
      <c r="BP18" s="3">
        <f>IFERROR(__xludf.DUMMYFUNCTION("""COMPUTED_VALUE"""),30.0)</f>
        <v>30</v>
      </c>
      <c r="BQ18" s="3">
        <f>IFERROR(__xludf.DUMMYFUNCTION("""COMPUTED_VALUE"""),49.0)</f>
        <v>49</v>
      </c>
      <c r="BR18" s="3">
        <f>IFERROR(__xludf.DUMMYFUNCTION("""COMPUTED_VALUE"""),58.0)</f>
        <v>58</v>
      </c>
      <c r="BS18" s="3">
        <f>IFERROR(__xludf.DUMMYFUNCTION("""COMPUTED_VALUE"""),68.0)</f>
        <v>68</v>
      </c>
      <c r="BT18" s="3">
        <f>IFERROR(__xludf.DUMMYFUNCTION("""COMPUTED_VALUE"""),86.0)</f>
        <v>86</v>
      </c>
      <c r="BU18" s="3">
        <f>IFERROR(__xludf.DUMMYFUNCTION("""COMPUTED_VALUE"""),108.0)</f>
        <v>108</v>
      </c>
      <c r="BV18" s="3">
        <f>IFERROR(__xludf.DUMMYFUNCTION("""COMPUTED_VALUE"""),128.0)</f>
        <v>128</v>
      </c>
      <c r="BW18" s="3">
        <f>IFERROR(__xludf.DUMMYFUNCTION("""COMPUTED_VALUE"""),146.0)</f>
        <v>146</v>
      </c>
      <c r="BX18" s="3">
        <f>IFERROR(__xludf.DUMMYFUNCTION("""COMPUTED_VALUE"""),158.0)</f>
        <v>158</v>
      </c>
      <c r="BY18" s="3">
        <f>IFERROR(__xludf.DUMMYFUNCTION("""COMPUTED_VALUE"""),168.0)</f>
        <v>168</v>
      </c>
      <c r="BZ18" s="3">
        <f>IFERROR(__xludf.DUMMYFUNCTION("""COMPUTED_VALUE"""),186.0)</f>
        <v>186</v>
      </c>
      <c r="CA18" s="3">
        <f>IFERROR(__xludf.DUMMYFUNCTION("""COMPUTED_VALUE"""),204.0)</f>
        <v>204</v>
      </c>
      <c r="CB18" s="3">
        <f>IFERROR(__xludf.DUMMYFUNCTION("""COMPUTED_VALUE"""),220.0)</f>
        <v>220</v>
      </c>
    </row>
    <row r="19">
      <c r="A19" s="3" t="str">
        <f>IFERROR(__xludf.DUMMYFUNCTION("""COMPUTED_VALUE"""),"")</f>
        <v/>
      </c>
      <c r="B19" s="3" t="str">
        <f>IFERROR(__xludf.DUMMYFUNCTION("""COMPUTED_VALUE"""),"Azerbaijan")</f>
        <v>Azerbaijan</v>
      </c>
      <c r="C19" s="3">
        <f>IFERROR(__xludf.DUMMYFUNCTION("""COMPUTED_VALUE"""),40.1431)</f>
        <v>40.1431</v>
      </c>
      <c r="D19" s="3">
        <f>IFERROR(__xludf.DUMMYFUNCTION("""COMPUTED_VALUE"""),47.5769)</f>
        <v>47.5769</v>
      </c>
      <c r="E19" s="3">
        <f>IFERROR(__xludf.DUMMYFUNCTION("""COMPUTED_VALUE"""),0.0)</f>
        <v>0</v>
      </c>
      <c r="F19" s="3">
        <f>IFERROR(__xludf.DUMMYFUNCTION("""COMPUTED_VALUE"""),0.0)</f>
        <v>0</v>
      </c>
      <c r="G19" s="3">
        <f>IFERROR(__xludf.DUMMYFUNCTION("""COMPUTED_VALUE"""),0.0)</f>
        <v>0</v>
      </c>
      <c r="H19" s="3">
        <f>IFERROR(__xludf.DUMMYFUNCTION("""COMPUTED_VALUE"""),0.0)</f>
        <v>0</v>
      </c>
      <c r="I19" s="3">
        <f>IFERROR(__xludf.DUMMYFUNCTION("""COMPUTED_VALUE"""),0.0)</f>
        <v>0</v>
      </c>
      <c r="J19" s="3">
        <f>IFERROR(__xludf.DUMMYFUNCTION("""COMPUTED_VALUE"""),0.0)</f>
        <v>0</v>
      </c>
      <c r="K19" s="3">
        <f>IFERROR(__xludf.DUMMYFUNCTION("""COMPUTED_VALUE"""),0.0)</f>
        <v>0</v>
      </c>
      <c r="L19" s="3">
        <f>IFERROR(__xludf.DUMMYFUNCTION("""COMPUTED_VALUE"""),0.0)</f>
        <v>0</v>
      </c>
      <c r="M19" s="3">
        <f>IFERROR(__xludf.DUMMYFUNCTION("""COMPUTED_VALUE"""),0.0)</f>
        <v>0</v>
      </c>
      <c r="N19" s="3">
        <f>IFERROR(__xludf.DUMMYFUNCTION("""COMPUTED_VALUE"""),0.0)</f>
        <v>0</v>
      </c>
      <c r="O19" s="3">
        <f>IFERROR(__xludf.DUMMYFUNCTION("""COMPUTED_VALUE"""),0.0)</f>
        <v>0</v>
      </c>
      <c r="P19" s="3">
        <f>IFERROR(__xludf.DUMMYFUNCTION("""COMPUTED_VALUE"""),0.0)</f>
        <v>0</v>
      </c>
      <c r="Q19" s="3">
        <f>IFERROR(__xludf.DUMMYFUNCTION("""COMPUTED_VALUE"""),0.0)</f>
        <v>0</v>
      </c>
      <c r="R19" s="3">
        <f>IFERROR(__xludf.DUMMYFUNCTION("""COMPUTED_VALUE"""),0.0)</f>
        <v>0</v>
      </c>
      <c r="S19" s="3">
        <f>IFERROR(__xludf.DUMMYFUNCTION("""COMPUTED_VALUE"""),0.0)</f>
        <v>0</v>
      </c>
      <c r="T19" s="3">
        <f>IFERROR(__xludf.DUMMYFUNCTION("""COMPUTED_VALUE"""),0.0)</f>
        <v>0</v>
      </c>
      <c r="U19" s="3">
        <f>IFERROR(__xludf.DUMMYFUNCTION("""COMPUTED_VALUE"""),0.0)</f>
        <v>0</v>
      </c>
      <c r="V19" s="3">
        <f>IFERROR(__xludf.DUMMYFUNCTION("""COMPUTED_VALUE"""),0.0)</f>
        <v>0</v>
      </c>
      <c r="W19" s="3">
        <f>IFERROR(__xludf.DUMMYFUNCTION("""COMPUTED_VALUE"""),0.0)</f>
        <v>0</v>
      </c>
      <c r="X19" s="3">
        <f>IFERROR(__xludf.DUMMYFUNCTION("""COMPUTED_VALUE"""),0.0)</f>
        <v>0</v>
      </c>
      <c r="Y19" s="3">
        <f>IFERROR(__xludf.DUMMYFUNCTION("""COMPUTED_VALUE"""),0.0)</f>
        <v>0</v>
      </c>
      <c r="Z19" s="3">
        <f>IFERROR(__xludf.DUMMYFUNCTION("""COMPUTED_VALUE"""),0.0)</f>
        <v>0</v>
      </c>
      <c r="AA19" s="3">
        <f>IFERROR(__xludf.DUMMYFUNCTION("""COMPUTED_VALUE"""),0.0)</f>
        <v>0</v>
      </c>
      <c r="AB19" s="3">
        <f>IFERROR(__xludf.DUMMYFUNCTION("""COMPUTED_VALUE"""),0.0)</f>
        <v>0</v>
      </c>
      <c r="AC19" s="3">
        <f>IFERROR(__xludf.DUMMYFUNCTION("""COMPUTED_VALUE"""),0.0)</f>
        <v>0</v>
      </c>
      <c r="AD19" s="3">
        <f>IFERROR(__xludf.DUMMYFUNCTION("""COMPUTED_VALUE"""),0.0)</f>
        <v>0</v>
      </c>
      <c r="AE19" s="3">
        <f>IFERROR(__xludf.DUMMYFUNCTION("""COMPUTED_VALUE"""),0.0)</f>
        <v>0</v>
      </c>
      <c r="AF19" s="3">
        <f>IFERROR(__xludf.DUMMYFUNCTION("""COMPUTED_VALUE"""),0.0)</f>
        <v>0</v>
      </c>
      <c r="AG19" s="3">
        <f>IFERROR(__xludf.DUMMYFUNCTION("""COMPUTED_VALUE"""),0.0)</f>
        <v>0</v>
      </c>
      <c r="AH19" s="3">
        <f>IFERROR(__xludf.DUMMYFUNCTION("""COMPUTED_VALUE"""),0.0)</f>
        <v>0</v>
      </c>
      <c r="AI19" s="3">
        <f>IFERROR(__xludf.DUMMYFUNCTION("""COMPUTED_VALUE"""),0.0)</f>
        <v>0</v>
      </c>
      <c r="AJ19" s="3">
        <f>IFERROR(__xludf.DUMMYFUNCTION("""COMPUTED_VALUE"""),0.0)</f>
        <v>0</v>
      </c>
      <c r="AK19" s="3">
        <f>IFERROR(__xludf.DUMMYFUNCTION("""COMPUTED_VALUE"""),0.0)</f>
        <v>0</v>
      </c>
      <c r="AL19" s="3">
        <f>IFERROR(__xludf.DUMMYFUNCTION("""COMPUTED_VALUE"""),0.0)</f>
        <v>0</v>
      </c>
      <c r="AM19" s="3">
        <f>IFERROR(__xludf.DUMMYFUNCTION("""COMPUTED_VALUE"""),0.0)</f>
        <v>0</v>
      </c>
      <c r="AN19" s="3">
        <f>IFERROR(__xludf.DUMMYFUNCTION("""COMPUTED_VALUE"""),0.0)</f>
        <v>0</v>
      </c>
      <c r="AO19" s="3">
        <f>IFERROR(__xludf.DUMMYFUNCTION("""COMPUTED_VALUE"""),0.0)</f>
        <v>0</v>
      </c>
      <c r="AP19" s="3">
        <f>IFERROR(__xludf.DUMMYFUNCTION("""COMPUTED_VALUE"""),0.0)</f>
        <v>0</v>
      </c>
      <c r="AQ19" s="3">
        <f>IFERROR(__xludf.DUMMYFUNCTION("""COMPUTED_VALUE"""),0.0)</f>
        <v>0</v>
      </c>
      <c r="AR19" s="3">
        <f>IFERROR(__xludf.DUMMYFUNCTION("""COMPUTED_VALUE"""),0.0)</f>
        <v>0</v>
      </c>
      <c r="AS19" s="3">
        <f>IFERROR(__xludf.DUMMYFUNCTION("""COMPUTED_VALUE"""),0.0)</f>
        <v>0</v>
      </c>
      <c r="AT19" s="3">
        <f>IFERROR(__xludf.DUMMYFUNCTION("""COMPUTED_VALUE"""),0.0)</f>
        <v>0</v>
      </c>
      <c r="AU19" s="3">
        <f>IFERROR(__xludf.DUMMYFUNCTION("""COMPUTED_VALUE"""),0.0)</f>
        <v>0</v>
      </c>
      <c r="AV19" s="3">
        <f>IFERROR(__xludf.DUMMYFUNCTION("""COMPUTED_VALUE"""),0.0)</f>
        <v>0</v>
      </c>
      <c r="AW19" s="3">
        <f>IFERROR(__xludf.DUMMYFUNCTION("""COMPUTED_VALUE"""),0.0)</f>
        <v>0</v>
      </c>
      <c r="AX19" s="3">
        <f>IFERROR(__xludf.DUMMYFUNCTION("""COMPUTED_VALUE"""),0.0)</f>
        <v>0</v>
      </c>
      <c r="AY19" s="3">
        <f>IFERROR(__xludf.DUMMYFUNCTION("""COMPUTED_VALUE"""),0.0)</f>
        <v>0</v>
      </c>
      <c r="AZ19" s="3">
        <f>IFERROR(__xludf.DUMMYFUNCTION("""COMPUTED_VALUE"""),0.0)</f>
        <v>0</v>
      </c>
      <c r="BA19" s="3">
        <f>IFERROR(__xludf.DUMMYFUNCTION("""COMPUTED_VALUE"""),0.0)</f>
        <v>0</v>
      </c>
      <c r="BB19" s="3">
        <f>IFERROR(__xludf.DUMMYFUNCTION("""COMPUTED_VALUE"""),0.0)</f>
        <v>0</v>
      </c>
      <c r="BC19" s="3">
        <f>IFERROR(__xludf.DUMMYFUNCTION("""COMPUTED_VALUE"""),0.0)</f>
        <v>0</v>
      </c>
      <c r="BD19" s="3">
        <f>IFERROR(__xludf.DUMMYFUNCTION("""COMPUTED_VALUE"""),1.0)</f>
        <v>1</v>
      </c>
      <c r="BE19" s="3">
        <f>IFERROR(__xludf.DUMMYFUNCTION("""COMPUTED_VALUE"""),1.0)</f>
        <v>1</v>
      </c>
      <c r="BF19" s="3">
        <f>IFERROR(__xludf.DUMMYFUNCTION("""COMPUTED_VALUE"""),1.0)</f>
        <v>1</v>
      </c>
      <c r="BG19" s="3">
        <f>IFERROR(__xludf.DUMMYFUNCTION("""COMPUTED_VALUE"""),1.0)</f>
        <v>1</v>
      </c>
      <c r="BH19" s="3">
        <f>IFERROR(__xludf.DUMMYFUNCTION("""COMPUTED_VALUE"""),1.0)</f>
        <v>1</v>
      </c>
      <c r="BI19" s="3">
        <f>IFERROR(__xludf.DUMMYFUNCTION("""COMPUTED_VALUE"""),1.0)</f>
        <v>1</v>
      </c>
      <c r="BJ19" s="3">
        <f>IFERROR(__xludf.DUMMYFUNCTION("""COMPUTED_VALUE"""),1.0)</f>
        <v>1</v>
      </c>
      <c r="BK19" s="3">
        <f>IFERROR(__xludf.DUMMYFUNCTION("""COMPUTED_VALUE"""),1.0)</f>
        <v>1</v>
      </c>
      <c r="BL19" s="3">
        <f>IFERROR(__xludf.DUMMYFUNCTION("""COMPUTED_VALUE"""),1.0)</f>
        <v>1</v>
      </c>
      <c r="BM19" s="3">
        <f>IFERROR(__xludf.DUMMYFUNCTION("""COMPUTED_VALUE"""),1.0)</f>
        <v>1</v>
      </c>
      <c r="BN19" s="3">
        <f>IFERROR(__xludf.DUMMYFUNCTION("""COMPUTED_VALUE"""),1.0)</f>
        <v>1</v>
      </c>
      <c r="BO19" s="3">
        <f>IFERROR(__xludf.DUMMYFUNCTION("""COMPUTED_VALUE"""),1.0)</f>
        <v>1</v>
      </c>
      <c r="BP19" s="3">
        <f>IFERROR(__xludf.DUMMYFUNCTION("""COMPUTED_VALUE"""),2.0)</f>
        <v>2</v>
      </c>
      <c r="BQ19" s="3">
        <f>IFERROR(__xludf.DUMMYFUNCTION("""COMPUTED_VALUE"""),3.0)</f>
        <v>3</v>
      </c>
      <c r="BR19" s="3">
        <f>IFERROR(__xludf.DUMMYFUNCTION("""COMPUTED_VALUE"""),3.0)</f>
        <v>3</v>
      </c>
      <c r="BS19" s="3">
        <f>IFERROR(__xludf.DUMMYFUNCTION("""COMPUTED_VALUE"""),4.0)</f>
        <v>4</v>
      </c>
      <c r="BT19" s="3">
        <f>IFERROR(__xludf.DUMMYFUNCTION("""COMPUTED_VALUE"""),4.0)</f>
        <v>4</v>
      </c>
      <c r="BU19" s="3">
        <f>IFERROR(__xludf.DUMMYFUNCTION("""COMPUTED_VALUE"""),4.0)</f>
        <v>4</v>
      </c>
      <c r="BV19" s="3">
        <f>IFERROR(__xludf.DUMMYFUNCTION("""COMPUTED_VALUE"""),5.0)</f>
        <v>5</v>
      </c>
      <c r="BW19" s="3">
        <f>IFERROR(__xludf.DUMMYFUNCTION("""COMPUTED_VALUE"""),5.0)</f>
        <v>5</v>
      </c>
      <c r="BX19" s="3">
        <f>IFERROR(__xludf.DUMMYFUNCTION("""COMPUTED_VALUE"""),5.0)</f>
        <v>5</v>
      </c>
      <c r="BY19" s="3">
        <f>IFERROR(__xludf.DUMMYFUNCTION("""COMPUTED_VALUE"""),5.0)</f>
        <v>5</v>
      </c>
      <c r="BZ19" s="3">
        <f>IFERROR(__xludf.DUMMYFUNCTION("""COMPUTED_VALUE"""),5.0)</f>
        <v>5</v>
      </c>
      <c r="CA19" s="3">
        <f>IFERROR(__xludf.DUMMYFUNCTION("""COMPUTED_VALUE"""),7.0)</f>
        <v>7</v>
      </c>
      <c r="CB19" s="3">
        <f>IFERROR(__xludf.DUMMYFUNCTION("""COMPUTED_VALUE"""),7.0)</f>
        <v>7</v>
      </c>
    </row>
    <row r="20">
      <c r="A20" s="3" t="str">
        <f>IFERROR(__xludf.DUMMYFUNCTION("""COMPUTED_VALUE"""),"")</f>
        <v/>
      </c>
      <c r="B20" s="3" t="str">
        <f>IFERROR(__xludf.DUMMYFUNCTION("""COMPUTED_VALUE"""),"Bahamas")</f>
        <v>Bahamas</v>
      </c>
      <c r="C20" s="3">
        <f>IFERROR(__xludf.DUMMYFUNCTION("""COMPUTED_VALUE"""),25.0343)</f>
        <v>25.0343</v>
      </c>
      <c r="D20" s="3">
        <f>IFERROR(__xludf.DUMMYFUNCTION("""COMPUTED_VALUE"""),-77.3963)</f>
        <v>-77.3963</v>
      </c>
      <c r="E20" s="3">
        <f>IFERROR(__xludf.DUMMYFUNCTION("""COMPUTED_VALUE"""),0.0)</f>
        <v>0</v>
      </c>
      <c r="F20" s="3">
        <f>IFERROR(__xludf.DUMMYFUNCTION("""COMPUTED_VALUE"""),0.0)</f>
        <v>0</v>
      </c>
      <c r="G20" s="3">
        <f>IFERROR(__xludf.DUMMYFUNCTION("""COMPUTED_VALUE"""),0.0)</f>
        <v>0</v>
      </c>
      <c r="H20" s="3">
        <f>IFERROR(__xludf.DUMMYFUNCTION("""COMPUTED_VALUE"""),0.0)</f>
        <v>0</v>
      </c>
      <c r="I20" s="3">
        <f>IFERROR(__xludf.DUMMYFUNCTION("""COMPUTED_VALUE"""),0.0)</f>
        <v>0</v>
      </c>
      <c r="J20" s="3">
        <f>IFERROR(__xludf.DUMMYFUNCTION("""COMPUTED_VALUE"""),0.0)</f>
        <v>0</v>
      </c>
      <c r="K20" s="3">
        <f>IFERROR(__xludf.DUMMYFUNCTION("""COMPUTED_VALUE"""),0.0)</f>
        <v>0</v>
      </c>
      <c r="L20" s="3">
        <f>IFERROR(__xludf.DUMMYFUNCTION("""COMPUTED_VALUE"""),0.0)</f>
        <v>0</v>
      </c>
      <c r="M20" s="3">
        <f>IFERROR(__xludf.DUMMYFUNCTION("""COMPUTED_VALUE"""),0.0)</f>
        <v>0</v>
      </c>
      <c r="N20" s="3">
        <f>IFERROR(__xludf.DUMMYFUNCTION("""COMPUTED_VALUE"""),0.0)</f>
        <v>0</v>
      </c>
      <c r="O20" s="3">
        <f>IFERROR(__xludf.DUMMYFUNCTION("""COMPUTED_VALUE"""),0.0)</f>
        <v>0</v>
      </c>
      <c r="P20" s="3">
        <f>IFERROR(__xludf.DUMMYFUNCTION("""COMPUTED_VALUE"""),0.0)</f>
        <v>0</v>
      </c>
      <c r="Q20" s="3">
        <f>IFERROR(__xludf.DUMMYFUNCTION("""COMPUTED_VALUE"""),0.0)</f>
        <v>0</v>
      </c>
      <c r="R20" s="3">
        <f>IFERROR(__xludf.DUMMYFUNCTION("""COMPUTED_VALUE"""),0.0)</f>
        <v>0</v>
      </c>
      <c r="S20" s="3">
        <f>IFERROR(__xludf.DUMMYFUNCTION("""COMPUTED_VALUE"""),0.0)</f>
        <v>0</v>
      </c>
      <c r="T20" s="3">
        <f>IFERROR(__xludf.DUMMYFUNCTION("""COMPUTED_VALUE"""),0.0)</f>
        <v>0</v>
      </c>
      <c r="U20" s="3">
        <f>IFERROR(__xludf.DUMMYFUNCTION("""COMPUTED_VALUE"""),0.0)</f>
        <v>0</v>
      </c>
      <c r="V20" s="3">
        <f>IFERROR(__xludf.DUMMYFUNCTION("""COMPUTED_VALUE"""),0.0)</f>
        <v>0</v>
      </c>
      <c r="W20" s="3">
        <f>IFERROR(__xludf.DUMMYFUNCTION("""COMPUTED_VALUE"""),0.0)</f>
        <v>0</v>
      </c>
      <c r="X20" s="3">
        <f>IFERROR(__xludf.DUMMYFUNCTION("""COMPUTED_VALUE"""),0.0)</f>
        <v>0</v>
      </c>
      <c r="Y20" s="3">
        <f>IFERROR(__xludf.DUMMYFUNCTION("""COMPUTED_VALUE"""),0.0)</f>
        <v>0</v>
      </c>
      <c r="Z20" s="3">
        <f>IFERROR(__xludf.DUMMYFUNCTION("""COMPUTED_VALUE"""),0.0)</f>
        <v>0</v>
      </c>
      <c r="AA20" s="3">
        <f>IFERROR(__xludf.DUMMYFUNCTION("""COMPUTED_VALUE"""),0.0)</f>
        <v>0</v>
      </c>
      <c r="AB20" s="3">
        <f>IFERROR(__xludf.DUMMYFUNCTION("""COMPUTED_VALUE"""),0.0)</f>
        <v>0</v>
      </c>
      <c r="AC20" s="3">
        <f>IFERROR(__xludf.DUMMYFUNCTION("""COMPUTED_VALUE"""),0.0)</f>
        <v>0</v>
      </c>
      <c r="AD20" s="3">
        <f>IFERROR(__xludf.DUMMYFUNCTION("""COMPUTED_VALUE"""),0.0)</f>
        <v>0</v>
      </c>
      <c r="AE20" s="3">
        <f>IFERROR(__xludf.DUMMYFUNCTION("""COMPUTED_VALUE"""),0.0)</f>
        <v>0</v>
      </c>
      <c r="AF20" s="3">
        <f>IFERROR(__xludf.DUMMYFUNCTION("""COMPUTED_VALUE"""),0.0)</f>
        <v>0</v>
      </c>
      <c r="AG20" s="3">
        <f>IFERROR(__xludf.DUMMYFUNCTION("""COMPUTED_VALUE"""),0.0)</f>
        <v>0</v>
      </c>
      <c r="AH20" s="3">
        <f>IFERROR(__xludf.DUMMYFUNCTION("""COMPUTED_VALUE"""),0.0)</f>
        <v>0</v>
      </c>
      <c r="AI20" s="3">
        <f>IFERROR(__xludf.DUMMYFUNCTION("""COMPUTED_VALUE"""),0.0)</f>
        <v>0</v>
      </c>
      <c r="AJ20" s="3">
        <f>IFERROR(__xludf.DUMMYFUNCTION("""COMPUTED_VALUE"""),0.0)</f>
        <v>0</v>
      </c>
      <c r="AK20" s="3">
        <f>IFERROR(__xludf.DUMMYFUNCTION("""COMPUTED_VALUE"""),0.0)</f>
        <v>0</v>
      </c>
      <c r="AL20" s="3">
        <f>IFERROR(__xludf.DUMMYFUNCTION("""COMPUTED_VALUE"""),0.0)</f>
        <v>0</v>
      </c>
      <c r="AM20" s="3">
        <f>IFERROR(__xludf.DUMMYFUNCTION("""COMPUTED_VALUE"""),0.0)</f>
        <v>0</v>
      </c>
      <c r="AN20" s="3">
        <f>IFERROR(__xludf.DUMMYFUNCTION("""COMPUTED_VALUE"""),0.0)</f>
        <v>0</v>
      </c>
      <c r="AO20" s="3">
        <f>IFERROR(__xludf.DUMMYFUNCTION("""COMPUTED_VALUE"""),0.0)</f>
        <v>0</v>
      </c>
      <c r="AP20" s="3">
        <f>IFERROR(__xludf.DUMMYFUNCTION("""COMPUTED_VALUE"""),0.0)</f>
        <v>0</v>
      </c>
      <c r="AQ20" s="3">
        <f>IFERROR(__xludf.DUMMYFUNCTION("""COMPUTED_VALUE"""),0.0)</f>
        <v>0</v>
      </c>
      <c r="AR20" s="3">
        <f>IFERROR(__xludf.DUMMYFUNCTION("""COMPUTED_VALUE"""),0.0)</f>
        <v>0</v>
      </c>
      <c r="AS20" s="3">
        <f>IFERROR(__xludf.DUMMYFUNCTION("""COMPUTED_VALUE"""),0.0)</f>
        <v>0</v>
      </c>
      <c r="AT20" s="3">
        <f>IFERROR(__xludf.DUMMYFUNCTION("""COMPUTED_VALUE"""),0.0)</f>
        <v>0</v>
      </c>
      <c r="AU20" s="3">
        <f>IFERROR(__xludf.DUMMYFUNCTION("""COMPUTED_VALUE"""),0.0)</f>
        <v>0</v>
      </c>
      <c r="AV20" s="3">
        <f>IFERROR(__xludf.DUMMYFUNCTION("""COMPUTED_VALUE"""),0.0)</f>
        <v>0</v>
      </c>
      <c r="AW20" s="3">
        <f>IFERROR(__xludf.DUMMYFUNCTION("""COMPUTED_VALUE"""),0.0)</f>
        <v>0</v>
      </c>
      <c r="AX20" s="3">
        <f>IFERROR(__xludf.DUMMYFUNCTION("""COMPUTED_VALUE"""),0.0)</f>
        <v>0</v>
      </c>
      <c r="AY20" s="3">
        <f>IFERROR(__xludf.DUMMYFUNCTION("""COMPUTED_VALUE"""),0.0)</f>
        <v>0</v>
      </c>
      <c r="AZ20" s="3">
        <f>IFERROR(__xludf.DUMMYFUNCTION("""COMPUTED_VALUE"""),0.0)</f>
        <v>0</v>
      </c>
      <c r="BA20" s="3">
        <f>IFERROR(__xludf.DUMMYFUNCTION("""COMPUTED_VALUE"""),0.0)</f>
        <v>0</v>
      </c>
      <c r="BB20" s="3">
        <f>IFERROR(__xludf.DUMMYFUNCTION("""COMPUTED_VALUE"""),0.0)</f>
        <v>0</v>
      </c>
      <c r="BC20" s="3">
        <f>IFERROR(__xludf.DUMMYFUNCTION("""COMPUTED_VALUE"""),0.0)</f>
        <v>0</v>
      </c>
      <c r="BD20" s="3">
        <f>IFERROR(__xludf.DUMMYFUNCTION("""COMPUTED_VALUE"""),0.0)</f>
        <v>0</v>
      </c>
      <c r="BE20" s="3">
        <f>IFERROR(__xludf.DUMMYFUNCTION("""COMPUTED_VALUE"""),0.0)</f>
        <v>0</v>
      </c>
      <c r="BF20" s="3">
        <f>IFERROR(__xludf.DUMMYFUNCTION("""COMPUTED_VALUE"""),0.0)</f>
        <v>0</v>
      </c>
      <c r="BG20" s="3">
        <f>IFERROR(__xludf.DUMMYFUNCTION("""COMPUTED_VALUE"""),0.0)</f>
        <v>0</v>
      </c>
      <c r="BH20" s="3">
        <f>IFERROR(__xludf.DUMMYFUNCTION("""COMPUTED_VALUE"""),0.0)</f>
        <v>0</v>
      </c>
      <c r="BI20" s="3">
        <f>IFERROR(__xludf.DUMMYFUNCTION("""COMPUTED_VALUE"""),0.0)</f>
        <v>0</v>
      </c>
      <c r="BJ20" s="3">
        <f>IFERROR(__xludf.DUMMYFUNCTION("""COMPUTED_VALUE"""),0.0)</f>
        <v>0</v>
      </c>
      <c r="BK20" s="3">
        <f>IFERROR(__xludf.DUMMYFUNCTION("""COMPUTED_VALUE"""),0.0)</f>
        <v>0</v>
      </c>
      <c r="BL20" s="3">
        <f>IFERROR(__xludf.DUMMYFUNCTION("""COMPUTED_VALUE"""),0.0)</f>
        <v>0</v>
      </c>
      <c r="BM20" s="3">
        <f>IFERROR(__xludf.DUMMYFUNCTION("""COMPUTED_VALUE"""),0.0)</f>
        <v>0</v>
      </c>
      <c r="BN20" s="3">
        <f>IFERROR(__xludf.DUMMYFUNCTION("""COMPUTED_VALUE"""),0.0)</f>
        <v>0</v>
      </c>
      <c r="BO20" s="3">
        <f>IFERROR(__xludf.DUMMYFUNCTION("""COMPUTED_VALUE"""),0.0)</f>
        <v>0</v>
      </c>
      <c r="BP20" s="3">
        <f>IFERROR(__xludf.DUMMYFUNCTION("""COMPUTED_VALUE"""),0.0)</f>
        <v>0</v>
      </c>
      <c r="BQ20" s="3">
        <f>IFERROR(__xludf.DUMMYFUNCTION("""COMPUTED_VALUE"""),0.0)</f>
        <v>0</v>
      </c>
      <c r="BR20" s="3">
        <f>IFERROR(__xludf.DUMMYFUNCTION("""COMPUTED_VALUE"""),0.0)</f>
        <v>0</v>
      </c>
      <c r="BS20" s="3">
        <f>IFERROR(__xludf.DUMMYFUNCTION("""COMPUTED_VALUE"""),0.0)</f>
        <v>0</v>
      </c>
      <c r="BT20" s="3">
        <f>IFERROR(__xludf.DUMMYFUNCTION("""COMPUTED_VALUE"""),0.0)</f>
        <v>0</v>
      </c>
      <c r="BU20" s="3">
        <f>IFERROR(__xludf.DUMMYFUNCTION("""COMPUTED_VALUE"""),0.0)</f>
        <v>0</v>
      </c>
      <c r="BV20" s="3">
        <f>IFERROR(__xludf.DUMMYFUNCTION("""COMPUTED_VALUE"""),0.0)</f>
        <v>0</v>
      </c>
      <c r="BW20" s="3">
        <f>IFERROR(__xludf.DUMMYFUNCTION("""COMPUTED_VALUE"""),1.0)</f>
        <v>1</v>
      </c>
      <c r="BX20" s="3">
        <f>IFERROR(__xludf.DUMMYFUNCTION("""COMPUTED_VALUE"""),1.0)</f>
        <v>1</v>
      </c>
      <c r="BY20" s="3">
        <f>IFERROR(__xludf.DUMMYFUNCTION("""COMPUTED_VALUE"""),1.0)</f>
        <v>1</v>
      </c>
      <c r="BZ20" s="3">
        <f>IFERROR(__xludf.DUMMYFUNCTION("""COMPUTED_VALUE"""),4.0)</f>
        <v>4</v>
      </c>
      <c r="CA20" s="3">
        <f>IFERROR(__xludf.DUMMYFUNCTION("""COMPUTED_VALUE"""),4.0)</f>
        <v>4</v>
      </c>
      <c r="CB20" s="3">
        <f>IFERROR(__xludf.DUMMYFUNCTION("""COMPUTED_VALUE"""),5.0)</f>
        <v>5</v>
      </c>
    </row>
    <row r="21">
      <c r="A21" s="3" t="str">
        <f>IFERROR(__xludf.DUMMYFUNCTION("""COMPUTED_VALUE"""),"")</f>
        <v/>
      </c>
      <c r="B21" s="3" t="str">
        <f>IFERROR(__xludf.DUMMYFUNCTION("""COMPUTED_VALUE"""),"Bahrain")</f>
        <v>Bahrain</v>
      </c>
      <c r="C21" s="3">
        <f>IFERROR(__xludf.DUMMYFUNCTION("""COMPUTED_VALUE"""),26.0275)</f>
        <v>26.0275</v>
      </c>
      <c r="D21" s="3">
        <f>IFERROR(__xludf.DUMMYFUNCTION("""COMPUTED_VALUE"""),50.55)</f>
        <v>50.55</v>
      </c>
      <c r="E21" s="3">
        <f>IFERROR(__xludf.DUMMYFUNCTION("""COMPUTED_VALUE"""),0.0)</f>
        <v>0</v>
      </c>
      <c r="F21" s="3">
        <f>IFERROR(__xludf.DUMMYFUNCTION("""COMPUTED_VALUE"""),0.0)</f>
        <v>0</v>
      </c>
      <c r="G21" s="3">
        <f>IFERROR(__xludf.DUMMYFUNCTION("""COMPUTED_VALUE"""),0.0)</f>
        <v>0</v>
      </c>
      <c r="H21" s="3">
        <f>IFERROR(__xludf.DUMMYFUNCTION("""COMPUTED_VALUE"""),0.0)</f>
        <v>0</v>
      </c>
      <c r="I21" s="3">
        <f>IFERROR(__xludf.DUMMYFUNCTION("""COMPUTED_VALUE"""),0.0)</f>
        <v>0</v>
      </c>
      <c r="J21" s="3">
        <f>IFERROR(__xludf.DUMMYFUNCTION("""COMPUTED_VALUE"""),0.0)</f>
        <v>0</v>
      </c>
      <c r="K21" s="3">
        <f>IFERROR(__xludf.DUMMYFUNCTION("""COMPUTED_VALUE"""),0.0)</f>
        <v>0</v>
      </c>
      <c r="L21" s="3">
        <f>IFERROR(__xludf.DUMMYFUNCTION("""COMPUTED_VALUE"""),0.0)</f>
        <v>0</v>
      </c>
      <c r="M21" s="3">
        <f>IFERROR(__xludf.DUMMYFUNCTION("""COMPUTED_VALUE"""),0.0)</f>
        <v>0</v>
      </c>
      <c r="N21" s="3">
        <f>IFERROR(__xludf.DUMMYFUNCTION("""COMPUTED_VALUE"""),0.0)</f>
        <v>0</v>
      </c>
      <c r="O21" s="3">
        <f>IFERROR(__xludf.DUMMYFUNCTION("""COMPUTED_VALUE"""),0.0)</f>
        <v>0</v>
      </c>
      <c r="P21" s="3">
        <f>IFERROR(__xludf.DUMMYFUNCTION("""COMPUTED_VALUE"""),0.0)</f>
        <v>0</v>
      </c>
      <c r="Q21" s="3">
        <f>IFERROR(__xludf.DUMMYFUNCTION("""COMPUTED_VALUE"""),0.0)</f>
        <v>0</v>
      </c>
      <c r="R21" s="3">
        <f>IFERROR(__xludf.DUMMYFUNCTION("""COMPUTED_VALUE"""),0.0)</f>
        <v>0</v>
      </c>
      <c r="S21" s="3">
        <f>IFERROR(__xludf.DUMMYFUNCTION("""COMPUTED_VALUE"""),0.0)</f>
        <v>0</v>
      </c>
      <c r="T21" s="3">
        <f>IFERROR(__xludf.DUMMYFUNCTION("""COMPUTED_VALUE"""),0.0)</f>
        <v>0</v>
      </c>
      <c r="U21" s="3">
        <f>IFERROR(__xludf.DUMMYFUNCTION("""COMPUTED_VALUE"""),0.0)</f>
        <v>0</v>
      </c>
      <c r="V21" s="3">
        <f>IFERROR(__xludf.DUMMYFUNCTION("""COMPUTED_VALUE"""),0.0)</f>
        <v>0</v>
      </c>
      <c r="W21" s="3">
        <f>IFERROR(__xludf.DUMMYFUNCTION("""COMPUTED_VALUE"""),0.0)</f>
        <v>0</v>
      </c>
      <c r="X21" s="3">
        <f>IFERROR(__xludf.DUMMYFUNCTION("""COMPUTED_VALUE"""),0.0)</f>
        <v>0</v>
      </c>
      <c r="Y21" s="3">
        <f>IFERROR(__xludf.DUMMYFUNCTION("""COMPUTED_VALUE"""),0.0)</f>
        <v>0</v>
      </c>
      <c r="Z21" s="3">
        <f>IFERROR(__xludf.DUMMYFUNCTION("""COMPUTED_VALUE"""),0.0)</f>
        <v>0</v>
      </c>
      <c r="AA21" s="3">
        <f>IFERROR(__xludf.DUMMYFUNCTION("""COMPUTED_VALUE"""),0.0)</f>
        <v>0</v>
      </c>
      <c r="AB21" s="3">
        <f>IFERROR(__xludf.DUMMYFUNCTION("""COMPUTED_VALUE"""),0.0)</f>
        <v>0</v>
      </c>
      <c r="AC21" s="3">
        <f>IFERROR(__xludf.DUMMYFUNCTION("""COMPUTED_VALUE"""),0.0)</f>
        <v>0</v>
      </c>
      <c r="AD21" s="3">
        <f>IFERROR(__xludf.DUMMYFUNCTION("""COMPUTED_VALUE"""),0.0)</f>
        <v>0</v>
      </c>
      <c r="AE21" s="3">
        <f>IFERROR(__xludf.DUMMYFUNCTION("""COMPUTED_VALUE"""),0.0)</f>
        <v>0</v>
      </c>
      <c r="AF21" s="3">
        <f>IFERROR(__xludf.DUMMYFUNCTION("""COMPUTED_VALUE"""),0.0)</f>
        <v>0</v>
      </c>
      <c r="AG21" s="3">
        <f>IFERROR(__xludf.DUMMYFUNCTION("""COMPUTED_VALUE"""),0.0)</f>
        <v>0</v>
      </c>
      <c r="AH21" s="3">
        <f>IFERROR(__xludf.DUMMYFUNCTION("""COMPUTED_VALUE"""),0.0)</f>
        <v>0</v>
      </c>
      <c r="AI21" s="3">
        <f>IFERROR(__xludf.DUMMYFUNCTION("""COMPUTED_VALUE"""),0.0)</f>
        <v>0</v>
      </c>
      <c r="AJ21" s="3">
        <f>IFERROR(__xludf.DUMMYFUNCTION("""COMPUTED_VALUE"""),0.0)</f>
        <v>0</v>
      </c>
      <c r="AK21" s="3">
        <f>IFERROR(__xludf.DUMMYFUNCTION("""COMPUTED_VALUE"""),0.0)</f>
        <v>0</v>
      </c>
      <c r="AL21" s="3">
        <f>IFERROR(__xludf.DUMMYFUNCTION("""COMPUTED_VALUE"""),0.0)</f>
        <v>0</v>
      </c>
      <c r="AM21" s="3">
        <f>IFERROR(__xludf.DUMMYFUNCTION("""COMPUTED_VALUE"""),0.0)</f>
        <v>0</v>
      </c>
      <c r="AN21" s="3">
        <f>IFERROR(__xludf.DUMMYFUNCTION("""COMPUTED_VALUE"""),0.0)</f>
        <v>0</v>
      </c>
      <c r="AO21" s="3">
        <f>IFERROR(__xludf.DUMMYFUNCTION("""COMPUTED_VALUE"""),0.0)</f>
        <v>0</v>
      </c>
      <c r="AP21" s="3">
        <f>IFERROR(__xludf.DUMMYFUNCTION("""COMPUTED_VALUE"""),0.0)</f>
        <v>0</v>
      </c>
      <c r="AQ21" s="3">
        <f>IFERROR(__xludf.DUMMYFUNCTION("""COMPUTED_VALUE"""),0.0)</f>
        <v>0</v>
      </c>
      <c r="AR21" s="3">
        <f>IFERROR(__xludf.DUMMYFUNCTION("""COMPUTED_VALUE"""),0.0)</f>
        <v>0</v>
      </c>
      <c r="AS21" s="3">
        <f>IFERROR(__xludf.DUMMYFUNCTION("""COMPUTED_VALUE"""),0.0)</f>
        <v>0</v>
      </c>
      <c r="AT21" s="3">
        <f>IFERROR(__xludf.DUMMYFUNCTION("""COMPUTED_VALUE"""),0.0)</f>
        <v>0</v>
      </c>
      <c r="AU21" s="3">
        <f>IFERROR(__xludf.DUMMYFUNCTION("""COMPUTED_VALUE"""),0.0)</f>
        <v>0</v>
      </c>
      <c r="AV21" s="3">
        <f>IFERROR(__xludf.DUMMYFUNCTION("""COMPUTED_VALUE"""),0.0)</f>
        <v>0</v>
      </c>
      <c r="AW21" s="3">
        <f>IFERROR(__xludf.DUMMYFUNCTION("""COMPUTED_VALUE"""),0.0)</f>
        <v>0</v>
      </c>
      <c r="AX21" s="3">
        <f>IFERROR(__xludf.DUMMYFUNCTION("""COMPUTED_VALUE"""),0.0)</f>
        <v>0</v>
      </c>
      <c r="AY21" s="3">
        <f>IFERROR(__xludf.DUMMYFUNCTION("""COMPUTED_VALUE"""),0.0)</f>
        <v>0</v>
      </c>
      <c r="AZ21" s="3">
        <f>IFERROR(__xludf.DUMMYFUNCTION("""COMPUTED_VALUE"""),0.0)</f>
        <v>0</v>
      </c>
      <c r="BA21" s="3">
        <f>IFERROR(__xludf.DUMMYFUNCTION("""COMPUTED_VALUE"""),0.0)</f>
        <v>0</v>
      </c>
      <c r="BB21" s="3">
        <f>IFERROR(__xludf.DUMMYFUNCTION("""COMPUTED_VALUE"""),0.0)</f>
        <v>0</v>
      </c>
      <c r="BC21" s="3">
        <f>IFERROR(__xludf.DUMMYFUNCTION("""COMPUTED_VALUE"""),0.0)</f>
        <v>0</v>
      </c>
      <c r="BD21" s="3">
        <f>IFERROR(__xludf.DUMMYFUNCTION("""COMPUTED_VALUE"""),0.0)</f>
        <v>0</v>
      </c>
      <c r="BE21" s="3">
        <f>IFERROR(__xludf.DUMMYFUNCTION("""COMPUTED_VALUE"""),0.0)</f>
        <v>0</v>
      </c>
      <c r="BF21" s="3">
        <f>IFERROR(__xludf.DUMMYFUNCTION("""COMPUTED_VALUE"""),0.0)</f>
        <v>0</v>
      </c>
      <c r="BG21" s="3">
        <f>IFERROR(__xludf.DUMMYFUNCTION("""COMPUTED_VALUE"""),1.0)</f>
        <v>1</v>
      </c>
      <c r="BH21" s="3">
        <f>IFERROR(__xludf.DUMMYFUNCTION("""COMPUTED_VALUE"""),1.0)</f>
        <v>1</v>
      </c>
      <c r="BI21" s="3">
        <f>IFERROR(__xludf.DUMMYFUNCTION("""COMPUTED_VALUE"""),1.0)</f>
        <v>1</v>
      </c>
      <c r="BJ21" s="3">
        <f>IFERROR(__xludf.DUMMYFUNCTION("""COMPUTED_VALUE"""),1.0)</f>
        <v>1</v>
      </c>
      <c r="BK21" s="3">
        <f>IFERROR(__xludf.DUMMYFUNCTION("""COMPUTED_VALUE"""),1.0)</f>
        <v>1</v>
      </c>
      <c r="BL21" s="3">
        <f>IFERROR(__xludf.DUMMYFUNCTION("""COMPUTED_VALUE"""),1.0)</f>
        <v>1</v>
      </c>
      <c r="BM21" s="3">
        <f>IFERROR(__xludf.DUMMYFUNCTION("""COMPUTED_VALUE"""),2.0)</f>
        <v>2</v>
      </c>
      <c r="BN21" s="3">
        <f>IFERROR(__xludf.DUMMYFUNCTION("""COMPUTED_VALUE"""),2.0)</f>
        <v>2</v>
      </c>
      <c r="BO21" s="3">
        <f>IFERROR(__xludf.DUMMYFUNCTION("""COMPUTED_VALUE"""),3.0)</f>
        <v>3</v>
      </c>
      <c r="BP21" s="3">
        <f>IFERROR(__xludf.DUMMYFUNCTION("""COMPUTED_VALUE"""),4.0)</f>
        <v>4</v>
      </c>
      <c r="BQ21" s="3">
        <f>IFERROR(__xludf.DUMMYFUNCTION("""COMPUTED_VALUE"""),4.0)</f>
        <v>4</v>
      </c>
      <c r="BR21" s="3">
        <f>IFERROR(__xludf.DUMMYFUNCTION("""COMPUTED_VALUE"""),4.0)</f>
        <v>4</v>
      </c>
      <c r="BS21" s="3">
        <f>IFERROR(__xludf.DUMMYFUNCTION("""COMPUTED_VALUE"""),4.0)</f>
        <v>4</v>
      </c>
      <c r="BT21" s="3">
        <f>IFERROR(__xludf.DUMMYFUNCTION("""COMPUTED_VALUE"""),4.0)</f>
        <v>4</v>
      </c>
      <c r="BU21" s="3">
        <f>IFERROR(__xludf.DUMMYFUNCTION("""COMPUTED_VALUE"""),4.0)</f>
        <v>4</v>
      </c>
      <c r="BV21" s="3">
        <f>IFERROR(__xludf.DUMMYFUNCTION("""COMPUTED_VALUE"""),4.0)</f>
        <v>4</v>
      </c>
      <c r="BW21" s="3">
        <f>IFERROR(__xludf.DUMMYFUNCTION("""COMPUTED_VALUE"""),4.0)</f>
        <v>4</v>
      </c>
      <c r="BX21" s="3">
        <f>IFERROR(__xludf.DUMMYFUNCTION("""COMPUTED_VALUE"""),4.0)</f>
        <v>4</v>
      </c>
      <c r="BY21" s="3">
        <f>IFERROR(__xludf.DUMMYFUNCTION("""COMPUTED_VALUE"""),4.0)</f>
        <v>4</v>
      </c>
      <c r="BZ21" s="3">
        <f>IFERROR(__xludf.DUMMYFUNCTION("""COMPUTED_VALUE"""),4.0)</f>
        <v>4</v>
      </c>
      <c r="CA21" s="3">
        <f>IFERROR(__xludf.DUMMYFUNCTION("""COMPUTED_VALUE"""),4.0)</f>
        <v>4</v>
      </c>
      <c r="CB21" s="3">
        <f>IFERROR(__xludf.DUMMYFUNCTION("""COMPUTED_VALUE"""),4.0)</f>
        <v>4</v>
      </c>
    </row>
    <row r="22">
      <c r="A22" s="3" t="str">
        <f>IFERROR(__xludf.DUMMYFUNCTION("""COMPUTED_VALUE"""),"")</f>
        <v/>
      </c>
      <c r="B22" s="3" t="str">
        <f>IFERROR(__xludf.DUMMYFUNCTION("""COMPUTED_VALUE"""),"Bangladesh")</f>
        <v>Bangladesh</v>
      </c>
      <c r="C22" s="3">
        <f>IFERROR(__xludf.DUMMYFUNCTION("""COMPUTED_VALUE"""),23.685)</f>
        <v>23.685</v>
      </c>
      <c r="D22" s="3">
        <f>IFERROR(__xludf.DUMMYFUNCTION("""COMPUTED_VALUE"""),90.3563)</f>
        <v>90.3563</v>
      </c>
      <c r="E22" s="3">
        <f>IFERROR(__xludf.DUMMYFUNCTION("""COMPUTED_VALUE"""),0.0)</f>
        <v>0</v>
      </c>
      <c r="F22" s="3">
        <f>IFERROR(__xludf.DUMMYFUNCTION("""COMPUTED_VALUE"""),0.0)</f>
        <v>0</v>
      </c>
      <c r="G22" s="3">
        <f>IFERROR(__xludf.DUMMYFUNCTION("""COMPUTED_VALUE"""),0.0)</f>
        <v>0</v>
      </c>
      <c r="H22" s="3">
        <f>IFERROR(__xludf.DUMMYFUNCTION("""COMPUTED_VALUE"""),0.0)</f>
        <v>0</v>
      </c>
      <c r="I22" s="3">
        <f>IFERROR(__xludf.DUMMYFUNCTION("""COMPUTED_VALUE"""),0.0)</f>
        <v>0</v>
      </c>
      <c r="J22" s="3">
        <f>IFERROR(__xludf.DUMMYFUNCTION("""COMPUTED_VALUE"""),0.0)</f>
        <v>0</v>
      </c>
      <c r="K22" s="3">
        <f>IFERROR(__xludf.DUMMYFUNCTION("""COMPUTED_VALUE"""),0.0)</f>
        <v>0</v>
      </c>
      <c r="L22" s="3">
        <f>IFERROR(__xludf.DUMMYFUNCTION("""COMPUTED_VALUE"""),0.0)</f>
        <v>0</v>
      </c>
      <c r="M22" s="3">
        <f>IFERROR(__xludf.DUMMYFUNCTION("""COMPUTED_VALUE"""),0.0)</f>
        <v>0</v>
      </c>
      <c r="N22" s="3">
        <f>IFERROR(__xludf.DUMMYFUNCTION("""COMPUTED_VALUE"""),0.0)</f>
        <v>0</v>
      </c>
      <c r="O22" s="3">
        <f>IFERROR(__xludf.DUMMYFUNCTION("""COMPUTED_VALUE"""),0.0)</f>
        <v>0</v>
      </c>
      <c r="P22" s="3">
        <f>IFERROR(__xludf.DUMMYFUNCTION("""COMPUTED_VALUE"""),0.0)</f>
        <v>0</v>
      </c>
      <c r="Q22" s="3">
        <f>IFERROR(__xludf.DUMMYFUNCTION("""COMPUTED_VALUE"""),0.0)</f>
        <v>0</v>
      </c>
      <c r="R22" s="3">
        <f>IFERROR(__xludf.DUMMYFUNCTION("""COMPUTED_VALUE"""),0.0)</f>
        <v>0</v>
      </c>
      <c r="S22" s="3">
        <f>IFERROR(__xludf.DUMMYFUNCTION("""COMPUTED_VALUE"""),0.0)</f>
        <v>0</v>
      </c>
      <c r="T22" s="3">
        <f>IFERROR(__xludf.DUMMYFUNCTION("""COMPUTED_VALUE"""),0.0)</f>
        <v>0</v>
      </c>
      <c r="U22" s="3">
        <f>IFERROR(__xludf.DUMMYFUNCTION("""COMPUTED_VALUE"""),0.0)</f>
        <v>0</v>
      </c>
      <c r="V22" s="3">
        <f>IFERROR(__xludf.DUMMYFUNCTION("""COMPUTED_VALUE"""),0.0)</f>
        <v>0</v>
      </c>
      <c r="W22" s="3">
        <f>IFERROR(__xludf.DUMMYFUNCTION("""COMPUTED_VALUE"""),0.0)</f>
        <v>0</v>
      </c>
      <c r="X22" s="3">
        <f>IFERROR(__xludf.DUMMYFUNCTION("""COMPUTED_VALUE"""),0.0)</f>
        <v>0</v>
      </c>
      <c r="Y22" s="3">
        <f>IFERROR(__xludf.DUMMYFUNCTION("""COMPUTED_VALUE"""),0.0)</f>
        <v>0</v>
      </c>
      <c r="Z22" s="3">
        <f>IFERROR(__xludf.DUMMYFUNCTION("""COMPUTED_VALUE"""),0.0)</f>
        <v>0</v>
      </c>
      <c r="AA22" s="3">
        <f>IFERROR(__xludf.DUMMYFUNCTION("""COMPUTED_VALUE"""),0.0)</f>
        <v>0</v>
      </c>
      <c r="AB22" s="3">
        <f>IFERROR(__xludf.DUMMYFUNCTION("""COMPUTED_VALUE"""),0.0)</f>
        <v>0</v>
      </c>
      <c r="AC22" s="3">
        <f>IFERROR(__xludf.DUMMYFUNCTION("""COMPUTED_VALUE"""),0.0)</f>
        <v>0</v>
      </c>
      <c r="AD22" s="3">
        <f>IFERROR(__xludf.DUMMYFUNCTION("""COMPUTED_VALUE"""),0.0)</f>
        <v>0</v>
      </c>
      <c r="AE22" s="3">
        <f>IFERROR(__xludf.DUMMYFUNCTION("""COMPUTED_VALUE"""),0.0)</f>
        <v>0</v>
      </c>
      <c r="AF22" s="3">
        <f>IFERROR(__xludf.DUMMYFUNCTION("""COMPUTED_VALUE"""),0.0)</f>
        <v>0</v>
      </c>
      <c r="AG22" s="3">
        <f>IFERROR(__xludf.DUMMYFUNCTION("""COMPUTED_VALUE"""),0.0)</f>
        <v>0</v>
      </c>
      <c r="AH22" s="3">
        <f>IFERROR(__xludf.DUMMYFUNCTION("""COMPUTED_VALUE"""),0.0)</f>
        <v>0</v>
      </c>
      <c r="AI22" s="3">
        <f>IFERROR(__xludf.DUMMYFUNCTION("""COMPUTED_VALUE"""),0.0)</f>
        <v>0</v>
      </c>
      <c r="AJ22" s="3">
        <f>IFERROR(__xludf.DUMMYFUNCTION("""COMPUTED_VALUE"""),0.0)</f>
        <v>0</v>
      </c>
      <c r="AK22" s="3">
        <f>IFERROR(__xludf.DUMMYFUNCTION("""COMPUTED_VALUE"""),0.0)</f>
        <v>0</v>
      </c>
      <c r="AL22" s="3">
        <f>IFERROR(__xludf.DUMMYFUNCTION("""COMPUTED_VALUE"""),0.0)</f>
        <v>0</v>
      </c>
      <c r="AM22" s="3">
        <f>IFERROR(__xludf.DUMMYFUNCTION("""COMPUTED_VALUE"""),0.0)</f>
        <v>0</v>
      </c>
      <c r="AN22" s="3">
        <f>IFERROR(__xludf.DUMMYFUNCTION("""COMPUTED_VALUE"""),0.0)</f>
        <v>0</v>
      </c>
      <c r="AO22" s="3">
        <f>IFERROR(__xludf.DUMMYFUNCTION("""COMPUTED_VALUE"""),0.0)</f>
        <v>0</v>
      </c>
      <c r="AP22" s="3">
        <f>IFERROR(__xludf.DUMMYFUNCTION("""COMPUTED_VALUE"""),0.0)</f>
        <v>0</v>
      </c>
      <c r="AQ22" s="3">
        <f>IFERROR(__xludf.DUMMYFUNCTION("""COMPUTED_VALUE"""),0.0)</f>
        <v>0</v>
      </c>
      <c r="AR22" s="3">
        <f>IFERROR(__xludf.DUMMYFUNCTION("""COMPUTED_VALUE"""),0.0)</f>
        <v>0</v>
      </c>
      <c r="AS22" s="3">
        <f>IFERROR(__xludf.DUMMYFUNCTION("""COMPUTED_VALUE"""),0.0)</f>
        <v>0</v>
      </c>
      <c r="AT22" s="3">
        <f>IFERROR(__xludf.DUMMYFUNCTION("""COMPUTED_VALUE"""),0.0)</f>
        <v>0</v>
      </c>
      <c r="AU22" s="3">
        <f>IFERROR(__xludf.DUMMYFUNCTION("""COMPUTED_VALUE"""),0.0)</f>
        <v>0</v>
      </c>
      <c r="AV22" s="3">
        <f>IFERROR(__xludf.DUMMYFUNCTION("""COMPUTED_VALUE"""),0.0)</f>
        <v>0</v>
      </c>
      <c r="AW22" s="3">
        <f>IFERROR(__xludf.DUMMYFUNCTION("""COMPUTED_VALUE"""),0.0)</f>
        <v>0</v>
      </c>
      <c r="AX22" s="3">
        <f>IFERROR(__xludf.DUMMYFUNCTION("""COMPUTED_VALUE"""),0.0)</f>
        <v>0</v>
      </c>
      <c r="AY22" s="3">
        <f>IFERROR(__xludf.DUMMYFUNCTION("""COMPUTED_VALUE"""),0.0)</f>
        <v>0</v>
      </c>
      <c r="AZ22" s="3">
        <f>IFERROR(__xludf.DUMMYFUNCTION("""COMPUTED_VALUE"""),0.0)</f>
        <v>0</v>
      </c>
      <c r="BA22" s="3">
        <f>IFERROR(__xludf.DUMMYFUNCTION("""COMPUTED_VALUE"""),0.0)</f>
        <v>0</v>
      </c>
      <c r="BB22" s="3">
        <f>IFERROR(__xludf.DUMMYFUNCTION("""COMPUTED_VALUE"""),0.0)</f>
        <v>0</v>
      </c>
      <c r="BC22" s="3">
        <f>IFERROR(__xludf.DUMMYFUNCTION("""COMPUTED_VALUE"""),0.0)</f>
        <v>0</v>
      </c>
      <c r="BD22" s="3">
        <f>IFERROR(__xludf.DUMMYFUNCTION("""COMPUTED_VALUE"""),0.0)</f>
        <v>0</v>
      </c>
      <c r="BE22" s="3">
        <f>IFERROR(__xludf.DUMMYFUNCTION("""COMPUTED_VALUE"""),0.0)</f>
        <v>0</v>
      </c>
      <c r="BF22" s="3">
        <f>IFERROR(__xludf.DUMMYFUNCTION("""COMPUTED_VALUE"""),0.0)</f>
        <v>0</v>
      </c>
      <c r="BG22" s="3">
        <f>IFERROR(__xludf.DUMMYFUNCTION("""COMPUTED_VALUE"""),0.0)</f>
        <v>0</v>
      </c>
      <c r="BH22" s="3">
        <f>IFERROR(__xludf.DUMMYFUNCTION("""COMPUTED_VALUE"""),0.0)</f>
        <v>0</v>
      </c>
      <c r="BI22" s="3">
        <f>IFERROR(__xludf.DUMMYFUNCTION("""COMPUTED_VALUE"""),1.0)</f>
        <v>1</v>
      </c>
      <c r="BJ22" s="3">
        <f>IFERROR(__xludf.DUMMYFUNCTION("""COMPUTED_VALUE"""),1.0)</f>
        <v>1</v>
      </c>
      <c r="BK22" s="3">
        <f>IFERROR(__xludf.DUMMYFUNCTION("""COMPUTED_VALUE"""),1.0)</f>
        <v>1</v>
      </c>
      <c r="BL22" s="3">
        <f>IFERROR(__xludf.DUMMYFUNCTION("""COMPUTED_VALUE"""),2.0)</f>
        <v>2</v>
      </c>
      <c r="BM22" s="3">
        <f>IFERROR(__xludf.DUMMYFUNCTION("""COMPUTED_VALUE"""),2.0)</f>
        <v>2</v>
      </c>
      <c r="BN22" s="3">
        <f>IFERROR(__xludf.DUMMYFUNCTION("""COMPUTED_VALUE"""),3.0)</f>
        <v>3</v>
      </c>
      <c r="BO22" s="3">
        <f>IFERROR(__xludf.DUMMYFUNCTION("""COMPUTED_VALUE"""),4.0)</f>
        <v>4</v>
      </c>
      <c r="BP22" s="3">
        <f>IFERROR(__xludf.DUMMYFUNCTION("""COMPUTED_VALUE"""),5.0)</f>
        <v>5</v>
      </c>
      <c r="BQ22" s="3">
        <f>IFERROR(__xludf.DUMMYFUNCTION("""COMPUTED_VALUE"""),5.0)</f>
        <v>5</v>
      </c>
      <c r="BR22" s="3">
        <f>IFERROR(__xludf.DUMMYFUNCTION("""COMPUTED_VALUE"""),5.0)</f>
        <v>5</v>
      </c>
      <c r="BS22" s="3">
        <f>IFERROR(__xludf.DUMMYFUNCTION("""COMPUTED_VALUE"""),5.0)</f>
        <v>5</v>
      </c>
      <c r="BT22" s="3">
        <f>IFERROR(__xludf.DUMMYFUNCTION("""COMPUTED_VALUE"""),5.0)</f>
        <v>5</v>
      </c>
      <c r="BU22" s="3">
        <f>IFERROR(__xludf.DUMMYFUNCTION("""COMPUTED_VALUE"""),5.0)</f>
        <v>5</v>
      </c>
      <c r="BV22" s="3">
        <f>IFERROR(__xludf.DUMMYFUNCTION("""COMPUTED_VALUE"""),5.0)</f>
        <v>5</v>
      </c>
      <c r="BW22" s="3">
        <f>IFERROR(__xludf.DUMMYFUNCTION("""COMPUTED_VALUE"""),6.0)</f>
        <v>6</v>
      </c>
      <c r="BX22" s="3">
        <f>IFERROR(__xludf.DUMMYFUNCTION("""COMPUTED_VALUE"""),6.0)</f>
        <v>6</v>
      </c>
      <c r="BY22" s="3">
        <f>IFERROR(__xludf.DUMMYFUNCTION("""COMPUTED_VALUE"""),6.0)</f>
        <v>6</v>
      </c>
      <c r="BZ22" s="3">
        <f>IFERROR(__xludf.DUMMYFUNCTION("""COMPUTED_VALUE"""),8.0)</f>
        <v>8</v>
      </c>
      <c r="CA22" s="3">
        <f>IFERROR(__xludf.DUMMYFUNCTION("""COMPUTED_VALUE"""),9.0)</f>
        <v>9</v>
      </c>
      <c r="CB22" s="3">
        <f>IFERROR(__xludf.DUMMYFUNCTION("""COMPUTED_VALUE"""),12.0)</f>
        <v>12</v>
      </c>
    </row>
    <row r="23">
      <c r="A23" s="3" t="str">
        <f>IFERROR(__xludf.DUMMYFUNCTION("""COMPUTED_VALUE"""),"")</f>
        <v/>
      </c>
      <c r="B23" s="3" t="str">
        <f>IFERROR(__xludf.DUMMYFUNCTION("""COMPUTED_VALUE"""),"Barbados")</f>
        <v>Barbados</v>
      </c>
      <c r="C23" s="3">
        <f>IFERROR(__xludf.DUMMYFUNCTION("""COMPUTED_VALUE"""),13.1939)</f>
        <v>13.1939</v>
      </c>
      <c r="D23" s="3">
        <f>IFERROR(__xludf.DUMMYFUNCTION("""COMPUTED_VALUE"""),-59.5432)</f>
        <v>-59.5432</v>
      </c>
      <c r="E23" s="3">
        <f>IFERROR(__xludf.DUMMYFUNCTION("""COMPUTED_VALUE"""),0.0)</f>
        <v>0</v>
      </c>
      <c r="F23" s="3">
        <f>IFERROR(__xludf.DUMMYFUNCTION("""COMPUTED_VALUE"""),0.0)</f>
        <v>0</v>
      </c>
      <c r="G23" s="3">
        <f>IFERROR(__xludf.DUMMYFUNCTION("""COMPUTED_VALUE"""),0.0)</f>
        <v>0</v>
      </c>
      <c r="H23" s="3">
        <f>IFERROR(__xludf.DUMMYFUNCTION("""COMPUTED_VALUE"""),0.0)</f>
        <v>0</v>
      </c>
      <c r="I23" s="3">
        <f>IFERROR(__xludf.DUMMYFUNCTION("""COMPUTED_VALUE"""),0.0)</f>
        <v>0</v>
      </c>
      <c r="J23" s="3">
        <f>IFERROR(__xludf.DUMMYFUNCTION("""COMPUTED_VALUE"""),0.0)</f>
        <v>0</v>
      </c>
      <c r="K23" s="3">
        <f>IFERROR(__xludf.DUMMYFUNCTION("""COMPUTED_VALUE"""),0.0)</f>
        <v>0</v>
      </c>
      <c r="L23" s="3">
        <f>IFERROR(__xludf.DUMMYFUNCTION("""COMPUTED_VALUE"""),0.0)</f>
        <v>0</v>
      </c>
      <c r="M23" s="3">
        <f>IFERROR(__xludf.DUMMYFUNCTION("""COMPUTED_VALUE"""),0.0)</f>
        <v>0</v>
      </c>
      <c r="N23" s="3">
        <f>IFERROR(__xludf.DUMMYFUNCTION("""COMPUTED_VALUE"""),0.0)</f>
        <v>0</v>
      </c>
      <c r="O23" s="3">
        <f>IFERROR(__xludf.DUMMYFUNCTION("""COMPUTED_VALUE"""),0.0)</f>
        <v>0</v>
      </c>
      <c r="P23" s="3">
        <f>IFERROR(__xludf.DUMMYFUNCTION("""COMPUTED_VALUE"""),0.0)</f>
        <v>0</v>
      </c>
      <c r="Q23" s="3">
        <f>IFERROR(__xludf.DUMMYFUNCTION("""COMPUTED_VALUE"""),0.0)</f>
        <v>0</v>
      </c>
      <c r="R23" s="3">
        <f>IFERROR(__xludf.DUMMYFUNCTION("""COMPUTED_VALUE"""),0.0)</f>
        <v>0</v>
      </c>
      <c r="S23" s="3">
        <f>IFERROR(__xludf.DUMMYFUNCTION("""COMPUTED_VALUE"""),0.0)</f>
        <v>0</v>
      </c>
      <c r="T23" s="3">
        <f>IFERROR(__xludf.DUMMYFUNCTION("""COMPUTED_VALUE"""),0.0)</f>
        <v>0</v>
      </c>
      <c r="U23" s="3">
        <f>IFERROR(__xludf.DUMMYFUNCTION("""COMPUTED_VALUE"""),0.0)</f>
        <v>0</v>
      </c>
      <c r="V23" s="3">
        <f>IFERROR(__xludf.DUMMYFUNCTION("""COMPUTED_VALUE"""),0.0)</f>
        <v>0</v>
      </c>
      <c r="W23" s="3">
        <f>IFERROR(__xludf.DUMMYFUNCTION("""COMPUTED_VALUE"""),0.0)</f>
        <v>0</v>
      </c>
      <c r="X23" s="3">
        <f>IFERROR(__xludf.DUMMYFUNCTION("""COMPUTED_VALUE"""),0.0)</f>
        <v>0</v>
      </c>
      <c r="Y23" s="3">
        <f>IFERROR(__xludf.DUMMYFUNCTION("""COMPUTED_VALUE"""),0.0)</f>
        <v>0</v>
      </c>
      <c r="Z23" s="3">
        <f>IFERROR(__xludf.DUMMYFUNCTION("""COMPUTED_VALUE"""),0.0)</f>
        <v>0</v>
      </c>
      <c r="AA23" s="3">
        <f>IFERROR(__xludf.DUMMYFUNCTION("""COMPUTED_VALUE"""),0.0)</f>
        <v>0</v>
      </c>
      <c r="AB23" s="3">
        <f>IFERROR(__xludf.DUMMYFUNCTION("""COMPUTED_VALUE"""),0.0)</f>
        <v>0</v>
      </c>
      <c r="AC23" s="3">
        <f>IFERROR(__xludf.DUMMYFUNCTION("""COMPUTED_VALUE"""),0.0)</f>
        <v>0</v>
      </c>
      <c r="AD23" s="3">
        <f>IFERROR(__xludf.DUMMYFUNCTION("""COMPUTED_VALUE"""),0.0)</f>
        <v>0</v>
      </c>
      <c r="AE23" s="3">
        <f>IFERROR(__xludf.DUMMYFUNCTION("""COMPUTED_VALUE"""),0.0)</f>
        <v>0</v>
      </c>
      <c r="AF23" s="3">
        <f>IFERROR(__xludf.DUMMYFUNCTION("""COMPUTED_VALUE"""),0.0)</f>
        <v>0</v>
      </c>
      <c r="AG23" s="3">
        <f>IFERROR(__xludf.DUMMYFUNCTION("""COMPUTED_VALUE"""),0.0)</f>
        <v>0</v>
      </c>
      <c r="AH23" s="3">
        <f>IFERROR(__xludf.DUMMYFUNCTION("""COMPUTED_VALUE"""),0.0)</f>
        <v>0</v>
      </c>
      <c r="AI23" s="3">
        <f>IFERROR(__xludf.DUMMYFUNCTION("""COMPUTED_VALUE"""),0.0)</f>
        <v>0</v>
      </c>
      <c r="AJ23" s="3">
        <f>IFERROR(__xludf.DUMMYFUNCTION("""COMPUTED_VALUE"""),0.0)</f>
        <v>0</v>
      </c>
      <c r="AK23" s="3">
        <f>IFERROR(__xludf.DUMMYFUNCTION("""COMPUTED_VALUE"""),0.0)</f>
        <v>0</v>
      </c>
      <c r="AL23" s="3">
        <f>IFERROR(__xludf.DUMMYFUNCTION("""COMPUTED_VALUE"""),0.0)</f>
        <v>0</v>
      </c>
      <c r="AM23" s="3">
        <f>IFERROR(__xludf.DUMMYFUNCTION("""COMPUTED_VALUE"""),0.0)</f>
        <v>0</v>
      </c>
      <c r="AN23" s="3">
        <f>IFERROR(__xludf.DUMMYFUNCTION("""COMPUTED_VALUE"""),0.0)</f>
        <v>0</v>
      </c>
      <c r="AO23" s="3">
        <f>IFERROR(__xludf.DUMMYFUNCTION("""COMPUTED_VALUE"""),0.0)</f>
        <v>0</v>
      </c>
      <c r="AP23" s="3">
        <f>IFERROR(__xludf.DUMMYFUNCTION("""COMPUTED_VALUE"""),0.0)</f>
        <v>0</v>
      </c>
      <c r="AQ23" s="3">
        <f>IFERROR(__xludf.DUMMYFUNCTION("""COMPUTED_VALUE"""),0.0)</f>
        <v>0</v>
      </c>
      <c r="AR23" s="3">
        <f>IFERROR(__xludf.DUMMYFUNCTION("""COMPUTED_VALUE"""),0.0)</f>
        <v>0</v>
      </c>
      <c r="AS23" s="3">
        <f>IFERROR(__xludf.DUMMYFUNCTION("""COMPUTED_VALUE"""),0.0)</f>
        <v>0</v>
      </c>
      <c r="AT23" s="3">
        <f>IFERROR(__xludf.DUMMYFUNCTION("""COMPUTED_VALUE"""),0.0)</f>
        <v>0</v>
      </c>
      <c r="AU23" s="3">
        <f>IFERROR(__xludf.DUMMYFUNCTION("""COMPUTED_VALUE"""),0.0)</f>
        <v>0</v>
      </c>
      <c r="AV23" s="3">
        <f>IFERROR(__xludf.DUMMYFUNCTION("""COMPUTED_VALUE"""),0.0)</f>
        <v>0</v>
      </c>
      <c r="AW23" s="3">
        <f>IFERROR(__xludf.DUMMYFUNCTION("""COMPUTED_VALUE"""),0.0)</f>
        <v>0</v>
      </c>
      <c r="AX23" s="3">
        <f>IFERROR(__xludf.DUMMYFUNCTION("""COMPUTED_VALUE"""),0.0)</f>
        <v>0</v>
      </c>
      <c r="AY23" s="3">
        <f>IFERROR(__xludf.DUMMYFUNCTION("""COMPUTED_VALUE"""),0.0)</f>
        <v>0</v>
      </c>
      <c r="AZ23" s="3">
        <f>IFERROR(__xludf.DUMMYFUNCTION("""COMPUTED_VALUE"""),0.0)</f>
        <v>0</v>
      </c>
      <c r="BA23" s="3">
        <f>IFERROR(__xludf.DUMMYFUNCTION("""COMPUTED_VALUE"""),0.0)</f>
        <v>0</v>
      </c>
      <c r="BB23" s="3">
        <f>IFERROR(__xludf.DUMMYFUNCTION("""COMPUTED_VALUE"""),0.0)</f>
        <v>0</v>
      </c>
      <c r="BC23" s="3">
        <f>IFERROR(__xludf.DUMMYFUNCTION("""COMPUTED_VALUE"""),0.0)</f>
        <v>0</v>
      </c>
      <c r="BD23" s="3">
        <f>IFERROR(__xludf.DUMMYFUNCTION("""COMPUTED_VALUE"""),0.0)</f>
        <v>0</v>
      </c>
      <c r="BE23" s="3">
        <f>IFERROR(__xludf.DUMMYFUNCTION("""COMPUTED_VALUE"""),0.0)</f>
        <v>0</v>
      </c>
      <c r="BF23" s="3">
        <f>IFERROR(__xludf.DUMMYFUNCTION("""COMPUTED_VALUE"""),0.0)</f>
        <v>0</v>
      </c>
      <c r="BG23" s="3">
        <f>IFERROR(__xludf.DUMMYFUNCTION("""COMPUTED_VALUE"""),0.0)</f>
        <v>0</v>
      </c>
      <c r="BH23" s="3">
        <f>IFERROR(__xludf.DUMMYFUNCTION("""COMPUTED_VALUE"""),0.0)</f>
        <v>0</v>
      </c>
      <c r="BI23" s="3">
        <f>IFERROR(__xludf.DUMMYFUNCTION("""COMPUTED_VALUE"""),0.0)</f>
        <v>0</v>
      </c>
      <c r="BJ23" s="3">
        <f>IFERROR(__xludf.DUMMYFUNCTION("""COMPUTED_VALUE"""),0.0)</f>
        <v>0</v>
      </c>
      <c r="BK23" s="3">
        <f>IFERROR(__xludf.DUMMYFUNCTION("""COMPUTED_VALUE"""),0.0)</f>
        <v>0</v>
      </c>
      <c r="BL23" s="3">
        <f>IFERROR(__xludf.DUMMYFUNCTION("""COMPUTED_VALUE"""),0.0)</f>
        <v>0</v>
      </c>
      <c r="BM23" s="3">
        <f>IFERROR(__xludf.DUMMYFUNCTION("""COMPUTED_VALUE"""),0.0)</f>
        <v>0</v>
      </c>
      <c r="BN23" s="3">
        <f>IFERROR(__xludf.DUMMYFUNCTION("""COMPUTED_VALUE"""),0.0)</f>
        <v>0</v>
      </c>
      <c r="BO23" s="3">
        <f>IFERROR(__xludf.DUMMYFUNCTION("""COMPUTED_VALUE"""),0.0)</f>
        <v>0</v>
      </c>
      <c r="BP23" s="3">
        <f>IFERROR(__xludf.DUMMYFUNCTION("""COMPUTED_VALUE"""),0.0)</f>
        <v>0</v>
      </c>
      <c r="BQ23" s="3">
        <f>IFERROR(__xludf.DUMMYFUNCTION("""COMPUTED_VALUE"""),0.0)</f>
        <v>0</v>
      </c>
      <c r="BR23" s="3">
        <f>IFERROR(__xludf.DUMMYFUNCTION("""COMPUTED_VALUE"""),0.0)</f>
        <v>0</v>
      </c>
      <c r="BS23" s="3">
        <f>IFERROR(__xludf.DUMMYFUNCTION("""COMPUTED_VALUE"""),0.0)</f>
        <v>0</v>
      </c>
      <c r="BT23" s="3">
        <f>IFERROR(__xludf.DUMMYFUNCTION("""COMPUTED_VALUE"""),0.0)</f>
        <v>0</v>
      </c>
      <c r="BU23" s="3">
        <f>IFERROR(__xludf.DUMMYFUNCTION("""COMPUTED_VALUE"""),0.0)</f>
        <v>0</v>
      </c>
      <c r="BV23" s="3">
        <f>IFERROR(__xludf.DUMMYFUNCTION("""COMPUTED_VALUE"""),0.0)</f>
        <v>0</v>
      </c>
      <c r="BW23" s="3">
        <f>IFERROR(__xludf.DUMMYFUNCTION("""COMPUTED_VALUE"""),0.0)</f>
        <v>0</v>
      </c>
      <c r="BX23" s="3">
        <f>IFERROR(__xludf.DUMMYFUNCTION("""COMPUTED_VALUE"""),0.0)</f>
        <v>0</v>
      </c>
      <c r="BY23" s="3">
        <f>IFERROR(__xludf.DUMMYFUNCTION("""COMPUTED_VALUE"""),0.0)</f>
        <v>0</v>
      </c>
      <c r="BZ23" s="3">
        <f>IFERROR(__xludf.DUMMYFUNCTION("""COMPUTED_VALUE"""),0.0)</f>
        <v>0</v>
      </c>
      <c r="CA23" s="3">
        <f>IFERROR(__xludf.DUMMYFUNCTION("""COMPUTED_VALUE"""),1.0)</f>
        <v>1</v>
      </c>
      <c r="CB23" s="3">
        <f>IFERROR(__xludf.DUMMYFUNCTION("""COMPUTED_VALUE"""),2.0)</f>
        <v>2</v>
      </c>
    </row>
    <row r="24">
      <c r="A24" s="3" t="str">
        <f>IFERROR(__xludf.DUMMYFUNCTION("""COMPUTED_VALUE"""),"")</f>
        <v/>
      </c>
      <c r="B24" s="3" t="str">
        <f>IFERROR(__xludf.DUMMYFUNCTION("""COMPUTED_VALUE"""),"Belarus")</f>
        <v>Belarus</v>
      </c>
      <c r="C24" s="3">
        <f>IFERROR(__xludf.DUMMYFUNCTION("""COMPUTED_VALUE"""),53.7098)</f>
        <v>53.7098</v>
      </c>
      <c r="D24" s="3">
        <f>IFERROR(__xludf.DUMMYFUNCTION("""COMPUTED_VALUE"""),27.9534)</f>
        <v>27.9534</v>
      </c>
      <c r="E24" s="3">
        <f>IFERROR(__xludf.DUMMYFUNCTION("""COMPUTED_VALUE"""),0.0)</f>
        <v>0</v>
      </c>
      <c r="F24" s="3">
        <f>IFERROR(__xludf.DUMMYFUNCTION("""COMPUTED_VALUE"""),0.0)</f>
        <v>0</v>
      </c>
      <c r="G24" s="3">
        <f>IFERROR(__xludf.DUMMYFUNCTION("""COMPUTED_VALUE"""),0.0)</f>
        <v>0</v>
      </c>
      <c r="H24" s="3">
        <f>IFERROR(__xludf.DUMMYFUNCTION("""COMPUTED_VALUE"""),0.0)</f>
        <v>0</v>
      </c>
      <c r="I24" s="3">
        <f>IFERROR(__xludf.DUMMYFUNCTION("""COMPUTED_VALUE"""),0.0)</f>
        <v>0</v>
      </c>
      <c r="J24" s="3">
        <f>IFERROR(__xludf.DUMMYFUNCTION("""COMPUTED_VALUE"""),0.0)</f>
        <v>0</v>
      </c>
      <c r="K24" s="3">
        <f>IFERROR(__xludf.DUMMYFUNCTION("""COMPUTED_VALUE"""),0.0)</f>
        <v>0</v>
      </c>
      <c r="L24" s="3">
        <f>IFERROR(__xludf.DUMMYFUNCTION("""COMPUTED_VALUE"""),0.0)</f>
        <v>0</v>
      </c>
      <c r="M24" s="3">
        <f>IFERROR(__xludf.DUMMYFUNCTION("""COMPUTED_VALUE"""),0.0)</f>
        <v>0</v>
      </c>
      <c r="N24" s="3">
        <f>IFERROR(__xludf.DUMMYFUNCTION("""COMPUTED_VALUE"""),0.0)</f>
        <v>0</v>
      </c>
      <c r="O24" s="3">
        <f>IFERROR(__xludf.DUMMYFUNCTION("""COMPUTED_VALUE"""),0.0)</f>
        <v>0</v>
      </c>
      <c r="P24" s="3">
        <f>IFERROR(__xludf.DUMMYFUNCTION("""COMPUTED_VALUE"""),0.0)</f>
        <v>0</v>
      </c>
      <c r="Q24" s="3">
        <f>IFERROR(__xludf.DUMMYFUNCTION("""COMPUTED_VALUE"""),0.0)</f>
        <v>0</v>
      </c>
      <c r="R24" s="3">
        <f>IFERROR(__xludf.DUMMYFUNCTION("""COMPUTED_VALUE"""),0.0)</f>
        <v>0</v>
      </c>
      <c r="S24" s="3">
        <f>IFERROR(__xludf.DUMMYFUNCTION("""COMPUTED_VALUE"""),0.0)</f>
        <v>0</v>
      </c>
      <c r="T24" s="3">
        <f>IFERROR(__xludf.DUMMYFUNCTION("""COMPUTED_VALUE"""),0.0)</f>
        <v>0</v>
      </c>
      <c r="U24" s="3">
        <f>IFERROR(__xludf.DUMMYFUNCTION("""COMPUTED_VALUE"""),0.0)</f>
        <v>0</v>
      </c>
      <c r="V24" s="3">
        <f>IFERROR(__xludf.DUMMYFUNCTION("""COMPUTED_VALUE"""),0.0)</f>
        <v>0</v>
      </c>
      <c r="W24" s="3">
        <f>IFERROR(__xludf.DUMMYFUNCTION("""COMPUTED_VALUE"""),0.0)</f>
        <v>0</v>
      </c>
      <c r="X24" s="3">
        <f>IFERROR(__xludf.DUMMYFUNCTION("""COMPUTED_VALUE"""),0.0)</f>
        <v>0</v>
      </c>
      <c r="Y24" s="3">
        <f>IFERROR(__xludf.DUMMYFUNCTION("""COMPUTED_VALUE"""),0.0)</f>
        <v>0</v>
      </c>
      <c r="Z24" s="3">
        <f>IFERROR(__xludf.DUMMYFUNCTION("""COMPUTED_VALUE"""),0.0)</f>
        <v>0</v>
      </c>
      <c r="AA24" s="3">
        <f>IFERROR(__xludf.DUMMYFUNCTION("""COMPUTED_VALUE"""),0.0)</f>
        <v>0</v>
      </c>
      <c r="AB24" s="3">
        <f>IFERROR(__xludf.DUMMYFUNCTION("""COMPUTED_VALUE"""),0.0)</f>
        <v>0</v>
      </c>
      <c r="AC24" s="3">
        <f>IFERROR(__xludf.DUMMYFUNCTION("""COMPUTED_VALUE"""),0.0)</f>
        <v>0</v>
      </c>
      <c r="AD24" s="3">
        <f>IFERROR(__xludf.DUMMYFUNCTION("""COMPUTED_VALUE"""),0.0)</f>
        <v>0</v>
      </c>
      <c r="AE24" s="3">
        <f>IFERROR(__xludf.DUMMYFUNCTION("""COMPUTED_VALUE"""),0.0)</f>
        <v>0</v>
      </c>
      <c r="AF24" s="3">
        <f>IFERROR(__xludf.DUMMYFUNCTION("""COMPUTED_VALUE"""),0.0)</f>
        <v>0</v>
      </c>
      <c r="AG24" s="3">
        <f>IFERROR(__xludf.DUMMYFUNCTION("""COMPUTED_VALUE"""),0.0)</f>
        <v>0</v>
      </c>
      <c r="AH24" s="3">
        <f>IFERROR(__xludf.DUMMYFUNCTION("""COMPUTED_VALUE"""),0.0)</f>
        <v>0</v>
      </c>
      <c r="AI24" s="3">
        <f>IFERROR(__xludf.DUMMYFUNCTION("""COMPUTED_VALUE"""),0.0)</f>
        <v>0</v>
      </c>
      <c r="AJ24" s="3">
        <f>IFERROR(__xludf.DUMMYFUNCTION("""COMPUTED_VALUE"""),0.0)</f>
        <v>0</v>
      </c>
      <c r="AK24" s="3">
        <f>IFERROR(__xludf.DUMMYFUNCTION("""COMPUTED_VALUE"""),0.0)</f>
        <v>0</v>
      </c>
      <c r="AL24" s="3">
        <f>IFERROR(__xludf.DUMMYFUNCTION("""COMPUTED_VALUE"""),0.0)</f>
        <v>0</v>
      </c>
      <c r="AM24" s="3">
        <f>IFERROR(__xludf.DUMMYFUNCTION("""COMPUTED_VALUE"""),0.0)</f>
        <v>0</v>
      </c>
      <c r="AN24" s="3">
        <f>IFERROR(__xludf.DUMMYFUNCTION("""COMPUTED_VALUE"""),0.0)</f>
        <v>0</v>
      </c>
      <c r="AO24" s="3">
        <f>IFERROR(__xludf.DUMMYFUNCTION("""COMPUTED_VALUE"""),0.0)</f>
        <v>0</v>
      </c>
      <c r="AP24" s="3">
        <f>IFERROR(__xludf.DUMMYFUNCTION("""COMPUTED_VALUE"""),0.0)</f>
        <v>0</v>
      </c>
      <c r="AQ24" s="3">
        <f>IFERROR(__xludf.DUMMYFUNCTION("""COMPUTED_VALUE"""),0.0)</f>
        <v>0</v>
      </c>
      <c r="AR24" s="3">
        <f>IFERROR(__xludf.DUMMYFUNCTION("""COMPUTED_VALUE"""),0.0)</f>
        <v>0</v>
      </c>
      <c r="AS24" s="3">
        <f>IFERROR(__xludf.DUMMYFUNCTION("""COMPUTED_VALUE"""),0.0)</f>
        <v>0</v>
      </c>
      <c r="AT24" s="3">
        <f>IFERROR(__xludf.DUMMYFUNCTION("""COMPUTED_VALUE"""),0.0)</f>
        <v>0</v>
      </c>
      <c r="AU24" s="3">
        <f>IFERROR(__xludf.DUMMYFUNCTION("""COMPUTED_VALUE"""),0.0)</f>
        <v>0</v>
      </c>
      <c r="AV24" s="3">
        <f>IFERROR(__xludf.DUMMYFUNCTION("""COMPUTED_VALUE"""),0.0)</f>
        <v>0</v>
      </c>
      <c r="AW24" s="3">
        <f>IFERROR(__xludf.DUMMYFUNCTION("""COMPUTED_VALUE"""),0.0)</f>
        <v>0</v>
      </c>
      <c r="AX24" s="3">
        <f>IFERROR(__xludf.DUMMYFUNCTION("""COMPUTED_VALUE"""),0.0)</f>
        <v>0</v>
      </c>
      <c r="AY24" s="3">
        <f>IFERROR(__xludf.DUMMYFUNCTION("""COMPUTED_VALUE"""),0.0)</f>
        <v>0</v>
      </c>
      <c r="AZ24" s="3">
        <f>IFERROR(__xludf.DUMMYFUNCTION("""COMPUTED_VALUE"""),0.0)</f>
        <v>0</v>
      </c>
      <c r="BA24" s="3">
        <f>IFERROR(__xludf.DUMMYFUNCTION("""COMPUTED_VALUE"""),0.0)</f>
        <v>0</v>
      </c>
      <c r="BB24" s="3">
        <f>IFERROR(__xludf.DUMMYFUNCTION("""COMPUTED_VALUE"""),0.0)</f>
        <v>0</v>
      </c>
      <c r="BC24" s="3">
        <f>IFERROR(__xludf.DUMMYFUNCTION("""COMPUTED_VALUE"""),0.0)</f>
        <v>0</v>
      </c>
      <c r="BD24" s="3">
        <f>IFERROR(__xludf.DUMMYFUNCTION("""COMPUTED_VALUE"""),0.0)</f>
        <v>0</v>
      </c>
      <c r="BE24" s="3">
        <f>IFERROR(__xludf.DUMMYFUNCTION("""COMPUTED_VALUE"""),0.0)</f>
        <v>0</v>
      </c>
      <c r="BF24" s="3">
        <f>IFERROR(__xludf.DUMMYFUNCTION("""COMPUTED_VALUE"""),0.0)</f>
        <v>0</v>
      </c>
      <c r="BG24" s="3">
        <f>IFERROR(__xludf.DUMMYFUNCTION("""COMPUTED_VALUE"""),0.0)</f>
        <v>0</v>
      </c>
      <c r="BH24" s="3">
        <f>IFERROR(__xludf.DUMMYFUNCTION("""COMPUTED_VALUE"""),0.0)</f>
        <v>0</v>
      </c>
      <c r="BI24" s="3">
        <f>IFERROR(__xludf.DUMMYFUNCTION("""COMPUTED_VALUE"""),0.0)</f>
        <v>0</v>
      </c>
      <c r="BJ24" s="3">
        <f>IFERROR(__xludf.DUMMYFUNCTION("""COMPUTED_VALUE"""),0.0)</f>
        <v>0</v>
      </c>
      <c r="BK24" s="3">
        <f>IFERROR(__xludf.DUMMYFUNCTION("""COMPUTED_VALUE"""),0.0)</f>
        <v>0</v>
      </c>
      <c r="BL24" s="3">
        <f>IFERROR(__xludf.DUMMYFUNCTION("""COMPUTED_VALUE"""),0.0)</f>
        <v>0</v>
      </c>
      <c r="BM24" s="3">
        <f>IFERROR(__xludf.DUMMYFUNCTION("""COMPUTED_VALUE"""),0.0)</f>
        <v>0</v>
      </c>
      <c r="BN24" s="3">
        <f>IFERROR(__xludf.DUMMYFUNCTION("""COMPUTED_VALUE"""),0.0)</f>
        <v>0</v>
      </c>
      <c r="BO24" s="3">
        <f>IFERROR(__xludf.DUMMYFUNCTION("""COMPUTED_VALUE"""),0.0)</f>
        <v>0</v>
      </c>
      <c r="BP24" s="3">
        <f>IFERROR(__xludf.DUMMYFUNCTION("""COMPUTED_VALUE"""),0.0)</f>
        <v>0</v>
      </c>
      <c r="BQ24" s="3">
        <f>IFERROR(__xludf.DUMMYFUNCTION("""COMPUTED_VALUE"""),0.0)</f>
        <v>0</v>
      </c>
      <c r="BR24" s="3">
        <f>IFERROR(__xludf.DUMMYFUNCTION("""COMPUTED_VALUE"""),0.0)</f>
        <v>0</v>
      </c>
      <c r="BS24" s="3">
        <f>IFERROR(__xludf.DUMMYFUNCTION("""COMPUTED_VALUE"""),0.0)</f>
        <v>0</v>
      </c>
      <c r="BT24" s="3">
        <f>IFERROR(__xludf.DUMMYFUNCTION("""COMPUTED_VALUE"""),0.0)</f>
        <v>0</v>
      </c>
      <c r="BU24" s="3">
        <f>IFERROR(__xludf.DUMMYFUNCTION("""COMPUTED_VALUE"""),0.0)</f>
        <v>0</v>
      </c>
      <c r="BV24" s="3">
        <f>IFERROR(__xludf.DUMMYFUNCTION("""COMPUTED_VALUE"""),1.0)</f>
        <v>1</v>
      </c>
      <c r="BW24" s="3">
        <f>IFERROR(__xludf.DUMMYFUNCTION("""COMPUTED_VALUE"""),2.0)</f>
        <v>2</v>
      </c>
      <c r="BX24" s="3">
        <f>IFERROR(__xludf.DUMMYFUNCTION("""COMPUTED_VALUE"""),4.0)</f>
        <v>4</v>
      </c>
      <c r="BY24" s="3">
        <f>IFERROR(__xludf.DUMMYFUNCTION("""COMPUTED_VALUE"""),4.0)</f>
        <v>4</v>
      </c>
      <c r="BZ24" s="3">
        <f>IFERROR(__xludf.DUMMYFUNCTION("""COMPUTED_VALUE"""),5.0)</f>
        <v>5</v>
      </c>
      <c r="CA24" s="3">
        <f>IFERROR(__xludf.DUMMYFUNCTION("""COMPUTED_VALUE"""),8.0)</f>
        <v>8</v>
      </c>
      <c r="CB24" s="3">
        <f>IFERROR(__xludf.DUMMYFUNCTION("""COMPUTED_VALUE"""),13.0)</f>
        <v>13</v>
      </c>
    </row>
    <row r="25">
      <c r="A25" s="3" t="str">
        <f>IFERROR(__xludf.DUMMYFUNCTION("""COMPUTED_VALUE"""),"")</f>
        <v/>
      </c>
      <c r="B25" s="3" t="str">
        <f>IFERROR(__xludf.DUMMYFUNCTION("""COMPUTED_VALUE"""),"Belgium")</f>
        <v>Belgium</v>
      </c>
      <c r="C25" s="3">
        <f>IFERROR(__xludf.DUMMYFUNCTION("""COMPUTED_VALUE"""),50.8333)</f>
        <v>50.8333</v>
      </c>
      <c r="D25" s="3">
        <f>IFERROR(__xludf.DUMMYFUNCTION("""COMPUTED_VALUE"""),4.0)</f>
        <v>4</v>
      </c>
      <c r="E25" s="3">
        <f>IFERROR(__xludf.DUMMYFUNCTION("""COMPUTED_VALUE"""),0.0)</f>
        <v>0</v>
      </c>
      <c r="F25" s="3">
        <f>IFERROR(__xludf.DUMMYFUNCTION("""COMPUTED_VALUE"""),0.0)</f>
        <v>0</v>
      </c>
      <c r="G25" s="3">
        <f>IFERROR(__xludf.DUMMYFUNCTION("""COMPUTED_VALUE"""),0.0)</f>
        <v>0</v>
      </c>
      <c r="H25" s="3">
        <f>IFERROR(__xludf.DUMMYFUNCTION("""COMPUTED_VALUE"""),0.0)</f>
        <v>0</v>
      </c>
      <c r="I25" s="3">
        <f>IFERROR(__xludf.DUMMYFUNCTION("""COMPUTED_VALUE"""),0.0)</f>
        <v>0</v>
      </c>
      <c r="J25" s="3">
        <f>IFERROR(__xludf.DUMMYFUNCTION("""COMPUTED_VALUE"""),0.0)</f>
        <v>0</v>
      </c>
      <c r="K25" s="3">
        <f>IFERROR(__xludf.DUMMYFUNCTION("""COMPUTED_VALUE"""),0.0)</f>
        <v>0</v>
      </c>
      <c r="L25" s="3">
        <f>IFERROR(__xludf.DUMMYFUNCTION("""COMPUTED_VALUE"""),0.0)</f>
        <v>0</v>
      </c>
      <c r="M25" s="3">
        <f>IFERROR(__xludf.DUMMYFUNCTION("""COMPUTED_VALUE"""),0.0)</f>
        <v>0</v>
      </c>
      <c r="N25" s="3">
        <f>IFERROR(__xludf.DUMMYFUNCTION("""COMPUTED_VALUE"""),0.0)</f>
        <v>0</v>
      </c>
      <c r="O25" s="3">
        <f>IFERROR(__xludf.DUMMYFUNCTION("""COMPUTED_VALUE"""),0.0)</f>
        <v>0</v>
      </c>
      <c r="P25" s="3">
        <f>IFERROR(__xludf.DUMMYFUNCTION("""COMPUTED_VALUE"""),0.0)</f>
        <v>0</v>
      </c>
      <c r="Q25" s="3">
        <f>IFERROR(__xludf.DUMMYFUNCTION("""COMPUTED_VALUE"""),0.0)</f>
        <v>0</v>
      </c>
      <c r="R25" s="3">
        <f>IFERROR(__xludf.DUMMYFUNCTION("""COMPUTED_VALUE"""),0.0)</f>
        <v>0</v>
      </c>
      <c r="S25" s="3">
        <f>IFERROR(__xludf.DUMMYFUNCTION("""COMPUTED_VALUE"""),0.0)</f>
        <v>0</v>
      </c>
      <c r="T25" s="3">
        <f>IFERROR(__xludf.DUMMYFUNCTION("""COMPUTED_VALUE"""),0.0)</f>
        <v>0</v>
      </c>
      <c r="U25" s="3">
        <f>IFERROR(__xludf.DUMMYFUNCTION("""COMPUTED_VALUE"""),0.0)</f>
        <v>0</v>
      </c>
      <c r="V25" s="3">
        <f>IFERROR(__xludf.DUMMYFUNCTION("""COMPUTED_VALUE"""),0.0)</f>
        <v>0</v>
      </c>
      <c r="W25" s="3">
        <f>IFERROR(__xludf.DUMMYFUNCTION("""COMPUTED_VALUE"""),0.0)</f>
        <v>0</v>
      </c>
      <c r="X25" s="3">
        <f>IFERROR(__xludf.DUMMYFUNCTION("""COMPUTED_VALUE"""),0.0)</f>
        <v>0</v>
      </c>
      <c r="Y25" s="3">
        <f>IFERROR(__xludf.DUMMYFUNCTION("""COMPUTED_VALUE"""),0.0)</f>
        <v>0</v>
      </c>
      <c r="Z25" s="3">
        <f>IFERROR(__xludf.DUMMYFUNCTION("""COMPUTED_VALUE"""),0.0)</f>
        <v>0</v>
      </c>
      <c r="AA25" s="3">
        <f>IFERROR(__xludf.DUMMYFUNCTION("""COMPUTED_VALUE"""),0.0)</f>
        <v>0</v>
      </c>
      <c r="AB25" s="3">
        <f>IFERROR(__xludf.DUMMYFUNCTION("""COMPUTED_VALUE"""),0.0)</f>
        <v>0</v>
      </c>
      <c r="AC25" s="3">
        <f>IFERROR(__xludf.DUMMYFUNCTION("""COMPUTED_VALUE"""),0.0)</f>
        <v>0</v>
      </c>
      <c r="AD25" s="3">
        <f>IFERROR(__xludf.DUMMYFUNCTION("""COMPUTED_VALUE"""),0.0)</f>
        <v>0</v>
      </c>
      <c r="AE25" s="3">
        <f>IFERROR(__xludf.DUMMYFUNCTION("""COMPUTED_VALUE"""),0.0)</f>
        <v>0</v>
      </c>
      <c r="AF25" s="3">
        <f>IFERROR(__xludf.DUMMYFUNCTION("""COMPUTED_VALUE"""),0.0)</f>
        <v>0</v>
      </c>
      <c r="AG25" s="3">
        <f>IFERROR(__xludf.DUMMYFUNCTION("""COMPUTED_VALUE"""),0.0)</f>
        <v>0</v>
      </c>
      <c r="AH25" s="3">
        <f>IFERROR(__xludf.DUMMYFUNCTION("""COMPUTED_VALUE"""),0.0)</f>
        <v>0</v>
      </c>
      <c r="AI25" s="3">
        <f>IFERROR(__xludf.DUMMYFUNCTION("""COMPUTED_VALUE"""),0.0)</f>
        <v>0</v>
      </c>
      <c r="AJ25" s="3">
        <f>IFERROR(__xludf.DUMMYFUNCTION("""COMPUTED_VALUE"""),0.0)</f>
        <v>0</v>
      </c>
      <c r="AK25" s="3">
        <f>IFERROR(__xludf.DUMMYFUNCTION("""COMPUTED_VALUE"""),0.0)</f>
        <v>0</v>
      </c>
      <c r="AL25" s="3">
        <f>IFERROR(__xludf.DUMMYFUNCTION("""COMPUTED_VALUE"""),0.0)</f>
        <v>0</v>
      </c>
      <c r="AM25" s="3">
        <f>IFERROR(__xludf.DUMMYFUNCTION("""COMPUTED_VALUE"""),0.0)</f>
        <v>0</v>
      </c>
      <c r="AN25" s="3">
        <f>IFERROR(__xludf.DUMMYFUNCTION("""COMPUTED_VALUE"""),0.0)</f>
        <v>0</v>
      </c>
      <c r="AO25" s="3">
        <f>IFERROR(__xludf.DUMMYFUNCTION("""COMPUTED_VALUE"""),0.0)</f>
        <v>0</v>
      </c>
      <c r="AP25" s="3">
        <f>IFERROR(__xludf.DUMMYFUNCTION("""COMPUTED_VALUE"""),0.0)</f>
        <v>0</v>
      </c>
      <c r="AQ25" s="3">
        <f>IFERROR(__xludf.DUMMYFUNCTION("""COMPUTED_VALUE"""),0.0)</f>
        <v>0</v>
      </c>
      <c r="AR25" s="3">
        <f>IFERROR(__xludf.DUMMYFUNCTION("""COMPUTED_VALUE"""),0.0)</f>
        <v>0</v>
      </c>
      <c r="AS25" s="3">
        <f>IFERROR(__xludf.DUMMYFUNCTION("""COMPUTED_VALUE"""),0.0)</f>
        <v>0</v>
      </c>
      <c r="AT25" s="3">
        <f>IFERROR(__xludf.DUMMYFUNCTION("""COMPUTED_VALUE"""),0.0)</f>
        <v>0</v>
      </c>
      <c r="AU25" s="3">
        <f>IFERROR(__xludf.DUMMYFUNCTION("""COMPUTED_VALUE"""),0.0)</f>
        <v>0</v>
      </c>
      <c r="AV25" s="3">
        <f>IFERROR(__xludf.DUMMYFUNCTION("""COMPUTED_VALUE"""),0.0)</f>
        <v>0</v>
      </c>
      <c r="AW25" s="3">
        <f>IFERROR(__xludf.DUMMYFUNCTION("""COMPUTED_VALUE"""),0.0)</f>
        <v>0</v>
      </c>
      <c r="AX25" s="3">
        <f>IFERROR(__xludf.DUMMYFUNCTION("""COMPUTED_VALUE"""),0.0)</f>
        <v>0</v>
      </c>
      <c r="AY25" s="3">
        <f>IFERROR(__xludf.DUMMYFUNCTION("""COMPUTED_VALUE"""),0.0)</f>
        <v>0</v>
      </c>
      <c r="AZ25" s="3">
        <f>IFERROR(__xludf.DUMMYFUNCTION("""COMPUTED_VALUE"""),0.0)</f>
        <v>0</v>
      </c>
      <c r="BA25" s="3">
        <f>IFERROR(__xludf.DUMMYFUNCTION("""COMPUTED_VALUE"""),0.0)</f>
        <v>0</v>
      </c>
      <c r="BB25" s="3">
        <f>IFERROR(__xludf.DUMMYFUNCTION("""COMPUTED_VALUE"""),3.0)</f>
        <v>3</v>
      </c>
      <c r="BC25" s="3">
        <f>IFERROR(__xludf.DUMMYFUNCTION("""COMPUTED_VALUE"""),3.0)</f>
        <v>3</v>
      </c>
      <c r="BD25" s="3">
        <f>IFERROR(__xludf.DUMMYFUNCTION("""COMPUTED_VALUE"""),3.0)</f>
        <v>3</v>
      </c>
      <c r="BE25" s="3">
        <f>IFERROR(__xludf.DUMMYFUNCTION("""COMPUTED_VALUE"""),4.0)</f>
        <v>4</v>
      </c>
      <c r="BF25" s="3">
        <f>IFERROR(__xludf.DUMMYFUNCTION("""COMPUTED_VALUE"""),4.0)</f>
        <v>4</v>
      </c>
      <c r="BG25" s="3">
        <f>IFERROR(__xludf.DUMMYFUNCTION("""COMPUTED_VALUE"""),5.0)</f>
        <v>5</v>
      </c>
      <c r="BH25" s="3">
        <f>IFERROR(__xludf.DUMMYFUNCTION("""COMPUTED_VALUE"""),10.0)</f>
        <v>10</v>
      </c>
      <c r="BI25" s="3">
        <f>IFERROR(__xludf.DUMMYFUNCTION("""COMPUTED_VALUE"""),14.0)</f>
        <v>14</v>
      </c>
      <c r="BJ25" s="3">
        <f>IFERROR(__xludf.DUMMYFUNCTION("""COMPUTED_VALUE"""),21.0)</f>
        <v>21</v>
      </c>
      <c r="BK25" s="3">
        <f>IFERROR(__xludf.DUMMYFUNCTION("""COMPUTED_VALUE"""),37.0)</f>
        <v>37</v>
      </c>
      <c r="BL25" s="3">
        <f>IFERROR(__xludf.DUMMYFUNCTION("""COMPUTED_VALUE"""),67.0)</f>
        <v>67</v>
      </c>
      <c r="BM25" s="3">
        <f>IFERROR(__xludf.DUMMYFUNCTION("""COMPUTED_VALUE"""),75.0)</f>
        <v>75</v>
      </c>
      <c r="BN25" s="3">
        <f>IFERROR(__xludf.DUMMYFUNCTION("""COMPUTED_VALUE"""),88.0)</f>
        <v>88</v>
      </c>
      <c r="BO25" s="3">
        <f>IFERROR(__xludf.DUMMYFUNCTION("""COMPUTED_VALUE"""),122.0)</f>
        <v>122</v>
      </c>
      <c r="BP25" s="3">
        <f>IFERROR(__xludf.DUMMYFUNCTION("""COMPUTED_VALUE"""),178.0)</f>
        <v>178</v>
      </c>
      <c r="BQ25" s="3">
        <f>IFERROR(__xludf.DUMMYFUNCTION("""COMPUTED_VALUE"""),220.0)</f>
        <v>220</v>
      </c>
      <c r="BR25" s="3">
        <f>IFERROR(__xludf.DUMMYFUNCTION("""COMPUTED_VALUE"""),289.0)</f>
        <v>289</v>
      </c>
      <c r="BS25" s="3">
        <f>IFERROR(__xludf.DUMMYFUNCTION("""COMPUTED_VALUE"""),353.0)</f>
        <v>353</v>
      </c>
      <c r="BT25" s="3">
        <f>IFERROR(__xludf.DUMMYFUNCTION("""COMPUTED_VALUE"""),431.0)</f>
        <v>431</v>
      </c>
      <c r="BU25" s="3">
        <f>IFERROR(__xludf.DUMMYFUNCTION("""COMPUTED_VALUE"""),513.0)</f>
        <v>513</v>
      </c>
      <c r="BV25" s="3">
        <f>IFERROR(__xludf.DUMMYFUNCTION("""COMPUTED_VALUE"""),705.0)</f>
        <v>705</v>
      </c>
      <c r="BW25" s="3">
        <f>IFERROR(__xludf.DUMMYFUNCTION("""COMPUTED_VALUE"""),828.0)</f>
        <v>828</v>
      </c>
      <c r="BX25" s="3">
        <f>IFERROR(__xludf.DUMMYFUNCTION("""COMPUTED_VALUE"""),1011.0)</f>
        <v>1011</v>
      </c>
      <c r="BY25" s="3">
        <f>IFERROR(__xludf.DUMMYFUNCTION("""COMPUTED_VALUE"""),1143.0)</f>
        <v>1143</v>
      </c>
      <c r="BZ25" s="3">
        <f>IFERROR(__xludf.DUMMYFUNCTION("""COMPUTED_VALUE"""),1283.0)</f>
        <v>1283</v>
      </c>
      <c r="CA25" s="3">
        <f>IFERROR(__xludf.DUMMYFUNCTION("""COMPUTED_VALUE"""),1447.0)</f>
        <v>1447</v>
      </c>
      <c r="CB25" s="3">
        <f>IFERROR(__xludf.DUMMYFUNCTION("""COMPUTED_VALUE"""),1632.0)</f>
        <v>1632</v>
      </c>
    </row>
    <row r="26">
      <c r="A26" s="3" t="str">
        <f>IFERROR(__xludf.DUMMYFUNCTION("""COMPUTED_VALUE"""),"")</f>
        <v/>
      </c>
      <c r="B26" s="3" t="str">
        <f>IFERROR(__xludf.DUMMYFUNCTION("""COMPUTED_VALUE"""),"Benin")</f>
        <v>Benin</v>
      </c>
      <c r="C26" s="3">
        <f>IFERROR(__xludf.DUMMYFUNCTION("""COMPUTED_VALUE"""),9.3077)</f>
        <v>9.3077</v>
      </c>
      <c r="D26" s="3">
        <f>IFERROR(__xludf.DUMMYFUNCTION("""COMPUTED_VALUE"""),2.3158)</f>
        <v>2.3158</v>
      </c>
      <c r="E26" s="3">
        <f>IFERROR(__xludf.DUMMYFUNCTION("""COMPUTED_VALUE"""),0.0)</f>
        <v>0</v>
      </c>
      <c r="F26" s="3">
        <f>IFERROR(__xludf.DUMMYFUNCTION("""COMPUTED_VALUE"""),0.0)</f>
        <v>0</v>
      </c>
      <c r="G26" s="3">
        <f>IFERROR(__xludf.DUMMYFUNCTION("""COMPUTED_VALUE"""),0.0)</f>
        <v>0</v>
      </c>
      <c r="H26" s="3">
        <f>IFERROR(__xludf.DUMMYFUNCTION("""COMPUTED_VALUE"""),0.0)</f>
        <v>0</v>
      </c>
      <c r="I26" s="3">
        <f>IFERROR(__xludf.DUMMYFUNCTION("""COMPUTED_VALUE"""),0.0)</f>
        <v>0</v>
      </c>
      <c r="J26" s="3">
        <f>IFERROR(__xludf.DUMMYFUNCTION("""COMPUTED_VALUE"""),0.0)</f>
        <v>0</v>
      </c>
      <c r="K26" s="3">
        <f>IFERROR(__xludf.DUMMYFUNCTION("""COMPUTED_VALUE"""),0.0)</f>
        <v>0</v>
      </c>
      <c r="L26" s="3">
        <f>IFERROR(__xludf.DUMMYFUNCTION("""COMPUTED_VALUE"""),0.0)</f>
        <v>0</v>
      </c>
      <c r="M26" s="3">
        <f>IFERROR(__xludf.DUMMYFUNCTION("""COMPUTED_VALUE"""),0.0)</f>
        <v>0</v>
      </c>
      <c r="N26" s="3">
        <f>IFERROR(__xludf.DUMMYFUNCTION("""COMPUTED_VALUE"""),0.0)</f>
        <v>0</v>
      </c>
      <c r="O26" s="3">
        <f>IFERROR(__xludf.DUMMYFUNCTION("""COMPUTED_VALUE"""),0.0)</f>
        <v>0</v>
      </c>
      <c r="P26" s="3">
        <f>IFERROR(__xludf.DUMMYFUNCTION("""COMPUTED_VALUE"""),0.0)</f>
        <v>0</v>
      </c>
      <c r="Q26" s="3">
        <f>IFERROR(__xludf.DUMMYFUNCTION("""COMPUTED_VALUE"""),0.0)</f>
        <v>0</v>
      </c>
      <c r="R26" s="3">
        <f>IFERROR(__xludf.DUMMYFUNCTION("""COMPUTED_VALUE"""),0.0)</f>
        <v>0</v>
      </c>
      <c r="S26" s="3">
        <f>IFERROR(__xludf.DUMMYFUNCTION("""COMPUTED_VALUE"""),0.0)</f>
        <v>0</v>
      </c>
      <c r="T26" s="3">
        <f>IFERROR(__xludf.DUMMYFUNCTION("""COMPUTED_VALUE"""),0.0)</f>
        <v>0</v>
      </c>
      <c r="U26" s="3">
        <f>IFERROR(__xludf.DUMMYFUNCTION("""COMPUTED_VALUE"""),0.0)</f>
        <v>0</v>
      </c>
      <c r="V26" s="3">
        <f>IFERROR(__xludf.DUMMYFUNCTION("""COMPUTED_VALUE"""),0.0)</f>
        <v>0</v>
      </c>
      <c r="W26" s="3">
        <f>IFERROR(__xludf.DUMMYFUNCTION("""COMPUTED_VALUE"""),0.0)</f>
        <v>0</v>
      </c>
      <c r="X26" s="3">
        <f>IFERROR(__xludf.DUMMYFUNCTION("""COMPUTED_VALUE"""),0.0)</f>
        <v>0</v>
      </c>
      <c r="Y26" s="3">
        <f>IFERROR(__xludf.DUMMYFUNCTION("""COMPUTED_VALUE"""),0.0)</f>
        <v>0</v>
      </c>
      <c r="Z26" s="3">
        <f>IFERROR(__xludf.DUMMYFUNCTION("""COMPUTED_VALUE"""),0.0)</f>
        <v>0</v>
      </c>
      <c r="AA26" s="3">
        <f>IFERROR(__xludf.DUMMYFUNCTION("""COMPUTED_VALUE"""),0.0)</f>
        <v>0</v>
      </c>
      <c r="AB26" s="3">
        <f>IFERROR(__xludf.DUMMYFUNCTION("""COMPUTED_VALUE"""),0.0)</f>
        <v>0</v>
      </c>
      <c r="AC26" s="3">
        <f>IFERROR(__xludf.DUMMYFUNCTION("""COMPUTED_VALUE"""),0.0)</f>
        <v>0</v>
      </c>
      <c r="AD26" s="3">
        <f>IFERROR(__xludf.DUMMYFUNCTION("""COMPUTED_VALUE"""),0.0)</f>
        <v>0</v>
      </c>
      <c r="AE26" s="3">
        <f>IFERROR(__xludf.DUMMYFUNCTION("""COMPUTED_VALUE"""),0.0)</f>
        <v>0</v>
      </c>
      <c r="AF26" s="3">
        <f>IFERROR(__xludf.DUMMYFUNCTION("""COMPUTED_VALUE"""),0.0)</f>
        <v>0</v>
      </c>
      <c r="AG26" s="3">
        <f>IFERROR(__xludf.DUMMYFUNCTION("""COMPUTED_VALUE"""),0.0)</f>
        <v>0</v>
      </c>
      <c r="AH26" s="3">
        <f>IFERROR(__xludf.DUMMYFUNCTION("""COMPUTED_VALUE"""),0.0)</f>
        <v>0</v>
      </c>
      <c r="AI26" s="3">
        <f>IFERROR(__xludf.DUMMYFUNCTION("""COMPUTED_VALUE"""),0.0)</f>
        <v>0</v>
      </c>
      <c r="AJ26" s="3">
        <f>IFERROR(__xludf.DUMMYFUNCTION("""COMPUTED_VALUE"""),0.0)</f>
        <v>0</v>
      </c>
      <c r="AK26" s="3">
        <f>IFERROR(__xludf.DUMMYFUNCTION("""COMPUTED_VALUE"""),0.0)</f>
        <v>0</v>
      </c>
      <c r="AL26" s="3">
        <f>IFERROR(__xludf.DUMMYFUNCTION("""COMPUTED_VALUE"""),0.0)</f>
        <v>0</v>
      </c>
      <c r="AM26" s="3">
        <f>IFERROR(__xludf.DUMMYFUNCTION("""COMPUTED_VALUE"""),0.0)</f>
        <v>0</v>
      </c>
      <c r="AN26" s="3">
        <f>IFERROR(__xludf.DUMMYFUNCTION("""COMPUTED_VALUE"""),0.0)</f>
        <v>0</v>
      </c>
      <c r="AO26" s="3">
        <f>IFERROR(__xludf.DUMMYFUNCTION("""COMPUTED_VALUE"""),0.0)</f>
        <v>0</v>
      </c>
      <c r="AP26" s="3">
        <f>IFERROR(__xludf.DUMMYFUNCTION("""COMPUTED_VALUE"""),0.0)</f>
        <v>0</v>
      </c>
      <c r="AQ26" s="3">
        <f>IFERROR(__xludf.DUMMYFUNCTION("""COMPUTED_VALUE"""),0.0)</f>
        <v>0</v>
      </c>
      <c r="AR26" s="3">
        <f>IFERROR(__xludf.DUMMYFUNCTION("""COMPUTED_VALUE"""),0.0)</f>
        <v>0</v>
      </c>
      <c r="AS26" s="3">
        <f>IFERROR(__xludf.DUMMYFUNCTION("""COMPUTED_VALUE"""),0.0)</f>
        <v>0</v>
      </c>
      <c r="AT26" s="3">
        <f>IFERROR(__xludf.DUMMYFUNCTION("""COMPUTED_VALUE"""),0.0)</f>
        <v>0</v>
      </c>
      <c r="AU26" s="3">
        <f>IFERROR(__xludf.DUMMYFUNCTION("""COMPUTED_VALUE"""),0.0)</f>
        <v>0</v>
      </c>
      <c r="AV26" s="3">
        <f>IFERROR(__xludf.DUMMYFUNCTION("""COMPUTED_VALUE"""),0.0)</f>
        <v>0</v>
      </c>
      <c r="AW26" s="3">
        <f>IFERROR(__xludf.DUMMYFUNCTION("""COMPUTED_VALUE"""),0.0)</f>
        <v>0</v>
      </c>
      <c r="AX26" s="3">
        <f>IFERROR(__xludf.DUMMYFUNCTION("""COMPUTED_VALUE"""),0.0)</f>
        <v>0</v>
      </c>
      <c r="AY26" s="3">
        <f>IFERROR(__xludf.DUMMYFUNCTION("""COMPUTED_VALUE"""),0.0)</f>
        <v>0</v>
      </c>
      <c r="AZ26" s="3">
        <f>IFERROR(__xludf.DUMMYFUNCTION("""COMPUTED_VALUE"""),0.0)</f>
        <v>0</v>
      </c>
      <c r="BA26" s="3">
        <f>IFERROR(__xludf.DUMMYFUNCTION("""COMPUTED_VALUE"""),0.0)</f>
        <v>0</v>
      </c>
      <c r="BB26" s="3">
        <f>IFERROR(__xludf.DUMMYFUNCTION("""COMPUTED_VALUE"""),0.0)</f>
        <v>0</v>
      </c>
      <c r="BC26" s="3">
        <f>IFERROR(__xludf.DUMMYFUNCTION("""COMPUTED_VALUE"""),0.0)</f>
        <v>0</v>
      </c>
      <c r="BD26" s="3">
        <f>IFERROR(__xludf.DUMMYFUNCTION("""COMPUTED_VALUE"""),0.0)</f>
        <v>0</v>
      </c>
      <c r="BE26" s="3">
        <f>IFERROR(__xludf.DUMMYFUNCTION("""COMPUTED_VALUE"""),0.0)</f>
        <v>0</v>
      </c>
      <c r="BF26" s="3">
        <f>IFERROR(__xludf.DUMMYFUNCTION("""COMPUTED_VALUE"""),0.0)</f>
        <v>0</v>
      </c>
      <c r="BG26" s="3">
        <f>IFERROR(__xludf.DUMMYFUNCTION("""COMPUTED_VALUE"""),0.0)</f>
        <v>0</v>
      </c>
      <c r="BH26" s="3">
        <f>IFERROR(__xludf.DUMMYFUNCTION("""COMPUTED_VALUE"""),0.0)</f>
        <v>0</v>
      </c>
      <c r="BI26" s="3">
        <f>IFERROR(__xludf.DUMMYFUNCTION("""COMPUTED_VALUE"""),0.0)</f>
        <v>0</v>
      </c>
      <c r="BJ26" s="3">
        <f>IFERROR(__xludf.DUMMYFUNCTION("""COMPUTED_VALUE"""),0.0)</f>
        <v>0</v>
      </c>
      <c r="BK26" s="3">
        <f>IFERROR(__xludf.DUMMYFUNCTION("""COMPUTED_VALUE"""),0.0)</f>
        <v>0</v>
      </c>
      <c r="BL26" s="3">
        <f>IFERROR(__xludf.DUMMYFUNCTION("""COMPUTED_VALUE"""),0.0)</f>
        <v>0</v>
      </c>
      <c r="BM26" s="3">
        <f>IFERROR(__xludf.DUMMYFUNCTION("""COMPUTED_VALUE"""),0.0)</f>
        <v>0</v>
      </c>
      <c r="BN26" s="3">
        <f>IFERROR(__xludf.DUMMYFUNCTION("""COMPUTED_VALUE"""),0.0)</f>
        <v>0</v>
      </c>
      <c r="BO26" s="3">
        <f>IFERROR(__xludf.DUMMYFUNCTION("""COMPUTED_VALUE"""),0.0)</f>
        <v>0</v>
      </c>
      <c r="BP26" s="3">
        <f>IFERROR(__xludf.DUMMYFUNCTION("""COMPUTED_VALUE"""),0.0)</f>
        <v>0</v>
      </c>
      <c r="BQ26" s="3">
        <f>IFERROR(__xludf.DUMMYFUNCTION("""COMPUTED_VALUE"""),0.0)</f>
        <v>0</v>
      </c>
      <c r="BR26" s="3">
        <f>IFERROR(__xludf.DUMMYFUNCTION("""COMPUTED_VALUE"""),0.0)</f>
        <v>0</v>
      </c>
      <c r="BS26" s="3">
        <f>IFERROR(__xludf.DUMMYFUNCTION("""COMPUTED_VALUE"""),0.0)</f>
        <v>0</v>
      </c>
      <c r="BT26" s="3">
        <f>IFERROR(__xludf.DUMMYFUNCTION("""COMPUTED_VALUE"""),0.0)</f>
        <v>0</v>
      </c>
      <c r="BU26" s="3">
        <f>IFERROR(__xludf.DUMMYFUNCTION("""COMPUTED_VALUE"""),0.0)</f>
        <v>0</v>
      </c>
      <c r="BV26" s="3">
        <f>IFERROR(__xludf.DUMMYFUNCTION("""COMPUTED_VALUE"""),0.0)</f>
        <v>0</v>
      </c>
      <c r="BW26" s="3">
        <f>IFERROR(__xludf.DUMMYFUNCTION("""COMPUTED_VALUE"""),0.0)</f>
        <v>0</v>
      </c>
      <c r="BX26" s="3">
        <f>IFERROR(__xludf.DUMMYFUNCTION("""COMPUTED_VALUE"""),0.0)</f>
        <v>0</v>
      </c>
      <c r="BY26" s="3">
        <f>IFERROR(__xludf.DUMMYFUNCTION("""COMPUTED_VALUE"""),0.0)</f>
        <v>0</v>
      </c>
      <c r="BZ26" s="3">
        <f>IFERROR(__xludf.DUMMYFUNCTION("""COMPUTED_VALUE"""),0.0)</f>
        <v>0</v>
      </c>
      <c r="CA26" s="3">
        <f>IFERROR(__xludf.DUMMYFUNCTION("""COMPUTED_VALUE"""),0.0)</f>
        <v>0</v>
      </c>
      <c r="CB26" s="3">
        <f>IFERROR(__xludf.DUMMYFUNCTION("""COMPUTED_VALUE"""),1.0)</f>
        <v>1</v>
      </c>
    </row>
    <row r="27">
      <c r="A27" s="3" t="str">
        <f>IFERROR(__xludf.DUMMYFUNCTION("""COMPUTED_VALUE"""),"")</f>
        <v/>
      </c>
      <c r="B27" s="3" t="str">
        <f>IFERROR(__xludf.DUMMYFUNCTION("""COMPUTED_VALUE"""),"Bhutan")</f>
        <v>Bhutan</v>
      </c>
      <c r="C27" s="3">
        <f>IFERROR(__xludf.DUMMYFUNCTION("""COMPUTED_VALUE"""),27.5142)</f>
        <v>27.5142</v>
      </c>
      <c r="D27" s="3">
        <f>IFERROR(__xludf.DUMMYFUNCTION("""COMPUTED_VALUE"""),90.4336)</f>
        <v>90.4336</v>
      </c>
      <c r="E27" s="3">
        <f>IFERROR(__xludf.DUMMYFUNCTION("""COMPUTED_VALUE"""),0.0)</f>
        <v>0</v>
      </c>
      <c r="F27" s="3">
        <f>IFERROR(__xludf.DUMMYFUNCTION("""COMPUTED_VALUE"""),0.0)</f>
        <v>0</v>
      </c>
      <c r="G27" s="3">
        <f>IFERROR(__xludf.DUMMYFUNCTION("""COMPUTED_VALUE"""),0.0)</f>
        <v>0</v>
      </c>
      <c r="H27" s="3">
        <f>IFERROR(__xludf.DUMMYFUNCTION("""COMPUTED_VALUE"""),0.0)</f>
        <v>0</v>
      </c>
      <c r="I27" s="3">
        <f>IFERROR(__xludf.DUMMYFUNCTION("""COMPUTED_VALUE"""),0.0)</f>
        <v>0</v>
      </c>
      <c r="J27" s="3">
        <f>IFERROR(__xludf.DUMMYFUNCTION("""COMPUTED_VALUE"""),0.0)</f>
        <v>0</v>
      </c>
      <c r="K27" s="3">
        <f>IFERROR(__xludf.DUMMYFUNCTION("""COMPUTED_VALUE"""),0.0)</f>
        <v>0</v>
      </c>
      <c r="L27" s="3">
        <f>IFERROR(__xludf.DUMMYFUNCTION("""COMPUTED_VALUE"""),0.0)</f>
        <v>0</v>
      </c>
      <c r="M27" s="3">
        <f>IFERROR(__xludf.DUMMYFUNCTION("""COMPUTED_VALUE"""),0.0)</f>
        <v>0</v>
      </c>
      <c r="N27" s="3">
        <f>IFERROR(__xludf.DUMMYFUNCTION("""COMPUTED_VALUE"""),0.0)</f>
        <v>0</v>
      </c>
      <c r="O27" s="3">
        <f>IFERROR(__xludf.DUMMYFUNCTION("""COMPUTED_VALUE"""),0.0)</f>
        <v>0</v>
      </c>
      <c r="P27" s="3">
        <f>IFERROR(__xludf.DUMMYFUNCTION("""COMPUTED_VALUE"""),0.0)</f>
        <v>0</v>
      </c>
      <c r="Q27" s="3">
        <f>IFERROR(__xludf.DUMMYFUNCTION("""COMPUTED_VALUE"""),0.0)</f>
        <v>0</v>
      </c>
      <c r="R27" s="3">
        <f>IFERROR(__xludf.DUMMYFUNCTION("""COMPUTED_VALUE"""),0.0)</f>
        <v>0</v>
      </c>
      <c r="S27" s="3">
        <f>IFERROR(__xludf.DUMMYFUNCTION("""COMPUTED_VALUE"""),0.0)</f>
        <v>0</v>
      </c>
      <c r="T27" s="3">
        <f>IFERROR(__xludf.DUMMYFUNCTION("""COMPUTED_VALUE"""),0.0)</f>
        <v>0</v>
      </c>
      <c r="U27" s="3">
        <f>IFERROR(__xludf.DUMMYFUNCTION("""COMPUTED_VALUE"""),0.0)</f>
        <v>0</v>
      </c>
      <c r="V27" s="3">
        <f>IFERROR(__xludf.DUMMYFUNCTION("""COMPUTED_VALUE"""),0.0)</f>
        <v>0</v>
      </c>
      <c r="W27" s="3">
        <f>IFERROR(__xludf.DUMMYFUNCTION("""COMPUTED_VALUE"""),0.0)</f>
        <v>0</v>
      </c>
      <c r="X27" s="3">
        <f>IFERROR(__xludf.DUMMYFUNCTION("""COMPUTED_VALUE"""),0.0)</f>
        <v>0</v>
      </c>
      <c r="Y27" s="3">
        <f>IFERROR(__xludf.DUMMYFUNCTION("""COMPUTED_VALUE"""),0.0)</f>
        <v>0</v>
      </c>
      <c r="Z27" s="3">
        <f>IFERROR(__xludf.DUMMYFUNCTION("""COMPUTED_VALUE"""),0.0)</f>
        <v>0</v>
      </c>
      <c r="AA27" s="3">
        <f>IFERROR(__xludf.DUMMYFUNCTION("""COMPUTED_VALUE"""),0.0)</f>
        <v>0</v>
      </c>
      <c r="AB27" s="3">
        <f>IFERROR(__xludf.DUMMYFUNCTION("""COMPUTED_VALUE"""),0.0)</f>
        <v>0</v>
      </c>
      <c r="AC27" s="3">
        <f>IFERROR(__xludf.DUMMYFUNCTION("""COMPUTED_VALUE"""),0.0)</f>
        <v>0</v>
      </c>
      <c r="AD27" s="3">
        <f>IFERROR(__xludf.DUMMYFUNCTION("""COMPUTED_VALUE"""),0.0)</f>
        <v>0</v>
      </c>
      <c r="AE27" s="3">
        <f>IFERROR(__xludf.DUMMYFUNCTION("""COMPUTED_VALUE"""),0.0)</f>
        <v>0</v>
      </c>
      <c r="AF27" s="3">
        <f>IFERROR(__xludf.DUMMYFUNCTION("""COMPUTED_VALUE"""),0.0)</f>
        <v>0</v>
      </c>
      <c r="AG27" s="3">
        <f>IFERROR(__xludf.DUMMYFUNCTION("""COMPUTED_VALUE"""),0.0)</f>
        <v>0</v>
      </c>
      <c r="AH27" s="3">
        <f>IFERROR(__xludf.DUMMYFUNCTION("""COMPUTED_VALUE"""),0.0)</f>
        <v>0</v>
      </c>
      <c r="AI27" s="3">
        <f>IFERROR(__xludf.DUMMYFUNCTION("""COMPUTED_VALUE"""),0.0)</f>
        <v>0</v>
      </c>
      <c r="AJ27" s="3">
        <f>IFERROR(__xludf.DUMMYFUNCTION("""COMPUTED_VALUE"""),0.0)</f>
        <v>0</v>
      </c>
      <c r="AK27" s="3">
        <f>IFERROR(__xludf.DUMMYFUNCTION("""COMPUTED_VALUE"""),0.0)</f>
        <v>0</v>
      </c>
      <c r="AL27" s="3">
        <f>IFERROR(__xludf.DUMMYFUNCTION("""COMPUTED_VALUE"""),0.0)</f>
        <v>0</v>
      </c>
      <c r="AM27" s="3">
        <f>IFERROR(__xludf.DUMMYFUNCTION("""COMPUTED_VALUE"""),0.0)</f>
        <v>0</v>
      </c>
      <c r="AN27" s="3">
        <f>IFERROR(__xludf.DUMMYFUNCTION("""COMPUTED_VALUE"""),0.0)</f>
        <v>0</v>
      </c>
      <c r="AO27" s="3">
        <f>IFERROR(__xludf.DUMMYFUNCTION("""COMPUTED_VALUE"""),0.0)</f>
        <v>0</v>
      </c>
      <c r="AP27" s="3">
        <f>IFERROR(__xludf.DUMMYFUNCTION("""COMPUTED_VALUE"""),0.0)</f>
        <v>0</v>
      </c>
      <c r="AQ27" s="3">
        <f>IFERROR(__xludf.DUMMYFUNCTION("""COMPUTED_VALUE"""),0.0)</f>
        <v>0</v>
      </c>
      <c r="AR27" s="3">
        <f>IFERROR(__xludf.DUMMYFUNCTION("""COMPUTED_VALUE"""),0.0)</f>
        <v>0</v>
      </c>
      <c r="AS27" s="3">
        <f>IFERROR(__xludf.DUMMYFUNCTION("""COMPUTED_VALUE"""),0.0)</f>
        <v>0</v>
      </c>
      <c r="AT27" s="3">
        <f>IFERROR(__xludf.DUMMYFUNCTION("""COMPUTED_VALUE"""),0.0)</f>
        <v>0</v>
      </c>
      <c r="AU27" s="3">
        <f>IFERROR(__xludf.DUMMYFUNCTION("""COMPUTED_VALUE"""),0.0)</f>
        <v>0</v>
      </c>
      <c r="AV27" s="3">
        <f>IFERROR(__xludf.DUMMYFUNCTION("""COMPUTED_VALUE"""),0.0)</f>
        <v>0</v>
      </c>
      <c r="AW27" s="3">
        <f>IFERROR(__xludf.DUMMYFUNCTION("""COMPUTED_VALUE"""),0.0)</f>
        <v>0</v>
      </c>
      <c r="AX27" s="3">
        <f>IFERROR(__xludf.DUMMYFUNCTION("""COMPUTED_VALUE"""),0.0)</f>
        <v>0</v>
      </c>
      <c r="AY27" s="3">
        <f>IFERROR(__xludf.DUMMYFUNCTION("""COMPUTED_VALUE"""),0.0)</f>
        <v>0</v>
      </c>
      <c r="AZ27" s="3">
        <f>IFERROR(__xludf.DUMMYFUNCTION("""COMPUTED_VALUE"""),0.0)</f>
        <v>0</v>
      </c>
      <c r="BA27" s="3">
        <f>IFERROR(__xludf.DUMMYFUNCTION("""COMPUTED_VALUE"""),0.0)</f>
        <v>0</v>
      </c>
      <c r="BB27" s="3">
        <f>IFERROR(__xludf.DUMMYFUNCTION("""COMPUTED_VALUE"""),0.0)</f>
        <v>0</v>
      </c>
      <c r="BC27" s="3">
        <f>IFERROR(__xludf.DUMMYFUNCTION("""COMPUTED_VALUE"""),0.0)</f>
        <v>0</v>
      </c>
      <c r="BD27" s="3">
        <f>IFERROR(__xludf.DUMMYFUNCTION("""COMPUTED_VALUE"""),0.0)</f>
        <v>0</v>
      </c>
      <c r="BE27" s="3">
        <f>IFERROR(__xludf.DUMMYFUNCTION("""COMPUTED_VALUE"""),0.0)</f>
        <v>0</v>
      </c>
      <c r="BF27" s="3">
        <f>IFERROR(__xludf.DUMMYFUNCTION("""COMPUTED_VALUE"""),0.0)</f>
        <v>0</v>
      </c>
      <c r="BG27" s="3">
        <f>IFERROR(__xludf.DUMMYFUNCTION("""COMPUTED_VALUE"""),0.0)</f>
        <v>0</v>
      </c>
      <c r="BH27" s="3">
        <f>IFERROR(__xludf.DUMMYFUNCTION("""COMPUTED_VALUE"""),0.0)</f>
        <v>0</v>
      </c>
      <c r="BI27" s="3">
        <f>IFERROR(__xludf.DUMMYFUNCTION("""COMPUTED_VALUE"""),0.0)</f>
        <v>0</v>
      </c>
      <c r="BJ27" s="3">
        <f>IFERROR(__xludf.DUMMYFUNCTION("""COMPUTED_VALUE"""),0.0)</f>
        <v>0</v>
      </c>
      <c r="BK27" s="3">
        <f>IFERROR(__xludf.DUMMYFUNCTION("""COMPUTED_VALUE"""),0.0)</f>
        <v>0</v>
      </c>
      <c r="BL27" s="3">
        <f>IFERROR(__xludf.DUMMYFUNCTION("""COMPUTED_VALUE"""),0.0)</f>
        <v>0</v>
      </c>
      <c r="BM27" s="3">
        <f>IFERROR(__xludf.DUMMYFUNCTION("""COMPUTED_VALUE"""),0.0)</f>
        <v>0</v>
      </c>
      <c r="BN27" s="3">
        <f>IFERROR(__xludf.DUMMYFUNCTION("""COMPUTED_VALUE"""),0.0)</f>
        <v>0</v>
      </c>
      <c r="BO27" s="3">
        <f>IFERROR(__xludf.DUMMYFUNCTION("""COMPUTED_VALUE"""),0.0)</f>
        <v>0</v>
      </c>
      <c r="BP27" s="3">
        <f>IFERROR(__xludf.DUMMYFUNCTION("""COMPUTED_VALUE"""),0.0)</f>
        <v>0</v>
      </c>
      <c r="BQ27" s="3">
        <f>IFERROR(__xludf.DUMMYFUNCTION("""COMPUTED_VALUE"""),0.0)</f>
        <v>0</v>
      </c>
      <c r="BR27" s="3">
        <f>IFERROR(__xludf.DUMMYFUNCTION("""COMPUTED_VALUE"""),0.0)</f>
        <v>0</v>
      </c>
      <c r="BS27" s="3">
        <f>IFERROR(__xludf.DUMMYFUNCTION("""COMPUTED_VALUE"""),0.0)</f>
        <v>0</v>
      </c>
      <c r="BT27" s="3">
        <f>IFERROR(__xludf.DUMMYFUNCTION("""COMPUTED_VALUE"""),0.0)</f>
        <v>0</v>
      </c>
      <c r="BU27" s="3">
        <f>IFERROR(__xludf.DUMMYFUNCTION("""COMPUTED_VALUE"""),0.0)</f>
        <v>0</v>
      </c>
      <c r="BV27" s="3">
        <f>IFERROR(__xludf.DUMMYFUNCTION("""COMPUTED_VALUE"""),0.0)</f>
        <v>0</v>
      </c>
      <c r="BW27" s="3">
        <f>IFERROR(__xludf.DUMMYFUNCTION("""COMPUTED_VALUE"""),0.0)</f>
        <v>0</v>
      </c>
      <c r="BX27" s="3">
        <f>IFERROR(__xludf.DUMMYFUNCTION("""COMPUTED_VALUE"""),0.0)</f>
        <v>0</v>
      </c>
      <c r="BY27" s="3">
        <f>IFERROR(__xludf.DUMMYFUNCTION("""COMPUTED_VALUE"""),0.0)</f>
        <v>0</v>
      </c>
      <c r="BZ27" s="3">
        <f>IFERROR(__xludf.DUMMYFUNCTION("""COMPUTED_VALUE"""),0.0)</f>
        <v>0</v>
      </c>
      <c r="CA27" s="3">
        <f>IFERROR(__xludf.DUMMYFUNCTION("""COMPUTED_VALUE"""),0.0)</f>
        <v>0</v>
      </c>
      <c r="CB27" s="3">
        <f>IFERROR(__xludf.DUMMYFUNCTION("""COMPUTED_VALUE"""),0.0)</f>
        <v>0</v>
      </c>
    </row>
    <row r="28">
      <c r="A28" s="3" t="str">
        <f>IFERROR(__xludf.DUMMYFUNCTION("""COMPUTED_VALUE"""),"")</f>
        <v/>
      </c>
      <c r="B28" s="3" t="str">
        <f>IFERROR(__xludf.DUMMYFUNCTION("""COMPUTED_VALUE"""),"Bolivia")</f>
        <v>Bolivia</v>
      </c>
      <c r="C28" s="3">
        <f>IFERROR(__xludf.DUMMYFUNCTION("""COMPUTED_VALUE"""),-16.2902)</f>
        <v>-16.2902</v>
      </c>
      <c r="D28" s="3">
        <f>IFERROR(__xludf.DUMMYFUNCTION("""COMPUTED_VALUE"""),-63.5887)</f>
        <v>-63.5887</v>
      </c>
      <c r="E28" s="3">
        <f>IFERROR(__xludf.DUMMYFUNCTION("""COMPUTED_VALUE"""),0.0)</f>
        <v>0</v>
      </c>
      <c r="F28" s="3">
        <f>IFERROR(__xludf.DUMMYFUNCTION("""COMPUTED_VALUE"""),0.0)</f>
        <v>0</v>
      </c>
      <c r="G28" s="3">
        <f>IFERROR(__xludf.DUMMYFUNCTION("""COMPUTED_VALUE"""),0.0)</f>
        <v>0</v>
      </c>
      <c r="H28" s="3">
        <f>IFERROR(__xludf.DUMMYFUNCTION("""COMPUTED_VALUE"""),0.0)</f>
        <v>0</v>
      </c>
      <c r="I28" s="3">
        <f>IFERROR(__xludf.DUMMYFUNCTION("""COMPUTED_VALUE"""),0.0)</f>
        <v>0</v>
      </c>
      <c r="J28" s="3">
        <f>IFERROR(__xludf.DUMMYFUNCTION("""COMPUTED_VALUE"""),0.0)</f>
        <v>0</v>
      </c>
      <c r="K28" s="3">
        <f>IFERROR(__xludf.DUMMYFUNCTION("""COMPUTED_VALUE"""),0.0)</f>
        <v>0</v>
      </c>
      <c r="L28" s="3">
        <f>IFERROR(__xludf.DUMMYFUNCTION("""COMPUTED_VALUE"""),0.0)</f>
        <v>0</v>
      </c>
      <c r="M28" s="3">
        <f>IFERROR(__xludf.DUMMYFUNCTION("""COMPUTED_VALUE"""),0.0)</f>
        <v>0</v>
      </c>
      <c r="N28" s="3">
        <f>IFERROR(__xludf.DUMMYFUNCTION("""COMPUTED_VALUE"""),0.0)</f>
        <v>0</v>
      </c>
      <c r="O28" s="3">
        <f>IFERROR(__xludf.DUMMYFUNCTION("""COMPUTED_VALUE"""),0.0)</f>
        <v>0</v>
      </c>
      <c r="P28" s="3">
        <f>IFERROR(__xludf.DUMMYFUNCTION("""COMPUTED_VALUE"""),0.0)</f>
        <v>0</v>
      </c>
      <c r="Q28" s="3">
        <f>IFERROR(__xludf.DUMMYFUNCTION("""COMPUTED_VALUE"""),0.0)</f>
        <v>0</v>
      </c>
      <c r="R28" s="3">
        <f>IFERROR(__xludf.DUMMYFUNCTION("""COMPUTED_VALUE"""),0.0)</f>
        <v>0</v>
      </c>
      <c r="S28" s="3">
        <f>IFERROR(__xludf.DUMMYFUNCTION("""COMPUTED_VALUE"""),0.0)</f>
        <v>0</v>
      </c>
      <c r="T28" s="3">
        <f>IFERROR(__xludf.DUMMYFUNCTION("""COMPUTED_VALUE"""),0.0)</f>
        <v>0</v>
      </c>
      <c r="U28" s="3">
        <f>IFERROR(__xludf.DUMMYFUNCTION("""COMPUTED_VALUE"""),0.0)</f>
        <v>0</v>
      </c>
      <c r="V28" s="3">
        <f>IFERROR(__xludf.DUMMYFUNCTION("""COMPUTED_VALUE"""),0.0)</f>
        <v>0</v>
      </c>
      <c r="W28" s="3">
        <f>IFERROR(__xludf.DUMMYFUNCTION("""COMPUTED_VALUE"""),0.0)</f>
        <v>0</v>
      </c>
      <c r="X28" s="3">
        <f>IFERROR(__xludf.DUMMYFUNCTION("""COMPUTED_VALUE"""),0.0)</f>
        <v>0</v>
      </c>
      <c r="Y28" s="3">
        <f>IFERROR(__xludf.DUMMYFUNCTION("""COMPUTED_VALUE"""),0.0)</f>
        <v>0</v>
      </c>
      <c r="Z28" s="3">
        <f>IFERROR(__xludf.DUMMYFUNCTION("""COMPUTED_VALUE"""),0.0)</f>
        <v>0</v>
      </c>
      <c r="AA28" s="3">
        <f>IFERROR(__xludf.DUMMYFUNCTION("""COMPUTED_VALUE"""),0.0)</f>
        <v>0</v>
      </c>
      <c r="AB28" s="3">
        <f>IFERROR(__xludf.DUMMYFUNCTION("""COMPUTED_VALUE"""),0.0)</f>
        <v>0</v>
      </c>
      <c r="AC28" s="3">
        <f>IFERROR(__xludf.DUMMYFUNCTION("""COMPUTED_VALUE"""),0.0)</f>
        <v>0</v>
      </c>
      <c r="AD28" s="3">
        <f>IFERROR(__xludf.DUMMYFUNCTION("""COMPUTED_VALUE"""),0.0)</f>
        <v>0</v>
      </c>
      <c r="AE28" s="3">
        <f>IFERROR(__xludf.DUMMYFUNCTION("""COMPUTED_VALUE"""),0.0)</f>
        <v>0</v>
      </c>
      <c r="AF28" s="3">
        <f>IFERROR(__xludf.DUMMYFUNCTION("""COMPUTED_VALUE"""),0.0)</f>
        <v>0</v>
      </c>
      <c r="AG28" s="3">
        <f>IFERROR(__xludf.DUMMYFUNCTION("""COMPUTED_VALUE"""),0.0)</f>
        <v>0</v>
      </c>
      <c r="AH28" s="3">
        <f>IFERROR(__xludf.DUMMYFUNCTION("""COMPUTED_VALUE"""),0.0)</f>
        <v>0</v>
      </c>
      <c r="AI28" s="3">
        <f>IFERROR(__xludf.DUMMYFUNCTION("""COMPUTED_VALUE"""),0.0)</f>
        <v>0</v>
      </c>
      <c r="AJ28" s="3">
        <f>IFERROR(__xludf.DUMMYFUNCTION("""COMPUTED_VALUE"""),0.0)</f>
        <v>0</v>
      </c>
      <c r="AK28" s="3">
        <f>IFERROR(__xludf.DUMMYFUNCTION("""COMPUTED_VALUE"""),0.0)</f>
        <v>0</v>
      </c>
      <c r="AL28" s="3">
        <f>IFERROR(__xludf.DUMMYFUNCTION("""COMPUTED_VALUE"""),0.0)</f>
        <v>0</v>
      </c>
      <c r="AM28" s="3">
        <f>IFERROR(__xludf.DUMMYFUNCTION("""COMPUTED_VALUE"""),0.0)</f>
        <v>0</v>
      </c>
      <c r="AN28" s="3">
        <f>IFERROR(__xludf.DUMMYFUNCTION("""COMPUTED_VALUE"""),0.0)</f>
        <v>0</v>
      </c>
      <c r="AO28" s="3">
        <f>IFERROR(__xludf.DUMMYFUNCTION("""COMPUTED_VALUE"""),0.0)</f>
        <v>0</v>
      </c>
      <c r="AP28" s="3">
        <f>IFERROR(__xludf.DUMMYFUNCTION("""COMPUTED_VALUE"""),0.0)</f>
        <v>0</v>
      </c>
      <c r="AQ28" s="3">
        <f>IFERROR(__xludf.DUMMYFUNCTION("""COMPUTED_VALUE"""),0.0)</f>
        <v>0</v>
      </c>
      <c r="AR28" s="3">
        <f>IFERROR(__xludf.DUMMYFUNCTION("""COMPUTED_VALUE"""),0.0)</f>
        <v>0</v>
      </c>
      <c r="AS28" s="3">
        <f>IFERROR(__xludf.DUMMYFUNCTION("""COMPUTED_VALUE"""),0.0)</f>
        <v>0</v>
      </c>
      <c r="AT28" s="3">
        <f>IFERROR(__xludf.DUMMYFUNCTION("""COMPUTED_VALUE"""),0.0)</f>
        <v>0</v>
      </c>
      <c r="AU28" s="3">
        <f>IFERROR(__xludf.DUMMYFUNCTION("""COMPUTED_VALUE"""),0.0)</f>
        <v>0</v>
      </c>
      <c r="AV28" s="3">
        <f>IFERROR(__xludf.DUMMYFUNCTION("""COMPUTED_VALUE"""),0.0)</f>
        <v>0</v>
      </c>
      <c r="AW28" s="3">
        <f>IFERROR(__xludf.DUMMYFUNCTION("""COMPUTED_VALUE"""),0.0)</f>
        <v>0</v>
      </c>
      <c r="AX28" s="3">
        <f>IFERROR(__xludf.DUMMYFUNCTION("""COMPUTED_VALUE"""),0.0)</f>
        <v>0</v>
      </c>
      <c r="AY28" s="3">
        <f>IFERROR(__xludf.DUMMYFUNCTION("""COMPUTED_VALUE"""),0.0)</f>
        <v>0</v>
      </c>
      <c r="AZ28" s="3">
        <f>IFERROR(__xludf.DUMMYFUNCTION("""COMPUTED_VALUE"""),0.0)</f>
        <v>0</v>
      </c>
      <c r="BA28" s="3">
        <f>IFERROR(__xludf.DUMMYFUNCTION("""COMPUTED_VALUE"""),0.0)</f>
        <v>0</v>
      </c>
      <c r="BB28" s="3">
        <f>IFERROR(__xludf.DUMMYFUNCTION("""COMPUTED_VALUE"""),0.0)</f>
        <v>0</v>
      </c>
      <c r="BC28" s="3">
        <f>IFERROR(__xludf.DUMMYFUNCTION("""COMPUTED_VALUE"""),0.0)</f>
        <v>0</v>
      </c>
      <c r="BD28" s="3">
        <f>IFERROR(__xludf.DUMMYFUNCTION("""COMPUTED_VALUE"""),0.0)</f>
        <v>0</v>
      </c>
      <c r="BE28" s="3">
        <f>IFERROR(__xludf.DUMMYFUNCTION("""COMPUTED_VALUE"""),0.0)</f>
        <v>0</v>
      </c>
      <c r="BF28" s="3">
        <f>IFERROR(__xludf.DUMMYFUNCTION("""COMPUTED_VALUE"""),0.0)</f>
        <v>0</v>
      </c>
      <c r="BG28" s="3">
        <f>IFERROR(__xludf.DUMMYFUNCTION("""COMPUTED_VALUE"""),0.0)</f>
        <v>0</v>
      </c>
      <c r="BH28" s="3">
        <f>IFERROR(__xludf.DUMMYFUNCTION("""COMPUTED_VALUE"""),0.0)</f>
        <v>0</v>
      </c>
      <c r="BI28" s="3">
        <f>IFERROR(__xludf.DUMMYFUNCTION("""COMPUTED_VALUE"""),0.0)</f>
        <v>0</v>
      </c>
      <c r="BJ28" s="3">
        <f>IFERROR(__xludf.DUMMYFUNCTION("""COMPUTED_VALUE"""),0.0)</f>
        <v>0</v>
      </c>
      <c r="BK28" s="3">
        <f>IFERROR(__xludf.DUMMYFUNCTION("""COMPUTED_VALUE"""),0.0)</f>
        <v>0</v>
      </c>
      <c r="BL28" s="3">
        <f>IFERROR(__xludf.DUMMYFUNCTION("""COMPUTED_VALUE"""),0.0)</f>
        <v>0</v>
      </c>
      <c r="BM28" s="3">
        <f>IFERROR(__xludf.DUMMYFUNCTION("""COMPUTED_VALUE"""),0.0)</f>
        <v>0</v>
      </c>
      <c r="BN28" s="3">
        <f>IFERROR(__xludf.DUMMYFUNCTION("""COMPUTED_VALUE"""),0.0)</f>
        <v>0</v>
      </c>
      <c r="BO28" s="3">
        <f>IFERROR(__xludf.DUMMYFUNCTION("""COMPUTED_VALUE"""),0.0)</f>
        <v>0</v>
      </c>
      <c r="BP28" s="3">
        <f>IFERROR(__xludf.DUMMYFUNCTION("""COMPUTED_VALUE"""),0.0)</f>
        <v>0</v>
      </c>
      <c r="BQ28" s="3">
        <f>IFERROR(__xludf.DUMMYFUNCTION("""COMPUTED_VALUE"""),0.0)</f>
        <v>0</v>
      </c>
      <c r="BR28" s="3">
        <f>IFERROR(__xludf.DUMMYFUNCTION("""COMPUTED_VALUE"""),0.0)</f>
        <v>0</v>
      </c>
      <c r="BS28" s="3">
        <f>IFERROR(__xludf.DUMMYFUNCTION("""COMPUTED_VALUE"""),0.0)</f>
        <v>0</v>
      </c>
      <c r="BT28" s="3">
        <f>IFERROR(__xludf.DUMMYFUNCTION("""COMPUTED_VALUE"""),1.0)</f>
        <v>1</v>
      </c>
      <c r="BU28" s="3">
        <f>IFERROR(__xludf.DUMMYFUNCTION("""COMPUTED_VALUE"""),4.0)</f>
        <v>4</v>
      </c>
      <c r="BV28" s="3">
        <f>IFERROR(__xludf.DUMMYFUNCTION("""COMPUTED_VALUE"""),6.0)</f>
        <v>6</v>
      </c>
      <c r="BW28" s="3">
        <f>IFERROR(__xludf.DUMMYFUNCTION("""COMPUTED_VALUE"""),7.0)</f>
        <v>7</v>
      </c>
      <c r="BX28" s="3">
        <f>IFERROR(__xludf.DUMMYFUNCTION("""COMPUTED_VALUE"""),8.0)</f>
        <v>8</v>
      </c>
      <c r="BY28" s="3">
        <f>IFERROR(__xludf.DUMMYFUNCTION("""COMPUTED_VALUE"""),9.0)</f>
        <v>9</v>
      </c>
      <c r="BZ28" s="3">
        <f>IFERROR(__xludf.DUMMYFUNCTION("""COMPUTED_VALUE"""),10.0)</f>
        <v>10</v>
      </c>
      <c r="CA28" s="3">
        <f>IFERROR(__xludf.DUMMYFUNCTION("""COMPUTED_VALUE"""),10.0)</f>
        <v>10</v>
      </c>
      <c r="CB28" s="3">
        <f>IFERROR(__xludf.DUMMYFUNCTION("""COMPUTED_VALUE"""),11.0)</f>
        <v>11</v>
      </c>
    </row>
    <row r="29">
      <c r="A29" s="3" t="str">
        <f>IFERROR(__xludf.DUMMYFUNCTION("""COMPUTED_VALUE"""),"")</f>
        <v/>
      </c>
      <c r="B29" s="3" t="str">
        <f>IFERROR(__xludf.DUMMYFUNCTION("""COMPUTED_VALUE"""),"Bosnia and Herzegovina")</f>
        <v>Bosnia and Herzegovina</v>
      </c>
      <c r="C29" s="3">
        <f>IFERROR(__xludf.DUMMYFUNCTION("""COMPUTED_VALUE"""),43.9159)</f>
        <v>43.9159</v>
      </c>
      <c r="D29" s="3">
        <f>IFERROR(__xludf.DUMMYFUNCTION("""COMPUTED_VALUE"""),17.6791)</f>
        <v>17.6791</v>
      </c>
      <c r="E29" s="3">
        <f>IFERROR(__xludf.DUMMYFUNCTION("""COMPUTED_VALUE"""),0.0)</f>
        <v>0</v>
      </c>
      <c r="F29" s="3">
        <f>IFERROR(__xludf.DUMMYFUNCTION("""COMPUTED_VALUE"""),0.0)</f>
        <v>0</v>
      </c>
      <c r="G29" s="3">
        <f>IFERROR(__xludf.DUMMYFUNCTION("""COMPUTED_VALUE"""),0.0)</f>
        <v>0</v>
      </c>
      <c r="H29" s="3">
        <f>IFERROR(__xludf.DUMMYFUNCTION("""COMPUTED_VALUE"""),0.0)</f>
        <v>0</v>
      </c>
      <c r="I29" s="3">
        <f>IFERROR(__xludf.DUMMYFUNCTION("""COMPUTED_VALUE"""),0.0)</f>
        <v>0</v>
      </c>
      <c r="J29" s="3">
        <f>IFERROR(__xludf.DUMMYFUNCTION("""COMPUTED_VALUE"""),0.0)</f>
        <v>0</v>
      </c>
      <c r="K29" s="3">
        <f>IFERROR(__xludf.DUMMYFUNCTION("""COMPUTED_VALUE"""),0.0)</f>
        <v>0</v>
      </c>
      <c r="L29" s="3">
        <f>IFERROR(__xludf.DUMMYFUNCTION("""COMPUTED_VALUE"""),0.0)</f>
        <v>0</v>
      </c>
      <c r="M29" s="3">
        <f>IFERROR(__xludf.DUMMYFUNCTION("""COMPUTED_VALUE"""),0.0)</f>
        <v>0</v>
      </c>
      <c r="N29" s="3">
        <f>IFERROR(__xludf.DUMMYFUNCTION("""COMPUTED_VALUE"""),0.0)</f>
        <v>0</v>
      </c>
      <c r="O29" s="3">
        <f>IFERROR(__xludf.DUMMYFUNCTION("""COMPUTED_VALUE"""),0.0)</f>
        <v>0</v>
      </c>
      <c r="P29" s="3">
        <f>IFERROR(__xludf.DUMMYFUNCTION("""COMPUTED_VALUE"""),0.0)</f>
        <v>0</v>
      </c>
      <c r="Q29" s="3">
        <f>IFERROR(__xludf.DUMMYFUNCTION("""COMPUTED_VALUE"""),0.0)</f>
        <v>0</v>
      </c>
      <c r="R29" s="3">
        <f>IFERROR(__xludf.DUMMYFUNCTION("""COMPUTED_VALUE"""),0.0)</f>
        <v>0</v>
      </c>
      <c r="S29" s="3">
        <f>IFERROR(__xludf.DUMMYFUNCTION("""COMPUTED_VALUE"""),0.0)</f>
        <v>0</v>
      </c>
      <c r="T29" s="3">
        <f>IFERROR(__xludf.DUMMYFUNCTION("""COMPUTED_VALUE"""),0.0)</f>
        <v>0</v>
      </c>
      <c r="U29" s="3">
        <f>IFERROR(__xludf.DUMMYFUNCTION("""COMPUTED_VALUE"""),0.0)</f>
        <v>0</v>
      </c>
      <c r="V29" s="3">
        <f>IFERROR(__xludf.DUMMYFUNCTION("""COMPUTED_VALUE"""),0.0)</f>
        <v>0</v>
      </c>
      <c r="W29" s="3">
        <f>IFERROR(__xludf.DUMMYFUNCTION("""COMPUTED_VALUE"""),0.0)</f>
        <v>0</v>
      </c>
      <c r="X29" s="3">
        <f>IFERROR(__xludf.DUMMYFUNCTION("""COMPUTED_VALUE"""),0.0)</f>
        <v>0</v>
      </c>
      <c r="Y29" s="3">
        <f>IFERROR(__xludf.DUMMYFUNCTION("""COMPUTED_VALUE"""),0.0)</f>
        <v>0</v>
      </c>
      <c r="Z29" s="3">
        <f>IFERROR(__xludf.DUMMYFUNCTION("""COMPUTED_VALUE"""),0.0)</f>
        <v>0</v>
      </c>
      <c r="AA29" s="3">
        <f>IFERROR(__xludf.DUMMYFUNCTION("""COMPUTED_VALUE"""),0.0)</f>
        <v>0</v>
      </c>
      <c r="AB29" s="3">
        <f>IFERROR(__xludf.DUMMYFUNCTION("""COMPUTED_VALUE"""),0.0)</f>
        <v>0</v>
      </c>
      <c r="AC29" s="3">
        <f>IFERROR(__xludf.DUMMYFUNCTION("""COMPUTED_VALUE"""),0.0)</f>
        <v>0</v>
      </c>
      <c r="AD29" s="3">
        <f>IFERROR(__xludf.DUMMYFUNCTION("""COMPUTED_VALUE"""),0.0)</f>
        <v>0</v>
      </c>
      <c r="AE29" s="3">
        <f>IFERROR(__xludf.DUMMYFUNCTION("""COMPUTED_VALUE"""),0.0)</f>
        <v>0</v>
      </c>
      <c r="AF29" s="3">
        <f>IFERROR(__xludf.DUMMYFUNCTION("""COMPUTED_VALUE"""),0.0)</f>
        <v>0</v>
      </c>
      <c r="AG29" s="3">
        <f>IFERROR(__xludf.DUMMYFUNCTION("""COMPUTED_VALUE"""),0.0)</f>
        <v>0</v>
      </c>
      <c r="AH29" s="3">
        <f>IFERROR(__xludf.DUMMYFUNCTION("""COMPUTED_VALUE"""),0.0)</f>
        <v>0</v>
      </c>
      <c r="AI29" s="3">
        <f>IFERROR(__xludf.DUMMYFUNCTION("""COMPUTED_VALUE"""),0.0)</f>
        <v>0</v>
      </c>
      <c r="AJ29" s="3">
        <f>IFERROR(__xludf.DUMMYFUNCTION("""COMPUTED_VALUE"""),0.0)</f>
        <v>0</v>
      </c>
      <c r="AK29" s="3">
        <f>IFERROR(__xludf.DUMMYFUNCTION("""COMPUTED_VALUE"""),0.0)</f>
        <v>0</v>
      </c>
      <c r="AL29" s="3">
        <f>IFERROR(__xludf.DUMMYFUNCTION("""COMPUTED_VALUE"""),0.0)</f>
        <v>0</v>
      </c>
      <c r="AM29" s="3">
        <f>IFERROR(__xludf.DUMMYFUNCTION("""COMPUTED_VALUE"""),0.0)</f>
        <v>0</v>
      </c>
      <c r="AN29" s="3">
        <f>IFERROR(__xludf.DUMMYFUNCTION("""COMPUTED_VALUE"""),0.0)</f>
        <v>0</v>
      </c>
      <c r="AO29" s="3">
        <f>IFERROR(__xludf.DUMMYFUNCTION("""COMPUTED_VALUE"""),0.0)</f>
        <v>0</v>
      </c>
      <c r="AP29" s="3">
        <f>IFERROR(__xludf.DUMMYFUNCTION("""COMPUTED_VALUE"""),0.0)</f>
        <v>0</v>
      </c>
      <c r="AQ29" s="3">
        <f>IFERROR(__xludf.DUMMYFUNCTION("""COMPUTED_VALUE"""),0.0)</f>
        <v>0</v>
      </c>
      <c r="AR29" s="3">
        <f>IFERROR(__xludf.DUMMYFUNCTION("""COMPUTED_VALUE"""),0.0)</f>
        <v>0</v>
      </c>
      <c r="AS29" s="3">
        <f>IFERROR(__xludf.DUMMYFUNCTION("""COMPUTED_VALUE"""),0.0)</f>
        <v>0</v>
      </c>
      <c r="AT29" s="3">
        <f>IFERROR(__xludf.DUMMYFUNCTION("""COMPUTED_VALUE"""),0.0)</f>
        <v>0</v>
      </c>
      <c r="AU29" s="3">
        <f>IFERROR(__xludf.DUMMYFUNCTION("""COMPUTED_VALUE"""),0.0)</f>
        <v>0</v>
      </c>
      <c r="AV29" s="3">
        <f>IFERROR(__xludf.DUMMYFUNCTION("""COMPUTED_VALUE"""),0.0)</f>
        <v>0</v>
      </c>
      <c r="AW29" s="3">
        <f>IFERROR(__xludf.DUMMYFUNCTION("""COMPUTED_VALUE"""),0.0)</f>
        <v>0</v>
      </c>
      <c r="AX29" s="3">
        <f>IFERROR(__xludf.DUMMYFUNCTION("""COMPUTED_VALUE"""),0.0)</f>
        <v>0</v>
      </c>
      <c r="AY29" s="3">
        <f>IFERROR(__xludf.DUMMYFUNCTION("""COMPUTED_VALUE"""),0.0)</f>
        <v>0</v>
      </c>
      <c r="AZ29" s="3">
        <f>IFERROR(__xludf.DUMMYFUNCTION("""COMPUTED_VALUE"""),0.0)</f>
        <v>0</v>
      </c>
      <c r="BA29" s="3">
        <f>IFERROR(__xludf.DUMMYFUNCTION("""COMPUTED_VALUE"""),0.0)</f>
        <v>0</v>
      </c>
      <c r="BB29" s="3">
        <f>IFERROR(__xludf.DUMMYFUNCTION("""COMPUTED_VALUE"""),0.0)</f>
        <v>0</v>
      </c>
      <c r="BC29" s="3">
        <f>IFERROR(__xludf.DUMMYFUNCTION("""COMPUTED_VALUE"""),0.0)</f>
        <v>0</v>
      </c>
      <c r="BD29" s="3">
        <f>IFERROR(__xludf.DUMMYFUNCTION("""COMPUTED_VALUE"""),0.0)</f>
        <v>0</v>
      </c>
      <c r="BE29" s="3">
        <f>IFERROR(__xludf.DUMMYFUNCTION("""COMPUTED_VALUE"""),0.0)</f>
        <v>0</v>
      </c>
      <c r="BF29" s="3">
        <f>IFERROR(__xludf.DUMMYFUNCTION("""COMPUTED_VALUE"""),0.0)</f>
        <v>0</v>
      </c>
      <c r="BG29" s="3">
        <f>IFERROR(__xludf.DUMMYFUNCTION("""COMPUTED_VALUE"""),0.0)</f>
        <v>0</v>
      </c>
      <c r="BH29" s="3">
        <f>IFERROR(__xludf.DUMMYFUNCTION("""COMPUTED_VALUE"""),0.0)</f>
        <v>0</v>
      </c>
      <c r="BI29" s="3">
        <f>IFERROR(__xludf.DUMMYFUNCTION("""COMPUTED_VALUE"""),0.0)</f>
        <v>0</v>
      </c>
      <c r="BJ29" s="3">
        <f>IFERROR(__xludf.DUMMYFUNCTION("""COMPUTED_VALUE"""),0.0)</f>
        <v>0</v>
      </c>
      <c r="BK29" s="3">
        <f>IFERROR(__xludf.DUMMYFUNCTION("""COMPUTED_VALUE"""),0.0)</f>
        <v>0</v>
      </c>
      <c r="BL29" s="3">
        <f>IFERROR(__xludf.DUMMYFUNCTION("""COMPUTED_VALUE"""),1.0)</f>
        <v>1</v>
      </c>
      <c r="BM29" s="3">
        <f>IFERROR(__xludf.DUMMYFUNCTION("""COMPUTED_VALUE"""),1.0)</f>
        <v>1</v>
      </c>
      <c r="BN29" s="3">
        <f>IFERROR(__xludf.DUMMYFUNCTION("""COMPUTED_VALUE"""),1.0)</f>
        <v>1</v>
      </c>
      <c r="BO29" s="3">
        <f>IFERROR(__xludf.DUMMYFUNCTION("""COMPUTED_VALUE"""),3.0)</f>
        <v>3</v>
      </c>
      <c r="BP29" s="3">
        <f>IFERROR(__xludf.DUMMYFUNCTION("""COMPUTED_VALUE"""),3.0)</f>
        <v>3</v>
      </c>
      <c r="BQ29" s="3">
        <f>IFERROR(__xludf.DUMMYFUNCTION("""COMPUTED_VALUE"""),3.0)</f>
        <v>3</v>
      </c>
      <c r="BR29" s="3">
        <f>IFERROR(__xludf.DUMMYFUNCTION("""COMPUTED_VALUE"""),4.0)</f>
        <v>4</v>
      </c>
      <c r="BS29" s="3">
        <f>IFERROR(__xludf.DUMMYFUNCTION("""COMPUTED_VALUE"""),5.0)</f>
        <v>5</v>
      </c>
      <c r="BT29" s="3">
        <f>IFERROR(__xludf.DUMMYFUNCTION("""COMPUTED_VALUE"""),6.0)</f>
        <v>6</v>
      </c>
      <c r="BU29" s="3">
        <f>IFERROR(__xludf.DUMMYFUNCTION("""COMPUTED_VALUE"""),10.0)</f>
        <v>10</v>
      </c>
      <c r="BV29" s="3">
        <f>IFERROR(__xludf.DUMMYFUNCTION("""COMPUTED_VALUE"""),13.0)</f>
        <v>13</v>
      </c>
      <c r="BW29" s="3">
        <f>IFERROR(__xludf.DUMMYFUNCTION("""COMPUTED_VALUE"""),13.0)</f>
        <v>13</v>
      </c>
      <c r="BX29" s="3">
        <f>IFERROR(__xludf.DUMMYFUNCTION("""COMPUTED_VALUE"""),16.0)</f>
        <v>16</v>
      </c>
      <c r="BY29" s="3">
        <f>IFERROR(__xludf.DUMMYFUNCTION("""COMPUTED_VALUE"""),17.0)</f>
        <v>17</v>
      </c>
      <c r="BZ29" s="3">
        <f>IFERROR(__xludf.DUMMYFUNCTION("""COMPUTED_VALUE"""),21.0)</f>
        <v>21</v>
      </c>
      <c r="CA29" s="3">
        <f>IFERROR(__xludf.DUMMYFUNCTION("""COMPUTED_VALUE"""),23.0)</f>
        <v>23</v>
      </c>
      <c r="CB29" s="3">
        <f>IFERROR(__xludf.DUMMYFUNCTION("""COMPUTED_VALUE"""),29.0)</f>
        <v>29</v>
      </c>
    </row>
    <row r="30">
      <c r="A30" s="3" t="str">
        <f>IFERROR(__xludf.DUMMYFUNCTION("""COMPUTED_VALUE"""),"")</f>
        <v/>
      </c>
      <c r="B30" s="3" t="str">
        <f>IFERROR(__xludf.DUMMYFUNCTION("""COMPUTED_VALUE"""),"Brazil")</f>
        <v>Brazil</v>
      </c>
      <c r="C30" s="3">
        <f>IFERROR(__xludf.DUMMYFUNCTION("""COMPUTED_VALUE"""),-14.235)</f>
        <v>-14.235</v>
      </c>
      <c r="D30" s="3">
        <f>IFERROR(__xludf.DUMMYFUNCTION("""COMPUTED_VALUE"""),-51.9253)</f>
        <v>-51.9253</v>
      </c>
      <c r="E30" s="3">
        <f>IFERROR(__xludf.DUMMYFUNCTION("""COMPUTED_VALUE"""),0.0)</f>
        <v>0</v>
      </c>
      <c r="F30" s="3">
        <f>IFERROR(__xludf.DUMMYFUNCTION("""COMPUTED_VALUE"""),0.0)</f>
        <v>0</v>
      </c>
      <c r="G30" s="3">
        <f>IFERROR(__xludf.DUMMYFUNCTION("""COMPUTED_VALUE"""),0.0)</f>
        <v>0</v>
      </c>
      <c r="H30" s="3">
        <f>IFERROR(__xludf.DUMMYFUNCTION("""COMPUTED_VALUE"""),0.0)</f>
        <v>0</v>
      </c>
      <c r="I30" s="3">
        <f>IFERROR(__xludf.DUMMYFUNCTION("""COMPUTED_VALUE"""),0.0)</f>
        <v>0</v>
      </c>
      <c r="J30" s="3">
        <f>IFERROR(__xludf.DUMMYFUNCTION("""COMPUTED_VALUE"""),0.0)</f>
        <v>0</v>
      </c>
      <c r="K30" s="3">
        <f>IFERROR(__xludf.DUMMYFUNCTION("""COMPUTED_VALUE"""),0.0)</f>
        <v>0</v>
      </c>
      <c r="L30" s="3">
        <f>IFERROR(__xludf.DUMMYFUNCTION("""COMPUTED_VALUE"""),0.0)</f>
        <v>0</v>
      </c>
      <c r="M30" s="3">
        <f>IFERROR(__xludf.DUMMYFUNCTION("""COMPUTED_VALUE"""),0.0)</f>
        <v>0</v>
      </c>
      <c r="N30" s="3">
        <f>IFERROR(__xludf.DUMMYFUNCTION("""COMPUTED_VALUE"""),0.0)</f>
        <v>0</v>
      </c>
      <c r="O30" s="3">
        <f>IFERROR(__xludf.DUMMYFUNCTION("""COMPUTED_VALUE"""),0.0)</f>
        <v>0</v>
      </c>
      <c r="P30" s="3">
        <f>IFERROR(__xludf.DUMMYFUNCTION("""COMPUTED_VALUE"""),0.0)</f>
        <v>0</v>
      </c>
      <c r="Q30" s="3">
        <f>IFERROR(__xludf.DUMMYFUNCTION("""COMPUTED_VALUE"""),0.0)</f>
        <v>0</v>
      </c>
      <c r="R30" s="3">
        <f>IFERROR(__xludf.DUMMYFUNCTION("""COMPUTED_VALUE"""),0.0)</f>
        <v>0</v>
      </c>
      <c r="S30" s="3">
        <f>IFERROR(__xludf.DUMMYFUNCTION("""COMPUTED_VALUE"""),0.0)</f>
        <v>0</v>
      </c>
      <c r="T30" s="3">
        <f>IFERROR(__xludf.DUMMYFUNCTION("""COMPUTED_VALUE"""),0.0)</f>
        <v>0</v>
      </c>
      <c r="U30" s="3">
        <f>IFERROR(__xludf.DUMMYFUNCTION("""COMPUTED_VALUE"""),0.0)</f>
        <v>0</v>
      </c>
      <c r="V30" s="3">
        <f>IFERROR(__xludf.DUMMYFUNCTION("""COMPUTED_VALUE"""),0.0)</f>
        <v>0</v>
      </c>
      <c r="W30" s="3">
        <f>IFERROR(__xludf.DUMMYFUNCTION("""COMPUTED_VALUE"""),0.0)</f>
        <v>0</v>
      </c>
      <c r="X30" s="3">
        <f>IFERROR(__xludf.DUMMYFUNCTION("""COMPUTED_VALUE"""),0.0)</f>
        <v>0</v>
      </c>
      <c r="Y30" s="3">
        <f>IFERROR(__xludf.DUMMYFUNCTION("""COMPUTED_VALUE"""),0.0)</f>
        <v>0</v>
      </c>
      <c r="Z30" s="3">
        <f>IFERROR(__xludf.DUMMYFUNCTION("""COMPUTED_VALUE"""),0.0)</f>
        <v>0</v>
      </c>
      <c r="AA30" s="3">
        <f>IFERROR(__xludf.DUMMYFUNCTION("""COMPUTED_VALUE"""),0.0)</f>
        <v>0</v>
      </c>
      <c r="AB30" s="3">
        <f>IFERROR(__xludf.DUMMYFUNCTION("""COMPUTED_VALUE"""),0.0)</f>
        <v>0</v>
      </c>
      <c r="AC30" s="3">
        <f>IFERROR(__xludf.DUMMYFUNCTION("""COMPUTED_VALUE"""),0.0)</f>
        <v>0</v>
      </c>
      <c r="AD30" s="3">
        <f>IFERROR(__xludf.DUMMYFUNCTION("""COMPUTED_VALUE"""),0.0)</f>
        <v>0</v>
      </c>
      <c r="AE30" s="3">
        <f>IFERROR(__xludf.DUMMYFUNCTION("""COMPUTED_VALUE"""),0.0)</f>
        <v>0</v>
      </c>
      <c r="AF30" s="3">
        <f>IFERROR(__xludf.DUMMYFUNCTION("""COMPUTED_VALUE"""),0.0)</f>
        <v>0</v>
      </c>
      <c r="AG30" s="3">
        <f>IFERROR(__xludf.DUMMYFUNCTION("""COMPUTED_VALUE"""),0.0)</f>
        <v>0</v>
      </c>
      <c r="AH30" s="3">
        <f>IFERROR(__xludf.DUMMYFUNCTION("""COMPUTED_VALUE"""),0.0)</f>
        <v>0</v>
      </c>
      <c r="AI30" s="3">
        <f>IFERROR(__xludf.DUMMYFUNCTION("""COMPUTED_VALUE"""),0.0)</f>
        <v>0</v>
      </c>
      <c r="AJ30" s="3">
        <f>IFERROR(__xludf.DUMMYFUNCTION("""COMPUTED_VALUE"""),0.0)</f>
        <v>0</v>
      </c>
      <c r="AK30" s="3">
        <f>IFERROR(__xludf.DUMMYFUNCTION("""COMPUTED_VALUE"""),0.0)</f>
        <v>0</v>
      </c>
      <c r="AL30" s="3">
        <f>IFERROR(__xludf.DUMMYFUNCTION("""COMPUTED_VALUE"""),0.0)</f>
        <v>0</v>
      </c>
      <c r="AM30" s="3">
        <f>IFERROR(__xludf.DUMMYFUNCTION("""COMPUTED_VALUE"""),0.0)</f>
        <v>0</v>
      </c>
      <c r="AN30" s="3">
        <f>IFERROR(__xludf.DUMMYFUNCTION("""COMPUTED_VALUE"""),0.0)</f>
        <v>0</v>
      </c>
      <c r="AO30" s="3">
        <f>IFERROR(__xludf.DUMMYFUNCTION("""COMPUTED_VALUE"""),0.0)</f>
        <v>0</v>
      </c>
      <c r="AP30" s="3">
        <f>IFERROR(__xludf.DUMMYFUNCTION("""COMPUTED_VALUE"""),0.0)</f>
        <v>0</v>
      </c>
      <c r="AQ30" s="3">
        <f>IFERROR(__xludf.DUMMYFUNCTION("""COMPUTED_VALUE"""),0.0)</f>
        <v>0</v>
      </c>
      <c r="AR30" s="3">
        <f>IFERROR(__xludf.DUMMYFUNCTION("""COMPUTED_VALUE"""),0.0)</f>
        <v>0</v>
      </c>
      <c r="AS30" s="3">
        <f>IFERROR(__xludf.DUMMYFUNCTION("""COMPUTED_VALUE"""),0.0)</f>
        <v>0</v>
      </c>
      <c r="AT30" s="3">
        <f>IFERROR(__xludf.DUMMYFUNCTION("""COMPUTED_VALUE"""),0.0)</f>
        <v>0</v>
      </c>
      <c r="AU30" s="3">
        <f>IFERROR(__xludf.DUMMYFUNCTION("""COMPUTED_VALUE"""),0.0)</f>
        <v>0</v>
      </c>
      <c r="AV30" s="3">
        <f>IFERROR(__xludf.DUMMYFUNCTION("""COMPUTED_VALUE"""),0.0)</f>
        <v>0</v>
      </c>
      <c r="AW30" s="3">
        <f>IFERROR(__xludf.DUMMYFUNCTION("""COMPUTED_VALUE"""),0.0)</f>
        <v>0</v>
      </c>
      <c r="AX30" s="3">
        <f>IFERROR(__xludf.DUMMYFUNCTION("""COMPUTED_VALUE"""),0.0)</f>
        <v>0</v>
      </c>
      <c r="AY30" s="3">
        <f>IFERROR(__xludf.DUMMYFUNCTION("""COMPUTED_VALUE"""),0.0)</f>
        <v>0</v>
      </c>
      <c r="AZ30" s="3">
        <f>IFERROR(__xludf.DUMMYFUNCTION("""COMPUTED_VALUE"""),0.0)</f>
        <v>0</v>
      </c>
      <c r="BA30" s="3">
        <f>IFERROR(__xludf.DUMMYFUNCTION("""COMPUTED_VALUE"""),0.0)</f>
        <v>0</v>
      </c>
      <c r="BB30" s="3">
        <f>IFERROR(__xludf.DUMMYFUNCTION("""COMPUTED_VALUE"""),0.0)</f>
        <v>0</v>
      </c>
      <c r="BC30" s="3">
        <f>IFERROR(__xludf.DUMMYFUNCTION("""COMPUTED_VALUE"""),0.0)</f>
        <v>0</v>
      </c>
      <c r="BD30" s="3">
        <f>IFERROR(__xludf.DUMMYFUNCTION("""COMPUTED_VALUE"""),0.0)</f>
        <v>0</v>
      </c>
      <c r="BE30" s="3">
        <f>IFERROR(__xludf.DUMMYFUNCTION("""COMPUTED_VALUE"""),0.0)</f>
        <v>0</v>
      </c>
      <c r="BF30" s="3">
        <f>IFERROR(__xludf.DUMMYFUNCTION("""COMPUTED_VALUE"""),0.0)</f>
        <v>0</v>
      </c>
      <c r="BG30" s="3">
        <f>IFERROR(__xludf.DUMMYFUNCTION("""COMPUTED_VALUE"""),0.0)</f>
        <v>0</v>
      </c>
      <c r="BH30" s="3">
        <f>IFERROR(__xludf.DUMMYFUNCTION("""COMPUTED_VALUE"""),1.0)</f>
        <v>1</v>
      </c>
      <c r="BI30" s="3">
        <f>IFERROR(__xludf.DUMMYFUNCTION("""COMPUTED_VALUE"""),3.0)</f>
        <v>3</v>
      </c>
      <c r="BJ30" s="3">
        <f>IFERROR(__xludf.DUMMYFUNCTION("""COMPUTED_VALUE"""),6.0)</f>
        <v>6</v>
      </c>
      <c r="BK30" s="3">
        <f>IFERROR(__xludf.DUMMYFUNCTION("""COMPUTED_VALUE"""),11.0)</f>
        <v>11</v>
      </c>
      <c r="BL30" s="3">
        <f>IFERROR(__xludf.DUMMYFUNCTION("""COMPUTED_VALUE"""),15.0)</f>
        <v>15</v>
      </c>
      <c r="BM30" s="3">
        <f>IFERROR(__xludf.DUMMYFUNCTION("""COMPUTED_VALUE"""),25.0)</f>
        <v>25</v>
      </c>
      <c r="BN30" s="3">
        <f>IFERROR(__xludf.DUMMYFUNCTION("""COMPUTED_VALUE"""),34.0)</f>
        <v>34</v>
      </c>
      <c r="BO30" s="3">
        <f>IFERROR(__xludf.DUMMYFUNCTION("""COMPUTED_VALUE"""),46.0)</f>
        <v>46</v>
      </c>
      <c r="BP30" s="3">
        <f>IFERROR(__xludf.DUMMYFUNCTION("""COMPUTED_VALUE"""),59.0)</f>
        <v>59</v>
      </c>
      <c r="BQ30" s="3">
        <f>IFERROR(__xludf.DUMMYFUNCTION("""COMPUTED_VALUE"""),77.0)</f>
        <v>77</v>
      </c>
      <c r="BR30" s="3">
        <f>IFERROR(__xludf.DUMMYFUNCTION("""COMPUTED_VALUE"""),92.0)</f>
        <v>92</v>
      </c>
      <c r="BS30" s="3">
        <f>IFERROR(__xludf.DUMMYFUNCTION("""COMPUTED_VALUE"""),111.0)</f>
        <v>111</v>
      </c>
      <c r="BT30" s="3">
        <f>IFERROR(__xludf.DUMMYFUNCTION("""COMPUTED_VALUE"""),136.0)</f>
        <v>136</v>
      </c>
      <c r="BU30" s="3">
        <f>IFERROR(__xludf.DUMMYFUNCTION("""COMPUTED_VALUE"""),159.0)</f>
        <v>159</v>
      </c>
      <c r="BV30" s="3">
        <f>IFERROR(__xludf.DUMMYFUNCTION("""COMPUTED_VALUE"""),201.0)</f>
        <v>201</v>
      </c>
      <c r="BW30" s="3">
        <f>IFERROR(__xludf.DUMMYFUNCTION("""COMPUTED_VALUE"""),240.0)</f>
        <v>240</v>
      </c>
      <c r="BX30" s="3">
        <f>IFERROR(__xludf.DUMMYFUNCTION("""COMPUTED_VALUE"""),324.0)</f>
        <v>324</v>
      </c>
      <c r="BY30" s="3">
        <f>IFERROR(__xludf.DUMMYFUNCTION("""COMPUTED_VALUE"""),359.0)</f>
        <v>359</v>
      </c>
      <c r="BZ30" s="3">
        <f>IFERROR(__xludf.DUMMYFUNCTION("""COMPUTED_VALUE"""),445.0)</f>
        <v>445</v>
      </c>
      <c r="CA30" s="3">
        <f>IFERROR(__xludf.DUMMYFUNCTION("""COMPUTED_VALUE"""),486.0)</f>
        <v>486</v>
      </c>
      <c r="CB30" s="3">
        <f>IFERROR(__xludf.DUMMYFUNCTION("""COMPUTED_VALUE"""),564.0)</f>
        <v>564</v>
      </c>
    </row>
    <row r="31">
      <c r="A31" s="3" t="str">
        <f>IFERROR(__xludf.DUMMYFUNCTION("""COMPUTED_VALUE"""),"")</f>
        <v/>
      </c>
      <c r="B31" s="3" t="str">
        <f>IFERROR(__xludf.DUMMYFUNCTION("""COMPUTED_VALUE"""),"Brunei")</f>
        <v>Brunei</v>
      </c>
      <c r="C31" s="3">
        <f>IFERROR(__xludf.DUMMYFUNCTION("""COMPUTED_VALUE"""),4.5353)</f>
        <v>4.5353</v>
      </c>
      <c r="D31" s="3">
        <f>IFERROR(__xludf.DUMMYFUNCTION("""COMPUTED_VALUE"""),114.7277)</f>
        <v>114.7277</v>
      </c>
      <c r="E31" s="3">
        <f>IFERROR(__xludf.DUMMYFUNCTION("""COMPUTED_VALUE"""),0.0)</f>
        <v>0</v>
      </c>
      <c r="F31" s="3">
        <f>IFERROR(__xludf.DUMMYFUNCTION("""COMPUTED_VALUE"""),0.0)</f>
        <v>0</v>
      </c>
      <c r="G31" s="3">
        <f>IFERROR(__xludf.DUMMYFUNCTION("""COMPUTED_VALUE"""),0.0)</f>
        <v>0</v>
      </c>
      <c r="H31" s="3">
        <f>IFERROR(__xludf.DUMMYFUNCTION("""COMPUTED_VALUE"""),0.0)</f>
        <v>0</v>
      </c>
      <c r="I31" s="3">
        <f>IFERROR(__xludf.DUMMYFUNCTION("""COMPUTED_VALUE"""),0.0)</f>
        <v>0</v>
      </c>
      <c r="J31" s="3">
        <f>IFERROR(__xludf.DUMMYFUNCTION("""COMPUTED_VALUE"""),0.0)</f>
        <v>0</v>
      </c>
      <c r="K31" s="3">
        <f>IFERROR(__xludf.DUMMYFUNCTION("""COMPUTED_VALUE"""),0.0)</f>
        <v>0</v>
      </c>
      <c r="L31" s="3">
        <f>IFERROR(__xludf.DUMMYFUNCTION("""COMPUTED_VALUE"""),0.0)</f>
        <v>0</v>
      </c>
      <c r="M31" s="3">
        <f>IFERROR(__xludf.DUMMYFUNCTION("""COMPUTED_VALUE"""),0.0)</f>
        <v>0</v>
      </c>
      <c r="N31" s="3">
        <f>IFERROR(__xludf.DUMMYFUNCTION("""COMPUTED_VALUE"""),0.0)</f>
        <v>0</v>
      </c>
      <c r="O31" s="3">
        <f>IFERROR(__xludf.DUMMYFUNCTION("""COMPUTED_VALUE"""),0.0)</f>
        <v>0</v>
      </c>
      <c r="P31" s="3">
        <f>IFERROR(__xludf.DUMMYFUNCTION("""COMPUTED_VALUE"""),0.0)</f>
        <v>0</v>
      </c>
      <c r="Q31" s="3">
        <f>IFERROR(__xludf.DUMMYFUNCTION("""COMPUTED_VALUE"""),0.0)</f>
        <v>0</v>
      </c>
      <c r="R31" s="3">
        <f>IFERROR(__xludf.DUMMYFUNCTION("""COMPUTED_VALUE"""),0.0)</f>
        <v>0</v>
      </c>
      <c r="S31" s="3">
        <f>IFERROR(__xludf.DUMMYFUNCTION("""COMPUTED_VALUE"""),0.0)</f>
        <v>0</v>
      </c>
      <c r="T31" s="3">
        <f>IFERROR(__xludf.DUMMYFUNCTION("""COMPUTED_VALUE"""),0.0)</f>
        <v>0</v>
      </c>
      <c r="U31" s="3">
        <f>IFERROR(__xludf.DUMMYFUNCTION("""COMPUTED_VALUE"""),0.0)</f>
        <v>0</v>
      </c>
      <c r="V31" s="3">
        <f>IFERROR(__xludf.DUMMYFUNCTION("""COMPUTED_VALUE"""),0.0)</f>
        <v>0</v>
      </c>
      <c r="W31" s="3">
        <f>IFERROR(__xludf.DUMMYFUNCTION("""COMPUTED_VALUE"""),0.0)</f>
        <v>0</v>
      </c>
      <c r="X31" s="3">
        <f>IFERROR(__xludf.DUMMYFUNCTION("""COMPUTED_VALUE"""),0.0)</f>
        <v>0</v>
      </c>
      <c r="Y31" s="3">
        <f>IFERROR(__xludf.DUMMYFUNCTION("""COMPUTED_VALUE"""),0.0)</f>
        <v>0</v>
      </c>
      <c r="Z31" s="3">
        <f>IFERROR(__xludf.DUMMYFUNCTION("""COMPUTED_VALUE"""),0.0)</f>
        <v>0</v>
      </c>
      <c r="AA31" s="3">
        <f>IFERROR(__xludf.DUMMYFUNCTION("""COMPUTED_VALUE"""),0.0)</f>
        <v>0</v>
      </c>
      <c r="AB31" s="3">
        <f>IFERROR(__xludf.DUMMYFUNCTION("""COMPUTED_VALUE"""),0.0)</f>
        <v>0</v>
      </c>
      <c r="AC31" s="3">
        <f>IFERROR(__xludf.DUMMYFUNCTION("""COMPUTED_VALUE"""),0.0)</f>
        <v>0</v>
      </c>
      <c r="AD31" s="3">
        <f>IFERROR(__xludf.DUMMYFUNCTION("""COMPUTED_VALUE"""),0.0)</f>
        <v>0</v>
      </c>
      <c r="AE31" s="3">
        <f>IFERROR(__xludf.DUMMYFUNCTION("""COMPUTED_VALUE"""),0.0)</f>
        <v>0</v>
      </c>
      <c r="AF31" s="3">
        <f>IFERROR(__xludf.DUMMYFUNCTION("""COMPUTED_VALUE"""),0.0)</f>
        <v>0</v>
      </c>
      <c r="AG31" s="3">
        <f>IFERROR(__xludf.DUMMYFUNCTION("""COMPUTED_VALUE"""),0.0)</f>
        <v>0</v>
      </c>
      <c r="AH31" s="3">
        <f>IFERROR(__xludf.DUMMYFUNCTION("""COMPUTED_VALUE"""),0.0)</f>
        <v>0</v>
      </c>
      <c r="AI31" s="3">
        <f>IFERROR(__xludf.DUMMYFUNCTION("""COMPUTED_VALUE"""),0.0)</f>
        <v>0</v>
      </c>
      <c r="AJ31" s="3">
        <f>IFERROR(__xludf.DUMMYFUNCTION("""COMPUTED_VALUE"""),0.0)</f>
        <v>0</v>
      </c>
      <c r="AK31" s="3">
        <f>IFERROR(__xludf.DUMMYFUNCTION("""COMPUTED_VALUE"""),0.0)</f>
        <v>0</v>
      </c>
      <c r="AL31" s="3">
        <f>IFERROR(__xludf.DUMMYFUNCTION("""COMPUTED_VALUE"""),0.0)</f>
        <v>0</v>
      </c>
      <c r="AM31" s="3">
        <f>IFERROR(__xludf.DUMMYFUNCTION("""COMPUTED_VALUE"""),0.0)</f>
        <v>0</v>
      </c>
      <c r="AN31" s="3">
        <f>IFERROR(__xludf.DUMMYFUNCTION("""COMPUTED_VALUE"""),0.0)</f>
        <v>0</v>
      </c>
      <c r="AO31" s="3">
        <f>IFERROR(__xludf.DUMMYFUNCTION("""COMPUTED_VALUE"""),0.0)</f>
        <v>0</v>
      </c>
      <c r="AP31" s="3">
        <f>IFERROR(__xludf.DUMMYFUNCTION("""COMPUTED_VALUE"""),0.0)</f>
        <v>0</v>
      </c>
      <c r="AQ31" s="3">
        <f>IFERROR(__xludf.DUMMYFUNCTION("""COMPUTED_VALUE"""),0.0)</f>
        <v>0</v>
      </c>
      <c r="AR31" s="3">
        <f>IFERROR(__xludf.DUMMYFUNCTION("""COMPUTED_VALUE"""),0.0)</f>
        <v>0</v>
      </c>
      <c r="AS31" s="3">
        <f>IFERROR(__xludf.DUMMYFUNCTION("""COMPUTED_VALUE"""),0.0)</f>
        <v>0</v>
      </c>
      <c r="AT31" s="3">
        <f>IFERROR(__xludf.DUMMYFUNCTION("""COMPUTED_VALUE"""),0.0)</f>
        <v>0</v>
      </c>
      <c r="AU31" s="3">
        <f>IFERROR(__xludf.DUMMYFUNCTION("""COMPUTED_VALUE"""),0.0)</f>
        <v>0</v>
      </c>
      <c r="AV31" s="3">
        <f>IFERROR(__xludf.DUMMYFUNCTION("""COMPUTED_VALUE"""),0.0)</f>
        <v>0</v>
      </c>
      <c r="AW31" s="3">
        <f>IFERROR(__xludf.DUMMYFUNCTION("""COMPUTED_VALUE"""),0.0)</f>
        <v>0</v>
      </c>
      <c r="AX31" s="3">
        <f>IFERROR(__xludf.DUMMYFUNCTION("""COMPUTED_VALUE"""),0.0)</f>
        <v>0</v>
      </c>
      <c r="AY31" s="3">
        <f>IFERROR(__xludf.DUMMYFUNCTION("""COMPUTED_VALUE"""),0.0)</f>
        <v>0</v>
      </c>
      <c r="AZ31" s="3">
        <f>IFERROR(__xludf.DUMMYFUNCTION("""COMPUTED_VALUE"""),0.0)</f>
        <v>0</v>
      </c>
      <c r="BA31" s="3">
        <f>IFERROR(__xludf.DUMMYFUNCTION("""COMPUTED_VALUE"""),0.0)</f>
        <v>0</v>
      </c>
      <c r="BB31" s="3">
        <f>IFERROR(__xludf.DUMMYFUNCTION("""COMPUTED_VALUE"""),0.0)</f>
        <v>0</v>
      </c>
      <c r="BC31" s="3">
        <f>IFERROR(__xludf.DUMMYFUNCTION("""COMPUTED_VALUE"""),0.0)</f>
        <v>0</v>
      </c>
      <c r="BD31" s="3">
        <f>IFERROR(__xludf.DUMMYFUNCTION("""COMPUTED_VALUE"""),0.0)</f>
        <v>0</v>
      </c>
      <c r="BE31" s="3">
        <f>IFERROR(__xludf.DUMMYFUNCTION("""COMPUTED_VALUE"""),0.0)</f>
        <v>0</v>
      </c>
      <c r="BF31" s="3">
        <f>IFERROR(__xludf.DUMMYFUNCTION("""COMPUTED_VALUE"""),0.0)</f>
        <v>0</v>
      </c>
      <c r="BG31" s="3">
        <f>IFERROR(__xludf.DUMMYFUNCTION("""COMPUTED_VALUE"""),0.0)</f>
        <v>0</v>
      </c>
      <c r="BH31" s="3">
        <f>IFERROR(__xludf.DUMMYFUNCTION("""COMPUTED_VALUE"""),0.0)</f>
        <v>0</v>
      </c>
      <c r="BI31" s="3">
        <f>IFERROR(__xludf.DUMMYFUNCTION("""COMPUTED_VALUE"""),0.0)</f>
        <v>0</v>
      </c>
      <c r="BJ31" s="3">
        <f>IFERROR(__xludf.DUMMYFUNCTION("""COMPUTED_VALUE"""),0.0)</f>
        <v>0</v>
      </c>
      <c r="BK31" s="3">
        <f>IFERROR(__xludf.DUMMYFUNCTION("""COMPUTED_VALUE"""),0.0)</f>
        <v>0</v>
      </c>
      <c r="BL31" s="3">
        <f>IFERROR(__xludf.DUMMYFUNCTION("""COMPUTED_VALUE"""),0.0)</f>
        <v>0</v>
      </c>
      <c r="BM31" s="3">
        <f>IFERROR(__xludf.DUMMYFUNCTION("""COMPUTED_VALUE"""),0.0)</f>
        <v>0</v>
      </c>
      <c r="BN31" s="3">
        <f>IFERROR(__xludf.DUMMYFUNCTION("""COMPUTED_VALUE"""),0.0)</f>
        <v>0</v>
      </c>
      <c r="BO31" s="3">
        <f>IFERROR(__xludf.DUMMYFUNCTION("""COMPUTED_VALUE"""),0.0)</f>
        <v>0</v>
      </c>
      <c r="BP31" s="3">
        <f>IFERROR(__xludf.DUMMYFUNCTION("""COMPUTED_VALUE"""),0.0)</f>
        <v>0</v>
      </c>
      <c r="BQ31" s="3">
        <f>IFERROR(__xludf.DUMMYFUNCTION("""COMPUTED_VALUE"""),0.0)</f>
        <v>0</v>
      </c>
      <c r="BR31" s="3">
        <f>IFERROR(__xludf.DUMMYFUNCTION("""COMPUTED_VALUE"""),0.0)</f>
        <v>0</v>
      </c>
      <c r="BS31" s="3">
        <f>IFERROR(__xludf.DUMMYFUNCTION("""COMPUTED_VALUE"""),1.0)</f>
        <v>1</v>
      </c>
      <c r="BT31" s="3">
        <f>IFERROR(__xludf.DUMMYFUNCTION("""COMPUTED_VALUE"""),1.0)</f>
        <v>1</v>
      </c>
      <c r="BU31" s="3">
        <f>IFERROR(__xludf.DUMMYFUNCTION("""COMPUTED_VALUE"""),1.0)</f>
        <v>1</v>
      </c>
      <c r="BV31" s="3">
        <f>IFERROR(__xludf.DUMMYFUNCTION("""COMPUTED_VALUE"""),1.0)</f>
        <v>1</v>
      </c>
      <c r="BW31" s="3">
        <f>IFERROR(__xludf.DUMMYFUNCTION("""COMPUTED_VALUE"""),1.0)</f>
        <v>1</v>
      </c>
      <c r="BX31" s="3">
        <f>IFERROR(__xludf.DUMMYFUNCTION("""COMPUTED_VALUE"""),1.0)</f>
        <v>1</v>
      </c>
      <c r="BY31" s="3">
        <f>IFERROR(__xludf.DUMMYFUNCTION("""COMPUTED_VALUE"""),1.0)</f>
        <v>1</v>
      </c>
      <c r="BZ31" s="3">
        <f>IFERROR(__xludf.DUMMYFUNCTION("""COMPUTED_VALUE"""),1.0)</f>
        <v>1</v>
      </c>
      <c r="CA31" s="3">
        <f>IFERROR(__xludf.DUMMYFUNCTION("""COMPUTED_VALUE"""),1.0)</f>
        <v>1</v>
      </c>
      <c r="CB31" s="3">
        <f>IFERROR(__xludf.DUMMYFUNCTION("""COMPUTED_VALUE"""),1.0)</f>
        <v>1</v>
      </c>
    </row>
    <row r="32">
      <c r="A32" s="3" t="str">
        <f>IFERROR(__xludf.DUMMYFUNCTION("""COMPUTED_VALUE"""),"")</f>
        <v/>
      </c>
      <c r="B32" s="3" t="str">
        <f>IFERROR(__xludf.DUMMYFUNCTION("""COMPUTED_VALUE"""),"Bulgaria")</f>
        <v>Bulgaria</v>
      </c>
      <c r="C32" s="3">
        <f>IFERROR(__xludf.DUMMYFUNCTION("""COMPUTED_VALUE"""),42.7339)</f>
        <v>42.7339</v>
      </c>
      <c r="D32" s="3">
        <f>IFERROR(__xludf.DUMMYFUNCTION("""COMPUTED_VALUE"""),25.4858)</f>
        <v>25.4858</v>
      </c>
      <c r="E32" s="3">
        <f>IFERROR(__xludf.DUMMYFUNCTION("""COMPUTED_VALUE"""),0.0)</f>
        <v>0</v>
      </c>
      <c r="F32" s="3">
        <f>IFERROR(__xludf.DUMMYFUNCTION("""COMPUTED_VALUE"""),0.0)</f>
        <v>0</v>
      </c>
      <c r="G32" s="3">
        <f>IFERROR(__xludf.DUMMYFUNCTION("""COMPUTED_VALUE"""),0.0)</f>
        <v>0</v>
      </c>
      <c r="H32" s="3">
        <f>IFERROR(__xludf.DUMMYFUNCTION("""COMPUTED_VALUE"""),0.0)</f>
        <v>0</v>
      </c>
      <c r="I32" s="3">
        <f>IFERROR(__xludf.DUMMYFUNCTION("""COMPUTED_VALUE"""),0.0)</f>
        <v>0</v>
      </c>
      <c r="J32" s="3">
        <f>IFERROR(__xludf.DUMMYFUNCTION("""COMPUTED_VALUE"""),0.0)</f>
        <v>0</v>
      </c>
      <c r="K32" s="3">
        <f>IFERROR(__xludf.DUMMYFUNCTION("""COMPUTED_VALUE"""),0.0)</f>
        <v>0</v>
      </c>
      <c r="L32" s="3">
        <f>IFERROR(__xludf.DUMMYFUNCTION("""COMPUTED_VALUE"""),0.0)</f>
        <v>0</v>
      </c>
      <c r="M32" s="3">
        <f>IFERROR(__xludf.DUMMYFUNCTION("""COMPUTED_VALUE"""),0.0)</f>
        <v>0</v>
      </c>
      <c r="N32" s="3">
        <f>IFERROR(__xludf.DUMMYFUNCTION("""COMPUTED_VALUE"""),0.0)</f>
        <v>0</v>
      </c>
      <c r="O32" s="3">
        <f>IFERROR(__xludf.DUMMYFUNCTION("""COMPUTED_VALUE"""),0.0)</f>
        <v>0</v>
      </c>
      <c r="P32" s="3">
        <f>IFERROR(__xludf.DUMMYFUNCTION("""COMPUTED_VALUE"""),0.0)</f>
        <v>0</v>
      </c>
      <c r="Q32" s="3">
        <f>IFERROR(__xludf.DUMMYFUNCTION("""COMPUTED_VALUE"""),0.0)</f>
        <v>0</v>
      </c>
      <c r="R32" s="3">
        <f>IFERROR(__xludf.DUMMYFUNCTION("""COMPUTED_VALUE"""),0.0)</f>
        <v>0</v>
      </c>
      <c r="S32" s="3">
        <f>IFERROR(__xludf.DUMMYFUNCTION("""COMPUTED_VALUE"""),0.0)</f>
        <v>0</v>
      </c>
      <c r="T32" s="3">
        <f>IFERROR(__xludf.DUMMYFUNCTION("""COMPUTED_VALUE"""),0.0)</f>
        <v>0</v>
      </c>
      <c r="U32" s="3">
        <f>IFERROR(__xludf.DUMMYFUNCTION("""COMPUTED_VALUE"""),0.0)</f>
        <v>0</v>
      </c>
      <c r="V32" s="3">
        <f>IFERROR(__xludf.DUMMYFUNCTION("""COMPUTED_VALUE"""),0.0)</f>
        <v>0</v>
      </c>
      <c r="W32" s="3">
        <f>IFERROR(__xludf.DUMMYFUNCTION("""COMPUTED_VALUE"""),0.0)</f>
        <v>0</v>
      </c>
      <c r="X32" s="3">
        <f>IFERROR(__xludf.DUMMYFUNCTION("""COMPUTED_VALUE"""),0.0)</f>
        <v>0</v>
      </c>
      <c r="Y32" s="3">
        <f>IFERROR(__xludf.DUMMYFUNCTION("""COMPUTED_VALUE"""),0.0)</f>
        <v>0</v>
      </c>
      <c r="Z32" s="3">
        <f>IFERROR(__xludf.DUMMYFUNCTION("""COMPUTED_VALUE"""),0.0)</f>
        <v>0</v>
      </c>
      <c r="AA32" s="3">
        <f>IFERROR(__xludf.DUMMYFUNCTION("""COMPUTED_VALUE"""),0.0)</f>
        <v>0</v>
      </c>
      <c r="AB32" s="3">
        <f>IFERROR(__xludf.DUMMYFUNCTION("""COMPUTED_VALUE"""),0.0)</f>
        <v>0</v>
      </c>
      <c r="AC32" s="3">
        <f>IFERROR(__xludf.DUMMYFUNCTION("""COMPUTED_VALUE"""),0.0)</f>
        <v>0</v>
      </c>
      <c r="AD32" s="3">
        <f>IFERROR(__xludf.DUMMYFUNCTION("""COMPUTED_VALUE"""),0.0)</f>
        <v>0</v>
      </c>
      <c r="AE32" s="3">
        <f>IFERROR(__xludf.DUMMYFUNCTION("""COMPUTED_VALUE"""),0.0)</f>
        <v>0</v>
      </c>
      <c r="AF32" s="3">
        <f>IFERROR(__xludf.DUMMYFUNCTION("""COMPUTED_VALUE"""),0.0)</f>
        <v>0</v>
      </c>
      <c r="AG32" s="3">
        <f>IFERROR(__xludf.DUMMYFUNCTION("""COMPUTED_VALUE"""),0.0)</f>
        <v>0</v>
      </c>
      <c r="AH32" s="3">
        <f>IFERROR(__xludf.DUMMYFUNCTION("""COMPUTED_VALUE"""),0.0)</f>
        <v>0</v>
      </c>
      <c r="AI32" s="3">
        <f>IFERROR(__xludf.DUMMYFUNCTION("""COMPUTED_VALUE"""),0.0)</f>
        <v>0</v>
      </c>
      <c r="AJ32" s="3">
        <f>IFERROR(__xludf.DUMMYFUNCTION("""COMPUTED_VALUE"""),0.0)</f>
        <v>0</v>
      </c>
      <c r="AK32" s="3">
        <f>IFERROR(__xludf.DUMMYFUNCTION("""COMPUTED_VALUE"""),0.0)</f>
        <v>0</v>
      </c>
      <c r="AL32" s="3">
        <f>IFERROR(__xludf.DUMMYFUNCTION("""COMPUTED_VALUE"""),0.0)</f>
        <v>0</v>
      </c>
      <c r="AM32" s="3">
        <f>IFERROR(__xludf.DUMMYFUNCTION("""COMPUTED_VALUE"""),0.0)</f>
        <v>0</v>
      </c>
      <c r="AN32" s="3">
        <f>IFERROR(__xludf.DUMMYFUNCTION("""COMPUTED_VALUE"""),0.0)</f>
        <v>0</v>
      </c>
      <c r="AO32" s="3">
        <f>IFERROR(__xludf.DUMMYFUNCTION("""COMPUTED_VALUE"""),0.0)</f>
        <v>0</v>
      </c>
      <c r="AP32" s="3">
        <f>IFERROR(__xludf.DUMMYFUNCTION("""COMPUTED_VALUE"""),0.0)</f>
        <v>0</v>
      </c>
      <c r="AQ32" s="3">
        <f>IFERROR(__xludf.DUMMYFUNCTION("""COMPUTED_VALUE"""),0.0)</f>
        <v>0</v>
      </c>
      <c r="AR32" s="3">
        <f>IFERROR(__xludf.DUMMYFUNCTION("""COMPUTED_VALUE"""),0.0)</f>
        <v>0</v>
      </c>
      <c r="AS32" s="3">
        <f>IFERROR(__xludf.DUMMYFUNCTION("""COMPUTED_VALUE"""),0.0)</f>
        <v>0</v>
      </c>
      <c r="AT32" s="3">
        <f>IFERROR(__xludf.DUMMYFUNCTION("""COMPUTED_VALUE"""),0.0)</f>
        <v>0</v>
      </c>
      <c r="AU32" s="3">
        <f>IFERROR(__xludf.DUMMYFUNCTION("""COMPUTED_VALUE"""),0.0)</f>
        <v>0</v>
      </c>
      <c r="AV32" s="3">
        <f>IFERROR(__xludf.DUMMYFUNCTION("""COMPUTED_VALUE"""),0.0)</f>
        <v>0</v>
      </c>
      <c r="AW32" s="3">
        <f>IFERROR(__xludf.DUMMYFUNCTION("""COMPUTED_VALUE"""),0.0)</f>
        <v>0</v>
      </c>
      <c r="AX32" s="3">
        <f>IFERROR(__xludf.DUMMYFUNCTION("""COMPUTED_VALUE"""),0.0)</f>
        <v>0</v>
      </c>
      <c r="AY32" s="3">
        <f>IFERROR(__xludf.DUMMYFUNCTION("""COMPUTED_VALUE"""),0.0)</f>
        <v>0</v>
      </c>
      <c r="AZ32" s="3">
        <f>IFERROR(__xludf.DUMMYFUNCTION("""COMPUTED_VALUE"""),0.0)</f>
        <v>0</v>
      </c>
      <c r="BA32" s="3">
        <f>IFERROR(__xludf.DUMMYFUNCTION("""COMPUTED_VALUE"""),0.0)</f>
        <v>0</v>
      </c>
      <c r="BB32" s="3">
        <f>IFERROR(__xludf.DUMMYFUNCTION("""COMPUTED_VALUE"""),1.0)</f>
        <v>1</v>
      </c>
      <c r="BC32" s="3">
        <f>IFERROR(__xludf.DUMMYFUNCTION("""COMPUTED_VALUE"""),1.0)</f>
        <v>1</v>
      </c>
      <c r="BD32" s="3">
        <f>IFERROR(__xludf.DUMMYFUNCTION("""COMPUTED_VALUE"""),1.0)</f>
        <v>1</v>
      </c>
      <c r="BE32" s="3">
        <f>IFERROR(__xludf.DUMMYFUNCTION("""COMPUTED_VALUE"""),2.0)</f>
        <v>2</v>
      </c>
      <c r="BF32" s="3">
        <f>IFERROR(__xludf.DUMMYFUNCTION("""COMPUTED_VALUE"""),2.0)</f>
        <v>2</v>
      </c>
      <c r="BG32" s="3">
        <f>IFERROR(__xludf.DUMMYFUNCTION("""COMPUTED_VALUE"""),2.0)</f>
        <v>2</v>
      </c>
      <c r="BH32" s="3">
        <f>IFERROR(__xludf.DUMMYFUNCTION("""COMPUTED_VALUE"""),2.0)</f>
        <v>2</v>
      </c>
      <c r="BI32" s="3">
        <f>IFERROR(__xludf.DUMMYFUNCTION("""COMPUTED_VALUE"""),2.0)</f>
        <v>2</v>
      </c>
      <c r="BJ32" s="3">
        <f>IFERROR(__xludf.DUMMYFUNCTION("""COMPUTED_VALUE"""),3.0)</f>
        <v>3</v>
      </c>
      <c r="BK32" s="3">
        <f>IFERROR(__xludf.DUMMYFUNCTION("""COMPUTED_VALUE"""),3.0)</f>
        <v>3</v>
      </c>
      <c r="BL32" s="3">
        <f>IFERROR(__xludf.DUMMYFUNCTION("""COMPUTED_VALUE"""),3.0)</f>
        <v>3</v>
      </c>
      <c r="BM32" s="3">
        <f>IFERROR(__xludf.DUMMYFUNCTION("""COMPUTED_VALUE"""),3.0)</f>
        <v>3</v>
      </c>
      <c r="BN32" s="3">
        <f>IFERROR(__xludf.DUMMYFUNCTION("""COMPUTED_VALUE"""),3.0)</f>
        <v>3</v>
      </c>
      <c r="BO32" s="3">
        <f>IFERROR(__xludf.DUMMYFUNCTION("""COMPUTED_VALUE"""),3.0)</f>
        <v>3</v>
      </c>
      <c r="BP32" s="3">
        <f>IFERROR(__xludf.DUMMYFUNCTION("""COMPUTED_VALUE"""),3.0)</f>
        <v>3</v>
      </c>
      <c r="BQ32" s="3">
        <f>IFERROR(__xludf.DUMMYFUNCTION("""COMPUTED_VALUE"""),3.0)</f>
        <v>3</v>
      </c>
      <c r="BR32" s="3">
        <f>IFERROR(__xludf.DUMMYFUNCTION("""COMPUTED_VALUE"""),3.0)</f>
        <v>3</v>
      </c>
      <c r="BS32" s="3">
        <f>IFERROR(__xludf.DUMMYFUNCTION("""COMPUTED_VALUE"""),7.0)</f>
        <v>7</v>
      </c>
      <c r="BT32" s="3">
        <f>IFERROR(__xludf.DUMMYFUNCTION("""COMPUTED_VALUE"""),8.0)</f>
        <v>8</v>
      </c>
      <c r="BU32" s="3">
        <f>IFERROR(__xludf.DUMMYFUNCTION("""COMPUTED_VALUE"""),8.0)</f>
        <v>8</v>
      </c>
      <c r="BV32" s="3">
        <f>IFERROR(__xludf.DUMMYFUNCTION("""COMPUTED_VALUE"""),8.0)</f>
        <v>8</v>
      </c>
      <c r="BW32" s="3">
        <f>IFERROR(__xludf.DUMMYFUNCTION("""COMPUTED_VALUE"""),10.0)</f>
        <v>10</v>
      </c>
      <c r="BX32" s="3">
        <f>IFERROR(__xludf.DUMMYFUNCTION("""COMPUTED_VALUE"""),10.0)</f>
        <v>10</v>
      </c>
      <c r="BY32" s="3">
        <f>IFERROR(__xludf.DUMMYFUNCTION("""COMPUTED_VALUE"""),14.0)</f>
        <v>14</v>
      </c>
      <c r="BZ32" s="3">
        <f>IFERROR(__xludf.DUMMYFUNCTION("""COMPUTED_VALUE"""),17.0)</f>
        <v>17</v>
      </c>
      <c r="CA32" s="3">
        <f>IFERROR(__xludf.DUMMYFUNCTION("""COMPUTED_VALUE"""),20.0)</f>
        <v>20</v>
      </c>
      <c r="CB32" s="3">
        <f>IFERROR(__xludf.DUMMYFUNCTION("""COMPUTED_VALUE"""),22.0)</f>
        <v>22</v>
      </c>
    </row>
    <row r="33">
      <c r="A33" s="3" t="str">
        <f>IFERROR(__xludf.DUMMYFUNCTION("""COMPUTED_VALUE"""),"")</f>
        <v/>
      </c>
      <c r="B33" s="3" t="str">
        <f>IFERROR(__xludf.DUMMYFUNCTION("""COMPUTED_VALUE"""),"Burkina Faso")</f>
        <v>Burkina Faso</v>
      </c>
      <c r="C33" s="3">
        <f>IFERROR(__xludf.DUMMYFUNCTION("""COMPUTED_VALUE"""),12.2383)</f>
        <v>12.2383</v>
      </c>
      <c r="D33" s="3">
        <f>IFERROR(__xludf.DUMMYFUNCTION("""COMPUTED_VALUE"""),-1.5616)</f>
        <v>-1.5616</v>
      </c>
      <c r="E33" s="3">
        <f>IFERROR(__xludf.DUMMYFUNCTION("""COMPUTED_VALUE"""),0.0)</f>
        <v>0</v>
      </c>
      <c r="F33" s="3">
        <f>IFERROR(__xludf.DUMMYFUNCTION("""COMPUTED_VALUE"""),0.0)</f>
        <v>0</v>
      </c>
      <c r="G33" s="3">
        <f>IFERROR(__xludf.DUMMYFUNCTION("""COMPUTED_VALUE"""),0.0)</f>
        <v>0</v>
      </c>
      <c r="H33" s="3">
        <f>IFERROR(__xludf.DUMMYFUNCTION("""COMPUTED_VALUE"""),0.0)</f>
        <v>0</v>
      </c>
      <c r="I33" s="3">
        <f>IFERROR(__xludf.DUMMYFUNCTION("""COMPUTED_VALUE"""),0.0)</f>
        <v>0</v>
      </c>
      <c r="J33" s="3">
        <f>IFERROR(__xludf.DUMMYFUNCTION("""COMPUTED_VALUE"""),0.0)</f>
        <v>0</v>
      </c>
      <c r="K33" s="3">
        <f>IFERROR(__xludf.DUMMYFUNCTION("""COMPUTED_VALUE"""),0.0)</f>
        <v>0</v>
      </c>
      <c r="L33" s="3">
        <f>IFERROR(__xludf.DUMMYFUNCTION("""COMPUTED_VALUE"""),0.0)</f>
        <v>0</v>
      </c>
      <c r="M33" s="3">
        <f>IFERROR(__xludf.DUMMYFUNCTION("""COMPUTED_VALUE"""),0.0)</f>
        <v>0</v>
      </c>
      <c r="N33" s="3">
        <f>IFERROR(__xludf.DUMMYFUNCTION("""COMPUTED_VALUE"""),0.0)</f>
        <v>0</v>
      </c>
      <c r="O33" s="3">
        <f>IFERROR(__xludf.DUMMYFUNCTION("""COMPUTED_VALUE"""),0.0)</f>
        <v>0</v>
      </c>
      <c r="P33" s="3">
        <f>IFERROR(__xludf.DUMMYFUNCTION("""COMPUTED_VALUE"""),0.0)</f>
        <v>0</v>
      </c>
      <c r="Q33" s="3">
        <f>IFERROR(__xludf.DUMMYFUNCTION("""COMPUTED_VALUE"""),0.0)</f>
        <v>0</v>
      </c>
      <c r="R33" s="3">
        <f>IFERROR(__xludf.DUMMYFUNCTION("""COMPUTED_VALUE"""),0.0)</f>
        <v>0</v>
      </c>
      <c r="S33" s="3">
        <f>IFERROR(__xludf.DUMMYFUNCTION("""COMPUTED_VALUE"""),0.0)</f>
        <v>0</v>
      </c>
      <c r="T33" s="3">
        <f>IFERROR(__xludf.DUMMYFUNCTION("""COMPUTED_VALUE"""),0.0)</f>
        <v>0</v>
      </c>
      <c r="U33" s="3">
        <f>IFERROR(__xludf.DUMMYFUNCTION("""COMPUTED_VALUE"""),0.0)</f>
        <v>0</v>
      </c>
      <c r="V33" s="3">
        <f>IFERROR(__xludf.DUMMYFUNCTION("""COMPUTED_VALUE"""),0.0)</f>
        <v>0</v>
      </c>
      <c r="W33" s="3">
        <f>IFERROR(__xludf.DUMMYFUNCTION("""COMPUTED_VALUE"""),0.0)</f>
        <v>0</v>
      </c>
      <c r="X33" s="3">
        <f>IFERROR(__xludf.DUMMYFUNCTION("""COMPUTED_VALUE"""),0.0)</f>
        <v>0</v>
      </c>
      <c r="Y33" s="3">
        <f>IFERROR(__xludf.DUMMYFUNCTION("""COMPUTED_VALUE"""),0.0)</f>
        <v>0</v>
      </c>
      <c r="Z33" s="3">
        <f>IFERROR(__xludf.DUMMYFUNCTION("""COMPUTED_VALUE"""),0.0)</f>
        <v>0</v>
      </c>
      <c r="AA33" s="3">
        <f>IFERROR(__xludf.DUMMYFUNCTION("""COMPUTED_VALUE"""),0.0)</f>
        <v>0</v>
      </c>
      <c r="AB33" s="3">
        <f>IFERROR(__xludf.DUMMYFUNCTION("""COMPUTED_VALUE"""),0.0)</f>
        <v>0</v>
      </c>
      <c r="AC33" s="3">
        <f>IFERROR(__xludf.DUMMYFUNCTION("""COMPUTED_VALUE"""),0.0)</f>
        <v>0</v>
      </c>
      <c r="AD33" s="3">
        <f>IFERROR(__xludf.DUMMYFUNCTION("""COMPUTED_VALUE"""),0.0)</f>
        <v>0</v>
      </c>
      <c r="AE33" s="3">
        <f>IFERROR(__xludf.DUMMYFUNCTION("""COMPUTED_VALUE"""),0.0)</f>
        <v>0</v>
      </c>
      <c r="AF33" s="3">
        <f>IFERROR(__xludf.DUMMYFUNCTION("""COMPUTED_VALUE"""),0.0)</f>
        <v>0</v>
      </c>
      <c r="AG33" s="3">
        <f>IFERROR(__xludf.DUMMYFUNCTION("""COMPUTED_VALUE"""),0.0)</f>
        <v>0</v>
      </c>
      <c r="AH33" s="3">
        <f>IFERROR(__xludf.DUMMYFUNCTION("""COMPUTED_VALUE"""),0.0)</f>
        <v>0</v>
      </c>
      <c r="AI33" s="3">
        <f>IFERROR(__xludf.DUMMYFUNCTION("""COMPUTED_VALUE"""),0.0)</f>
        <v>0</v>
      </c>
      <c r="AJ33" s="3">
        <f>IFERROR(__xludf.DUMMYFUNCTION("""COMPUTED_VALUE"""),0.0)</f>
        <v>0</v>
      </c>
      <c r="AK33" s="3">
        <f>IFERROR(__xludf.DUMMYFUNCTION("""COMPUTED_VALUE"""),0.0)</f>
        <v>0</v>
      </c>
      <c r="AL33" s="3">
        <f>IFERROR(__xludf.DUMMYFUNCTION("""COMPUTED_VALUE"""),0.0)</f>
        <v>0</v>
      </c>
      <c r="AM33" s="3">
        <f>IFERROR(__xludf.DUMMYFUNCTION("""COMPUTED_VALUE"""),0.0)</f>
        <v>0</v>
      </c>
      <c r="AN33" s="3">
        <f>IFERROR(__xludf.DUMMYFUNCTION("""COMPUTED_VALUE"""),0.0)</f>
        <v>0</v>
      </c>
      <c r="AO33" s="3">
        <f>IFERROR(__xludf.DUMMYFUNCTION("""COMPUTED_VALUE"""),0.0)</f>
        <v>0</v>
      </c>
      <c r="AP33" s="3">
        <f>IFERROR(__xludf.DUMMYFUNCTION("""COMPUTED_VALUE"""),0.0)</f>
        <v>0</v>
      </c>
      <c r="AQ33" s="3">
        <f>IFERROR(__xludf.DUMMYFUNCTION("""COMPUTED_VALUE"""),0.0)</f>
        <v>0</v>
      </c>
      <c r="AR33" s="3">
        <f>IFERROR(__xludf.DUMMYFUNCTION("""COMPUTED_VALUE"""),0.0)</f>
        <v>0</v>
      </c>
      <c r="AS33" s="3">
        <f>IFERROR(__xludf.DUMMYFUNCTION("""COMPUTED_VALUE"""),0.0)</f>
        <v>0</v>
      </c>
      <c r="AT33" s="3">
        <f>IFERROR(__xludf.DUMMYFUNCTION("""COMPUTED_VALUE"""),0.0)</f>
        <v>0</v>
      </c>
      <c r="AU33" s="3">
        <f>IFERROR(__xludf.DUMMYFUNCTION("""COMPUTED_VALUE"""),0.0)</f>
        <v>0</v>
      </c>
      <c r="AV33" s="3">
        <f>IFERROR(__xludf.DUMMYFUNCTION("""COMPUTED_VALUE"""),0.0)</f>
        <v>0</v>
      </c>
      <c r="AW33" s="3">
        <f>IFERROR(__xludf.DUMMYFUNCTION("""COMPUTED_VALUE"""),0.0)</f>
        <v>0</v>
      </c>
      <c r="AX33" s="3">
        <f>IFERROR(__xludf.DUMMYFUNCTION("""COMPUTED_VALUE"""),0.0)</f>
        <v>0</v>
      </c>
      <c r="AY33" s="3">
        <f>IFERROR(__xludf.DUMMYFUNCTION("""COMPUTED_VALUE"""),0.0)</f>
        <v>0</v>
      </c>
      <c r="AZ33" s="3">
        <f>IFERROR(__xludf.DUMMYFUNCTION("""COMPUTED_VALUE"""),0.0)</f>
        <v>0</v>
      </c>
      <c r="BA33" s="3">
        <f>IFERROR(__xludf.DUMMYFUNCTION("""COMPUTED_VALUE"""),0.0)</f>
        <v>0</v>
      </c>
      <c r="BB33" s="3">
        <f>IFERROR(__xludf.DUMMYFUNCTION("""COMPUTED_VALUE"""),0.0)</f>
        <v>0</v>
      </c>
      <c r="BC33" s="3">
        <f>IFERROR(__xludf.DUMMYFUNCTION("""COMPUTED_VALUE"""),0.0)</f>
        <v>0</v>
      </c>
      <c r="BD33" s="3">
        <f>IFERROR(__xludf.DUMMYFUNCTION("""COMPUTED_VALUE"""),0.0)</f>
        <v>0</v>
      </c>
      <c r="BE33" s="3">
        <f>IFERROR(__xludf.DUMMYFUNCTION("""COMPUTED_VALUE"""),0.0)</f>
        <v>0</v>
      </c>
      <c r="BF33" s="3">
        <f>IFERROR(__xludf.DUMMYFUNCTION("""COMPUTED_VALUE"""),0.0)</f>
        <v>0</v>
      </c>
      <c r="BG33" s="3">
        <f>IFERROR(__xludf.DUMMYFUNCTION("""COMPUTED_VALUE"""),0.0)</f>
        <v>0</v>
      </c>
      <c r="BH33" s="3">
        <f>IFERROR(__xludf.DUMMYFUNCTION("""COMPUTED_VALUE"""),0.0)</f>
        <v>0</v>
      </c>
      <c r="BI33" s="3">
        <f>IFERROR(__xludf.DUMMYFUNCTION("""COMPUTED_VALUE"""),1.0)</f>
        <v>1</v>
      </c>
      <c r="BJ33" s="3">
        <f>IFERROR(__xludf.DUMMYFUNCTION("""COMPUTED_VALUE"""),1.0)</f>
        <v>1</v>
      </c>
      <c r="BK33" s="3">
        <f>IFERROR(__xludf.DUMMYFUNCTION("""COMPUTED_VALUE"""),1.0)</f>
        <v>1</v>
      </c>
      <c r="BL33" s="3">
        <f>IFERROR(__xludf.DUMMYFUNCTION("""COMPUTED_VALUE"""),2.0)</f>
        <v>2</v>
      </c>
      <c r="BM33" s="3">
        <f>IFERROR(__xludf.DUMMYFUNCTION("""COMPUTED_VALUE"""),4.0)</f>
        <v>4</v>
      </c>
      <c r="BN33" s="3">
        <f>IFERROR(__xludf.DUMMYFUNCTION("""COMPUTED_VALUE"""),4.0)</f>
        <v>4</v>
      </c>
      <c r="BO33" s="3">
        <f>IFERROR(__xludf.DUMMYFUNCTION("""COMPUTED_VALUE"""),4.0)</f>
        <v>4</v>
      </c>
      <c r="BP33" s="3">
        <f>IFERROR(__xludf.DUMMYFUNCTION("""COMPUTED_VALUE"""),4.0)</f>
        <v>4</v>
      </c>
      <c r="BQ33" s="3">
        <f>IFERROR(__xludf.DUMMYFUNCTION("""COMPUTED_VALUE"""),7.0)</f>
        <v>7</v>
      </c>
      <c r="BR33" s="3">
        <f>IFERROR(__xludf.DUMMYFUNCTION("""COMPUTED_VALUE"""),9.0)</f>
        <v>9</v>
      </c>
      <c r="BS33" s="3">
        <f>IFERROR(__xludf.DUMMYFUNCTION("""COMPUTED_VALUE"""),11.0)</f>
        <v>11</v>
      </c>
      <c r="BT33" s="3">
        <f>IFERROR(__xludf.DUMMYFUNCTION("""COMPUTED_VALUE"""),12.0)</f>
        <v>12</v>
      </c>
      <c r="BU33" s="3">
        <f>IFERROR(__xludf.DUMMYFUNCTION("""COMPUTED_VALUE"""),12.0)</f>
        <v>12</v>
      </c>
      <c r="BV33" s="3">
        <f>IFERROR(__xludf.DUMMYFUNCTION("""COMPUTED_VALUE"""),14.0)</f>
        <v>14</v>
      </c>
      <c r="BW33" s="3">
        <f>IFERROR(__xludf.DUMMYFUNCTION("""COMPUTED_VALUE"""),16.0)</f>
        <v>16</v>
      </c>
      <c r="BX33" s="3">
        <f>IFERROR(__xludf.DUMMYFUNCTION("""COMPUTED_VALUE"""),16.0)</f>
        <v>16</v>
      </c>
      <c r="BY33" s="3">
        <f>IFERROR(__xludf.DUMMYFUNCTION("""COMPUTED_VALUE"""),16.0)</f>
        <v>16</v>
      </c>
      <c r="BZ33" s="3">
        <f>IFERROR(__xludf.DUMMYFUNCTION("""COMPUTED_VALUE"""),16.0)</f>
        <v>16</v>
      </c>
      <c r="CA33" s="3">
        <f>IFERROR(__xludf.DUMMYFUNCTION("""COMPUTED_VALUE"""),17.0)</f>
        <v>17</v>
      </c>
      <c r="CB33" s="3">
        <f>IFERROR(__xludf.DUMMYFUNCTION("""COMPUTED_VALUE"""),18.0)</f>
        <v>18</v>
      </c>
    </row>
    <row r="34">
      <c r="A34" s="3" t="str">
        <f>IFERROR(__xludf.DUMMYFUNCTION("""COMPUTED_VALUE"""),"")</f>
        <v/>
      </c>
      <c r="B34" s="3" t="str">
        <f>IFERROR(__xludf.DUMMYFUNCTION("""COMPUTED_VALUE"""),"Cabo Verde")</f>
        <v>Cabo Verde</v>
      </c>
      <c r="C34" s="3">
        <f>IFERROR(__xludf.DUMMYFUNCTION("""COMPUTED_VALUE"""),16.5388)</f>
        <v>16.5388</v>
      </c>
      <c r="D34" s="3">
        <f>IFERROR(__xludf.DUMMYFUNCTION("""COMPUTED_VALUE"""),-23.0418)</f>
        <v>-23.0418</v>
      </c>
      <c r="E34" s="3">
        <f>IFERROR(__xludf.DUMMYFUNCTION("""COMPUTED_VALUE"""),0.0)</f>
        <v>0</v>
      </c>
      <c r="F34" s="3">
        <f>IFERROR(__xludf.DUMMYFUNCTION("""COMPUTED_VALUE"""),0.0)</f>
        <v>0</v>
      </c>
      <c r="G34" s="3">
        <f>IFERROR(__xludf.DUMMYFUNCTION("""COMPUTED_VALUE"""),0.0)</f>
        <v>0</v>
      </c>
      <c r="H34" s="3">
        <f>IFERROR(__xludf.DUMMYFUNCTION("""COMPUTED_VALUE"""),0.0)</f>
        <v>0</v>
      </c>
      <c r="I34" s="3">
        <f>IFERROR(__xludf.DUMMYFUNCTION("""COMPUTED_VALUE"""),0.0)</f>
        <v>0</v>
      </c>
      <c r="J34" s="3">
        <f>IFERROR(__xludf.DUMMYFUNCTION("""COMPUTED_VALUE"""),0.0)</f>
        <v>0</v>
      </c>
      <c r="K34" s="3">
        <f>IFERROR(__xludf.DUMMYFUNCTION("""COMPUTED_VALUE"""),0.0)</f>
        <v>0</v>
      </c>
      <c r="L34" s="3">
        <f>IFERROR(__xludf.DUMMYFUNCTION("""COMPUTED_VALUE"""),0.0)</f>
        <v>0</v>
      </c>
      <c r="M34" s="3">
        <f>IFERROR(__xludf.DUMMYFUNCTION("""COMPUTED_VALUE"""),0.0)</f>
        <v>0</v>
      </c>
      <c r="N34" s="3">
        <f>IFERROR(__xludf.DUMMYFUNCTION("""COMPUTED_VALUE"""),0.0)</f>
        <v>0</v>
      </c>
      <c r="O34" s="3">
        <f>IFERROR(__xludf.DUMMYFUNCTION("""COMPUTED_VALUE"""),0.0)</f>
        <v>0</v>
      </c>
      <c r="P34" s="3">
        <f>IFERROR(__xludf.DUMMYFUNCTION("""COMPUTED_VALUE"""),0.0)</f>
        <v>0</v>
      </c>
      <c r="Q34" s="3">
        <f>IFERROR(__xludf.DUMMYFUNCTION("""COMPUTED_VALUE"""),0.0)</f>
        <v>0</v>
      </c>
      <c r="R34" s="3">
        <f>IFERROR(__xludf.DUMMYFUNCTION("""COMPUTED_VALUE"""),0.0)</f>
        <v>0</v>
      </c>
      <c r="S34" s="3">
        <f>IFERROR(__xludf.DUMMYFUNCTION("""COMPUTED_VALUE"""),0.0)</f>
        <v>0</v>
      </c>
      <c r="T34" s="3">
        <f>IFERROR(__xludf.DUMMYFUNCTION("""COMPUTED_VALUE"""),0.0)</f>
        <v>0</v>
      </c>
      <c r="U34" s="3">
        <f>IFERROR(__xludf.DUMMYFUNCTION("""COMPUTED_VALUE"""),0.0)</f>
        <v>0</v>
      </c>
      <c r="V34" s="3">
        <f>IFERROR(__xludf.DUMMYFUNCTION("""COMPUTED_VALUE"""),0.0)</f>
        <v>0</v>
      </c>
      <c r="W34" s="3">
        <f>IFERROR(__xludf.DUMMYFUNCTION("""COMPUTED_VALUE"""),0.0)</f>
        <v>0</v>
      </c>
      <c r="X34" s="3">
        <f>IFERROR(__xludf.DUMMYFUNCTION("""COMPUTED_VALUE"""),0.0)</f>
        <v>0</v>
      </c>
      <c r="Y34" s="3">
        <f>IFERROR(__xludf.DUMMYFUNCTION("""COMPUTED_VALUE"""),0.0)</f>
        <v>0</v>
      </c>
      <c r="Z34" s="3">
        <f>IFERROR(__xludf.DUMMYFUNCTION("""COMPUTED_VALUE"""),0.0)</f>
        <v>0</v>
      </c>
      <c r="AA34" s="3">
        <f>IFERROR(__xludf.DUMMYFUNCTION("""COMPUTED_VALUE"""),0.0)</f>
        <v>0</v>
      </c>
      <c r="AB34" s="3">
        <f>IFERROR(__xludf.DUMMYFUNCTION("""COMPUTED_VALUE"""),0.0)</f>
        <v>0</v>
      </c>
      <c r="AC34" s="3">
        <f>IFERROR(__xludf.DUMMYFUNCTION("""COMPUTED_VALUE"""),0.0)</f>
        <v>0</v>
      </c>
      <c r="AD34" s="3">
        <f>IFERROR(__xludf.DUMMYFUNCTION("""COMPUTED_VALUE"""),0.0)</f>
        <v>0</v>
      </c>
      <c r="AE34" s="3">
        <f>IFERROR(__xludf.DUMMYFUNCTION("""COMPUTED_VALUE"""),0.0)</f>
        <v>0</v>
      </c>
      <c r="AF34" s="3">
        <f>IFERROR(__xludf.DUMMYFUNCTION("""COMPUTED_VALUE"""),0.0)</f>
        <v>0</v>
      </c>
      <c r="AG34" s="3">
        <f>IFERROR(__xludf.DUMMYFUNCTION("""COMPUTED_VALUE"""),0.0)</f>
        <v>0</v>
      </c>
      <c r="AH34" s="3">
        <f>IFERROR(__xludf.DUMMYFUNCTION("""COMPUTED_VALUE"""),0.0)</f>
        <v>0</v>
      </c>
      <c r="AI34" s="3">
        <f>IFERROR(__xludf.DUMMYFUNCTION("""COMPUTED_VALUE"""),0.0)</f>
        <v>0</v>
      </c>
      <c r="AJ34" s="3">
        <f>IFERROR(__xludf.DUMMYFUNCTION("""COMPUTED_VALUE"""),0.0)</f>
        <v>0</v>
      </c>
      <c r="AK34" s="3">
        <f>IFERROR(__xludf.DUMMYFUNCTION("""COMPUTED_VALUE"""),0.0)</f>
        <v>0</v>
      </c>
      <c r="AL34" s="3">
        <f>IFERROR(__xludf.DUMMYFUNCTION("""COMPUTED_VALUE"""),0.0)</f>
        <v>0</v>
      </c>
      <c r="AM34" s="3">
        <f>IFERROR(__xludf.DUMMYFUNCTION("""COMPUTED_VALUE"""),0.0)</f>
        <v>0</v>
      </c>
      <c r="AN34" s="3">
        <f>IFERROR(__xludf.DUMMYFUNCTION("""COMPUTED_VALUE"""),0.0)</f>
        <v>0</v>
      </c>
      <c r="AO34" s="3">
        <f>IFERROR(__xludf.DUMMYFUNCTION("""COMPUTED_VALUE"""),0.0)</f>
        <v>0</v>
      </c>
      <c r="AP34" s="3">
        <f>IFERROR(__xludf.DUMMYFUNCTION("""COMPUTED_VALUE"""),0.0)</f>
        <v>0</v>
      </c>
      <c r="AQ34" s="3">
        <f>IFERROR(__xludf.DUMMYFUNCTION("""COMPUTED_VALUE"""),0.0)</f>
        <v>0</v>
      </c>
      <c r="AR34" s="3">
        <f>IFERROR(__xludf.DUMMYFUNCTION("""COMPUTED_VALUE"""),0.0)</f>
        <v>0</v>
      </c>
      <c r="AS34" s="3">
        <f>IFERROR(__xludf.DUMMYFUNCTION("""COMPUTED_VALUE"""),0.0)</f>
        <v>0</v>
      </c>
      <c r="AT34" s="3">
        <f>IFERROR(__xludf.DUMMYFUNCTION("""COMPUTED_VALUE"""),0.0)</f>
        <v>0</v>
      </c>
      <c r="AU34" s="3">
        <f>IFERROR(__xludf.DUMMYFUNCTION("""COMPUTED_VALUE"""),0.0)</f>
        <v>0</v>
      </c>
      <c r="AV34" s="3">
        <f>IFERROR(__xludf.DUMMYFUNCTION("""COMPUTED_VALUE"""),0.0)</f>
        <v>0</v>
      </c>
      <c r="AW34" s="3">
        <f>IFERROR(__xludf.DUMMYFUNCTION("""COMPUTED_VALUE"""),0.0)</f>
        <v>0</v>
      </c>
      <c r="AX34" s="3">
        <f>IFERROR(__xludf.DUMMYFUNCTION("""COMPUTED_VALUE"""),0.0)</f>
        <v>0</v>
      </c>
      <c r="AY34" s="3">
        <f>IFERROR(__xludf.DUMMYFUNCTION("""COMPUTED_VALUE"""),0.0)</f>
        <v>0</v>
      </c>
      <c r="AZ34" s="3">
        <f>IFERROR(__xludf.DUMMYFUNCTION("""COMPUTED_VALUE"""),0.0)</f>
        <v>0</v>
      </c>
      <c r="BA34" s="3">
        <f>IFERROR(__xludf.DUMMYFUNCTION("""COMPUTED_VALUE"""),0.0)</f>
        <v>0</v>
      </c>
      <c r="BB34" s="3">
        <f>IFERROR(__xludf.DUMMYFUNCTION("""COMPUTED_VALUE"""),0.0)</f>
        <v>0</v>
      </c>
      <c r="BC34" s="3">
        <f>IFERROR(__xludf.DUMMYFUNCTION("""COMPUTED_VALUE"""),0.0)</f>
        <v>0</v>
      </c>
      <c r="BD34" s="3">
        <f>IFERROR(__xludf.DUMMYFUNCTION("""COMPUTED_VALUE"""),0.0)</f>
        <v>0</v>
      </c>
      <c r="BE34" s="3">
        <f>IFERROR(__xludf.DUMMYFUNCTION("""COMPUTED_VALUE"""),0.0)</f>
        <v>0</v>
      </c>
      <c r="BF34" s="3">
        <f>IFERROR(__xludf.DUMMYFUNCTION("""COMPUTED_VALUE"""),0.0)</f>
        <v>0</v>
      </c>
      <c r="BG34" s="3">
        <f>IFERROR(__xludf.DUMMYFUNCTION("""COMPUTED_VALUE"""),0.0)</f>
        <v>0</v>
      </c>
      <c r="BH34" s="3">
        <f>IFERROR(__xludf.DUMMYFUNCTION("""COMPUTED_VALUE"""),0.0)</f>
        <v>0</v>
      </c>
      <c r="BI34" s="3">
        <f>IFERROR(__xludf.DUMMYFUNCTION("""COMPUTED_VALUE"""),0.0)</f>
        <v>0</v>
      </c>
      <c r="BJ34" s="3">
        <f>IFERROR(__xludf.DUMMYFUNCTION("""COMPUTED_VALUE"""),0.0)</f>
        <v>0</v>
      </c>
      <c r="BK34" s="3">
        <f>IFERROR(__xludf.DUMMYFUNCTION("""COMPUTED_VALUE"""),0.0)</f>
        <v>0</v>
      </c>
      <c r="BL34" s="3">
        <f>IFERROR(__xludf.DUMMYFUNCTION("""COMPUTED_VALUE"""),0.0)</f>
        <v>0</v>
      </c>
      <c r="BM34" s="3">
        <f>IFERROR(__xludf.DUMMYFUNCTION("""COMPUTED_VALUE"""),0.0)</f>
        <v>0</v>
      </c>
      <c r="BN34" s="3">
        <f>IFERROR(__xludf.DUMMYFUNCTION("""COMPUTED_VALUE"""),0.0)</f>
        <v>0</v>
      </c>
      <c r="BO34" s="3">
        <f>IFERROR(__xludf.DUMMYFUNCTION("""COMPUTED_VALUE"""),1.0)</f>
        <v>1</v>
      </c>
      <c r="BP34" s="3">
        <f>IFERROR(__xludf.DUMMYFUNCTION("""COMPUTED_VALUE"""),1.0)</f>
        <v>1</v>
      </c>
      <c r="BQ34" s="3">
        <f>IFERROR(__xludf.DUMMYFUNCTION("""COMPUTED_VALUE"""),1.0)</f>
        <v>1</v>
      </c>
      <c r="BR34" s="3">
        <f>IFERROR(__xludf.DUMMYFUNCTION("""COMPUTED_VALUE"""),1.0)</f>
        <v>1</v>
      </c>
      <c r="BS34" s="3">
        <f>IFERROR(__xludf.DUMMYFUNCTION("""COMPUTED_VALUE"""),1.0)</f>
        <v>1</v>
      </c>
      <c r="BT34" s="3">
        <f>IFERROR(__xludf.DUMMYFUNCTION("""COMPUTED_VALUE"""),1.0)</f>
        <v>1</v>
      </c>
      <c r="BU34" s="3">
        <f>IFERROR(__xludf.DUMMYFUNCTION("""COMPUTED_VALUE"""),1.0)</f>
        <v>1</v>
      </c>
      <c r="BV34" s="3">
        <f>IFERROR(__xludf.DUMMYFUNCTION("""COMPUTED_VALUE"""),1.0)</f>
        <v>1</v>
      </c>
      <c r="BW34" s="3">
        <f>IFERROR(__xludf.DUMMYFUNCTION("""COMPUTED_VALUE"""),1.0)</f>
        <v>1</v>
      </c>
      <c r="BX34" s="3">
        <f>IFERROR(__xludf.DUMMYFUNCTION("""COMPUTED_VALUE"""),1.0)</f>
        <v>1</v>
      </c>
      <c r="BY34" s="3">
        <f>IFERROR(__xludf.DUMMYFUNCTION("""COMPUTED_VALUE"""),1.0)</f>
        <v>1</v>
      </c>
      <c r="BZ34" s="3">
        <f>IFERROR(__xludf.DUMMYFUNCTION("""COMPUTED_VALUE"""),1.0)</f>
        <v>1</v>
      </c>
      <c r="CA34" s="3">
        <f>IFERROR(__xludf.DUMMYFUNCTION("""COMPUTED_VALUE"""),1.0)</f>
        <v>1</v>
      </c>
      <c r="CB34" s="3">
        <f>IFERROR(__xludf.DUMMYFUNCTION("""COMPUTED_VALUE"""),1.0)</f>
        <v>1</v>
      </c>
    </row>
    <row r="35">
      <c r="A35" s="3" t="str">
        <f>IFERROR(__xludf.DUMMYFUNCTION("""COMPUTED_VALUE"""),"")</f>
        <v/>
      </c>
      <c r="B35" s="3" t="str">
        <f>IFERROR(__xludf.DUMMYFUNCTION("""COMPUTED_VALUE"""),"Cambodia")</f>
        <v>Cambodia</v>
      </c>
      <c r="C35" s="3">
        <f>IFERROR(__xludf.DUMMYFUNCTION("""COMPUTED_VALUE"""),11.55)</f>
        <v>11.55</v>
      </c>
      <c r="D35" s="3">
        <f>IFERROR(__xludf.DUMMYFUNCTION("""COMPUTED_VALUE"""),104.9167)</f>
        <v>104.9167</v>
      </c>
      <c r="E35" s="3">
        <f>IFERROR(__xludf.DUMMYFUNCTION("""COMPUTED_VALUE"""),0.0)</f>
        <v>0</v>
      </c>
      <c r="F35" s="3">
        <f>IFERROR(__xludf.DUMMYFUNCTION("""COMPUTED_VALUE"""),0.0)</f>
        <v>0</v>
      </c>
      <c r="G35" s="3">
        <f>IFERROR(__xludf.DUMMYFUNCTION("""COMPUTED_VALUE"""),0.0)</f>
        <v>0</v>
      </c>
      <c r="H35" s="3">
        <f>IFERROR(__xludf.DUMMYFUNCTION("""COMPUTED_VALUE"""),0.0)</f>
        <v>0</v>
      </c>
      <c r="I35" s="3">
        <f>IFERROR(__xludf.DUMMYFUNCTION("""COMPUTED_VALUE"""),0.0)</f>
        <v>0</v>
      </c>
      <c r="J35" s="3">
        <f>IFERROR(__xludf.DUMMYFUNCTION("""COMPUTED_VALUE"""),0.0)</f>
        <v>0</v>
      </c>
      <c r="K35" s="3">
        <f>IFERROR(__xludf.DUMMYFUNCTION("""COMPUTED_VALUE"""),0.0)</f>
        <v>0</v>
      </c>
      <c r="L35" s="3">
        <f>IFERROR(__xludf.DUMMYFUNCTION("""COMPUTED_VALUE"""),0.0)</f>
        <v>0</v>
      </c>
      <c r="M35" s="3">
        <f>IFERROR(__xludf.DUMMYFUNCTION("""COMPUTED_VALUE"""),0.0)</f>
        <v>0</v>
      </c>
      <c r="N35" s="3">
        <f>IFERROR(__xludf.DUMMYFUNCTION("""COMPUTED_VALUE"""),0.0)</f>
        <v>0</v>
      </c>
      <c r="O35" s="3">
        <f>IFERROR(__xludf.DUMMYFUNCTION("""COMPUTED_VALUE"""),0.0)</f>
        <v>0</v>
      </c>
      <c r="P35" s="3">
        <f>IFERROR(__xludf.DUMMYFUNCTION("""COMPUTED_VALUE"""),0.0)</f>
        <v>0</v>
      </c>
      <c r="Q35" s="3">
        <f>IFERROR(__xludf.DUMMYFUNCTION("""COMPUTED_VALUE"""),0.0)</f>
        <v>0</v>
      </c>
      <c r="R35" s="3">
        <f>IFERROR(__xludf.DUMMYFUNCTION("""COMPUTED_VALUE"""),0.0)</f>
        <v>0</v>
      </c>
      <c r="S35" s="3">
        <f>IFERROR(__xludf.DUMMYFUNCTION("""COMPUTED_VALUE"""),0.0)</f>
        <v>0</v>
      </c>
      <c r="T35" s="3">
        <f>IFERROR(__xludf.DUMMYFUNCTION("""COMPUTED_VALUE"""),0.0)</f>
        <v>0</v>
      </c>
      <c r="U35" s="3">
        <f>IFERROR(__xludf.DUMMYFUNCTION("""COMPUTED_VALUE"""),0.0)</f>
        <v>0</v>
      </c>
      <c r="V35" s="3">
        <f>IFERROR(__xludf.DUMMYFUNCTION("""COMPUTED_VALUE"""),0.0)</f>
        <v>0</v>
      </c>
      <c r="W35" s="3">
        <f>IFERROR(__xludf.DUMMYFUNCTION("""COMPUTED_VALUE"""),0.0)</f>
        <v>0</v>
      </c>
      <c r="X35" s="3">
        <f>IFERROR(__xludf.DUMMYFUNCTION("""COMPUTED_VALUE"""),0.0)</f>
        <v>0</v>
      </c>
      <c r="Y35" s="3">
        <f>IFERROR(__xludf.DUMMYFUNCTION("""COMPUTED_VALUE"""),0.0)</f>
        <v>0</v>
      </c>
      <c r="Z35" s="3">
        <f>IFERROR(__xludf.DUMMYFUNCTION("""COMPUTED_VALUE"""),0.0)</f>
        <v>0</v>
      </c>
      <c r="AA35" s="3">
        <f>IFERROR(__xludf.DUMMYFUNCTION("""COMPUTED_VALUE"""),0.0)</f>
        <v>0</v>
      </c>
      <c r="AB35" s="3">
        <f>IFERROR(__xludf.DUMMYFUNCTION("""COMPUTED_VALUE"""),0.0)</f>
        <v>0</v>
      </c>
      <c r="AC35" s="3">
        <f>IFERROR(__xludf.DUMMYFUNCTION("""COMPUTED_VALUE"""),0.0)</f>
        <v>0</v>
      </c>
      <c r="AD35" s="3">
        <f>IFERROR(__xludf.DUMMYFUNCTION("""COMPUTED_VALUE"""),0.0)</f>
        <v>0</v>
      </c>
      <c r="AE35" s="3">
        <f>IFERROR(__xludf.DUMMYFUNCTION("""COMPUTED_VALUE"""),0.0)</f>
        <v>0</v>
      </c>
      <c r="AF35" s="3">
        <f>IFERROR(__xludf.DUMMYFUNCTION("""COMPUTED_VALUE"""),0.0)</f>
        <v>0</v>
      </c>
      <c r="AG35" s="3">
        <f>IFERROR(__xludf.DUMMYFUNCTION("""COMPUTED_VALUE"""),0.0)</f>
        <v>0</v>
      </c>
      <c r="AH35" s="3">
        <f>IFERROR(__xludf.DUMMYFUNCTION("""COMPUTED_VALUE"""),0.0)</f>
        <v>0</v>
      </c>
      <c r="AI35" s="3">
        <f>IFERROR(__xludf.DUMMYFUNCTION("""COMPUTED_VALUE"""),0.0)</f>
        <v>0</v>
      </c>
      <c r="AJ35" s="3">
        <f>IFERROR(__xludf.DUMMYFUNCTION("""COMPUTED_VALUE"""),0.0)</f>
        <v>0</v>
      </c>
      <c r="AK35" s="3">
        <f>IFERROR(__xludf.DUMMYFUNCTION("""COMPUTED_VALUE"""),0.0)</f>
        <v>0</v>
      </c>
      <c r="AL35" s="3">
        <f>IFERROR(__xludf.DUMMYFUNCTION("""COMPUTED_VALUE"""),0.0)</f>
        <v>0</v>
      </c>
      <c r="AM35" s="3">
        <f>IFERROR(__xludf.DUMMYFUNCTION("""COMPUTED_VALUE"""),0.0)</f>
        <v>0</v>
      </c>
      <c r="AN35" s="3">
        <f>IFERROR(__xludf.DUMMYFUNCTION("""COMPUTED_VALUE"""),0.0)</f>
        <v>0</v>
      </c>
      <c r="AO35" s="3">
        <f>IFERROR(__xludf.DUMMYFUNCTION("""COMPUTED_VALUE"""),0.0)</f>
        <v>0</v>
      </c>
      <c r="AP35" s="3">
        <f>IFERROR(__xludf.DUMMYFUNCTION("""COMPUTED_VALUE"""),0.0)</f>
        <v>0</v>
      </c>
      <c r="AQ35" s="3">
        <f>IFERROR(__xludf.DUMMYFUNCTION("""COMPUTED_VALUE"""),0.0)</f>
        <v>0</v>
      </c>
      <c r="AR35" s="3">
        <f>IFERROR(__xludf.DUMMYFUNCTION("""COMPUTED_VALUE"""),0.0)</f>
        <v>0</v>
      </c>
      <c r="AS35" s="3">
        <f>IFERROR(__xludf.DUMMYFUNCTION("""COMPUTED_VALUE"""),0.0)</f>
        <v>0</v>
      </c>
      <c r="AT35" s="3">
        <f>IFERROR(__xludf.DUMMYFUNCTION("""COMPUTED_VALUE"""),0.0)</f>
        <v>0</v>
      </c>
      <c r="AU35" s="3">
        <f>IFERROR(__xludf.DUMMYFUNCTION("""COMPUTED_VALUE"""),0.0)</f>
        <v>0</v>
      </c>
      <c r="AV35" s="3">
        <f>IFERROR(__xludf.DUMMYFUNCTION("""COMPUTED_VALUE"""),0.0)</f>
        <v>0</v>
      </c>
      <c r="AW35" s="3">
        <f>IFERROR(__xludf.DUMMYFUNCTION("""COMPUTED_VALUE"""),0.0)</f>
        <v>0</v>
      </c>
      <c r="AX35" s="3">
        <f>IFERROR(__xludf.DUMMYFUNCTION("""COMPUTED_VALUE"""),0.0)</f>
        <v>0</v>
      </c>
      <c r="AY35" s="3">
        <f>IFERROR(__xludf.DUMMYFUNCTION("""COMPUTED_VALUE"""),0.0)</f>
        <v>0</v>
      </c>
      <c r="AZ35" s="3">
        <f>IFERROR(__xludf.DUMMYFUNCTION("""COMPUTED_VALUE"""),0.0)</f>
        <v>0</v>
      </c>
      <c r="BA35" s="3">
        <f>IFERROR(__xludf.DUMMYFUNCTION("""COMPUTED_VALUE"""),0.0)</f>
        <v>0</v>
      </c>
      <c r="BB35" s="3">
        <f>IFERROR(__xludf.DUMMYFUNCTION("""COMPUTED_VALUE"""),0.0)</f>
        <v>0</v>
      </c>
      <c r="BC35" s="3">
        <f>IFERROR(__xludf.DUMMYFUNCTION("""COMPUTED_VALUE"""),0.0)</f>
        <v>0</v>
      </c>
      <c r="BD35" s="3">
        <f>IFERROR(__xludf.DUMMYFUNCTION("""COMPUTED_VALUE"""),0.0)</f>
        <v>0</v>
      </c>
      <c r="BE35" s="3">
        <f>IFERROR(__xludf.DUMMYFUNCTION("""COMPUTED_VALUE"""),0.0)</f>
        <v>0</v>
      </c>
      <c r="BF35" s="3">
        <f>IFERROR(__xludf.DUMMYFUNCTION("""COMPUTED_VALUE"""),0.0)</f>
        <v>0</v>
      </c>
      <c r="BG35" s="3">
        <f>IFERROR(__xludf.DUMMYFUNCTION("""COMPUTED_VALUE"""),0.0)</f>
        <v>0</v>
      </c>
      <c r="BH35" s="3">
        <f>IFERROR(__xludf.DUMMYFUNCTION("""COMPUTED_VALUE"""),0.0)</f>
        <v>0</v>
      </c>
      <c r="BI35" s="3">
        <f>IFERROR(__xludf.DUMMYFUNCTION("""COMPUTED_VALUE"""),0.0)</f>
        <v>0</v>
      </c>
      <c r="BJ35" s="3">
        <f>IFERROR(__xludf.DUMMYFUNCTION("""COMPUTED_VALUE"""),0.0)</f>
        <v>0</v>
      </c>
      <c r="BK35" s="3">
        <f>IFERROR(__xludf.DUMMYFUNCTION("""COMPUTED_VALUE"""),0.0)</f>
        <v>0</v>
      </c>
      <c r="BL35" s="3">
        <f>IFERROR(__xludf.DUMMYFUNCTION("""COMPUTED_VALUE"""),0.0)</f>
        <v>0</v>
      </c>
      <c r="BM35" s="3">
        <f>IFERROR(__xludf.DUMMYFUNCTION("""COMPUTED_VALUE"""),0.0)</f>
        <v>0</v>
      </c>
      <c r="BN35" s="3">
        <f>IFERROR(__xludf.DUMMYFUNCTION("""COMPUTED_VALUE"""),0.0)</f>
        <v>0</v>
      </c>
      <c r="BO35" s="3">
        <f>IFERROR(__xludf.DUMMYFUNCTION("""COMPUTED_VALUE"""),0.0)</f>
        <v>0</v>
      </c>
      <c r="BP35" s="3">
        <f>IFERROR(__xludf.DUMMYFUNCTION("""COMPUTED_VALUE"""),0.0)</f>
        <v>0</v>
      </c>
      <c r="BQ35" s="3">
        <f>IFERROR(__xludf.DUMMYFUNCTION("""COMPUTED_VALUE"""),0.0)</f>
        <v>0</v>
      </c>
      <c r="BR35" s="3">
        <f>IFERROR(__xludf.DUMMYFUNCTION("""COMPUTED_VALUE"""),0.0)</f>
        <v>0</v>
      </c>
      <c r="BS35" s="3">
        <f>IFERROR(__xludf.DUMMYFUNCTION("""COMPUTED_VALUE"""),0.0)</f>
        <v>0</v>
      </c>
      <c r="BT35" s="3">
        <f>IFERROR(__xludf.DUMMYFUNCTION("""COMPUTED_VALUE"""),0.0)</f>
        <v>0</v>
      </c>
      <c r="BU35" s="3">
        <f>IFERROR(__xludf.DUMMYFUNCTION("""COMPUTED_VALUE"""),0.0)</f>
        <v>0</v>
      </c>
      <c r="BV35" s="3">
        <f>IFERROR(__xludf.DUMMYFUNCTION("""COMPUTED_VALUE"""),0.0)</f>
        <v>0</v>
      </c>
      <c r="BW35" s="3">
        <f>IFERROR(__xludf.DUMMYFUNCTION("""COMPUTED_VALUE"""),0.0)</f>
        <v>0</v>
      </c>
      <c r="BX35" s="3">
        <f>IFERROR(__xludf.DUMMYFUNCTION("""COMPUTED_VALUE"""),0.0)</f>
        <v>0</v>
      </c>
      <c r="BY35" s="3">
        <f>IFERROR(__xludf.DUMMYFUNCTION("""COMPUTED_VALUE"""),0.0)</f>
        <v>0</v>
      </c>
      <c r="BZ35" s="3">
        <f>IFERROR(__xludf.DUMMYFUNCTION("""COMPUTED_VALUE"""),0.0)</f>
        <v>0</v>
      </c>
      <c r="CA35" s="3">
        <f>IFERROR(__xludf.DUMMYFUNCTION("""COMPUTED_VALUE"""),0.0)</f>
        <v>0</v>
      </c>
      <c r="CB35" s="3">
        <f>IFERROR(__xludf.DUMMYFUNCTION("""COMPUTED_VALUE"""),0.0)</f>
        <v>0</v>
      </c>
    </row>
    <row r="36">
      <c r="A36" s="3" t="str">
        <f>IFERROR(__xludf.DUMMYFUNCTION("""COMPUTED_VALUE"""),"")</f>
        <v/>
      </c>
      <c r="B36" s="3" t="str">
        <f>IFERROR(__xludf.DUMMYFUNCTION("""COMPUTED_VALUE"""),"Cameroon")</f>
        <v>Cameroon</v>
      </c>
      <c r="C36" s="3">
        <f>IFERROR(__xludf.DUMMYFUNCTION("""COMPUTED_VALUE"""),3.848)</f>
        <v>3.848</v>
      </c>
      <c r="D36" s="3">
        <f>IFERROR(__xludf.DUMMYFUNCTION("""COMPUTED_VALUE"""),11.5021)</f>
        <v>11.5021</v>
      </c>
      <c r="E36" s="3">
        <f>IFERROR(__xludf.DUMMYFUNCTION("""COMPUTED_VALUE"""),0.0)</f>
        <v>0</v>
      </c>
      <c r="F36" s="3">
        <f>IFERROR(__xludf.DUMMYFUNCTION("""COMPUTED_VALUE"""),0.0)</f>
        <v>0</v>
      </c>
      <c r="G36" s="3">
        <f>IFERROR(__xludf.DUMMYFUNCTION("""COMPUTED_VALUE"""),0.0)</f>
        <v>0</v>
      </c>
      <c r="H36" s="3">
        <f>IFERROR(__xludf.DUMMYFUNCTION("""COMPUTED_VALUE"""),0.0)</f>
        <v>0</v>
      </c>
      <c r="I36" s="3">
        <f>IFERROR(__xludf.DUMMYFUNCTION("""COMPUTED_VALUE"""),0.0)</f>
        <v>0</v>
      </c>
      <c r="J36" s="3">
        <f>IFERROR(__xludf.DUMMYFUNCTION("""COMPUTED_VALUE"""),0.0)</f>
        <v>0</v>
      </c>
      <c r="K36" s="3">
        <f>IFERROR(__xludf.DUMMYFUNCTION("""COMPUTED_VALUE"""),0.0)</f>
        <v>0</v>
      </c>
      <c r="L36" s="3">
        <f>IFERROR(__xludf.DUMMYFUNCTION("""COMPUTED_VALUE"""),0.0)</f>
        <v>0</v>
      </c>
      <c r="M36" s="3">
        <f>IFERROR(__xludf.DUMMYFUNCTION("""COMPUTED_VALUE"""),0.0)</f>
        <v>0</v>
      </c>
      <c r="N36" s="3">
        <f>IFERROR(__xludf.DUMMYFUNCTION("""COMPUTED_VALUE"""),0.0)</f>
        <v>0</v>
      </c>
      <c r="O36" s="3">
        <f>IFERROR(__xludf.DUMMYFUNCTION("""COMPUTED_VALUE"""),0.0)</f>
        <v>0</v>
      </c>
      <c r="P36" s="3">
        <f>IFERROR(__xludf.DUMMYFUNCTION("""COMPUTED_VALUE"""),0.0)</f>
        <v>0</v>
      </c>
      <c r="Q36" s="3">
        <f>IFERROR(__xludf.DUMMYFUNCTION("""COMPUTED_VALUE"""),0.0)</f>
        <v>0</v>
      </c>
      <c r="R36" s="3">
        <f>IFERROR(__xludf.DUMMYFUNCTION("""COMPUTED_VALUE"""),0.0)</f>
        <v>0</v>
      </c>
      <c r="S36" s="3">
        <f>IFERROR(__xludf.DUMMYFUNCTION("""COMPUTED_VALUE"""),0.0)</f>
        <v>0</v>
      </c>
      <c r="T36" s="3">
        <f>IFERROR(__xludf.DUMMYFUNCTION("""COMPUTED_VALUE"""),0.0)</f>
        <v>0</v>
      </c>
      <c r="U36" s="3">
        <f>IFERROR(__xludf.DUMMYFUNCTION("""COMPUTED_VALUE"""),0.0)</f>
        <v>0</v>
      </c>
      <c r="V36" s="3">
        <f>IFERROR(__xludf.DUMMYFUNCTION("""COMPUTED_VALUE"""),0.0)</f>
        <v>0</v>
      </c>
      <c r="W36" s="3">
        <f>IFERROR(__xludf.DUMMYFUNCTION("""COMPUTED_VALUE"""),0.0)</f>
        <v>0</v>
      </c>
      <c r="X36" s="3">
        <f>IFERROR(__xludf.DUMMYFUNCTION("""COMPUTED_VALUE"""),0.0)</f>
        <v>0</v>
      </c>
      <c r="Y36" s="3">
        <f>IFERROR(__xludf.DUMMYFUNCTION("""COMPUTED_VALUE"""),0.0)</f>
        <v>0</v>
      </c>
      <c r="Z36" s="3">
        <f>IFERROR(__xludf.DUMMYFUNCTION("""COMPUTED_VALUE"""),0.0)</f>
        <v>0</v>
      </c>
      <c r="AA36" s="3">
        <f>IFERROR(__xludf.DUMMYFUNCTION("""COMPUTED_VALUE"""),0.0)</f>
        <v>0</v>
      </c>
      <c r="AB36" s="3">
        <f>IFERROR(__xludf.DUMMYFUNCTION("""COMPUTED_VALUE"""),0.0)</f>
        <v>0</v>
      </c>
      <c r="AC36" s="3">
        <f>IFERROR(__xludf.DUMMYFUNCTION("""COMPUTED_VALUE"""),0.0)</f>
        <v>0</v>
      </c>
      <c r="AD36" s="3">
        <f>IFERROR(__xludf.DUMMYFUNCTION("""COMPUTED_VALUE"""),0.0)</f>
        <v>0</v>
      </c>
      <c r="AE36" s="3">
        <f>IFERROR(__xludf.DUMMYFUNCTION("""COMPUTED_VALUE"""),0.0)</f>
        <v>0</v>
      </c>
      <c r="AF36" s="3">
        <f>IFERROR(__xludf.DUMMYFUNCTION("""COMPUTED_VALUE"""),0.0)</f>
        <v>0</v>
      </c>
      <c r="AG36" s="3">
        <f>IFERROR(__xludf.DUMMYFUNCTION("""COMPUTED_VALUE"""),0.0)</f>
        <v>0</v>
      </c>
      <c r="AH36" s="3">
        <f>IFERROR(__xludf.DUMMYFUNCTION("""COMPUTED_VALUE"""),0.0)</f>
        <v>0</v>
      </c>
      <c r="AI36" s="3">
        <f>IFERROR(__xludf.DUMMYFUNCTION("""COMPUTED_VALUE"""),0.0)</f>
        <v>0</v>
      </c>
      <c r="AJ36" s="3">
        <f>IFERROR(__xludf.DUMMYFUNCTION("""COMPUTED_VALUE"""),0.0)</f>
        <v>0</v>
      </c>
      <c r="AK36" s="3">
        <f>IFERROR(__xludf.DUMMYFUNCTION("""COMPUTED_VALUE"""),0.0)</f>
        <v>0</v>
      </c>
      <c r="AL36" s="3">
        <f>IFERROR(__xludf.DUMMYFUNCTION("""COMPUTED_VALUE"""),0.0)</f>
        <v>0</v>
      </c>
      <c r="AM36" s="3">
        <f>IFERROR(__xludf.DUMMYFUNCTION("""COMPUTED_VALUE"""),0.0)</f>
        <v>0</v>
      </c>
      <c r="AN36" s="3">
        <f>IFERROR(__xludf.DUMMYFUNCTION("""COMPUTED_VALUE"""),0.0)</f>
        <v>0</v>
      </c>
      <c r="AO36" s="3">
        <f>IFERROR(__xludf.DUMMYFUNCTION("""COMPUTED_VALUE"""),0.0)</f>
        <v>0</v>
      </c>
      <c r="AP36" s="3">
        <f>IFERROR(__xludf.DUMMYFUNCTION("""COMPUTED_VALUE"""),0.0)</f>
        <v>0</v>
      </c>
      <c r="AQ36" s="3">
        <f>IFERROR(__xludf.DUMMYFUNCTION("""COMPUTED_VALUE"""),0.0)</f>
        <v>0</v>
      </c>
      <c r="AR36" s="3">
        <f>IFERROR(__xludf.DUMMYFUNCTION("""COMPUTED_VALUE"""),0.0)</f>
        <v>0</v>
      </c>
      <c r="AS36" s="3">
        <f>IFERROR(__xludf.DUMMYFUNCTION("""COMPUTED_VALUE"""),0.0)</f>
        <v>0</v>
      </c>
      <c r="AT36" s="3">
        <f>IFERROR(__xludf.DUMMYFUNCTION("""COMPUTED_VALUE"""),0.0)</f>
        <v>0</v>
      </c>
      <c r="AU36" s="3">
        <f>IFERROR(__xludf.DUMMYFUNCTION("""COMPUTED_VALUE"""),0.0)</f>
        <v>0</v>
      </c>
      <c r="AV36" s="3">
        <f>IFERROR(__xludf.DUMMYFUNCTION("""COMPUTED_VALUE"""),0.0)</f>
        <v>0</v>
      </c>
      <c r="AW36" s="3">
        <f>IFERROR(__xludf.DUMMYFUNCTION("""COMPUTED_VALUE"""),0.0)</f>
        <v>0</v>
      </c>
      <c r="AX36" s="3">
        <f>IFERROR(__xludf.DUMMYFUNCTION("""COMPUTED_VALUE"""),0.0)</f>
        <v>0</v>
      </c>
      <c r="AY36" s="3">
        <f>IFERROR(__xludf.DUMMYFUNCTION("""COMPUTED_VALUE"""),0.0)</f>
        <v>0</v>
      </c>
      <c r="AZ36" s="3">
        <f>IFERROR(__xludf.DUMMYFUNCTION("""COMPUTED_VALUE"""),0.0)</f>
        <v>0</v>
      </c>
      <c r="BA36" s="3">
        <f>IFERROR(__xludf.DUMMYFUNCTION("""COMPUTED_VALUE"""),0.0)</f>
        <v>0</v>
      </c>
      <c r="BB36" s="3">
        <f>IFERROR(__xludf.DUMMYFUNCTION("""COMPUTED_VALUE"""),0.0)</f>
        <v>0</v>
      </c>
      <c r="BC36" s="3">
        <f>IFERROR(__xludf.DUMMYFUNCTION("""COMPUTED_VALUE"""),0.0)</f>
        <v>0</v>
      </c>
      <c r="BD36" s="3">
        <f>IFERROR(__xludf.DUMMYFUNCTION("""COMPUTED_VALUE"""),0.0)</f>
        <v>0</v>
      </c>
      <c r="BE36" s="3">
        <f>IFERROR(__xludf.DUMMYFUNCTION("""COMPUTED_VALUE"""),0.0)</f>
        <v>0</v>
      </c>
      <c r="BF36" s="3">
        <f>IFERROR(__xludf.DUMMYFUNCTION("""COMPUTED_VALUE"""),0.0)</f>
        <v>0</v>
      </c>
      <c r="BG36" s="3">
        <f>IFERROR(__xludf.DUMMYFUNCTION("""COMPUTED_VALUE"""),0.0)</f>
        <v>0</v>
      </c>
      <c r="BH36" s="3">
        <f>IFERROR(__xludf.DUMMYFUNCTION("""COMPUTED_VALUE"""),0.0)</f>
        <v>0</v>
      </c>
      <c r="BI36" s="3">
        <f>IFERROR(__xludf.DUMMYFUNCTION("""COMPUTED_VALUE"""),0.0)</f>
        <v>0</v>
      </c>
      <c r="BJ36" s="3">
        <f>IFERROR(__xludf.DUMMYFUNCTION("""COMPUTED_VALUE"""),0.0)</f>
        <v>0</v>
      </c>
      <c r="BK36" s="3">
        <f>IFERROR(__xludf.DUMMYFUNCTION("""COMPUTED_VALUE"""),0.0)</f>
        <v>0</v>
      </c>
      <c r="BL36" s="3">
        <f>IFERROR(__xludf.DUMMYFUNCTION("""COMPUTED_VALUE"""),0.0)</f>
        <v>0</v>
      </c>
      <c r="BM36" s="3">
        <f>IFERROR(__xludf.DUMMYFUNCTION("""COMPUTED_VALUE"""),0.0)</f>
        <v>0</v>
      </c>
      <c r="BN36" s="3">
        <f>IFERROR(__xludf.DUMMYFUNCTION("""COMPUTED_VALUE"""),0.0)</f>
        <v>0</v>
      </c>
      <c r="BO36" s="3">
        <f>IFERROR(__xludf.DUMMYFUNCTION("""COMPUTED_VALUE"""),0.0)</f>
        <v>0</v>
      </c>
      <c r="BP36" s="3">
        <f>IFERROR(__xludf.DUMMYFUNCTION("""COMPUTED_VALUE"""),1.0)</f>
        <v>1</v>
      </c>
      <c r="BQ36" s="3">
        <f>IFERROR(__xludf.DUMMYFUNCTION("""COMPUTED_VALUE"""),1.0)</f>
        <v>1</v>
      </c>
      <c r="BR36" s="3">
        <f>IFERROR(__xludf.DUMMYFUNCTION("""COMPUTED_VALUE"""),2.0)</f>
        <v>2</v>
      </c>
      <c r="BS36" s="3">
        <f>IFERROR(__xludf.DUMMYFUNCTION("""COMPUTED_VALUE"""),2.0)</f>
        <v>2</v>
      </c>
      <c r="BT36" s="3">
        <f>IFERROR(__xludf.DUMMYFUNCTION("""COMPUTED_VALUE"""),6.0)</f>
        <v>6</v>
      </c>
      <c r="BU36" s="3">
        <f>IFERROR(__xludf.DUMMYFUNCTION("""COMPUTED_VALUE"""),6.0)</f>
        <v>6</v>
      </c>
      <c r="BV36" s="3">
        <f>IFERROR(__xludf.DUMMYFUNCTION("""COMPUTED_VALUE"""),6.0)</f>
        <v>6</v>
      </c>
      <c r="BW36" s="3">
        <f>IFERROR(__xludf.DUMMYFUNCTION("""COMPUTED_VALUE"""),6.0)</f>
        <v>6</v>
      </c>
      <c r="BX36" s="3">
        <f>IFERROR(__xludf.DUMMYFUNCTION("""COMPUTED_VALUE"""),7.0)</f>
        <v>7</v>
      </c>
      <c r="BY36" s="3">
        <f>IFERROR(__xludf.DUMMYFUNCTION("""COMPUTED_VALUE"""),8.0)</f>
        <v>8</v>
      </c>
      <c r="BZ36" s="3">
        <f>IFERROR(__xludf.DUMMYFUNCTION("""COMPUTED_VALUE"""),9.0)</f>
        <v>9</v>
      </c>
      <c r="CA36" s="3">
        <f>IFERROR(__xludf.DUMMYFUNCTION("""COMPUTED_VALUE"""),9.0)</f>
        <v>9</v>
      </c>
      <c r="CB36" s="3">
        <f>IFERROR(__xludf.DUMMYFUNCTION("""COMPUTED_VALUE"""),9.0)</f>
        <v>9</v>
      </c>
    </row>
    <row r="37">
      <c r="A37" s="3" t="str">
        <f>IFERROR(__xludf.DUMMYFUNCTION("""COMPUTED_VALUE"""),"Alberta")</f>
        <v>Alberta</v>
      </c>
      <c r="B37" s="3" t="str">
        <f>IFERROR(__xludf.DUMMYFUNCTION("""COMPUTED_VALUE"""),"Canada")</f>
        <v>Canada</v>
      </c>
      <c r="C37" s="3">
        <f>IFERROR(__xludf.DUMMYFUNCTION("""COMPUTED_VALUE"""),53.9333)</f>
        <v>53.9333</v>
      </c>
      <c r="D37" s="3">
        <f>IFERROR(__xludf.DUMMYFUNCTION("""COMPUTED_VALUE"""),-116.5765)</f>
        <v>-116.5765</v>
      </c>
      <c r="E37" s="3">
        <f>IFERROR(__xludf.DUMMYFUNCTION("""COMPUTED_VALUE"""),0.0)</f>
        <v>0</v>
      </c>
      <c r="F37" s="3">
        <f>IFERROR(__xludf.DUMMYFUNCTION("""COMPUTED_VALUE"""),0.0)</f>
        <v>0</v>
      </c>
      <c r="G37" s="3">
        <f>IFERROR(__xludf.DUMMYFUNCTION("""COMPUTED_VALUE"""),0.0)</f>
        <v>0</v>
      </c>
      <c r="H37" s="3">
        <f>IFERROR(__xludf.DUMMYFUNCTION("""COMPUTED_VALUE"""),0.0)</f>
        <v>0</v>
      </c>
      <c r="I37" s="3">
        <f>IFERROR(__xludf.DUMMYFUNCTION("""COMPUTED_VALUE"""),0.0)</f>
        <v>0</v>
      </c>
      <c r="J37" s="3">
        <f>IFERROR(__xludf.DUMMYFUNCTION("""COMPUTED_VALUE"""),0.0)</f>
        <v>0</v>
      </c>
      <c r="K37" s="3">
        <f>IFERROR(__xludf.DUMMYFUNCTION("""COMPUTED_VALUE"""),0.0)</f>
        <v>0</v>
      </c>
      <c r="L37" s="3">
        <f>IFERROR(__xludf.DUMMYFUNCTION("""COMPUTED_VALUE"""),0.0)</f>
        <v>0</v>
      </c>
      <c r="M37" s="3">
        <f>IFERROR(__xludf.DUMMYFUNCTION("""COMPUTED_VALUE"""),0.0)</f>
        <v>0</v>
      </c>
      <c r="N37" s="3">
        <f>IFERROR(__xludf.DUMMYFUNCTION("""COMPUTED_VALUE"""),0.0)</f>
        <v>0</v>
      </c>
      <c r="O37" s="3">
        <f>IFERROR(__xludf.DUMMYFUNCTION("""COMPUTED_VALUE"""),0.0)</f>
        <v>0</v>
      </c>
      <c r="P37" s="3">
        <f>IFERROR(__xludf.DUMMYFUNCTION("""COMPUTED_VALUE"""),0.0)</f>
        <v>0</v>
      </c>
      <c r="Q37" s="3">
        <f>IFERROR(__xludf.DUMMYFUNCTION("""COMPUTED_VALUE"""),0.0)</f>
        <v>0</v>
      </c>
      <c r="R37" s="3">
        <f>IFERROR(__xludf.DUMMYFUNCTION("""COMPUTED_VALUE"""),0.0)</f>
        <v>0</v>
      </c>
      <c r="S37" s="3">
        <f>IFERROR(__xludf.DUMMYFUNCTION("""COMPUTED_VALUE"""),0.0)</f>
        <v>0</v>
      </c>
      <c r="T37" s="3">
        <f>IFERROR(__xludf.DUMMYFUNCTION("""COMPUTED_VALUE"""),0.0)</f>
        <v>0</v>
      </c>
      <c r="U37" s="3">
        <f>IFERROR(__xludf.DUMMYFUNCTION("""COMPUTED_VALUE"""),0.0)</f>
        <v>0</v>
      </c>
      <c r="V37" s="3">
        <f>IFERROR(__xludf.DUMMYFUNCTION("""COMPUTED_VALUE"""),0.0)</f>
        <v>0</v>
      </c>
      <c r="W37" s="3">
        <f>IFERROR(__xludf.DUMMYFUNCTION("""COMPUTED_VALUE"""),0.0)</f>
        <v>0</v>
      </c>
      <c r="X37" s="3">
        <f>IFERROR(__xludf.DUMMYFUNCTION("""COMPUTED_VALUE"""),0.0)</f>
        <v>0</v>
      </c>
      <c r="Y37" s="3">
        <f>IFERROR(__xludf.DUMMYFUNCTION("""COMPUTED_VALUE"""),0.0)</f>
        <v>0</v>
      </c>
      <c r="Z37" s="3">
        <f>IFERROR(__xludf.DUMMYFUNCTION("""COMPUTED_VALUE"""),0.0)</f>
        <v>0</v>
      </c>
      <c r="AA37" s="3">
        <f>IFERROR(__xludf.DUMMYFUNCTION("""COMPUTED_VALUE"""),0.0)</f>
        <v>0</v>
      </c>
      <c r="AB37" s="3">
        <f>IFERROR(__xludf.DUMMYFUNCTION("""COMPUTED_VALUE"""),0.0)</f>
        <v>0</v>
      </c>
      <c r="AC37" s="3">
        <f>IFERROR(__xludf.DUMMYFUNCTION("""COMPUTED_VALUE"""),0.0)</f>
        <v>0</v>
      </c>
      <c r="AD37" s="3">
        <f>IFERROR(__xludf.DUMMYFUNCTION("""COMPUTED_VALUE"""),0.0)</f>
        <v>0</v>
      </c>
      <c r="AE37" s="3">
        <f>IFERROR(__xludf.DUMMYFUNCTION("""COMPUTED_VALUE"""),0.0)</f>
        <v>0</v>
      </c>
      <c r="AF37" s="3">
        <f>IFERROR(__xludf.DUMMYFUNCTION("""COMPUTED_VALUE"""),0.0)</f>
        <v>0</v>
      </c>
      <c r="AG37" s="3">
        <f>IFERROR(__xludf.DUMMYFUNCTION("""COMPUTED_VALUE"""),0.0)</f>
        <v>0</v>
      </c>
      <c r="AH37" s="3">
        <f>IFERROR(__xludf.DUMMYFUNCTION("""COMPUTED_VALUE"""),0.0)</f>
        <v>0</v>
      </c>
      <c r="AI37" s="3">
        <f>IFERROR(__xludf.DUMMYFUNCTION("""COMPUTED_VALUE"""),0.0)</f>
        <v>0</v>
      </c>
      <c r="AJ37" s="3">
        <f>IFERROR(__xludf.DUMMYFUNCTION("""COMPUTED_VALUE"""),0.0)</f>
        <v>0</v>
      </c>
      <c r="AK37" s="3">
        <f>IFERROR(__xludf.DUMMYFUNCTION("""COMPUTED_VALUE"""),0.0)</f>
        <v>0</v>
      </c>
      <c r="AL37" s="3">
        <f>IFERROR(__xludf.DUMMYFUNCTION("""COMPUTED_VALUE"""),0.0)</f>
        <v>0</v>
      </c>
      <c r="AM37" s="3">
        <f>IFERROR(__xludf.DUMMYFUNCTION("""COMPUTED_VALUE"""),0.0)</f>
        <v>0</v>
      </c>
      <c r="AN37" s="3">
        <f>IFERROR(__xludf.DUMMYFUNCTION("""COMPUTED_VALUE"""),0.0)</f>
        <v>0</v>
      </c>
      <c r="AO37" s="3">
        <f>IFERROR(__xludf.DUMMYFUNCTION("""COMPUTED_VALUE"""),0.0)</f>
        <v>0</v>
      </c>
      <c r="AP37" s="3">
        <f>IFERROR(__xludf.DUMMYFUNCTION("""COMPUTED_VALUE"""),0.0)</f>
        <v>0</v>
      </c>
      <c r="AQ37" s="3">
        <f>IFERROR(__xludf.DUMMYFUNCTION("""COMPUTED_VALUE"""),0.0)</f>
        <v>0</v>
      </c>
      <c r="AR37" s="3">
        <f>IFERROR(__xludf.DUMMYFUNCTION("""COMPUTED_VALUE"""),0.0)</f>
        <v>0</v>
      </c>
      <c r="AS37" s="3">
        <f>IFERROR(__xludf.DUMMYFUNCTION("""COMPUTED_VALUE"""),0.0)</f>
        <v>0</v>
      </c>
      <c r="AT37" s="3">
        <f>IFERROR(__xludf.DUMMYFUNCTION("""COMPUTED_VALUE"""),0.0)</f>
        <v>0</v>
      </c>
      <c r="AU37" s="3">
        <f>IFERROR(__xludf.DUMMYFUNCTION("""COMPUTED_VALUE"""),0.0)</f>
        <v>0</v>
      </c>
      <c r="AV37" s="3">
        <f>IFERROR(__xludf.DUMMYFUNCTION("""COMPUTED_VALUE"""),0.0)</f>
        <v>0</v>
      </c>
      <c r="AW37" s="3">
        <f>IFERROR(__xludf.DUMMYFUNCTION("""COMPUTED_VALUE"""),0.0)</f>
        <v>0</v>
      </c>
      <c r="AX37" s="3">
        <f>IFERROR(__xludf.DUMMYFUNCTION("""COMPUTED_VALUE"""),0.0)</f>
        <v>0</v>
      </c>
      <c r="AY37" s="3">
        <f>IFERROR(__xludf.DUMMYFUNCTION("""COMPUTED_VALUE"""),0.0)</f>
        <v>0</v>
      </c>
      <c r="AZ37" s="3">
        <f>IFERROR(__xludf.DUMMYFUNCTION("""COMPUTED_VALUE"""),0.0)</f>
        <v>0</v>
      </c>
      <c r="BA37" s="3">
        <f>IFERROR(__xludf.DUMMYFUNCTION("""COMPUTED_VALUE"""),0.0)</f>
        <v>0</v>
      </c>
      <c r="BB37" s="3">
        <f>IFERROR(__xludf.DUMMYFUNCTION("""COMPUTED_VALUE"""),0.0)</f>
        <v>0</v>
      </c>
      <c r="BC37" s="3">
        <f>IFERROR(__xludf.DUMMYFUNCTION("""COMPUTED_VALUE"""),0.0)</f>
        <v>0</v>
      </c>
      <c r="BD37" s="3">
        <f>IFERROR(__xludf.DUMMYFUNCTION("""COMPUTED_VALUE"""),0.0)</f>
        <v>0</v>
      </c>
      <c r="BE37" s="3">
        <f>IFERROR(__xludf.DUMMYFUNCTION("""COMPUTED_VALUE"""),0.0)</f>
        <v>0</v>
      </c>
      <c r="BF37" s="3">
        <f>IFERROR(__xludf.DUMMYFUNCTION("""COMPUTED_VALUE"""),0.0)</f>
        <v>0</v>
      </c>
      <c r="BG37" s="3">
        <f>IFERROR(__xludf.DUMMYFUNCTION("""COMPUTED_VALUE"""),0.0)</f>
        <v>0</v>
      </c>
      <c r="BH37" s="3">
        <f>IFERROR(__xludf.DUMMYFUNCTION("""COMPUTED_VALUE"""),0.0)</f>
        <v>0</v>
      </c>
      <c r="BI37" s="3">
        <f>IFERROR(__xludf.DUMMYFUNCTION("""COMPUTED_VALUE"""),0.0)</f>
        <v>0</v>
      </c>
      <c r="BJ37" s="3">
        <f>IFERROR(__xludf.DUMMYFUNCTION("""COMPUTED_VALUE"""),0.0)</f>
        <v>0</v>
      </c>
      <c r="BK37" s="3">
        <f>IFERROR(__xludf.DUMMYFUNCTION("""COMPUTED_VALUE"""),1.0)</f>
        <v>1</v>
      </c>
      <c r="BL37" s="3">
        <f>IFERROR(__xludf.DUMMYFUNCTION("""COMPUTED_VALUE"""),1.0)</f>
        <v>1</v>
      </c>
      <c r="BM37" s="3">
        <f>IFERROR(__xludf.DUMMYFUNCTION("""COMPUTED_VALUE"""),1.0)</f>
        <v>1</v>
      </c>
      <c r="BN37" s="3">
        <f>IFERROR(__xludf.DUMMYFUNCTION("""COMPUTED_VALUE"""),1.0)</f>
        <v>1</v>
      </c>
      <c r="BO37" s="3">
        <f>IFERROR(__xludf.DUMMYFUNCTION("""COMPUTED_VALUE"""),1.0)</f>
        <v>1</v>
      </c>
      <c r="BP37" s="3">
        <f>IFERROR(__xludf.DUMMYFUNCTION("""COMPUTED_VALUE"""),2.0)</f>
        <v>2</v>
      </c>
      <c r="BQ37" s="3">
        <f>IFERROR(__xludf.DUMMYFUNCTION("""COMPUTED_VALUE"""),2.0)</f>
        <v>2</v>
      </c>
      <c r="BR37" s="3">
        <f>IFERROR(__xludf.DUMMYFUNCTION("""COMPUTED_VALUE"""),2.0)</f>
        <v>2</v>
      </c>
      <c r="BS37" s="3">
        <f>IFERROR(__xludf.DUMMYFUNCTION("""COMPUTED_VALUE"""),2.0)</f>
        <v>2</v>
      </c>
      <c r="BT37" s="3">
        <f>IFERROR(__xludf.DUMMYFUNCTION("""COMPUTED_VALUE"""),2.0)</f>
        <v>2</v>
      </c>
      <c r="BU37" s="3">
        <f>IFERROR(__xludf.DUMMYFUNCTION("""COMPUTED_VALUE"""),3.0)</f>
        <v>3</v>
      </c>
      <c r="BV37" s="3">
        <f>IFERROR(__xludf.DUMMYFUNCTION("""COMPUTED_VALUE"""),8.0)</f>
        <v>8</v>
      </c>
      <c r="BW37" s="3">
        <f>IFERROR(__xludf.DUMMYFUNCTION("""COMPUTED_VALUE"""),9.0)</f>
        <v>9</v>
      </c>
      <c r="BX37" s="3">
        <f>IFERROR(__xludf.DUMMYFUNCTION("""COMPUTED_VALUE"""),13.0)</f>
        <v>13</v>
      </c>
      <c r="BY37" s="3">
        <f>IFERROR(__xludf.DUMMYFUNCTION("""COMPUTED_VALUE"""),13.0)</f>
        <v>13</v>
      </c>
      <c r="BZ37" s="3">
        <f>IFERROR(__xludf.DUMMYFUNCTION("""COMPUTED_VALUE"""),18.0)</f>
        <v>18</v>
      </c>
      <c r="CA37" s="3">
        <f>IFERROR(__xludf.DUMMYFUNCTION("""COMPUTED_VALUE"""),20.0)</f>
        <v>20</v>
      </c>
      <c r="CB37" s="3">
        <f>IFERROR(__xludf.DUMMYFUNCTION("""COMPUTED_VALUE"""),23.0)</f>
        <v>23</v>
      </c>
    </row>
    <row r="38">
      <c r="A38" s="3" t="str">
        <f>IFERROR(__xludf.DUMMYFUNCTION("""COMPUTED_VALUE"""),"British Columbia")</f>
        <v>British Columbia</v>
      </c>
      <c r="B38" s="3" t="str">
        <f>IFERROR(__xludf.DUMMYFUNCTION("""COMPUTED_VALUE"""),"Canada")</f>
        <v>Canada</v>
      </c>
      <c r="C38" s="3">
        <f>IFERROR(__xludf.DUMMYFUNCTION("""COMPUTED_VALUE"""),49.2827)</f>
        <v>49.2827</v>
      </c>
      <c r="D38" s="3">
        <f>IFERROR(__xludf.DUMMYFUNCTION("""COMPUTED_VALUE"""),-123.1207)</f>
        <v>-123.1207</v>
      </c>
      <c r="E38" s="3">
        <f>IFERROR(__xludf.DUMMYFUNCTION("""COMPUTED_VALUE"""),0.0)</f>
        <v>0</v>
      </c>
      <c r="F38" s="3">
        <f>IFERROR(__xludf.DUMMYFUNCTION("""COMPUTED_VALUE"""),0.0)</f>
        <v>0</v>
      </c>
      <c r="G38" s="3">
        <f>IFERROR(__xludf.DUMMYFUNCTION("""COMPUTED_VALUE"""),0.0)</f>
        <v>0</v>
      </c>
      <c r="H38" s="3">
        <f>IFERROR(__xludf.DUMMYFUNCTION("""COMPUTED_VALUE"""),0.0)</f>
        <v>0</v>
      </c>
      <c r="I38" s="3">
        <f>IFERROR(__xludf.DUMMYFUNCTION("""COMPUTED_VALUE"""),0.0)</f>
        <v>0</v>
      </c>
      <c r="J38" s="3">
        <f>IFERROR(__xludf.DUMMYFUNCTION("""COMPUTED_VALUE"""),0.0)</f>
        <v>0</v>
      </c>
      <c r="K38" s="3">
        <f>IFERROR(__xludf.DUMMYFUNCTION("""COMPUTED_VALUE"""),0.0)</f>
        <v>0</v>
      </c>
      <c r="L38" s="3">
        <f>IFERROR(__xludf.DUMMYFUNCTION("""COMPUTED_VALUE"""),0.0)</f>
        <v>0</v>
      </c>
      <c r="M38" s="3">
        <f>IFERROR(__xludf.DUMMYFUNCTION("""COMPUTED_VALUE"""),0.0)</f>
        <v>0</v>
      </c>
      <c r="N38" s="3">
        <f>IFERROR(__xludf.DUMMYFUNCTION("""COMPUTED_VALUE"""),0.0)</f>
        <v>0</v>
      </c>
      <c r="O38" s="3">
        <f>IFERROR(__xludf.DUMMYFUNCTION("""COMPUTED_VALUE"""),0.0)</f>
        <v>0</v>
      </c>
      <c r="P38" s="3">
        <f>IFERROR(__xludf.DUMMYFUNCTION("""COMPUTED_VALUE"""),0.0)</f>
        <v>0</v>
      </c>
      <c r="Q38" s="3">
        <f>IFERROR(__xludf.DUMMYFUNCTION("""COMPUTED_VALUE"""),0.0)</f>
        <v>0</v>
      </c>
      <c r="R38" s="3">
        <f>IFERROR(__xludf.DUMMYFUNCTION("""COMPUTED_VALUE"""),0.0)</f>
        <v>0</v>
      </c>
      <c r="S38" s="3">
        <f>IFERROR(__xludf.DUMMYFUNCTION("""COMPUTED_VALUE"""),0.0)</f>
        <v>0</v>
      </c>
      <c r="T38" s="3">
        <f>IFERROR(__xludf.DUMMYFUNCTION("""COMPUTED_VALUE"""),0.0)</f>
        <v>0</v>
      </c>
      <c r="U38" s="3">
        <f>IFERROR(__xludf.DUMMYFUNCTION("""COMPUTED_VALUE"""),0.0)</f>
        <v>0</v>
      </c>
      <c r="V38" s="3">
        <f>IFERROR(__xludf.DUMMYFUNCTION("""COMPUTED_VALUE"""),0.0)</f>
        <v>0</v>
      </c>
      <c r="W38" s="3">
        <f>IFERROR(__xludf.DUMMYFUNCTION("""COMPUTED_VALUE"""),0.0)</f>
        <v>0</v>
      </c>
      <c r="X38" s="3">
        <f>IFERROR(__xludf.DUMMYFUNCTION("""COMPUTED_VALUE"""),0.0)</f>
        <v>0</v>
      </c>
      <c r="Y38" s="3">
        <f>IFERROR(__xludf.DUMMYFUNCTION("""COMPUTED_VALUE"""),0.0)</f>
        <v>0</v>
      </c>
      <c r="Z38" s="3">
        <f>IFERROR(__xludf.DUMMYFUNCTION("""COMPUTED_VALUE"""),0.0)</f>
        <v>0</v>
      </c>
      <c r="AA38" s="3">
        <f>IFERROR(__xludf.DUMMYFUNCTION("""COMPUTED_VALUE"""),0.0)</f>
        <v>0</v>
      </c>
      <c r="AB38" s="3">
        <f>IFERROR(__xludf.DUMMYFUNCTION("""COMPUTED_VALUE"""),0.0)</f>
        <v>0</v>
      </c>
      <c r="AC38" s="3">
        <f>IFERROR(__xludf.DUMMYFUNCTION("""COMPUTED_VALUE"""),0.0)</f>
        <v>0</v>
      </c>
      <c r="AD38" s="3">
        <f>IFERROR(__xludf.DUMMYFUNCTION("""COMPUTED_VALUE"""),0.0)</f>
        <v>0</v>
      </c>
      <c r="AE38" s="3">
        <f>IFERROR(__xludf.DUMMYFUNCTION("""COMPUTED_VALUE"""),0.0)</f>
        <v>0</v>
      </c>
      <c r="AF38" s="3">
        <f>IFERROR(__xludf.DUMMYFUNCTION("""COMPUTED_VALUE"""),0.0)</f>
        <v>0</v>
      </c>
      <c r="AG38" s="3">
        <f>IFERROR(__xludf.DUMMYFUNCTION("""COMPUTED_VALUE"""),0.0)</f>
        <v>0</v>
      </c>
      <c r="AH38" s="3">
        <f>IFERROR(__xludf.DUMMYFUNCTION("""COMPUTED_VALUE"""),0.0)</f>
        <v>0</v>
      </c>
      <c r="AI38" s="3">
        <f>IFERROR(__xludf.DUMMYFUNCTION("""COMPUTED_VALUE"""),0.0)</f>
        <v>0</v>
      </c>
      <c r="AJ38" s="3">
        <f>IFERROR(__xludf.DUMMYFUNCTION("""COMPUTED_VALUE"""),0.0)</f>
        <v>0</v>
      </c>
      <c r="AK38" s="3">
        <f>IFERROR(__xludf.DUMMYFUNCTION("""COMPUTED_VALUE"""),0.0)</f>
        <v>0</v>
      </c>
      <c r="AL38" s="3">
        <f>IFERROR(__xludf.DUMMYFUNCTION("""COMPUTED_VALUE"""),0.0)</f>
        <v>0</v>
      </c>
      <c r="AM38" s="3">
        <f>IFERROR(__xludf.DUMMYFUNCTION("""COMPUTED_VALUE"""),0.0)</f>
        <v>0</v>
      </c>
      <c r="AN38" s="3">
        <f>IFERROR(__xludf.DUMMYFUNCTION("""COMPUTED_VALUE"""),0.0)</f>
        <v>0</v>
      </c>
      <c r="AO38" s="3">
        <f>IFERROR(__xludf.DUMMYFUNCTION("""COMPUTED_VALUE"""),0.0)</f>
        <v>0</v>
      </c>
      <c r="AP38" s="3">
        <f>IFERROR(__xludf.DUMMYFUNCTION("""COMPUTED_VALUE"""),0.0)</f>
        <v>0</v>
      </c>
      <c r="AQ38" s="3">
        <f>IFERROR(__xludf.DUMMYFUNCTION("""COMPUTED_VALUE"""),0.0)</f>
        <v>0</v>
      </c>
      <c r="AR38" s="3">
        <f>IFERROR(__xludf.DUMMYFUNCTION("""COMPUTED_VALUE"""),0.0)</f>
        <v>0</v>
      </c>
      <c r="AS38" s="3">
        <f>IFERROR(__xludf.DUMMYFUNCTION("""COMPUTED_VALUE"""),0.0)</f>
        <v>0</v>
      </c>
      <c r="AT38" s="3">
        <f>IFERROR(__xludf.DUMMYFUNCTION("""COMPUTED_VALUE"""),0.0)</f>
        <v>0</v>
      </c>
      <c r="AU38" s="3">
        <f>IFERROR(__xludf.DUMMYFUNCTION("""COMPUTED_VALUE"""),0.0)</f>
        <v>0</v>
      </c>
      <c r="AV38" s="3">
        <f>IFERROR(__xludf.DUMMYFUNCTION("""COMPUTED_VALUE"""),0.0)</f>
        <v>0</v>
      </c>
      <c r="AW38" s="3">
        <f>IFERROR(__xludf.DUMMYFUNCTION("""COMPUTED_VALUE"""),0.0)</f>
        <v>0</v>
      </c>
      <c r="AX38" s="3">
        <f>IFERROR(__xludf.DUMMYFUNCTION("""COMPUTED_VALUE"""),0.0)</f>
        <v>0</v>
      </c>
      <c r="AY38" s="3">
        <f>IFERROR(__xludf.DUMMYFUNCTION("""COMPUTED_VALUE"""),0.0)</f>
        <v>0</v>
      </c>
      <c r="AZ38" s="3">
        <f>IFERROR(__xludf.DUMMYFUNCTION("""COMPUTED_VALUE"""),1.0)</f>
        <v>1</v>
      </c>
      <c r="BA38" s="3">
        <f>IFERROR(__xludf.DUMMYFUNCTION("""COMPUTED_VALUE"""),1.0)</f>
        <v>1</v>
      </c>
      <c r="BB38" s="3">
        <f>IFERROR(__xludf.DUMMYFUNCTION("""COMPUTED_VALUE"""),1.0)</f>
        <v>1</v>
      </c>
      <c r="BC38" s="3">
        <f>IFERROR(__xludf.DUMMYFUNCTION("""COMPUTED_VALUE"""),1.0)</f>
        <v>1</v>
      </c>
      <c r="BD38" s="3">
        <f>IFERROR(__xludf.DUMMYFUNCTION("""COMPUTED_VALUE"""),1.0)</f>
        <v>1</v>
      </c>
      <c r="BE38" s="3">
        <f>IFERROR(__xludf.DUMMYFUNCTION("""COMPUTED_VALUE"""),1.0)</f>
        <v>1</v>
      </c>
      <c r="BF38" s="3">
        <f>IFERROR(__xludf.DUMMYFUNCTION("""COMPUTED_VALUE"""),1.0)</f>
        <v>1</v>
      </c>
      <c r="BG38" s="3">
        <f>IFERROR(__xludf.DUMMYFUNCTION("""COMPUTED_VALUE"""),4.0)</f>
        <v>4</v>
      </c>
      <c r="BH38" s="3">
        <f>IFERROR(__xludf.DUMMYFUNCTION("""COMPUTED_VALUE"""),4.0)</f>
        <v>4</v>
      </c>
      <c r="BI38" s="3">
        <f>IFERROR(__xludf.DUMMYFUNCTION("""COMPUTED_VALUE"""),7.0)</f>
        <v>7</v>
      </c>
      <c r="BJ38" s="3">
        <f>IFERROR(__xludf.DUMMYFUNCTION("""COMPUTED_VALUE"""),7.0)</f>
        <v>7</v>
      </c>
      <c r="BK38" s="3">
        <f>IFERROR(__xludf.DUMMYFUNCTION("""COMPUTED_VALUE"""),8.0)</f>
        <v>8</v>
      </c>
      <c r="BL38" s="3">
        <f>IFERROR(__xludf.DUMMYFUNCTION("""COMPUTED_VALUE"""),10.0)</f>
        <v>10</v>
      </c>
      <c r="BM38" s="3">
        <f>IFERROR(__xludf.DUMMYFUNCTION("""COMPUTED_VALUE"""),10.0)</f>
        <v>10</v>
      </c>
      <c r="BN38" s="3">
        <f>IFERROR(__xludf.DUMMYFUNCTION("""COMPUTED_VALUE"""),13.0)</f>
        <v>13</v>
      </c>
      <c r="BO38" s="3">
        <f>IFERROR(__xludf.DUMMYFUNCTION("""COMPUTED_VALUE"""),13.0)</f>
        <v>13</v>
      </c>
      <c r="BP38" s="3">
        <f>IFERROR(__xludf.DUMMYFUNCTION("""COMPUTED_VALUE"""),13.0)</f>
        <v>13</v>
      </c>
      <c r="BQ38" s="3">
        <f>IFERROR(__xludf.DUMMYFUNCTION("""COMPUTED_VALUE"""),14.0)</f>
        <v>14</v>
      </c>
      <c r="BR38" s="3">
        <f>IFERROR(__xludf.DUMMYFUNCTION("""COMPUTED_VALUE"""),14.0)</f>
        <v>14</v>
      </c>
      <c r="BS38" s="3">
        <f>IFERROR(__xludf.DUMMYFUNCTION("""COMPUTED_VALUE"""),17.0)</f>
        <v>17</v>
      </c>
      <c r="BT38" s="3">
        <f>IFERROR(__xludf.DUMMYFUNCTION("""COMPUTED_VALUE"""),17.0)</f>
        <v>17</v>
      </c>
      <c r="BU38" s="3">
        <f>IFERROR(__xludf.DUMMYFUNCTION("""COMPUTED_VALUE"""),19.0)</f>
        <v>19</v>
      </c>
      <c r="BV38" s="3">
        <f>IFERROR(__xludf.DUMMYFUNCTION("""COMPUTED_VALUE"""),24.0)</f>
        <v>24</v>
      </c>
      <c r="BW38" s="3">
        <f>IFERROR(__xludf.DUMMYFUNCTION("""COMPUTED_VALUE"""),24.0)</f>
        <v>24</v>
      </c>
      <c r="BX38" s="3">
        <f>IFERROR(__xludf.DUMMYFUNCTION("""COMPUTED_VALUE"""),31.0)</f>
        <v>31</v>
      </c>
      <c r="BY38" s="3">
        <f>IFERROR(__xludf.DUMMYFUNCTION("""COMPUTED_VALUE"""),31.0)</f>
        <v>31</v>
      </c>
      <c r="BZ38" s="3">
        <f>IFERROR(__xludf.DUMMYFUNCTION("""COMPUTED_VALUE"""),38.0)</f>
        <v>38</v>
      </c>
      <c r="CA38" s="3">
        <f>IFERROR(__xludf.DUMMYFUNCTION("""COMPUTED_VALUE"""),38.0)</f>
        <v>38</v>
      </c>
      <c r="CB38" s="3">
        <f>IFERROR(__xludf.DUMMYFUNCTION("""COMPUTED_VALUE"""),38.0)</f>
        <v>38</v>
      </c>
    </row>
    <row r="39">
      <c r="A39" s="3" t="str">
        <f>IFERROR(__xludf.DUMMYFUNCTION("""COMPUTED_VALUE"""),"Grand Princess")</f>
        <v>Grand Princess</v>
      </c>
      <c r="B39" s="3" t="str">
        <f>IFERROR(__xludf.DUMMYFUNCTION("""COMPUTED_VALUE"""),"Canada")</f>
        <v>Canada</v>
      </c>
      <c r="C39" s="3">
        <f>IFERROR(__xludf.DUMMYFUNCTION("""COMPUTED_VALUE"""),37.6489)</f>
        <v>37.6489</v>
      </c>
      <c r="D39" s="3">
        <f>IFERROR(__xludf.DUMMYFUNCTION("""COMPUTED_VALUE"""),-122.6655)</f>
        <v>-122.6655</v>
      </c>
      <c r="E39" s="3">
        <f>IFERROR(__xludf.DUMMYFUNCTION("""COMPUTED_VALUE"""),0.0)</f>
        <v>0</v>
      </c>
      <c r="F39" s="3">
        <f>IFERROR(__xludf.DUMMYFUNCTION("""COMPUTED_VALUE"""),0.0)</f>
        <v>0</v>
      </c>
      <c r="G39" s="3">
        <f>IFERROR(__xludf.DUMMYFUNCTION("""COMPUTED_VALUE"""),0.0)</f>
        <v>0</v>
      </c>
      <c r="H39" s="3">
        <f>IFERROR(__xludf.DUMMYFUNCTION("""COMPUTED_VALUE"""),0.0)</f>
        <v>0</v>
      </c>
      <c r="I39" s="3">
        <f>IFERROR(__xludf.DUMMYFUNCTION("""COMPUTED_VALUE"""),0.0)</f>
        <v>0</v>
      </c>
      <c r="J39" s="3">
        <f>IFERROR(__xludf.DUMMYFUNCTION("""COMPUTED_VALUE"""),0.0)</f>
        <v>0</v>
      </c>
      <c r="K39" s="3">
        <f>IFERROR(__xludf.DUMMYFUNCTION("""COMPUTED_VALUE"""),0.0)</f>
        <v>0</v>
      </c>
      <c r="L39" s="3">
        <f>IFERROR(__xludf.DUMMYFUNCTION("""COMPUTED_VALUE"""),0.0)</f>
        <v>0</v>
      </c>
      <c r="M39" s="3">
        <f>IFERROR(__xludf.DUMMYFUNCTION("""COMPUTED_VALUE"""),0.0)</f>
        <v>0</v>
      </c>
      <c r="N39" s="3">
        <f>IFERROR(__xludf.DUMMYFUNCTION("""COMPUTED_VALUE"""),0.0)</f>
        <v>0</v>
      </c>
      <c r="O39" s="3">
        <f>IFERROR(__xludf.DUMMYFUNCTION("""COMPUTED_VALUE"""),0.0)</f>
        <v>0</v>
      </c>
      <c r="P39" s="3">
        <f>IFERROR(__xludf.DUMMYFUNCTION("""COMPUTED_VALUE"""),0.0)</f>
        <v>0</v>
      </c>
      <c r="Q39" s="3">
        <f>IFERROR(__xludf.DUMMYFUNCTION("""COMPUTED_VALUE"""),0.0)</f>
        <v>0</v>
      </c>
      <c r="R39" s="3">
        <f>IFERROR(__xludf.DUMMYFUNCTION("""COMPUTED_VALUE"""),0.0)</f>
        <v>0</v>
      </c>
      <c r="S39" s="3">
        <f>IFERROR(__xludf.DUMMYFUNCTION("""COMPUTED_VALUE"""),0.0)</f>
        <v>0</v>
      </c>
      <c r="T39" s="3">
        <f>IFERROR(__xludf.DUMMYFUNCTION("""COMPUTED_VALUE"""),0.0)</f>
        <v>0</v>
      </c>
      <c r="U39" s="3">
        <f>IFERROR(__xludf.DUMMYFUNCTION("""COMPUTED_VALUE"""),0.0)</f>
        <v>0</v>
      </c>
      <c r="V39" s="3">
        <f>IFERROR(__xludf.DUMMYFUNCTION("""COMPUTED_VALUE"""),0.0)</f>
        <v>0</v>
      </c>
      <c r="W39" s="3">
        <f>IFERROR(__xludf.DUMMYFUNCTION("""COMPUTED_VALUE"""),0.0)</f>
        <v>0</v>
      </c>
      <c r="X39" s="3">
        <f>IFERROR(__xludf.DUMMYFUNCTION("""COMPUTED_VALUE"""),0.0)</f>
        <v>0</v>
      </c>
      <c r="Y39" s="3">
        <f>IFERROR(__xludf.DUMMYFUNCTION("""COMPUTED_VALUE"""),0.0)</f>
        <v>0</v>
      </c>
      <c r="Z39" s="3">
        <f>IFERROR(__xludf.DUMMYFUNCTION("""COMPUTED_VALUE"""),0.0)</f>
        <v>0</v>
      </c>
      <c r="AA39" s="3">
        <f>IFERROR(__xludf.DUMMYFUNCTION("""COMPUTED_VALUE"""),0.0)</f>
        <v>0</v>
      </c>
      <c r="AB39" s="3">
        <f>IFERROR(__xludf.DUMMYFUNCTION("""COMPUTED_VALUE"""),0.0)</f>
        <v>0</v>
      </c>
      <c r="AC39" s="3">
        <f>IFERROR(__xludf.DUMMYFUNCTION("""COMPUTED_VALUE"""),0.0)</f>
        <v>0</v>
      </c>
      <c r="AD39" s="3">
        <f>IFERROR(__xludf.DUMMYFUNCTION("""COMPUTED_VALUE"""),0.0)</f>
        <v>0</v>
      </c>
      <c r="AE39" s="3">
        <f>IFERROR(__xludf.DUMMYFUNCTION("""COMPUTED_VALUE"""),0.0)</f>
        <v>0</v>
      </c>
      <c r="AF39" s="3">
        <f>IFERROR(__xludf.DUMMYFUNCTION("""COMPUTED_VALUE"""),0.0)</f>
        <v>0</v>
      </c>
      <c r="AG39" s="3">
        <f>IFERROR(__xludf.DUMMYFUNCTION("""COMPUTED_VALUE"""),0.0)</f>
        <v>0</v>
      </c>
      <c r="AH39" s="3">
        <f>IFERROR(__xludf.DUMMYFUNCTION("""COMPUTED_VALUE"""),0.0)</f>
        <v>0</v>
      </c>
      <c r="AI39" s="3">
        <f>IFERROR(__xludf.DUMMYFUNCTION("""COMPUTED_VALUE"""),0.0)</f>
        <v>0</v>
      </c>
      <c r="AJ39" s="3">
        <f>IFERROR(__xludf.DUMMYFUNCTION("""COMPUTED_VALUE"""),0.0)</f>
        <v>0</v>
      </c>
      <c r="AK39" s="3">
        <f>IFERROR(__xludf.DUMMYFUNCTION("""COMPUTED_VALUE"""),0.0)</f>
        <v>0</v>
      </c>
      <c r="AL39" s="3">
        <f>IFERROR(__xludf.DUMMYFUNCTION("""COMPUTED_VALUE"""),0.0)</f>
        <v>0</v>
      </c>
      <c r="AM39" s="3">
        <f>IFERROR(__xludf.DUMMYFUNCTION("""COMPUTED_VALUE"""),0.0)</f>
        <v>0</v>
      </c>
      <c r="AN39" s="3">
        <f>IFERROR(__xludf.DUMMYFUNCTION("""COMPUTED_VALUE"""),0.0)</f>
        <v>0</v>
      </c>
      <c r="AO39" s="3">
        <f>IFERROR(__xludf.DUMMYFUNCTION("""COMPUTED_VALUE"""),0.0)</f>
        <v>0</v>
      </c>
      <c r="AP39" s="3">
        <f>IFERROR(__xludf.DUMMYFUNCTION("""COMPUTED_VALUE"""),0.0)</f>
        <v>0</v>
      </c>
      <c r="AQ39" s="3">
        <f>IFERROR(__xludf.DUMMYFUNCTION("""COMPUTED_VALUE"""),0.0)</f>
        <v>0</v>
      </c>
      <c r="AR39" s="3">
        <f>IFERROR(__xludf.DUMMYFUNCTION("""COMPUTED_VALUE"""),0.0)</f>
        <v>0</v>
      </c>
      <c r="AS39" s="3">
        <f>IFERROR(__xludf.DUMMYFUNCTION("""COMPUTED_VALUE"""),0.0)</f>
        <v>0</v>
      </c>
      <c r="AT39" s="3">
        <f>IFERROR(__xludf.DUMMYFUNCTION("""COMPUTED_VALUE"""),0.0)</f>
        <v>0</v>
      </c>
      <c r="AU39" s="3">
        <f>IFERROR(__xludf.DUMMYFUNCTION("""COMPUTED_VALUE"""),0.0)</f>
        <v>0</v>
      </c>
      <c r="AV39" s="3">
        <f>IFERROR(__xludf.DUMMYFUNCTION("""COMPUTED_VALUE"""),0.0)</f>
        <v>0</v>
      </c>
      <c r="AW39" s="3">
        <f>IFERROR(__xludf.DUMMYFUNCTION("""COMPUTED_VALUE"""),0.0)</f>
        <v>0</v>
      </c>
      <c r="AX39" s="3">
        <f>IFERROR(__xludf.DUMMYFUNCTION("""COMPUTED_VALUE"""),0.0)</f>
        <v>0</v>
      </c>
      <c r="AY39" s="3">
        <f>IFERROR(__xludf.DUMMYFUNCTION("""COMPUTED_VALUE"""),0.0)</f>
        <v>0</v>
      </c>
      <c r="AZ39" s="3">
        <f>IFERROR(__xludf.DUMMYFUNCTION("""COMPUTED_VALUE"""),0.0)</f>
        <v>0</v>
      </c>
      <c r="BA39" s="3">
        <f>IFERROR(__xludf.DUMMYFUNCTION("""COMPUTED_VALUE"""),0.0)</f>
        <v>0</v>
      </c>
      <c r="BB39" s="3">
        <f>IFERROR(__xludf.DUMMYFUNCTION("""COMPUTED_VALUE"""),0.0)</f>
        <v>0</v>
      </c>
      <c r="BC39" s="3">
        <f>IFERROR(__xludf.DUMMYFUNCTION("""COMPUTED_VALUE"""),0.0)</f>
        <v>0</v>
      </c>
      <c r="BD39" s="3">
        <f>IFERROR(__xludf.DUMMYFUNCTION("""COMPUTED_VALUE"""),0.0)</f>
        <v>0</v>
      </c>
      <c r="BE39" s="3">
        <f>IFERROR(__xludf.DUMMYFUNCTION("""COMPUTED_VALUE"""),0.0)</f>
        <v>0</v>
      </c>
      <c r="BF39" s="3">
        <f>IFERROR(__xludf.DUMMYFUNCTION("""COMPUTED_VALUE"""),0.0)</f>
        <v>0</v>
      </c>
      <c r="BG39" s="3">
        <f>IFERROR(__xludf.DUMMYFUNCTION("""COMPUTED_VALUE"""),0.0)</f>
        <v>0</v>
      </c>
      <c r="BH39" s="3">
        <f>IFERROR(__xludf.DUMMYFUNCTION("""COMPUTED_VALUE"""),0.0)</f>
        <v>0</v>
      </c>
      <c r="BI39" s="3">
        <f>IFERROR(__xludf.DUMMYFUNCTION("""COMPUTED_VALUE"""),0.0)</f>
        <v>0</v>
      </c>
      <c r="BJ39" s="3">
        <f>IFERROR(__xludf.DUMMYFUNCTION("""COMPUTED_VALUE"""),0.0)</f>
        <v>0</v>
      </c>
      <c r="BK39" s="3">
        <f>IFERROR(__xludf.DUMMYFUNCTION("""COMPUTED_VALUE"""),0.0)</f>
        <v>0</v>
      </c>
      <c r="BL39" s="3">
        <f>IFERROR(__xludf.DUMMYFUNCTION("""COMPUTED_VALUE"""),0.0)</f>
        <v>0</v>
      </c>
      <c r="BM39" s="3">
        <f>IFERROR(__xludf.DUMMYFUNCTION("""COMPUTED_VALUE"""),0.0)</f>
        <v>0</v>
      </c>
      <c r="BN39" s="3">
        <f>IFERROR(__xludf.DUMMYFUNCTION("""COMPUTED_VALUE"""),0.0)</f>
        <v>0</v>
      </c>
      <c r="BO39" s="3">
        <f>IFERROR(__xludf.DUMMYFUNCTION("""COMPUTED_VALUE"""),0.0)</f>
        <v>0</v>
      </c>
      <c r="BP39" s="3">
        <f>IFERROR(__xludf.DUMMYFUNCTION("""COMPUTED_VALUE"""),0.0)</f>
        <v>0</v>
      </c>
      <c r="BQ39" s="3">
        <f>IFERROR(__xludf.DUMMYFUNCTION("""COMPUTED_VALUE"""),0.0)</f>
        <v>0</v>
      </c>
      <c r="BR39" s="3">
        <f>IFERROR(__xludf.DUMMYFUNCTION("""COMPUTED_VALUE"""),0.0)</f>
        <v>0</v>
      </c>
      <c r="BS39" s="3">
        <f>IFERROR(__xludf.DUMMYFUNCTION("""COMPUTED_VALUE"""),0.0)</f>
        <v>0</v>
      </c>
      <c r="BT39" s="3">
        <f>IFERROR(__xludf.DUMMYFUNCTION("""COMPUTED_VALUE"""),0.0)</f>
        <v>0</v>
      </c>
      <c r="BU39" s="3">
        <f>IFERROR(__xludf.DUMMYFUNCTION("""COMPUTED_VALUE"""),0.0)</f>
        <v>0</v>
      </c>
      <c r="BV39" s="3">
        <f>IFERROR(__xludf.DUMMYFUNCTION("""COMPUTED_VALUE"""),0.0)</f>
        <v>0</v>
      </c>
      <c r="BW39" s="3">
        <f>IFERROR(__xludf.DUMMYFUNCTION("""COMPUTED_VALUE"""),0.0)</f>
        <v>0</v>
      </c>
      <c r="BX39" s="3">
        <f>IFERROR(__xludf.DUMMYFUNCTION("""COMPUTED_VALUE"""),0.0)</f>
        <v>0</v>
      </c>
      <c r="BY39" s="3">
        <f>IFERROR(__xludf.DUMMYFUNCTION("""COMPUTED_VALUE"""),0.0)</f>
        <v>0</v>
      </c>
      <c r="BZ39" s="3">
        <f>IFERROR(__xludf.DUMMYFUNCTION("""COMPUTED_VALUE"""),0.0)</f>
        <v>0</v>
      </c>
      <c r="CA39" s="3">
        <f>IFERROR(__xludf.DUMMYFUNCTION("""COMPUTED_VALUE"""),0.0)</f>
        <v>0</v>
      </c>
      <c r="CB39" s="3">
        <f>IFERROR(__xludf.DUMMYFUNCTION("""COMPUTED_VALUE"""),0.0)</f>
        <v>0</v>
      </c>
    </row>
    <row r="40">
      <c r="A40" s="3" t="str">
        <f>IFERROR(__xludf.DUMMYFUNCTION("""COMPUTED_VALUE"""),"Manitoba")</f>
        <v>Manitoba</v>
      </c>
      <c r="B40" s="3" t="str">
        <f>IFERROR(__xludf.DUMMYFUNCTION("""COMPUTED_VALUE"""),"Canada")</f>
        <v>Canada</v>
      </c>
      <c r="C40" s="3">
        <f>IFERROR(__xludf.DUMMYFUNCTION("""COMPUTED_VALUE"""),53.7609)</f>
        <v>53.7609</v>
      </c>
      <c r="D40" s="3">
        <f>IFERROR(__xludf.DUMMYFUNCTION("""COMPUTED_VALUE"""),-98.8139)</f>
        <v>-98.8139</v>
      </c>
      <c r="E40" s="3">
        <f>IFERROR(__xludf.DUMMYFUNCTION("""COMPUTED_VALUE"""),0.0)</f>
        <v>0</v>
      </c>
      <c r="F40" s="3">
        <f>IFERROR(__xludf.DUMMYFUNCTION("""COMPUTED_VALUE"""),0.0)</f>
        <v>0</v>
      </c>
      <c r="G40" s="3">
        <f>IFERROR(__xludf.DUMMYFUNCTION("""COMPUTED_VALUE"""),0.0)</f>
        <v>0</v>
      </c>
      <c r="H40" s="3">
        <f>IFERROR(__xludf.DUMMYFUNCTION("""COMPUTED_VALUE"""),0.0)</f>
        <v>0</v>
      </c>
      <c r="I40" s="3">
        <f>IFERROR(__xludf.DUMMYFUNCTION("""COMPUTED_VALUE"""),0.0)</f>
        <v>0</v>
      </c>
      <c r="J40" s="3">
        <f>IFERROR(__xludf.DUMMYFUNCTION("""COMPUTED_VALUE"""),0.0)</f>
        <v>0</v>
      </c>
      <c r="K40" s="3">
        <f>IFERROR(__xludf.DUMMYFUNCTION("""COMPUTED_VALUE"""),0.0)</f>
        <v>0</v>
      </c>
      <c r="L40" s="3">
        <f>IFERROR(__xludf.DUMMYFUNCTION("""COMPUTED_VALUE"""),0.0)</f>
        <v>0</v>
      </c>
      <c r="M40" s="3">
        <f>IFERROR(__xludf.DUMMYFUNCTION("""COMPUTED_VALUE"""),0.0)</f>
        <v>0</v>
      </c>
      <c r="N40" s="3">
        <f>IFERROR(__xludf.DUMMYFUNCTION("""COMPUTED_VALUE"""),0.0)</f>
        <v>0</v>
      </c>
      <c r="O40" s="3">
        <f>IFERROR(__xludf.DUMMYFUNCTION("""COMPUTED_VALUE"""),0.0)</f>
        <v>0</v>
      </c>
      <c r="P40" s="3">
        <f>IFERROR(__xludf.DUMMYFUNCTION("""COMPUTED_VALUE"""),0.0)</f>
        <v>0</v>
      </c>
      <c r="Q40" s="3">
        <f>IFERROR(__xludf.DUMMYFUNCTION("""COMPUTED_VALUE"""),0.0)</f>
        <v>0</v>
      </c>
      <c r="R40" s="3">
        <f>IFERROR(__xludf.DUMMYFUNCTION("""COMPUTED_VALUE"""),0.0)</f>
        <v>0</v>
      </c>
      <c r="S40" s="3">
        <f>IFERROR(__xludf.DUMMYFUNCTION("""COMPUTED_VALUE"""),0.0)</f>
        <v>0</v>
      </c>
      <c r="T40" s="3">
        <f>IFERROR(__xludf.DUMMYFUNCTION("""COMPUTED_VALUE"""),0.0)</f>
        <v>0</v>
      </c>
      <c r="U40" s="3">
        <f>IFERROR(__xludf.DUMMYFUNCTION("""COMPUTED_VALUE"""),0.0)</f>
        <v>0</v>
      </c>
      <c r="V40" s="3">
        <f>IFERROR(__xludf.DUMMYFUNCTION("""COMPUTED_VALUE"""),0.0)</f>
        <v>0</v>
      </c>
      <c r="W40" s="3">
        <f>IFERROR(__xludf.DUMMYFUNCTION("""COMPUTED_VALUE"""),0.0)</f>
        <v>0</v>
      </c>
      <c r="X40" s="3">
        <f>IFERROR(__xludf.DUMMYFUNCTION("""COMPUTED_VALUE"""),0.0)</f>
        <v>0</v>
      </c>
      <c r="Y40" s="3">
        <f>IFERROR(__xludf.DUMMYFUNCTION("""COMPUTED_VALUE"""),0.0)</f>
        <v>0</v>
      </c>
      <c r="Z40" s="3">
        <f>IFERROR(__xludf.DUMMYFUNCTION("""COMPUTED_VALUE"""),0.0)</f>
        <v>0</v>
      </c>
      <c r="AA40" s="3">
        <f>IFERROR(__xludf.DUMMYFUNCTION("""COMPUTED_VALUE"""),0.0)</f>
        <v>0</v>
      </c>
      <c r="AB40" s="3">
        <f>IFERROR(__xludf.DUMMYFUNCTION("""COMPUTED_VALUE"""),0.0)</f>
        <v>0</v>
      </c>
      <c r="AC40" s="3">
        <f>IFERROR(__xludf.DUMMYFUNCTION("""COMPUTED_VALUE"""),0.0)</f>
        <v>0</v>
      </c>
      <c r="AD40" s="3">
        <f>IFERROR(__xludf.DUMMYFUNCTION("""COMPUTED_VALUE"""),0.0)</f>
        <v>0</v>
      </c>
      <c r="AE40" s="3">
        <f>IFERROR(__xludf.DUMMYFUNCTION("""COMPUTED_VALUE"""),0.0)</f>
        <v>0</v>
      </c>
      <c r="AF40" s="3">
        <f>IFERROR(__xludf.DUMMYFUNCTION("""COMPUTED_VALUE"""),0.0)</f>
        <v>0</v>
      </c>
      <c r="AG40" s="3">
        <f>IFERROR(__xludf.DUMMYFUNCTION("""COMPUTED_VALUE"""),0.0)</f>
        <v>0</v>
      </c>
      <c r="AH40" s="3">
        <f>IFERROR(__xludf.DUMMYFUNCTION("""COMPUTED_VALUE"""),0.0)</f>
        <v>0</v>
      </c>
      <c r="AI40" s="3">
        <f>IFERROR(__xludf.DUMMYFUNCTION("""COMPUTED_VALUE"""),0.0)</f>
        <v>0</v>
      </c>
      <c r="AJ40" s="3">
        <f>IFERROR(__xludf.DUMMYFUNCTION("""COMPUTED_VALUE"""),0.0)</f>
        <v>0</v>
      </c>
      <c r="AK40" s="3">
        <f>IFERROR(__xludf.DUMMYFUNCTION("""COMPUTED_VALUE"""),0.0)</f>
        <v>0</v>
      </c>
      <c r="AL40" s="3">
        <f>IFERROR(__xludf.DUMMYFUNCTION("""COMPUTED_VALUE"""),0.0)</f>
        <v>0</v>
      </c>
      <c r="AM40" s="3">
        <f>IFERROR(__xludf.DUMMYFUNCTION("""COMPUTED_VALUE"""),0.0)</f>
        <v>0</v>
      </c>
      <c r="AN40" s="3">
        <f>IFERROR(__xludf.DUMMYFUNCTION("""COMPUTED_VALUE"""),0.0)</f>
        <v>0</v>
      </c>
      <c r="AO40" s="3">
        <f>IFERROR(__xludf.DUMMYFUNCTION("""COMPUTED_VALUE"""),0.0)</f>
        <v>0</v>
      </c>
      <c r="AP40" s="3">
        <f>IFERROR(__xludf.DUMMYFUNCTION("""COMPUTED_VALUE"""),0.0)</f>
        <v>0</v>
      </c>
      <c r="AQ40" s="3">
        <f>IFERROR(__xludf.DUMMYFUNCTION("""COMPUTED_VALUE"""),0.0)</f>
        <v>0</v>
      </c>
      <c r="AR40" s="3">
        <f>IFERROR(__xludf.DUMMYFUNCTION("""COMPUTED_VALUE"""),0.0)</f>
        <v>0</v>
      </c>
      <c r="AS40" s="3">
        <f>IFERROR(__xludf.DUMMYFUNCTION("""COMPUTED_VALUE"""),0.0)</f>
        <v>0</v>
      </c>
      <c r="AT40" s="3">
        <f>IFERROR(__xludf.DUMMYFUNCTION("""COMPUTED_VALUE"""),0.0)</f>
        <v>0</v>
      </c>
      <c r="AU40" s="3">
        <f>IFERROR(__xludf.DUMMYFUNCTION("""COMPUTED_VALUE"""),0.0)</f>
        <v>0</v>
      </c>
      <c r="AV40" s="3">
        <f>IFERROR(__xludf.DUMMYFUNCTION("""COMPUTED_VALUE"""),0.0)</f>
        <v>0</v>
      </c>
      <c r="AW40" s="3">
        <f>IFERROR(__xludf.DUMMYFUNCTION("""COMPUTED_VALUE"""),0.0)</f>
        <v>0</v>
      </c>
      <c r="AX40" s="3">
        <f>IFERROR(__xludf.DUMMYFUNCTION("""COMPUTED_VALUE"""),0.0)</f>
        <v>0</v>
      </c>
      <c r="AY40" s="3">
        <f>IFERROR(__xludf.DUMMYFUNCTION("""COMPUTED_VALUE"""),0.0)</f>
        <v>0</v>
      </c>
      <c r="AZ40" s="3">
        <f>IFERROR(__xludf.DUMMYFUNCTION("""COMPUTED_VALUE"""),0.0)</f>
        <v>0</v>
      </c>
      <c r="BA40" s="3">
        <f>IFERROR(__xludf.DUMMYFUNCTION("""COMPUTED_VALUE"""),0.0)</f>
        <v>0</v>
      </c>
      <c r="BB40" s="3">
        <f>IFERROR(__xludf.DUMMYFUNCTION("""COMPUTED_VALUE"""),0.0)</f>
        <v>0</v>
      </c>
      <c r="BC40" s="3">
        <f>IFERROR(__xludf.DUMMYFUNCTION("""COMPUTED_VALUE"""),0.0)</f>
        <v>0</v>
      </c>
      <c r="BD40" s="3">
        <f>IFERROR(__xludf.DUMMYFUNCTION("""COMPUTED_VALUE"""),0.0)</f>
        <v>0</v>
      </c>
      <c r="BE40" s="3">
        <f>IFERROR(__xludf.DUMMYFUNCTION("""COMPUTED_VALUE"""),0.0)</f>
        <v>0</v>
      </c>
      <c r="BF40" s="3">
        <f>IFERROR(__xludf.DUMMYFUNCTION("""COMPUTED_VALUE"""),0.0)</f>
        <v>0</v>
      </c>
      <c r="BG40" s="3">
        <f>IFERROR(__xludf.DUMMYFUNCTION("""COMPUTED_VALUE"""),0.0)</f>
        <v>0</v>
      </c>
      <c r="BH40" s="3">
        <f>IFERROR(__xludf.DUMMYFUNCTION("""COMPUTED_VALUE"""),0.0)</f>
        <v>0</v>
      </c>
      <c r="BI40" s="3">
        <f>IFERROR(__xludf.DUMMYFUNCTION("""COMPUTED_VALUE"""),0.0)</f>
        <v>0</v>
      </c>
      <c r="BJ40" s="3">
        <f>IFERROR(__xludf.DUMMYFUNCTION("""COMPUTED_VALUE"""),0.0)</f>
        <v>0</v>
      </c>
      <c r="BK40" s="3">
        <f>IFERROR(__xludf.DUMMYFUNCTION("""COMPUTED_VALUE"""),0.0)</f>
        <v>0</v>
      </c>
      <c r="BL40" s="3">
        <f>IFERROR(__xludf.DUMMYFUNCTION("""COMPUTED_VALUE"""),0.0)</f>
        <v>0</v>
      </c>
      <c r="BM40" s="3">
        <f>IFERROR(__xludf.DUMMYFUNCTION("""COMPUTED_VALUE"""),0.0)</f>
        <v>0</v>
      </c>
      <c r="BN40" s="3">
        <f>IFERROR(__xludf.DUMMYFUNCTION("""COMPUTED_VALUE"""),0.0)</f>
        <v>0</v>
      </c>
      <c r="BO40" s="3">
        <f>IFERROR(__xludf.DUMMYFUNCTION("""COMPUTED_VALUE"""),0.0)</f>
        <v>0</v>
      </c>
      <c r="BP40" s="3">
        <f>IFERROR(__xludf.DUMMYFUNCTION("""COMPUTED_VALUE"""),0.0)</f>
        <v>0</v>
      </c>
      <c r="BQ40" s="3">
        <f>IFERROR(__xludf.DUMMYFUNCTION("""COMPUTED_VALUE"""),0.0)</f>
        <v>0</v>
      </c>
      <c r="BR40" s="3">
        <f>IFERROR(__xludf.DUMMYFUNCTION("""COMPUTED_VALUE"""),1.0)</f>
        <v>1</v>
      </c>
      <c r="BS40" s="3">
        <f>IFERROR(__xludf.DUMMYFUNCTION("""COMPUTED_VALUE"""),1.0)</f>
        <v>1</v>
      </c>
      <c r="BT40" s="3">
        <f>IFERROR(__xludf.DUMMYFUNCTION("""COMPUTED_VALUE"""),1.0)</f>
        <v>1</v>
      </c>
      <c r="BU40" s="3">
        <f>IFERROR(__xludf.DUMMYFUNCTION("""COMPUTED_VALUE"""),1.0)</f>
        <v>1</v>
      </c>
      <c r="BV40" s="3">
        <f>IFERROR(__xludf.DUMMYFUNCTION("""COMPUTED_VALUE"""),1.0)</f>
        <v>1</v>
      </c>
      <c r="BW40" s="3">
        <f>IFERROR(__xludf.DUMMYFUNCTION("""COMPUTED_VALUE"""),1.0)</f>
        <v>1</v>
      </c>
      <c r="BX40" s="3">
        <f>IFERROR(__xludf.DUMMYFUNCTION("""COMPUTED_VALUE"""),1.0)</f>
        <v>1</v>
      </c>
      <c r="BY40" s="3">
        <f>IFERROR(__xludf.DUMMYFUNCTION("""COMPUTED_VALUE"""),2.0)</f>
        <v>2</v>
      </c>
      <c r="BZ40" s="3">
        <f>IFERROR(__xludf.DUMMYFUNCTION("""COMPUTED_VALUE"""),2.0)</f>
        <v>2</v>
      </c>
      <c r="CA40" s="3">
        <f>IFERROR(__xludf.DUMMYFUNCTION("""COMPUTED_VALUE"""),2.0)</f>
        <v>2</v>
      </c>
      <c r="CB40" s="3">
        <f>IFERROR(__xludf.DUMMYFUNCTION("""COMPUTED_VALUE"""),2.0)</f>
        <v>2</v>
      </c>
    </row>
    <row r="41">
      <c r="A41" s="3" t="str">
        <f>IFERROR(__xludf.DUMMYFUNCTION("""COMPUTED_VALUE"""),"New Brunswick")</f>
        <v>New Brunswick</v>
      </c>
      <c r="B41" s="3" t="str">
        <f>IFERROR(__xludf.DUMMYFUNCTION("""COMPUTED_VALUE"""),"Canada")</f>
        <v>Canada</v>
      </c>
      <c r="C41" s="3">
        <f>IFERROR(__xludf.DUMMYFUNCTION("""COMPUTED_VALUE"""),46.5653)</f>
        <v>46.5653</v>
      </c>
      <c r="D41" s="3">
        <f>IFERROR(__xludf.DUMMYFUNCTION("""COMPUTED_VALUE"""),-66.4619)</f>
        <v>-66.4619</v>
      </c>
      <c r="E41" s="3">
        <f>IFERROR(__xludf.DUMMYFUNCTION("""COMPUTED_VALUE"""),0.0)</f>
        <v>0</v>
      </c>
      <c r="F41" s="3">
        <f>IFERROR(__xludf.DUMMYFUNCTION("""COMPUTED_VALUE"""),0.0)</f>
        <v>0</v>
      </c>
      <c r="G41" s="3">
        <f>IFERROR(__xludf.DUMMYFUNCTION("""COMPUTED_VALUE"""),0.0)</f>
        <v>0</v>
      </c>
      <c r="H41" s="3">
        <f>IFERROR(__xludf.DUMMYFUNCTION("""COMPUTED_VALUE"""),0.0)</f>
        <v>0</v>
      </c>
      <c r="I41" s="3">
        <f>IFERROR(__xludf.DUMMYFUNCTION("""COMPUTED_VALUE"""),0.0)</f>
        <v>0</v>
      </c>
      <c r="J41" s="3">
        <f>IFERROR(__xludf.DUMMYFUNCTION("""COMPUTED_VALUE"""),0.0)</f>
        <v>0</v>
      </c>
      <c r="K41" s="3">
        <f>IFERROR(__xludf.DUMMYFUNCTION("""COMPUTED_VALUE"""),0.0)</f>
        <v>0</v>
      </c>
      <c r="L41" s="3">
        <f>IFERROR(__xludf.DUMMYFUNCTION("""COMPUTED_VALUE"""),0.0)</f>
        <v>0</v>
      </c>
      <c r="M41" s="3">
        <f>IFERROR(__xludf.DUMMYFUNCTION("""COMPUTED_VALUE"""),0.0)</f>
        <v>0</v>
      </c>
      <c r="N41" s="3">
        <f>IFERROR(__xludf.DUMMYFUNCTION("""COMPUTED_VALUE"""),0.0)</f>
        <v>0</v>
      </c>
      <c r="O41" s="3">
        <f>IFERROR(__xludf.DUMMYFUNCTION("""COMPUTED_VALUE"""),0.0)</f>
        <v>0</v>
      </c>
      <c r="P41" s="3">
        <f>IFERROR(__xludf.DUMMYFUNCTION("""COMPUTED_VALUE"""),0.0)</f>
        <v>0</v>
      </c>
      <c r="Q41" s="3">
        <f>IFERROR(__xludf.DUMMYFUNCTION("""COMPUTED_VALUE"""),0.0)</f>
        <v>0</v>
      </c>
      <c r="R41" s="3">
        <f>IFERROR(__xludf.DUMMYFUNCTION("""COMPUTED_VALUE"""),0.0)</f>
        <v>0</v>
      </c>
      <c r="S41" s="3">
        <f>IFERROR(__xludf.DUMMYFUNCTION("""COMPUTED_VALUE"""),0.0)</f>
        <v>0</v>
      </c>
      <c r="T41" s="3">
        <f>IFERROR(__xludf.DUMMYFUNCTION("""COMPUTED_VALUE"""),0.0)</f>
        <v>0</v>
      </c>
      <c r="U41" s="3">
        <f>IFERROR(__xludf.DUMMYFUNCTION("""COMPUTED_VALUE"""),0.0)</f>
        <v>0</v>
      </c>
      <c r="V41" s="3">
        <f>IFERROR(__xludf.DUMMYFUNCTION("""COMPUTED_VALUE"""),0.0)</f>
        <v>0</v>
      </c>
      <c r="W41" s="3">
        <f>IFERROR(__xludf.DUMMYFUNCTION("""COMPUTED_VALUE"""),0.0)</f>
        <v>0</v>
      </c>
      <c r="X41" s="3">
        <f>IFERROR(__xludf.DUMMYFUNCTION("""COMPUTED_VALUE"""),0.0)</f>
        <v>0</v>
      </c>
      <c r="Y41" s="3">
        <f>IFERROR(__xludf.DUMMYFUNCTION("""COMPUTED_VALUE"""),0.0)</f>
        <v>0</v>
      </c>
      <c r="Z41" s="3">
        <f>IFERROR(__xludf.DUMMYFUNCTION("""COMPUTED_VALUE"""),0.0)</f>
        <v>0</v>
      </c>
      <c r="AA41" s="3">
        <f>IFERROR(__xludf.DUMMYFUNCTION("""COMPUTED_VALUE"""),0.0)</f>
        <v>0</v>
      </c>
      <c r="AB41" s="3">
        <f>IFERROR(__xludf.DUMMYFUNCTION("""COMPUTED_VALUE"""),0.0)</f>
        <v>0</v>
      </c>
      <c r="AC41" s="3">
        <f>IFERROR(__xludf.DUMMYFUNCTION("""COMPUTED_VALUE"""),0.0)</f>
        <v>0</v>
      </c>
      <c r="AD41" s="3">
        <f>IFERROR(__xludf.DUMMYFUNCTION("""COMPUTED_VALUE"""),0.0)</f>
        <v>0</v>
      </c>
      <c r="AE41" s="3">
        <f>IFERROR(__xludf.DUMMYFUNCTION("""COMPUTED_VALUE"""),0.0)</f>
        <v>0</v>
      </c>
      <c r="AF41" s="3">
        <f>IFERROR(__xludf.DUMMYFUNCTION("""COMPUTED_VALUE"""),0.0)</f>
        <v>0</v>
      </c>
      <c r="AG41" s="3">
        <f>IFERROR(__xludf.DUMMYFUNCTION("""COMPUTED_VALUE"""),0.0)</f>
        <v>0</v>
      </c>
      <c r="AH41" s="3">
        <f>IFERROR(__xludf.DUMMYFUNCTION("""COMPUTED_VALUE"""),0.0)</f>
        <v>0</v>
      </c>
      <c r="AI41" s="3">
        <f>IFERROR(__xludf.DUMMYFUNCTION("""COMPUTED_VALUE"""),0.0)</f>
        <v>0</v>
      </c>
      <c r="AJ41" s="3">
        <f>IFERROR(__xludf.DUMMYFUNCTION("""COMPUTED_VALUE"""),0.0)</f>
        <v>0</v>
      </c>
      <c r="AK41" s="3">
        <f>IFERROR(__xludf.DUMMYFUNCTION("""COMPUTED_VALUE"""),0.0)</f>
        <v>0</v>
      </c>
      <c r="AL41" s="3">
        <f>IFERROR(__xludf.DUMMYFUNCTION("""COMPUTED_VALUE"""),0.0)</f>
        <v>0</v>
      </c>
      <c r="AM41" s="3">
        <f>IFERROR(__xludf.DUMMYFUNCTION("""COMPUTED_VALUE"""),0.0)</f>
        <v>0</v>
      </c>
      <c r="AN41" s="3">
        <f>IFERROR(__xludf.DUMMYFUNCTION("""COMPUTED_VALUE"""),0.0)</f>
        <v>0</v>
      </c>
      <c r="AO41" s="3">
        <f>IFERROR(__xludf.DUMMYFUNCTION("""COMPUTED_VALUE"""),0.0)</f>
        <v>0</v>
      </c>
      <c r="AP41" s="3">
        <f>IFERROR(__xludf.DUMMYFUNCTION("""COMPUTED_VALUE"""),0.0)</f>
        <v>0</v>
      </c>
      <c r="AQ41" s="3">
        <f>IFERROR(__xludf.DUMMYFUNCTION("""COMPUTED_VALUE"""),0.0)</f>
        <v>0</v>
      </c>
      <c r="AR41" s="3">
        <f>IFERROR(__xludf.DUMMYFUNCTION("""COMPUTED_VALUE"""),0.0)</f>
        <v>0</v>
      </c>
      <c r="AS41" s="3">
        <f>IFERROR(__xludf.DUMMYFUNCTION("""COMPUTED_VALUE"""),0.0)</f>
        <v>0</v>
      </c>
      <c r="AT41" s="3">
        <f>IFERROR(__xludf.DUMMYFUNCTION("""COMPUTED_VALUE"""),0.0)</f>
        <v>0</v>
      </c>
      <c r="AU41" s="3">
        <f>IFERROR(__xludf.DUMMYFUNCTION("""COMPUTED_VALUE"""),0.0)</f>
        <v>0</v>
      </c>
      <c r="AV41" s="3">
        <f>IFERROR(__xludf.DUMMYFUNCTION("""COMPUTED_VALUE"""),0.0)</f>
        <v>0</v>
      </c>
      <c r="AW41" s="3">
        <f>IFERROR(__xludf.DUMMYFUNCTION("""COMPUTED_VALUE"""),0.0)</f>
        <v>0</v>
      </c>
      <c r="AX41" s="3">
        <f>IFERROR(__xludf.DUMMYFUNCTION("""COMPUTED_VALUE"""),0.0)</f>
        <v>0</v>
      </c>
      <c r="AY41" s="3">
        <f>IFERROR(__xludf.DUMMYFUNCTION("""COMPUTED_VALUE"""),0.0)</f>
        <v>0</v>
      </c>
      <c r="AZ41" s="3">
        <f>IFERROR(__xludf.DUMMYFUNCTION("""COMPUTED_VALUE"""),0.0)</f>
        <v>0</v>
      </c>
      <c r="BA41" s="3">
        <f>IFERROR(__xludf.DUMMYFUNCTION("""COMPUTED_VALUE"""),0.0)</f>
        <v>0</v>
      </c>
      <c r="BB41" s="3">
        <f>IFERROR(__xludf.DUMMYFUNCTION("""COMPUTED_VALUE"""),0.0)</f>
        <v>0</v>
      </c>
      <c r="BC41" s="3">
        <f>IFERROR(__xludf.DUMMYFUNCTION("""COMPUTED_VALUE"""),0.0)</f>
        <v>0</v>
      </c>
      <c r="BD41" s="3">
        <f>IFERROR(__xludf.DUMMYFUNCTION("""COMPUTED_VALUE"""),0.0)</f>
        <v>0</v>
      </c>
      <c r="BE41" s="3">
        <f>IFERROR(__xludf.DUMMYFUNCTION("""COMPUTED_VALUE"""),0.0)</f>
        <v>0</v>
      </c>
      <c r="BF41" s="3">
        <f>IFERROR(__xludf.DUMMYFUNCTION("""COMPUTED_VALUE"""),0.0)</f>
        <v>0</v>
      </c>
      <c r="BG41" s="3">
        <f>IFERROR(__xludf.DUMMYFUNCTION("""COMPUTED_VALUE"""),0.0)</f>
        <v>0</v>
      </c>
      <c r="BH41" s="3">
        <f>IFERROR(__xludf.DUMMYFUNCTION("""COMPUTED_VALUE"""),0.0)</f>
        <v>0</v>
      </c>
      <c r="BI41" s="3">
        <f>IFERROR(__xludf.DUMMYFUNCTION("""COMPUTED_VALUE"""),0.0)</f>
        <v>0</v>
      </c>
      <c r="BJ41" s="3">
        <f>IFERROR(__xludf.DUMMYFUNCTION("""COMPUTED_VALUE"""),0.0)</f>
        <v>0</v>
      </c>
      <c r="BK41" s="3">
        <f>IFERROR(__xludf.DUMMYFUNCTION("""COMPUTED_VALUE"""),0.0)</f>
        <v>0</v>
      </c>
      <c r="BL41" s="3">
        <f>IFERROR(__xludf.DUMMYFUNCTION("""COMPUTED_VALUE"""),0.0)</f>
        <v>0</v>
      </c>
      <c r="BM41" s="3">
        <f>IFERROR(__xludf.DUMMYFUNCTION("""COMPUTED_VALUE"""),0.0)</f>
        <v>0</v>
      </c>
      <c r="BN41" s="3">
        <f>IFERROR(__xludf.DUMMYFUNCTION("""COMPUTED_VALUE"""),0.0)</f>
        <v>0</v>
      </c>
      <c r="BO41" s="3">
        <f>IFERROR(__xludf.DUMMYFUNCTION("""COMPUTED_VALUE"""),0.0)</f>
        <v>0</v>
      </c>
      <c r="BP41" s="3">
        <f>IFERROR(__xludf.DUMMYFUNCTION("""COMPUTED_VALUE"""),0.0)</f>
        <v>0</v>
      </c>
      <c r="BQ41" s="3">
        <f>IFERROR(__xludf.DUMMYFUNCTION("""COMPUTED_VALUE"""),0.0)</f>
        <v>0</v>
      </c>
      <c r="BR41" s="3">
        <f>IFERROR(__xludf.DUMMYFUNCTION("""COMPUTED_VALUE"""),0.0)</f>
        <v>0</v>
      </c>
      <c r="BS41" s="3">
        <f>IFERROR(__xludf.DUMMYFUNCTION("""COMPUTED_VALUE"""),0.0)</f>
        <v>0</v>
      </c>
      <c r="BT41" s="3">
        <f>IFERROR(__xludf.DUMMYFUNCTION("""COMPUTED_VALUE"""),0.0)</f>
        <v>0</v>
      </c>
      <c r="BU41" s="3">
        <f>IFERROR(__xludf.DUMMYFUNCTION("""COMPUTED_VALUE"""),0.0)</f>
        <v>0</v>
      </c>
      <c r="BV41" s="3">
        <f>IFERROR(__xludf.DUMMYFUNCTION("""COMPUTED_VALUE"""),0.0)</f>
        <v>0</v>
      </c>
      <c r="BW41" s="3">
        <f>IFERROR(__xludf.DUMMYFUNCTION("""COMPUTED_VALUE"""),0.0)</f>
        <v>0</v>
      </c>
      <c r="BX41" s="3">
        <f>IFERROR(__xludf.DUMMYFUNCTION("""COMPUTED_VALUE"""),0.0)</f>
        <v>0</v>
      </c>
      <c r="BY41" s="3">
        <f>IFERROR(__xludf.DUMMYFUNCTION("""COMPUTED_VALUE"""),0.0)</f>
        <v>0</v>
      </c>
      <c r="BZ41" s="3">
        <f>IFERROR(__xludf.DUMMYFUNCTION("""COMPUTED_VALUE"""),0.0)</f>
        <v>0</v>
      </c>
      <c r="CA41" s="3">
        <f>IFERROR(__xludf.DUMMYFUNCTION("""COMPUTED_VALUE"""),0.0)</f>
        <v>0</v>
      </c>
      <c r="CB41" s="3">
        <f>IFERROR(__xludf.DUMMYFUNCTION("""COMPUTED_VALUE"""),0.0)</f>
        <v>0</v>
      </c>
    </row>
    <row r="42">
      <c r="A42" s="3" t="str">
        <f>IFERROR(__xludf.DUMMYFUNCTION("""COMPUTED_VALUE"""),"Newfoundland and Labrador")</f>
        <v>Newfoundland and Labrador</v>
      </c>
      <c r="B42" s="3" t="str">
        <f>IFERROR(__xludf.DUMMYFUNCTION("""COMPUTED_VALUE"""),"Canada")</f>
        <v>Canada</v>
      </c>
      <c r="C42" s="3">
        <f>IFERROR(__xludf.DUMMYFUNCTION("""COMPUTED_VALUE"""),53.1355)</f>
        <v>53.1355</v>
      </c>
      <c r="D42" s="3">
        <f>IFERROR(__xludf.DUMMYFUNCTION("""COMPUTED_VALUE"""),-57.6604)</f>
        <v>-57.6604</v>
      </c>
      <c r="E42" s="3">
        <f>IFERROR(__xludf.DUMMYFUNCTION("""COMPUTED_VALUE"""),0.0)</f>
        <v>0</v>
      </c>
      <c r="F42" s="3">
        <f>IFERROR(__xludf.DUMMYFUNCTION("""COMPUTED_VALUE"""),0.0)</f>
        <v>0</v>
      </c>
      <c r="G42" s="3">
        <f>IFERROR(__xludf.DUMMYFUNCTION("""COMPUTED_VALUE"""),0.0)</f>
        <v>0</v>
      </c>
      <c r="H42" s="3">
        <f>IFERROR(__xludf.DUMMYFUNCTION("""COMPUTED_VALUE"""),0.0)</f>
        <v>0</v>
      </c>
      <c r="I42" s="3">
        <f>IFERROR(__xludf.DUMMYFUNCTION("""COMPUTED_VALUE"""),0.0)</f>
        <v>0</v>
      </c>
      <c r="J42" s="3">
        <f>IFERROR(__xludf.DUMMYFUNCTION("""COMPUTED_VALUE"""),0.0)</f>
        <v>0</v>
      </c>
      <c r="K42" s="3">
        <f>IFERROR(__xludf.DUMMYFUNCTION("""COMPUTED_VALUE"""),0.0)</f>
        <v>0</v>
      </c>
      <c r="L42" s="3">
        <f>IFERROR(__xludf.DUMMYFUNCTION("""COMPUTED_VALUE"""),0.0)</f>
        <v>0</v>
      </c>
      <c r="M42" s="3">
        <f>IFERROR(__xludf.DUMMYFUNCTION("""COMPUTED_VALUE"""),0.0)</f>
        <v>0</v>
      </c>
      <c r="N42" s="3">
        <f>IFERROR(__xludf.DUMMYFUNCTION("""COMPUTED_VALUE"""),0.0)</f>
        <v>0</v>
      </c>
      <c r="O42" s="3">
        <f>IFERROR(__xludf.DUMMYFUNCTION("""COMPUTED_VALUE"""),0.0)</f>
        <v>0</v>
      </c>
      <c r="P42" s="3">
        <f>IFERROR(__xludf.DUMMYFUNCTION("""COMPUTED_VALUE"""),0.0)</f>
        <v>0</v>
      </c>
      <c r="Q42" s="3">
        <f>IFERROR(__xludf.DUMMYFUNCTION("""COMPUTED_VALUE"""),0.0)</f>
        <v>0</v>
      </c>
      <c r="R42" s="3">
        <f>IFERROR(__xludf.DUMMYFUNCTION("""COMPUTED_VALUE"""),0.0)</f>
        <v>0</v>
      </c>
      <c r="S42" s="3">
        <f>IFERROR(__xludf.DUMMYFUNCTION("""COMPUTED_VALUE"""),0.0)</f>
        <v>0</v>
      </c>
      <c r="T42" s="3">
        <f>IFERROR(__xludf.DUMMYFUNCTION("""COMPUTED_VALUE"""),0.0)</f>
        <v>0</v>
      </c>
      <c r="U42" s="3">
        <f>IFERROR(__xludf.DUMMYFUNCTION("""COMPUTED_VALUE"""),0.0)</f>
        <v>0</v>
      </c>
      <c r="V42" s="3">
        <f>IFERROR(__xludf.DUMMYFUNCTION("""COMPUTED_VALUE"""),0.0)</f>
        <v>0</v>
      </c>
      <c r="W42" s="3">
        <f>IFERROR(__xludf.DUMMYFUNCTION("""COMPUTED_VALUE"""),0.0)</f>
        <v>0</v>
      </c>
      <c r="X42" s="3">
        <f>IFERROR(__xludf.DUMMYFUNCTION("""COMPUTED_VALUE"""),0.0)</f>
        <v>0</v>
      </c>
      <c r="Y42" s="3">
        <f>IFERROR(__xludf.DUMMYFUNCTION("""COMPUTED_VALUE"""),0.0)</f>
        <v>0</v>
      </c>
      <c r="Z42" s="3">
        <f>IFERROR(__xludf.DUMMYFUNCTION("""COMPUTED_VALUE"""),0.0)</f>
        <v>0</v>
      </c>
      <c r="AA42" s="3">
        <f>IFERROR(__xludf.DUMMYFUNCTION("""COMPUTED_VALUE"""),0.0)</f>
        <v>0</v>
      </c>
      <c r="AB42" s="3">
        <f>IFERROR(__xludf.DUMMYFUNCTION("""COMPUTED_VALUE"""),0.0)</f>
        <v>0</v>
      </c>
      <c r="AC42" s="3">
        <f>IFERROR(__xludf.DUMMYFUNCTION("""COMPUTED_VALUE"""),0.0)</f>
        <v>0</v>
      </c>
      <c r="AD42" s="3">
        <f>IFERROR(__xludf.DUMMYFUNCTION("""COMPUTED_VALUE"""),0.0)</f>
        <v>0</v>
      </c>
      <c r="AE42" s="3">
        <f>IFERROR(__xludf.DUMMYFUNCTION("""COMPUTED_VALUE"""),0.0)</f>
        <v>0</v>
      </c>
      <c r="AF42" s="3">
        <f>IFERROR(__xludf.DUMMYFUNCTION("""COMPUTED_VALUE"""),0.0)</f>
        <v>0</v>
      </c>
      <c r="AG42" s="3">
        <f>IFERROR(__xludf.DUMMYFUNCTION("""COMPUTED_VALUE"""),0.0)</f>
        <v>0</v>
      </c>
      <c r="AH42" s="3">
        <f>IFERROR(__xludf.DUMMYFUNCTION("""COMPUTED_VALUE"""),0.0)</f>
        <v>0</v>
      </c>
      <c r="AI42" s="3">
        <f>IFERROR(__xludf.DUMMYFUNCTION("""COMPUTED_VALUE"""),0.0)</f>
        <v>0</v>
      </c>
      <c r="AJ42" s="3">
        <f>IFERROR(__xludf.DUMMYFUNCTION("""COMPUTED_VALUE"""),0.0)</f>
        <v>0</v>
      </c>
      <c r="AK42" s="3">
        <f>IFERROR(__xludf.DUMMYFUNCTION("""COMPUTED_VALUE"""),0.0)</f>
        <v>0</v>
      </c>
      <c r="AL42" s="3">
        <f>IFERROR(__xludf.DUMMYFUNCTION("""COMPUTED_VALUE"""),0.0)</f>
        <v>0</v>
      </c>
      <c r="AM42" s="3">
        <f>IFERROR(__xludf.DUMMYFUNCTION("""COMPUTED_VALUE"""),0.0)</f>
        <v>0</v>
      </c>
      <c r="AN42" s="3">
        <f>IFERROR(__xludf.DUMMYFUNCTION("""COMPUTED_VALUE"""),0.0)</f>
        <v>0</v>
      </c>
      <c r="AO42" s="3">
        <f>IFERROR(__xludf.DUMMYFUNCTION("""COMPUTED_VALUE"""),0.0)</f>
        <v>0</v>
      </c>
      <c r="AP42" s="3">
        <f>IFERROR(__xludf.DUMMYFUNCTION("""COMPUTED_VALUE"""),0.0)</f>
        <v>0</v>
      </c>
      <c r="AQ42" s="3">
        <f>IFERROR(__xludf.DUMMYFUNCTION("""COMPUTED_VALUE"""),0.0)</f>
        <v>0</v>
      </c>
      <c r="AR42" s="3">
        <f>IFERROR(__xludf.DUMMYFUNCTION("""COMPUTED_VALUE"""),0.0)</f>
        <v>0</v>
      </c>
      <c r="AS42" s="3">
        <f>IFERROR(__xludf.DUMMYFUNCTION("""COMPUTED_VALUE"""),0.0)</f>
        <v>0</v>
      </c>
      <c r="AT42" s="3">
        <f>IFERROR(__xludf.DUMMYFUNCTION("""COMPUTED_VALUE"""),0.0)</f>
        <v>0</v>
      </c>
      <c r="AU42" s="3">
        <f>IFERROR(__xludf.DUMMYFUNCTION("""COMPUTED_VALUE"""),0.0)</f>
        <v>0</v>
      </c>
      <c r="AV42" s="3">
        <f>IFERROR(__xludf.DUMMYFUNCTION("""COMPUTED_VALUE"""),0.0)</f>
        <v>0</v>
      </c>
      <c r="AW42" s="3">
        <f>IFERROR(__xludf.DUMMYFUNCTION("""COMPUTED_VALUE"""),0.0)</f>
        <v>0</v>
      </c>
      <c r="AX42" s="3">
        <f>IFERROR(__xludf.DUMMYFUNCTION("""COMPUTED_VALUE"""),0.0)</f>
        <v>0</v>
      </c>
      <c r="AY42" s="3">
        <f>IFERROR(__xludf.DUMMYFUNCTION("""COMPUTED_VALUE"""),0.0)</f>
        <v>0</v>
      </c>
      <c r="AZ42" s="3">
        <f>IFERROR(__xludf.DUMMYFUNCTION("""COMPUTED_VALUE"""),0.0)</f>
        <v>0</v>
      </c>
      <c r="BA42" s="3">
        <f>IFERROR(__xludf.DUMMYFUNCTION("""COMPUTED_VALUE"""),0.0)</f>
        <v>0</v>
      </c>
      <c r="BB42" s="3">
        <f>IFERROR(__xludf.DUMMYFUNCTION("""COMPUTED_VALUE"""),0.0)</f>
        <v>0</v>
      </c>
      <c r="BC42" s="3">
        <f>IFERROR(__xludf.DUMMYFUNCTION("""COMPUTED_VALUE"""),0.0)</f>
        <v>0</v>
      </c>
      <c r="BD42" s="3">
        <f>IFERROR(__xludf.DUMMYFUNCTION("""COMPUTED_VALUE"""),0.0)</f>
        <v>0</v>
      </c>
      <c r="BE42" s="3">
        <f>IFERROR(__xludf.DUMMYFUNCTION("""COMPUTED_VALUE"""),0.0)</f>
        <v>0</v>
      </c>
      <c r="BF42" s="3">
        <f>IFERROR(__xludf.DUMMYFUNCTION("""COMPUTED_VALUE"""),0.0)</f>
        <v>0</v>
      </c>
      <c r="BG42" s="3">
        <f>IFERROR(__xludf.DUMMYFUNCTION("""COMPUTED_VALUE"""),0.0)</f>
        <v>0</v>
      </c>
      <c r="BH42" s="3">
        <f>IFERROR(__xludf.DUMMYFUNCTION("""COMPUTED_VALUE"""),0.0)</f>
        <v>0</v>
      </c>
      <c r="BI42" s="3">
        <f>IFERROR(__xludf.DUMMYFUNCTION("""COMPUTED_VALUE"""),0.0)</f>
        <v>0</v>
      </c>
      <c r="BJ42" s="3">
        <f>IFERROR(__xludf.DUMMYFUNCTION("""COMPUTED_VALUE"""),0.0)</f>
        <v>0</v>
      </c>
      <c r="BK42" s="3">
        <f>IFERROR(__xludf.DUMMYFUNCTION("""COMPUTED_VALUE"""),0.0)</f>
        <v>0</v>
      </c>
      <c r="BL42" s="3">
        <f>IFERROR(__xludf.DUMMYFUNCTION("""COMPUTED_VALUE"""),0.0)</f>
        <v>0</v>
      </c>
      <c r="BM42" s="3">
        <f>IFERROR(__xludf.DUMMYFUNCTION("""COMPUTED_VALUE"""),0.0)</f>
        <v>0</v>
      </c>
      <c r="BN42" s="3">
        <f>IFERROR(__xludf.DUMMYFUNCTION("""COMPUTED_VALUE"""),0.0)</f>
        <v>0</v>
      </c>
      <c r="BO42" s="3">
        <f>IFERROR(__xludf.DUMMYFUNCTION("""COMPUTED_VALUE"""),0.0)</f>
        <v>0</v>
      </c>
      <c r="BP42" s="3">
        <f>IFERROR(__xludf.DUMMYFUNCTION("""COMPUTED_VALUE"""),0.0)</f>
        <v>0</v>
      </c>
      <c r="BQ42" s="3">
        <f>IFERROR(__xludf.DUMMYFUNCTION("""COMPUTED_VALUE"""),0.0)</f>
        <v>0</v>
      </c>
      <c r="BR42" s="3">
        <f>IFERROR(__xludf.DUMMYFUNCTION("""COMPUTED_VALUE"""),0.0)</f>
        <v>0</v>
      </c>
      <c r="BS42" s="3">
        <f>IFERROR(__xludf.DUMMYFUNCTION("""COMPUTED_VALUE"""),0.0)</f>
        <v>0</v>
      </c>
      <c r="BT42" s="3">
        <f>IFERROR(__xludf.DUMMYFUNCTION("""COMPUTED_VALUE"""),0.0)</f>
        <v>0</v>
      </c>
      <c r="BU42" s="3">
        <f>IFERROR(__xludf.DUMMYFUNCTION("""COMPUTED_VALUE"""),1.0)</f>
        <v>1</v>
      </c>
      <c r="BV42" s="3">
        <f>IFERROR(__xludf.DUMMYFUNCTION("""COMPUTED_VALUE"""),1.0)</f>
        <v>1</v>
      </c>
      <c r="BW42" s="3">
        <f>IFERROR(__xludf.DUMMYFUNCTION("""COMPUTED_VALUE"""),1.0)</f>
        <v>1</v>
      </c>
      <c r="BX42" s="3">
        <f>IFERROR(__xludf.DUMMYFUNCTION("""COMPUTED_VALUE"""),1.0)</f>
        <v>1</v>
      </c>
      <c r="BY42" s="3">
        <f>IFERROR(__xludf.DUMMYFUNCTION("""COMPUTED_VALUE"""),1.0)</f>
        <v>1</v>
      </c>
      <c r="BZ42" s="3">
        <f>IFERROR(__xludf.DUMMYFUNCTION("""COMPUTED_VALUE"""),1.0)</f>
        <v>1</v>
      </c>
      <c r="CA42" s="3">
        <f>IFERROR(__xludf.DUMMYFUNCTION("""COMPUTED_VALUE"""),1.0)</f>
        <v>1</v>
      </c>
      <c r="CB42" s="3">
        <f>IFERROR(__xludf.DUMMYFUNCTION("""COMPUTED_VALUE"""),1.0)</f>
        <v>1</v>
      </c>
    </row>
    <row r="43">
      <c r="A43" s="3" t="str">
        <f>IFERROR(__xludf.DUMMYFUNCTION("""COMPUTED_VALUE"""),"Nova Scotia")</f>
        <v>Nova Scotia</v>
      </c>
      <c r="B43" s="3" t="str">
        <f>IFERROR(__xludf.DUMMYFUNCTION("""COMPUTED_VALUE"""),"Canada")</f>
        <v>Canada</v>
      </c>
      <c r="C43" s="3">
        <f>IFERROR(__xludf.DUMMYFUNCTION("""COMPUTED_VALUE"""),44.682)</f>
        <v>44.682</v>
      </c>
      <c r="D43" s="3">
        <f>IFERROR(__xludf.DUMMYFUNCTION("""COMPUTED_VALUE"""),-63.7443)</f>
        <v>-63.7443</v>
      </c>
      <c r="E43" s="3">
        <f>IFERROR(__xludf.DUMMYFUNCTION("""COMPUTED_VALUE"""),0.0)</f>
        <v>0</v>
      </c>
      <c r="F43" s="3">
        <f>IFERROR(__xludf.DUMMYFUNCTION("""COMPUTED_VALUE"""),0.0)</f>
        <v>0</v>
      </c>
      <c r="G43" s="3">
        <f>IFERROR(__xludf.DUMMYFUNCTION("""COMPUTED_VALUE"""),0.0)</f>
        <v>0</v>
      </c>
      <c r="H43" s="3">
        <f>IFERROR(__xludf.DUMMYFUNCTION("""COMPUTED_VALUE"""),0.0)</f>
        <v>0</v>
      </c>
      <c r="I43" s="3">
        <f>IFERROR(__xludf.DUMMYFUNCTION("""COMPUTED_VALUE"""),0.0)</f>
        <v>0</v>
      </c>
      <c r="J43" s="3">
        <f>IFERROR(__xludf.DUMMYFUNCTION("""COMPUTED_VALUE"""),0.0)</f>
        <v>0</v>
      </c>
      <c r="K43" s="3">
        <f>IFERROR(__xludf.DUMMYFUNCTION("""COMPUTED_VALUE"""),0.0)</f>
        <v>0</v>
      </c>
      <c r="L43" s="3">
        <f>IFERROR(__xludf.DUMMYFUNCTION("""COMPUTED_VALUE"""),0.0)</f>
        <v>0</v>
      </c>
      <c r="M43" s="3">
        <f>IFERROR(__xludf.DUMMYFUNCTION("""COMPUTED_VALUE"""),0.0)</f>
        <v>0</v>
      </c>
      <c r="N43" s="3">
        <f>IFERROR(__xludf.DUMMYFUNCTION("""COMPUTED_VALUE"""),0.0)</f>
        <v>0</v>
      </c>
      <c r="O43" s="3">
        <f>IFERROR(__xludf.DUMMYFUNCTION("""COMPUTED_VALUE"""),0.0)</f>
        <v>0</v>
      </c>
      <c r="P43" s="3">
        <f>IFERROR(__xludf.DUMMYFUNCTION("""COMPUTED_VALUE"""),0.0)</f>
        <v>0</v>
      </c>
      <c r="Q43" s="3">
        <f>IFERROR(__xludf.DUMMYFUNCTION("""COMPUTED_VALUE"""),0.0)</f>
        <v>0</v>
      </c>
      <c r="R43" s="3">
        <f>IFERROR(__xludf.DUMMYFUNCTION("""COMPUTED_VALUE"""),0.0)</f>
        <v>0</v>
      </c>
      <c r="S43" s="3">
        <f>IFERROR(__xludf.DUMMYFUNCTION("""COMPUTED_VALUE"""),0.0)</f>
        <v>0</v>
      </c>
      <c r="T43" s="3">
        <f>IFERROR(__xludf.DUMMYFUNCTION("""COMPUTED_VALUE"""),0.0)</f>
        <v>0</v>
      </c>
      <c r="U43" s="3">
        <f>IFERROR(__xludf.DUMMYFUNCTION("""COMPUTED_VALUE"""),0.0)</f>
        <v>0</v>
      </c>
      <c r="V43" s="3">
        <f>IFERROR(__xludf.DUMMYFUNCTION("""COMPUTED_VALUE"""),0.0)</f>
        <v>0</v>
      </c>
      <c r="W43" s="3">
        <f>IFERROR(__xludf.DUMMYFUNCTION("""COMPUTED_VALUE"""),0.0)</f>
        <v>0</v>
      </c>
      <c r="X43" s="3">
        <f>IFERROR(__xludf.DUMMYFUNCTION("""COMPUTED_VALUE"""),0.0)</f>
        <v>0</v>
      </c>
      <c r="Y43" s="3">
        <f>IFERROR(__xludf.DUMMYFUNCTION("""COMPUTED_VALUE"""),0.0)</f>
        <v>0</v>
      </c>
      <c r="Z43" s="3">
        <f>IFERROR(__xludf.DUMMYFUNCTION("""COMPUTED_VALUE"""),0.0)</f>
        <v>0</v>
      </c>
      <c r="AA43" s="3">
        <f>IFERROR(__xludf.DUMMYFUNCTION("""COMPUTED_VALUE"""),0.0)</f>
        <v>0</v>
      </c>
      <c r="AB43" s="3">
        <f>IFERROR(__xludf.DUMMYFUNCTION("""COMPUTED_VALUE"""),0.0)</f>
        <v>0</v>
      </c>
      <c r="AC43" s="3">
        <f>IFERROR(__xludf.DUMMYFUNCTION("""COMPUTED_VALUE"""),0.0)</f>
        <v>0</v>
      </c>
      <c r="AD43" s="3">
        <f>IFERROR(__xludf.DUMMYFUNCTION("""COMPUTED_VALUE"""),0.0)</f>
        <v>0</v>
      </c>
      <c r="AE43" s="3">
        <f>IFERROR(__xludf.DUMMYFUNCTION("""COMPUTED_VALUE"""),0.0)</f>
        <v>0</v>
      </c>
      <c r="AF43" s="3">
        <f>IFERROR(__xludf.DUMMYFUNCTION("""COMPUTED_VALUE"""),0.0)</f>
        <v>0</v>
      </c>
      <c r="AG43" s="3">
        <f>IFERROR(__xludf.DUMMYFUNCTION("""COMPUTED_VALUE"""),0.0)</f>
        <v>0</v>
      </c>
      <c r="AH43" s="3">
        <f>IFERROR(__xludf.DUMMYFUNCTION("""COMPUTED_VALUE"""),0.0)</f>
        <v>0</v>
      </c>
      <c r="AI43" s="3">
        <f>IFERROR(__xludf.DUMMYFUNCTION("""COMPUTED_VALUE"""),0.0)</f>
        <v>0</v>
      </c>
      <c r="AJ43" s="3">
        <f>IFERROR(__xludf.DUMMYFUNCTION("""COMPUTED_VALUE"""),0.0)</f>
        <v>0</v>
      </c>
      <c r="AK43" s="3">
        <f>IFERROR(__xludf.DUMMYFUNCTION("""COMPUTED_VALUE"""),0.0)</f>
        <v>0</v>
      </c>
      <c r="AL43" s="3">
        <f>IFERROR(__xludf.DUMMYFUNCTION("""COMPUTED_VALUE"""),0.0)</f>
        <v>0</v>
      </c>
      <c r="AM43" s="3">
        <f>IFERROR(__xludf.DUMMYFUNCTION("""COMPUTED_VALUE"""),0.0)</f>
        <v>0</v>
      </c>
      <c r="AN43" s="3">
        <f>IFERROR(__xludf.DUMMYFUNCTION("""COMPUTED_VALUE"""),0.0)</f>
        <v>0</v>
      </c>
      <c r="AO43" s="3">
        <f>IFERROR(__xludf.DUMMYFUNCTION("""COMPUTED_VALUE"""),0.0)</f>
        <v>0</v>
      </c>
      <c r="AP43" s="3">
        <f>IFERROR(__xludf.DUMMYFUNCTION("""COMPUTED_VALUE"""),0.0)</f>
        <v>0</v>
      </c>
      <c r="AQ43" s="3">
        <f>IFERROR(__xludf.DUMMYFUNCTION("""COMPUTED_VALUE"""),0.0)</f>
        <v>0</v>
      </c>
      <c r="AR43" s="3">
        <f>IFERROR(__xludf.DUMMYFUNCTION("""COMPUTED_VALUE"""),0.0)</f>
        <v>0</v>
      </c>
      <c r="AS43" s="3">
        <f>IFERROR(__xludf.DUMMYFUNCTION("""COMPUTED_VALUE"""),0.0)</f>
        <v>0</v>
      </c>
      <c r="AT43" s="3">
        <f>IFERROR(__xludf.DUMMYFUNCTION("""COMPUTED_VALUE"""),0.0)</f>
        <v>0</v>
      </c>
      <c r="AU43" s="3">
        <f>IFERROR(__xludf.DUMMYFUNCTION("""COMPUTED_VALUE"""),0.0)</f>
        <v>0</v>
      </c>
      <c r="AV43" s="3">
        <f>IFERROR(__xludf.DUMMYFUNCTION("""COMPUTED_VALUE"""),0.0)</f>
        <v>0</v>
      </c>
      <c r="AW43" s="3">
        <f>IFERROR(__xludf.DUMMYFUNCTION("""COMPUTED_VALUE"""),0.0)</f>
        <v>0</v>
      </c>
      <c r="AX43" s="3">
        <f>IFERROR(__xludf.DUMMYFUNCTION("""COMPUTED_VALUE"""),0.0)</f>
        <v>0</v>
      </c>
      <c r="AY43" s="3">
        <f>IFERROR(__xludf.DUMMYFUNCTION("""COMPUTED_VALUE"""),0.0)</f>
        <v>0</v>
      </c>
      <c r="AZ43" s="3">
        <f>IFERROR(__xludf.DUMMYFUNCTION("""COMPUTED_VALUE"""),0.0)</f>
        <v>0</v>
      </c>
      <c r="BA43" s="3">
        <f>IFERROR(__xludf.DUMMYFUNCTION("""COMPUTED_VALUE"""),0.0)</f>
        <v>0</v>
      </c>
      <c r="BB43" s="3">
        <f>IFERROR(__xludf.DUMMYFUNCTION("""COMPUTED_VALUE"""),0.0)</f>
        <v>0</v>
      </c>
      <c r="BC43" s="3">
        <f>IFERROR(__xludf.DUMMYFUNCTION("""COMPUTED_VALUE"""),0.0)</f>
        <v>0</v>
      </c>
      <c r="BD43" s="3">
        <f>IFERROR(__xludf.DUMMYFUNCTION("""COMPUTED_VALUE"""),0.0)</f>
        <v>0</v>
      </c>
      <c r="BE43" s="3">
        <f>IFERROR(__xludf.DUMMYFUNCTION("""COMPUTED_VALUE"""),0.0)</f>
        <v>0</v>
      </c>
      <c r="BF43" s="3">
        <f>IFERROR(__xludf.DUMMYFUNCTION("""COMPUTED_VALUE"""),0.0)</f>
        <v>0</v>
      </c>
      <c r="BG43" s="3">
        <f>IFERROR(__xludf.DUMMYFUNCTION("""COMPUTED_VALUE"""),0.0)</f>
        <v>0</v>
      </c>
      <c r="BH43" s="3">
        <f>IFERROR(__xludf.DUMMYFUNCTION("""COMPUTED_VALUE"""),0.0)</f>
        <v>0</v>
      </c>
      <c r="BI43" s="3">
        <f>IFERROR(__xludf.DUMMYFUNCTION("""COMPUTED_VALUE"""),0.0)</f>
        <v>0</v>
      </c>
      <c r="BJ43" s="3">
        <f>IFERROR(__xludf.DUMMYFUNCTION("""COMPUTED_VALUE"""),0.0)</f>
        <v>0</v>
      </c>
      <c r="BK43" s="3">
        <f>IFERROR(__xludf.DUMMYFUNCTION("""COMPUTED_VALUE"""),0.0)</f>
        <v>0</v>
      </c>
      <c r="BL43" s="3">
        <f>IFERROR(__xludf.DUMMYFUNCTION("""COMPUTED_VALUE"""),0.0)</f>
        <v>0</v>
      </c>
      <c r="BM43" s="3">
        <f>IFERROR(__xludf.DUMMYFUNCTION("""COMPUTED_VALUE"""),0.0)</f>
        <v>0</v>
      </c>
      <c r="BN43" s="3">
        <f>IFERROR(__xludf.DUMMYFUNCTION("""COMPUTED_VALUE"""),0.0)</f>
        <v>0</v>
      </c>
      <c r="BO43" s="3">
        <f>IFERROR(__xludf.DUMMYFUNCTION("""COMPUTED_VALUE"""),0.0)</f>
        <v>0</v>
      </c>
      <c r="BP43" s="3">
        <f>IFERROR(__xludf.DUMMYFUNCTION("""COMPUTED_VALUE"""),0.0)</f>
        <v>0</v>
      </c>
      <c r="BQ43" s="3">
        <f>IFERROR(__xludf.DUMMYFUNCTION("""COMPUTED_VALUE"""),0.0)</f>
        <v>0</v>
      </c>
      <c r="BR43" s="3">
        <f>IFERROR(__xludf.DUMMYFUNCTION("""COMPUTED_VALUE"""),0.0)</f>
        <v>0</v>
      </c>
      <c r="BS43" s="3">
        <f>IFERROR(__xludf.DUMMYFUNCTION("""COMPUTED_VALUE"""),0.0)</f>
        <v>0</v>
      </c>
      <c r="BT43" s="3">
        <f>IFERROR(__xludf.DUMMYFUNCTION("""COMPUTED_VALUE"""),0.0)</f>
        <v>0</v>
      </c>
      <c r="BU43" s="3">
        <f>IFERROR(__xludf.DUMMYFUNCTION("""COMPUTED_VALUE"""),0.0)</f>
        <v>0</v>
      </c>
      <c r="BV43" s="3">
        <f>IFERROR(__xludf.DUMMYFUNCTION("""COMPUTED_VALUE"""),0.0)</f>
        <v>0</v>
      </c>
      <c r="BW43" s="3">
        <f>IFERROR(__xludf.DUMMYFUNCTION("""COMPUTED_VALUE"""),0.0)</f>
        <v>0</v>
      </c>
      <c r="BX43" s="3">
        <f>IFERROR(__xludf.DUMMYFUNCTION("""COMPUTED_VALUE"""),0.0)</f>
        <v>0</v>
      </c>
      <c r="BY43" s="3">
        <f>IFERROR(__xludf.DUMMYFUNCTION("""COMPUTED_VALUE"""),0.0)</f>
        <v>0</v>
      </c>
      <c r="BZ43" s="3">
        <f>IFERROR(__xludf.DUMMYFUNCTION("""COMPUTED_VALUE"""),0.0)</f>
        <v>0</v>
      </c>
      <c r="CA43" s="3">
        <f>IFERROR(__xludf.DUMMYFUNCTION("""COMPUTED_VALUE"""),0.0)</f>
        <v>0</v>
      </c>
      <c r="CB43" s="3">
        <f>IFERROR(__xludf.DUMMYFUNCTION("""COMPUTED_VALUE"""),0.0)</f>
        <v>0</v>
      </c>
    </row>
    <row r="44">
      <c r="A44" s="3" t="str">
        <f>IFERROR(__xludf.DUMMYFUNCTION("""COMPUTED_VALUE"""),"Ontario")</f>
        <v>Ontario</v>
      </c>
      <c r="B44" s="3" t="str">
        <f>IFERROR(__xludf.DUMMYFUNCTION("""COMPUTED_VALUE"""),"Canada")</f>
        <v>Canada</v>
      </c>
      <c r="C44" s="3">
        <f>IFERROR(__xludf.DUMMYFUNCTION("""COMPUTED_VALUE"""),51.2538)</f>
        <v>51.2538</v>
      </c>
      <c r="D44" s="3">
        <f>IFERROR(__xludf.DUMMYFUNCTION("""COMPUTED_VALUE"""),-85.3232)</f>
        <v>-85.3232</v>
      </c>
      <c r="E44" s="3">
        <f>IFERROR(__xludf.DUMMYFUNCTION("""COMPUTED_VALUE"""),0.0)</f>
        <v>0</v>
      </c>
      <c r="F44" s="3">
        <f>IFERROR(__xludf.DUMMYFUNCTION("""COMPUTED_VALUE"""),0.0)</f>
        <v>0</v>
      </c>
      <c r="G44" s="3">
        <f>IFERROR(__xludf.DUMMYFUNCTION("""COMPUTED_VALUE"""),0.0)</f>
        <v>0</v>
      </c>
      <c r="H44" s="3">
        <f>IFERROR(__xludf.DUMMYFUNCTION("""COMPUTED_VALUE"""),0.0)</f>
        <v>0</v>
      </c>
      <c r="I44" s="3">
        <f>IFERROR(__xludf.DUMMYFUNCTION("""COMPUTED_VALUE"""),0.0)</f>
        <v>0</v>
      </c>
      <c r="J44" s="3">
        <f>IFERROR(__xludf.DUMMYFUNCTION("""COMPUTED_VALUE"""),0.0)</f>
        <v>0</v>
      </c>
      <c r="K44" s="3">
        <f>IFERROR(__xludf.DUMMYFUNCTION("""COMPUTED_VALUE"""),0.0)</f>
        <v>0</v>
      </c>
      <c r="L44" s="3">
        <f>IFERROR(__xludf.DUMMYFUNCTION("""COMPUTED_VALUE"""),0.0)</f>
        <v>0</v>
      </c>
      <c r="M44" s="3">
        <f>IFERROR(__xludf.DUMMYFUNCTION("""COMPUTED_VALUE"""),0.0)</f>
        <v>0</v>
      </c>
      <c r="N44" s="3">
        <f>IFERROR(__xludf.DUMMYFUNCTION("""COMPUTED_VALUE"""),0.0)</f>
        <v>0</v>
      </c>
      <c r="O44" s="3">
        <f>IFERROR(__xludf.DUMMYFUNCTION("""COMPUTED_VALUE"""),0.0)</f>
        <v>0</v>
      </c>
      <c r="P44" s="3">
        <f>IFERROR(__xludf.DUMMYFUNCTION("""COMPUTED_VALUE"""),0.0)</f>
        <v>0</v>
      </c>
      <c r="Q44" s="3">
        <f>IFERROR(__xludf.DUMMYFUNCTION("""COMPUTED_VALUE"""),0.0)</f>
        <v>0</v>
      </c>
      <c r="R44" s="3">
        <f>IFERROR(__xludf.DUMMYFUNCTION("""COMPUTED_VALUE"""),0.0)</f>
        <v>0</v>
      </c>
      <c r="S44" s="3">
        <f>IFERROR(__xludf.DUMMYFUNCTION("""COMPUTED_VALUE"""),0.0)</f>
        <v>0</v>
      </c>
      <c r="T44" s="3">
        <f>IFERROR(__xludf.DUMMYFUNCTION("""COMPUTED_VALUE"""),0.0)</f>
        <v>0</v>
      </c>
      <c r="U44" s="3">
        <f>IFERROR(__xludf.DUMMYFUNCTION("""COMPUTED_VALUE"""),0.0)</f>
        <v>0</v>
      </c>
      <c r="V44" s="3">
        <f>IFERROR(__xludf.DUMMYFUNCTION("""COMPUTED_VALUE"""),0.0)</f>
        <v>0</v>
      </c>
      <c r="W44" s="3">
        <f>IFERROR(__xludf.DUMMYFUNCTION("""COMPUTED_VALUE"""),0.0)</f>
        <v>0</v>
      </c>
      <c r="X44" s="3">
        <f>IFERROR(__xludf.DUMMYFUNCTION("""COMPUTED_VALUE"""),0.0)</f>
        <v>0</v>
      </c>
      <c r="Y44" s="3">
        <f>IFERROR(__xludf.DUMMYFUNCTION("""COMPUTED_VALUE"""),0.0)</f>
        <v>0</v>
      </c>
      <c r="Z44" s="3">
        <f>IFERROR(__xludf.DUMMYFUNCTION("""COMPUTED_VALUE"""),0.0)</f>
        <v>0</v>
      </c>
      <c r="AA44" s="3">
        <f>IFERROR(__xludf.DUMMYFUNCTION("""COMPUTED_VALUE"""),0.0)</f>
        <v>0</v>
      </c>
      <c r="AB44" s="3">
        <f>IFERROR(__xludf.DUMMYFUNCTION("""COMPUTED_VALUE"""),0.0)</f>
        <v>0</v>
      </c>
      <c r="AC44" s="3">
        <f>IFERROR(__xludf.DUMMYFUNCTION("""COMPUTED_VALUE"""),0.0)</f>
        <v>0</v>
      </c>
      <c r="AD44" s="3">
        <f>IFERROR(__xludf.DUMMYFUNCTION("""COMPUTED_VALUE"""),0.0)</f>
        <v>0</v>
      </c>
      <c r="AE44" s="3">
        <f>IFERROR(__xludf.DUMMYFUNCTION("""COMPUTED_VALUE"""),0.0)</f>
        <v>0</v>
      </c>
      <c r="AF44" s="3">
        <f>IFERROR(__xludf.DUMMYFUNCTION("""COMPUTED_VALUE"""),0.0)</f>
        <v>0</v>
      </c>
      <c r="AG44" s="3">
        <f>IFERROR(__xludf.DUMMYFUNCTION("""COMPUTED_VALUE"""),0.0)</f>
        <v>0</v>
      </c>
      <c r="AH44" s="3">
        <f>IFERROR(__xludf.DUMMYFUNCTION("""COMPUTED_VALUE"""),0.0)</f>
        <v>0</v>
      </c>
      <c r="AI44" s="3">
        <f>IFERROR(__xludf.DUMMYFUNCTION("""COMPUTED_VALUE"""),0.0)</f>
        <v>0</v>
      </c>
      <c r="AJ44" s="3">
        <f>IFERROR(__xludf.DUMMYFUNCTION("""COMPUTED_VALUE"""),0.0)</f>
        <v>0</v>
      </c>
      <c r="AK44" s="3">
        <f>IFERROR(__xludf.DUMMYFUNCTION("""COMPUTED_VALUE"""),0.0)</f>
        <v>0</v>
      </c>
      <c r="AL44" s="3">
        <f>IFERROR(__xludf.DUMMYFUNCTION("""COMPUTED_VALUE"""),0.0)</f>
        <v>0</v>
      </c>
      <c r="AM44" s="3">
        <f>IFERROR(__xludf.DUMMYFUNCTION("""COMPUTED_VALUE"""),0.0)</f>
        <v>0</v>
      </c>
      <c r="AN44" s="3">
        <f>IFERROR(__xludf.DUMMYFUNCTION("""COMPUTED_VALUE"""),0.0)</f>
        <v>0</v>
      </c>
      <c r="AO44" s="3">
        <f>IFERROR(__xludf.DUMMYFUNCTION("""COMPUTED_VALUE"""),0.0)</f>
        <v>0</v>
      </c>
      <c r="AP44" s="3">
        <f>IFERROR(__xludf.DUMMYFUNCTION("""COMPUTED_VALUE"""),0.0)</f>
        <v>0</v>
      </c>
      <c r="AQ44" s="3">
        <f>IFERROR(__xludf.DUMMYFUNCTION("""COMPUTED_VALUE"""),0.0)</f>
        <v>0</v>
      </c>
      <c r="AR44" s="3">
        <f>IFERROR(__xludf.DUMMYFUNCTION("""COMPUTED_VALUE"""),0.0)</f>
        <v>0</v>
      </c>
      <c r="AS44" s="3">
        <f>IFERROR(__xludf.DUMMYFUNCTION("""COMPUTED_VALUE"""),0.0)</f>
        <v>0</v>
      </c>
      <c r="AT44" s="3">
        <f>IFERROR(__xludf.DUMMYFUNCTION("""COMPUTED_VALUE"""),0.0)</f>
        <v>0</v>
      </c>
      <c r="AU44" s="3">
        <f>IFERROR(__xludf.DUMMYFUNCTION("""COMPUTED_VALUE"""),0.0)</f>
        <v>0</v>
      </c>
      <c r="AV44" s="3">
        <f>IFERROR(__xludf.DUMMYFUNCTION("""COMPUTED_VALUE"""),0.0)</f>
        <v>0</v>
      </c>
      <c r="AW44" s="3">
        <f>IFERROR(__xludf.DUMMYFUNCTION("""COMPUTED_VALUE"""),0.0)</f>
        <v>0</v>
      </c>
      <c r="AX44" s="3">
        <f>IFERROR(__xludf.DUMMYFUNCTION("""COMPUTED_VALUE"""),0.0)</f>
        <v>0</v>
      </c>
      <c r="AY44" s="3">
        <f>IFERROR(__xludf.DUMMYFUNCTION("""COMPUTED_VALUE"""),0.0)</f>
        <v>0</v>
      </c>
      <c r="AZ44" s="3">
        <f>IFERROR(__xludf.DUMMYFUNCTION("""COMPUTED_VALUE"""),0.0)</f>
        <v>0</v>
      </c>
      <c r="BA44" s="3">
        <f>IFERROR(__xludf.DUMMYFUNCTION("""COMPUTED_VALUE"""),0.0)</f>
        <v>0</v>
      </c>
      <c r="BB44" s="3">
        <f>IFERROR(__xludf.DUMMYFUNCTION("""COMPUTED_VALUE"""),0.0)</f>
        <v>0</v>
      </c>
      <c r="BC44" s="3">
        <f>IFERROR(__xludf.DUMMYFUNCTION("""COMPUTED_VALUE"""),0.0)</f>
        <v>0</v>
      </c>
      <c r="BD44" s="3">
        <f>IFERROR(__xludf.DUMMYFUNCTION("""COMPUTED_VALUE"""),0.0)</f>
        <v>0</v>
      </c>
      <c r="BE44" s="3">
        <f>IFERROR(__xludf.DUMMYFUNCTION("""COMPUTED_VALUE"""),0.0)</f>
        <v>0</v>
      </c>
      <c r="BF44" s="3">
        <f>IFERROR(__xludf.DUMMYFUNCTION("""COMPUTED_VALUE"""),0.0)</f>
        <v>0</v>
      </c>
      <c r="BG44" s="3">
        <f>IFERROR(__xludf.DUMMYFUNCTION("""COMPUTED_VALUE"""),0.0)</f>
        <v>0</v>
      </c>
      <c r="BH44" s="3">
        <f>IFERROR(__xludf.DUMMYFUNCTION("""COMPUTED_VALUE"""),1.0)</f>
        <v>1</v>
      </c>
      <c r="BI44" s="3">
        <f>IFERROR(__xludf.DUMMYFUNCTION("""COMPUTED_VALUE"""),1.0)</f>
        <v>1</v>
      </c>
      <c r="BJ44" s="3">
        <f>IFERROR(__xludf.DUMMYFUNCTION("""COMPUTED_VALUE"""),1.0)</f>
        <v>1</v>
      </c>
      <c r="BK44" s="3">
        <f>IFERROR(__xludf.DUMMYFUNCTION("""COMPUTED_VALUE"""),2.0)</f>
        <v>2</v>
      </c>
      <c r="BL44" s="3">
        <f>IFERROR(__xludf.DUMMYFUNCTION("""COMPUTED_VALUE"""),3.0)</f>
        <v>3</v>
      </c>
      <c r="BM44" s="3">
        <f>IFERROR(__xludf.DUMMYFUNCTION("""COMPUTED_VALUE"""),5.0)</f>
        <v>5</v>
      </c>
      <c r="BN44" s="3">
        <f>IFERROR(__xludf.DUMMYFUNCTION("""COMPUTED_VALUE"""),6.0)</f>
        <v>6</v>
      </c>
      <c r="BO44" s="3">
        <f>IFERROR(__xludf.DUMMYFUNCTION("""COMPUTED_VALUE"""),7.0)</f>
        <v>7</v>
      </c>
      <c r="BP44" s="3">
        <f>IFERROR(__xludf.DUMMYFUNCTION("""COMPUTED_VALUE"""),8.0)</f>
        <v>8</v>
      </c>
      <c r="BQ44" s="3">
        <f>IFERROR(__xludf.DUMMYFUNCTION("""COMPUTED_VALUE"""),13.0)</f>
        <v>13</v>
      </c>
      <c r="BR44" s="3">
        <f>IFERROR(__xludf.DUMMYFUNCTION("""COMPUTED_VALUE"""),18.0)</f>
        <v>18</v>
      </c>
      <c r="BS44" s="3">
        <f>IFERROR(__xludf.DUMMYFUNCTION("""COMPUTED_VALUE"""),18.0)</f>
        <v>18</v>
      </c>
      <c r="BT44" s="3">
        <f>IFERROR(__xludf.DUMMYFUNCTION("""COMPUTED_VALUE"""),21.0)</f>
        <v>21</v>
      </c>
      <c r="BU44" s="3">
        <f>IFERROR(__xludf.DUMMYFUNCTION("""COMPUTED_VALUE"""),31.0)</f>
        <v>31</v>
      </c>
      <c r="BV44" s="3">
        <f>IFERROR(__xludf.DUMMYFUNCTION("""COMPUTED_VALUE"""),33.0)</f>
        <v>33</v>
      </c>
      <c r="BW44" s="3">
        <f>IFERROR(__xludf.DUMMYFUNCTION("""COMPUTED_VALUE"""),37.0)</f>
        <v>37</v>
      </c>
      <c r="BX44" s="3">
        <f>IFERROR(__xludf.DUMMYFUNCTION("""COMPUTED_VALUE"""),53.0)</f>
        <v>53</v>
      </c>
      <c r="BY44" s="3">
        <f>IFERROR(__xludf.DUMMYFUNCTION("""COMPUTED_VALUE"""),67.0)</f>
        <v>67</v>
      </c>
      <c r="BZ44" s="3">
        <f>IFERROR(__xludf.DUMMYFUNCTION("""COMPUTED_VALUE"""),94.0)</f>
        <v>94</v>
      </c>
      <c r="CA44" s="3">
        <f>IFERROR(__xludf.DUMMYFUNCTION("""COMPUTED_VALUE"""),119.0)</f>
        <v>119</v>
      </c>
      <c r="CB44" s="3">
        <f>IFERROR(__xludf.DUMMYFUNCTION("""COMPUTED_VALUE"""),150.0)</f>
        <v>150</v>
      </c>
    </row>
    <row r="45">
      <c r="A45" s="3" t="str">
        <f>IFERROR(__xludf.DUMMYFUNCTION("""COMPUTED_VALUE"""),"Prince Edward Island")</f>
        <v>Prince Edward Island</v>
      </c>
      <c r="B45" s="3" t="str">
        <f>IFERROR(__xludf.DUMMYFUNCTION("""COMPUTED_VALUE"""),"Canada")</f>
        <v>Canada</v>
      </c>
      <c r="C45" s="3">
        <f>IFERROR(__xludf.DUMMYFUNCTION("""COMPUTED_VALUE"""),46.5107)</f>
        <v>46.5107</v>
      </c>
      <c r="D45" s="3">
        <f>IFERROR(__xludf.DUMMYFUNCTION("""COMPUTED_VALUE"""),-63.4168)</f>
        <v>-63.4168</v>
      </c>
      <c r="E45" s="3">
        <f>IFERROR(__xludf.DUMMYFUNCTION("""COMPUTED_VALUE"""),0.0)</f>
        <v>0</v>
      </c>
      <c r="F45" s="3">
        <f>IFERROR(__xludf.DUMMYFUNCTION("""COMPUTED_VALUE"""),0.0)</f>
        <v>0</v>
      </c>
      <c r="G45" s="3">
        <f>IFERROR(__xludf.DUMMYFUNCTION("""COMPUTED_VALUE"""),0.0)</f>
        <v>0</v>
      </c>
      <c r="H45" s="3">
        <f>IFERROR(__xludf.DUMMYFUNCTION("""COMPUTED_VALUE"""),0.0)</f>
        <v>0</v>
      </c>
      <c r="I45" s="3">
        <f>IFERROR(__xludf.DUMMYFUNCTION("""COMPUTED_VALUE"""),0.0)</f>
        <v>0</v>
      </c>
      <c r="J45" s="3">
        <f>IFERROR(__xludf.DUMMYFUNCTION("""COMPUTED_VALUE"""),0.0)</f>
        <v>0</v>
      </c>
      <c r="K45" s="3">
        <f>IFERROR(__xludf.DUMMYFUNCTION("""COMPUTED_VALUE"""),0.0)</f>
        <v>0</v>
      </c>
      <c r="L45" s="3">
        <f>IFERROR(__xludf.DUMMYFUNCTION("""COMPUTED_VALUE"""),0.0)</f>
        <v>0</v>
      </c>
      <c r="M45" s="3">
        <f>IFERROR(__xludf.DUMMYFUNCTION("""COMPUTED_VALUE"""),0.0)</f>
        <v>0</v>
      </c>
      <c r="N45" s="3">
        <f>IFERROR(__xludf.DUMMYFUNCTION("""COMPUTED_VALUE"""),0.0)</f>
        <v>0</v>
      </c>
      <c r="O45" s="3">
        <f>IFERROR(__xludf.DUMMYFUNCTION("""COMPUTED_VALUE"""),0.0)</f>
        <v>0</v>
      </c>
      <c r="P45" s="3">
        <f>IFERROR(__xludf.DUMMYFUNCTION("""COMPUTED_VALUE"""),0.0)</f>
        <v>0</v>
      </c>
      <c r="Q45" s="3">
        <f>IFERROR(__xludf.DUMMYFUNCTION("""COMPUTED_VALUE"""),0.0)</f>
        <v>0</v>
      </c>
      <c r="R45" s="3">
        <f>IFERROR(__xludf.DUMMYFUNCTION("""COMPUTED_VALUE"""),0.0)</f>
        <v>0</v>
      </c>
      <c r="S45" s="3">
        <f>IFERROR(__xludf.DUMMYFUNCTION("""COMPUTED_VALUE"""),0.0)</f>
        <v>0</v>
      </c>
      <c r="T45" s="3">
        <f>IFERROR(__xludf.DUMMYFUNCTION("""COMPUTED_VALUE"""),0.0)</f>
        <v>0</v>
      </c>
      <c r="U45" s="3">
        <f>IFERROR(__xludf.DUMMYFUNCTION("""COMPUTED_VALUE"""),0.0)</f>
        <v>0</v>
      </c>
      <c r="V45" s="3">
        <f>IFERROR(__xludf.DUMMYFUNCTION("""COMPUTED_VALUE"""),0.0)</f>
        <v>0</v>
      </c>
      <c r="W45" s="3">
        <f>IFERROR(__xludf.DUMMYFUNCTION("""COMPUTED_VALUE"""),0.0)</f>
        <v>0</v>
      </c>
      <c r="X45" s="3">
        <f>IFERROR(__xludf.DUMMYFUNCTION("""COMPUTED_VALUE"""),0.0)</f>
        <v>0</v>
      </c>
      <c r="Y45" s="3">
        <f>IFERROR(__xludf.DUMMYFUNCTION("""COMPUTED_VALUE"""),0.0)</f>
        <v>0</v>
      </c>
      <c r="Z45" s="3">
        <f>IFERROR(__xludf.DUMMYFUNCTION("""COMPUTED_VALUE"""),0.0)</f>
        <v>0</v>
      </c>
      <c r="AA45" s="3">
        <f>IFERROR(__xludf.DUMMYFUNCTION("""COMPUTED_VALUE"""),0.0)</f>
        <v>0</v>
      </c>
      <c r="AB45" s="3">
        <f>IFERROR(__xludf.DUMMYFUNCTION("""COMPUTED_VALUE"""),0.0)</f>
        <v>0</v>
      </c>
      <c r="AC45" s="3">
        <f>IFERROR(__xludf.DUMMYFUNCTION("""COMPUTED_VALUE"""),0.0)</f>
        <v>0</v>
      </c>
      <c r="AD45" s="3">
        <f>IFERROR(__xludf.DUMMYFUNCTION("""COMPUTED_VALUE"""),0.0)</f>
        <v>0</v>
      </c>
      <c r="AE45" s="3">
        <f>IFERROR(__xludf.DUMMYFUNCTION("""COMPUTED_VALUE"""),0.0)</f>
        <v>0</v>
      </c>
      <c r="AF45" s="3">
        <f>IFERROR(__xludf.DUMMYFUNCTION("""COMPUTED_VALUE"""),0.0)</f>
        <v>0</v>
      </c>
      <c r="AG45" s="3">
        <f>IFERROR(__xludf.DUMMYFUNCTION("""COMPUTED_VALUE"""),0.0)</f>
        <v>0</v>
      </c>
      <c r="AH45" s="3">
        <f>IFERROR(__xludf.DUMMYFUNCTION("""COMPUTED_VALUE"""),0.0)</f>
        <v>0</v>
      </c>
      <c r="AI45" s="3">
        <f>IFERROR(__xludf.DUMMYFUNCTION("""COMPUTED_VALUE"""),0.0)</f>
        <v>0</v>
      </c>
      <c r="AJ45" s="3">
        <f>IFERROR(__xludf.DUMMYFUNCTION("""COMPUTED_VALUE"""),0.0)</f>
        <v>0</v>
      </c>
      <c r="AK45" s="3">
        <f>IFERROR(__xludf.DUMMYFUNCTION("""COMPUTED_VALUE"""),0.0)</f>
        <v>0</v>
      </c>
      <c r="AL45" s="3">
        <f>IFERROR(__xludf.DUMMYFUNCTION("""COMPUTED_VALUE"""),0.0)</f>
        <v>0</v>
      </c>
      <c r="AM45" s="3">
        <f>IFERROR(__xludf.DUMMYFUNCTION("""COMPUTED_VALUE"""),0.0)</f>
        <v>0</v>
      </c>
      <c r="AN45" s="3">
        <f>IFERROR(__xludf.DUMMYFUNCTION("""COMPUTED_VALUE"""),0.0)</f>
        <v>0</v>
      </c>
      <c r="AO45" s="3">
        <f>IFERROR(__xludf.DUMMYFUNCTION("""COMPUTED_VALUE"""),0.0)</f>
        <v>0</v>
      </c>
      <c r="AP45" s="3">
        <f>IFERROR(__xludf.DUMMYFUNCTION("""COMPUTED_VALUE"""),0.0)</f>
        <v>0</v>
      </c>
      <c r="AQ45" s="3">
        <f>IFERROR(__xludf.DUMMYFUNCTION("""COMPUTED_VALUE"""),0.0)</f>
        <v>0</v>
      </c>
      <c r="AR45" s="3">
        <f>IFERROR(__xludf.DUMMYFUNCTION("""COMPUTED_VALUE"""),0.0)</f>
        <v>0</v>
      </c>
      <c r="AS45" s="3">
        <f>IFERROR(__xludf.DUMMYFUNCTION("""COMPUTED_VALUE"""),0.0)</f>
        <v>0</v>
      </c>
      <c r="AT45" s="3">
        <f>IFERROR(__xludf.DUMMYFUNCTION("""COMPUTED_VALUE"""),0.0)</f>
        <v>0</v>
      </c>
      <c r="AU45" s="3">
        <f>IFERROR(__xludf.DUMMYFUNCTION("""COMPUTED_VALUE"""),0.0)</f>
        <v>0</v>
      </c>
      <c r="AV45" s="3">
        <f>IFERROR(__xludf.DUMMYFUNCTION("""COMPUTED_VALUE"""),0.0)</f>
        <v>0</v>
      </c>
      <c r="AW45" s="3">
        <f>IFERROR(__xludf.DUMMYFUNCTION("""COMPUTED_VALUE"""),0.0)</f>
        <v>0</v>
      </c>
      <c r="AX45" s="3">
        <f>IFERROR(__xludf.DUMMYFUNCTION("""COMPUTED_VALUE"""),0.0)</f>
        <v>0</v>
      </c>
      <c r="AY45" s="3">
        <f>IFERROR(__xludf.DUMMYFUNCTION("""COMPUTED_VALUE"""),0.0)</f>
        <v>0</v>
      </c>
      <c r="AZ45" s="3">
        <f>IFERROR(__xludf.DUMMYFUNCTION("""COMPUTED_VALUE"""),0.0)</f>
        <v>0</v>
      </c>
      <c r="BA45" s="3">
        <f>IFERROR(__xludf.DUMMYFUNCTION("""COMPUTED_VALUE"""),0.0)</f>
        <v>0</v>
      </c>
      <c r="BB45" s="3">
        <f>IFERROR(__xludf.DUMMYFUNCTION("""COMPUTED_VALUE"""),0.0)</f>
        <v>0</v>
      </c>
      <c r="BC45" s="3">
        <f>IFERROR(__xludf.DUMMYFUNCTION("""COMPUTED_VALUE"""),0.0)</f>
        <v>0</v>
      </c>
      <c r="BD45" s="3">
        <f>IFERROR(__xludf.DUMMYFUNCTION("""COMPUTED_VALUE"""),0.0)</f>
        <v>0</v>
      </c>
      <c r="BE45" s="3">
        <f>IFERROR(__xludf.DUMMYFUNCTION("""COMPUTED_VALUE"""),0.0)</f>
        <v>0</v>
      </c>
      <c r="BF45" s="3">
        <f>IFERROR(__xludf.DUMMYFUNCTION("""COMPUTED_VALUE"""),0.0)</f>
        <v>0</v>
      </c>
      <c r="BG45" s="3">
        <f>IFERROR(__xludf.DUMMYFUNCTION("""COMPUTED_VALUE"""),0.0)</f>
        <v>0</v>
      </c>
      <c r="BH45" s="3">
        <f>IFERROR(__xludf.DUMMYFUNCTION("""COMPUTED_VALUE"""),0.0)</f>
        <v>0</v>
      </c>
      <c r="BI45" s="3">
        <f>IFERROR(__xludf.DUMMYFUNCTION("""COMPUTED_VALUE"""),0.0)</f>
        <v>0</v>
      </c>
      <c r="BJ45" s="3">
        <f>IFERROR(__xludf.DUMMYFUNCTION("""COMPUTED_VALUE"""),0.0)</f>
        <v>0</v>
      </c>
      <c r="BK45" s="3">
        <f>IFERROR(__xludf.DUMMYFUNCTION("""COMPUTED_VALUE"""),0.0)</f>
        <v>0</v>
      </c>
      <c r="BL45" s="3">
        <f>IFERROR(__xludf.DUMMYFUNCTION("""COMPUTED_VALUE"""),0.0)</f>
        <v>0</v>
      </c>
      <c r="BM45" s="3">
        <f>IFERROR(__xludf.DUMMYFUNCTION("""COMPUTED_VALUE"""),0.0)</f>
        <v>0</v>
      </c>
      <c r="BN45" s="3">
        <f>IFERROR(__xludf.DUMMYFUNCTION("""COMPUTED_VALUE"""),0.0)</f>
        <v>0</v>
      </c>
      <c r="BO45" s="3">
        <f>IFERROR(__xludf.DUMMYFUNCTION("""COMPUTED_VALUE"""),0.0)</f>
        <v>0</v>
      </c>
      <c r="BP45" s="3">
        <f>IFERROR(__xludf.DUMMYFUNCTION("""COMPUTED_VALUE"""),0.0)</f>
        <v>0</v>
      </c>
      <c r="BQ45" s="3">
        <f>IFERROR(__xludf.DUMMYFUNCTION("""COMPUTED_VALUE"""),0.0)</f>
        <v>0</v>
      </c>
      <c r="BR45" s="3">
        <f>IFERROR(__xludf.DUMMYFUNCTION("""COMPUTED_VALUE"""),0.0)</f>
        <v>0</v>
      </c>
      <c r="BS45" s="3">
        <f>IFERROR(__xludf.DUMMYFUNCTION("""COMPUTED_VALUE"""),0.0)</f>
        <v>0</v>
      </c>
      <c r="BT45" s="3">
        <f>IFERROR(__xludf.DUMMYFUNCTION("""COMPUTED_VALUE"""),0.0)</f>
        <v>0</v>
      </c>
      <c r="BU45" s="3">
        <f>IFERROR(__xludf.DUMMYFUNCTION("""COMPUTED_VALUE"""),0.0)</f>
        <v>0</v>
      </c>
      <c r="BV45" s="3">
        <f>IFERROR(__xludf.DUMMYFUNCTION("""COMPUTED_VALUE"""),0.0)</f>
        <v>0</v>
      </c>
      <c r="BW45" s="3">
        <f>IFERROR(__xludf.DUMMYFUNCTION("""COMPUTED_VALUE"""),0.0)</f>
        <v>0</v>
      </c>
      <c r="BX45" s="3">
        <f>IFERROR(__xludf.DUMMYFUNCTION("""COMPUTED_VALUE"""),0.0)</f>
        <v>0</v>
      </c>
      <c r="BY45" s="3">
        <f>IFERROR(__xludf.DUMMYFUNCTION("""COMPUTED_VALUE"""),0.0)</f>
        <v>0</v>
      </c>
      <c r="BZ45" s="3">
        <f>IFERROR(__xludf.DUMMYFUNCTION("""COMPUTED_VALUE"""),0.0)</f>
        <v>0</v>
      </c>
      <c r="CA45" s="3">
        <f>IFERROR(__xludf.DUMMYFUNCTION("""COMPUTED_VALUE"""),0.0)</f>
        <v>0</v>
      </c>
      <c r="CB45" s="3">
        <f>IFERROR(__xludf.DUMMYFUNCTION("""COMPUTED_VALUE"""),0.0)</f>
        <v>0</v>
      </c>
    </row>
    <row r="46">
      <c r="A46" s="3" t="str">
        <f>IFERROR(__xludf.DUMMYFUNCTION("""COMPUTED_VALUE"""),"Quebec")</f>
        <v>Quebec</v>
      </c>
      <c r="B46" s="3" t="str">
        <f>IFERROR(__xludf.DUMMYFUNCTION("""COMPUTED_VALUE"""),"Canada")</f>
        <v>Canada</v>
      </c>
      <c r="C46" s="3">
        <f>IFERROR(__xludf.DUMMYFUNCTION("""COMPUTED_VALUE"""),52.9399)</f>
        <v>52.9399</v>
      </c>
      <c r="D46" s="3">
        <f>IFERROR(__xludf.DUMMYFUNCTION("""COMPUTED_VALUE"""),-73.5491)</f>
        <v>-73.5491</v>
      </c>
      <c r="E46" s="3">
        <f>IFERROR(__xludf.DUMMYFUNCTION("""COMPUTED_VALUE"""),0.0)</f>
        <v>0</v>
      </c>
      <c r="F46" s="3">
        <f>IFERROR(__xludf.DUMMYFUNCTION("""COMPUTED_VALUE"""),0.0)</f>
        <v>0</v>
      </c>
      <c r="G46" s="3">
        <f>IFERROR(__xludf.DUMMYFUNCTION("""COMPUTED_VALUE"""),0.0)</f>
        <v>0</v>
      </c>
      <c r="H46" s="3">
        <f>IFERROR(__xludf.DUMMYFUNCTION("""COMPUTED_VALUE"""),0.0)</f>
        <v>0</v>
      </c>
      <c r="I46" s="3">
        <f>IFERROR(__xludf.DUMMYFUNCTION("""COMPUTED_VALUE"""),0.0)</f>
        <v>0</v>
      </c>
      <c r="J46" s="3">
        <f>IFERROR(__xludf.DUMMYFUNCTION("""COMPUTED_VALUE"""),0.0)</f>
        <v>0</v>
      </c>
      <c r="K46" s="3">
        <f>IFERROR(__xludf.DUMMYFUNCTION("""COMPUTED_VALUE"""),0.0)</f>
        <v>0</v>
      </c>
      <c r="L46" s="3">
        <f>IFERROR(__xludf.DUMMYFUNCTION("""COMPUTED_VALUE"""),0.0)</f>
        <v>0</v>
      </c>
      <c r="M46" s="3">
        <f>IFERROR(__xludf.DUMMYFUNCTION("""COMPUTED_VALUE"""),0.0)</f>
        <v>0</v>
      </c>
      <c r="N46" s="3">
        <f>IFERROR(__xludf.DUMMYFUNCTION("""COMPUTED_VALUE"""),0.0)</f>
        <v>0</v>
      </c>
      <c r="O46" s="3">
        <f>IFERROR(__xludf.DUMMYFUNCTION("""COMPUTED_VALUE"""),0.0)</f>
        <v>0</v>
      </c>
      <c r="P46" s="3">
        <f>IFERROR(__xludf.DUMMYFUNCTION("""COMPUTED_VALUE"""),0.0)</f>
        <v>0</v>
      </c>
      <c r="Q46" s="3">
        <f>IFERROR(__xludf.DUMMYFUNCTION("""COMPUTED_VALUE"""),0.0)</f>
        <v>0</v>
      </c>
      <c r="R46" s="3">
        <f>IFERROR(__xludf.DUMMYFUNCTION("""COMPUTED_VALUE"""),0.0)</f>
        <v>0</v>
      </c>
      <c r="S46" s="3">
        <f>IFERROR(__xludf.DUMMYFUNCTION("""COMPUTED_VALUE"""),0.0)</f>
        <v>0</v>
      </c>
      <c r="T46" s="3">
        <f>IFERROR(__xludf.DUMMYFUNCTION("""COMPUTED_VALUE"""),0.0)</f>
        <v>0</v>
      </c>
      <c r="U46" s="3">
        <f>IFERROR(__xludf.DUMMYFUNCTION("""COMPUTED_VALUE"""),0.0)</f>
        <v>0</v>
      </c>
      <c r="V46" s="3">
        <f>IFERROR(__xludf.DUMMYFUNCTION("""COMPUTED_VALUE"""),0.0)</f>
        <v>0</v>
      </c>
      <c r="W46" s="3">
        <f>IFERROR(__xludf.DUMMYFUNCTION("""COMPUTED_VALUE"""),0.0)</f>
        <v>0</v>
      </c>
      <c r="X46" s="3">
        <f>IFERROR(__xludf.DUMMYFUNCTION("""COMPUTED_VALUE"""),0.0)</f>
        <v>0</v>
      </c>
      <c r="Y46" s="3">
        <f>IFERROR(__xludf.DUMMYFUNCTION("""COMPUTED_VALUE"""),0.0)</f>
        <v>0</v>
      </c>
      <c r="Z46" s="3">
        <f>IFERROR(__xludf.DUMMYFUNCTION("""COMPUTED_VALUE"""),0.0)</f>
        <v>0</v>
      </c>
      <c r="AA46" s="3">
        <f>IFERROR(__xludf.DUMMYFUNCTION("""COMPUTED_VALUE"""),0.0)</f>
        <v>0</v>
      </c>
      <c r="AB46" s="3">
        <f>IFERROR(__xludf.DUMMYFUNCTION("""COMPUTED_VALUE"""),0.0)</f>
        <v>0</v>
      </c>
      <c r="AC46" s="3">
        <f>IFERROR(__xludf.DUMMYFUNCTION("""COMPUTED_VALUE"""),0.0)</f>
        <v>0</v>
      </c>
      <c r="AD46" s="3">
        <f>IFERROR(__xludf.DUMMYFUNCTION("""COMPUTED_VALUE"""),0.0)</f>
        <v>0</v>
      </c>
      <c r="AE46" s="3">
        <f>IFERROR(__xludf.DUMMYFUNCTION("""COMPUTED_VALUE"""),0.0)</f>
        <v>0</v>
      </c>
      <c r="AF46" s="3">
        <f>IFERROR(__xludf.DUMMYFUNCTION("""COMPUTED_VALUE"""),0.0)</f>
        <v>0</v>
      </c>
      <c r="AG46" s="3">
        <f>IFERROR(__xludf.DUMMYFUNCTION("""COMPUTED_VALUE"""),0.0)</f>
        <v>0</v>
      </c>
      <c r="AH46" s="3">
        <f>IFERROR(__xludf.DUMMYFUNCTION("""COMPUTED_VALUE"""),0.0)</f>
        <v>0</v>
      </c>
      <c r="AI46" s="3">
        <f>IFERROR(__xludf.DUMMYFUNCTION("""COMPUTED_VALUE"""),0.0)</f>
        <v>0</v>
      </c>
      <c r="AJ46" s="3">
        <f>IFERROR(__xludf.DUMMYFUNCTION("""COMPUTED_VALUE"""),0.0)</f>
        <v>0</v>
      </c>
      <c r="AK46" s="3">
        <f>IFERROR(__xludf.DUMMYFUNCTION("""COMPUTED_VALUE"""),0.0)</f>
        <v>0</v>
      </c>
      <c r="AL46" s="3">
        <f>IFERROR(__xludf.DUMMYFUNCTION("""COMPUTED_VALUE"""),0.0)</f>
        <v>0</v>
      </c>
      <c r="AM46" s="3">
        <f>IFERROR(__xludf.DUMMYFUNCTION("""COMPUTED_VALUE"""),0.0)</f>
        <v>0</v>
      </c>
      <c r="AN46" s="3">
        <f>IFERROR(__xludf.DUMMYFUNCTION("""COMPUTED_VALUE"""),0.0)</f>
        <v>0</v>
      </c>
      <c r="AO46" s="3">
        <f>IFERROR(__xludf.DUMMYFUNCTION("""COMPUTED_VALUE"""),0.0)</f>
        <v>0</v>
      </c>
      <c r="AP46" s="3">
        <f>IFERROR(__xludf.DUMMYFUNCTION("""COMPUTED_VALUE"""),0.0)</f>
        <v>0</v>
      </c>
      <c r="AQ46" s="3">
        <f>IFERROR(__xludf.DUMMYFUNCTION("""COMPUTED_VALUE"""),0.0)</f>
        <v>0</v>
      </c>
      <c r="AR46" s="3">
        <f>IFERROR(__xludf.DUMMYFUNCTION("""COMPUTED_VALUE"""),0.0)</f>
        <v>0</v>
      </c>
      <c r="AS46" s="3">
        <f>IFERROR(__xludf.DUMMYFUNCTION("""COMPUTED_VALUE"""),0.0)</f>
        <v>0</v>
      </c>
      <c r="AT46" s="3">
        <f>IFERROR(__xludf.DUMMYFUNCTION("""COMPUTED_VALUE"""),0.0)</f>
        <v>0</v>
      </c>
      <c r="AU46" s="3">
        <f>IFERROR(__xludf.DUMMYFUNCTION("""COMPUTED_VALUE"""),0.0)</f>
        <v>0</v>
      </c>
      <c r="AV46" s="3">
        <f>IFERROR(__xludf.DUMMYFUNCTION("""COMPUTED_VALUE"""),0.0)</f>
        <v>0</v>
      </c>
      <c r="AW46" s="3">
        <f>IFERROR(__xludf.DUMMYFUNCTION("""COMPUTED_VALUE"""),0.0)</f>
        <v>0</v>
      </c>
      <c r="AX46" s="3">
        <f>IFERROR(__xludf.DUMMYFUNCTION("""COMPUTED_VALUE"""),0.0)</f>
        <v>0</v>
      </c>
      <c r="AY46" s="3">
        <f>IFERROR(__xludf.DUMMYFUNCTION("""COMPUTED_VALUE"""),0.0)</f>
        <v>0</v>
      </c>
      <c r="AZ46" s="3">
        <f>IFERROR(__xludf.DUMMYFUNCTION("""COMPUTED_VALUE"""),0.0)</f>
        <v>0</v>
      </c>
      <c r="BA46" s="3">
        <f>IFERROR(__xludf.DUMMYFUNCTION("""COMPUTED_VALUE"""),0.0)</f>
        <v>0</v>
      </c>
      <c r="BB46" s="3">
        <f>IFERROR(__xludf.DUMMYFUNCTION("""COMPUTED_VALUE"""),0.0)</f>
        <v>0</v>
      </c>
      <c r="BC46" s="3">
        <f>IFERROR(__xludf.DUMMYFUNCTION("""COMPUTED_VALUE"""),0.0)</f>
        <v>0</v>
      </c>
      <c r="BD46" s="3">
        <f>IFERROR(__xludf.DUMMYFUNCTION("""COMPUTED_VALUE"""),0.0)</f>
        <v>0</v>
      </c>
      <c r="BE46" s="3">
        <f>IFERROR(__xludf.DUMMYFUNCTION("""COMPUTED_VALUE"""),0.0)</f>
        <v>0</v>
      </c>
      <c r="BF46" s="3">
        <f>IFERROR(__xludf.DUMMYFUNCTION("""COMPUTED_VALUE"""),0.0)</f>
        <v>0</v>
      </c>
      <c r="BG46" s="3">
        <f>IFERROR(__xludf.DUMMYFUNCTION("""COMPUTED_VALUE"""),0.0)</f>
        <v>0</v>
      </c>
      <c r="BH46" s="3">
        <f>IFERROR(__xludf.DUMMYFUNCTION("""COMPUTED_VALUE"""),0.0)</f>
        <v>0</v>
      </c>
      <c r="BI46" s="3">
        <f>IFERROR(__xludf.DUMMYFUNCTION("""COMPUTED_VALUE"""),0.0)</f>
        <v>0</v>
      </c>
      <c r="BJ46" s="3">
        <f>IFERROR(__xludf.DUMMYFUNCTION("""COMPUTED_VALUE"""),1.0)</f>
        <v>1</v>
      </c>
      <c r="BK46" s="3">
        <f>IFERROR(__xludf.DUMMYFUNCTION("""COMPUTED_VALUE"""),1.0)</f>
        <v>1</v>
      </c>
      <c r="BL46" s="3">
        <f>IFERROR(__xludf.DUMMYFUNCTION("""COMPUTED_VALUE"""),5.0)</f>
        <v>5</v>
      </c>
      <c r="BM46" s="3">
        <f>IFERROR(__xludf.DUMMYFUNCTION("""COMPUTED_VALUE"""),4.0)</f>
        <v>4</v>
      </c>
      <c r="BN46" s="3">
        <f>IFERROR(__xludf.DUMMYFUNCTION("""COMPUTED_VALUE"""),4.0)</f>
        <v>4</v>
      </c>
      <c r="BO46" s="3">
        <f>IFERROR(__xludf.DUMMYFUNCTION("""COMPUTED_VALUE"""),4.0)</f>
        <v>4</v>
      </c>
      <c r="BP46" s="3">
        <f>IFERROR(__xludf.DUMMYFUNCTION("""COMPUTED_VALUE"""),6.0)</f>
        <v>6</v>
      </c>
      <c r="BQ46" s="3">
        <f>IFERROR(__xludf.DUMMYFUNCTION("""COMPUTED_VALUE"""),8.0)</f>
        <v>8</v>
      </c>
      <c r="BR46" s="3">
        <f>IFERROR(__xludf.DUMMYFUNCTION("""COMPUTED_VALUE"""),18.0)</f>
        <v>18</v>
      </c>
      <c r="BS46" s="3">
        <f>IFERROR(__xludf.DUMMYFUNCTION("""COMPUTED_VALUE"""),22.0)</f>
        <v>22</v>
      </c>
      <c r="BT46" s="3">
        <f>IFERROR(__xludf.DUMMYFUNCTION("""COMPUTED_VALUE"""),22.0)</f>
        <v>22</v>
      </c>
      <c r="BU46" s="3">
        <f>IFERROR(__xludf.DUMMYFUNCTION("""COMPUTED_VALUE"""),22.0)</f>
        <v>22</v>
      </c>
      <c r="BV46" s="3">
        <f>IFERROR(__xludf.DUMMYFUNCTION("""COMPUTED_VALUE"""),31.0)</f>
        <v>31</v>
      </c>
      <c r="BW46" s="3">
        <f>IFERROR(__xludf.DUMMYFUNCTION("""COMPUTED_VALUE"""),33.0)</f>
        <v>33</v>
      </c>
      <c r="BX46" s="3">
        <f>IFERROR(__xludf.DUMMYFUNCTION("""COMPUTED_VALUE"""),36.0)</f>
        <v>36</v>
      </c>
      <c r="BY46" s="3">
        <f>IFERROR(__xludf.DUMMYFUNCTION("""COMPUTED_VALUE"""),61.0)</f>
        <v>61</v>
      </c>
      <c r="BZ46" s="3">
        <f>IFERROR(__xludf.DUMMYFUNCTION("""COMPUTED_VALUE"""),61.0)</f>
        <v>61</v>
      </c>
      <c r="CA46" s="3">
        <f>IFERROR(__xludf.DUMMYFUNCTION("""COMPUTED_VALUE"""),75.0)</f>
        <v>75</v>
      </c>
      <c r="CB46" s="3">
        <f>IFERROR(__xludf.DUMMYFUNCTION("""COMPUTED_VALUE"""),121.0)</f>
        <v>121</v>
      </c>
    </row>
    <row r="47">
      <c r="A47" s="3" t="str">
        <f>IFERROR(__xludf.DUMMYFUNCTION("""COMPUTED_VALUE"""),"Saskatchewan")</f>
        <v>Saskatchewan</v>
      </c>
      <c r="B47" s="3" t="str">
        <f>IFERROR(__xludf.DUMMYFUNCTION("""COMPUTED_VALUE"""),"Canada")</f>
        <v>Canada</v>
      </c>
      <c r="C47" s="3">
        <f>IFERROR(__xludf.DUMMYFUNCTION("""COMPUTED_VALUE"""),52.9399)</f>
        <v>52.9399</v>
      </c>
      <c r="D47" s="3">
        <f>IFERROR(__xludf.DUMMYFUNCTION("""COMPUTED_VALUE"""),-106.4509)</f>
        <v>-106.4509</v>
      </c>
      <c r="E47" s="3">
        <f>IFERROR(__xludf.DUMMYFUNCTION("""COMPUTED_VALUE"""),0.0)</f>
        <v>0</v>
      </c>
      <c r="F47" s="3">
        <f>IFERROR(__xludf.DUMMYFUNCTION("""COMPUTED_VALUE"""),0.0)</f>
        <v>0</v>
      </c>
      <c r="G47" s="3">
        <f>IFERROR(__xludf.DUMMYFUNCTION("""COMPUTED_VALUE"""),0.0)</f>
        <v>0</v>
      </c>
      <c r="H47" s="3">
        <f>IFERROR(__xludf.DUMMYFUNCTION("""COMPUTED_VALUE"""),0.0)</f>
        <v>0</v>
      </c>
      <c r="I47" s="3">
        <f>IFERROR(__xludf.DUMMYFUNCTION("""COMPUTED_VALUE"""),0.0)</f>
        <v>0</v>
      </c>
      <c r="J47" s="3">
        <f>IFERROR(__xludf.DUMMYFUNCTION("""COMPUTED_VALUE"""),0.0)</f>
        <v>0</v>
      </c>
      <c r="K47" s="3">
        <f>IFERROR(__xludf.DUMMYFUNCTION("""COMPUTED_VALUE"""),0.0)</f>
        <v>0</v>
      </c>
      <c r="L47" s="3">
        <f>IFERROR(__xludf.DUMMYFUNCTION("""COMPUTED_VALUE"""),0.0)</f>
        <v>0</v>
      </c>
      <c r="M47" s="3">
        <f>IFERROR(__xludf.DUMMYFUNCTION("""COMPUTED_VALUE"""),0.0)</f>
        <v>0</v>
      </c>
      <c r="N47" s="3">
        <f>IFERROR(__xludf.DUMMYFUNCTION("""COMPUTED_VALUE"""),0.0)</f>
        <v>0</v>
      </c>
      <c r="O47" s="3">
        <f>IFERROR(__xludf.DUMMYFUNCTION("""COMPUTED_VALUE"""),0.0)</f>
        <v>0</v>
      </c>
      <c r="P47" s="3">
        <f>IFERROR(__xludf.DUMMYFUNCTION("""COMPUTED_VALUE"""),0.0)</f>
        <v>0</v>
      </c>
      <c r="Q47" s="3">
        <f>IFERROR(__xludf.DUMMYFUNCTION("""COMPUTED_VALUE"""),0.0)</f>
        <v>0</v>
      </c>
      <c r="R47" s="3">
        <f>IFERROR(__xludf.DUMMYFUNCTION("""COMPUTED_VALUE"""),0.0)</f>
        <v>0</v>
      </c>
      <c r="S47" s="3">
        <f>IFERROR(__xludf.DUMMYFUNCTION("""COMPUTED_VALUE"""),0.0)</f>
        <v>0</v>
      </c>
      <c r="T47" s="3">
        <f>IFERROR(__xludf.DUMMYFUNCTION("""COMPUTED_VALUE"""),0.0)</f>
        <v>0</v>
      </c>
      <c r="U47" s="3">
        <f>IFERROR(__xludf.DUMMYFUNCTION("""COMPUTED_VALUE"""),0.0)</f>
        <v>0</v>
      </c>
      <c r="V47" s="3">
        <f>IFERROR(__xludf.DUMMYFUNCTION("""COMPUTED_VALUE"""),0.0)</f>
        <v>0</v>
      </c>
      <c r="W47" s="3">
        <f>IFERROR(__xludf.DUMMYFUNCTION("""COMPUTED_VALUE"""),0.0)</f>
        <v>0</v>
      </c>
      <c r="X47" s="3">
        <f>IFERROR(__xludf.DUMMYFUNCTION("""COMPUTED_VALUE"""),0.0)</f>
        <v>0</v>
      </c>
      <c r="Y47" s="3">
        <f>IFERROR(__xludf.DUMMYFUNCTION("""COMPUTED_VALUE"""),0.0)</f>
        <v>0</v>
      </c>
      <c r="Z47" s="3">
        <f>IFERROR(__xludf.DUMMYFUNCTION("""COMPUTED_VALUE"""),0.0)</f>
        <v>0</v>
      </c>
      <c r="AA47" s="3">
        <f>IFERROR(__xludf.DUMMYFUNCTION("""COMPUTED_VALUE"""),0.0)</f>
        <v>0</v>
      </c>
      <c r="AB47" s="3">
        <f>IFERROR(__xludf.DUMMYFUNCTION("""COMPUTED_VALUE"""),0.0)</f>
        <v>0</v>
      </c>
      <c r="AC47" s="3">
        <f>IFERROR(__xludf.DUMMYFUNCTION("""COMPUTED_VALUE"""),0.0)</f>
        <v>0</v>
      </c>
      <c r="AD47" s="3">
        <f>IFERROR(__xludf.DUMMYFUNCTION("""COMPUTED_VALUE"""),0.0)</f>
        <v>0</v>
      </c>
      <c r="AE47" s="3">
        <f>IFERROR(__xludf.DUMMYFUNCTION("""COMPUTED_VALUE"""),0.0)</f>
        <v>0</v>
      </c>
      <c r="AF47" s="3">
        <f>IFERROR(__xludf.DUMMYFUNCTION("""COMPUTED_VALUE"""),0.0)</f>
        <v>0</v>
      </c>
      <c r="AG47" s="3">
        <f>IFERROR(__xludf.DUMMYFUNCTION("""COMPUTED_VALUE"""),0.0)</f>
        <v>0</v>
      </c>
      <c r="AH47" s="3">
        <f>IFERROR(__xludf.DUMMYFUNCTION("""COMPUTED_VALUE"""),0.0)</f>
        <v>0</v>
      </c>
      <c r="AI47" s="3">
        <f>IFERROR(__xludf.DUMMYFUNCTION("""COMPUTED_VALUE"""),0.0)</f>
        <v>0</v>
      </c>
      <c r="AJ47" s="3">
        <f>IFERROR(__xludf.DUMMYFUNCTION("""COMPUTED_VALUE"""),0.0)</f>
        <v>0</v>
      </c>
      <c r="AK47" s="3">
        <f>IFERROR(__xludf.DUMMYFUNCTION("""COMPUTED_VALUE"""),0.0)</f>
        <v>0</v>
      </c>
      <c r="AL47" s="3">
        <f>IFERROR(__xludf.DUMMYFUNCTION("""COMPUTED_VALUE"""),0.0)</f>
        <v>0</v>
      </c>
      <c r="AM47" s="3">
        <f>IFERROR(__xludf.DUMMYFUNCTION("""COMPUTED_VALUE"""),0.0)</f>
        <v>0</v>
      </c>
      <c r="AN47" s="3">
        <f>IFERROR(__xludf.DUMMYFUNCTION("""COMPUTED_VALUE"""),0.0)</f>
        <v>0</v>
      </c>
      <c r="AO47" s="3">
        <f>IFERROR(__xludf.DUMMYFUNCTION("""COMPUTED_VALUE"""),0.0)</f>
        <v>0</v>
      </c>
      <c r="AP47" s="3">
        <f>IFERROR(__xludf.DUMMYFUNCTION("""COMPUTED_VALUE"""),0.0)</f>
        <v>0</v>
      </c>
      <c r="AQ47" s="3">
        <f>IFERROR(__xludf.DUMMYFUNCTION("""COMPUTED_VALUE"""),0.0)</f>
        <v>0</v>
      </c>
      <c r="AR47" s="3">
        <f>IFERROR(__xludf.DUMMYFUNCTION("""COMPUTED_VALUE"""),0.0)</f>
        <v>0</v>
      </c>
      <c r="AS47" s="3">
        <f>IFERROR(__xludf.DUMMYFUNCTION("""COMPUTED_VALUE"""),0.0)</f>
        <v>0</v>
      </c>
      <c r="AT47" s="3">
        <f>IFERROR(__xludf.DUMMYFUNCTION("""COMPUTED_VALUE"""),0.0)</f>
        <v>0</v>
      </c>
      <c r="AU47" s="3">
        <f>IFERROR(__xludf.DUMMYFUNCTION("""COMPUTED_VALUE"""),0.0)</f>
        <v>0</v>
      </c>
      <c r="AV47" s="3">
        <f>IFERROR(__xludf.DUMMYFUNCTION("""COMPUTED_VALUE"""),0.0)</f>
        <v>0</v>
      </c>
      <c r="AW47" s="3">
        <f>IFERROR(__xludf.DUMMYFUNCTION("""COMPUTED_VALUE"""),0.0)</f>
        <v>0</v>
      </c>
      <c r="AX47" s="3">
        <f>IFERROR(__xludf.DUMMYFUNCTION("""COMPUTED_VALUE"""),0.0)</f>
        <v>0</v>
      </c>
      <c r="AY47" s="3">
        <f>IFERROR(__xludf.DUMMYFUNCTION("""COMPUTED_VALUE"""),0.0)</f>
        <v>0</v>
      </c>
      <c r="AZ47" s="3">
        <f>IFERROR(__xludf.DUMMYFUNCTION("""COMPUTED_VALUE"""),0.0)</f>
        <v>0</v>
      </c>
      <c r="BA47" s="3">
        <f>IFERROR(__xludf.DUMMYFUNCTION("""COMPUTED_VALUE"""),0.0)</f>
        <v>0</v>
      </c>
      <c r="BB47" s="3">
        <f>IFERROR(__xludf.DUMMYFUNCTION("""COMPUTED_VALUE"""),0.0)</f>
        <v>0</v>
      </c>
      <c r="BC47" s="3">
        <f>IFERROR(__xludf.DUMMYFUNCTION("""COMPUTED_VALUE"""),0.0)</f>
        <v>0</v>
      </c>
      <c r="BD47" s="3">
        <f>IFERROR(__xludf.DUMMYFUNCTION("""COMPUTED_VALUE"""),0.0)</f>
        <v>0</v>
      </c>
      <c r="BE47" s="3">
        <f>IFERROR(__xludf.DUMMYFUNCTION("""COMPUTED_VALUE"""),0.0)</f>
        <v>0</v>
      </c>
      <c r="BF47" s="3">
        <f>IFERROR(__xludf.DUMMYFUNCTION("""COMPUTED_VALUE"""),0.0)</f>
        <v>0</v>
      </c>
      <c r="BG47" s="3">
        <f>IFERROR(__xludf.DUMMYFUNCTION("""COMPUTED_VALUE"""),0.0)</f>
        <v>0</v>
      </c>
      <c r="BH47" s="3">
        <f>IFERROR(__xludf.DUMMYFUNCTION("""COMPUTED_VALUE"""),0.0)</f>
        <v>0</v>
      </c>
      <c r="BI47" s="3">
        <f>IFERROR(__xludf.DUMMYFUNCTION("""COMPUTED_VALUE"""),0.0)</f>
        <v>0</v>
      </c>
      <c r="BJ47" s="3">
        <f>IFERROR(__xludf.DUMMYFUNCTION("""COMPUTED_VALUE"""),0.0)</f>
        <v>0</v>
      </c>
      <c r="BK47" s="3">
        <f>IFERROR(__xludf.DUMMYFUNCTION("""COMPUTED_VALUE"""),0.0)</f>
        <v>0</v>
      </c>
      <c r="BL47" s="3">
        <f>IFERROR(__xludf.DUMMYFUNCTION("""COMPUTED_VALUE"""),0.0)</f>
        <v>0</v>
      </c>
      <c r="BM47" s="3">
        <f>IFERROR(__xludf.DUMMYFUNCTION("""COMPUTED_VALUE"""),0.0)</f>
        <v>0</v>
      </c>
      <c r="BN47" s="3">
        <f>IFERROR(__xludf.DUMMYFUNCTION("""COMPUTED_VALUE"""),0.0)</f>
        <v>0</v>
      </c>
      <c r="BO47" s="3">
        <f>IFERROR(__xludf.DUMMYFUNCTION("""COMPUTED_VALUE"""),0.0)</f>
        <v>0</v>
      </c>
      <c r="BP47" s="3">
        <f>IFERROR(__xludf.DUMMYFUNCTION("""COMPUTED_VALUE"""),0.0)</f>
        <v>0</v>
      </c>
      <c r="BQ47" s="3">
        <f>IFERROR(__xludf.DUMMYFUNCTION("""COMPUTED_VALUE"""),0.0)</f>
        <v>0</v>
      </c>
      <c r="BR47" s="3">
        <f>IFERROR(__xludf.DUMMYFUNCTION("""COMPUTED_VALUE"""),0.0)</f>
        <v>0</v>
      </c>
      <c r="BS47" s="3">
        <f>IFERROR(__xludf.DUMMYFUNCTION("""COMPUTED_VALUE"""),0.0)</f>
        <v>0</v>
      </c>
      <c r="BT47" s="3">
        <f>IFERROR(__xludf.DUMMYFUNCTION("""COMPUTED_VALUE"""),0.0)</f>
        <v>0</v>
      </c>
      <c r="BU47" s="3">
        <f>IFERROR(__xludf.DUMMYFUNCTION("""COMPUTED_VALUE"""),2.0)</f>
        <v>2</v>
      </c>
      <c r="BV47" s="3">
        <f>IFERROR(__xludf.DUMMYFUNCTION("""COMPUTED_VALUE"""),2.0)</f>
        <v>2</v>
      </c>
      <c r="BW47" s="3">
        <f>IFERROR(__xludf.DUMMYFUNCTION("""COMPUTED_VALUE"""),3.0)</f>
        <v>3</v>
      </c>
      <c r="BX47" s="3">
        <f>IFERROR(__xludf.DUMMYFUNCTION("""COMPUTED_VALUE"""),3.0)</f>
        <v>3</v>
      </c>
      <c r="BY47" s="3">
        <f>IFERROR(__xludf.DUMMYFUNCTION("""COMPUTED_VALUE"""),3.0)</f>
        <v>3</v>
      </c>
      <c r="BZ47" s="3">
        <f>IFERROR(__xludf.DUMMYFUNCTION("""COMPUTED_VALUE"""),3.0)</f>
        <v>3</v>
      </c>
      <c r="CA47" s="3">
        <f>IFERROR(__xludf.DUMMYFUNCTION("""COMPUTED_VALUE"""),3.0)</f>
        <v>3</v>
      </c>
      <c r="CB47" s="3">
        <f>IFERROR(__xludf.DUMMYFUNCTION("""COMPUTED_VALUE"""),3.0)</f>
        <v>3</v>
      </c>
    </row>
    <row r="48">
      <c r="A48" s="3" t="str">
        <f>IFERROR(__xludf.DUMMYFUNCTION("""COMPUTED_VALUE"""),"")</f>
        <v/>
      </c>
      <c r="B48" s="3" t="str">
        <f>IFERROR(__xludf.DUMMYFUNCTION("""COMPUTED_VALUE"""),"Central African Republic")</f>
        <v>Central African Republic</v>
      </c>
      <c r="C48" s="3">
        <f>IFERROR(__xludf.DUMMYFUNCTION("""COMPUTED_VALUE"""),6.6111)</f>
        <v>6.6111</v>
      </c>
      <c r="D48" s="3">
        <f>IFERROR(__xludf.DUMMYFUNCTION("""COMPUTED_VALUE"""),20.9394)</f>
        <v>20.9394</v>
      </c>
      <c r="E48" s="3">
        <f>IFERROR(__xludf.DUMMYFUNCTION("""COMPUTED_VALUE"""),0.0)</f>
        <v>0</v>
      </c>
      <c r="F48" s="3">
        <f>IFERROR(__xludf.DUMMYFUNCTION("""COMPUTED_VALUE"""),0.0)</f>
        <v>0</v>
      </c>
      <c r="G48" s="3">
        <f>IFERROR(__xludf.DUMMYFUNCTION("""COMPUTED_VALUE"""),0.0)</f>
        <v>0</v>
      </c>
      <c r="H48" s="3">
        <f>IFERROR(__xludf.DUMMYFUNCTION("""COMPUTED_VALUE"""),0.0)</f>
        <v>0</v>
      </c>
      <c r="I48" s="3">
        <f>IFERROR(__xludf.DUMMYFUNCTION("""COMPUTED_VALUE"""),0.0)</f>
        <v>0</v>
      </c>
      <c r="J48" s="3">
        <f>IFERROR(__xludf.DUMMYFUNCTION("""COMPUTED_VALUE"""),0.0)</f>
        <v>0</v>
      </c>
      <c r="K48" s="3">
        <f>IFERROR(__xludf.DUMMYFUNCTION("""COMPUTED_VALUE"""),0.0)</f>
        <v>0</v>
      </c>
      <c r="L48" s="3">
        <f>IFERROR(__xludf.DUMMYFUNCTION("""COMPUTED_VALUE"""),0.0)</f>
        <v>0</v>
      </c>
      <c r="M48" s="3">
        <f>IFERROR(__xludf.DUMMYFUNCTION("""COMPUTED_VALUE"""),0.0)</f>
        <v>0</v>
      </c>
      <c r="N48" s="3">
        <f>IFERROR(__xludf.DUMMYFUNCTION("""COMPUTED_VALUE"""),0.0)</f>
        <v>0</v>
      </c>
      <c r="O48" s="3">
        <f>IFERROR(__xludf.DUMMYFUNCTION("""COMPUTED_VALUE"""),0.0)</f>
        <v>0</v>
      </c>
      <c r="P48" s="3">
        <f>IFERROR(__xludf.DUMMYFUNCTION("""COMPUTED_VALUE"""),0.0)</f>
        <v>0</v>
      </c>
      <c r="Q48" s="3">
        <f>IFERROR(__xludf.DUMMYFUNCTION("""COMPUTED_VALUE"""),0.0)</f>
        <v>0</v>
      </c>
      <c r="R48" s="3">
        <f>IFERROR(__xludf.DUMMYFUNCTION("""COMPUTED_VALUE"""),0.0)</f>
        <v>0</v>
      </c>
      <c r="S48" s="3">
        <f>IFERROR(__xludf.DUMMYFUNCTION("""COMPUTED_VALUE"""),0.0)</f>
        <v>0</v>
      </c>
      <c r="T48" s="3">
        <f>IFERROR(__xludf.DUMMYFUNCTION("""COMPUTED_VALUE"""),0.0)</f>
        <v>0</v>
      </c>
      <c r="U48" s="3">
        <f>IFERROR(__xludf.DUMMYFUNCTION("""COMPUTED_VALUE"""),0.0)</f>
        <v>0</v>
      </c>
      <c r="V48" s="3">
        <f>IFERROR(__xludf.DUMMYFUNCTION("""COMPUTED_VALUE"""),0.0)</f>
        <v>0</v>
      </c>
      <c r="W48" s="3">
        <f>IFERROR(__xludf.DUMMYFUNCTION("""COMPUTED_VALUE"""),0.0)</f>
        <v>0</v>
      </c>
      <c r="X48" s="3">
        <f>IFERROR(__xludf.DUMMYFUNCTION("""COMPUTED_VALUE"""),0.0)</f>
        <v>0</v>
      </c>
      <c r="Y48" s="3">
        <f>IFERROR(__xludf.DUMMYFUNCTION("""COMPUTED_VALUE"""),0.0)</f>
        <v>0</v>
      </c>
      <c r="Z48" s="3">
        <f>IFERROR(__xludf.DUMMYFUNCTION("""COMPUTED_VALUE"""),0.0)</f>
        <v>0</v>
      </c>
      <c r="AA48" s="3">
        <f>IFERROR(__xludf.DUMMYFUNCTION("""COMPUTED_VALUE"""),0.0)</f>
        <v>0</v>
      </c>
      <c r="AB48" s="3">
        <f>IFERROR(__xludf.DUMMYFUNCTION("""COMPUTED_VALUE"""),0.0)</f>
        <v>0</v>
      </c>
      <c r="AC48" s="3">
        <f>IFERROR(__xludf.DUMMYFUNCTION("""COMPUTED_VALUE"""),0.0)</f>
        <v>0</v>
      </c>
      <c r="AD48" s="3">
        <f>IFERROR(__xludf.DUMMYFUNCTION("""COMPUTED_VALUE"""),0.0)</f>
        <v>0</v>
      </c>
      <c r="AE48" s="3">
        <f>IFERROR(__xludf.DUMMYFUNCTION("""COMPUTED_VALUE"""),0.0)</f>
        <v>0</v>
      </c>
      <c r="AF48" s="3">
        <f>IFERROR(__xludf.DUMMYFUNCTION("""COMPUTED_VALUE"""),0.0)</f>
        <v>0</v>
      </c>
      <c r="AG48" s="3">
        <f>IFERROR(__xludf.DUMMYFUNCTION("""COMPUTED_VALUE"""),0.0)</f>
        <v>0</v>
      </c>
      <c r="AH48" s="3">
        <f>IFERROR(__xludf.DUMMYFUNCTION("""COMPUTED_VALUE"""),0.0)</f>
        <v>0</v>
      </c>
      <c r="AI48" s="3">
        <f>IFERROR(__xludf.DUMMYFUNCTION("""COMPUTED_VALUE"""),0.0)</f>
        <v>0</v>
      </c>
      <c r="AJ48" s="3">
        <f>IFERROR(__xludf.DUMMYFUNCTION("""COMPUTED_VALUE"""),0.0)</f>
        <v>0</v>
      </c>
      <c r="AK48" s="3">
        <f>IFERROR(__xludf.DUMMYFUNCTION("""COMPUTED_VALUE"""),0.0)</f>
        <v>0</v>
      </c>
      <c r="AL48" s="3">
        <f>IFERROR(__xludf.DUMMYFUNCTION("""COMPUTED_VALUE"""),0.0)</f>
        <v>0</v>
      </c>
      <c r="AM48" s="3">
        <f>IFERROR(__xludf.DUMMYFUNCTION("""COMPUTED_VALUE"""),0.0)</f>
        <v>0</v>
      </c>
      <c r="AN48" s="3">
        <f>IFERROR(__xludf.DUMMYFUNCTION("""COMPUTED_VALUE"""),0.0)</f>
        <v>0</v>
      </c>
      <c r="AO48" s="3">
        <f>IFERROR(__xludf.DUMMYFUNCTION("""COMPUTED_VALUE"""),0.0)</f>
        <v>0</v>
      </c>
      <c r="AP48" s="3">
        <f>IFERROR(__xludf.DUMMYFUNCTION("""COMPUTED_VALUE"""),0.0)</f>
        <v>0</v>
      </c>
      <c r="AQ48" s="3">
        <f>IFERROR(__xludf.DUMMYFUNCTION("""COMPUTED_VALUE"""),0.0)</f>
        <v>0</v>
      </c>
      <c r="AR48" s="3">
        <f>IFERROR(__xludf.DUMMYFUNCTION("""COMPUTED_VALUE"""),0.0)</f>
        <v>0</v>
      </c>
      <c r="AS48" s="3">
        <f>IFERROR(__xludf.DUMMYFUNCTION("""COMPUTED_VALUE"""),0.0)</f>
        <v>0</v>
      </c>
      <c r="AT48" s="3">
        <f>IFERROR(__xludf.DUMMYFUNCTION("""COMPUTED_VALUE"""),0.0)</f>
        <v>0</v>
      </c>
      <c r="AU48" s="3">
        <f>IFERROR(__xludf.DUMMYFUNCTION("""COMPUTED_VALUE"""),0.0)</f>
        <v>0</v>
      </c>
      <c r="AV48" s="3">
        <f>IFERROR(__xludf.DUMMYFUNCTION("""COMPUTED_VALUE"""),0.0)</f>
        <v>0</v>
      </c>
      <c r="AW48" s="3">
        <f>IFERROR(__xludf.DUMMYFUNCTION("""COMPUTED_VALUE"""),0.0)</f>
        <v>0</v>
      </c>
      <c r="AX48" s="3">
        <f>IFERROR(__xludf.DUMMYFUNCTION("""COMPUTED_VALUE"""),0.0)</f>
        <v>0</v>
      </c>
      <c r="AY48" s="3">
        <f>IFERROR(__xludf.DUMMYFUNCTION("""COMPUTED_VALUE"""),0.0)</f>
        <v>0</v>
      </c>
      <c r="AZ48" s="3">
        <f>IFERROR(__xludf.DUMMYFUNCTION("""COMPUTED_VALUE"""),0.0)</f>
        <v>0</v>
      </c>
      <c r="BA48" s="3">
        <f>IFERROR(__xludf.DUMMYFUNCTION("""COMPUTED_VALUE"""),0.0)</f>
        <v>0</v>
      </c>
      <c r="BB48" s="3">
        <f>IFERROR(__xludf.DUMMYFUNCTION("""COMPUTED_VALUE"""),0.0)</f>
        <v>0</v>
      </c>
      <c r="BC48" s="3">
        <f>IFERROR(__xludf.DUMMYFUNCTION("""COMPUTED_VALUE"""),0.0)</f>
        <v>0</v>
      </c>
      <c r="BD48" s="3">
        <f>IFERROR(__xludf.DUMMYFUNCTION("""COMPUTED_VALUE"""),0.0)</f>
        <v>0</v>
      </c>
      <c r="BE48" s="3">
        <f>IFERROR(__xludf.DUMMYFUNCTION("""COMPUTED_VALUE"""),0.0)</f>
        <v>0</v>
      </c>
      <c r="BF48" s="3">
        <f>IFERROR(__xludf.DUMMYFUNCTION("""COMPUTED_VALUE"""),0.0)</f>
        <v>0</v>
      </c>
      <c r="BG48" s="3">
        <f>IFERROR(__xludf.DUMMYFUNCTION("""COMPUTED_VALUE"""),0.0)</f>
        <v>0</v>
      </c>
      <c r="BH48" s="3">
        <f>IFERROR(__xludf.DUMMYFUNCTION("""COMPUTED_VALUE"""),0.0)</f>
        <v>0</v>
      </c>
      <c r="BI48" s="3">
        <f>IFERROR(__xludf.DUMMYFUNCTION("""COMPUTED_VALUE"""),0.0)</f>
        <v>0</v>
      </c>
      <c r="BJ48" s="3">
        <f>IFERROR(__xludf.DUMMYFUNCTION("""COMPUTED_VALUE"""),0.0)</f>
        <v>0</v>
      </c>
      <c r="BK48" s="3">
        <f>IFERROR(__xludf.DUMMYFUNCTION("""COMPUTED_VALUE"""),0.0)</f>
        <v>0</v>
      </c>
      <c r="BL48" s="3">
        <f>IFERROR(__xludf.DUMMYFUNCTION("""COMPUTED_VALUE"""),0.0)</f>
        <v>0</v>
      </c>
      <c r="BM48" s="3">
        <f>IFERROR(__xludf.DUMMYFUNCTION("""COMPUTED_VALUE"""),0.0)</f>
        <v>0</v>
      </c>
      <c r="BN48" s="3">
        <f>IFERROR(__xludf.DUMMYFUNCTION("""COMPUTED_VALUE"""),0.0)</f>
        <v>0</v>
      </c>
      <c r="BO48" s="3">
        <f>IFERROR(__xludf.DUMMYFUNCTION("""COMPUTED_VALUE"""),0.0)</f>
        <v>0</v>
      </c>
      <c r="BP48" s="3">
        <f>IFERROR(__xludf.DUMMYFUNCTION("""COMPUTED_VALUE"""),0.0)</f>
        <v>0</v>
      </c>
      <c r="BQ48" s="3">
        <f>IFERROR(__xludf.DUMMYFUNCTION("""COMPUTED_VALUE"""),0.0)</f>
        <v>0</v>
      </c>
      <c r="BR48" s="3">
        <f>IFERROR(__xludf.DUMMYFUNCTION("""COMPUTED_VALUE"""),0.0)</f>
        <v>0</v>
      </c>
      <c r="BS48" s="3">
        <f>IFERROR(__xludf.DUMMYFUNCTION("""COMPUTED_VALUE"""),0.0)</f>
        <v>0</v>
      </c>
      <c r="BT48" s="3">
        <f>IFERROR(__xludf.DUMMYFUNCTION("""COMPUTED_VALUE"""),0.0)</f>
        <v>0</v>
      </c>
      <c r="BU48" s="3">
        <f>IFERROR(__xludf.DUMMYFUNCTION("""COMPUTED_VALUE"""),0.0)</f>
        <v>0</v>
      </c>
      <c r="BV48" s="3">
        <f>IFERROR(__xludf.DUMMYFUNCTION("""COMPUTED_VALUE"""),0.0)</f>
        <v>0</v>
      </c>
      <c r="BW48" s="3">
        <f>IFERROR(__xludf.DUMMYFUNCTION("""COMPUTED_VALUE"""),0.0)</f>
        <v>0</v>
      </c>
      <c r="BX48" s="3">
        <f>IFERROR(__xludf.DUMMYFUNCTION("""COMPUTED_VALUE"""),0.0)</f>
        <v>0</v>
      </c>
      <c r="BY48" s="3">
        <f>IFERROR(__xludf.DUMMYFUNCTION("""COMPUTED_VALUE"""),0.0)</f>
        <v>0</v>
      </c>
      <c r="BZ48" s="3">
        <f>IFERROR(__xludf.DUMMYFUNCTION("""COMPUTED_VALUE"""),0.0)</f>
        <v>0</v>
      </c>
      <c r="CA48" s="3">
        <f>IFERROR(__xludf.DUMMYFUNCTION("""COMPUTED_VALUE"""),0.0)</f>
        <v>0</v>
      </c>
      <c r="CB48" s="3">
        <f>IFERROR(__xludf.DUMMYFUNCTION("""COMPUTED_VALUE"""),0.0)</f>
        <v>0</v>
      </c>
    </row>
    <row r="49">
      <c r="A49" s="3" t="str">
        <f>IFERROR(__xludf.DUMMYFUNCTION("""COMPUTED_VALUE"""),"")</f>
        <v/>
      </c>
      <c r="B49" s="3" t="str">
        <f>IFERROR(__xludf.DUMMYFUNCTION("""COMPUTED_VALUE"""),"Chad")</f>
        <v>Chad</v>
      </c>
      <c r="C49" s="3">
        <f>IFERROR(__xludf.DUMMYFUNCTION("""COMPUTED_VALUE"""),15.4542)</f>
        <v>15.4542</v>
      </c>
      <c r="D49" s="3">
        <f>IFERROR(__xludf.DUMMYFUNCTION("""COMPUTED_VALUE"""),18.7322)</f>
        <v>18.7322</v>
      </c>
      <c r="E49" s="3">
        <f>IFERROR(__xludf.DUMMYFUNCTION("""COMPUTED_VALUE"""),0.0)</f>
        <v>0</v>
      </c>
      <c r="F49" s="3">
        <f>IFERROR(__xludf.DUMMYFUNCTION("""COMPUTED_VALUE"""),0.0)</f>
        <v>0</v>
      </c>
      <c r="G49" s="3">
        <f>IFERROR(__xludf.DUMMYFUNCTION("""COMPUTED_VALUE"""),0.0)</f>
        <v>0</v>
      </c>
      <c r="H49" s="3">
        <f>IFERROR(__xludf.DUMMYFUNCTION("""COMPUTED_VALUE"""),0.0)</f>
        <v>0</v>
      </c>
      <c r="I49" s="3">
        <f>IFERROR(__xludf.DUMMYFUNCTION("""COMPUTED_VALUE"""),0.0)</f>
        <v>0</v>
      </c>
      <c r="J49" s="3">
        <f>IFERROR(__xludf.DUMMYFUNCTION("""COMPUTED_VALUE"""),0.0)</f>
        <v>0</v>
      </c>
      <c r="K49" s="3">
        <f>IFERROR(__xludf.DUMMYFUNCTION("""COMPUTED_VALUE"""),0.0)</f>
        <v>0</v>
      </c>
      <c r="L49" s="3">
        <f>IFERROR(__xludf.DUMMYFUNCTION("""COMPUTED_VALUE"""),0.0)</f>
        <v>0</v>
      </c>
      <c r="M49" s="3">
        <f>IFERROR(__xludf.DUMMYFUNCTION("""COMPUTED_VALUE"""),0.0)</f>
        <v>0</v>
      </c>
      <c r="N49" s="3">
        <f>IFERROR(__xludf.DUMMYFUNCTION("""COMPUTED_VALUE"""),0.0)</f>
        <v>0</v>
      </c>
      <c r="O49" s="3">
        <f>IFERROR(__xludf.DUMMYFUNCTION("""COMPUTED_VALUE"""),0.0)</f>
        <v>0</v>
      </c>
      <c r="P49" s="3">
        <f>IFERROR(__xludf.DUMMYFUNCTION("""COMPUTED_VALUE"""),0.0)</f>
        <v>0</v>
      </c>
      <c r="Q49" s="3">
        <f>IFERROR(__xludf.DUMMYFUNCTION("""COMPUTED_VALUE"""),0.0)</f>
        <v>0</v>
      </c>
      <c r="R49" s="3">
        <f>IFERROR(__xludf.DUMMYFUNCTION("""COMPUTED_VALUE"""),0.0)</f>
        <v>0</v>
      </c>
      <c r="S49" s="3">
        <f>IFERROR(__xludf.DUMMYFUNCTION("""COMPUTED_VALUE"""),0.0)</f>
        <v>0</v>
      </c>
      <c r="T49" s="3">
        <f>IFERROR(__xludf.DUMMYFUNCTION("""COMPUTED_VALUE"""),0.0)</f>
        <v>0</v>
      </c>
      <c r="U49" s="3">
        <f>IFERROR(__xludf.DUMMYFUNCTION("""COMPUTED_VALUE"""),0.0)</f>
        <v>0</v>
      </c>
      <c r="V49" s="3">
        <f>IFERROR(__xludf.DUMMYFUNCTION("""COMPUTED_VALUE"""),0.0)</f>
        <v>0</v>
      </c>
      <c r="W49" s="3">
        <f>IFERROR(__xludf.DUMMYFUNCTION("""COMPUTED_VALUE"""),0.0)</f>
        <v>0</v>
      </c>
      <c r="X49" s="3">
        <f>IFERROR(__xludf.DUMMYFUNCTION("""COMPUTED_VALUE"""),0.0)</f>
        <v>0</v>
      </c>
      <c r="Y49" s="3">
        <f>IFERROR(__xludf.DUMMYFUNCTION("""COMPUTED_VALUE"""),0.0)</f>
        <v>0</v>
      </c>
      <c r="Z49" s="3">
        <f>IFERROR(__xludf.DUMMYFUNCTION("""COMPUTED_VALUE"""),0.0)</f>
        <v>0</v>
      </c>
      <c r="AA49" s="3">
        <f>IFERROR(__xludf.DUMMYFUNCTION("""COMPUTED_VALUE"""),0.0)</f>
        <v>0</v>
      </c>
      <c r="AB49" s="3">
        <f>IFERROR(__xludf.DUMMYFUNCTION("""COMPUTED_VALUE"""),0.0)</f>
        <v>0</v>
      </c>
      <c r="AC49" s="3">
        <f>IFERROR(__xludf.DUMMYFUNCTION("""COMPUTED_VALUE"""),0.0)</f>
        <v>0</v>
      </c>
      <c r="AD49" s="3">
        <f>IFERROR(__xludf.DUMMYFUNCTION("""COMPUTED_VALUE"""),0.0)</f>
        <v>0</v>
      </c>
      <c r="AE49" s="3">
        <f>IFERROR(__xludf.DUMMYFUNCTION("""COMPUTED_VALUE"""),0.0)</f>
        <v>0</v>
      </c>
      <c r="AF49" s="3">
        <f>IFERROR(__xludf.DUMMYFUNCTION("""COMPUTED_VALUE"""),0.0)</f>
        <v>0</v>
      </c>
      <c r="AG49" s="3">
        <f>IFERROR(__xludf.DUMMYFUNCTION("""COMPUTED_VALUE"""),0.0)</f>
        <v>0</v>
      </c>
      <c r="AH49" s="3">
        <f>IFERROR(__xludf.DUMMYFUNCTION("""COMPUTED_VALUE"""),0.0)</f>
        <v>0</v>
      </c>
      <c r="AI49" s="3">
        <f>IFERROR(__xludf.DUMMYFUNCTION("""COMPUTED_VALUE"""),0.0)</f>
        <v>0</v>
      </c>
      <c r="AJ49" s="3">
        <f>IFERROR(__xludf.DUMMYFUNCTION("""COMPUTED_VALUE"""),0.0)</f>
        <v>0</v>
      </c>
      <c r="AK49" s="3">
        <f>IFERROR(__xludf.DUMMYFUNCTION("""COMPUTED_VALUE"""),0.0)</f>
        <v>0</v>
      </c>
      <c r="AL49" s="3">
        <f>IFERROR(__xludf.DUMMYFUNCTION("""COMPUTED_VALUE"""),0.0)</f>
        <v>0</v>
      </c>
      <c r="AM49" s="3">
        <f>IFERROR(__xludf.DUMMYFUNCTION("""COMPUTED_VALUE"""),0.0)</f>
        <v>0</v>
      </c>
      <c r="AN49" s="3">
        <f>IFERROR(__xludf.DUMMYFUNCTION("""COMPUTED_VALUE"""),0.0)</f>
        <v>0</v>
      </c>
      <c r="AO49" s="3">
        <f>IFERROR(__xludf.DUMMYFUNCTION("""COMPUTED_VALUE"""),0.0)</f>
        <v>0</v>
      </c>
      <c r="AP49" s="3">
        <f>IFERROR(__xludf.DUMMYFUNCTION("""COMPUTED_VALUE"""),0.0)</f>
        <v>0</v>
      </c>
      <c r="AQ49" s="3">
        <f>IFERROR(__xludf.DUMMYFUNCTION("""COMPUTED_VALUE"""),0.0)</f>
        <v>0</v>
      </c>
      <c r="AR49" s="3">
        <f>IFERROR(__xludf.DUMMYFUNCTION("""COMPUTED_VALUE"""),0.0)</f>
        <v>0</v>
      </c>
      <c r="AS49" s="3">
        <f>IFERROR(__xludf.DUMMYFUNCTION("""COMPUTED_VALUE"""),0.0)</f>
        <v>0</v>
      </c>
      <c r="AT49" s="3">
        <f>IFERROR(__xludf.DUMMYFUNCTION("""COMPUTED_VALUE"""),0.0)</f>
        <v>0</v>
      </c>
      <c r="AU49" s="3">
        <f>IFERROR(__xludf.DUMMYFUNCTION("""COMPUTED_VALUE"""),0.0)</f>
        <v>0</v>
      </c>
      <c r="AV49" s="3">
        <f>IFERROR(__xludf.DUMMYFUNCTION("""COMPUTED_VALUE"""),0.0)</f>
        <v>0</v>
      </c>
      <c r="AW49" s="3">
        <f>IFERROR(__xludf.DUMMYFUNCTION("""COMPUTED_VALUE"""),0.0)</f>
        <v>0</v>
      </c>
      <c r="AX49" s="3">
        <f>IFERROR(__xludf.DUMMYFUNCTION("""COMPUTED_VALUE"""),0.0)</f>
        <v>0</v>
      </c>
      <c r="AY49" s="3">
        <f>IFERROR(__xludf.DUMMYFUNCTION("""COMPUTED_VALUE"""),0.0)</f>
        <v>0</v>
      </c>
      <c r="AZ49" s="3">
        <f>IFERROR(__xludf.DUMMYFUNCTION("""COMPUTED_VALUE"""),0.0)</f>
        <v>0</v>
      </c>
      <c r="BA49" s="3">
        <f>IFERROR(__xludf.DUMMYFUNCTION("""COMPUTED_VALUE"""),0.0)</f>
        <v>0</v>
      </c>
      <c r="BB49" s="3">
        <f>IFERROR(__xludf.DUMMYFUNCTION("""COMPUTED_VALUE"""),0.0)</f>
        <v>0</v>
      </c>
      <c r="BC49" s="3">
        <f>IFERROR(__xludf.DUMMYFUNCTION("""COMPUTED_VALUE"""),0.0)</f>
        <v>0</v>
      </c>
      <c r="BD49" s="3">
        <f>IFERROR(__xludf.DUMMYFUNCTION("""COMPUTED_VALUE"""),0.0)</f>
        <v>0</v>
      </c>
      <c r="BE49" s="3">
        <f>IFERROR(__xludf.DUMMYFUNCTION("""COMPUTED_VALUE"""),0.0)</f>
        <v>0</v>
      </c>
      <c r="BF49" s="3">
        <f>IFERROR(__xludf.DUMMYFUNCTION("""COMPUTED_VALUE"""),0.0)</f>
        <v>0</v>
      </c>
      <c r="BG49" s="3">
        <f>IFERROR(__xludf.DUMMYFUNCTION("""COMPUTED_VALUE"""),0.0)</f>
        <v>0</v>
      </c>
      <c r="BH49" s="3">
        <f>IFERROR(__xludf.DUMMYFUNCTION("""COMPUTED_VALUE"""),0.0)</f>
        <v>0</v>
      </c>
      <c r="BI49" s="3">
        <f>IFERROR(__xludf.DUMMYFUNCTION("""COMPUTED_VALUE"""),0.0)</f>
        <v>0</v>
      </c>
      <c r="BJ49" s="3">
        <f>IFERROR(__xludf.DUMMYFUNCTION("""COMPUTED_VALUE"""),0.0)</f>
        <v>0</v>
      </c>
      <c r="BK49" s="3">
        <f>IFERROR(__xludf.DUMMYFUNCTION("""COMPUTED_VALUE"""),0.0)</f>
        <v>0</v>
      </c>
      <c r="BL49" s="3">
        <f>IFERROR(__xludf.DUMMYFUNCTION("""COMPUTED_VALUE"""),0.0)</f>
        <v>0</v>
      </c>
      <c r="BM49" s="3">
        <f>IFERROR(__xludf.DUMMYFUNCTION("""COMPUTED_VALUE"""),0.0)</f>
        <v>0</v>
      </c>
      <c r="BN49" s="3">
        <f>IFERROR(__xludf.DUMMYFUNCTION("""COMPUTED_VALUE"""),0.0)</f>
        <v>0</v>
      </c>
      <c r="BO49" s="3">
        <f>IFERROR(__xludf.DUMMYFUNCTION("""COMPUTED_VALUE"""),0.0)</f>
        <v>0</v>
      </c>
      <c r="BP49" s="3">
        <f>IFERROR(__xludf.DUMMYFUNCTION("""COMPUTED_VALUE"""),0.0)</f>
        <v>0</v>
      </c>
      <c r="BQ49" s="3">
        <f>IFERROR(__xludf.DUMMYFUNCTION("""COMPUTED_VALUE"""),0.0)</f>
        <v>0</v>
      </c>
      <c r="BR49" s="3">
        <f>IFERROR(__xludf.DUMMYFUNCTION("""COMPUTED_VALUE"""),0.0)</f>
        <v>0</v>
      </c>
      <c r="BS49" s="3">
        <f>IFERROR(__xludf.DUMMYFUNCTION("""COMPUTED_VALUE"""),0.0)</f>
        <v>0</v>
      </c>
      <c r="BT49" s="3">
        <f>IFERROR(__xludf.DUMMYFUNCTION("""COMPUTED_VALUE"""),0.0)</f>
        <v>0</v>
      </c>
      <c r="BU49" s="3">
        <f>IFERROR(__xludf.DUMMYFUNCTION("""COMPUTED_VALUE"""),0.0)</f>
        <v>0</v>
      </c>
      <c r="BV49" s="3">
        <f>IFERROR(__xludf.DUMMYFUNCTION("""COMPUTED_VALUE"""),0.0)</f>
        <v>0</v>
      </c>
      <c r="BW49" s="3">
        <f>IFERROR(__xludf.DUMMYFUNCTION("""COMPUTED_VALUE"""),0.0)</f>
        <v>0</v>
      </c>
      <c r="BX49" s="3">
        <f>IFERROR(__xludf.DUMMYFUNCTION("""COMPUTED_VALUE"""),0.0)</f>
        <v>0</v>
      </c>
      <c r="BY49" s="3">
        <f>IFERROR(__xludf.DUMMYFUNCTION("""COMPUTED_VALUE"""),0.0)</f>
        <v>0</v>
      </c>
      <c r="BZ49" s="3">
        <f>IFERROR(__xludf.DUMMYFUNCTION("""COMPUTED_VALUE"""),0.0)</f>
        <v>0</v>
      </c>
      <c r="CA49" s="3">
        <f>IFERROR(__xludf.DUMMYFUNCTION("""COMPUTED_VALUE"""),0.0)</f>
        <v>0</v>
      </c>
      <c r="CB49" s="3">
        <f>IFERROR(__xludf.DUMMYFUNCTION("""COMPUTED_VALUE"""),0.0)</f>
        <v>0</v>
      </c>
    </row>
    <row r="50">
      <c r="A50" s="3" t="str">
        <f>IFERROR(__xludf.DUMMYFUNCTION("""COMPUTED_VALUE"""),"")</f>
        <v/>
      </c>
      <c r="B50" s="3" t="str">
        <f>IFERROR(__xludf.DUMMYFUNCTION("""COMPUTED_VALUE"""),"Chile")</f>
        <v>Chile</v>
      </c>
      <c r="C50" s="3">
        <f>IFERROR(__xludf.DUMMYFUNCTION("""COMPUTED_VALUE"""),-35.6751)</f>
        <v>-35.6751</v>
      </c>
      <c r="D50" s="3">
        <f>IFERROR(__xludf.DUMMYFUNCTION("""COMPUTED_VALUE"""),-71.543)</f>
        <v>-71.543</v>
      </c>
      <c r="E50" s="3">
        <f>IFERROR(__xludf.DUMMYFUNCTION("""COMPUTED_VALUE"""),0.0)</f>
        <v>0</v>
      </c>
      <c r="F50" s="3">
        <f>IFERROR(__xludf.DUMMYFUNCTION("""COMPUTED_VALUE"""),0.0)</f>
        <v>0</v>
      </c>
      <c r="G50" s="3">
        <f>IFERROR(__xludf.DUMMYFUNCTION("""COMPUTED_VALUE"""),0.0)</f>
        <v>0</v>
      </c>
      <c r="H50" s="3">
        <f>IFERROR(__xludf.DUMMYFUNCTION("""COMPUTED_VALUE"""),0.0)</f>
        <v>0</v>
      </c>
      <c r="I50" s="3">
        <f>IFERROR(__xludf.DUMMYFUNCTION("""COMPUTED_VALUE"""),0.0)</f>
        <v>0</v>
      </c>
      <c r="J50" s="3">
        <f>IFERROR(__xludf.DUMMYFUNCTION("""COMPUTED_VALUE"""),0.0)</f>
        <v>0</v>
      </c>
      <c r="K50" s="3">
        <f>IFERROR(__xludf.DUMMYFUNCTION("""COMPUTED_VALUE"""),0.0)</f>
        <v>0</v>
      </c>
      <c r="L50" s="3">
        <f>IFERROR(__xludf.DUMMYFUNCTION("""COMPUTED_VALUE"""),0.0)</f>
        <v>0</v>
      </c>
      <c r="M50" s="3">
        <f>IFERROR(__xludf.DUMMYFUNCTION("""COMPUTED_VALUE"""),0.0)</f>
        <v>0</v>
      </c>
      <c r="N50" s="3">
        <f>IFERROR(__xludf.DUMMYFUNCTION("""COMPUTED_VALUE"""),0.0)</f>
        <v>0</v>
      </c>
      <c r="O50" s="3">
        <f>IFERROR(__xludf.DUMMYFUNCTION("""COMPUTED_VALUE"""),0.0)</f>
        <v>0</v>
      </c>
      <c r="P50" s="3">
        <f>IFERROR(__xludf.DUMMYFUNCTION("""COMPUTED_VALUE"""),0.0)</f>
        <v>0</v>
      </c>
      <c r="Q50" s="3">
        <f>IFERROR(__xludf.DUMMYFUNCTION("""COMPUTED_VALUE"""),0.0)</f>
        <v>0</v>
      </c>
      <c r="R50" s="3">
        <f>IFERROR(__xludf.DUMMYFUNCTION("""COMPUTED_VALUE"""),0.0)</f>
        <v>0</v>
      </c>
      <c r="S50" s="3">
        <f>IFERROR(__xludf.DUMMYFUNCTION("""COMPUTED_VALUE"""),0.0)</f>
        <v>0</v>
      </c>
      <c r="T50" s="3">
        <f>IFERROR(__xludf.DUMMYFUNCTION("""COMPUTED_VALUE"""),0.0)</f>
        <v>0</v>
      </c>
      <c r="U50" s="3">
        <f>IFERROR(__xludf.DUMMYFUNCTION("""COMPUTED_VALUE"""),0.0)</f>
        <v>0</v>
      </c>
      <c r="V50" s="3">
        <f>IFERROR(__xludf.DUMMYFUNCTION("""COMPUTED_VALUE"""),0.0)</f>
        <v>0</v>
      </c>
      <c r="W50" s="3">
        <f>IFERROR(__xludf.DUMMYFUNCTION("""COMPUTED_VALUE"""),0.0)</f>
        <v>0</v>
      </c>
      <c r="X50" s="3">
        <f>IFERROR(__xludf.DUMMYFUNCTION("""COMPUTED_VALUE"""),0.0)</f>
        <v>0</v>
      </c>
      <c r="Y50" s="3">
        <f>IFERROR(__xludf.DUMMYFUNCTION("""COMPUTED_VALUE"""),0.0)</f>
        <v>0</v>
      </c>
      <c r="Z50" s="3">
        <f>IFERROR(__xludf.DUMMYFUNCTION("""COMPUTED_VALUE"""),0.0)</f>
        <v>0</v>
      </c>
      <c r="AA50" s="3">
        <f>IFERROR(__xludf.DUMMYFUNCTION("""COMPUTED_VALUE"""),0.0)</f>
        <v>0</v>
      </c>
      <c r="AB50" s="3">
        <f>IFERROR(__xludf.DUMMYFUNCTION("""COMPUTED_VALUE"""),0.0)</f>
        <v>0</v>
      </c>
      <c r="AC50" s="3">
        <f>IFERROR(__xludf.DUMMYFUNCTION("""COMPUTED_VALUE"""),0.0)</f>
        <v>0</v>
      </c>
      <c r="AD50" s="3">
        <f>IFERROR(__xludf.DUMMYFUNCTION("""COMPUTED_VALUE"""),0.0)</f>
        <v>0</v>
      </c>
      <c r="AE50" s="3">
        <f>IFERROR(__xludf.DUMMYFUNCTION("""COMPUTED_VALUE"""),0.0)</f>
        <v>0</v>
      </c>
      <c r="AF50" s="3">
        <f>IFERROR(__xludf.DUMMYFUNCTION("""COMPUTED_VALUE"""),0.0)</f>
        <v>0</v>
      </c>
      <c r="AG50" s="3">
        <f>IFERROR(__xludf.DUMMYFUNCTION("""COMPUTED_VALUE"""),0.0)</f>
        <v>0</v>
      </c>
      <c r="AH50" s="3">
        <f>IFERROR(__xludf.DUMMYFUNCTION("""COMPUTED_VALUE"""),0.0)</f>
        <v>0</v>
      </c>
      <c r="AI50" s="3">
        <f>IFERROR(__xludf.DUMMYFUNCTION("""COMPUTED_VALUE"""),0.0)</f>
        <v>0</v>
      </c>
      <c r="AJ50" s="3">
        <f>IFERROR(__xludf.DUMMYFUNCTION("""COMPUTED_VALUE"""),0.0)</f>
        <v>0</v>
      </c>
      <c r="AK50" s="3">
        <f>IFERROR(__xludf.DUMMYFUNCTION("""COMPUTED_VALUE"""),0.0)</f>
        <v>0</v>
      </c>
      <c r="AL50" s="3">
        <f>IFERROR(__xludf.DUMMYFUNCTION("""COMPUTED_VALUE"""),0.0)</f>
        <v>0</v>
      </c>
      <c r="AM50" s="3">
        <f>IFERROR(__xludf.DUMMYFUNCTION("""COMPUTED_VALUE"""),0.0)</f>
        <v>0</v>
      </c>
      <c r="AN50" s="3">
        <f>IFERROR(__xludf.DUMMYFUNCTION("""COMPUTED_VALUE"""),0.0)</f>
        <v>0</v>
      </c>
      <c r="AO50" s="3">
        <f>IFERROR(__xludf.DUMMYFUNCTION("""COMPUTED_VALUE"""),0.0)</f>
        <v>0</v>
      </c>
      <c r="AP50" s="3">
        <f>IFERROR(__xludf.DUMMYFUNCTION("""COMPUTED_VALUE"""),0.0)</f>
        <v>0</v>
      </c>
      <c r="AQ50" s="3">
        <f>IFERROR(__xludf.DUMMYFUNCTION("""COMPUTED_VALUE"""),0.0)</f>
        <v>0</v>
      </c>
      <c r="AR50" s="3">
        <f>IFERROR(__xludf.DUMMYFUNCTION("""COMPUTED_VALUE"""),0.0)</f>
        <v>0</v>
      </c>
      <c r="AS50" s="3">
        <f>IFERROR(__xludf.DUMMYFUNCTION("""COMPUTED_VALUE"""),0.0)</f>
        <v>0</v>
      </c>
      <c r="AT50" s="3">
        <f>IFERROR(__xludf.DUMMYFUNCTION("""COMPUTED_VALUE"""),0.0)</f>
        <v>0</v>
      </c>
      <c r="AU50" s="3">
        <f>IFERROR(__xludf.DUMMYFUNCTION("""COMPUTED_VALUE"""),0.0)</f>
        <v>0</v>
      </c>
      <c r="AV50" s="3">
        <f>IFERROR(__xludf.DUMMYFUNCTION("""COMPUTED_VALUE"""),0.0)</f>
        <v>0</v>
      </c>
      <c r="AW50" s="3">
        <f>IFERROR(__xludf.DUMMYFUNCTION("""COMPUTED_VALUE"""),0.0)</f>
        <v>0</v>
      </c>
      <c r="AX50" s="3">
        <f>IFERROR(__xludf.DUMMYFUNCTION("""COMPUTED_VALUE"""),0.0)</f>
        <v>0</v>
      </c>
      <c r="AY50" s="3">
        <f>IFERROR(__xludf.DUMMYFUNCTION("""COMPUTED_VALUE"""),0.0)</f>
        <v>0</v>
      </c>
      <c r="AZ50" s="3">
        <f>IFERROR(__xludf.DUMMYFUNCTION("""COMPUTED_VALUE"""),0.0)</f>
        <v>0</v>
      </c>
      <c r="BA50" s="3">
        <f>IFERROR(__xludf.DUMMYFUNCTION("""COMPUTED_VALUE"""),0.0)</f>
        <v>0</v>
      </c>
      <c r="BB50" s="3">
        <f>IFERROR(__xludf.DUMMYFUNCTION("""COMPUTED_VALUE"""),0.0)</f>
        <v>0</v>
      </c>
      <c r="BC50" s="3">
        <f>IFERROR(__xludf.DUMMYFUNCTION("""COMPUTED_VALUE"""),0.0)</f>
        <v>0</v>
      </c>
      <c r="BD50" s="3">
        <f>IFERROR(__xludf.DUMMYFUNCTION("""COMPUTED_VALUE"""),0.0)</f>
        <v>0</v>
      </c>
      <c r="BE50" s="3">
        <f>IFERROR(__xludf.DUMMYFUNCTION("""COMPUTED_VALUE"""),0.0)</f>
        <v>0</v>
      </c>
      <c r="BF50" s="3">
        <f>IFERROR(__xludf.DUMMYFUNCTION("""COMPUTED_VALUE"""),0.0)</f>
        <v>0</v>
      </c>
      <c r="BG50" s="3">
        <f>IFERROR(__xludf.DUMMYFUNCTION("""COMPUTED_VALUE"""),0.0)</f>
        <v>0</v>
      </c>
      <c r="BH50" s="3">
        <f>IFERROR(__xludf.DUMMYFUNCTION("""COMPUTED_VALUE"""),0.0)</f>
        <v>0</v>
      </c>
      <c r="BI50" s="3">
        <f>IFERROR(__xludf.DUMMYFUNCTION("""COMPUTED_VALUE"""),0.0)</f>
        <v>0</v>
      </c>
      <c r="BJ50" s="3">
        <f>IFERROR(__xludf.DUMMYFUNCTION("""COMPUTED_VALUE"""),0.0)</f>
        <v>0</v>
      </c>
      <c r="BK50" s="3">
        <f>IFERROR(__xludf.DUMMYFUNCTION("""COMPUTED_VALUE"""),0.0)</f>
        <v>0</v>
      </c>
      <c r="BL50" s="3">
        <f>IFERROR(__xludf.DUMMYFUNCTION("""COMPUTED_VALUE"""),0.0)</f>
        <v>0</v>
      </c>
      <c r="BM50" s="3">
        <f>IFERROR(__xludf.DUMMYFUNCTION("""COMPUTED_VALUE"""),1.0)</f>
        <v>1</v>
      </c>
      <c r="BN50" s="3">
        <f>IFERROR(__xludf.DUMMYFUNCTION("""COMPUTED_VALUE"""),2.0)</f>
        <v>2</v>
      </c>
      <c r="BO50" s="3">
        <f>IFERROR(__xludf.DUMMYFUNCTION("""COMPUTED_VALUE"""),2.0)</f>
        <v>2</v>
      </c>
      <c r="BP50" s="3">
        <f>IFERROR(__xludf.DUMMYFUNCTION("""COMPUTED_VALUE"""),3.0)</f>
        <v>3</v>
      </c>
      <c r="BQ50" s="3">
        <f>IFERROR(__xludf.DUMMYFUNCTION("""COMPUTED_VALUE"""),4.0)</f>
        <v>4</v>
      </c>
      <c r="BR50" s="3">
        <f>IFERROR(__xludf.DUMMYFUNCTION("""COMPUTED_VALUE"""),5.0)</f>
        <v>5</v>
      </c>
      <c r="BS50" s="3">
        <f>IFERROR(__xludf.DUMMYFUNCTION("""COMPUTED_VALUE"""),6.0)</f>
        <v>6</v>
      </c>
      <c r="BT50" s="3">
        <f>IFERROR(__xludf.DUMMYFUNCTION("""COMPUTED_VALUE"""),7.0)</f>
        <v>7</v>
      </c>
      <c r="BU50" s="3">
        <f>IFERROR(__xludf.DUMMYFUNCTION("""COMPUTED_VALUE"""),8.0)</f>
        <v>8</v>
      </c>
      <c r="BV50" s="3">
        <f>IFERROR(__xludf.DUMMYFUNCTION("""COMPUTED_VALUE"""),12.0)</f>
        <v>12</v>
      </c>
      <c r="BW50" s="3">
        <f>IFERROR(__xludf.DUMMYFUNCTION("""COMPUTED_VALUE"""),16.0)</f>
        <v>16</v>
      </c>
      <c r="BX50" s="3">
        <f>IFERROR(__xludf.DUMMYFUNCTION("""COMPUTED_VALUE"""),18.0)</f>
        <v>18</v>
      </c>
      <c r="BY50" s="3">
        <f>IFERROR(__xludf.DUMMYFUNCTION("""COMPUTED_VALUE"""),22.0)</f>
        <v>22</v>
      </c>
      <c r="BZ50" s="3">
        <f>IFERROR(__xludf.DUMMYFUNCTION("""COMPUTED_VALUE"""),27.0)</f>
        <v>27</v>
      </c>
      <c r="CA50" s="3">
        <f>IFERROR(__xludf.DUMMYFUNCTION("""COMPUTED_VALUE"""),34.0)</f>
        <v>34</v>
      </c>
      <c r="CB50" s="3">
        <f>IFERROR(__xludf.DUMMYFUNCTION("""COMPUTED_VALUE"""),37.0)</f>
        <v>37</v>
      </c>
    </row>
    <row r="51">
      <c r="A51" s="3" t="str">
        <f>IFERROR(__xludf.DUMMYFUNCTION("""COMPUTED_VALUE"""),"Anhui")</f>
        <v>Anhui</v>
      </c>
      <c r="B51" s="3" t="str">
        <f>IFERROR(__xludf.DUMMYFUNCTION("""COMPUTED_VALUE"""),"China")</f>
        <v>China</v>
      </c>
      <c r="C51" s="3">
        <f>IFERROR(__xludf.DUMMYFUNCTION("""COMPUTED_VALUE"""),31.8257)</f>
        <v>31.8257</v>
      </c>
      <c r="D51" s="3">
        <f>IFERROR(__xludf.DUMMYFUNCTION("""COMPUTED_VALUE"""),117.2264)</f>
        <v>117.2264</v>
      </c>
      <c r="E51" s="3">
        <f>IFERROR(__xludf.DUMMYFUNCTION("""COMPUTED_VALUE"""),0.0)</f>
        <v>0</v>
      </c>
      <c r="F51" s="3">
        <f>IFERROR(__xludf.DUMMYFUNCTION("""COMPUTED_VALUE"""),0.0)</f>
        <v>0</v>
      </c>
      <c r="G51" s="3">
        <f>IFERROR(__xludf.DUMMYFUNCTION("""COMPUTED_VALUE"""),0.0)</f>
        <v>0</v>
      </c>
      <c r="H51" s="3">
        <f>IFERROR(__xludf.DUMMYFUNCTION("""COMPUTED_VALUE"""),0.0)</f>
        <v>0</v>
      </c>
      <c r="I51" s="3">
        <f>IFERROR(__xludf.DUMMYFUNCTION("""COMPUTED_VALUE"""),0.0)</f>
        <v>0</v>
      </c>
      <c r="J51" s="3">
        <f>IFERROR(__xludf.DUMMYFUNCTION("""COMPUTED_VALUE"""),0.0)</f>
        <v>0</v>
      </c>
      <c r="K51" s="3">
        <f>IFERROR(__xludf.DUMMYFUNCTION("""COMPUTED_VALUE"""),0.0)</f>
        <v>0</v>
      </c>
      <c r="L51" s="3">
        <f>IFERROR(__xludf.DUMMYFUNCTION("""COMPUTED_VALUE"""),0.0)</f>
        <v>0</v>
      </c>
      <c r="M51" s="3">
        <f>IFERROR(__xludf.DUMMYFUNCTION("""COMPUTED_VALUE"""),0.0)</f>
        <v>0</v>
      </c>
      <c r="N51" s="3">
        <f>IFERROR(__xludf.DUMMYFUNCTION("""COMPUTED_VALUE"""),0.0)</f>
        <v>0</v>
      </c>
      <c r="O51" s="3">
        <f>IFERROR(__xludf.DUMMYFUNCTION("""COMPUTED_VALUE"""),0.0)</f>
        <v>0</v>
      </c>
      <c r="P51" s="3">
        <f>IFERROR(__xludf.DUMMYFUNCTION("""COMPUTED_VALUE"""),0.0)</f>
        <v>0</v>
      </c>
      <c r="Q51" s="3">
        <f>IFERROR(__xludf.DUMMYFUNCTION("""COMPUTED_VALUE"""),0.0)</f>
        <v>0</v>
      </c>
      <c r="R51" s="3">
        <f>IFERROR(__xludf.DUMMYFUNCTION("""COMPUTED_VALUE"""),0.0)</f>
        <v>0</v>
      </c>
      <c r="S51" s="3">
        <f>IFERROR(__xludf.DUMMYFUNCTION("""COMPUTED_VALUE"""),0.0)</f>
        <v>0</v>
      </c>
      <c r="T51" s="3">
        <f>IFERROR(__xludf.DUMMYFUNCTION("""COMPUTED_VALUE"""),0.0)</f>
        <v>0</v>
      </c>
      <c r="U51" s="3">
        <f>IFERROR(__xludf.DUMMYFUNCTION("""COMPUTED_VALUE"""),0.0)</f>
        <v>0</v>
      </c>
      <c r="V51" s="3">
        <f>IFERROR(__xludf.DUMMYFUNCTION("""COMPUTED_VALUE"""),0.0)</f>
        <v>0</v>
      </c>
      <c r="W51" s="3">
        <f>IFERROR(__xludf.DUMMYFUNCTION("""COMPUTED_VALUE"""),1.0)</f>
        <v>1</v>
      </c>
      <c r="X51" s="3">
        <f>IFERROR(__xludf.DUMMYFUNCTION("""COMPUTED_VALUE"""),3.0)</f>
        <v>3</v>
      </c>
      <c r="Y51" s="3">
        <f>IFERROR(__xludf.DUMMYFUNCTION("""COMPUTED_VALUE"""),4.0)</f>
        <v>4</v>
      </c>
      <c r="Z51" s="3">
        <f>IFERROR(__xludf.DUMMYFUNCTION("""COMPUTED_VALUE"""),4.0)</f>
        <v>4</v>
      </c>
      <c r="AA51" s="3">
        <f>IFERROR(__xludf.DUMMYFUNCTION("""COMPUTED_VALUE"""),5.0)</f>
        <v>5</v>
      </c>
      <c r="AB51" s="3">
        <f>IFERROR(__xludf.DUMMYFUNCTION("""COMPUTED_VALUE"""),6.0)</f>
        <v>6</v>
      </c>
      <c r="AC51" s="3">
        <f>IFERROR(__xludf.DUMMYFUNCTION("""COMPUTED_VALUE"""),6.0)</f>
        <v>6</v>
      </c>
      <c r="AD51" s="3">
        <f>IFERROR(__xludf.DUMMYFUNCTION("""COMPUTED_VALUE"""),6.0)</f>
        <v>6</v>
      </c>
      <c r="AE51" s="3">
        <f>IFERROR(__xludf.DUMMYFUNCTION("""COMPUTED_VALUE"""),6.0)</f>
        <v>6</v>
      </c>
      <c r="AF51" s="3">
        <f>IFERROR(__xludf.DUMMYFUNCTION("""COMPUTED_VALUE"""),6.0)</f>
        <v>6</v>
      </c>
      <c r="AG51" s="3">
        <f>IFERROR(__xludf.DUMMYFUNCTION("""COMPUTED_VALUE"""),6.0)</f>
        <v>6</v>
      </c>
      <c r="AH51" s="3">
        <f>IFERROR(__xludf.DUMMYFUNCTION("""COMPUTED_VALUE"""),6.0)</f>
        <v>6</v>
      </c>
      <c r="AI51" s="3">
        <f>IFERROR(__xludf.DUMMYFUNCTION("""COMPUTED_VALUE"""),6.0)</f>
        <v>6</v>
      </c>
      <c r="AJ51" s="3">
        <f>IFERROR(__xludf.DUMMYFUNCTION("""COMPUTED_VALUE"""),6.0)</f>
        <v>6</v>
      </c>
      <c r="AK51" s="3">
        <f>IFERROR(__xludf.DUMMYFUNCTION("""COMPUTED_VALUE"""),6.0)</f>
        <v>6</v>
      </c>
      <c r="AL51" s="3">
        <f>IFERROR(__xludf.DUMMYFUNCTION("""COMPUTED_VALUE"""),6.0)</f>
        <v>6</v>
      </c>
      <c r="AM51" s="3">
        <f>IFERROR(__xludf.DUMMYFUNCTION("""COMPUTED_VALUE"""),6.0)</f>
        <v>6</v>
      </c>
      <c r="AN51" s="3">
        <f>IFERROR(__xludf.DUMMYFUNCTION("""COMPUTED_VALUE"""),6.0)</f>
        <v>6</v>
      </c>
      <c r="AO51" s="3">
        <f>IFERROR(__xludf.DUMMYFUNCTION("""COMPUTED_VALUE"""),6.0)</f>
        <v>6</v>
      </c>
      <c r="AP51" s="3">
        <f>IFERROR(__xludf.DUMMYFUNCTION("""COMPUTED_VALUE"""),6.0)</f>
        <v>6</v>
      </c>
      <c r="AQ51" s="3">
        <f>IFERROR(__xludf.DUMMYFUNCTION("""COMPUTED_VALUE"""),6.0)</f>
        <v>6</v>
      </c>
      <c r="AR51" s="3">
        <f>IFERROR(__xludf.DUMMYFUNCTION("""COMPUTED_VALUE"""),6.0)</f>
        <v>6</v>
      </c>
      <c r="AS51" s="3">
        <f>IFERROR(__xludf.DUMMYFUNCTION("""COMPUTED_VALUE"""),6.0)</f>
        <v>6</v>
      </c>
      <c r="AT51" s="3">
        <f>IFERROR(__xludf.DUMMYFUNCTION("""COMPUTED_VALUE"""),6.0)</f>
        <v>6</v>
      </c>
      <c r="AU51" s="3">
        <f>IFERROR(__xludf.DUMMYFUNCTION("""COMPUTED_VALUE"""),6.0)</f>
        <v>6</v>
      </c>
      <c r="AV51" s="3">
        <f>IFERROR(__xludf.DUMMYFUNCTION("""COMPUTED_VALUE"""),6.0)</f>
        <v>6</v>
      </c>
      <c r="AW51" s="3">
        <f>IFERROR(__xludf.DUMMYFUNCTION("""COMPUTED_VALUE"""),6.0)</f>
        <v>6</v>
      </c>
      <c r="AX51" s="3">
        <f>IFERROR(__xludf.DUMMYFUNCTION("""COMPUTED_VALUE"""),6.0)</f>
        <v>6</v>
      </c>
      <c r="AY51" s="3">
        <f>IFERROR(__xludf.DUMMYFUNCTION("""COMPUTED_VALUE"""),6.0)</f>
        <v>6</v>
      </c>
      <c r="AZ51" s="3">
        <f>IFERROR(__xludf.DUMMYFUNCTION("""COMPUTED_VALUE"""),6.0)</f>
        <v>6</v>
      </c>
      <c r="BA51" s="3">
        <f>IFERROR(__xludf.DUMMYFUNCTION("""COMPUTED_VALUE"""),6.0)</f>
        <v>6</v>
      </c>
      <c r="BB51" s="3">
        <f>IFERROR(__xludf.DUMMYFUNCTION("""COMPUTED_VALUE"""),6.0)</f>
        <v>6</v>
      </c>
      <c r="BC51" s="3">
        <f>IFERROR(__xludf.DUMMYFUNCTION("""COMPUTED_VALUE"""),6.0)</f>
        <v>6</v>
      </c>
      <c r="BD51" s="3">
        <f>IFERROR(__xludf.DUMMYFUNCTION("""COMPUTED_VALUE"""),6.0)</f>
        <v>6</v>
      </c>
      <c r="BE51" s="3">
        <f>IFERROR(__xludf.DUMMYFUNCTION("""COMPUTED_VALUE"""),6.0)</f>
        <v>6</v>
      </c>
      <c r="BF51" s="3">
        <f>IFERROR(__xludf.DUMMYFUNCTION("""COMPUTED_VALUE"""),6.0)</f>
        <v>6</v>
      </c>
      <c r="BG51" s="3">
        <f>IFERROR(__xludf.DUMMYFUNCTION("""COMPUTED_VALUE"""),6.0)</f>
        <v>6</v>
      </c>
      <c r="BH51" s="3">
        <f>IFERROR(__xludf.DUMMYFUNCTION("""COMPUTED_VALUE"""),6.0)</f>
        <v>6</v>
      </c>
      <c r="BI51" s="3">
        <f>IFERROR(__xludf.DUMMYFUNCTION("""COMPUTED_VALUE"""),6.0)</f>
        <v>6</v>
      </c>
      <c r="BJ51" s="3">
        <f>IFERROR(__xludf.DUMMYFUNCTION("""COMPUTED_VALUE"""),6.0)</f>
        <v>6</v>
      </c>
      <c r="BK51" s="3">
        <f>IFERROR(__xludf.DUMMYFUNCTION("""COMPUTED_VALUE"""),6.0)</f>
        <v>6</v>
      </c>
      <c r="BL51" s="3">
        <f>IFERROR(__xludf.DUMMYFUNCTION("""COMPUTED_VALUE"""),6.0)</f>
        <v>6</v>
      </c>
      <c r="BM51" s="3">
        <f>IFERROR(__xludf.DUMMYFUNCTION("""COMPUTED_VALUE"""),6.0)</f>
        <v>6</v>
      </c>
      <c r="BN51" s="3">
        <f>IFERROR(__xludf.DUMMYFUNCTION("""COMPUTED_VALUE"""),6.0)</f>
        <v>6</v>
      </c>
      <c r="BO51" s="3">
        <f>IFERROR(__xludf.DUMMYFUNCTION("""COMPUTED_VALUE"""),6.0)</f>
        <v>6</v>
      </c>
      <c r="BP51" s="3">
        <f>IFERROR(__xludf.DUMMYFUNCTION("""COMPUTED_VALUE"""),6.0)</f>
        <v>6</v>
      </c>
      <c r="BQ51" s="3">
        <f>IFERROR(__xludf.DUMMYFUNCTION("""COMPUTED_VALUE"""),6.0)</f>
        <v>6</v>
      </c>
      <c r="BR51" s="3">
        <f>IFERROR(__xludf.DUMMYFUNCTION("""COMPUTED_VALUE"""),6.0)</f>
        <v>6</v>
      </c>
      <c r="BS51" s="3">
        <f>IFERROR(__xludf.DUMMYFUNCTION("""COMPUTED_VALUE"""),6.0)</f>
        <v>6</v>
      </c>
      <c r="BT51" s="3">
        <f>IFERROR(__xludf.DUMMYFUNCTION("""COMPUTED_VALUE"""),6.0)</f>
        <v>6</v>
      </c>
      <c r="BU51" s="3">
        <f>IFERROR(__xludf.DUMMYFUNCTION("""COMPUTED_VALUE"""),6.0)</f>
        <v>6</v>
      </c>
      <c r="BV51" s="3">
        <f>IFERROR(__xludf.DUMMYFUNCTION("""COMPUTED_VALUE"""),6.0)</f>
        <v>6</v>
      </c>
      <c r="BW51" s="3">
        <f>IFERROR(__xludf.DUMMYFUNCTION("""COMPUTED_VALUE"""),6.0)</f>
        <v>6</v>
      </c>
      <c r="BX51" s="3">
        <f>IFERROR(__xludf.DUMMYFUNCTION("""COMPUTED_VALUE"""),6.0)</f>
        <v>6</v>
      </c>
      <c r="BY51" s="3">
        <f>IFERROR(__xludf.DUMMYFUNCTION("""COMPUTED_VALUE"""),6.0)</f>
        <v>6</v>
      </c>
      <c r="BZ51" s="3">
        <f>IFERROR(__xludf.DUMMYFUNCTION("""COMPUTED_VALUE"""),6.0)</f>
        <v>6</v>
      </c>
      <c r="CA51" s="3">
        <f>IFERROR(__xludf.DUMMYFUNCTION("""COMPUTED_VALUE"""),6.0)</f>
        <v>6</v>
      </c>
      <c r="CB51" s="3">
        <f>IFERROR(__xludf.DUMMYFUNCTION("""COMPUTED_VALUE"""),6.0)</f>
        <v>6</v>
      </c>
    </row>
    <row r="52">
      <c r="A52" s="3" t="str">
        <f>IFERROR(__xludf.DUMMYFUNCTION("""COMPUTED_VALUE"""),"Beijing")</f>
        <v>Beijing</v>
      </c>
      <c r="B52" s="3" t="str">
        <f>IFERROR(__xludf.DUMMYFUNCTION("""COMPUTED_VALUE"""),"China")</f>
        <v>China</v>
      </c>
      <c r="C52" s="3">
        <f>IFERROR(__xludf.DUMMYFUNCTION("""COMPUTED_VALUE"""),40.1824)</f>
        <v>40.1824</v>
      </c>
      <c r="D52" s="3">
        <f>IFERROR(__xludf.DUMMYFUNCTION("""COMPUTED_VALUE"""),116.4142)</f>
        <v>116.4142</v>
      </c>
      <c r="E52" s="3">
        <f>IFERROR(__xludf.DUMMYFUNCTION("""COMPUTED_VALUE"""),0.0)</f>
        <v>0</v>
      </c>
      <c r="F52" s="3">
        <f>IFERROR(__xludf.DUMMYFUNCTION("""COMPUTED_VALUE"""),0.0)</f>
        <v>0</v>
      </c>
      <c r="G52" s="3">
        <f>IFERROR(__xludf.DUMMYFUNCTION("""COMPUTED_VALUE"""),0.0)</f>
        <v>0</v>
      </c>
      <c r="H52" s="3">
        <f>IFERROR(__xludf.DUMMYFUNCTION("""COMPUTED_VALUE"""),0.0)</f>
        <v>0</v>
      </c>
      <c r="I52" s="3">
        <f>IFERROR(__xludf.DUMMYFUNCTION("""COMPUTED_VALUE"""),0.0)</f>
        <v>0</v>
      </c>
      <c r="J52" s="3">
        <f>IFERROR(__xludf.DUMMYFUNCTION("""COMPUTED_VALUE"""),1.0)</f>
        <v>1</v>
      </c>
      <c r="K52" s="3">
        <f>IFERROR(__xludf.DUMMYFUNCTION("""COMPUTED_VALUE"""),1.0)</f>
        <v>1</v>
      </c>
      <c r="L52" s="3">
        <f>IFERROR(__xludf.DUMMYFUNCTION("""COMPUTED_VALUE"""),1.0)</f>
        <v>1</v>
      </c>
      <c r="M52" s="3">
        <f>IFERROR(__xludf.DUMMYFUNCTION("""COMPUTED_VALUE"""),1.0)</f>
        <v>1</v>
      </c>
      <c r="N52" s="3">
        <f>IFERROR(__xludf.DUMMYFUNCTION("""COMPUTED_VALUE"""),1.0)</f>
        <v>1</v>
      </c>
      <c r="O52" s="3">
        <f>IFERROR(__xludf.DUMMYFUNCTION("""COMPUTED_VALUE"""),1.0)</f>
        <v>1</v>
      </c>
      <c r="P52" s="3">
        <f>IFERROR(__xludf.DUMMYFUNCTION("""COMPUTED_VALUE"""),1.0)</f>
        <v>1</v>
      </c>
      <c r="Q52" s="3">
        <f>IFERROR(__xludf.DUMMYFUNCTION("""COMPUTED_VALUE"""),1.0)</f>
        <v>1</v>
      </c>
      <c r="R52" s="3">
        <f>IFERROR(__xludf.DUMMYFUNCTION("""COMPUTED_VALUE"""),1.0)</f>
        <v>1</v>
      </c>
      <c r="S52" s="3">
        <f>IFERROR(__xludf.DUMMYFUNCTION("""COMPUTED_VALUE"""),1.0)</f>
        <v>1</v>
      </c>
      <c r="T52" s="3">
        <f>IFERROR(__xludf.DUMMYFUNCTION("""COMPUTED_VALUE"""),1.0)</f>
        <v>1</v>
      </c>
      <c r="U52" s="3">
        <f>IFERROR(__xludf.DUMMYFUNCTION("""COMPUTED_VALUE"""),1.0)</f>
        <v>1</v>
      </c>
      <c r="V52" s="3">
        <f>IFERROR(__xludf.DUMMYFUNCTION("""COMPUTED_VALUE"""),2.0)</f>
        <v>2</v>
      </c>
      <c r="W52" s="3">
        <f>IFERROR(__xludf.DUMMYFUNCTION("""COMPUTED_VALUE"""),2.0)</f>
        <v>2</v>
      </c>
      <c r="X52" s="3">
        <f>IFERROR(__xludf.DUMMYFUNCTION("""COMPUTED_VALUE"""),2.0)</f>
        <v>2</v>
      </c>
      <c r="Y52" s="3">
        <f>IFERROR(__xludf.DUMMYFUNCTION("""COMPUTED_VALUE"""),3.0)</f>
        <v>3</v>
      </c>
      <c r="Z52" s="3">
        <f>IFERROR(__xludf.DUMMYFUNCTION("""COMPUTED_VALUE"""),3.0)</f>
        <v>3</v>
      </c>
      <c r="AA52" s="3">
        <f>IFERROR(__xludf.DUMMYFUNCTION("""COMPUTED_VALUE"""),3.0)</f>
        <v>3</v>
      </c>
      <c r="AB52" s="3">
        <f>IFERROR(__xludf.DUMMYFUNCTION("""COMPUTED_VALUE"""),3.0)</f>
        <v>3</v>
      </c>
      <c r="AC52" s="3">
        <f>IFERROR(__xludf.DUMMYFUNCTION("""COMPUTED_VALUE"""),4.0)</f>
        <v>4</v>
      </c>
      <c r="AD52" s="3">
        <f>IFERROR(__xludf.DUMMYFUNCTION("""COMPUTED_VALUE"""),4.0)</f>
        <v>4</v>
      </c>
      <c r="AE52" s="3">
        <f>IFERROR(__xludf.DUMMYFUNCTION("""COMPUTED_VALUE"""),4.0)</f>
        <v>4</v>
      </c>
      <c r="AF52" s="3">
        <f>IFERROR(__xludf.DUMMYFUNCTION("""COMPUTED_VALUE"""),4.0)</f>
        <v>4</v>
      </c>
      <c r="AG52" s="3">
        <f>IFERROR(__xludf.DUMMYFUNCTION("""COMPUTED_VALUE"""),4.0)</f>
        <v>4</v>
      </c>
      <c r="AH52" s="3">
        <f>IFERROR(__xludf.DUMMYFUNCTION("""COMPUTED_VALUE"""),4.0)</f>
        <v>4</v>
      </c>
      <c r="AI52" s="3">
        <f>IFERROR(__xludf.DUMMYFUNCTION("""COMPUTED_VALUE"""),4.0)</f>
        <v>4</v>
      </c>
      <c r="AJ52" s="3">
        <f>IFERROR(__xludf.DUMMYFUNCTION("""COMPUTED_VALUE"""),4.0)</f>
        <v>4</v>
      </c>
      <c r="AK52" s="3">
        <f>IFERROR(__xludf.DUMMYFUNCTION("""COMPUTED_VALUE"""),4.0)</f>
        <v>4</v>
      </c>
      <c r="AL52" s="3">
        <f>IFERROR(__xludf.DUMMYFUNCTION("""COMPUTED_VALUE"""),4.0)</f>
        <v>4</v>
      </c>
      <c r="AM52" s="3">
        <f>IFERROR(__xludf.DUMMYFUNCTION("""COMPUTED_VALUE"""),4.0)</f>
        <v>4</v>
      </c>
      <c r="AN52" s="3">
        <f>IFERROR(__xludf.DUMMYFUNCTION("""COMPUTED_VALUE"""),4.0)</f>
        <v>4</v>
      </c>
      <c r="AO52" s="3">
        <f>IFERROR(__xludf.DUMMYFUNCTION("""COMPUTED_VALUE"""),5.0)</f>
        <v>5</v>
      </c>
      <c r="AP52" s="3">
        <f>IFERROR(__xludf.DUMMYFUNCTION("""COMPUTED_VALUE"""),7.0)</f>
        <v>7</v>
      </c>
      <c r="AQ52" s="3">
        <f>IFERROR(__xludf.DUMMYFUNCTION("""COMPUTED_VALUE"""),8.0)</f>
        <v>8</v>
      </c>
      <c r="AR52" s="3">
        <f>IFERROR(__xludf.DUMMYFUNCTION("""COMPUTED_VALUE"""),8.0)</f>
        <v>8</v>
      </c>
      <c r="AS52" s="3">
        <f>IFERROR(__xludf.DUMMYFUNCTION("""COMPUTED_VALUE"""),8.0)</f>
        <v>8</v>
      </c>
      <c r="AT52" s="3">
        <f>IFERROR(__xludf.DUMMYFUNCTION("""COMPUTED_VALUE"""),8.0)</f>
        <v>8</v>
      </c>
      <c r="AU52" s="3">
        <f>IFERROR(__xludf.DUMMYFUNCTION("""COMPUTED_VALUE"""),8.0)</f>
        <v>8</v>
      </c>
      <c r="AV52" s="3">
        <f>IFERROR(__xludf.DUMMYFUNCTION("""COMPUTED_VALUE"""),8.0)</f>
        <v>8</v>
      </c>
      <c r="AW52" s="3">
        <f>IFERROR(__xludf.DUMMYFUNCTION("""COMPUTED_VALUE"""),8.0)</f>
        <v>8</v>
      </c>
      <c r="AX52" s="3">
        <f>IFERROR(__xludf.DUMMYFUNCTION("""COMPUTED_VALUE"""),8.0)</f>
        <v>8</v>
      </c>
      <c r="AY52" s="3">
        <f>IFERROR(__xludf.DUMMYFUNCTION("""COMPUTED_VALUE"""),8.0)</f>
        <v>8</v>
      </c>
      <c r="AZ52" s="3">
        <f>IFERROR(__xludf.DUMMYFUNCTION("""COMPUTED_VALUE"""),8.0)</f>
        <v>8</v>
      </c>
      <c r="BA52" s="3">
        <f>IFERROR(__xludf.DUMMYFUNCTION("""COMPUTED_VALUE"""),8.0)</f>
        <v>8</v>
      </c>
      <c r="BB52" s="3">
        <f>IFERROR(__xludf.DUMMYFUNCTION("""COMPUTED_VALUE"""),8.0)</f>
        <v>8</v>
      </c>
      <c r="BC52" s="3">
        <f>IFERROR(__xludf.DUMMYFUNCTION("""COMPUTED_VALUE"""),8.0)</f>
        <v>8</v>
      </c>
      <c r="BD52" s="3">
        <f>IFERROR(__xludf.DUMMYFUNCTION("""COMPUTED_VALUE"""),8.0)</f>
        <v>8</v>
      </c>
      <c r="BE52" s="3">
        <f>IFERROR(__xludf.DUMMYFUNCTION("""COMPUTED_VALUE"""),8.0)</f>
        <v>8</v>
      </c>
      <c r="BF52" s="3">
        <f>IFERROR(__xludf.DUMMYFUNCTION("""COMPUTED_VALUE"""),8.0)</f>
        <v>8</v>
      </c>
      <c r="BG52" s="3">
        <f>IFERROR(__xludf.DUMMYFUNCTION("""COMPUTED_VALUE"""),8.0)</f>
        <v>8</v>
      </c>
      <c r="BH52" s="3">
        <f>IFERROR(__xludf.DUMMYFUNCTION("""COMPUTED_VALUE"""),8.0)</f>
        <v>8</v>
      </c>
      <c r="BI52" s="3">
        <f>IFERROR(__xludf.DUMMYFUNCTION("""COMPUTED_VALUE"""),8.0)</f>
        <v>8</v>
      </c>
      <c r="BJ52" s="3">
        <f>IFERROR(__xludf.DUMMYFUNCTION("""COMPUTED_VALUE"""),8.0)</f>
        <v>8</v>
      </c>
      <c r="BK52" s="3">
        <f>IFERROR(__xludf.DUMMYFUNCTION("""COMPUTED_VALUE"""),8.0)</f>
        <v>8</v>
      </c>
      <c r="BL52" s="3">
        <f>IFERROR(__xludf.DUMMYFUNCTION("""COMPUTED_VALUE"""),8.0)</f>
        <v>8</v>
      </c>
      <c r="BM52" s="3">
        <f>IFERROR(__xludf.DUMMYFUNCTION("""COMPUTED_VALUE"""),8.0)</f>
        <v>8</v>
      </c>
      <c r="BN52" s="3">
        <f>IFERROR(__xludf.DUMMYFUNCTION("""COMPUTED_VALUE"""),8.0)</f>
        <v>8</v>
      </c>
      <c r="BO52" s="3">
        <f>IFERROR(__xludf.DUMMYFUNCTION("""COMPUTED_VALUE"""),8.0)</f>
        <v>8</v>
      </c>
      <c r="BP52" s="3">
        <f>IFERROR(__xludf.DUMMYFUNCTION("""COMPUTED_VALUE"""),8.0)</f>
        <v>8</v>
      </c>
      <c r="BQ52" s="3">
        <f>IFERROR(__xludf.DUMMYFUNCTION("""COMPUTED_VALUE"""),8.0)</f>
        <v>8</v>
      </c>
      <c r="BR52" s="3">
        <f>IFERROR(__xludf.DUMMYFUNCTION("""COMPUTED_VALUE"""),8.0)</f>
        <v>8</v>
      </c>
      <c r="BS52" s="3">
        <f>IFERROR(__xludf.DUMMYFUNCTION("""COMPUTED_VALUE"""),8.0)</f>
        <v>8</v>
      </c>
      <c r="BT52" s="3">
        <f>IFERROR(__xludf.DUMMYFUNCTION("""COMPUTED_VALUE"""),8.0)</f>
        <v>8</v>
      </c>
      <c r="BU52" s="3">
        <f>IFERROR(__xludf.DUMMYFUNCTION("""COMPUTED_VALUE"""),8.0)</f>
        <v>8</v>
      </c>
      <c r="BV52" s="3">
        <f>IFERROR(__xludf.DUMMYFUNCTION("""COMPUTED_VALUE"""),8.0)</f>
        <v>8</v>
      </c>
      <c r="BW52" s="3">
        <f>IFERROR(__xludf.DUMMYFUNCTION("""COMPUTED_VALUE"""),8.0)</f>
        <v>8</v>
      </c>
      <c r="BX52" s="3">
        <f>IFERROR(__xludf.DUMMYFUNCTION("""COMPUTED_VALUE"""),8.0)</f>
        <v>8</v>
      </c>
      <c r="BY52" s="3">
        <f>IFERROR(__xludf.DUMMYFUNCTION("""COMPUTED_VALUE"""),8.0)</f>
        <v>8</v>
      </c>
      <c r="BZ52" s="3">
        <f>IFERROR(__xludf.DUMMYFUNCTION("""COMPUTED_VALUE"""),8.0)</f>
        <v>8</v>
      </c>
      <c r="CA52" s="3">
        <f>IFERROR(__xludf.DUMMYFUNCTION("""COMPUTED_VALUE"""),8.0)</f>
        <v>8</v>
      </c>
      <c r="CB52" s="3">
        <f>IFERROR(__xludf.DUMMYFUNCTION("""COMPUTED_VALUE"""),8.0)</f>
        <v>8</v>
      </c>
    </row>
    <row r="53">
      <c r="A53" s="3" t="str">
        <f>IFERROR(__xludf.DUMMYFUNCTION("""COMPUTED_VALUE"""),"Chongqing")</f>
        <v>Chongqing</v>
      </c>
      <c r="B53" s="3" t="str">
        <f>IFERROR(__xludf.DUMMYFUNCTION("""COMPUTED_VALUE"""),"China")</f>
        <v>China</v>
      </c>
      <c r="C53" s="3">
        <f>IFERROR(__xludf.DUMMYFUNCTION("""COMPUTED_VALUE"""),30.0572)</f>
        <v>30.0572</v>
      </c>
      <c r="D53" s="3">
        <f>IFERROR(__xludf.DUMMYFUNCTION("""COMPUTED_VALUE"""),107.874)</f>
        <v>107.874</v>
      </c>
      <c r="E53" s="3">
        <f>IFERROR(__xludf.DUMMYFUNCTION("""COMPUTED_VALUE"""),0.0)</f>
        <v>0</v>
      </c>
      <c r="F53" s="3">
        <f>IFERROR(__xludf.DUMMYFUNCTION("""COMPUTED_VALUE"""),0.0)</f>
        <v>0</v>
      </c>
      <c r="G53" s="3">
        <f>IFERROR(__xludf.DUMMYFUNCTION("""COMPUTED_VALUE"""),0.0)</f>
        <v>0</v>
      </c>
      <c r="H53" s="3">
        <f>IFERROR(__xludf.DUMMYFUNCTION("""COMPUTED_VALUE"""),0.0)</f>
        <v>0</v>
      </c>
      <c r="I53" s="3">
        <f>IFERROR(__xludf.DUMMYFUNCTION("""COMPUTED_VALUE"""),0.0)</f>
        <v>0</v>
      </c>
      <c r="J53" s="3">
        <f>IFERROR(__xludf.DUMMYFUNCTION("""COMPUTED_VALUE"""),0.0)</f>
        <v>0</v>
      </c>
      <c r="K53" s="3">
        <f>IFERROR(__xludf.DUMMYFUNCTION("""COMPUTED_VALUE"""),0.0)</f>
        <v>0</v>
      </c>
      <c r="L53" s="3">
        <f>IFERROR(__xludf.DUMMYFUNCTION("""COMPUTED_VALUE"""),0.0)</f>
        <v>0</v>
      </c>
      <c r="M53" s="3">
        <f>IFERROR(__xludf.DUMMYFUNCTION("""COMPUTED_VALUE"""),0.0)</f>
        <v>0</v>
      </c>
      <c r="N53" s="3">
        <f>IFERROR(__xludf.DUMMYFUNCTION("""COMPUTED_VALUE"""),0.0)</f>
        <v>0</v>
      </c>
      <c r="O53" s="3">
        <f>IFERROR(__xludf.DUMMYFUNCTION("""COMPUTED_VALUE"""),1.0)</f>
        <v>1</v>
      </c>
      <c r="P53" s="3">
        <f>IFERROR(__xludf.DUMMYFUNCTION("""COMPUTED_VALUE"""),2.0)</f>
        <v>2</v>
      </c>
      <c r="Q53" s="3">
        <f>IFERROR(__xludf.DUMMYFUNCTION("""COMPUTED_VALUE"""),2.0)</f>
        <v>2</v>
      </c>
      <c r="R53" s="3">
        <f>IFERROR(__xludf.DUMMYFUNCTION("""COMPUTED_VALUE"""),2.0)</f>
        <v>2</v>
      </c>
      <c r="S53" s="3">
        <f>IFERROR(__xludf.DUMMYFUNCTION("""COMPUTED_VALUE"""),2.0)</f>
        <v>2</v>
      </c>
      <c r="T53" s="3">
        <f>IFERROR(__xludf.DUMMYFUNCTION("""COMPUTED_VALUE"""),2.0)</f>
        <v>2</v>
      </c>
      <c r="U53" s="3">
        <f>IFERROR(__xludf.DUMMYFUNCTION("""COMPUTED_VALUE"""),2.0)</f>
        <v>2</v>
      </c>
      <c r="V53" s="3">
        <f>IFERROR(__xludf.DUMMYFUNCTION("""COMPUTED_VALUE"""),2.0)</f>
        <v>2</v>
      </c>
      <c r="W53" s="3">
        <f>IFERROR(__xludf.DUMMYFUNCTION("""COMPUTED_VALUE"""),2.0)</f>
        <v>2</v>
      </c>
      <c r="X53" s="3">
        <f>IFERROR(__xludf.DUMMYFUNCTION("""COMPUTED_VALUE"""),2.0)</f>
        <v>2</v>
      </c>
      <c r="Y53" s="3">
        <f>IFERROR(__xludf.DUMMYFUNCTION("""COMPUTED_VALUE"""),3.0)</f>
        <v>3</v>
      </c>
      <c r="Z53" s="3">
        <f>IFERROR(__xludf.DUMMYFUNCTION("""COMPUTED_VALUE"""),3.0)</f>
        <v>3</v>
      </c>
      <c r="AA53" s="3">
        <f>IFERROR(__xludf.DUMMYFUNCTION("""COMPUTED_VALUE"""),4.0)</f>
        <v>4</v>
      </c>
      <c r="AB53" s="3">
        <f>IFERROR(__xludf.DUMMYFUNCTION("""COMPUTED_VALUE"""),5.0)</f>
        <v>5</v>
      </c>
      <c r="AC53" s="3">
        <f>IFERROR(__xludf.DUMMYFUNCTION("""COMPUTED_VALUE"""),5.0)</f>
        <v>5</v>
      </c>
      <c r="AD53" s="3">
        <f>IFERROR(__xludf.DUMMYFUNCTION("""COMPUTED_VALUE"""),5.0)</f>
        <v>5</v>
      </c>
      <c r="AE53" s="3">
        <f>IFERROR(__xludf.DUMMYFUNCTION("""COMPUTED_VALUE"""),5.0)</f>
        <v>5</v>
      </c>
      <c r="AF53" s="3">
        <f>IFERROR(__xludf.DUMMYFUNCTION("""COMPUTED_VALUE"""),5.0)</f>
        <v>5</v>
      </c>
      <c r="AG53" s="3">
        <f>IFERROR(__xludf.DUMMYFUNCTION("""COMPUTED_VALUE"""),5.0)</f>
        <v>5</v>
      </c>
      <c r="AH53" s="3">
        <f>IFERROR(__xludf.DUMMYFUNCTION("""COMPUTED_VALUE"""),6.0)</f>
        <v>6</v>
      </c>
      <c r="AI53" s="3">
        <f>IFERROR(__xludf.DUMMYFUNCTION("""COMPUTED_VALUE"""),6.0)</f>
        <v>6</v>
      </c>
      <c r="AJ53" s="3">
        <f>IFERROR(__xludf.DUMMYFUNCTION("""COMPUTED_VALUE"""),6.0)</f>
        <v>6</v>
      </c>
      <c r="AK53" s="3">
        <f>IFERROR(__xludf.DUMMYFUNCTION("""COMPUTED_VALUE"""),6.0)</f>
        <v>6</v>
      </c>
      <c r="AL53" s="3">
        <f>IFERROR(__xludf.DUMMYFUNCTION("""COMPUTED_VALUE"""),6.0)</f>
        <v>6</v>
      </c>
      <c r="AM53" s="3">
        <f>IFERROR(__xludf.DUMMYFUNCTION("""COMPUTED_VALUE"""),6.0)</f>
        <v>6</v>
      </c>
      <c r="AN53" s="3">
        <f>IFERROR(__xludf.DUMMYFUNCTION("""COMPUTED_VALUE"""),6.0)</f>
        <v>6</v>
      </c>
      <c r="AO53" s="3">
        <f>IFERROR(__xludf.DUMMYFUNCTION("""COMPUTED_VALUE"""),6.0)</f>
        <v>6</v>
      </c>
      <c r="AP53" s="3">
        <f>IFERROR(__xludf.DUMMYFUNCTION("""COMPUTED_VALUE"""),6.0)</f>
        <v>6</v>
      </c>
      <c r="AQ53" s="3">
        <f>IFERROR(__xludf.DUMMYFUNCTION("""COMPUTED_VALUE"""),6.0)</f>
        <v>6</v>
      </c>
      <c r="AR53" s="3">
        <f>IFERROR(__xludf.DUMMYFUNCTION("""COMPUTED_VALUE"""),6.0)</f>
        <v>6</v>
      </c>
      <c r="AS53" s="3">
        <f>IFERROR(__xludf.DUMMYFUNCTION("""COMPUTED_VALUE"""),6.0)</f>
        <v>6</v>
      </c>
      <c r="AT53" s="3">
        <f>IFERROR(__xludf.DUMMYFUNCTION("""COMPUTED_VALUE"""),6.0)</f>
        <v>6</v>
      </c>
      <c r="AU53" s="3">
        <f>IFERROR(__xludf.DUMMYFUNCTION("""COMPUTED_VALUE"""),6.0)</f>
        <v>6</v>
      </c>
      <c r="AV53" s="3">
        <f>IFERROR(__xludf.DUMMYFUNCTION("""COMPUTED_VALUE"""),6.0)</f>
        <v>6</v>
      </c>
      <c r="AW53" s="3">
        <f>IFERROR(__xludf.DUMMYFUNCTION("""COMPUTED_VALUE"""),6.0)</f>
        <v>6</v>
      </c>
      <c r="AX53" s="3">
        <f>IFERROR(__xludf.DUMMYFUNCTION("""COMPUTED_VALUE"""),6.0)</f>
        <v>6</v>
      </c>
      <c r="AY53" s="3">
        <f>IFERROR(__xludf.DUMMYFUNCTION("""COMPUTED_VALUE"""),6.0)</f>
        <v>6</v>
      </c>
      <c r="AZ53" s="3">
        <f>IFERROR(__xludf.DUMMYFUNCTION("""COMPUTED_VALUE"""),6.0)</f>
        <v>6</v>
      </c>
      <c r="BA53" s="3">
        <f>IFERROR(__xludf.DUMMYFUNCTION("""COMPUTED_VALUE"""),6.0)</f>
        <v>6</v>
      </c>
      <c r="BB53" s="3">
        <f>IFERROR(__xludf.DUMMYFUNCTION("""COMPUTED_VALUE"""),6.0)</f>
        <v>6</v>
      </c>
      <c r="BC53" s="3">
        <f>IFERROR(__xludf.DUMMYFUNCTION("""COMPUTED_VALUE"""),6.0)</f>
        <v>6</v>
      </c>
      <c r="BD53" s="3">
        <f>IFERROR(__xludf.DUMMYFUNCTION("""COMPUTED_VALUE"""),6.0)</f>
        <v>6</v>
      </c>
      <c r="BE53" s="3">
        <f>IFERROR(__xludf.DUMMYFUNCTION("""COMPUTED_VALUE"""),6.0)</f>
        <v>6</v>
      </c>
      <c r="BF53" s="3">
        <f>IFERROR(__xludf.DUMMYFUNCTION("""COMPUTED_VALUE"""),6.0)</f>
        <v>6</v>
      </c>
      <c r="BG53" s="3">
        <f>IFERROR(__xludf.DUMMYFUNCTION("""COMPUTED_VALUE"""),6.0)</f>
        <v>6</v>
      </c>
      <c r="BH53" s="3">
        <f>IFERROR(__xludf.DUMMYFUNCTION("""COMPUTED_VALUE"""),6.0)</f>
        <v>6</v>
      </c>
      <c r="BI53" s="3">
        <f>IFERROR(__xludf.DUMMYFUNCTION("""COMPUTED_VALUE"""),6.0)</f>
        <v>6</v>
      </c>
      <c r="BJ53" s="3">
        <f>IFERROR(__xludf.DUMMYFUNCTION("""COMPUTED_VALUE"""),6.0)</f>
        <v>6</v>
      </c>
      <c r="BK53" s="3">
        <f>IFERROR(__xludf.DUMMYFUNCTION("""COMPUTED_VALUE"""),6.0)</f>
        <v>6</v>
      </c>
      <c r="BL53" s="3">
        <f>IFERROR(__xludf.DUMMYFUNCTION("""COMPUTED_VALUE"""),6.0)</f>
        <v>6</v>
      </c>
      <c r="BM53" s="3">
        <f>IFERROR(__xludf.DUMMYFUNCTION("""COMPUTED_VALUE"""),6.0)</f>
        <v>6</v>
      </c>
      <c r="BN53" s="3">
        <f>IFERROR(__xludf.DUMMYFUNCTION("""COMPUTED_VALUE"""),6.0)</f>
        <v>6</v>
      </c>
      <c r="BO53" s="3">
        <f>IFERROR(__xludf.DUMMYFUNCTION("""COMPUTED_VALUE"""),6.0)</f>
        <v>6</v>
      </c>
      <c r="BP53" s="3">
        <f>IFERROR(__xludf.DUMMYFUNCTION("""COMPUTED_VALUE"""),6.0)</f>
        <v>6</v>
      </c>
      <c r="BQ53" s="3">
        <f>IFERROR(__xludf.DUMMYFUNCTION("""COMPUTED_VALUE"""),6.0)</f>
        <v>6</v>
      </c>
      <c r="BR53" s="3">
        <f>IFERROR(__xludf.DUMMYFUNCTION("""COMPUTED_VALUE"""),6.0)</f>
        <v>6</v>
      </c>
      <c r="BS53" s="3">
        <f>IFERROR(__xludf.DUMMYFUNCTION("""COMPUTED_VALUE"""),6.0)</f>
        <v>6</v>
      </c>
      <c r="BT53" s="3">
        <f>IFERROR(__xludf.DUMMYFUNCTION("""COMPUTED_VALUE"""),6.0)</f>
        <v>6</v>
      </c>
      <c r="BU53" s="3">
        <f>IFERROR(__xludf.DUMMYFUNCTION("""COMPUTED_VALUE"""),6.0)</f>
        <v>6</v>
      </c>
      <c r="BV53" s="3">
        <f>IFERROR(__xludf.DUMMYFUNCTION("""COMPUTED_VALUE"""),6.0)</f>
        <v>6</v>
      </c>
      <c r="BW53" s="3">
        <f>IFERROR(__xludf.DUMMYFUNCTION("""COMPUTED_VALUE"""),6.0)</f>
        <v>6</v>
      </c>
      <c r="BX53" s="3">
        <f>IFERROR(__xludf.DUMMYFUNCTION("""COMPUTED_VALUE"""),6.0)</f>
        <v>6</v>
      </c>
      <c r="BY53" s="3">
        <f>IFERROR(__xludf.DUMMYFUNCTION("""COMPUTED_VALUE"""),6.0)</f>
        <v>6</v>
      </c>
      <c r="BZ53" s="3">
        <f>IFERROR(__xludf.DUMMYFUNCTION("""COMPUTED_VALUE"""),6.0)</f>
        <v>6</v>
      </c>
      <c r="CA53" s="3">
        <f>IFERROR(__xludf.DUMMYFUNCTION("""COMPUTED_VALUE"""),6.0)</f>
        <v>6</v>
      </c>
      <c r="CB53" s="3">
        <f>IFERROR(__xludf.DUMMYFUNCTION("""COMPUTED_VALUE"""),6.0)</f>
        <v>6</v>
      </c>
    </row>
    <row r="54">
      <c r="A54" s="3" t="str">
        <f>IFERROR(__xludf.DUMMYFUNCTION("""COMPUTED_VALUE"""),"Fujian")</f>
        <v>Fujian</v>
      </c>
      <c r="B54" s="3" t="str">
        <f>IFERROR(__xludf.DUMMYFUNCTION("""COMPUTED_VALUE"""),"China")</f>
        <v>China</v>
      </c>
      <c r="C54" s="3">
        <f>IFERROR(__xludf.DUMMYFUNCTION("""COMPUTED_VALUE"""),26.0789)</f>
        <v>26.0789</v>
      </c>
      <c r="D54" s="3">
        <f>IFERROR(__xludf.DUMMYFUNCTION("""COMPUTED_VALUE"""),117.9874)</f>
        <v>117.9874</v>
      </c>
      <c r="E54" s="3">
        <f>IFERROR(__xludf.DUMMYFUNCTION("""COMPUTED_VALUE"""),0.0)</f>
        <v>0</v>
      </c>
      <c r="F54" s="3">
        <f>IFERROR(__xludf.DUMMYFUNCTION("""COMPUTED_VALUE"""),0.0)</f>
        <v>0</v>
      </c>
      <c r="G54" s="3">
        <f>IFERROR(__xludf.DUMMYFUNCTION("""COMPUTED_VALUE"""),0.0)</f>
        <v>0</v>
      </c>
      <c r="H54" s="3">
        <f>IFERROR(__xludf.DUMMYFUNCTION("""COMPUTED_VALUE"""),0.0)</f>
        <v>0</v>
      </c>
      <c r="I54" s="3">
        <f>IFERROR(__xludf.DUMMYFUNCTION("""COMPUTED_VALUE"""),0.0)</f>
        <v>0</v>
      </c>
      <c r="J54" s="3">
        <f>IFERROR(__xludf.DUMMYFUNCTION("""COMPUTED_VALUE"""),0.0)</f>
        <v>0</v>
      </c>
      <c r="K54" s="3">
        <f>IFERROR(__xludf.DUMMYFUNCTION("""COMPUTED_VALUE"""),0.0)</f>
        <v>0</v>
      </c>
      <c r="L54" s="3">
        <f>IFERROR(__xludf.DUMMYFUNCTION("""COMPUTED_VALUE"""),0.0)</f>
        <v>0</v>
      </c>
      <c r="M54" s="3">
        <f>IFERROR(__xludf.DUMMYFUNCTION("""COMPUTED_VALUE"""),0.0)</f>
        <v>0</v>
      </c>
      <c r="N54" s="3">
        <f>IFERROR(__xludf.DUMMYFUNCTION("""COMPUTED_VALUE"""),0.0)</f>
        <v>0</v>
      </c>
      <c r="O54" s="3">
        <f>IFERROR(__xludf.DUMMYFUNCTION("""COMPUTED_VALUE"""),0.0)</f>
        <v>0</v>
      </c>
      <c r="P54" s="3">
        <f>IFERROR(__xludf.DUMMYFUNCTION("""COMPUTED_VALUE"""),0.0)</f>
        <v>0</v>
      </c>
      <c r="Q54" s="3">
        <f>IFERROR(__xludf.DUMMYFUNCTION("""COMPUTED_VALUE"""),0.0)</f>
        <v>0</v>
      </c>
      <c r="R54" s="3">
        <f>IFERROR(__xludf.DUMMYFUNCTION("""COMPUTED_VALUE"""),0.0)</f>
        <v>0</v>
      </c>
      <c r="S54" s="3">
        <f>IFERROR(__xludf.DUMMYFUNCTION("""COMPUTED_VALUE"""),0.0)</f>
        <v>0</v>
      </c>
      <c r="T54" s="3">
        <f>IFERROR(__xludf.DUMMYFUNCTION("""COMPUTED_VALUE"""),0.0)</f>
        <v>0</v>
      </c>
      <c r="U54" s="3">
        <f>IFERROR(__xludf.DUMMYFUNCTION("""COMPUTED_VALUE"""),0.0)</f>
        <v>0</v>
      </c>
      <c r="V54" s="3">
        <f>IFERROR(__xludf.DUMMYFUNCTION("""COMPUTED_VALUE"""),0.0)</f>
        <v>0</v>
      </c>
      <c r="W54" s="3">
        <f>IFERROR(__xludf.DUMMYFUNCTION("""COMPUTED_VALUE"""),0.0)</f>
        <v>0</v>
      </c>
      <c r="X54" s="3">
        <f>IFERROR(__xludf.DUMMYFUNCTION("""COMPUTED_VALUE"""),0.0)</f>
        <v>0</v>
      </c>
      <c r="Y54" s="3">
        <f>IFERROR(__xludf.DUMMYFUNCTION("""COMPUTED_VALUE"""),0.0)</f>
        <v>0</v>
      </c>
      <c r="Z54" s="3">
        <f>IFERROR(__xludf.DUMMYFUNCTION("""COMPUTED_VALUE"""),0.0)</f>
        <v>0</v>
      </c>
      <c r="AA54" s="3">
        <f>IFERROR(__xludf.DUMMYFUNCTION("""COMPUTED_VALUE"""),0.0)</f>
        <v>0</v>
      </c>
      <c r="AB54" s="3">
        <f>IFERROR(__xludf.DUMMYFUNCTION("""COMPUTED_VALUE"""),0.0)</f>
        <v>0</v>
      </c>
      <c r="AC54" s="3">
        <f>IFERROR(__xludf.DUMMYFUNCTION("""COMPUTED_VALUE"""),0.0)</f>
        <v>0</v>
      </c>
      <c r="AD54" s="3">
        <f>IFERROR(__xludf.DUMMYFUNCTION("""COMPUTED_VALUE"""),0.0)</f>
        <v>0</v>
      </c>
      <c r="AE54" s="3">
        <f>IFERROR(__xludf.DUMMYFUNCTION("""COMPUTED_VALUE"""),0.0)</f>
        <v>0</v>
      </c>
      <c r="AF54" s="3">
        <f>IFERROR(__xludf.DUMMYFUNCTION("""COMPUTED_VALUE"""),0.0)</f>
        <v>0</v>
      </c>
      <c r="AG54" s="3">
        <f>IFERROR(__xludf.DUMMYFUNCTION("""COMPUTED_VALUE"""),0.0)</f>
        <v>0</v>
      </c>
      <c r="AH54" s="3">
        <f>IFERROR(__xludf.DUMMYFUNCTION("""COMPUTED_VALUE"""),1.0)</f>
        <v>1</v>
      </c>
      <c r="AI54" s="3">
        <f>IFERROR(__xludf.DUMMYFUNCTION("""COMPUTED_VALUE"""),1.0)</f>
        <v>1</v>
      </c>
      <c r="AJ54" s="3">
        <f>IFERROR(__xludf.DUMMYFUNCTION("""COMPUTED_VALUE"""),1.0)</f>
        <v>1</v>
      </c>
      <c r="AK54" s="3">
        <f>IFERROR(__xludf.DUMMYFUNCTION("""COMPUTED_VALUE"""),1.0)</f>
        <v>1</v>
      </c>
      <c r="AL54" s="3">
        <f>IFERROR(__xludf.DUMMYFUNCTION("""COMPUTED_VALUE"""),1.0)</f>
        <v>1</v>
      </c>
      <c r="AM54" s="3">
        <f>IFERROR(__xludf.DUMMYFUNCTION("""COMPUTED_VALUE"""),1.0)</f>
        <v>1</v>
      </c>
      <c r="AN54" s="3">
        <f>IFERROR(__xludf.DUMMYFUNCTION("""COMPUTED_VALUE"""),1.0)</f>
        <v>1</v>
      </c>
      <c r="AO54" s="3">
        <f>IFERROR(__xludf.DUMMYFUNCTION("""COMPUTED_VALUE"""),1.0)</f>
        <v>1</v>
      </c>
      <c r="AP54" s="3">
        <f>IFERROR(__xludf.DUMMYFUNCTION("""COMPUTED_VALUE"""),1.0)</f>
        <v>1</v>
      </c>
      <c r="AQ54" s="3">
        <f>IFERROR(__xludf.DUMMYFUNCTION("""COMPUTED_VALUE"""),1.0)</f>
        <v>1</v>
      </c>
      <c r="AR54" s="3">
        <f>IFERROR(__xludf.DUMMYFUNCTION("""COMPUTED_VALUE"""),1.0)</f>
        <v>1</v>
      </c>
      <c r="AS54" s="3">
        <f>IFERROR(__xludf.DUMMYFUNCTION("""COMPUTED_VALUE"""),1.0)</f>
        <v>1</v>
      </c>
      <c r="AT54" s="3">
        <f>IFERROR(__xludf.DUMMYFUNCTION("""COMPUTED_VALUE"""),1.0)</f>
        <v>1</v>
      </c>
      <c r="AU54" s="3">
        <f>IFERROR(__xludf.DUMMYFUNCTION("""COMPUTED_VALUE"""),1.0)</f>
        <v>1</v>
      </c>
      <c r="AV54" s="3">
        <f>IFERROR(__xludf.DUMMYFUNCTION("""COMPUTED_VALUE"""),1.0)</f>
        <v>1</v>
      </c>
      <c r="AW54" s="3">
        <f>IFERROR(__xludf.DUMMYFUNCTION("""COMPUTED_VALUE"""),1.0)</f>
        <v>1</v>
      </c>
      <c r="AX54" s="3">
        <f>IFERROR(__xludf.DUMMYFUNCTION("""COMPUTED_VALUE"""),1.0)</f>
        <v>1</v>
      </c>
      <c r="AY54" s="3">
        <f>IFERROR(__xludf.DUMMYFUNCTION("""COMPUTED_VALUE"""),1.0)</f>
        <v>1</v>
      </c>
      <c r="AZ54" s="3">
        <f>IFERROR(__xludf.DUMMYFUNCTION("""COMPUTED_VALUE"""),1.0)</f>
        <v>1</v>
      </c>
      <c r="BA54" s="3">
        <f>IFERROR(__xludf.DUMMYFUNCTION("""COMPUTED_VALUE"""),1.0)</f>
        <v>1</v>
      </c>
      <c r="BB54" s="3">
        <f>IFERROR(__xludf.DUMMYFUNCTION("""COMPUTED_VALUE"""),1.0)</f>
        <v>1</v>
      </c>
      <c r="BC54" s="3">
        <f>IFERROR(__xludf.DUMMYFUNCTION("""COMPUTED_VALUE"""),1.0)</f>
        <v>1</v>
      </c>
      <c r="BD54" s="3">
        <f>IFERROR(__xludf.DUMMYFUNCTION("""COMPUTED_VALUE"""),1.0)</f>
        <v>1</v>
      </c>
      <c r="BE54" s="3">
        <f>IFERROR(__xludf.DUMMYFUNCTION("""COMPUTED_VALUE"""),1.0)</f>
        <v>1</v>
      </c>
      <c r="BF54" s="3">
        <f>IFERROR(__xludf.DUMMYFUNCTION("""COMPUTED_VALUE"""),1.0)</f>
        <v>1</v>
      </c>
      <c r="BG54" s="3">
        <f>IFERROR(__xludf.DUMMYFUNCTION("""COMPUTED_VALUE"""),1.0)</f>
        <v>1</v>
      </c>
      <c r="BH54" s="3">
        <f>IFERROR(__xludf.DUMMYFUNCTION("""COMPUTED_VALUE"""),1.0)</f>
        <v>1</v>
      </c>
      <c r="BI54" s="3">
        <f>IFERROR(__xludf.DUMMYFUNCTION("""COMPUTED_VALUE"""),1.0)</f>
        <v>1</v>
      </c>
      <c r="BJ54" s="3">
        <f>IFERROR(__xludf.DUMMYFUNCTION("""COMPUTED_VALUE"""),1.0)</f>
        <v>1</v>
      </c>
      <c r="BK54" s="3">
        <f>IFERROR(__xludf.DUMMYFUNCTION("""COMPUTED_VALUE"""),1.0)</f>
        <v>1</v>
      </c>
      <c r="BL54" s="3">
        <f>IFERROR(__xludf.DUMMYFUNCTION("""COMPUTED_VALUE"""),1.0)</f>
        <v>1</v>
      </c>
      <c r="BM54" s="3">
        <f>IFERROR(__xludf.DUMMYFUNCTION("""COMPUTED_VALUE"""),1.0)</f>
        <v>1</v>
      </c>
      <c r="BN54" s="3">
        <f>IFERROR(__xludf.DUMMYFUNCTION("""COMPUTED_VALUE"""),1.0)</f>
        <v>1</v>
      </c>
      <c r="BO54" s="3">
        <f>IFERROR(__xludf.DUMMYFUNCTION("""COMPUTED_VALUE"""),1.0)</f>
        <v>1</v>
      </c>
      <c r="BP54" s="3">
        <f>IFERROR(__xludf.DUMMYFUNCTION("""COMPUTED_VALUE"""),1.0)</f>
        <v>1</v>
      </c>
      <c r="BQ54" s="3">
        <f>IFERROR(__xludf.DUMMYFUNCTION("""COMPUTED_VALUE"""),1.0)</f>
        <v>1</v>
      </c>
      <c r="BR54" s="3">
        <f>IFERROR(__xludf.DUMMYFUNCTION("""COMPUTED_VALUE"""),1.0)</f>
        <v>1</v>
      </c>
      <c r="BS54" s="3">
        <f>IFERROR(__xludf.DUMMYFUNCTION("""COMPUTED_VALUE"""),1.0)</f>
        <v>1</v>
      </c>
      <c r="BT54" s="3">
        <f>IFERROR(__xludf.DUMMYFUNCTION("""COMPUTED_VALUE"""),1.0)</f>
        <v>1</v>
      </c>
      <c r="BU54" s="3">
        <f>IFERROR(__xludf.DUMMYFUNCTION("""COMPUTED_VALUE"""),1.0)</f>
        <v>1</v>
      </c>
      <c r="BV54" s="3">
        <f>IFERROR(__xludf.DUMMYFUNCTION("""COMPUTED_VALUE"""),1.0)</f>
        <v>1</v>
      </c>
      <c r="BW54" s="3">
        <f>IFERROR(__xludf.DUMMYFUNCTION("""COMPUTED_VALUE"""),1.0)</f>
        <v>1</v>
      </c>
      <c r="BX54" s="3">
        <f>IFERROR(__xludf.DUMMYFUNCTION("""COMPUTED_VALUE"""),1.0)</f>
        <v>1</v>
      </c>
      <c r="BY54" s="3">
        <f>IFERROR(__xludf.DUMMYFUNCTION("""COMPUTED_VALUE"""),1.0)</f>
        <v>1</v>
      </c>
      <c r="BZ54" s="3">
        <f>IFERROR(__xludf.DUMMYFUNCTION("""COMPUTED_VALUE"""),1.0)</f>
        <v>1</v>
      </c>
      <c r="CA54" s="3">
        <f>IFERROR(__xludf.DUMMYFUNCTION("""COMPUTED_VALUE"""),1.0)</f>
        <v>1</v>
      </c>
      <c r="CB54" s="3">
        <f>IFERROR(__xludf.DUMMYFUNCTION("""COMPUTED_VALUE"""),1.0)</f>
        <v>1</v>
      </c>
    </row>
    <row r="55">
      <c r="A55" s="3" t="str">
        <f>IFERROR(__xludf.DUMMYFUNCTION("""COMPUTED_VALUE"""),"Gansu")</f>
        <v>Gansu</v>
      </c>
      <c r="B55" s="3" t="str">
        <f>IFERROR(__xludf.DUMMYFUNCTION("""COMPUTED_VALUE"""),"China")</f>
        <v>China</v>
      </c>
      <c r="C55" s="3">
        <f>IFERROR(__xludf.DUMMYFUNCTION("""COMPUTED_VALUE"""),37.8099)</f>
        <v>37.8099</v>
      </c>
      <c r="D55" s="3">
        <f>IFERROR(__xludf.DUMMYFUNCTION("""COMPUTED_VALUE"""),101.0583)</f>
        <v>101.0583</v>
      </c>
      <c r="E55" s="3">
        <f>IFERROR(__xludf.DUMMYFUNCTION("""COMPUTED_VALUE"""),0.0)</f>
        <v>0</v>
      </c>
      <c r="F55" s="3">
        <f>IFERROR(__xludf.DUMMYFUNCTION("""COMPUTED_VALUE"""),0.0)</f>
        <v>0</v>
      </c>
      <c r="G55" s="3">
        <f>IFERROR(__xludf.DUMMYFUNCTION("""COMPUTED_VALUE"""),0.0)</f>
        <v>0</v>
      </c>
      <c r="H55" s="3">
        <f>IFERROR(__xludf.DUMMYFUNCTION("""COMPUTED_VALUE"""),0.0)</f>
        <v>0</v>
      </c>
      <c r="I55" s="3">
        <f>IFERROR(__xludf.DUMMYFUNCTION("""COMPUTED_VALUE"""),0.0)</f>
        <v>0</v>
      </c>
      <c r="J55" s="3">
        <f>IFERROR(__xludf.DUMMYFUNCTION("""COMPUTED_VALUE"""),0.0)</f>
        <v>0</v>
      </c>
      <c r="K55" s="3">
        <f>IFERROR(__xludf.DUMMYFUNCTION("""COMPUTED_VALUE"""),0.0)</f>
        <v>0</v>
      </c>
      <c r="L55" s="3">
        <f>IFERROR(__xludf.DUMMYFUNCTION("""COMPUTED_VALUE"""),0.0)</f>
        <v>0</v>
      </c>
      <c r="M55" s="3">
        <f>IFERROR(__xludf.DUMMYFUNCTION("""COMPUTED_VALUE"""),0.0)</f>
        <v>0</v>
      </c>
      <c r="N55" s="3">
        <f>IFERROR(__xludf.DUMMYFUNCTION("""COMPUTED_VALUE"""),0.0)</f>
        <v>0</v>
      </c>
      <c r="O55" s="3">
        <f>IFERROR(__xludf.DUMMYFUNCTION("""COMPUTED_VALUE"""),0.0)</f>
        <v>0</v>
      </c>
      <c r="P55" s="3">
        <f>IFERROR(__xludf.DUMMYFUNCTION("""COMPUTED_VALUE"""),0.0)</f>
        <v>0</v>
      </c>
      <c r="Q55" s="3">
        <f>IFERROR(__xludf.DUMMYFUNCTION("""COMPUTED_VALUE"""),0.0)</f>
        <v>0</v>
      </c>
      <c r="R55" s="3">
        <f>IFERROR(__xludf.DUMMYFUNCTION("""COMPUTED_VALUE"""),0.0)</f>
        <v>0</v>
      </c>
      <c r="S55" s="3">
        <f>IFERROR(__xludf.DUMMYFUNCTION("""COMPUTED_VALUE"""),0.0)</f>
        <v>0</v>
      </c>
      <c r="T55" s="3">
        <f>IFERROR(__xludf.DUMMYFUNCTION("""COMPUTED_VALUE"""),0.0)</f>
        <v>0</v>
      </c>
      <c r="U55" s="3">
        <f>IFERROR(__xludf.DUMMYFUNCTION("""COMPUTED_VALUE"""),0.0)</f>
        <v>0</v>
      </c>
      <c r="V55" s="3">
        <f>IFERROR(__xludf.DUMMYFUNCTION("""COMPUTED_VALUE"""),1.0)</f>
        <v>1</v>
      </c>
      <c r="W55" s="3">
        <f>IFERROR(__xludf.DUMMYFUNCTION("""COMPUTED_VALUE"""),2.0)</f>
        <v>2</v>
      </c>
      <c r="X55" s="3">
        <f>IFERROR(__xludf.DUMMYFUNCTION("""COMPUTED_VALUE"""),2.0)</f>
        <v>2</v>
      </c>
      <c r="Y55" s="3">
        <f>IFERROR(__xludf.DUMMYFUNCTION("""COMPUTED_VALUE"""),2.0)</f>
        <v>2</v>
      </c>
      <c r="Z55" s="3">
        <f>IFERROR(__xludf.DUMMYFUNCTION("""COMPUTED_VALUE"""),2.0)</f>
        <v>2</v>
      </c>
      <c r="AA55" s="3">
        <f>IFERROR(__xludf.DUMMYFUNCTION("""COMPUTED_VALUE"""),2.0)</f>
        <v>2</v>
      </c>
      <c r="AB55" s="3">
        <f>IFERROR(__xludf.DUMMYFUNCTION("""COMPUTED_VALUE"""),2.0)</f>
        <v>2</v>
      </c>
      <c r="AC55" s="3">
        <f>IFERROR(__xludf.DUMMYFUNCTION("""COMPUTED_VALUE"""),2.0)</f>
        <v>2</v>
      </c>
      <c r="AD55" s="3">
        <f>IFERROR(__xludf.DUMMYFUNCTION("""COMPUTED_VALUE"""),2.0)</f>
        <v>2</v>
      </c>
      <c r="AE55" s="3">
        <f>IFERROR(__xludf.DUMMYFUNCTION("""COMPUTED_VALUE"""),2.0)</f>
        <v>2</v>
      </c>
      <c r="AF55" s="3">
        <f>IFERROR(__xludf.DUMMYFUNCTION("""COMPUTED_VALUE"""),2.0)</f>
        <v>2</v>
      </c>
      <c r="AG55" s="3">
        <f>IFERROR(__xludf.DUMMYFUNCTION("""COMPUTED_VALUE"""),2.0)</f>
        <v>2</v>
      </c>
      <c r="AH55" s="3">
        <f>IFERROR(__xludf.DUMMYFUNCTION("""COMPUTED_VALUE"""),2.0)</f>
        <v>2</v>
      </c>
      <c r="AI55" s="3">
        <f>IFERROR(__xludf.DUMMYFUNCTION("""COMPUTED_VALUE"""),2.0)</f>
        <v>2</v>
      </c>
      <c r="AJ55" s="3">
        <f>IFERROR(__xludf.DUMMYFUNCTION("""COMPUTED_VALUE"""),2.0)</f>
        <v>2</v>
      </c>
      <c r="AK55" s="3">
        <f>IFERROR(__xludf.DUMMYFUNCTION("""COMPUTED_VALUE"""),2.0)</f>
        <v>2</v>
      </c>
      <c r="AL55" s="3">
        <f>IFERROR(__xludf.DUMMYFUNCTION("""COMPUTED_VALUE"""),2.0)</f>
        <v>2</v>
      </c>
      <c r="AM55" s="3">
        <f>IFERROR(__xludf.DUMMYFUNCTION("""COMPUTED_VALUE"""),2.0)</f>
        <v>2</v>
      </c>
      <c r="AN55" s="3">
        <f>IFERROR(__xludf.DUMMYFUNCTION("""COMPUTED_VALUE"""),2.0)</f>
        <v>2</v>
      </c>
      <c r="AO55" s="3">
        <f>IFERROR(__xludf.DUMMYFUNCTION("""COMPUTED_VALUE"""),2.0)</f>
        <v>2</v>
      </c>
      <c r="AP55" s="3">
        <f>IFERROR(__xludf.DUMMYFUNCTION("""COMPUTED_VALUE"""),2.0)</f>
        <v>2</v>
      </c>
      <c r="AQ55" s="3">
        <f>IFERROR(__xludf.DUMMYFUNCTION("""COMPUTED_VALUE"""),2.0)</f>
        <v>2</v>
      </c>
      <c r="AR55" s="3">
        <f>IFERROR(__xludf.DUMMYFUNCTION("""COMPUTED_VALUE"""),2.0)</f>
        <v>2</v>
      </c>
      <c r="AS55" s="3">
        <f>IFERROR(__xludf.DUMMYFUNCTION("""COMPUTED_VALUE"""),2.0)</f>
        <v>2</v>
      </c>
      <c r="AT55" s="3">
        <f>IFERROR(__xludf.DUMMYFUNCTION("""COMPUTED_VALUE"""),2.0)</f>
        <v>2</v>
      </c>
      <c r="AU55" s="3">
        <f>IFERROR(__xludf.DUMMYFUNCTION("""COMPUTED_VALUE"""),2.0)</f>
        <v>2</v>
      </c>
      <c r="AV55" s="3">
        <f>IFERROR(__xludf.DUMMYFUNCTION("""COMPUTED_VALUE"""),2.0)</f>
        <v>2</v>
      </c>
      <c r="AW55" s="3">
        <f>IFERROR(__xludf.DUMMYFUNCTION("""COMPUTED_VALUE"""),2.0)</f>
        <v>2</v>
      </c>
      <c r="AX55" s="3">
        <f>IFERROR(__xludf.DUMMYFUNCTION("""COMPUTED_VALUE"""),2.0)</f>
        <v>2</v>
      </c>
      <c r="AY55" s="3">
        <f>IFERROR(__xludf.DUMMYFUNCTION("""COMPUTED_VALUE"""),2.0)</f>
        <v>2</v>
      </c>
      <c r="AZ55" s="3">
        <f>IFERROR(__xludf.DUMMYFUNCTION("""COMPUTED_VALUE"""),2.0)</f>
        <v>2</v>
      </c>
      <c r="BA55" s="3">
        <f>IFERROR(__xludf.DUMMYFUNCTION("""COMPUTED_VALUE"""),2.0)</f>
        <v>2</v>
      </c>
      <c r="BB55" s="3">
        <f>IFERROR(__xludf.DUMMYFUNCTION("""COMPUTED_VALUE"""),2.0)</f>
        <v>2</v>
      </c>
      <c r="BC55" s="3">
        <f>IFERROR(__xludf.DUMMYFUNCTION("""COMPUTED_VALUE"""),2.0)</f>
        <v>2</v>
      </c>
      <c r="BD55" s="3">
        <f>IFERROR(__xludf.DUMMYFUNCTION("""COMPUTED_VALUE"""),2.0)</f>
        <v>2</v>
      </c>
      <c r="BE55" s="3">
        <f>IFERROR(__xludf.DUMMYFUNCTION("""COMPUTED_VALUE"""),2.0)</f>
        <v>2</v>
      </c>
      <c r="BF55" s="3">
        <f>IFERROR(__xludf.DUMMYFUNCTION("""COMPUTED_VALUE"""),2.0)</f>
        <v>2</v>
      </c>
      <c r="BG55" s="3">
        <f>IFERROR(__xludf.DUMMYFUNCTION("""COMPUTED_VALUE"""),2.0)</f>
        <v>2</v>
      </c>
      <c r="BH55" s="3">
        <f>IFERROR(__xludf.DUMMYFUNCTION("""COMPUTED_VALUE"""),2.0)</f>
        <v>2</v>
      </c>
      <c r="BI55" s="3">
        <f>IFERROR(__xludf.DUMMYFUNCTION("""COMPUTED_VALUE"""),2.0)</f>
        <v>2</v>
      </c>
      <c r="BJ55" s="3">
        <f>IFERROR(__xludf.DUMMYFUNCTION("""COMPUTED_VALUE"""),2.0)</f>
        <v>2</v>
      </c>
      <c r="BK55" s="3">
        <f>IFERROR(__xludf.DUMMYFUNCTION("""COMPUTED_VALUE"""),2.0)</f>
        <v>2</v>
      </c>
      <c r="BL55" s="3">
        <f>IFERROR(__xludf.DUMMYFUNCTION("""COMPUTED_VALUE"""),2.0)</f>
        <v>2</v>
      </c>
      <c r="BM55" s="3">
        <f>IFERROR(__xludf.DUMMYFUNCTION("""COMPUTED_VALUE"""),2.0)</f>
        <v>2</v>
      </c>
      <c r="BN55" s="3">
        <f>IFERROR(__xludf.DUMMYFUNCTION("""COMPUTED_VALUE"""),2.0)</f>
        <v>2</v>
      </c>
      <c r="BO55" s="3">
        <f>IFERROR(__xludf.DUMMYFUNCTION("""COMPUTED_VALUE"""),2.0)</f>
        <v>2</v>
      </c>
      <c r="BP55" s="3">
        <f>IFERROR(__xludf.DUMMYFUNCTION("""COMPUTED_VALUE"""),2.0)</f>
        <v>2</v>
      </c>
      <c r="BQ55" s="3">
        <f>IFERROR(__xludf.DUMMYFUNCTION("""COMPUTED_VALUE"""),2.0)</f>
        <v>2</v>
      </c>
      <c r="BR55" s="3">
        <f>IFERROR(__xludf.DUMMYFUNCTION("""COMPUTED_VALUE"""),2.0)</f>
        <v>2</v>
      </c>
      <c r="BS55" s="3">
        <f>IFERROR(__xludf.DUMMYFUNCTION("""COMPUTED_VALUE"""),2.0)</f>
        <v>2</v>
      </c>
      <c r="BT55" s="3">
        <f>IFERROR(__xludf.DUMMYFUNCTION("""COMPUTED_VALUE"""),2.0)</f>
        <v>2</v>
      </c>
      <c r="BU55" s="3">
        <f>IFERROR(__xludf.DUMMYFUNCTION("""COMPUTED_VALUE"""),2.0)</f>
        <v>2</v>
      </c>
      <c r="BV55" s="3">
        <f>IFERROR(__xludf.DUMMYFUNCTION("""COMPUTED_VALUE"""),2.0)</f>
        <v>2</v>
      </c>
      <c r="BW55" s="3">
        <f>IFERROR(__xludf.DUMMYFUNCTION("""COMPUTED_VALUE"""),2.0)</f>
        <v>2</v>
      </c>
      <c r="BX55" s="3">
        <f>IFERROR(__xludf.DUMMYFUNCTION("""COMPUTED_VALUE"""),2.0)</f>
        <v>2</v>
      </c>
      <c r="BY55" s="3">
        <f>IFERROR(__xludf.DUMMYFUNCTION("""COMPUTED_VALUE"""),2.0)</f>
        <v>2</v>
      </c>
      <c r="BZ55" s="3">
        <f>IFERROR(__xludf.DUMMYFUNCTION("""COMPUTED_VALUE"""),2.0)</f>
        <v>2</v>
      </c>
      <c r="CA55" s="3">
        <f>IFERROR(__xludf.DUMMYFUNCTION("""COMPUTED_VALUE"""),2.0)</f>
        <v>2</v>
      </c>
      <c r="CB55" s="3">
        <f>IFERROR(__xludf.DUMMYFUNCTION("""COMPUTED_VALUE"""),2.0)</f>
        <v>2</v>
      </c>
    </row>
    <row r="56">
      <c r="A56" s="3" t="str">
        <f>IFERROR(__xludf.DUMMYFUNCTION("""COMPUTED_VALUE"""),"Guangdong")</f>
        <v>Guangdong</v>
      </c>
      <c r="B56" s="3" t="str">
        <f>IFERROR(__xludf.DUMMYFUNCTION("""COMPUTED_VALUE"""),"China")</f>
        <v>China</v>
      </c>
      <c r="C56" s="3">
        <f>IFERROR(__xludf.DUMMYFUNCTION("""COMPUTED_VALUE"""),23.3417)</f>
        <v>23.3417</v>
      </c>
      <c r="D56" s="3">
        <f>IFERROR(__xludf.DUMMYFUNCTION("""COMPUTED_VALUE"""),113.4244)</f>
        <v>113.4244</v>
      </c>
      <c r="E56" s="3">
        <f>IFERROR(__xludf.DUMMYFUNCTION("""COMPUTED_VALUE"""),0.0)</f>
        <v>0</v>
      </c>
      <c r="F56" s="3">
        <f>IFERROR(__xludf.DUMMYFUNCTION("""COMPUTED_VALUE"""),0.0)</f>
        <v>0</v>
      </c>
      <c r="G56" s="3">
        <f>IFERROR(__xludf.DUMMYFUNCTION("""COMPUTED_VALUE"""),0.0)</f>
        <v>0</v>
      </c>
      <c r="H56" s="3">
        <f>IFERROR(__xludf.DUMMYFUNCTION("""COMPUTED_VALUE"""),0.0)</f>
        <v>0</v>
      </c>
      <c r="I56" s="3">
        <f>IFERROR(__xludf.DUMMYFUNCTION("""COMPUTED_VALUE"""),0.0)</f>
        <v>0</v>
      </c>
      <c r="J56" s="3">
        <f>IFERROR(__xludf.DUMMYFUNCTION("""COMPUTED_VALUE"""),0.0)</f>
        <v>0</v>
      </c>
      <c r="K56" s="3">
        <f>IFERROR(__xludf.DUMMYFUNCTION("""COMPUTED_VALUE"""),0.0)</f>
        <v>0</v>
      </c>
      <c r="L56" s="3">
        <f>IFERROR(__xludf.DUMMYFUNCTION("""COMPUTED_VALUE"""),0.0)</f>
        <v>0</v>
      </c>
      <c r="M56" s="3">
        <f>IFERROR(__xludf.DUMMYFUNCTION("""COMPUTED_VALUE"""),0.0)</f>
        <v>0</v>
      </c>
      <c r="N56" s="3">
        <f>IFERROR(__xludf.DUMMYFUNCTION("""COMPUTED_VALUE"""),0.0)</f>
        <v>0</v>
      </c>
      <c r="O56" s="3">
        <f>IFERROR(__xludf.DUMMYFUNCTION("""COMPUTED_VALUE"""),0.0)</f>
        <v>0</v>
      </c>
      <c r="P56" s="3">
        <f>IFERROR(__xludf.DUMMYFUNCTION("""COMPUTED_VALUE"""),0.0)</f>
        <v>0</v>
      </c>
      <c r="Q56" s="3">
        <f>IFERROR(__xludf.DUMMYFUNCTION("""COMPUTED_VALUE"""),0.0)</f>
        <v>0</v>
      </c>
      <c r="R56" s="3">
        <f>IFERROR(__xludf.DUMMYFUNCTION("""COMPUTED_VALUE"""),0.0)</f>
        <v>0</v>
      </c>
      <c r="S56" s="3">
        <f>IFERROR(__xludf.DUMMYFUNCTION("""COMPUTED_VALUE"""),0.0)</f>
        <v>0</v>
      </c>
      <c r="T56" s="3">
        <f>IFERROR(__xludf.DUMMYFUNCTION("""COMPUTED_VALUE"""),0.0)</f>
        <v>0</v>
      </c>
      <c r="U56" s="3">
        <f>IFERROR(__xludf.DUMMYFUNCTION("""COMPUTED_VALUE"""),1.0)</f>
        <v>1</v>
      </c>
      <c r="V56" s="3">
        <f>IFERROR(__xludf.DUMMYFUNCTION("""COMPUTED_VALUE"""),1.0)</f>
        <v>1</v>
      </c>
      <c r="W56" s="3">
        <f>IFERROR(__xludf.DUMMYFUNCTION("""COMPUTED_VALUE"""),1.0)</f>
        <v>1</v>
      </c>
      <c r="X56" s="3">
        <f>IFERROR(__xludf.DUMMYFUNCTION("""COMPUTED_VALUE"""),1.0)</f>
        <v>1</v>
      </c>
      <c r="Y56" s="3">
        <f>IFERROR(__xludf.DUMMYFUNCTION("""COMPUTED_VALUE"""),1.0)</f>
        <v>1</v>
      </c>
      <c r="Z56" s="3">
        <f>IFERROR(__xludf.DUMMYFUNCTION("""COMPUTED_VALUE"""),1.0)</f>
        <v>1</v>
      </c>
      <c r="AA56" s="3">
        <f>IFERROR(__xludf.DUMMYFUNCTION("""COMPUTED_VALUE"""),2.0)</f>
        <v>2</v>
      </c>
      <c r="AB56" s="3">
        <f>IFERROR(__xludf.DUMMYFUNCTION("""COMPUTED_VALUE"""),2.0)</f>
        <v>2</v>
      </c>
      <c r="AC56" s="3">
        <f>IFERROR(__xludf.DUMMYFUNCTION("""COMPUTED_VALUE"""),2.0)</f>
        <v>2</v>
      </c>
      <c r="AD56" s="3">
        <f>IFERROR(__xludf.DUMMYFUNCTION("""COMPUTED_VALUE"""),2.0)</f>
        <v>2</v>
      </c>
      <c r="AE56" s="3">
        <f>IFERROR(__xludf.DUMMYFUNCTION("""COMPUTED_VALUE"""),4.0)</f>
        <v>4</v>
      </c>
      <c r="AF56" s="3">
        <f>IFERROR(__xludf.DUMMYFUNCTION("""COMPUTED_VALUE"""),4.0)</f>
        <v>4</v>
      </c>
      <c r="AG56" s="3">
        <f>IFERROR(__xludf.DUMMYFUNCTION("""COMPUTED_VALUE"""),5.0)</f>
        <v>5</v>
      </c>
      <c r="AH56" s="3">
        <f>IFERROR(__xludf.DUMMYFUNCTION("""COMPUTED_VALUE"""),5.0)</f>
        <v>5</v>
      </c>
      <c r="AI56" s="3">
        <f>IFERROR(__xludf.DUMMYFUNCTION("""COMPUTED_VALUE"""),5.0)</f>
        <v>5</v>
      </c>
      <c r="AJ56" s="3">
        <f>IFERROR(__xludf.DUMMYFUNCTION("""COMPUTED_VALUE"""),5.0)</f>
        <v>5</v>
      </c>
      <c r="AK56" s="3">
        <f>IFERROR(__xludf.DUMMYFUNCTION("""COMPUTED_VALUE"""),6.0)</f>
        <v>6</v>
      </c>
      <c r="AL56" s="3">
        <f>IFERROR(__xludf.DUMMYFUNCTION("""COMPUTED_VALUE"""),6.0)</f>
        <v>6</v>
      </c>
      <c r="AM56" s="3">
        <f>IFERROR(__xludf.DUMMYFUNCTION("""COMPUTED_VALUE"""),7.0)</f>
        <v>7</v>
      </c>
      <c r="AN56" s="3">
        <f>IFERROR(__xludf.DUMMYFUNCTION("""COMPUTED_VALUE"""),7.0)</f>
        <v>7</v>
      </c>
      <c r="AO56" s="3">
        <f>IFERROR(__xludf.DUMMYFUNCTION("""COMPUTED_VALUE"""),7.0)</f>
        <v>7</v>
      </c>
      <c r="AP56" s="3">
        <f>IFERROR(__xludf.DUMMYFUNCTION("""COMPUTED_VALUE"""),7.0)</f>
        <v>7</v>
      </c>
      <c r="AQ56" s="3">
        <f>IFERROR(__xludf.DUMMYFUNCTION("""COMPUTED_VALUE"""),7.0)</f>
        <v>7</v>
      </c>
      <c r="AR56" s="3">
        <f>IFERROR(__xludf.DUMMYFUNCTION("""COMPUTED_VALUE"""),7.0)</f>
        <v>7</v>
      </c>
      <c r="AS56" s="3">
        <f>IFERROR(__xludf.DUMMYFUNCTION("""COMPUTED_VALUE"""),7.0)</f>
        <v>7</v>
      </c>
      <c r="AT56" s="3">
        <f>IFERROR(__xludf.DUMMYFUNCTION("""COMPUTED_VALUE"""),7.0)</f>
        <v>7</v>
      </c>
      <c r="AU56" s="3">
        <f>IFERROR(__xludf.DUMMYFUNCTION("""COMPUTED_VALUE"""),7.0)</f>
        <v>7</v>
      </c>
      <c r="AV56" s="3">
        <f>IFERROR(__xludf.DUMMYFUNCTION("""COMPUTED_VALUE"""),7.0)</f>
        <v>7</v>
      </c>
      <c r="AW56" s="3">
        <f>IFERROR(__xludf.DUMMYFUNCTION("""COMPUTED_VALUE"""),7.0)</f>
        <v>7</v>
      </c>
      <c r="AX56" s="3">
        <f>IFERROR(__xludf.DUMMYFUNCTION("""COMPUTED_VALUE"""),7.0)</f>
        <v>7</v>
      </c>
      <c r="AY56" s="3">
        <f>IFERROR(__xludf.DUMMYFUNCTION("""COMPUTED_VALUE"""),7.0)</f>
        <v>7</v>
      </c>
      <c r="AZ56" s="3">
        <f>IFERROR(__xludf.DUMMYFUNCTION("""COMPUTED_VALUE"""),8.0)</f>
        <v>8</v>
      </c>
      <c r="BA56" s="3">
        <f>IFERROR(__xludf.DUMMYFUNCTION("""COMPUTED_VALUE"""),8.0)</f>
        <v>8</v>
      </c>
      <c r="BB56" s="3">
        <f>IFERROR(__xludf.DUMMYFUNCTION("""COMPUTED_VALUE"""),8.0)</f>
        <v>8</v>
      </c>
      <c r="BC56" s="3">
        <f>IFERROR(__xludf.DUMMYFUNCTION("""COMPUTED_VALUE"""),8.0)</f>
        <v>8</v>
      </c>
      <c r="BD56" s="3">
        <f>IFERROR(__xludf.DUMMYFUNCTION("""COMPUTED_VALUE"""),8.0)</f>
        <v>8</v>
      </c>
      <c r="BE56" s="3">
        <f>IFERROR(__xludf.DUMMYFUNCTION("""COMPUTED_VALUE"""),8.0)</f>
        <v>8</v>
      </c>
      <c r="BF56" s="3">
        <f>IFERROR(__xludf.DUMMYFUNCTION("""COMPUTED_VALUE"""),8.0)</f>
        <v>8</v>
      </c>
      <c r="BG56" s="3">
        <f>IFERROR(__xludf.DUMMYFUNCTION("""COMPUTED_VALUE"""),8.0)</f>
        <v>8</v>
      </c>
      <c r="BH56" s="3">
        <f>IFERROR(__xludf.DUMMYFUNCTION("""COMPUTED_VALUE"""),8.0)</f>
        <v>8</v>
      </c>
      <c r="BI56" s="3">
        <f>IFERROR(__xludf.DUMMYFUNCTION("""COMPUTED_VALUE"""),8.0)</f>
        <v>8</v>
      </c>
      <c r="BJ56" s="3">
        <f>IFERROR(__xludf.DUMMYFUNCTION("""COMPUTED_VALUE"""),8.0)</f>
        <v>8</v>
      </c>
      <c r="BK56" s="3">
        <f>IFERROR(__xludf.DUMMYFUNCTION("""COMPUTED_VALUE"""),8.0)</f>
        <v>8</v>
      </c>
      <c r="BL56" s="3">
        <f>IFERROR(__xludf.DUMMYFUNCTION("""COMPUTED_VALUE"""),8.0)</f>
        <v>8</v>
      </c>
      <c r="BM56" s="3">
        <f>IFERROR(__xludf.DUMMYFUNCTION("""COMPUTED_VALUE"""),8.0)</f>
        <v>8</v>
      </c>
      <c r="BN56" s="3">
        <f>IFERROR(__xludf.DUMMYFUNCTION("""COMPUTED_VALUE"""),8.0)</f>
        <v>8</v>
      </c>
      <c r="BO56" s="3">
        <f>IFERROR(__xludf.DUMMYFUNCTION("""COMPUTED_VALUE"""),8.0)</f>
        <v>8</v>
      </c>
      <c r="BP56" s="3">
        <f>IFERROR(__xludf.DUMMYFUNCTION("""COMPUTED_VALUE"""),8.0)</f>
        <v>8</v>
      </c>
      <c r="BQ56" s="3">
        <f>IFERROR(__xludf.DUMMYFUNCTION("""COMPUTED_VALUE"""),8.0)</f>
        <v>8</v>
      </c>
      <c r="BR56" s="3">
        <f>IFERROR(__xludf.DUMMYFUNCTION("""COMPUTED_VALUE"""),8.0)</f>
        <v>8</v>
      </c>
      <c r="BS56" s="3">
        <f>IFERROR(__xludf.DUMMYFUNCTION("""COMPUTED_VALUE"""),8.0)</f>
        <v>8</v>
      </c>
      <c r="BT56" s="3">
        <f>IFERROR(__xludf.DUMMYFUNCTION("""COMPUTED_VALUE"""),8.0)</f>
        <v>8</v>
      </c>
      <c r="BU56" s="3">
        <f>IFERROR(__xludf.DUMMYFUNCTION("""COMPUTED_VALUE"""),8.0)</f>
        <v>8</v>
      </c>
      <c r="BV56" s="3">
        <f>IFERROR(__xludf.DUMMYFUNCTION("""COMPUTED_VALUE"""),8.0)</f>
        <v>8</v>
      </c>
      <c r="BW56" s="3">
        <f>IFERROR(__xludf.DUMMYFUNCTION("""COMPUTED_VALUE"""),8.0)</f>
        <v>8</v>
      </c>
      <c r="BX56" s="3">
        <f>IFERROR(__xludf.DUMMYFUNCTION("""COMPUTED_VALUE"""),8.0)</f>
        <v>8</v>
      </c>
      <c r="BY56" s="3">
        <f>IFERROR(__xludf.DUMMYFUNCTION("""COMPUTED_VALUE"""),8.0)</f>
        <v>8</v>
      </c>
      <c r="BZ56" s="3">
        <f>IFERROR(__xludf.DUMMYFUNCTION("""COMPUTED_VALUE"""),8.0)</f>
        <v>8</v>
      </c>
      <c r="CA56" s="3">
        <f>IFERROR(__xludf.DUMMYFUNCTION("""COMPUTED_VALUE"""),8.0)</f>
        <v>8</v>
      </c>
      <c r="CB56" s="3">
        <f>IFERROR(__xludf.DUMMYFUNCTION("""COMPUTED_VALUE"""),8.0)</f>
        <v>8</v>
      </c>
    </row>
    <row r="57">
      <c r="A57" s="3" t="str">
        <f>IFERROR(__xludf.DUMMYFUNCTION("""COMPUTED_VALUE"""),"Guangxi")</f>
        <v>Guangxi</v>
      </c>
      <c r="B57" s="3" t="str">
        <f>IFERROR(__xludf.DUMMYFUNCTION("""COMPUTED_VALUE"""),"China")</f>
        <v>China</v>
      </c>
      <c r="C57" s="3">
        <f>IFERROR(__xludf.DUMMYFUNCTION("""COMPUTED_VALUE"""),23.8298)</f>
        <v>23.8298</v>
      </c>
      <c r="D57" s="3">
        <f>IFERROR(__xludf.DUMMYFUNCTION("""COMPUTED_VALUE"""),108.7881)</f>
        <v>108.7881</v>
      </c>
      <c r="E57" s="3">
        <f>IFERROR(__xludf.DUMMYFUNCTION("""COMPUTED_VALUE"""),0.0)</f>
        <v>0</v>
      </c>
      <c r="F57" s="3">
        <f>IFERROR(__xludf.DUMMYFUNCTION("""COMPUTED_VALUE"""),0.0)</f>
        <v>0</v>
      </c>
      <c r="G57" s="3">
        <f>IFERROR(__xludf.DUMMYFUNCTION("""COMPUTED_VALUE"""),0.0)</f>
        <v>0</v>
      </c>
      <c r="H57" s="3">
        <f>IFERROR(__xludf.DUMMYFUNCTION("""COMPUTED_VALUE"""),0.0)</f>
        <v>0</v>
      </c>
      <c r="I57" s="3">
        <f>IFERROR(__xludf.DUMMYFUNCTION("""COMPUTED_VALUE"""),0.0)</f>
        <v>0</v>
      </c>
      <c r="J57" s="3">
        <f>IFERROR(__xludf.DUMMYFUNCTION("""COMPUTED_VALUE"""),0.0)</f>
        <v>0</v>
      </c>
      <c r="K57" s="3">
        <f>IFERROR(__xludf.DUMMYFUNCTION("""COMPUTED_VALUE"""),0.0)</f>
        <v>0</v>
      </c>
      <c r="L57" s="3">
        <f>IFERROR(__xludf.DUMMYFUNCTION("""COMPUTED_VALUE"""),0.0)</f>
        <v>0</v>
      </c>
      <c r="M57" s="3">
        <f>IFERROR(__xludf.DUMMYFUNCTION("""COMPUTED_VALUE"""),0.0)</f>
        <v>0</v>
      </c>
      <c r="N57" s="3">
        <f>IFERROR(__xludf.DUMMYFUNCTION("""COMPUTED_VALUE"""),0.0)</f>
        <v>0</v>
      </c>
      <c r="O57" s="3">
        <f>IFERROR(__xludf.DUMMYFUNCTION("""COMPUTED_VALUE"""),0.0)</f>
        <v>0</v>
      </c>
      <c r="P57" s="3">
        <f>IFERROR(__xludf.DUMMYFUNCTION("""COMPUTED_VALUE"""),0.0)</f>
        <v>0</v>
      </c>
      <c r="Q57" s="3">
        <f>IFERROR(__xludf.DUMMYFUNCTION("""COMPUTED_VALUE"""),0.0)</f>
        <v>0</v>
      </c>
      <c r="R57" s="3">
        <f>IFERROR(__xludf.DUMMYFUNCTION("""COMPUTED_VALUE"""),0.0)</f>
        <v>0</v>
      </c>
      <c r="S57" s="3">
        <f>IFERROR(__xludf.DUMMYFUNCTION("""COMPUTED_VALUE"""),0.0)</f>
        <v>0</v>
      </c>
      <c r="T57" s="3">
        <f>IFERROR(__xludf.DUMMYFUNCTION("""COMPUTED_VALUE"""),0.0)</f>
        <v>0</v>
      </c>
      <c r="U57" s="3">
        <f>IFERROR(__xludf.DUMMYFUNCTION("""COMPUTED_VALUE"""),0.0)</f>
        <v>0</v>
      </c>
      <c r="V57" s="3">
        <f>IFERROR(__xludf.DUMMYFUNCTION("""COMPUTED_VALUE"""),0.0)</f>
        <v>0</v>
      </c>
      <c r="W57" s="3">
        <f>IFERROR(__xludf.DUMMYFUNCTION("""COMPUTED_VALUE"""),1.0)</f>
        <v>1</v>
      </c>
      <c r="X57" s="3">
        <f>IFERROR(__xludf.DUMMYFUNCTION("""COMPUTED_VALUE"""),1.0)</f>
        <v>1</v>
      </c>
      <c r="Y57" s="3">
        <f>IFERROR(__xludf.DUMMYFUNCTION("""COMPUTED_VALUE"""),1.0)</f>
        <v>1</v>
      </c>
      <c r="Z57" s="3">
        <f>IFERROR(__xludf.DUMMYFUNCTION("""COMPUTED_VALUE"""),1.0)</f>
        <v>1</v>
      </c>
      <c r="AA57" s="3">
        <f>IFERROR(__xludf.DUMMYFUNCTION("""COMPUTED_VALUE"""),2.0)</f>
        <v>2</v>
      </c>
      <c r="AB57" s="3">
        <f>IFERROR(__xludf.DUMMYFUNCTION("""COMPUTED_VALUE"""),2.0)</f>
        <v>2</v>
      </c>
      <c r="AC57" s="3">
        <f>IFERROR(__xludf.DUMMYFUNCTION("""COMPUTED_VALUE"""),2.0)</f>
        <v>2</v>
      </c>
      <c r="AD57" s="3">
        <f>IFERROR(__xludf.DUMMYFUNCTION("""COMPUTED_VALUE"""),2.0)</f>
        <v>2</v>
      </c>
      <c r="AE57" s="3">
        <f>IFERROR(__xludf.DUMMYFUNCTION("""COMPUTED_VALUE"""),2.0)</f>
        <v>2</v>
      </c>
      <c r="AF57" s="3">
        <f>IFERROR(__xludf.DUMMYFUNCTION("""COMPUTED_VALUE"""),2.0)</f>
        <v>2</v>
      </c>
      <c r="AG57" s="3">
        <f>IFERROR(__xludf.DUMMYFUNCTION("""COMPUTED_VALUE"""),2.0)</f>
        <v>2</v>
      </c>
      <c r="AH57" s="3">
        <f>IFERROR(__xludf.DUMMYFUNCTION("""COMPUTED_VALUE"""),2.0)</f>
        <v>2</v>
      </c>
      <c r="AI57" s="3">
        <f>IFERROR(__xludf.DUMMYFUNCTION("""COMPUTED_VALUE"""),2.0)</f>
        <v>2</v>
      </c>
      <c r="AJ57" s="3">
        <f>IFERROR(__xludf.DUMMYFUNCTION("""COMPUTED_VALUE"""),2.0)</f>
        <v>2</v>
      </c>
      <c r="AK57" s="3">
        <f>IFERROR(__xludf.DUMMYFUNCTION("""COMPUTED_VALUE"""),2.0)</f>
        <v>2</v>
      </c>
      <c r="AL57" s="3">
        <f>IFERROR(__xludf.DUMMYFUNCTION("""COMPUTED_VALUE"""),2.0)</f>
        <v>2</v>
      </c>
      <c r="AM57" s="3">
        <f>IFERROR(__xludf.DUMMYFUNCTION("""COMPUTED_VALUE"""),2.0)</f>
        <v>2</v>
      </c>
      <c r="AN57" s="3">
        <f>IFERROR(__xludf.DUMMYFUNCTION("""COMPUTED_VALUE"""),2.0)</f>
        <v>2</v>
      </c>
      <c r="AO57" s="3">
        <f>IFERROR(__xludf.DUMMYFUNCTION("""COMPUTED_VALUE"""),2.0)</f>
        <v>2</v>
      </c>
      <c r="AP57" s="3">
        <f>IFERROR(__xludf.DUMMYFUNCTION("""COMPUTED_VALUE"""),2.0)</f>
        <v>2</v>
      </c>
      <c r="AQ57" s="3">
        <f>IFERROR(__xludf.DUMMYFUNCTION("""COMPUTED_VALUE"""),2.0)</f>
        <v>2</v>
      </c>
      <c r="AR57" s="3">
        <f>IFERROR(__xludf.DUMMYFUNCTION("""COMPUTED_VALUE"""),2.0)</f>
        <v>2</v>
      </c>
      <c r="AS57" s="3">
        <f>IFERROR(__xludf.DUMMYFUNCTION("""COMPUTED_VALUE"""),2.0)</f>
        <v>2</v>
      </c>
      <c r="AT57" s="3">
        <f>IFERROR(__xludf.DUMMYFUNCTION("""COMPUTED_VALUE"""),2.0)</f>
        <v>2</v>
      </c>
      <c r="AU57" s="3">
        <f>IFERROR(__xludf.DUMMYFUNCTION("""COMPUTED_VALUE"""),2.0)</f>
        <v>2</v>
      </c>
      <c r="AV57" s="3">
        <f>IFERROR(__xludf.DUMMYFUNCTION("""COMPUTED_VALUE"""),2.0)</f>
        <v>2</v>
      </c>
      <c r="AW57" s="3">
        <f>IFERROR(__xludf.DUMMYFUNCTION("""COMPUTED_VALUE"""),2.0)</f>
        <v>2</v>
      </c>
      <c r="AX57" s="3">
        <f>IFERROR(__xludf.DUMMYFUNCTION("""COMPUTED_VALUE"""),2.0)</f>
        <v>2</v>
      </c>
      <c r="AY57" s="3">
        <f>IFERROR(__xludf.DUMMYFUNCTION("""COMPUTED_VALUE"""),2.0)</f>
        <v>2</v>
      </c>
      <c r="AZ57" s="3">
        <f>IFERROR(__xludf.DUMMYFUNCTION("""COMPUTED_VALUE"""),2.0)</f>
        <v>2</v>
      </c>
      <c r="BA57" s="3">
        <f>IFERROR(__xludf.DUMMYFUNCTION("""COMPUTED_VALUE"""),2.0)</f>
        <v>2</v>
      </c>
      <c r="BB57" s="3">
        <f>IFERROR(__xludf.DUMMYFUNCTION("""COMPUTED_VALUE"""),2.0)</f>
        <v>2</v>
      </c>
      <c r="BC57" s="3">
        <f>IFERROR(__xludf.DUMMYFUNCTION("""COMPUTED_VALUE"""),2.0)</f>
        <v>2</v>
      </c>
      <c r="BD57" s="3">
        <f>IFERROR(__xludf.DUMMYFUNCTION("""COMPUTED_VALUE"""),2.0)</f>
        <v>2</v>
      </c>
      <c r="BE57" s="3">
        <f>IFERROR(__xludf.DUMMYFUNCTION("""COMPUTED_VALUE"""),2.0)</f>
        <v>2</v>
      </c>
      <c r="BF57" s="3">
        <f>IFERROR(__xludf.DUMMYFUNCTION("""COMPUTED_VALUE"""),2.0)</f>
        <v>2</v>
      </c>
      <c r="BG57" s="3">
        <f>IFERROR(__xludf.DUMMYFUNCTION("""COMPUTED_VALUE"""),2.0)</f>
        <v>2</v>
      </c>
      <c r="BH57" s="3">
        <f>IFERROR(__xludf.DUMMYFUNCTION("""COMPUTED_VALUE"""),2.0)</f>
        <v>2</v>
      </c>
      <c r="BI57" s="3">
        <f>IFERROR(__xludf.DUMMYFUNCTION("""COMPUTED_VALUE"""),2.0)</f>
        <v>2</v>
      </c>
      <c r="BJ57" s="3">
        <f>IFERROR(__xludf.DUMMYFUNCTION("""COMPUTED_VALUE"""),2.0)</f>
        <v>2</v>
      </c>
      <c r="BK57" s="3">
        <f>IFERROR(__xludf.DUMMYFUNCTION("""COMPUTED_VALUE"""),2.0)</f>
        <v>2</v>
      </c>
      <c r="BL57" s="3">
        <f>IFERROR(__xludf.DUMMYFUNCTION("""COMPUTED_VALUE"""),2.0)</f>
        <v>2</v>
      </c>
      <c r="BM57" s="3">
        <f>IFERROR(__xludf.DUMMYFUNCTION("""COMPUTED_VALUE"""),2.0)</f>
        <v>2</v>
      </c>
      <c r="BN57" s="3">
        <f>IFERROR(__xludf.DUMMYFUNCTION("""COMPUTED_VALUE"""),2.0)</f>
        <v>2</v>
      </c>
      <c r="BO57" s="3">
        <f>IFERROR(__xludf.DUMMYFUNCTION("""COMPUTED_VALUE"""),2.0)</f>
        <v>2</v>
      </c>
      <c r="BP57" s="3">
        <f>IFERROR(__xludf.DUMMYFUNCTION("""COMPUTED_VALUE"""),2.0)</f>
        <v>2</v>
      </c>
      <c r="BQ57" s="3">
        <f>IFERROR(__xludf.DUMMYFUNCTION("""COMPUTED_VALUE"""),2.0)</f>
        <v>2</v>
      </c>
      <c r="BR57" s="3">
        <f>IFERROR(__xludf.DUMMYFUNCTION("""COMPUTED_VALUE"""),2.0)</f>
        <v>2</v>
      </c>
      <c r="BS57" s="3">
        <f>IFERROR(__xludf.DUMMYFUNCTION("""COMPUTED_VALUE"""),2.0)</f>
        <v>2</v>
      </c>
      <c r="BT57" s="3">
        <f>IFERROR(__xludf.DUMMYFUNCTION("""COMPUTED_VALUE"""),2.0)</f>
        <v>2</v>
      </c>
      <c r="BU57" s="3">
        <f>IFERROR(__xludf.DUMMYFUNCTION("""COMPUTED_VALUE"""),2.0)</f>
        <v>2</v>
      </c>
      <c r="BV57" s="3">
        <f>IFERROR(__xludf.DUMMYFUNCTION("""COMPUTED_VALUE"""),2.0)</f>
        <v>2</v>
      </c>
      <c r="BW57" s="3">
        <f>IFERROR(__xludf.DUMMYFUNCTION("""COMPUTED_VALUE"""),2.0)</f>
        <v>2</v>
      </c>
      <c r="BX57" s="3">
        <f>IFERROR(__xludf.DUMMYFUNCTION("""COMPUTED_VALUE"""),2.0)</f>
        <v>2</v>
      </c>
      <c r="BY57" s="3">
        <f>IFERROR(__xludf.DUMMYFUNCTION("""COMPUTED_VALUE"""),2.0)</f>
        <v>2</v>
      </c>
      <c r="BZ57" s="3">
        <f>IFERROR(__xludf.DUMMYFUNCTION("""COMPUTED_VALUE"""),2.0)</f>
        <v>2</v>
      </c>
      <c r="CA57" s="3">
        <f>IFERROR(__xludf.DUMMYFUNCTION("""COMPUTED_VALUE"""),2.0)</f>
        <v>2</v>
      </c>
      <c r="CB57" s="3">
        <f>IFERROR(__xludf.DUMMYFUNCTION("""COMPUTED_VALUE"""),2.0)</f>
        <v>2</v>
      </c>
    </row>
    <row r="58">
      <c r="A58" s="3" t="str">
        <f>IFERROR(__xludf.DUMMYFUNCTION("""COMPUTED_VALUE"""),"Guizhou")</f>
        <v>Guizhou</v>
      </c>
      <c r="B58" s="3" t="str">
        <f>IFERROR(__xludf.DUMMYFUNCTION("""COMPUTED_VALUE"""),"China")</f>
        <v>China</v>
      </c>
      <c r="C58" s="3">
        <f>IFERROR(__xludf.DUMMYFUNCTION("""COMPUTED_VALUE"""),26.8154)</f>
        <v>26.8154</v>
      </c>
      <c r="D58" s="3">
        <f>IFERROR(__xludf.DUMMYFUNCTION("""COMPUTED_VALUE"""),106.8748)</f>
        <v>106.8748</v>
      </c>
      <c r="E58" s="3">
        <f>IFERROR(__xludf.DUMMYFUNCTION("""COMPUTED_VALUE"""),0.0)</f>
        <v>0</v>
      </c>
      <c r="F58" s="3">
        <f>IFERROR(__xludf.DUMMYFUNCTION("""COMPUTED_VALUE"""),0.0)</f>
        <v>0</v>
      </c>
      <c r="G58" s="3">
        <f>IFERROR(__xludf.DUMMYFUNCTION("""COMPUTED_VALUE"""),0.0)</f>
        <v>0</v>
      </c>
      <c r="H58" s="3">
        <f>IFERROR(__xludf.DUMMYFUNCTION("""COMPUTED_VALUE"""),0.0)</f>
        <v>0</v>
      </c>
      <c r="I58" s="3">
        <f>IFERROR(__xludf.DUMMYFUNCTION("""COMPUTED_VALUE"""),0.0)</f>
        <v>0</v>
      </c>
      <c r="J58" s="3">
        <f>IFERROR(__xludf.DUMMYFUNCTION("""COMPUTED_VALUE"""),0.0)</f>
        <v>0</v>
      </c>
      <c r="K58" s="3">
        <f>IFERROR(__xludf.DUMMYFUNCTION("""COMPUTED_VALUE"""),0.0)</f>
        <v>0</v>
      </c>
      <c r="L58" s="3">
        <f>IFERROR(__xludf.DUMMYFUNCTION("""COMPUTED_VALUE"""),0.0)</f>
        <v>0</v>
      </c>
      <c r="M58" s="3">
        <f>IFERROR(__xludf.DUMMYFUNCTION("""COMPUTED_VALUE"""),0.0)</f>
        <v>0</v>
      </c>
      <c r="N58" s="3">
        <f>IFERROR(__xludf.DUMMYFUNCTION("""COMPUTED_VALUE"""),0.0)</f>
        <v>0</v>
      </c>
      <c r="O58" s="3">
        <f>IFERROR(__xludf.DUMMYFUNCTION("""COMPUTED_VALUE"""),0.0)</f>
        <v>0</v>
      </c>
      <c r="P58" s="3">
        <f>IFERROR(__xludf.DUMMYFUNCTION("""COMPUTED_VALUE"""),0.0)</f>
        <v>0</v>
      </c>
      <c r="Q58" s="3">
        <f>IFERROR(__xludf.DUMMYFUNCTION("""COMPUTED_VALUE"""),0.0)</f>
        <v>0</v>
      </c>
      <c r="R58" s="3">
        <f>IFERROR(__xludf.DUMMYFUNCTION("""COMPUTED_VALUE"""),0.0)</f>
        <v>0</v>
      </c>
      <c r="S58" s="3">
        <f>IFERROR(__xludf.DUMMYFUNCTION("""COMPUTED_VALUE"""),1.0)</f>
        <v>1</v>
      </c>
      <c r="T58" s="3">
        <f>IFERROR(__xludf.DUMMYFUNCTION("""COMPUTED_VALUE"""),1.0)</f>
        <v>1</v>
      </c>
      <c r="U58" s="3">
        <f>IFERROR(__xludf.DUMMYFUNCTION("""COMPUTED_VALUE"""),1.0)</f>
        <v>1</v>
      </c>
      <c r="V58" s="3">
        <f>IFERROR(__xludf.DUMMYFUNCTION("""COMPUTED_VALUE"""),1.0)</f>
        <v>1</v>
      </c>
      <c r="W58" s="3">
        <f>IFERROR(__xludf.DUMMYFUNCTION("""COMPUTED_VALUE"""),1.0)</f>
        <v>1</v>
      </c>
      <c r="X58" s="3">
        <f>IFERROR(__xludf.DUMMYFUNCTION("""COMPUTED_VALUE"""),1.0)</f>
        <v>1</v>
      </c>
      <c r="Y58" s="3">
        <f>IFERROR(__xludf.DUMMYFUNCTION("""COMPUTED_VALUE"""),1.0)</f>
        <v>1</v>
      </c>
      <c r="Z58" s="3">
        <f>IFERROR(__xludf.DUMMYFUNCTION("""COMPUTED_VALUE"""),1.0)</f>
        <v>1</v>
      </c>
      <c r="AA58" s="3">
        <f>IFERROR(__xludf.DUMMYFUNCTION("""COMPUTED_VALUE"""),1.0)</f>
        <v>1</v>
      </c>
      <c r="AB58" s="3">
        <f>IFERROR(__xludf.DUMMYFUNCTION("""COMPUTED_VALUE"""),1.0)</f>
        <v>1</v>
      </c>
      <c r="AC58" s="3">
        <f>IFERROR(__xludf.DUMMYFUNCTION("""COMPUTED_VALUE"""),1.0)</f>
        <v>1</v>
      </c>
      <c r="AD58" s="3">
        <f>IFERROR(__xludf.DUMMYFUNCTION("""COMPUTED_VALUE"""),1.0)</f>
        <v>1</v>
      </c>
      <c r="AE58" s="3">
        <f>IFERROR(__xludf.DUMMYFUNCTION("""COMPUTED_VALUE"""),1.0)</f>
        <v>1</v>
      </c>
      <c r="AF58" s="3">
        <f>IFERROR(__xludf.DUMMYFUNCTION("""COMPUTED_VALUE"""),2.0)</f>
        <v>2</v>
      </c>
      <c r="AG58" s="3">
        <f>IFERROR(__xludf.DUMMYFUNCTION("""COMPUTED_VALUE"""),2.0)</f>
        <v>2</v>
      </c>
      <c r="AH58" s="3">
        <f>IFERROR(__xludf.DUMMYFUNCTION("""COMPUTED_VALUE"""),2.0)</f>
        <v>2</v>
      </c>
      <c r="AI58" s="3">
        <f>IFERROR(__xludf.DUMMYFUNCTION("""COMPUTED_VALUE"""),2.0)</f>
        <v>2</v>
      </c>
      <c r="AJ58" s="3">
        <f>IFERROR(__xludf.DUMMYFUNCTION("""COMPUTED_VALUE"""),2.0)</f>
        <v>2</v>
      </c>
      <c r="AK58" s="3">
        <f>IFERROR(__xludf.DUMMYFUNCTION("""COMPUTED_VALUE"""),2.0)</f>
        <v>2</v>
      </c>
      <c r="AL58" s="3">
        <f>IFERROR(__xludf.DUMMYFUNCTION("""COMPUTED_VALUE"""),2.0)</f>
        <v>2</v>
      </c>
      <c r="AM58" s="3">
        <f>IFERROR(__xludf.DUMMYFUNCTION("""COMPUTED_VALUE"""),2.0)</f>
        <v>2</v>
      </c>
      <c r="AN58" s="3">
        <f>IFERROR(__xludf.DUMMYFUNCTION("""COMPUTED_VALUE"""),2.0)</f>
        <v>2</v>
      </c>
      <c r="AO58" s="3">
        <f>IFERROR(__xludf.DUMMYFUNCTION("""COMPUTED_VALUE"""),2.0)</f>
        <v>2</v>
      </c>
      <c r="AP58" s="3">
        <f>IFERROR(__xludf.DUMMYFUNCTION("""COMPUTED_VALUE"""),2.0)</f>
        <v>2</v>
      </c>
      <c r="AQ58" s="3">
        <f>IFERROR(__xludf.DUMMYFUNCTION("""COMPUTED_VALUE"""),2.0)</f>
        <v>2</v>
      </c>
      <c r="AR58" s="3">
        <f>IFERROR(__xludf.DUMMYFUNCTION("""COMPUTED_VALUE"""),2.0)</f>
        <v>2</v>
      </c>
      <c r="AS58" s="3">
        <f>IFERROR(__xludf.DUMMYFUNCTION("""COMPUTED_VALUE"""),2.0)</f>
        <v>2</v>
      </c>
      <c r="AT58" s="3">
        <f>IFERROR(__xludf.DUMMYFUNCTION("""COMPUTED_VALUE"""),2.0)</f>
        <v>2</v>
      </c>
      <c r="AU58" s="3">
        <f>IFERROR(__xludf.DUMMYFUNCTION("""COMPUTED_VALUE"""),2.0)</f>
        <v>2</v>
      </c>
      <c r="AV58" s="3">
        <f>IFERROR(__xludf.DUMMYFUNCTION("""COMPUTED_VALUE"""),2.0)</f>
        <v>2</v>
      </c>
      <c r="AW58" s="3">
        <f>IFERROR(__xludf.DUMMYFUNCTION("""COMPUTED_VALUE"""),2.0)</f>
        <v>2</v>
      </c>
      <c r="AX58" s="3">
        <f>IFERROR(__xludf.DUMMYFUNCTION("""COMPUTED_VALUE"""),2.0)</f>
        <v>2</v>
      </c>
      <c r="AY58" s="3">
        <f>IFERROR(__xludf.DUMMYFUNCTION("""COMPUTED_VALUE"""),2.0)</f>
        <v>2</v>
      </c>
      <c r="AZ58" s="3">
        <f>IFERROR(__xludf.DUMMYFUNCTION("""COMPUTED_VALUE"""),2.0)</f>
        <v>2</v>
      </c>
      <c r="BA58" s="3">
        <f>IFERROR(__xludf.DUMMYFUNCTION("""COMPUTED_VALUE"""),2.0)</f>
        <v>2</v>
      </c>
      <c r="BB58" s="3">
        <f>IFERROR(__xludf.DUMMYFUNCTION("""COMPUTED_VALUE"""),2.0)</f>
        <v>2</v>
      </c>
      <c r="BC58" s="3">
        <f>IFERROR(__xludf.DUMMYFUNCTION("""COMPUTED_VALUE"""),2.0)</f>
        <v>2</v>
      </c>
      <c r="BD58" s="3">
        <f>IFERROR(__xludf.DUMMYFUNCTION("""COMPUTED_VALUE"""),2.0)</f>
        <v>2</v>
      </c>
      <c r="BE58" s="3">
        <f>IFERROR(__xludf.DUMMYFUNCTION("""COMPUTED_VALUE"""),2.0)</f>
        <v>2</v>
      </c>
      <c r="BF58" s="3">
        <f>IFERROR(__xludf.DUMMYFUNCTION("""COMPUTED_VALUE"""),2.0)</f>
        <v>2</v>
      </c>
      <c r="BG58" s="3">
        <f>IFERROR(__xludf.DUMMYFUNCTION("""COMPUTED_VALUE"""),2.0)</f>
        <v>2</v>
      </c>
      <c r="BH58" s="3">
        <f>IFERROR(__xludf.DUMMYFUNCTION("""COMPUTED_VALUE"""),2.0)</f>
        <v>2</v>
      </c>
      <c r="BI58" s="3">
        <f>IFERROR(__xludf.DUMMYFUNCTION("""COMPUTED_VALUE"""),2.0)</f>
        <v>2</v>
      </c>
      <c r="BJ58" s="3">
        <f>IFERROR(__xludf.DUMMYFUNCTION("""COMPUTED_VALUE"""),2.0)</f>
        <v>2</v>
      </c>
      <c r="BK58" s="3">
        <f>IFERROR(__xludf.DUMMYFUNCTION("""COMPUTED_VALUE"""),2.0)</f>
        <v>2</v>
      </c>
      <c r="BL58" s="3">
        <f>IFERROR(__xludf.DUMMYFUNCTION("""COMPUTED_VALUE"""),2.0)</f>
        <v>2</v>
      </c>
      <c r="BM58" s="3">
        <f>IFERROR(__xludf.DUMMYFUNCTION("""COMPUTED_VALUE"""),2.0)</f>
        <v>2</v>
      </c>
      <c r="BN58" s="3">
        <f>IFERROR(__xludf.DUMMYFUNCTION("""COMPUTED_VALUE"""),2.0)</f>
        <v>2</v>
      </c>
      <c r="BO58" s="3">
        <f>IFERROR(__xludf.DUMMYFUNCTION("""COMPUTED_VALUE"""),2.0)</f>
        <v>2</v>
      </c>
      <c r="BP58" s="3">
        <f>IFERROR(__xludf.DUMMYFUNCTION("""COMPUTED_VALUE"""),2.0)</f>
        <v>2</v>
      </c>
      <c r="BQ58" s="3">
        <f>IFERROR(__xludf.DUMMYFUNCTION("""COMPUTED_VALUE"""),2.0)</f>
        <v>2</v>
      </c>
      <c r="BR58" s="3">
        <f>IFERROR(__xludf.DUMMYFUNCTION("""COMPUTED_VALUE"""),2.0)</f>
        <v>2</v>
      </c>
      <c r="BS58" s="3">
        <f>IFERROR(__xludf.DUMMYFUNCTION("""COMPUTED_VALUE"""),2.0)</f>
        <v>2</v>
      </c>
      <c r="BT58" s="3">
        <f>IFERROR(__xludf.DUMMYFUNCTION("""COMPUTED_VALUE"""),2.0)</f>
        <v>2</v>
      </c>
      <c r="BU58" s="3">
        <f>IFERROR(__xludf.DUMMYFUNCTION("""COMPUTED_VALUE"""),2.0)</f>
        <v>2</v>
      </c>
      <c r="BV58" s="3">
        <f>IFERROR(__xludf.DUMMYFUNCTION("""COMPUTED_VALUE"""),2.0)</f>
        <v>2</v>
      </c>
      <c r="BW58" s="3">
        <f>IFERROR(__xludf.DUMMYFUNCTION("""COMPUTED_VALUE"""),2.0)</f>
        <v>2</v>
      </c>
      <c r="BX58" s="3">
        <f>IFERROR(__xludf.DUMMYFUNCTION("""COMPUTED_VALUE"""),2.0)</f>
        <v>2</v>
      </c>
      <c r="BY58" s="3">
        <f>IFERROR(__xludf.DUMMYFUNCTION("""COMPUTED_VALUE"""),2.0)</f>
        <v>2</v>
      </c>
      <c r="BZ58" s="3">
        <f>IFERROR(__xludf.DUMMYFUNCTION("""COMPUTED_VALUE"""),2.0)</f>
        <v>2</v>
      </c>
      <c r="CA58" s="3">
        <f>IFERROR(__xludf.DUMMYFUNCTION("""COMPUTED_VALUE"""),2.0)</f>
        <v>2</v>
      </c>
      <c r="CB58" s="3">
        <f>IFERROR(__xludf.DUMMYFUNCTION("""COMPUTED_VALUE"""),2.0)</f>
        <v>2</v>
      </c>
    </row>
    <row r="59">
      <c r="A59" s="3" t="str">
        <f>IFERROR(__xludf.DUMMYFUNCTION("""COMPUTED_VALUE"""),"Hainan")</f>
        <v>Hainan</v>
      </c>
      <c r="B59" s="3" t="str">
        <f>IFERROR(__xludf.DUMMYFUNCTION("""COMPUTED_VALUE"""),"China")</f>
        <v>China</v>
      </c>
      <c r="C59" s="3">
        <f>IFERROR(__xludf.DUMMYFUNCTION("""COMPUTED_VALUE"""),19.1959)</f>
        <v>19.1959</v>
      </c>
      <c r="D59" s="3">
        <f>IFERROR(__xludf.DUMMYFUNCTION("""COMPUTED_VALUE"""),109.7453)</f>
        <v>109.7453</v>
      </c>
      <c r="E59" s="3">
        <f>IFERROR(__xludf.DUMMYFUNCTION("""COMPUTED_VALUE"""),0.0)</f>
        <v>0</v>
      </c>
      <c r="F59" s="3">
        <f>IFERROR(__xludf.DUMMYFUNCTION("""COMPUTED_VALUE"""),0.0)</f>
        <v>0</v>
      </c>
      <c r="G59" s="3">
        <f>IFERROR(__xludf.DUMMYFUNCTION("""COMPUTED_VALUE"""),0.0)</f>
        <v>0</v>
      </c>
      <c r="H59" s="3">
        <f>IFERROR(__xludf.DUMMYFUNCTION("""COMPUTED_VALUE"""),0.0)</f>
        <v>0</v>
      </c>
      <c r="I59" s="3">
        <f>IFERROR(__xludf.DUMMYFUNCTION("""COMPUTED_VALUE"""),0.0)</f>
        <v>0</v>
      </c>
      <c r="J59" s="3">
        <f>IFERROR(__xludf.DUMMYFUNCTION("""COMPUTED_VALUE"""),1.0)</f>
        <v>1</v>
      </c>
      <c r="K59" s="3">
        <f>IFERROR(__xludf.DUMMYFUNCTION("""COMPUTED_VALUE"""),1.0)</f>
        <v>1</v>
      </c>
      <c r="L59" s="3">
        <f>IFERROR(__xludf.DUMMYFUNCTION("""COMPUTED_VALUE"""),1.0)</f>
        <v>1</v>
      </c>
      <c r="M59" s="3">
        <f>IFERROR(__xludf.DUMMYFUNCTION("""COMPUTED_VALUE"""),1.0)</f>
        <v>1</v>
      </c>
      <c r="N59" s="3">
        <f>IFERROR(__xludf.DUMMYFUNCTION("""COMPUTED_VALUE"""),1.0)</f>
        <v>1</v>
      </c>
      <c r="O59" s="3">
        <f>IFERROR(__xludf.DUMMYFUNCTION("""COMPUTED_VALUE"""),1.0)</f>
        <v>1</v>
      </c>
      <c r="P59" s="3">
        <f>IFERROR(__xludf.DUMMYFUNCTION("""COMPUTED_VALUE"""),1.0)</f>
        <v>1</v>
      </c>
      <c r="Q59" s="3">
        <f>IFERROR(__xludf.DUMMYFUNCTION("""COMPUTED_VALUE"""),1.0)</f>
        <v>1</v>
      </c>
      <c r="R59" s="3">
        <f>IFERROR(__xludf.DUMMYFUNCTION("""COMPUTED_VALUE"""),1.0)</f>
        <v>1</v>
      </c>
      <c r="S59" s="3">
        <f>IFERROR(__xludf.DUMMYFUNCTION("""COMPUTED_VALUE"""),1.0)</f>
        <v>1</v>
      </c>
      <c r="T59" s="3">
        <f>IFERROR(__xludf.DUMMYFUNCTION("""COMPUTED_VALUE"""),1.0)</f>
        <v>1</v>
      </c>
      <c r="U59" s="3">
        <f>IFERROR(__xludf.DUMMYFUNCTION("""COMPUTED_VALUE"""),2.0)</f>
        <v>2</v>
      </c>
      <c r="V59" s="3">
        <f>IFERROR(__xludf.DUMMYFUNCTION("""COMPUTED_VALUE"""),2.0)</f>
        <v>2</v>
      </c>
      <c r="W59" s="3">
        <f>IFERROR(__xludf.DUMMYFUNCTION("""COMPUTED_VALUE"""),3.0)</f>
        <v>3</v>
      </c>
      <c r="X59" s="3">
        <f>IFERROR(__xludf.DUMMYFUNCTION("""COMPUTED_VALUE"""),3.0)</f>
        <v>3</v>
      </c>
      <c r="Y59" s="3">
        <f>IFERROR(__xludf.DUMMYFUNCTION("""COMPUTED_VALUE"""),3.0)</f>
        <v>3</v>
      </c>
      <c r="Z59" s="3">
        <f>IFERROR(__xludf.DUMMYFUNCTION("""COMPUTED_VALUE"""),4.0)</f>
        <v>4</v>
      </c>
      <c r="AA59" s="3">
        <f>IFERROR(__xludf.DUMMYFUNCTION("""COMPUTED_VALUE"""),4.0)</f>
        <v>4</v>
      </c>
      <c r="AB59" s="3">
        <f>IFERROR(__xludf.DUMMYFUNCTION("""COMPUTED_VALUE"""),4.0)</f>
        <v>4</v>
      </c>
      <c r="AC59" s="3">
        <f>IFERROR(__xludf.DUMMYFUNCTION("""COMPUTED_VALUE"""),4.0)</f>
        <v>4</v>
      </c>
      <c r="AD59" s="3">
        <f>IFERROR(__xludf.DUMMYFUNCTION("""COMPUTED_VALUE"""),4.0)</f>
        <v>4</v>
      </c>
      <c r="AE59" s="3">
        <f>IFERROR(__xludf.DUMMYFUNCTION("""COMPUTED_VALUE"""),4.0)</f>
        <v>4</v>
      </c>
      <c r="AF59" s="3">
        <f>IFERROR(__xludf.DUMMYFUNCTION("""COMPUTED_VALUE"""),4.0)</f>
        <v>4</v>
      </c>
      <c r="AG59" s="3">
        <f>IFERROR(__xludf.DUMMYFUNCTION("""COMPUTED_VALUE"""),4.0)</f>
        <v>4</v>
      </c>
      <c r="AH59" s="3">
        <f>IFERROR(__xludf.DUMMYFUNCTION("""COMPUTED_VALUE"""),4.0)</f>
        <v>4</v>
      </c>
      <c r="AI59" s="3">
        <f>IFERROR(__xludf.DUMMYFUNCTION("""COMPUTED_VALUE"""),4.0)</f>
        <v>4</v>
      </c>
      <c r="AJ59" s="3">
        <f>IFERROR(__xludf.DUMMYFUNCTION("""COMPUTED_VALUE"""),4.0)</f>
        <v>4</v>
      </c>
      <c r="AK59" s="3">
        <f>IFERROR(__xludf.DUMMYFUNCTION("""COMPUTED_VALUE"""),5.0)</f>
        <v>5</v>
      </c>
      <c r="AL59" s="3">
        <f>IFERROR(__xludf.DUMMYFUNCTION("""COMPUTED_VALUE"""),5.0)</f>
        <v>5</v>
      </c>
      <c r="AM59" s="3">
        <f>IFERROR(__xludf.DUMMYFUNCTION("""COMPUTED_VALUE"""),5.0)</f>
        <v>5</v>
      </c>
      <c r="AN59" s="3">
        <f>IFERROR(__xludf.DUMMYFUNCTION("""COMPUTED_VALUE"""),5.0)</f>
        <v>5</v>
      </c>
      <c r="AO59" s="3">
        <f>IFERROR(__xludf.DUMMYFUNCTION("""COMPUTED_VALUE"""),5.0)</f>
        <v>5</v>
      </c>
      <c r="AP59" s="3">
        <f>IFERROR(__xludf.DUMMYFUNCTION("""COMPUTED_VALUE"""),5.0)</f>
        <v>5</v>
      </c>
      <c r="AQ59" s="3">
        <f>IFERROR(__xludf.DUMMYFUNCTION("""COMPUTED_VALUE"""),5.0)</f>
        <v>5</v>
      </c>
      <c r="AR59" s="3">
        <f>IFERROR(__xludf.DUMMYFUNCTION("""COMPUTED_VALUE"""),5.0)</f>
        <v>5</v>
      </c>
      <c r="AS59" s="3">
        <f>IFERROR(__xludf.DUMMYFUNCTION("""COMPUTED_VALUE"""),5.0)</f>
        <v>5</v>
      </c>
      <c r="AT59" s="3">
        <f>IFERROR(__xludf.DUMMYFUNCTION("""COMPUTED_VALUE"""),5.0)</f>
        <v>5</v>
      </c>
      <c r="AU59" s="3">
        <f>IFERROR(__xludf.DUMMYFUNCTION("""COMPUTED_VALUE"""),5.0)</f>
        <v>5</v>
      </c>
      <c r="AV59" s="3">
        <f>IFERROR(__xludf.DUMMYFUNCTION("""COMPUTED_VALUE"""),6.0)</f>
        <v>6</v>
      </c>
      <c r="AW59" s="3">
        <f>IFERROR(__xludf.DUMMYFUNCTION("""COMPUTED_VALUE"""),6.0)</f>
        <v>6</v>
      </c>
      <c r="AX59" s="3">
        <f>IFERROR(__xludf.DUMMYFUNCTION("""COMPUTED_VALUE"""),6.0)</f>
        <v>6</v>
      </c>
      <c r="AY59" s="3">
        <f>IFERROR(__xludf.DUMMYFUNCTION("""COMPUTED_VALUE"""),6.0)</f>
        <v>6</v>
      </c>
      <c r="AZ59" s="3">
        <f>IFERROR(__xludf.DUMMYFUNCTION("""COMPUTED_VALUE"""),6.0)</f>
        <v>6</v>
      </c>
      <c r="BA59" s="3">
        <f>IFERROR(__xludf.DUMMYFUNCTION("""COMPUTED_VALUE"""),6.0)</f>
        <v>6</v>
      </c>
      <c r="BB59" s="3">
        <f>IFERROR(__xludf.DUMMYFUNCTION("""COMPUTED_VALUE"""),6.0)</f>
        <v>6</v>
      </c>
      <c r="BC59" s="3">
        <f>IFERROR(__xludf.DUMMYFUNCTION("""COMPUTED_VALUE"""),6.0)</f>
        <v>6</v>
      </c>
      <c r="BD59" s="3">
        <f>IFERROR(__xludf.DUMMYFUNCTION("""COMPUTED_VALUE"""),6.0)</f>
        <v>6</v>
      </c>
      <c r="BE59" s="3">
        <f>IFERROR(__xludf.DUMMYFUNCTION("""COMPUTED_VALUE"""),6.0)</f>
        <v>6</v>
      </c>
      <c r="BF59" s="3">
        <f>IFERROR(__xludf.DUMMYFUNCTION("""COMPUTED_VALUE"""),6.0)</f>
        <v>6</v>
      </c>
      <c r="BG59" s="3">
        <f>IFERROR(__xludf.DUMMYFUNCTION("""COMPUTED_VALUE"""),6.0)</f>
        <v>6</v>
      </c>
      <c r="BH59" s="3">
        <f>IFERROR(__xludf.DUMMYFUNCTION("""COMPUTED_VALUE"""),6.0)</f>
        <v>6</v>
      </c>
      <c r="BI59" s="3">
        <f>IFERROR(__xludf.DUMMYFUNCTION("""COMPUTED_VALUE"""),6.0)</f>
        <v>6</v>
      </c>
      <c r="BJ59" s="3">
        <f>IFERROR(__xludf.DUMMYFUNCTION("""COMPUTED_VALUE"""),6.0)</f>
        <v>6</v>
      </c>
      <c r="BK59" s="3">
        <f>IFERROR(__xludf.DUMMYFUNCTION("""COMPUTED_VALUE"""),6.0)</f>
        <v>6</v>
      </c>
      <c r="BL59" s="3">
        <f>IFERROR(__xludf.DUMMYFUNCTION("""COMPUTED_VALUE"""),6.0)</f>
        <v>6</v>
      </c>
      <c r="BM59" s="3">
        <f>IFERROR(__xludf.DUMMYFUNCTION("""COMPUTED_VALUE"""),6.0)</f>
        <v>6</v>
      </c>
      <c r="BN59" s="3">
        <f>IFERROR(__xludf.DUMMYFUNCTION("""COMPUTED_VALUE"""),6.0)</f>
        <v>6</v>
      </c>
      <c r="BO59" s="3">
        <f>IFERROR(__xludf.DUMMYFUNCTION("""COMPUTED_VALUE"""),6.0)</f>
        <v>6</v>
      </c>
      <c r="BP59" s="3">
        <f>IFERROR(__xludf.DUMMYFUNCTION("""COMPUTED_VALUE"""),6.0)</f>
        <v>6</v>
      </c>
      <c r="BQ59" s="3">
        <f>IFERROR(__xludf.DUMMYFUNCTION("""COMPUTED_VALUE"""),6.0)</f>
        <v>6</v>
      </c>
      <c r="BR59" s="3">
        <f>IFERROR(__xludf.DUMMYFUNCTION("""COMPUTED_VALUE"""),6.0)</f>
        <v>6</v>
      </c>
      <c r="BS59" s="3">
        <f>IFERROR(__xludf.DUMMYFUNCTION("""COMPUTED_VALUE"""),6.0)</f>
        <v>6</v>
      </c>
      <c r="BT59" s="3">
        <f>IFERROR(__xludf.DUMMYFUNCTION("""COMPUTED_VALUE"""),6.0)</f>
        <v>6</v>
      </c>
      <c r="BU59" s="3">
        <f>IFERROR(__xludf.DUMMYFUNCTION("""COMPUTED_VALUE"""),6.0)</f>
        <v>6</v>
      </c>
      <c r="BV59" s="3">
        <f>IFERROR(__xludf.DUMMYFUNCTION("""COMPUTED_VALUE"""),6.0)</f>
        <v>6</v>
      </c>
      <c r="BW59" s="3">
        <f>IFERROR(__xludf.DUMMYFUNCTION("""COMPUTED_VALUE"""),6.0)</f>
        <v>6</v>
      </c>
      <c r="BX59" s="3">
        <f>IFERROR(__xludf.DUMMYFUNCTION("""COMPUTED_VALUE"""),6.0)</f>
        <v>6</v>
      </c>
      <c r="BY59" s="3">
        <f>IFERROR(__xludf.DUMMYFUNCTION("""COMPUTED_VALUE"""),6.0)</f>
        <v>6</v>
      </c>
      <c r="BZ59" s="3">
        <f>IFERROR(__xludf.DUMMYFUNCTION("""COMPUTED_VALUE"""),6.0)</f>
        <v>6</v>
      </c>
      <c r="CA59" s="3">
        <f>IFERROR(__xludf.DUMMYFUNCTION("""COMPUTED_VALUE"""),6.0)</f>
        <v>6</v>
      </c>
      <c r="CB59" s="3">
        <f>IFERROR(__xludf.DUMMYFUNCTION("""COMPUTED_VALUE"""),6.0)</f>
        <v>6</v>
      </c>
    </row>
    <row r="60">
      <c r="A60" s="3" t="str">
        <f>IFERROR(__xludf.DUMMYFUNCTION("""COMPUTED_VALUE"""),"Hebei")</f>
        <v>Hebei</v>
      </c>
      <c r="B60" s="3" t="str">
        <f>IFERROR(__xludf.DUMMYFUNCTION("""COMPUTED_VALUE"""),"China")</f>
        <v>China</v>
      </c>
      <c r="C60" s="3">
        <f>IFERROR(__xludf.DUMMYFUNCTION("""COMPUTED_VALUE"""),39.549)</f>
        <v>39.549</v>
      </c>
      <c r="D60" s="3">
        <f>IFERROR(__xludf.DUMMYFUNCTION("""COMPUTED_VALUE"""),116.1306)</f>
        <v>116.1306</v>
      </c>
      <c r="E60" s="3">
        <f>IFERROR(__xludf.DUMMYFUNCTION("""COMPUTED_VALUE"""),0.0)</f>
        <v>0</v>
      </c>
      <c r="F60" s="3">
        <f>IFERROR(__xludf.DUMMYFUNCTION("""COMPUTED_VALUE"""),1.0)</f>
        <v>1</v>
      </c>
      <c r="G60" s="3">
        <f>IFERROR(__xludf.DUMMYFUNCTION("""COMPUTED_VALUE"""),1.0)</f>
        <v>1</v>
      </c>
      <c r="H60" s="3">
        <f>IFERROR(__xludf.DUMMYFUNCTION("""COMPUTED_VALUE"""),1.0)</f>
        <v>1</v>
      </c>
      <c r="I60" s="3">
        <f>IFERROR(__xludf.DUMMYFUNCTION("""COMPUTED_VALUE"""),1.0)</f>
        <v>1</v>
      </c>
      <c r="J60" s="3">
        <f>IFERROR(__xludf.DUMMYFUNCTION("""COMPUTED_VALUE"""),1.0)</f>
        <v>1</v>
      </c>
      <c r="K60" s="3">
        <f>IFERROR(__xludf.DUMMYFUNCTION("""COMPUTED_VALUE"""),1.0)</f>
        <v>1</v>
      </c>
      <c r="L60" s="3">
        <f>IFERROR(__xludf.DUMMYFUNCTION("""COMPUTED_VALUE"""),1.0)</f>
        <v>1</v>
      </c>
      <c r="M60" s="3">
        <f>IFERROR(__xludf.DUMMYFUNCTION("""COMPUTED_VALUE"""),1.0)</f>
        <v>1</v>
      </c>
      <c r="N60" s="3">
        <f>IFERROR(__xludf.DUMMYFUNCTION("""COMPUTED_VALUE"""),1.0)</f>
        <v>1</v>
      </c>
      <c r="O60" s="3">
        <f>IFERROR(__xludf.DUMMYFUNCTION("""COMPUTED_VALUE"""),1.0)</f>
        <v>1</v>
      </c>
      <c r="P60" s="3">
        <f>IFERROR(__xludf.DUMMYFUNCTION("""COMPUTED_VALUE"""),1.0)</f>
        <v>1</v>
      </c>
      <c r="Q60" s="3">
        <f>IFERROR(__xludf.DUMMYFUNCTION("""COMPUTED_VALUE"""),1.0)</f>
        <v>1</v>
      </c>
      <c r="R60" s="3">
        <f>IFERROR(__xludf.DUMMYFUNCTION("""COMPUTED_VALUE"""),1.0)</f>
        <v>1</v>
      </c>
      <c r="S60" s="3">
        <f>IFERROR(__xludf.DUMMYFUNCTION("""COMPUTED_VALUE"""),1.0)</f>
        <v>1</v>
      </c>
      <c r="T60" s="3">
        <f>IFERROR(__xludf.DUMMYFUNCTION("""COMPUTED_VALUE"""),1.0)</f>
        <v>1</v>
      </c>
      <c r="U60" s="3">
        <f>IFERROR(__xludf.DUMMYFUNCTION("""COMPUTED_VALUE"""),1.0)</f>
        <v>1</v>
      </c>
      <c r="V60" s="3">
        <f>IFERROR(__xludf.DUMMYFUNCTION("""COMPUTED_VALUE"""),1.0)</f>
        <v>1</v>
      </c>
      <c r="W60" s="3">
        <f>IFERROR(__xludf.DUMMYFUNCTION("""COMPUTED_VALUE"""),2.0)</f>
        <v>2</v>
      </c>
      <c r="X60" s="3">
        <f>IFERROR(__xludf.DUMMYFUNCTION("""COMPUTED_VALUE"""),2.0)</f>
        <v>2</v>
      </c>
      <c r="Y60" s="3">
        <f>IFERROR(__xludf.DUMMYFUNCTION("""COMPUTED_VALUE"""),2.0)</f>
        <v>2</v>
      </c>
      <c r="Z60" s="3">
        <f>IFERROR(__xludf.DUMMYFUNCTION("""COMPUTED_VALUE"""),2.0)</f>
        <v>2</v>
      </c>
      <c r="AA60" s="3">
        <f>IFERROR(__xludf.DUMMYFUNCTION("""COMPUTED_VALUE"""),3.0)</f>
        <v>3</v>
      </c>
      <c r="AB60" s="3">
        <f>IFERROR(__xludf.DUMMYFUNCTION("""COMPUTED_VALUE"""),3.0)</f>
        <v>3</v>
      </c>
      <c r="AC60" s="3">
        <f>IFERROR(__xludf.DUMMYFUNCTION("""COMPUTED_VALUE"""),3.0)</f>
        <v>3</v>
      </c>
      <c r="AD60" s="3">
        <f>IFERROR(__xludf.DUMMYFUNCTION("""COMPUTED_VALUE"""),3.0)</f>
        <v>3</v>
      </c>
      <c r="AE60" s="3">
        <f>IFERROR(__xludf.DUMMYFUNCTION("""COMPUTED_VALUE"""),3.0)</f>
        <v>3</v>
      </c>
      <c r="AF60" s="3">
        <f>IFERROR(__xludf.DUMMYFUNCTION("""COMPUTED_VALUE"""),4.0)</f>
        <v>4</v>
      </c>
      <c r="AG60" s="3">
        <f>IFERROR(__xludf.DUMMYFUNCTION("""COMPUTED_VALUE"""),4.0)</f>
        <v>4</v>
      </c>
      <c r="AH60" s="3">
        <f>IFERROR(__xludf.DUMMYFUNCTION("""COMPUTED_VALUE"""),5.0)</f>
        <v>5</v>
      </c>
      <c r="AI60" s="3">
        <f>IFERROR(__xludf.DUMMYFUNCTION("""COMPUTED_VALUE"""),5.0)</f>
        <v>5</v>
      </c>
      <c r="AJ60" s="3">
        <f>IFERROR(__xludf.DUMMYFUNCTION("""COMPUTED_VALUE"""),6.0)</f>
        <v>6</v>
      </c>
      <c r="AK60" s="3">
        <f>IFERROR(__xludf.DUMMYFUNCTION("""COMPUTED_VALUE"""),6.0)</f>
        <v>6</v>
      </c>
      <c r="AL60" s="3">
        <f>IFERROR(__xludf.DUMMYFUNCTION("""COMPUTED_VALUE"""),6.0)</f>
        <v>6</v>
      </c>
      <c r="AM60" s="3">
        <f>IFERROR(__xludf.DUMMYFUNCTION("""COMPUTED_VALUE"""),6.0)</f>
        <v>6</v>
      </c>
      <c r="AN60" s="3">
        <f>IFERROR(__xludf.DUMMYFUNCTION("""COMPUTED_VALUE"""),6.0)</f>
        <v>6</v>
      </c>
      <c r="AO60" s="3">
        <f>IFERROR(__xludf.DUMMYFUNCTION("""COMPUTED_VALUE"""),6.0)</f>
        <v>6</v>
      </c>
      <c r="AP60" s="3">
        <f>IFERROR(__xludf.DUMMYFUNCTION("""COMPUTED_VALUE"""),6.0)</f>
        <v>6</v>
      </c>
      <c r="AQ60" s="3">
        <f>IFERROR(__xludf.DUMMYFUNCTION("""COMPUTED_VALUE"""),6.0)</f>
        <v>6</v>
      </c>
      <c r="AR60" s="3">
        <f>IFERROR(__xludf.DUMMYFUNCTION("""COMPUTED_VALUE"""),6.0)</f>
        <v>6</v>
      </c>
      <c r="AS60" s="3">
        <f>IFERROR(__xludf.DUMMYFUNCTION("""COMPUTED_VALUE"""),6.0)</f>
        <v>6</v>
      </c>
      <c r="AT60" s="3">
        <f>IFERROR(__xludf.DUMMYFUNCTION("""COMPUTED_VALUE"""),6.0)</f>
        <v>6</v>
      </c>
      <c r="AU60" s="3">
        <f>IFERROR(__xludf.DUMMYFUNCTION("""COMPUTED_VALUE"""),6.0)</f>
        <v>6</v>
      </c>
      <c r="AV60" s="3">
        <f>IFERROR(__xludf.DUMMYFUNCTION("""COMPUTED_VALUE"""),6.0)</f>
        <v>6</v>
      </c>
      <c r="AW60" s="3">
        <f>IFERROR(__xludf.DUMMYFUNCTION("""COMPUTED_VALUE"""),6.0)</f>
        <v>6</v>
      </c>
      <c r="AX60" s="3">
        <f>IFERROR(__xludf.DUMMYFUNCTION("""COMPUTED_VALUE"""),6.0)</f>
        <v>6</v>
      </c>
      <c r="AY60" s="3">
        <f>IFERROR(__xludf.DUMMYFUNCTION("""COMPUTED_VALUE"""),6.0)</f>
        <v>6</v>
      </c>
      <c r="AZ60" s="3">
        <f>IFERROR(__xludf.DUMMYFUNCTION("""COMPUTED_VALUE"""),6.0)</f>
        <v>6</v>
      </c>
      <c r="BA60" s="3">
        <f>IFERROR(__xludf.DUMMYFUNCTION("""COMPUTED_VALUE"""),6.0)</f>
        <v>6</v>
      </c>
      <c r="BB60" s="3">
        <f>IFERROR(__xludf.DUMMYFUNCTION("""COMPUTED_VALUE"""),6.0)</f>
        <v>6</v>
      </c>
      <c r="BC60" s="3">
        <f>IFERROR(__xludf.DUMMYFUNCTION("""COMPUTED_VALUE"""),6.0)</f>
        <v>6</v>
      </c>
      <c r="BD60" s="3">
        <f>IFERROR(__xludf.DUMMYFUNCTION("""COMPUTED_VALUE"""),6.0)</f>
        <v>6</v>
      </c>
      <c r="BE60" s="3">
        <f>IFERROR(__xludf.DUMMYFUNCTION("""COMPUTED_VALUE"""),6.0)</f>
        <v>6</v>
      </c>
      <c r="BF60" s="3">
        <f>IFERROR(__xludf.DUMMYFUNCTION("""COMPUTED_VALUE"""),6.0)</f>
        <v>6</v>
      </c>
      <c r="BG60" s="3">
        <f>IFERROR(__xludf.DUMMYFUNCTION("""COMPUTED_VALUE"""),6.0)</f>
        <v>6</v>
      </c>
      <c r="BH60" s="3">
        <f>IFERROR(__xludf.DUMMYFUNCTION("""COMPUTED_VALUE"""),6.0)</f>
        <v>6</v>
      </c>
      <c r="BI60" s="3">
        <f>IFERROR(__xludf.DUMMYFUNCTION("""COMPUTED_VALUE"""),6.0)</f>
        <v>6</v>
      </c>
      <c r="BJ60" s="3">
        <f>IFERROR(__xludf.DUMMYFUNCTION("""COMPUTED_VALUE"""),6.0)</f>
        <v>6</v>
      </c>
      <c r="BK60" s="3">
        <f>IFERROR(__xludf.DUMMYFUNCTION("""COMPUTED_VALUE"""),6.0)</f>
        <v>6</v>
      </c>
      <c r="BL60" s="3">
        <f>IFERROR(__xludf.DUMMYFUNCTION("""COMPUTED_VALUE"""),6.0)</f>
        <v>6</v>
      </c>
      <c r="BM60" s="3">
        <f>IFERROR(__xludf.DUMMYFUNCTION("""COMPUTED_VALUE"""),6.0)</f>
        <v>6</v>
      </c>
      <c r="BN60" s="3">
        <f>IFERROR(__xludf.DUMMYFUNCTION("""COMPUTED_VALUE"""),6.0)</f>
        <v>6</v>
      </c>
      <c r="BO60" s="3">
        <f>IFERROR(__xludf.DUMMYFUNCTION("""COMPUTED_VALUE"""),6.0)</f>
        <v>6</v>
      </c>
      <c r="BP60" s="3">
        <f>IFERROR(__xludf.DUMMYFUNCTION("""COMPUTED_VALUE"""),6.0)</f>
        <v>6</v>
      </c>
      <c r="BQ60" s="3">
        <f>IFERROR(__xludf.DUMMYFUNCTION("""COMPUTED_VALUE"""),6.0)</f>
        <v>6</v>
      </c>
      <c r="BR60" s="3">
        <f>IFERROR(__xludf.DUMMYFUNCTION("""COMPUTED_VALUE"""),6.0)</f>
        <v>6</v>
      </c>
      <c r="BS60" s="3">
        <f>IFERROR(__xludf.DUMMYFUNCTION("""COMPUTED_VALUE"""),6.0)</f>
        <v>6</v>
      </c>
      <c r="BT60" s="3">
        <f>IFERROR(__xludf.DUMMYFUNCTION("""COMPUTED_VALUE"""),6.0)</f>
        <v>6</v>
      </c>
      <c r="BU60" s="3">
        <f>IFERROR(__xludf.DUMMYFUNCTION("""COMPUTED_VALUE"""),6.0)</f>
        <v>6</v>
      </c>
      <c r="BV60" s="3">
        <f>IFERROR(__xludf.DUMMYFUNCTION("""COMPUTED_VALUE"""),6.0)</f>
        <v>6</v>
      </c>
      <c r="BW60" s="3">
        <f>IFERROR(__xludf.DUMMYFUNCTION("""COMPUTED_VALUE"""),6.0)</f>
        <v>6</v>
      </c>
      <c r="BX60" s="3">
        <f>IFERROR(__xludf.DUMMYFUNCTION("""COMPUTED_VALUE"""),6.0)</f>
        <v>6</v>
      </c>
      <c r="BY60" s="3">
        <f>IFERROR(__xludf.DUMMYFUNCTION("""COMPUTED_VALUE"""),6.0)</f>
        <v>6</v>
      </c>
      <c r="BZ60" s="3">
        <f>IFERROR(__xludf.DUMMYFUNCTION("""COMPUTED_VALUE"""),6.0)</f>
        <v>6</v>
      </c>
      <c r="CA60" s="3">
        <f>IFERROR(__xludf.DUMMYFUNCTION("""COMPUTED_VALUE"""),6.0)</f>
        <v>6</v>
      </c>
      <c r="CB60" s="3">
        <f>IFERROR(__xludf.DUMMYFUNCTION("""COMPUTED_VALUE"""),6.0)</f>
        <v>6</v>
      </c>
    </row>
    <row r="61">
      <c r="A61" s="3" t="str">
        <f>IFERROR(__xludf.DUMMYFUNCTION("""COMPUTED_VALUE"""),"Heilongjiang")</f>
        <v>Heilongjiang</v>
      </c>
      <c r="B61" s="3" t="str">
        <f>IFERROR(__xludf.DUMMYFUNCTION("""COMPUTED_VALUE"""),"China")</f>
        <v>China</v>
      </c>
      <c r="C61" s="3">
        <f>IFERROR(__xludf.DUMMYFUNCTION("""COMPUTED_VALUE"""),47.862)</f>
        <v>47.862</v>
      </c>
      <c r="D61" s="3">
        <f>IFERROR(__xludf.DUMMYFUNCTION("""COMPUTED_VALUE"""),127.7615)</f>
        <v>127.7615</v>
      </c>
      <c r="E61" s="3">
        <f>IFERROR(__xludf.DUMMYFUNCTION("""COMPUTED_VALUE"""),0.0)</f>
        <v>0</v>
      </c>
      <c r="F61" s="3">
        <f>IFERROR(__xludf.DUMMYFUNCTION("""COMPUTED_VALUE"""),0.0)</f>
        <v>0</v>
      </c>
      <c r="G61" s="3">
        <f>IFERROR(__xludf.DUMMYFUNCTION("""COMPUTED_VALUE"""),1.0)</f>
        <v>1</v>
      </c>
      <c r="H61" s="3">
        <f>IFERROR(__xludf.DUMMYFUNCTION("""COMPUTED_VALUE"""),1.0)</f>
        <v>1</v>
      </c>
      <c r="I61" s="3">
        <f>IFERROR(__xludf.DUMMYFUNCTION("""COMPUTED_VALUE"""),1.0)</f>
        <v>1</v>
      </c>
      <c r="J61" s="3">
        <f>IFERROR(__xludf.DUMMYFUNCTION("""COMPUTED_VALUE"""),1.0)</f>
        <v>1</v>
      </c>
      <c r="K61" s="3">
        <f>IFERROR(__xludf.DUMMYFUNCTION("""COMPUTED_VALUE"""),1.0)</f>
        <v>1</v>
      </c>
      <c r="L61" s="3">
        <f>IFERROR(__xludf.DUMMYFUNCTION("""COMPUTED_VALUE"""),1.0)</f>
        <v>1</v>
      </c>
      <c r="M61" s="3">
        <f>IFERROR(__xludf.DUMMYFUNCTION("""COMPUTED_VALUE"""),2.0)</f>
        <v>2</v>
      </c>
      <c r="N61" s="3">
        <f>IFERROR(__xludf.DUMMYFUNCTION("""COMPUTED_VALUE"""),2.0)</f>
        <v>2</v>
      </c>
      <c r="O61" s="3">
        <f>IFERROR(__xludf.DUMMYFUNCTION("""COMPUTED_VALUE"""),2.0)</f>
        <v>2</v>
      </c>
      <c r="P61" s="3">
        <f>IFERROR(__xludf.DUMMYFUNCTION("""COMPUTED_VALUE"""),2.0)</f>
        <v>2</v>
      </c>
      <c r="Q61" s="3">
        <f>IFERROR(__xludf.DUMMYFUNCTION("""COMPUTED_VALUE"""),2.0)</f>
        <v>2</v>
      </c>
      <c r="R61" s="3">
        <f>IFERROR(__xludf.DUMMYFUNCTION("""COMPUTED_VALUE"""),2.0)</f>
        <v>2</v>
      </c>
      <c r="S61" s="3">
        <f>IFERROR(__xludf.DUMMYFUNCTION("""COMPUTED_VALUE"""),2.0)</f>
        <v>2</v>
      </c>
      <c r="T61" s="3">
        <f>IFERROR(__xludf.DUMMYFUNCTION("""COMPUTED_VALUE"""),3.0)</f>
        <v>3</v>
      </c>
      <c r="U61" s="3">
        <f>IFERROR(__xludf.DUMMYFUNCTION("""COMPUTED_VALUE"""),3.0)</f>
        <v>3</v>
      </c>
      <c r="V61" s="3">
        <f>IFERROR(__xludf.DUMMYFUNCTION("""COMPUTED_VALUE"""),5.0)</f>
        <v>5</v>
      </c>
      <c r="W61" s="3">
        <f>IFERROR(__xludf.DUMMYFUNCTION("""COMPUTED_VALUE"""),6.0)</f>
        <v>6</v>
      </c>
      <c r="X61" s="3">
        <f>IFERROR(__xludf.DUMMYFUNCTION("""COMPUTED_VALUE"""),7.0)</f>
        <v>7</v>
      </c>
      <c r="Y61" s="3">
        <f>IFERROR(__xludf.DUMMYFUNCTION("""COMPUTED_VALUE"""),8.0)</f>
        <v>8</v>
      </c>
      <c r="Z61" s="3">
        <f>IFERROR(__xludf.DUMMYFUNCTION("""COMPUTED_VALUE"""),8.0)</f>
        <v>8</v>
      </c>
      <c r="AA61" s="3">
        <f>IFERROR(__xludf.DUMMYFUNCTION("""COMPUTED_VALUE"""),9.0)</f>
        <v>9</v>
      </c>
      <c r="AB61" s="3">
        <f>IFERROR(__xludf.DUMMYFUNCTION("""COMPUTED_VALUE"""),11.0)</f>
        <v>11</v>
      </c>
      <c r="AC61" s="3">
        <f>IFERROR(__xludf.DUMMYFUNCTION("""COMPUTED_VALUE"""),11.0)</f>
        <v>11</v>
      </c>
      <c r="AD61" s="3">
        <f>IFERROR(__xludf.DUMMYFUNCTION("""COMPUTED_VALUE"""),11.0)</f>
        <v>11</v>
      </c>
      <c r="AE61" s="3">
        <f>IFERROR(__xludf.DUMMYFUNCTION("""COMPUTED_VALUE"""),11.0)</f>
        <v>11</v>
      </c>
      <c r="AF61" s="3">
        <f>IFERROR(__xludf.DUMMYFUNCTION("""COMPUTED_VALUE"""),11.0)</f>
        <v>11</v>
      </c>
      <c r="AG61" s="3">
        <f>IFERROR(__xludf.DUMMYFUNCTION("""COMPUTED_VALUE"""),12.0)</f>
        <v>12</v>
      </c>
      <c r="AH61" s="3">
        <f>IFERROR(__xludf.DUMMYFUNCTION("""COMPUTED_VALUE"""),12.0)</f>
        <v>12</v>
      </c>
      <c r="AI61" s="3">
        <f>IFERROR(__xludf.DUMMYFUNCTION("""COMPUTED_VALUE"""),12.0)</f>
        <v>12</v>
      </c>
      <c r="AJ61" s="3">
        <f>IFERROR(__xludf.DUMMYFUNCTION("""COMPUTED_VALUE"""),12.0)</f>
        <v>12</v>
      </c>
      <c r="AK61" s="3">
        <f>IFERROR(__xludf.DUMMYFUNCTION("""COMPUTED_VALUE"""),12.0)</f>
        <v>12</v>
      </c>
      <c r="AL61" s="3">
        <f>IFERROR(__xludf.DUMMYFUNCTION("""COMPUTED_VALUE"""),12.0)</f>
        <v>12</v>
      </c>
      <c r="AM61" s="3">
        <f>IFERROR(__xludf.DUMMYFUNCTION("""COMPUTED_VALUE"""),12.0)</f>
        <v>12</v>
      </c>
      <c r="AN61" s="3">
        <f>IFERROR(__xludf.DUMMYFUNCTION("""COMPUTED_VALUE"""),12.0)</f>
        <v>12</v>
      </c>
      <c r="AO61" s="3">
        <f>IFERROR(__xludf.DUMMYFUNCTION("""COMPUTED_VALUE"""),13.0)</f>
        <v>13</v>
      </c>
      <c r="AP61" s="3">
        <f>IFERROR(__xludf.DUMMYFUNCTION("""COMPUTED_VALUE"""),13.0)</f>
        <v>13</v>
      </c>
      <c r="AQ61" s="3">
        <f>IFERROR(__xludf.DUMMYFUNCTION("""COMPUTED_VALUE"""),13.0)</f>
        <v>13</v>
      </c>
      <c r="AR61" s="3">
        <f>IFERROR(__xludf.DUMMYFUNCTION("""COMPUTED_VALUE"""),13.0)</f>
        <v>13</v>
      </c>
      <c r="AS61" s="3">
        <f>IFERROR(__xludf.DUMMYFUNCTION("""COMPUTED_VALUE"""),13.0)</f>
        <v>13</v>
      </c>
      <c r="AT61" s="3">
        <f>IFERROR(__xludf.DUMMYFUNCTION("""COMPUTED_VALUE"""),13.0)</f>
        <v>13</v>
      </c>
      <c r="AU61" s="3">
        <f>IFERROR(__xludf.DUMMYFUNCTION("""COMPUTED_VALUE"""),13.0)</f>
        <v>13</v>
      </c>
      <c r="AV61" s="3">
        <f>IFERROR(__xludf.DUMMYFUNCTION("""COMPUTED_VALUE"""),13.0)</f>
        <v>13</v>
      </c>
      <c r="AW61" s="3">
        <f>IFERROR(__xludf.DUMMYFUNCTION("""COMPUTED_VALUE"""),13.0)</f>
        <v>13</v>
      </c>
      <c r="AX61" s="3">
        <f>IFERROR(__xludf.DUMMYFUNCTION("""COMPUTED_VALUE"""),13.0)</f>
        <v>13</v>
      </c>
      <c r="AY61" s="3">
        <f>IFERROR(__xludf.DUMMYFUNCTION("""COMPUTED_VALUE"""),13.0)</f>
        <v>13</v>
      </c>
      <c r="AZ61" s="3">
        <f>IFERROR(__xludf.DUMMYFUNCTION("""COMPUTED_VALUE"""),13.0)</f>
        <v>13</v>
      </c>
      <c r="BA61" s="3">
        <f>IFERROR(__xludf.DUMMYFUNCTION("""COMPUTED_VALUE"""),13.0)</f>
        <v>13</v>
      </c>
      <c r="BB61" s="3">
        <f>IFERROR(__xludf.DUMMYFUNCTION("""COMPUTED_VALUE"""),13.0)</f>
        <v>13</v>
      </c>
      <c r="BC61" s="3">
        <f>IFERROR(__xludf.DUMMYFUNCTION("""COMPUTED_VALUE"""),13.0)</f>
        <v>13</v>
      </c>
      <c r="BD61" s="3">
        <f>IFERROR(__xludf.DUMMYFUNCTION("""COMPUTED_VALUE"""),13.0)</f>
        <v>13</v>
      </c>
      <c r="BE61" s="3">
        <f>IFERROR(__xludf.DUMMYFUNCTION("""COMPUTED_VALUE"""),13.0)</f>
        <v>13</v>
      </c>
      <c r="BF61" s="3">
        <f>IFERROR(__xludf.DUMMYFUNCTION("""COMPUTED_VALUE"""),13.0)</f>
        <v>13</v>
      </c>
      <c r="BG61" s="3">
        <f>IFERROR(__xludf.DUMMYFUNCTION("""COMPUTED_VALUE"""),13.0)</f>
        <v>13</v>
      </c>
      <c r="BH61" s="3">
        <f>IFERROR(__xludf.DUMMYFUNCTION("""COMPUTED_VALUE"""),13.0)</f>
        <v>13</v>
      </c>
      <c r="BI61" s="3">
        <f>IFERROR(__xludf.DUMMYFUNCTION("""COMPUTED_VALUE"""),13.0)</f>
        <v>13</v>
      </c>
      <c r="BJ61" s="3">
        <f>IFERROR(__xludf.DUMMYFUNCTION("""COMPUTED_VALUE"""),13.0)</f>
        <v>13</v>
      </c>
      <c r="BK61" s="3">
        <f>IFERROR(__xludf.DUMMYFUNCTION("""COMPUTED_VALUE"""),13.0)</f>
        <v>13</v>
      </c>
      <c r="BL61" s="3">
        <f>IFERROR(__xludf.DUMMYFUNCTION("""COMPUTED_VALUE"""),13.0)</f>
        <v>13</v>
      </c>
      <c r="BM61" s="3">
        <f>IFERROR(__xludf.DUMMYFUNCTION("""COMPUTED_VALUE"""),13.0)</f>
        <v>13</v>
      </c>
      <c r="BN61" s="3">
        <f>IFERROR(__xludf.DUMMYFUNCTION("""COMPUTED_VALUE"""),13.0)</f>
        <v>13</v>
      </c>
      <c r="BO61" s="3">
        <f>IFERROR(__xludf.DUMMYFUNCTION("""COMPUTED_VALUE"""),13.0)</f>
        <v>13</v>
      </c>
      <c r="BP61" s="3">
        <f>IFERROR(__xludf.DUMMYFUNCTION("""COMPUTED_VALUE"""),13.0)</f>
        <v>13</v>
      </c>
      <c r="BQ61" s="3">
        <f>IFERROR(__xludf.DUMMYFUNCTION("""COMPUTED_VALUE"""),13.0)</f>
        <v>13</v>
      </c>
      <c r="BR61" s="3">
        <f>IFERROR(__xludf.DUMMYFUNCTION("""COMPUTED_VALUE"""),13.0)</f>
        <v>13</v>
      </c>
      <c r="BS61" s="3">
        <f>IFERROR(__xludf.DUMMYFUNCTION("""COMPUTED_VALUE"""),13.0)</f>
        <v>13</v>
      </c>
      <c r="BT61" s="3">
        <f>IFERROR(__xludf.DUMMYFUNCTION("""COMPUTED_VALUE"""),13.0)</f>
        <v>13</v>
      </c>
      <c r="BU61" s="3">
        <f>IFERROR(__xludf.DUMMYFUNCTION("""COMPUTED_VALUE"""),13.0)</f>
        <v>13</v>
      </c>
      <c r="BV61" s="3">
        <f>IFERROR(__xludf.DUMMYFUNCTION("""COMPUTED_VALUE"""),13.0)</f>
        <v>13</v>
      </c>
      <c r="BW61" s="3">
        <f>IFERROR(__xludf.DUMMYFUNCTION("""COMPUTED_VALUE"""),13.0)</f>
        <v>13</v>
      </c>
      <c r="BX61" s="3">
        <f>IFERROR(__xludf.DUMMYFUNCTION("""COMPUTED_VALUE"""),13.0)</f>
        <v>13</v>
      </c>
      <c r="BY61" s="3">
        <f>IFERROR(__xludf.DUMMYFUNCTION("""COMPUTED_VALUE"""),13.0)</f>
        <v>13</v>
      </c>
      <c r="BZ61" s="3">
        <f>IFERROR(__xludf.DUMMYFUNCTION("""COMPUTED_VALUE"""),13.0)</f>
        <v>13</v>
      </c>
      <c r="CA61" s="3">
        <f>IFERROR(__xludf.DUMMYFUNCTION("""COMPUTED_VALUE"""),13.0)</f>
        <v>13</v>
      </c>
      <c r="CB61" s="3">
        <f>IFERROR(__xludf.DUMMYFUNCTION("""COMPUTED_VALUE"""),13.0)</f>
        <v>13</v>
      </c>
    </row>
    <row r="62">
      <c r="A62" s="3" t="str">
        <f>IFERROR(__xludf.DUMMYFUNCTION("""COMPUTED_VALUE"""),"Henan")</f>
        <v>Henan</v>
      </c>
      <c r="B62" s="3" t="str">
        <f>IFERROR(__xludf.DUMMYFUNCTION("""COMPUTED_VALUE"""),"China")</f>
        <v>China</v>
      </c>
      <c r="C62" s="3">
        <f>IFERROR(__xludf.DUMMYFUNCTION("""COMPUTED_VALUE"""),33.882)</f>
        <v>33.882</v>
      </c>
      <c r="D62" s="3">
        <f>IFERROR(__xludf.DUMMYFUNCTION("""COMPUTED_VALUE"""),113.614)</f>
        <v>113.614</v>
      </c>
      <c r="E62" s="3">
        <f>IFERROR(__xludf.DUMMYFUNCTION("""COMPUTED_VALUE"""),0.0)</f>
        <v>0</v>
      </c>
      <c r="F62" s="3">
        <f>IFERROR(__xludf.DUMMYFUNCTION("""COMPUTED_VALUE"""),0.0)</f>
        <v>0</v>
      </c>
      <c r="G62" s="3">
        <f>IFERROR(__xludf.DUMMYFUNCTION("""COMPUTED_VALUE"""),0.0)</f>
        <v>0</v>
      </c>
      <c r="H62" s="3">
        <f>IFERROR(__xludf.DUMMYFUNCTION("""COMPUTED_VALUE"""),0.0)</f>
        <v>0</v>
      </c>
      <c r="I62" s="3">
        <f>IFERROR(__xludf.DUMMYFUNCTION("""COMPUTED_VALUE"""),1.0)</f>
        <v>1</v>
      </c>
      <c r="J62" s="3">
        <f>IFERROR(__xludf.DUMMYFUNCTION("""COMPUTED_VALUE"""),1.0)</f>
        <v>1</v>
      </c>
      <c r="K62" s="3">
        <f>IFERROR(__xludf.DUMMYFUNCTION("""COMPUTED_VALUE"""),1.0)</f>
        <v>1</v>
      </c>
      <c r="L62" s="3">
        <f>IFERROR(__xludf.DUMMYFUNCTION("""COMPUTED_VALUE"""),2.0)</f>
        <v>2</v>
      </c>
      <c r="M62" s="3">
        <f>IFERROR(__xludf.DUMMYFUNCTION("""COMPUTED_VALUE"""),2.0)</f>
        <v>2</v>
      </c>
      <c r="N62" s="3">
        <f>IFERROR(__xludf.DUMMYFUNCTION("""COMPUTED_VALUE"""),2.0)</f>
        <v>2</v>
      </c>
      <c r="O62" s="3">
        <f>IFERROR(__xludf.DUMMYFUNCTION("""COMPUTED_VALUE"""),2.0)</f>
        <v>2</v>
      </c>
      <c r="P62" s="3">
        <f>IFERROR(__xludf.DUMMYFUNCTION("""COMPUTED_VALUE"""),2.0)</f>
        <v>2</v>
      </c>
      <c r="Q62" s="3">
        <f>IFERROR(__xludf.DUMMYFUNCTION("""COMPUTED_VALUE"""),2.0)</f>
        <v>2</v>
      </c>
      <c r="R62" s="3">
        <f>IFERROR(__xludf.DUMMYFUNCTION("""COMPUTED_VALUE"""),2.0)</f>
        <v>2</v>
      </c>
      <c r="S62" s="3">
        <f>IFERROR(__xludf.DUMMYFUNCTION("""COMPUTED_VALUE"""),2.0)</f>
        <v>2</v>
      </c>
      <c r="T62" s="3">
        <f>IFERROR(__xludf.DUMMYFUNCTION("""COMPUTED_VALUE"""),2.0)</f>
        <v>2</v>
      </c>
      <c r="U62" s="3">
        <f>IFERROR(__xludf.DUMMYFUNCTION("""COMPUTED_VALUE"""),3.0)</f>
        <v>3</v>
      </c>
      <c r="V62" s="3">
        <f>IFERROR(__xludf.DUMMYFUNCTION("""COMPUTED_VALUE"""),4.0)</f>
        <v>4</v>
      </c>
      <c r="W62" s="3">
        <f>IFERROR(__xludf.DUMMYFUNCTION("""COMPUTED_VALUE"""),6.0)</f>
        <v>6</v>
      </c>
      <c r="X62" s="3">
        <f>IFERROR(__xludf.DUMMYFUNCTION("""COMPUTED_VALUE"""),6.0)</f>
        <v>6</v>
      </c>
      <c r="Y62" s="3">
        <f>IFERROR(__xludf.DUMMYFUNCTION("""COMPUTED_VALUE"""),7.0)</f>
        <v>7</v>
      </c>
      <c r="Z62" s="3">
        <f>IFERROR(__xludf.DUMMYFUNCTION("""COMPUTED_VALUE"""),8.0)</f>
        <v>8</v>
      </c>
      <c r="AA62" s="3">
        <f>IFERROR(__xludf.DUMMYFUNCTION("""COMPUTED_VALUE"""),10.0)</f>
        <v>10</v>
      </c>
      <c r="AB62" s="3">
        <f>IFERROR(__xludf.DUMMYFUNCTION("""COMPUTED_VALUE"""),11.0)</f>
        <v>11</v>
      </c>
      <c r="AC62" s="3">
        <f>IFERROR(__xludf.DUMMYFUNCTION("""COMPUTED_VALUE"""),13.0)</f>
        <v>13</v>
      </c>
      <c r="AD62" s="3">
        <f>IFERROR(__xludf.DUMMYFUNCTION("""COMPUTED_VALUE"""),13.0)</f>
        <v>13</v>
      </c>
      <c r="AE62" s="3">
        <f>IFERROR(__xludf.DUMMYFUNCTION("""COMPUTED_VALUE"""),16.0)</f>
        <v>16</v>
      </c>
      <c r="AF62" s="3">
        <f>IFERROR(__xludf.DUMMYFUNCTION("""COMPUTED_VALUE"""),19.0)</f>
        <v>19</v>
      </c>
      <c r="AG62" s="3">
        <f>IFERROR(__xludf.DUMMYFUNCTION("""COMPUTED_VALUE"""),19.0)</f>
        <v>19</v>
      </c>
      <c r="AH62" s="3">
        <f>IFERROR(__xludf.DUMMYFUNCTION("""COMPUTED_VALUE"""),19.0)</f>
        <v>19</v>
      </c>
      <c r="AI62" s="3">
        <f>IFERROR(__xludf.DUMMYFUNCTION("""COMPUTED_VALUE"""),19.0)</f>
        <v>19</v>
      </c>
      <c r="AJ62" s="3">
        <f>IFERROR(__xludf.DUMMYFUNCTION("""COMPUTED_VALUE"""),19.0)</f>
        <v>19</v>
      </c>
      <c r="AK62" s="3">
        <f>IFERROR(__xludf.DUMMYFUNCTION("""COMPUTED_VALUE"""),19.0)</f>
        <v>19</v>
      </c>
      <c r="AL62" s="3">
        <f>IFERROR(__xludf.DUMMYFUNCTION("""COMPUTED_VALUE"""),19.0)</f>
        <v>19</v>
      </c>
      <c r="AM62" s="3">
        <f>IFERROR(__xludf.DUMMYFUNCTION("""COMPUTED_VALUE"""),19.0)</f>
        <v>19</v>
      </c>
      <c r="AN62" s="3">
        <f>IFERROR(__xludf.DUMMYFUNCTION("""COMPUTED_VALUE"""),19.0)</f>
        <v>19</v>
      </c>
      <c r="AO62" s="3">
        <f>IFERROR(__xludf.DUMMYFUNCTION("""COMPUTED_VALUE"""),20.0)</f>
        <v>20</v>
      </c>
      <c r="AP62" s="3">
        <f>IFERROR(__xludf.DUMMYFUNCTION("""COMPUTED_VALUE"""),20.0)</f>
        <v>20</v>
      </c>
      <c r="AQ62" s="3">
        <f>IFERROR(__xludf.DUMMYFUNCTION("""COMPUTED_VALUE"""),21.0)</f>
        <v>21</v>
      </c>
      <c r="AR62" s="3">
        <f>IFERROR(__xludf.DUMMYFUNCTION("""COMPUTED_VALUE"""),22.0)</f>
        <v>22</v>
      </c>
      <c r="AS62" s="3">
        <f>IFERROR(__xludf.DUMMYFUNCTION("""COMPUTED_VALUE"""),22.0)</f>
        <v>22</v>
      </c>
      <c r="AT62" s="3">
        <f>IFERROR(__xludf.DUMMYFUNCTION("""COMPUTED_VALUE"""),22.0)</f>
        <v>22</v>
      </c>
      <c r="AU62" s="3">
        <f>IFERROR(__xludf.DUMMYFUNCTION("""COMPUTED_VALUE"""),22.0)</f>
        <v>22</v>
      </c>
      <c r="AV62" s="3">
        <f>IFERROR(__xludf.DUMMYFUNCTION("""COMPUTED_VALUE"""),22.0)</f>
        <v>22</v>
      </c>
      <c r="AW62" s="3">
        <f>IFERROR(__xludf.DUMMYFUNCTION("""COMPUTED_VALUE"""),22.0)</f>
        <v>22</v>
      </c>
      <c r="AX62" s="3">
        <f>IFERROR(__xludf.DUMMYFUNCTION("""COMPUTED_VALUE"""),22.0)</f>
        <v>22</v>
      </c>
      <c r="AY62" s="3">
        <f>IFERROR(__xludf.DUMMYFUNCTION("""COMPUTED_VALUE"""),22.0)</f>
        <v>22</v>
      </c>
      <c r="AZ62" s="3">
        <f>IFERROR(__xludf.DUMMYFUNCTION("""COMPUTED_VALUE"""),22.0)</f>
        <v>22</v>
      </c>
      <c r="BA62" s="3">
        <f>IFERROR(__xludf.DUMMYFUNCTION("""COMPUTED_VALUE"""),22.0)</f>
        <v>22</v>
      </c>
      <c r="BB62" s="3">
        <f>IFERROR(__xludf.DUMMYFUNCTION("""COMPUTED_VALUE"""),22.0)</f>
        <v>22</v>
      </c>
      <c r="BC62" s="3">
        <f>IFERROR(__xludf.DUMMYFUNCTION("""COMPUTED_VALUE"""),22.0)</f>
        <v>22</v>
      </c>
      <c r="BD62" s="3">
        <f>IFERROR(__xludf.DUMMYFUNCTION("""COMPUTED_VALUE"""),22.0)</f>
        <v>22</v>
      </c>
      <c r="BE62" s="3">
        <f>IFERROR(__xludf.DUMMYFUNCTION("""COMPUTED_VALUE"""),22.0)</f>
        <v>22</v>
      </c>
      <c r="BF62" s="3">
        <f>IFERROR(__xludf.DUMMYFUNCTION("""COMPUTED_VALUE"""),22.0)</f>
        <v>22</v>
      </c>
      <c r="BG62" s="3">
        <f>IFERROR(__xludf.DUMMYFUNCTION("""COMPUTED_VALUE"""),22.0)</f>
        <v>22</v>
      </c>
      <c r="BH62" s="3">
        <f>IFERROR(__xludf.DUMMYFUNCTION("""COMPUTED_VALUE"""),22.0)</f>
        <v>22</v>
      </c>
      <c r="BI62" s="3">
        <f>IFERROR(__xludf.DUMMYFUNCTION("""COMPUTED_VALUE"""),22.0)</f>
        <v>22</v>
      </c>
      <c r="BJ62" s="3">
        <f>IFERROR(__xludf.DUMMYFUNCTION("""COMPUTED_VALUE"""),22.0)</f>
        <v>22</v>
      </c>
      <c r="BK62" s="3">
        <f>IFERROR(__xludf.DUMMYFUNCTION("""COMPUTED_VALUE"""),22.0)</f>
        <v>22</v>
      </c>
      <c r="BL62" s="3">
        <f>IFERROR(__xludf.DUMMYFUNCTION("""COMPUTED_VALUE"""),22.0)</f>
        <v>22</v>
      </c>
      <c r="BM62" s="3">
        <f>IFERROR(__xludf.DUMMYFUNCTION("""COMPUTED_VALUE"""),22.0)</f>
        <v>22</v>
      </c>
      <c r="BN62" s="3">
        <f>IFERROR(__xludf.DUMMYFUNCTION("""COMPUTED_VALUE"""),22.0)</f>
        <v>22</v>
      </c>
      <c r="BO62" s="3">
        <f>IFERROR(__xludf.DUMMYFUNCTION("""COMPUTED_VALUE"""),22.0)</f>
        <v>22</v>
      </c>
      <c r="BP62" s="3">
        <f>IFERROR(__xludf.DUMMYFUNCTION("""COMPUTED_VALUE"""),22.0)</f>
        <v>22</v>
      </c>
      <c r="BQ62" s="3">
        <f>IFERROR(__xludf.DUMMYFUNCTION("""COMPUTED_VALUE"""),22.0)</f>
        <v>22</v>
      </c>
      <c r="BR62" s="3">
        <f>IFERROR(__xludf.DUMMYFUNCTION("""COMPUTED_VALUE"""),22.0)</f>
        <v>22</v>
      </c>
      <c r="BS62" s="3">
        <f>IFERROR(__xludf.DUMMYFUNCTION("""COMPUTED_VALUE"""),22.0)</f>
        <v>22</v>
      </c>
      <c r="BT62" s="3">
        <f>IFERROR(__xludf.DUMMYFUNCTION("""COMPUTED_VALUE"""),22.0)</f>
        <v>22</v>
      </c>
      <c r="BU62" s="3">
        <f>IFERROR(__xludf.DUMMYFUNCTION("""COMPUTED_VALUE"""),22.0)</f>
        <v>22</v>
      </c>
      <c r="BV62" s="3">
        <f>IFERROR(__xludf.DUMMYFUNCTION("""COMPUTED_VALUE"""),22.0)</f>
        <v>22</v>
      </c>
      <c r="BW62" s="3">
        <f>IFERROR(__xludf.DUMMYFUNCTION("""COMPUTED_VALUE"""),22.0)</f>
        <v>22</v>
      </c>
      <c r="BX62" s="3">
        <f>IFERROR(__xludf.DUMMYFUNCTION("""COMPUTED_VALUE"""),22.0)</f>
        <v>22</v>
      </c>
      <c r="BY62" s="3">
        <f>IFERROR(__xludf.DUMMYFUNCTION("""COMPUTED_VALUE"""),22.0)</f>
        <v>22</v>
      </c>
      <c r="BZ62" s="3">
        <f>IFERROR(__xludf.DUMMYFUNCTION("""COMPUTED_VALUE"""),22.0)</f>
        <v>22</v>
      </c>
      <c r="CA62" s="3">
        <f>IFERROR(__xludf.DUMMYFUNCTION("""COMPUTED_VALUE"""),22.0)</f>
        <v>22</v>
      </c>
      <c r="CB62" s="3">
        <f>IFERROR(__xludf.DUMMYFUNCTION("""COMPUTED_VALUE"""),22.0)</f>
        <v>22</v>
      </c>
    </row>
    <row r="63">
      <c r="A63" s="3" t="str">
        <f>IFERROR(__xludf.DUMMYFUNCTION("""COMPUTED_VALUE"""),"Hong Kong")</f>
        <v>Hong Kong</v>
      </c>
      <c r="B63" s="3" t="str">
        <f>IFERROR(__xludf.DUMMYFUNCTION("""COMPUTED_VALUE"""),"China")</f>
        <v>China</v>
      </c>
      <c r="C63" s="3">
        <f>IFERROR(__xludf.DUMMYFUNCTION("""COMPUTED_VALUE"""),22.3)</f>
        <v>22.3</v>
      </c>
      <c r="D63" s="3">
        <f>IFERROR(__xludf.DUMMYFUNCTION("""COMPUTED_VALUE"""),114.2)</f>
        <v>114.2</v>
      </c>
      <c r="E63" s="3">
        <f>IFERROR(__xludf.DUMMYFUNCTION("""COMPUTED_VALUE"""),0.0)</f>
        <v>0</v>
      </c>
      <c r="F63" s="3">
        <f>IFERROR(__xludf.DUMMYFUNCTION("""COMPUTED_VALUE"""),0.0)</f>
        <v>0</v>
      </c>
      <c r="G63" s="3">
        <f>IFERROR(__xludf.DUMMYFUNCTION("""COMPUTED_VALUE"""),0.0)</f>
        <v>0</v>
      </c>
      <c r="H63" s="3">
        <f>IFERROR(__xludf.DUMMYFUNCTION("""COMPUTED_VALUE"""),0.0)</f>
        <v>0</v>
      </c>
      <c r="I63" s="3">
        <f>IFERROR(__xludf.DUMMYFUNCTION("""COMPUTED_VALUE"""),0.0)</f>
        <v>0</v>
      </c>
      <c r="J63" s="3">
        <f>IFERROR(__xludf.DUMMYFUNCTION("""COMPUTED_VALUE"""),0.0)</f>
        <v>0</v>
      </c>
      <c r="K63" s="3">
        <f>IFERROR(__xludf.DUMMYFUNCTION("""COMPUTED_VALUE"""),0.0)</f>
        <v>0</v>
      </c>
      <c r="L63" s="3">
        <f>IFERROR(__xludf.DUMMYFUNCTION("""COMPUTED_VALUE"""),0.0)</f>
        <v>0</v>
      </c>
      <c r="M63" s="3">
        <f>IFERROR(__xludf.DUMMYFUNCTION("""COMPUTED_VALUE"""),0.0)</f>
        <v>0</v>
      </c>
      <c r="N63" s="3">
        <f>IFERROR(__xludf.DUMMYFUNCTION("""COMPUTED_VALUE"""),0.0)</f>
        <v>0</v>
      </c>
      <c r="O63" s="3">
        <f>IFERROR(__xludf.DUMMYFUNCTION("""COMPUTED_VALUE"""),0.0)</f>
        <v>0</v>
      </c>
      <c r="P63" s="3">
        <f>IFERROR(__xludf.DUMMYFUNCTION("""COMPUTED_VALUE"""),0.0)</f>
        <v>0</v>
      </c>
      <c r="Q63" s="3">
        <f>IFERROR(__xludf.DUMMYFUNCTION("""COMPUTED_VALUE"""),0.0)</f>
        <v>0</v>
      </c>
      <c r="R63" s="3">
        <f>IFERROR(__xludf.DUMMYFUNCTION("""COMPUTED_VALUE"""),1.0)</f>
        <v>1</v>
      </c>
      <c r="S63" s="3">
        <f>IFERROR(__xludf.DUMMYFUNCTION("""COMPUTED_VALUE"""),1.0)</f>
        <v>1</v>
      </c>
      <c r="T63" s="3">
        <f>IFERROR(__xludf.DUMMYFUNCTION("""COMPUTED_VALUE"""),1.0)</f>
        <v>1</v>
      </c>
      <c r="U63" s="3">
        <f>IFERROR(__xludf.DUMMYFUNCTION("""COMPUTED_VALUE"""),1.0)</f>
        <v>1</v>
      </c>
      <c r="V63" s="3">
        <f>IFERROR(__xludf.DUMMYFUNCTION("""COMPUTED_VALUE"""),1.0)</f>
        <v>1</v>
      </c>
      <c r="W63" s="3">
        <f>IFERROR(__xludf.DUMMYFUNCTION("""COMPUTED_VALUE"""),1.0)</f>
        <v>1</v>
      </c>
      <c r="X63" s="3">
        <f>IFERROR(__xludf.DUMMYFUNCTION("""COMPUTED_VALUE"""),1.0)</f>
        <v>1</v>
      </c>
      <c r="Y63" s="3">
        <f>IFERROR(__xludf.DUMMYFUNCTION("""COMPUTED_VALUE"""),1.0)</f>
        <v>1</v>
      </c>
      <c r="Z63" s="3">
        <f>IFERROR(__xludf.DUMMYFUNCTION("""COMPUTED_VALUE"""),1.0)</f>
        <v>1</v>
      </c>
      <c r="AA63" s="3">
        <f>IFERROR(__xludf.DUMMYFUNCTION("""COMPUTED_VALUE"""),1.0)</f>
        <v>1</v>
      </c>
      <c r="AB63" s="3">
        <f>IFERROR(__xludf.DUMMYFUNCTION("""COMPUTED_VALUE"""),1.0)</f>
        <v>1</v>
      </c>
      <c r="AC63" s="3">
        <f>IFERROR(__xludf.DUMMYFUNCTION("""COMPUTED_VALUE"""),1.0)</f>
        <v>1</v>
      </c>
      <c r="AD63" s="3">
        <f>IFERROR(__xludf.DUMMYFUNCTION("""COMPUTED_VALUE"""),1.0)</f>
        <v>1</v>
      </c>
      <c r="AE63" s="3">
        <f>IFERROR(__xludf.DUMMYFUNCTION("""COMPUTED_VALUE"""),1.0)</f>
        <v>1</v>
      </c>
      <c r="AF63" s="3">
        <f>IFERROR(__xludf.DUMMYFUNCTION("""COMPUTED_VALUE"""),1.0)</f>
        <v>1</v>
      </c>
      <c r="AG63" s="3">
        <f>IFERROR(__xludf.DUMMYFUNCTION("""COMPUTED_VALUE"""),2.0)</f>
        <v>2</v>
      </c>
      <c r="AH63" s="3">
        <f>IFERROR(__xludf.DUMMYFUNCTION("""COMPUTED_VALUE"""),2.0)</f>
        <v>2</v>
      </c>
      <c r="AI63" s="3">
        <f>IFERROR(__xludf.DUMMYFUNCTION("""COMPUTED_VALUE"""),2.0)</f>
        <v>2</v>
      </c>
      <c r="AJ63" s="3">
        <f>IFERROR(__xludf.DUMMYFUNCTION("""COMPUTED_VALUE"""),2.0)</f>
        <v>2</v>
      </c>
      <c r="AK63" s="3">
        <f>IFERROR(__xludf.DUMMYFUNCTION("""COMPUTED_VALUE"""),2.0)</f>
        <v>2</v>
      </c>
      <c r="AL63" s="3">
        <f>IFERROR(__xludf.DUMMYFUNCTION("""COMPUTED_VALUE"""),2.0)</f>
        <v>2</v>
      </c>
      <c r="AM63" s="3">
        <f>IFERROR(__xludf.DUMMYFUNCTION("""COMPUTED_VALUE"""),2.0)</f>
        <v>2</v>
      </c>
      <c r="AN63" s="3">
        <f>IFERROR(__xludf.DUMMYFUNCTION("""COMPUTED_VALUE"""),2.0)</f>
        <v>2</v>
      </c>
      <c r="AO63" s="3">
        <f>IFERROR(__xludf.DUMMYFUNCTION("""COMPUTED_VALUE"""),2.0)</f>
        <v>2</v>
      </c>
      <c r="AP63" s="3">
        <f>IFERROR(__xludf.DUMMYFUNCTION("""COMPUTED_VALUE"""),2.0)</f>
        <v>2</v>
      </c>
      <c r="AQ63" s="3">
        <f>IFERROR(__xludf.DUMMYFUNCTION("""COMPUTED_VALUE"""),2.0)</f>
        <v>2</v>
      </c>
      <c r="AR63" s="3">
        <f>IFERROR(__xludf.DUMMYFUNCTION("""COMPUTED_VALUE"""),2.0)</f>
        <v>2</v>
      </c>
      <c r="AS63" s="3">
        <f>IFERROR(__xludf.DUMMYFUNCTION("""COMPUTED_VALUE"""),2.0)</f>
        <v>2</v>
      </c>
      <c r="AT63" s="3">
        <f>IFERROR(__xludf.DUMMYFUNCTION("""COMPUTED_VALUE"""),2.0)</f>
        <v>2</v>
      </c>
      <c r="AU63" s="3">
        <f>IFERROR(__xludf.DUMMYFUNCTION("""COMPUTED_VALUE"""),2.0)</f>
        <v>2</v>
      </c>
      <c r="AV63" s="3">
        <f>IFERROR(__xludf.DUMMYFUNCTION("""COMPUTED_VALUE"""),2.0)</f>
        <v>2</v>
      </c>
      <c r="AW63" s="3">
        <f>IFERROR(__xludf.DUMMYFUNCTION("""COMPUTED_VALUE"""),2.0)</f>
        <v>2</v>
      </c>
      <c r="AX63" s="3">
        <f>IFERROR(__xludf.DUMMYFUNCTION("""COMPUTED_VALUE"""),2.0)</f>
        <v>2</v>
      </c>
      <c r="AY63" s="3">
        <f>IFERROR(__xludf.DUMMYFUNCTION("""COMPUTED_VALUE"""),3.0)</f>
        <v>3</v>
      </c>
      <c r="AZ63" s="3">
        <f>IFERROR(__xludf.DUMMYFUNCTION("""COMPUTED_VALUE"""),3.0)</f>
        <v>3</v>
      </c>
      <c r="BA63" s="3">
        <f>IFERROR(__xludf.DUMMYFUNCTION("""COMPUTED_VALUE"""),3.0)</f>
        <v>3</v>
      </c>
      <c r="BB63" s="3">
        <f>IFERROR(__xludf.DUMMYFUNCTION("""COMPUTED_VALUE"""),3.0)</f>
        <v>3</v>
      </c>
      <c r="BC63" s="3">
        <f>IFERROR(__xludf.DUMMYFUNCTION("""COMPUTED_VALUE"""),3.0)</f>
        <v>3</v>
      </c>
      <c r="BD63" s="3">
        <f>IFERROR(__xludf.DUMMYFUNCTION("""COMPUTED_VALUE"""),4.0)</f>
        <v>4</v>
      </c>
      <c r="BE63" s="3">
        <f>IFERROR(__xludf.DUMMYFUNCTION("""COMPUTED_VALUE"""),4.0)</f>
        <v>4</v>
      </c>
      <c r="BF63" s="3">
        <f>IFERROR(__xludf.DUMMYFUNCTION("""COMPUTED_VALUE"""),4.0)</f>
        <v>4</v>
      </c>
      <c r="BG63" s="3">
        <f>IFERROR(__xludf.DUMMYFUNCTION("""COMPUTED_VALUE"""),4.0)</f>
        <v>4</v>
      </c>
      <c r="BH63" s="3">
        <f>IFERROR(__xludf.DUMMYFUNCTION("""COMPUTED_VALUE"""),4.0)</f>
        <v>4</v>
      </c>
      <c r="BI63" s="3">
        <f>IFERROR(__xludf.DUMMYFUNCTION("""COMPUTED_VALUE"""),4.0)</f>
        <v>4</v>
      </c>
      <c r="BJ63" s="3">
        <f>IFERROR(__xludf.DUMMYFUNCTION("""COMPUTED_VALUE"""),4.0)</f>
        <v>4</v>
      </c>
      <c r="BK63" s="3">
        <f>IFERROR(__xludf.DUMMYFUNCTION("""COMPUTED_VALUE"""),4.0)</f>
        <v>4</v>
      </c>
      <c r="BL63" s="3">
        <f>IFERROR(__xludf.DUMMYFUNCTION("""COMPUTED_VALUE"""),4.0)</f>
        <v>4</v>
      </c>
      <c r="BM63" s="3">
        <f>IFERROR(__xludf.DUMMYFUNCTION("""COMPUTED_VALUE"""),4.0)</f>
        <v>4</v>
      </c>
      <c r="BN63" s="3">
        <f>IFERROR(__xludf.DUMMYFUNCTION("""COMPUTED_VALUE"""),4.0)</f>
        <v>4</v>
      </c>
      <c r="BO63" s="3">
        <f>IFERROR(__xludf.DUMMYFUNCTION("""COMPUTED_VALUE"""),4.0)</f>
        <v>4</v>
      </c>
      <c r="BP63" s="3">
        <f>IFERROR(__xludf.DUMMYFUNCTION("""COMPUTED_VALUE"""),4.0)</f>
        <v>4</v>
      </c>
      <c r="BQ63" s="3">
        <f>IFERROR(__xludf.DUMMYFUNCTION("""COMPUTED_VALUE"""),4.0)</f>
        <v>4</v>
      </c>
      <c r="BR63" s="3">
        <f>IFERROR(__xludf.DUMMYFUNCTION("""COMPUTED_VALUE"""),4.0)</f>
        <v>4</v>
      </c>
      <c r="BS63" s="3">
        <f>IFERROR(__xludf.DUMMYFUNCTION("""COMPUTED_VALUE"""),4.0)</f>
        <v>4</v>
      </c>
      <c r="BT63" s="3">
        <f>IFERROR(__xludf.DUMMYFUNCTION("""COMPUTED_VALUE"""),4.0)</f>
        <v>4</v>
      </c>
      <c r="BU63" s="3">
        <f>IFERROR(__xludf.DUMMYFUNCTION("""COMPUTED_VALUE"""),4.0)</f>
        <v>4</v>
      </c>
      <c r="BV63" s="3">
        <f>IFERROR(__xludf.DUMMYFUNCTION("""COMPUTED_VALUE"""),4.0)</f>
        <v>4</v>
      </c>
      <c r="BW63" s="3">
        <f>IFERROR(__xludf.DUMMYFUNCTION("""COMPUTED_VALUE"""),4.0)</f>
        <v>4</v>
      </c>
      <c r="BX63" s="3">
        <f>IFERROR(__xludf.DUMMYFUNCTION("""COMPUTED_VALUE"""),4.0)</f>
        <v>4</v>
      </c>
      <c r="BY63" s="3">
        <f>IFERROR(__xludf.DUMMYFUNCTION("""COMPUTED_VALUE"""),4.0)</f>
        <v>4</v>
      </c>
      <c r="BZ63" s="3">
        <f>IFERROR(__xludf.DUMMYFUNCTION("""COMPUTED_VALUE"""),4.0)</f>
        <v>4</v>
      </c>
      <c r="CA63" s="3">
        <f>IFERROR(__xludf.DUMMYFUNCTION("""COMPUTED_VALUE"""),4.0)</f>
        <v>4</v>
      </c>
      <c r="CB63" s="3">
        <f>IFERROR(__xludf.DUMMYFUNCTION("""COMPUTED_VALUE"""),4.0)</f>
        <v>4</v>
      </c>
    </row>
    <row r="64">
      <c r="A64" s="3" t="str">
        <f>IFERROR(__xludf.DUMMYFUNCTION("""COMPUTED_VALUE"""),"Hubei")</f>
        <v>Hubei</v>
      </c>
      <c r="B64" s="3" t="str">
        <f>IFERROR(__xludf.DUMMYFUNCTION("""COMPUTED_VALUE"""),"China")</f>
        <v>China</v>
      </c>
      <c r="C64" s="3">
        <f>IFERROR(__xludf.DUMMYFUNCTION("""COMPUTED_VALUE"""),30.9756)</f>
        <v>30.9756</v>
      </c>
      <c r="D64" s="3">
        <f>IFERROR(__xludf.DUMMYFUNCTION("""COMPUTED_VALUE"""),112.2707)</f>
        <v>112.2707</v>
      </c>
      <c r="E64" s="3">
        <f>IFERROR(__xludf.DUMMYFUNCTION("""COMPUTED_VALUE"""),17.0)</f>
        <v>17</v>
      </c>
      <c r="F64" s="3">
        <f>IFERROR(__xludf.DUMMYFUNCTION("""COMPUTED_VALUE"""),17.0)</f>
        <v>17</v>
      </c>
      <c r="G64" s="3">
        <f>IFERROR(__xludf.DUMMYFUNCTION("""COMPUTED_VALUE"""),24.0)</f>
        <v>24</v>
      </c>
      <c r="H64" s="3">
        <f>IFERROR(__xludf.DUMMYFUNCTION("""COMPUTED_VALUE"""),40.0)</f>
        <v>40</v>
      </c>
      <c r="I64" s="3">
        <f>IFERROR(__xludf.DUMMYFUNCTION("""COMPUTED_VALUE"""),52.0)</f>
        <v>52</v>
      </c>
      <c r="J64" s="3">
        <f>IFERROR(__xludf.DUMMYFUNCTION("""COMPUTED_VALUE"""),76.0)</f>
        <v>76</v>
      </c>
      <c r="K64" s="3">
        <f>IFERROR(__xludf.DUMMYFUNCTION("""COMPUTED_VALUE"""),125.0)</f>
        <v>125</v>
      </c>
      <c r="L64" s="3">
        <f>IFERROR(__xludf.DUMMYFUNCTION("""COMPUTED_VALUE"""),125.0)</f>
        <v>125</v>
      </c>
      <c r="M64" s="3">
        <f>IFERROR(__xludf.DUMMYFUNCTION("""COMPUTED_VALUE"""),162.0)</f>
        <v>162</v>
      </c>
      <c r="N64" s="3">
        <f>IFERROR(__xludf.DUMMYFUNCTION("""COMPUTED_VALUE"""),204.0)</f>
        <v>204</v>
      </c>
      <c r="O64" s="3">
        <f>IFERROR(__xludf.DUMMYFUNCTION("""COMPUTED_VALUE"""),249.0)</f>
        <v>249</v>
      </c>
      <c r="P64" s="3">
        <f>IFERROR(__xludf.DUMMYFUNCTION("""COMPUTED_VALUE"""),350.0)</f>
        <v>350</v>
      </c>
      <c r="Q64" s="3">
        <f>IFERROR(__xludf.DUMMYFUNCTION("""COMPUTED_VALUE"""),414.0)</f>
        <v>414</v>
      </c>
      <c r="R64" s="3">
        <f>IFERROR(__xludf.DUMMYFUNCTION("""COMPUTED_VALUE"""),479.0)</f>
        <v>479</v>
      </c>
      <c r="S64" s="3">
        <f>IFERROR(__xludf.DUMMYFUNCTION("""COMPUTED_VALUE"""),549.0)</f>
        <v>549</v>
      </c>
      <c r="T64" s="3">
        <f>IFERROR(__xludf.DUMMYFUNCTION("""COMPUTED_VALUE"""),618.0)</f>
        <v>618</v>
      </c>
      <c r="U64" s="3">
        <f>IFERROR(__xludf.DUMMYFUNCTION("""COMPUTED_VALUE"""),699.0)</f>
        <v>699</v>
      </c>
      <c r="V64" s="3">
        <f>IFERROR(__xludf.DUMMYFUNCTION("""COMPUTED_VALUE"""),780.0)</f>
        <v>780</v>
      </c>
      <c r="W64" s="3">
        <f>IFERROR(__xludf.DUMMYFUNCTION("""COMPUTED_VALUE"""),871.0)</f>
        <v>871</v>
      </c>
      <c r="X64" s="3">
        <f>IFERROR(__xludf.DUMMYFUNCTION("""COMPUTED_VALUE"""),974.0)</f>
        <v>974</v>
      </c>
      <c r="Y64" s="3">
        <f>IFERROR(__xludf.DUMMYFUNCTION("""COMPUTED_VALUE"""),1068.0)</f>
        <v>1068</v>
      </c>
      <c r="Z64" s="3">
        <f>IFERROR(__xludf.DUMMYFUNCTION("""COMPUTED_VALUE"""),1068.0)</f>
        <v>1068</v>
      </c>
      <c r="AA64" s="3">
        <f>IFERROR(__xludf.DUMMYFUNCTION("""COMPUTED_VALUE"""),1310.0)</f>
        <v>1310</v>
      </c>
      <c r="AB64" s="3">
        <f>IFERROR(__xludf.DUMMYFUNCTION("""COMPUTED_VALUE"""),1457.0)</f>
        <v>1457</v>
      </c>
      <c r="AC64" s="3">
        <f>IFERROR(__xludf.DUMMYFUNCTION("""COMPUTED_VALUE"""),1596.0)</f>
        <v>1596</v>
      </c>
      <c r="AD64" s="3">
        <f>IFERROR(__xludf.DUMMYFUNCTION("""COMPUTED_VALUE"""),1696.0)</f>
        <v>1696</v>
      </c>
      <c r="AE64" s="3">
        <f>IFERROR(__xludf.DUMMYFUNCTION("""COMPUTED_VALUE"""),1789.0)</f>
        <v>1789</v>
      </c>
      <c r="AF64" s="3">
        <f>IFERROR(__xludf.DUMMYFUNCTION("""COMPUTED_VALUE"""),1921.0)</f>
        <v>1921</v>
      </c>
      <c r="AG64" s="3">
        <f>IFERROR(__xludf.DUMMYFUNCTION("""COMPUTED_VALUE"""),2029.0)</f>
        <v>2029</v>
      </c>
      <c r="AH64" s="3">
        <f>IFERROR(__xludf.DUMMYFUNCTION("""COMPUTED_VALUE"""),2144.0)</f>
        <v>2144</v>
      </c>
      <c r="AI64" s="3">
        <f>IFERROR(__xludf.DUMMYFUNCTION("""COMPUTED_VALUE"""),2144.0)</f>
        <v>2144</v>
      </c>
      <c r="AJ64" s="3">
        <f>IFERROR(__xludf.DUMMYFUNCTION("""COMPUTED_VALUE"""),2346.0)</f>
        <v>2346</v>
      </c>
      <c r="AK64" s="3">
        <f>IFERROR(__xludf.DUMMYFUNCTION("""COMPUTED_VALUE"""),2346.0)</f>
        <v>2346</v>
      </c>
      <c r="AL64" s="3">
        <f>IFERROR(__xludf.DUMMYFUNCTION("""COMPUTED_VALUE"""),2495.0)</f>
        <v>2495</v>
      </c>
      <c r="AM64" s="3">
        <f>IFERROR(__xludf.DUMMYFUNCTION("""COMPUTED_VALUE"""),2563.0)</f>
        <v>2563</v>
      </c>
      <c r="AN64" s="3">
        <f>IFERROR(__xludf.DUMMYFUNCTION("""COMPUTED_VALUE"""),2615.0)</f>
        <v>2615</v>
      </c>
      <c r="AO64" s="3">
        <f>IFERROR(__xludf.DUMMYFUNCTION("""COMPUTED_VALUE"""),2641.0)</f>
        <v>2641</v>
      </c>
      <c r="AP64" s="3">
        <f>IFERROR(__xludf.DUMMYFUNCTION("""COMPUTED_VALUE"""),2682.0)</f>
        <v>2682</v>
      </c>
      <c r="AQ64" s="3">
        <f>IFERROR(__xludf.DUMMYFUNCTION("""COMPUTED_VALUE"""),2727.0)</f>
        <v>2727</v>
      </c>
      <c r="AR64" s="3">
        <f>IFERROR(__xludf.DUMMYFUNCTION("""COMPUTED_VALUE"""),2761.0)</f>
        <v>2761</v>
      </c>
      <c r="AS64" s="3">
        <f>IFERROR(__xludf.DUMMYFUNCTION("""COMPUTED_VALUE"""),2803.0)</f>
        <v>2803</v>
      </c>
      <c r="AT64" s="3">
        <f>IFERROR(__xludf.DUMMYFUNCTION("""COMPUTED_VALUE"""),2835.0)</f>
        <v>2835</v>
      </c>
      <c r="AU64" s="3">
        <f>IFERROR(__xludf.DUMMYFUNCTION("""COMPUTED_VALUE"""),2871.0)</f>
        <v>2871</v>
      </c>
      <c r="AV64" s="3">
        <f>IFERROR(__xludf.DUMMYFUNCTION("""COMPUTED_VALUE"""),2902.0)</f>
        <v>2902</v>
      </c>
      <c r="AW64" s="3">
        <f>IFERROR(__xludf.DUMMYFUNCTION("""COMPUTED_VALUE"""),2931.0)</f>
        <v>2931</v>
      </c>
      <c r="AX64" s="3">
        <f>IFERROR(__xludf.DUMMYFUNCTION("""COMPUTED_VALUE"""),2959.0)</f>
        <v>2959</v>
      </c>
      <c r="AY64" s="3">
        <f>IFERROR(__xludf.DUMMYFUNCTION("""COMPUTED_VALUE"""),2986.0)</f>
        <v>2986</v>
      </c>
      <c r="AZ64" s="3">
        <f>IFERROR(__xludf.DUMMYFUNCTION("""COMPUTED_VALUE"""),3008.0)</f>
        <v>3008</v>
      </c>
      <c r="BA64" s="3">
        <f>IFERROR(__xludf.DUMMYFUNCTION("""COMPUTED_VALUE"""),3024.0)</f>
        <v>3024</v>
      </c>
      <c r="BB64" s="3">
        <f>IFERROR(__xludf.DUMMYFUNCTION("""COMPUTED_VALUE"""),3046.0)</f>
        <v>3046</v>
      </c>
      <c r="BC64" s="3">
        <f>IFERROR(__xludf.DUMMYFUNCTION("""COMPUTED_VALUE"""),3056.0)</f>
        <v>3056</v>
      </c>
      <c r="BD64" s="3">
        <f>IFERROR(__xludf.DUMMYFUNCTION("""COMPUTED_VALUE"""),3062.0)</f>
        <v>3062</v>
      </c>
      <c r="BE64" s="3">
        <f>IFERROR(__xludf.DUMMYFUNCTION("""COMPUTED_VALUE"""),3075.0)</f>
        <v>3075</v>
      </c>
      <c r="BF64" s="3">
        <f>IFERROR(__xludf.DUMMYFUNCTION("""COMPUTED_VALUE"""),3085.0)</f>
        <v>3085</v>
      </c>
      <c r="BG64" s="3">
        <f>IFERROR(__xludf.DUMMYFUNCTION("""COMPUTED_VALUE"""),3099.0)</f>
        <v>3099</v>
      </c>
      <c r="BH64" s="3">
        <f>IFERROR(__xludf.DUMMYFUNCTION("""COMPUTED_VALUE"""),3111.0)</f>
        <v>3111</v>
      </c>
      <c r="BI64" s="3">
        <f>IFERROR(__xludf.DUMMYFUNCTION("""COMPUTED_VALUE"""),3122.0)</f>
        <v>3122</v>
      </c>
      <c r="BJ64" s="3">
        <f>IFERROR(__xludf.DUMMYFUNCTION("""COMPUTED_VALUE"""),3130.0)</f>
        <v>3130</v>
      </c>
      <c r="BK64" s="3">
        <f>IFERROR(__xludf.DUMMYFUNCTION("""COMPUTED_VALUE"""),3133.0)</f>
        <v>3133</v>
      </c>
      <c r="BL64" s="3">
        <f>IFERROR(__xludf.DUMMYFUNCTION("""COMPUTED_VALUE"""),3139.0)</f>
        <v>3139</v>
      </c>
      <c r="BM64" s="3">
        <f>IFERROR(__xludf.DUMMYFUNCTION("""COMPUTED_VALUE"""),3153.0)</f>
        <v>3153</v>
      </c>
      <c r="BN64" s="3">
        <f>IFERROR(__xludf.DUMMYFUNCTION("""COMPUTED_VALUE"""),3153.0)</f>
        <v>3153</v>
      </c>
      <c r="BO64" s="3">
        <f>IFERROR(__xludf.DUMMYFUNCTION("""COMPUTED_VALUE"""),3160.0)</f>
        <v>3160</v>
      </c>
      <c r="BP64" s="3">
        <f>IFERROR(__xludf.DUMMYFUNCTION("""COMPUTED_VALUE"""),3163.0)</f>
        <v>3163</v>
      </c>
      <c r="BQ64" s="3">
        <f>IFERROR(__xludf.DUMMYFUNCTION("""COMPUTED_VALUE"""),3169.0)</f>
        <v>3169</v>
      </c>
      <c r="BR64" s="3">
        <f>IFERROR(__xludf.DUMMYFUNCTION("""COMPUTED_VALUE"""),3174.0)</f>
        <v>3174</v>
      </c>
      <c r="BS64" s="3">
        <f>IFERROR(__xludf.DUMMYFUNCTION("""COMPUTED_VALUE"""),3177.0)</f>
        <v>3177</v>
      </c>
      <c r="BT64" s="3">
        <f>IFERROR(__xludf.DUMMYFUNCTION("""COMPUTED_VALUE"""),3182.0)</f>
        <v>3182</v>
      </c>
      <c r="BU64" s="3">
        <f>IFERROR(__xludf.DUMMYFUNCTION("""COMPUTED_VALUE"""),3186.0)</f>
        <v>3186</v>
      </c>
      <c r="BV64" s="3">
        <f>IFERROR(__xludf.DUMMYFUNCTION("""COMPUTED_VALUE"""),3187.0)</f>
        <v>3187</v>
      </c>
      <c r="BW64" s="3">
        <f>IFERROR(__xludf.DUMMYFUNCTION("""COMPUTED_VALUE"""),3193.0)</f>
        <v>3193</v>
      </c>
      <c r="BX64" s="3">
        <f>IFERROR(__xludf.DUMMYFUNCTION("""COMPUTED_VALUE"""),3199.0)</f>
        <v>3199</v>
      </c>
      <c r="BY64" s="3">
        <f>IFERROR(__xludf.DUMMYFUNCTION("""COMPUTED_VALUE"""),3203.0)</f>
        <v>3203</v>
      </c>
      <c r="BZ64" s="3">
        <f>IFERROR(__xludf.DUMMYFUNCTION("""COMPUTED_VALUE"""),3207.0)</f>
        <v>3207</v>
      </c>
      <c r="CA64" s="3">
        <f>IFERROR(__xludf.DUMMYFUNCTION("""COMPUTED_VALUE"""),3210.0)</f>
        <v>3210</v>
      </c>
      <c r="CB64" s="3">
        <f>IFERROR(__xludf.DUMMYFUNCTION("""COMPUTED_VALUE"""),3212.0)</f>
        <v>3212</v>
      </c>
    </row>
    <row r="65">
      <c r="A65" s="3" t="str">
        <f>IFERROR(__xludf.DUMMYFUNCTION("""COMPUTED_VALUE"""),"Hunan")</f>
        <v>Hunan</v>
      </c>
      <c r="B65" s="3" t="str">
        <f>IFERROR(__xludf.DUMMYFUNCTION("""COMPUTED_VALUE"""),"China")</f>
        <v>China</v>
      </c>
      <c r="C65" s="3">
        <f>IFERROR(__xludf.DUMMYFUNCTION("""COMPUTED_VALUE"""),27.6104)</f>
        <v>27.6104</v>
      </c>
      <c r="D65" s="3">
        <f>IFERROR(__xludf.DUMMYFUNCTION("""COMPUTED_VALUE"""),111.7088)</f>
        <v>111.7088</v>
      </c>
      <c r="E65" s="3">
        <f>IFERROR(__xludf.DUMMYFUNCTION("""COMPUTED_VALUE"""),0.0)</f>
        <v>0</v>
      </c>
      <c r="F65" s="3">
        <f>IFERROR(__xludf.DUMMYFUNCTION("""COMPUTED_VALUE"""),0.0)</f>
        <v>0</v>
      </c>
      <c r="G65" s="3">
        <f>IFERROR(__xludf.DUMMYFUNCTION("""COMPUTED_VALUE"""),0.0)</f>
        <v>0</v>
      </c>
      <c r="H65" s="3">
        <f>IFERROR(__xludf.DUMMYFUNCTION("""COMPUTED_VALUE"""),0.0)</f>
        <v>0</v>
      </c>
      <c r="I65" s="3">
        <f>IFERROR(__xludf.DUMMYFUNCTION("""COMPUTED_VALUE"""),0.0)</f>
        <v>0</v>
      </c>
      <c r="J65" s="3">
        <f>IFERROR(__xludf.DUMMYFUNCTION("""COMPUTED_VALUE"""),0.0)</f>
        <v>0</v>
      </c>
      <c r="K65" s="3">
        <f>IFERROR(__xludf.DUMMYFUNCTION("""COMPUTED_VALUE"""),0.0)</f>
        <v>0</v>
      </c>
      <c r="L65" s="3">
        <f>IFERROR(__xludf.DUMMYFUNCTION("""COMPUTED_VALUE"""),0.0)</f>
        <v>0</v>
      </c>
      <c r="M65" s="3">
        <f>IFERROR(__xludf.DUMMYFUNCTION("""COMPUTED_VALUE"""),0.0)</f>
        <v>0</v>
      </c>
      <c r="N65" s="3">
        <f>IFERROR(__xludf.DUMMYFUNCTION("""COMPUTED_VALUE"""),0.0)</f>
        <v>0</v>
      </c>
      <c r="O65" s="3">
        <f>IFERROR(__xludf.DUMMYFUNCTION("""COMPUTED_VALUE"""),0.0)</f>
        <v>0</v>
      </c>
      <c r="P65" s="3">
        <f>IFERROR(__xludf.DUMMYFUNCTION("""COMPUTED_VALUE"""),0.0)</f>
        <v>0</v>
      </c>
      <c r="Q65" s="3">
        <f>IFERROR(__xludf.DUMMYFUNCTION("""COMPUTED_VALUE"""),0.0)</f>
        <v>0</v>
      </c>
      <c r="R65" s="3">
        <f>IFERROR(__xludf.DUMMYFUNCTION("""COMPUTED_VALUE"""),0.0)</f>
        <v>0</v>
      </c>
      <c r="S65" s="3">
        <f>IFERROR(__xludf.DUMMYFUNCTION("""COMPUTED_VALUE"""),0.0)</f>
        <v>0</v>
      </c>
      <c r="T65" s="3">
        <f>IFERROR(__xludf.DUMMYFUNCTION("""COMPUTED_VALUE"""),0.0)</f>
        <v>0</v>
      </c>
      <c r="U65" s="3">
        <f>IFERROR(__xludf.DUMMYFUNCTION("""COMPUTED_VALUE"""),0.0)</f>
        <v>0</v>
      </c>
      <c r="V65" s="3">
        <f>IFERROR(__xludf.DUMMYFUNCTION("""COMPUTED_VALUE"""),1.0)</f>
        <v>1</v>
      </c>
      <c r="W65" s="3">
        <f>IFERROR(__xludf.DUMMYFUNCTION("""COMPUTED_VALUE"""),1.0)</f>
        <v>1</v>
      </c>
      <c r="X65" s="3">
        <f>IFERROR(__xludf.DUMMYFUNCTION("""COMPUTED_VALUE"""),1.0)</f>
        <v>1</v>
      </c>
      <c r="Y65" s="3">
        <f>IFERROR(__xludf.DUMMYFUNCTION("""COMPUTED_VALUE"""),1.0)</f>
        <v>1</v>
      </c>
      <c r="Z65" s="3">
        <f>IFERROR(__xludf.DUMMYFUNCTION("""COMPUTED_VALUE"""),2.0)</f>
        <v>2</v>
      </c>
      <c r="AA65" s="3">
        <f>IFERROR(__xludf.DUMMYFUNCTION("""COMPUTED_VALUE"""),2.0)</f>
        <v>2</v>
      </c>
      <c r="AB65" s="3">
        <f>IFERROR(__xludf.DUMMYFUNCTION("""COMPUTED_VALUE"""),2.0)</f>
        <v>2</v>
      </c>
      <c r="AC65" s="3">
        <f>IFERROR(__xludf.DUMMYFUNCTION("""COMPUTED_VALUE"""),2.0)</f>
        <v>2</v>
      </c>
      <c r="AD65" s="3">
        <f>IFERROR(__xludf.DUMMYFUNCTION("""COMPUTED_VALUE"""),3.0)</f>
        <v>3</v>
      </c>
      <c r="AE65" s="3">
        <f>IFERROR(__xludf.DUMMYFUNCTION("""COMPUTED_VALUE"""),3.0)</f>
        <v>3</v>
      </c>
      <c r="AF65" s="3">
        <f>IFERROR(__xludf.DUMMYFUNCTION("""COMPUTED_VALUE"""),4.0)</f>
        <v>4</v>
      </c>
      <c r="AG65" s="3">
        <f>IFERROR(__xludf.DUMMYFUNCTION("""COMPUTED_VALUE"""),4.0)</f>
        <v>4</v>
      </c>
      <c r="AH65" s="3">
        <f>IFERROR(__xludf.DUMMYFUNCTION("""COMPUTED_VALUE"""),4.0)</f>
        <v>4</v>
      </c>
      <c r="AI65" s="3">
        <f>IFERROR(__xludf.DUMMYFUNCTION("""COMPUTED_VALUE"""),4.0)</f>
        <v>4</v>
      </c>
      <c r="AJ65" s="3">
        <f>IFERROR(__xludf.DUMMYFUNCTION("""COMPUTED_VALUE"""),4.0)</f>
        <v>4</v>
      </c>
      <c r="AK65" s="3">
        <f>IFERROR(__xludf.DUMMYFUNCTION("""COMPUTED_VALUE"""),4.0)</f>
        <v>4</v>
      </c>
      <c r="AL65" s="3">
        <f>IFERROR(__xludf.DUMMYFUNCTION("""COMPUTED_VALUE"""),4.0)</f>
        <v>4</v>
      </c>
      <c r="AM65" s="3">
        <f>IFERROR(__xludf.DUMMYFUNCTION("""COMPUTED_VALUE"""),4.0)</f>
        <v>4</v>
      </c>
      <c r="AN65" s="3">
        <f>IFERROR(__xludf.DUMMYFUNCTION("""COMPUTED_VALUE"""),4.0)</f>
        <v>4</v>
      </c>
      <c r="AO65" s="3">
        <f>IFERROR(__xludf.DUMMYFUNCTION("""COMPUTED_VALUE"""),4.0)</f>
        <v>4</v>
      </c>
      <c r="AP65" s="3">
        <f>IFERROR(__xludf.DUMMYFUNCTION("""COMPUTED_VALUE"""),4.0)</f>
        <v>4</v>
      </c>
      <c r="AQ65" s="3">
        <f>IFERROR(__xludf.DUMMYFUNCTION("""COMPUTED_VALUE"""),4.0)</f>
        <v>4</v>
      </c>
      <c r="AR65" s="3">
        <f>IFERROR(__xludf.DUMMYFUNCTION("""COMPUTED_VALUE"""),4.0)</f>
        <v>4</v>
      </c>
      <c r="AS65" s="3">
        <f>IFERROR(__xludf.DUMMYFUNCTION("""COMPUTED_VALUE"""),4.0)</f>
        <v>4</v>
      </c>
      <c r="AT65" s="3">
        <f>IFERROR(__xludf.DUMMYFUNCTION("""COMPUTED_VALUE"""),4.0)</f>
        <v>4</v>
      </c>
      <c r="AU65" s="3">
        <f>IFERROR(__xludf.DUMMYFUNCTION("""COMPUTED_VALUE"""),4.0)</f>
        <v>4</v>
      </c>
      <c r="AV65" s="3">
        <f>IFERROR(__xludf.DUMMYFUNCTION("""COMPUTED_VALUE"""),4.0)</f>
        <v>4</v>
      </c>
      <c r="AW65" s="3">
        <f>IFERROR(__xludf.DUMMYFUNCTION("""COMPUTED_VALUE"""),4.0)</f>
        <v>4</v>
      </c>
      <c r="AX65" s="3">
        <f>IFERROR(__xludf.DUMMYFUNCTION("""COMPUTED_VALUE"""),4.0)</f>
        <v>4</v>
      </c>
      <c r="AY65" s="3">
        <f>IFERROR(__xludf.DUMMYFUNCTION("""COMPUTED_VALUE"""),4.0)</f>
        <v>4</v>
      </c>
      <c r="AZ65" s="3">
        <f>IFERROR(__xludf.DUMMYFUNCTION("""COMPUTED_VALUE"""),4.0)</f>
        <v>4</v>
      </c>
      <c r="BA65" s="3">
        <f>IFERROR(__xludf.DUMMYFUNCTION("""COMPUTED_VALUE"""),4.0)</f>
        <v>4</v>
      </c>
      <c r="BB65" s="3">
        <f>IFERROR(__xludf.DUMMYFUNCTION("""COMPUTED_VALUE"""),4.0)</f>
        <v>4</v>
      </c>
      <c r="BC65" s="3">
        <f>IFERROR(__xludf.DUMMYFUNCTION("""COMPUTED_VALUE"""),4.0)</f>
        <v>4</v>
      </c>
      <c r="BD65" s="3">
        <f>IFERROR(__xludf.DUMMYFUNCTION("""COMPUTED_VALUE"""),4.0)</f>
        <v>4</v>
      </c>
      <c r="BE65" s="3">
        <f>IFERROR(__xludf.DUMMYFUNCTION("""COMPUTED_VALUE"""),4.0)</f>
        <v>4</v>
      </c>
      <c r="BF65" s="3">
        <f>IFERROR(__xludf.DUMMYFUNCTION("""COMPUTED_VALUE"""),4.0)</f>
        <v>4</v>
      </c>
      <c r="BG65" s="3">
        <f>IFERROR(__xludf.DUMMYFUNCTION("""COMPUTED_VALUE"""),4.0)</f>
        <v>4</v>
      </c>
      <c r="BH65" s="3">
        <f>IFERROR(__xludf.DUMMYFUNCTION("""COMPUTED_VALUE"""),4.0)</f>
        <v>4</v>
      </c>
      <c r="BI65" s="3">
        <f>IFERROR(__xludf.DUMMYFUNCTION("""COMPUTED_VALUE"""),4.0)</f>
        <v>4</v>
      </c>
      <c r="BJ65" s="3">
        <f>IFERROR(__xludf.DUMMYFUNCTION("""COMPUTED_VALUE"""),4.0)</f>
        <v>4</v>
      </c>
      <c r="BK65" s="3">
        <f>IFERROR(__xludf.DUMMYFUNCTION("""COMPUTED_VALUE"""),4.0)</f>
        <v>4</v>
      </c>
      <c r="BL65" s="3">
        <f>IFERROR(__xludf.DUMMYFUNCTION("""COMPUTED_VALUE"""),4.0)</f>
        <v>4</v>
      </c>
      <c r="BM65" s="3">
        <f>IFERROR(__xludf.DUMMYFUNCTION("""COMPUTED_VALUE"""),4.0)</f>
        <v>4</v>
      </c>
      <c r="BN65" s="3">
        <f>IFERROR(__xludf.DUMMYFUNCTION("""COMPUTED_VALUE"""),4.0)</f>
        <v>4</v>
      </c>
      <c r="BO65" s="3">
        <f>IFERROR(__xludf.DUMMYFUNCTION("""COMPUTED_VALUE"""),4.0)</f>
        <v>4</v>
      </c>
      <c r="BP65" s="3">
        <f>IFERROR(__xludf.DUMMYFUNCTION("""COMPUTED_VALUE"""),4.0)</f>
        <v>4</v>
      </c>
      <c r="BQ65" s="3">
        <f>IFERROR(__xludf.DUMMYFUNCTION("""COMPUTED_VALUE"""),4.0)</f>
        <v>4</v>
      </c>
      <c r="BR65" s="3">
        <f>IFERROR(__xludf.DUMMYFUNCTION("""COMPUTED_VALUE"""),4.0)</f>
        <v>4</v>
      </c>
      <c r="BS65" s="3">
        <f>IFERROR(__xludf.DUMMYFUNCTION("""COMPUTED_VALUE"""),4.0)</f>
        <v>4</v>
      </c>
      <c r="BT65" s="3">
        <f>IFERROR(__xludf.DUMMYFUNCTION("""COMPUTED_VALUE"""),4.0)</f>
        <v>4</v>
      </c>
      <c r="BU65" s="3">
        <f>IFERROR(__xludf.DUMMYFUNCTION("""COMPUTED_VALUE"""),4.0)</f>
        <v>4</v>
      </c>
      <c r="BV65" s="3">
        <f>IFERROR(__xludf.DUMMYFUNCTION("""COMPUTED_VALUE"""),4.0)</f>
        <v>4</v>
      </c>
      <c r="BW65" s="3">
        <f>IFERROR(__xludf.DUMMYFUNCTION("""COMPUTED_VALUE"""),4.0)</f>
        <v>4</v>
      </c>
      <c r="BX65" s="3">
        <f>IFERROR(__xludf.DUMMYFUNCTION("""COMPUTED_VALUE"""),4.0)</f>
        <v>4</v>
      </c>
      <c r="BY65" s="3">
        <f>IFERROR(__xludf.DUMMYFUNCTION("""COMPUTED_VALUE"""),4.0)</f>
        <v>4</v>
      </c>
      <c r="BZ65" s="3">
        <f>IFERROR(__xludf.DUMMYFUNCTION("""COMPUTED_VALUE"""),4.0)</f>
        <v>4</v>
      </c>
      <c r="CA65" s="3">
        <f>IFERROR(__xludf.DUMMYFUNCTION("""COMPUTED_VALUE"""),4.0)</f>
        <v>4</v>
      </c>
      <c r="CB65" s="3">
        <f>IFERROR(__xludf.DUMMYFUNCTION("""COMPUTED_VALUE"""),4.0)</f>
        <v>4</v>
      </c>
    </row>
    <row r="66">
      <c r="A66" s="3" t="str">
        <f>IFERROR(__xludf.DUMMYFUNCTION("""COMPUTED_VALUE"""),"Inner Mongolia")</f>
        <v>Inner Mongolia</v>
      </c>
      <c r="B66" s="3" t="str">
        <f>IFERROR(__xludf.DUMMYFUNCTION("""COMPUTED_VALUE"""),"China")</f>
        <v>China</v>
      </c>
      <c r="C66" s="3">
        <f>IFERROR(__xludf.DUMMYFUNCTION("""COMPUTED_VALUE"""),44.0935)</f>
        <v>44.0935</v>
      </c>
      <c r="D66" s="3">
        <f>IFERROR(__xludf.DUMMYFUNCTION("""COMPUTED_VALUE"""),113.9448)</f>
        <v>113.9448</v>
      </c>
      <c r="E66" s="3">
        <f>IFERROR(__xludf.DUMMYFUNCTION("""COMPUTED_VALUE"""),0.0)</f>
        <v>0</v>
      </c>
      <c r="F66" s="3">
        <f>IFERROR(__xludf.DUMMYFUNCTION("""COMPUTED_VALUE"""),0.0)</f>
        <v>0</v>
      </c>
      <c r="G66" s="3">
        <f>IFERROR(__xludf.DUMMYFUNCTION("""COMPUTED_VALUE"""),0.0)</f>
        <v>0</v>
      </c>
      <c r="H66" s="3">
        <f>IFERROR(__xludf.DUMMYFUNCTION("""COMPUTED_VALUE"""),0.0)</f>
        <v>0</v>
      </c>
      <c r="I66" s="3">
        <f>IFERROR(__xludf.DUMMYFUNCTION("""COMPUTED_VALUE"""),0.0)</f>
        <v>0</v>
      </c>
      <c r="J66" s="3">
        <f>IFERROR(__xludf.DUMMYFUNCTION("""COMPUTED_VALUE"""),0.0)</f>
        <v>0</v>
      </c>
      <c r="K66" s="3">
        <f>IFERROR(__xludf.DUMMYFUNCTION("""COMPUTED_VALUE"""),0.0)</f>
        <v>0</v>
      </c>
      <c r="L66" s="3">
        <f>IFERROR(__xludf.DUMMYFUNCTION("""COMPUTED_VALUE"""),0.0)</f>
        <v>0</v>
      </c>
      <c r="M66" s="3">
        <f>IFERROR(__xludf.DUMMYFUNCTION("""COMPUTED_VALUE"""),0.0)</f>
        <v>0</v>
      </c>
      <c r="N66" s="3">
        <f>IFERROR(__xludf.DUMMYFUNCTION("""COMPUTED_VALUE"""),0.0)</f>
        <v>0</v>
      </c>
      <c r="O66" s="3">
        <f>IFERROR(__xludf.DUMMYFUNCTION("""COMPUTED_VALUE"""),0.0)</f>
        <v>0</v>
      </c>
      <c r="P66" s="3">
        <f>IFERROR(__xludf.DUMMYFUNCTION("""COMPUTED_VALUE"""),0.0)</f>
        <v>0</v>
      </c>
      <c r="Q66" s="3">
        <f>IFERROR(__xludf.DUMMYFUNCTION("""COMPUTED_VALUE"""),0.0)</f>
        <v>0</v>
      </c>
      <c r="R66" s="3">
        <f>IFERROR(__xludf.DUMMYFUNCTION("""COMPUTED_VALUE"""),0.0)</f>
        <v>0</v>
      </c>
      <c r="S66" s="3">
        <f>IFERROR(__xludf.DUMMYFUNCTION("""COMPUTED_VALUE"""),0.0)</f>
        <v>0</v>
      </c>
      <c r="T66" s="3">
        <f>IFERROR(__xludf.DUMMYFUNCTION("""COMPUTED_VALUE"""),0.0)</f>
        <v>0</v>
      </c>
      <c r="U66" s="3">
        <f>IFERROR(__xludf.DUMMYFUNCTION("""COMPUTED_VALUE"""),0.0)</f>
        <v>0</v>
      </c>
      <c r="V66" s="3">
        <f>IFERROR(__xludf.DUMMYFUNCTION("""COMPUTED_VALUE"""),0.0)</f>
        <v>0</v>
      </c>
      <c r="W66" s="3">
        <f>IFERROR(__xludf.DUMMYFUNCTION("""COMPUTED_VALUE"""),0.0)</f>
        <v>0</v>
      </c>
      <c r="X66" s="3">
        <f>IFERROR(__xludf.DUMMYFUNCTION("""COMPUTED_VALUE"""),0.0)</f>
        <v>0</v>
      </c>
      <c r="Y66" s="3">
        <f>IFERROR(__xludf.DUMMYFUNCTION("""COMPUTED_VALUE"""),0.0)</f>
        <v>0</v>
      </c>
      <c r="Z66" s="3">
        <f>IFERROR(__xludf.DUMMYFUNCTION("""COMPUTED_VALUE"""),0.0)</f>
        <v>0</v>
      </c>
      <c r="AA66" s="3">
        <f>IFERROR(__xludf.DUMMYFUNCTION("""COMPUTED_VALUE"""),0.0)</f>
        <v>0</v>
      </c>
      <c r="AB66" s="3">
        <f>IFERROR(__xludf.DUMMYFUNCTION("""COMPUTED_VALUE"""),0.0)</f>
        <v>0</v>
      </c>
      <c r="AC66" s="3">
        <f>IFERROR(__xludf.DUMMYFUNCTION("""COMPUTED_VALUE"""),0.0)</f>
        <v>0</v>
      </c>
      <c r="AD66" s="3">
        <f>IFERROR(__xludf.DUMMYFUNCTION("""COMPUTED_VALUE"""),0.0)</f>
        <v>0</v>
      </c>
      <c r="AE66" s="3">
        <f>IFERROR(__xludf.DUMMYFUNCTION("""COMPUTED_VALUE"""),0.0)</f>
        <v>0</v>
      </c>
      <c r="AF66" s="3">
        <f>IFERROR(__xludf.DUMMYFUNCTION("""COMPUTED_VALUE"""),0.0)</f>
        <v>0</v>
      </c>
      <c r="AG66" s="3">
        <f>IFERROR(__xludf.DUMMYFUNCTION("""COMPUTED_VALUE"""),0.0)</f>
        <v>0</v>
      </c>
      <c r="AH66" s="3">
        <f>IFERROR(__xludf.DUMMYFUNCTION("""COMPUTED_VALUE"""),0.0)</f>
        <v>0</v>
      </c>
      <c r="AI66" s="3">
        <f>IFERROR(__xludf.DUMMYFUNCTION("""COMPUTED_VALUE"""),0.0)</f>
        <v>0</v>
      </c>
      <c r="AJ66" s="3">
        <f>IFERROR(__xludf.DUMMYFUNCTION("""COMPUTED_VALUE"""),0.0)</f>
        <v>0</v>
      </c>
      <c r="AK66" s="3">
        <f>IFERROR(__xludf.DUMMYFUNCTION("""COMPUTED_VALUE"""),0.0)</f>
        <v>0</v>
      </c>
      <c r="AL66" s="3">
        <f>IFERROR(__xludf.DUMMYFUNCTION("""COMPUTED_VALUE"""),0.0)</f>
        <v>0</v>
      </c>
      <c r="AM66" s="3">
        <f>IFERROR(__xludf.DUMMYFUNCTION("""COMPUTED_VALUE"""),0.0)</f>
        <v>0</v>
      </c>
      <c r="AN66" s="3">
        <f>IFERROR(__xludf.DUMMYFUNCTION("""COMPUTED_VALUE"""),0.0)</f>
        <v>0</v>
      </c>
      <c r="AO66" s="3">
        <f>IFERROR(__xludf.DUMMYFUNCTION("""COMPUTED_VALUE"""),0.0)</f>
        <v>0</v>
      </c>
      <c r="AP66" s="3">
        <f>IFERROR(__xludf.DUMMYFUNCTION("""COMPUTED_VALUE"""),0.0)</f>
        <v>0</v>
      </c>
      <c r="AQ66" s="3">
        <f>IFERROR(__xludf.DUMMYFUNCTION("""COMPUTED_VALUE"""),0.0)</f>
        <v>0</v>
      </c>
      <c r="AR66" s="3">
        <f>IFERROR(__xludf.DUMMYFUNCTION("""COMPUTED_VALUE"""),0.0)</f>
        <v>0</v>
      </c>
      <c r="AS66" s="3">
        <f>IFERROR(__xludf.DUMMYFUNCTION("""COMPUTED_VALUE"""),0.0)</f>
        <v>0</v>
      </c>
      <c r="AT66" s="3">
        <f>IFERROR(__xludf.DUMMYFUNCTION("""COMPUTED_VALUE"""),1.0)</f>
        <v>1</v>
      </c>
      <c r="AU66" s="3">
        <f>IFERROR(__xludf.DUMMYFUNCTION("""COMPUTED_VALUE"""),1.0)</f>
        <v>1</v>
      </c>
      <c r="AV66" s="3">
        <f>IFERROR(__xludf.DUMMYFUNCTION("""COMPUTED_VALUE"""),1.0)</f>
        <v>1</v>
      </c>
      <c r="AW66" s="3">
        <f>IFERROR(__xludf.DUMMYFUNCTION("""COMPUTED_VALUE"""),1.0)</f>
        <v>1</v>
      </c>
      <c r="AX66" s="3">
        <f>IFERROR(__xludf.DUMMYFUNCTION("""COMPUTED_VALUE"""),1.0)</f>
        <v>1</v>
      </c>
      <c r="AY66" s="3">
        <f>IFERROR(__xludf.DUMMYFUNCTION("""COMPUTED_VALUE"""),1.0)</f>
        <v>1</v>
      </c>
      <c r="AZ66" s="3">
        <f>IFERROR(__xludf.DUMMYFUNCTION("""COMPUTED_VALUE"""),1.0)</f>
        <v>1</v>
      </c>
      <c r="BA66" s="3">
        <f>IFERROR(__xludf.DUMMYFUNCTION("""COMPUTED_VALUE"""),1.0)</f>
        <v>1</v>
      </c>
      <c r="BB66" s="3">
        <f>IFERROR(__xludf.DUMMYFUNCTION("""COMPUTED_VALUE"""),1.0)</f>
        <v>1</v>
      </c>
      <c r="BC66" s="3">
        <f>IFERROR(__xludf.DUMMYFUNCTION("""COMPUTED_VALUE"""),1.0)</f>
        <v>1</v>
      </c>
      <c r="BD66" s="3">
        <f>IFERROR(__xludf.DUMMYFUNCTION("""COMPUTED_VALUE"""),1.0)</f>
        <v>1</v>
      </c>
      <c r="BE66" s="3">
        <f>IFERROR(__xludf.DUMMYFUNCTION("""COMPUTED_VALUE"""),1.0)</f>
        <v>1</v>
      </c>
      <c r="BF66" s="3">
        <f>IFERROR(__xludf.DUMMYFUNCTION("""COMPUTED_VALUE"""),1.0)</f>
        <v>1</v>
      </c>
      <c r="BG66" s="3">
        <f>IFERROR(__xludf.DUMMYFUNCTION("""COMPUTED_VALUE"""),1.0)</f>
        <v>1</v>
      </c>
      <c r="BH66" s="3">
        <f>IFERROR(__xludf.DUMMYFUNCTION("""COMPUTED_VALUE"""),1.0)</f>
        <v>1</v>
      </c>
      <c r="BI66" s="3">
        <f>IFERROR(__xludf.DUMMYFUNCTION("""COMPUTED_VALUE"""),1.0)</f>
        <v>1</v>
      </c>
      <c r="BJ66" s="3">
        <f>IFERROR(__xludf.DUMMYFUNCTION("""COMPUTED_VALUE"""),1.0)</f>
        <v>1</v>
      </c>
      <c r="BK66" s="3">
        <f>IFERROR(__xludf.DUMMYFUNCTION("""COMPUTED_VALUE"""),1.0)</f>
        <v>1</v>
      </c>
      <c r="BL66" s="3">
        <f>IFERROR(__xludf.DUMMYFUNCTION("""COMPUTED_VALUE"""),1.0)</f>
        <v>1</v>
      </c>
      <c r="BM66" s="3">
        <f>IFERROR(__xludf.DUMMYFUNCTION("""COMPUTED_VALUE"""),1.0)</f>
        <v>1</v>
      </c>
      <c r="BN66" s="3">
        <f>IFERROR(__xludf.DUMMYFUNCTION("""COMPUTED_VALUE"""),1.0)</f>
        <v>1</v>
      </c>
      <c r="BO66" s="3">
        <f>IFERROR(__xludf.DUMMYFUNCTION("""COMPUTED_VALUE"""),1.0)</f>
        <v>1</v>
      </c>
      <c r="BP66" s="3">
        <f>IFERROR(__xludf.DUMMYFUNCTION("""COMPUTED_VALUE"""),1.0)</f>
        <v>1</v>
      </c>
      <c r="BQ66" s="3">
        <f>IFERROR(__xludf.DUMMYFUNCTION("""COMPUTED_VALUE"""),1.0)</f>
        <v>1</v>
      </c>
      <c r="BR66" s="3">
        <f>IFERROR(__xludf.DUMMYFUNCTION("""COMPUTED_VALUE"""),1.0)</f>
        <v>1</v>
      </c>
      <c r="BS66" s="3">
        <f>IFERROR(__xludf.DUMMYFUNCTION("""COMPUTED_VALUE"""),1.0)</f>
        <v>1</v>
      </c>
      <c r="BT66" s="3">
        <f>IFERROR(__xludf.DUMMYFUNCTION("""COMPUTED_VALUE"""),1.0)</f>
        <v>1</v>
      </c>
      <c r="BU66" s="3">
        <f>IFERROR(__xludf.DUMMYFUNCTION("""COMPUTED_VALUE"""),1.0)</f>
        <v>1</v>
      </c>
      <c r="BV66" s="3">
        <f>IFERROR(__xludf.DUMMYFUNCTION("""COMPUTED_VALUE"""),1.0)</f>
        <v>1</v>
      </c>
      <c r="BW66" s="3">
        <f>IFERROR(__xludf.DUMMYFUNCTION("""COMPUTED_VALUE"""),1.0)</f>
        <v>1</v>
      </c>
      <c r="BX66" s="3">
        <f>IFERROR(__xludf.DUMMYFUNCTION("""COMPUTED_VALUE"""),1.0)</f>
        <v>1</v>
      </c>
      <c r="BY66" s="3">
        <f>IFERROR(__xludf.DUMMYFUNCTION("""COMPUTED_VALUE"""),1.0)</f>
        <v>1</v>
      </c>
      <c r="BZ66" s="3">
        <f>IFERROR(__xludf.DUMMYFUNCTION("""COMPUTED_VALUE"""),1.0)</f>
        <v>1</v>
      </c>
      <c r="CA66" s="3">
        <f>IFERROR(__xludf.DUMMYFUNCTION("""COMPUTED_VALUE"""),1.0)</f>
        <v>1</v>
      </c>
      <c r="CB66" s="3">
        <f>IFERROR(__xludf.DUMMYFUNCTION("""COMPUTED_VALUE"""),1.0)</f>
        <v>1</v>
      </c>
    </row>
    <row r="67">
      <c r="A67" s="3" t="str">
        <f>IFERROR(__xludf.DUMMYFUNCTION("""COMPUTED_VALUE"""),"Jiangsu")</f>
        <v>Jiangsu</v>
      </c>
      <c r="B67" s="3" t="str">
        <f>IFERROR(__xludf.DUMMYFUNCTION("""COMPUTED_VALUE"""),"China")</f>
        <v>China</v>
      </c>
      <c r="C67" s="3">
        <f>IFERROR(__xludf.DUMMYFUNCTION("""COMPUTED_VALUE"""),32.9711)</f>
        <v>32.9711</v>
      </c>
      <c r="D67" s="3">
        <f>IFERROR(__xludf.DUMMYFUNCTION("""COMPUTED_VALUE"""),119.455)</f>
        <v>119.455</v>
      </c>
      <c r="E67" s="3">
        <f>IFERROR(__xludf.DUMMYFUNCTION("""COMPUTED_VALUE"""),0.0)</f>
        <v>0</v>
      </c>
      <c r="F67" s="3">
        <f>IFERROR(__xludf.DUMMYFUNCTION("""COMPUTED_VALUE"""),0.0)</f>
        <v>0</v>
      </c>
      <c r="G67" s="3">
        <f>IFERROR(__xludf.DUMMYFUNCTION("""COMPUTED_VALUE"""),0.0)</f>
        <v>0</v>
      </c>
      <c r="H67" s="3">
        <f>IFERROR(__xludf.DUMMYFUNCTION("""COMPUTED_VALUE"""),0.0)</f>
        <v>0</v>
      </c>
      <c r="I67" s="3">
        <f>IFERROR(__xludf.DUMMYFUNCTION("""COMPUTED_VALUE"""),0.0)</f>
        <v>0</v>
      </c>
      <c r="J67" s="3">
        <f>IFERROR(__xludf.DUMMYFUNCTION("""COMPUTED_VALUE"""),0.0)</f>
        <v>0</v>
      </c>
      <c r="K67" s="3">
        <f>IFERROR(__xludf.DUMMYFUNCTION("""COMPUTED_VALUE"""),0.0)</f>
        <v>0</v>
      </c>
      <c r="L67" s="3">
        <f>IFERROR(__xludf.DUMMYFUNCTION("""COMPUTED_VALUE"""),0.0)</f>
        <v>0</v>
      </c>
      <c r="M67" s="3">
        <f>IFERROR(__xludf.DUMMYFUNCTION("""COMPUTED_VALUE"""),0.0)</f>
        <v>0</v>
      </c>
      <c r="N67" s="3">
        <f>IFERROR(__xludf.DUMMYFUNCTION("""COMPUTED_VALUE"""),0.0)</f>
        <v>0</v>
      </c>
      <c r="O67" s="3">
        <f>IFERROR(__xludf.DUMMYFUNCTION("""COMPUTED_VALUE"""),0.0)</f>
        <v>0</v>
      </c>
      <c r="P67" s="3">
        <f>IFERROR(__xludf.DUMMYFUNCTION("""COMPUTED_VALUE"""),0.0)</f>
        <v>0</v>
      </c>
      <c r="Q67" s="3">
        <f>IFERROR(__xludf.DUMMYFUNCTION("""COMPUTED_VALUE"""),0.0)</f>
        <v>0</v>
      </c>
      <c r="R67" s="3">
        <f>IFERROR(__xludf.DUMMYFUNCTION("""COMPUTED_VALUE"""),0.0)</f>
        <v>0</v>
      </c>
      <c r="S67" s="3">
        <f>IFERROR(__xludf.DUMMYFUNCTION("""COMPUTED_VALUE"""),0.0)</f>
        <v>0</v>
      </c>
      <c r="T67" s="3">
        <f>IFERROR(__xludf.DUMMYFUNCTION("""COMPUTED_VALUE"""),0.0)</f>
        <v>0</v>
      </c>
      <c r="U67" s="3">
        <f>IFERROR(__xludf.DUMMYFUNCTION("""COMPUTED_VALUE"""),0.0)</f>
        <v>0</v>
      </c>
      <c r="V67" s="3">
        <f>IFERROR(__xludf.DUMMYFUNCTION("""COMPUTED_VALUE"""),0.0)</f>
        <v>0</v>
      </c>
      <c r="W67" s="3">
        <f>IFERROR(__xludf.DUMMYFUNCTION("""COMPUTED_VALUE"""),0.0)</f>
        <v>0</v>
      </c>
      <c r="X67" s="3">
        <f>IFERROR(__xludf.DUMMYFUNCTION("""COMPUTED_VALUE"""),0.0)</f>
        <v>0</v>
      </c>
      <c r="Y67" s="3">
        <f>IFERROR(__xludf.DUMMYFUNCTION("""COMPUTED_VALUE"""),0.0)</f>
        <v>0</v>
      </c>
      <c r="Z67" s="3">
        <f>IFERROR(__xludf.DUMMYFUNCTION("""COMPUTED_VALUE"""),0.0)</f>
        <v>0</v>
      </c>
      <c r="AA67" s="3">
        <f>IFERROR(__xludf.DUMMYFUNCTION("""COMPUTED_VALUE"""),0.0)</f>
        <v>0</v>
      </c>
      <c r="AB67" s="3">
        <f>IFERROR(__xludf.DUMMYFUNCTION("""COMPUTED_VALUE"""),0.0)</f>
        <v>0</v>
      </c>
      <c r="AC67" s="3">
        <f>IFERROR(__xludf.DUMMYFUNCTION("""COMPUTED_VALUE"""),0.0)</f>
        <v>0</v>
      </c>
      <c r="AD67" s="3">
        <f>IFERROR(__xludf.DUMMYFUNCTION("""COMPUTED_VALUE"""),0.0)</f>
        <v>0</v>
      </c>
      <c r="AE67" s="3">
        <f>IFERROR(__xludf.DUMMYFUNCTION("""COMPUTED_VALUE"""),0.0)</f>
        <v>0</v>
      </c>
      <c r="AF67" s="3">
        <f>IFERROR(__xludf.DUMMYFUNCTION("""COMPUTED_VALUE"""),0.0)</f>
        <v>0</v>
      </c>
      <c r="AG67" s="3">
        <f>IFERROR(__xludf.DUMMYFUNCTION("""COMPUTED_VALUE"""),0.0)</f>
        <v>0</v>
      </c>
      <c r="AH67" s="3">
        <f>IFERROR(__xludf.DUMMYFUNCTION("""COMPUTED_VALUE"""),0.0)</f>
        <v>0</v>
      </c>
      <c r="AI67" s="3">
        <f>IFERROR(__xludf.DUMMYFUNCTION("""COMPUTED_VALUE"""),0.0)</f>
        <v>0</v>
      </c>
      <c r="AJ67" s="3">
        <f>IFERROR(__xludf.DUMMYFUNCTION("""COMPUTED_VALUE"""),0.0)</f>
        <v>0</v>
      </c>
      <c r="AK67" s="3">
        <f>IFERROR(__xludf.DUMMYFUNCTION("""COMPUTED_VALUE"""),0.0)</f>
        <v>0</v>
      </c>
      <c r="AL67" s="3">
        <f>IFERROR(__xludf.DUMMYFUNCTION("""COMPUTED_VALUE"""),0.0)</f>
        <v>0</v>
      </c>
      <c r="AM67" s="3">
        <f>IFERROR(__xludf.DUMMYFUNCTION("""COMPUTED_VALUE"""),0.0)</f>
        <v>0</v>
      </c>
      <c r="AN67" s="3">
        <f>IFERROR(__xludf.DUMMYFUNCTION("""COMPUTED_VALUE"""),0.0)</f>
        <v>0</v>
      </c>
      <c r="AO67" s="3">
        <f>IFERROR(__xludf.DUMMYFUNCTION("""COMPUTED_VALUE"""),0.0)</f>
        <v>0</v>
      </c>
      <c r="AP67" s="3">
        <f>IFERROR(__xludf.DUMMYFUNCTION("""COMPUTED_VALUE"""),0.0)</f>
        <v>0</v>
      </c>
      <c r="AQ67" s="3">
        <f>IFERROR(__xludf.DUMMYFUNCTION("""COMPUTED_VALUE"""),0.0)</f>
        <v>0</v>
      </c>
      <c r="AR67" s="3">
        <f>IFERROR(__xludf.DUMMYFUNCTION("""COMPUTED_VALUE"""),0.0)</f>
        <v>0</v>
      </c>
      <c r="AS67" s="3">
        <f>IFERROR(__xludf.DUMMYFUNCTION("""COMPUTED_VALUE"""),0.0)</f>
        <v>0</v>
      </c>
      <c r="AT67" s="3">
        <f>IFERROR(__xludf.DUMMYFUNCTION("""COMPUTED_VALUE"""),0.0)</f>
        <v>0</v>
      </c>
      <c r="AU67" s="3">
        <f>IFERROR(__xludf.DUMMYFUNCTION("""COMPUTED_VALUE"""),0.0)</f>
        <v>0</v>
      </c>
      <c r="AV67" s="3">
        <f>IFERROR(__xludf.DUMMYFUNCTION("""COMPUTED_VALUE"""),0.0)</f>
        <v>0</v>
      </c>
      <c r="AW67" s="3">
        <f>IFERROR(__xludf.DUMMYFUNCTION("""COMPUTED_VALUE"""),0.0)</f>
        <v>0</v>
      </c>
      <c r="AX67" s="3">
        <f>IFERROR(__xludf.DUMMYFUNCTION("""COMPUTED_VALUE"""),0.0)</f>
        <v>0</v>
      </c>
      <c r="AY67" s="3">
        <f>IFERROR(__xludf.DUMMYFUNCTION("""COMPUTED_VALUE"""),0.0)</f>
        <v>0</v>
      </c>
      <c r="AZ67" s="3">
        <f>IFERROR(__xludf.DUMMYFUNCTION("""COMPUTED_VALUE"""),0.0)</f>
        <v>0</v>
      </c>
      <c r="BA67" s="3">
        <f>IFERROR(__xludf.DUMMYFUNCTION("""COMPUTED_VALUE"""),0.0)</f>
        <v>0</v>
      </c>
      <c r="BB67" s="3">
        <f>IFERROR(__xludf.DUMMYFUNCTION("""COMPUTED_VALUE"""),0.0)</f>
        <v>0</v>
      </c>
      <c r="BC67" s="3">
        <f>IFERROR(__xludf.DUMMYFUNCTION("""COMPUTED_VALUE"""),0.0)</f>
        <v>0</v>
      </c>
      <c r="BD67" s="3">
        <f>IFERROR(__xludf.DUMMYFUNCTION("""COMPUTED_VALUE"""),0.0)</f>
        <v>0</v>
      </c>
      <c r="BE67" s="3">
        <f>IFERROR(__xludf.DUMMYFUNCTION("""COMPUTED_VALUE"""),0.0)</f>
        <v>0</v>
      </c>
      <c r="BF67" s="3">
        <f>IFERROR(__xludf.DUMMYFUNCTION("""COMPUTED_VALUE"""),0.0)</f>
        <v>0</v>
      </c>
      <c r="BG67" s="3">
        <f>IFERROR(__xludf.DUMMYFUNCTION("""COMPUTED_VALUE"""),0.0)</f>
        <v>0</v>
      </c>
      <c r="BH67" s="3">
        <f>IFERROR(__xludf.DUMMYFUNCTION("""COMPUTED_VALUE"""),0.0)</f>
        <v>0</v>
      </c>
      <c r="BI67" s="3">
        <f>IFERROR(__xludf.DUMMYFUNCTION("""COMPUTED_VALUE"""),0.0)</f>
        <v>0</v>
      </c>
      <c r="BJ67" s="3">
        <f>IFERROR(__xludf.DUMMYFUNCTION("""COMPUTED_VALUE"""),0.0)</f>
        <v>0</v>
      </c>
      <c r="BK67" s="3">
        <f>IFERROR(__xludf.DUMMYFUNCTION("""COMPUTED_VALUE"""),0.0)</f>
        <v>0</v>
      </c>
      <c r="BL67" s="3">
        <f>IFERROR(__xludf.DUMMYFUNCTION("""COMPUTED_VALUE"""),0.0)</f>
        <v>0</v>
      </c>
      <c r="BM67" s="3">
        <f>IFERROR(__xludf.DUMMYFUNCTION("""COMPUTED_VALUE"""),0.0)</f>
        <v>0</v>
      </c>
      <c r="BN67" s="3">
        <f>IFERROR(__xludf.DUMMYFUNCTION("""COMPUTED_VALUE"""),0.0)</f>
        <v>0</v>
      </c>
      <c r="BO67" s="3">
        <f>IFERROR(__xludf.DUMMYFUNCTION("""COMPUTED_VALUE"""),0.0)</f>
        <v>0</v>
      </c>
      <c r="BP67" s="3">
        <f>IFERROR(__xludf.DUMMYFUNCTION("""COMPUTED_VALUE"""),0.0)</f>
        <v>0</v>
      </c>
      <c r="BQ67" s="3">
        <f>IFERROR(__xludf.DUMMYFUNCTION("""COMPUTED_VALUE"""),0.0)</f>
        <v>0</v>
      </c>
      <c r="BR67" s="3">
        <f>IFERROR(__xludf.DUMMYFUNCTION("""COMPUTED_VALUE"""),0.0)</f>
        <v>0</v>
      </c>
      <c r="BS67" s="3">
        <f>IFERROR(__xludf.DUMMYFUNCTION("""COMPUTED_VALUE"""),0.0)</f>
        <v>0</v>
      </c>
      <c r="BT67" s="3">
        <f>IFERROR(__xludf.DUMMYFUNCTION("""COMPUTED_VALUE"""),0.0)</f>
        <v>0</v>
      </c>
      <c r="BU67" s="3">
        <f>IFERROR(__xludf.DUMMYFUNCTION("""COMPUTED_VALUE"""),0.0)</f>
        <v>0</v>
      </c>
      <c r="BV67" s="3">
        <f>IFERROR(__xludf.DUMMYFUNCTION("""COMPUTED_VALUE"""),0.0)</f>
        <v>0</v>
      </c>
      <c r="BW67" s="3">
        <f>IFERROR(__xludf.DUMMYFUNCTION("""COMPUTED_VALUE"""),0.0)</f>
        <v>0</v>
      </c>
      <c r="BX67" s="3">
        <f>IFERROR(__xludf.DUMMYFUNCTION("""COMPUTED_VALUE"""),0.0)</f>
        <v>0</v>
      </c>
      <c r="BY67" s="3">
        <f>IFERROR(__xludf.DUMMYFUNCTION("""COMPUTED_VALUE"""),0.0)</f>
        <v>0</v>
      </c>
      <c r="BZ67" s="3">
        <f>IFERROR(__xludf.DUMMYFUNCTION("""COMPUTED_VALUE"""),0.0)</f>
        <v>0</v>
      </c>
      <c r="CA67" s="3">
        <f>IFERROR(__xludf.DUMMYFUNCTION("""COMPUTED_VALUE"""),0.0)</f>
        <v>0</v>
      </c>
      <c r="CB67" s="3">
        <f>IFERROR(__xludf.DUMMYFUNCTION("""COMPUTED_VALUE"""),0.0)</f>
        <v>0</v>
      </c>
    </row>
    <row r="68">
      <c r="A68" s="3" t="str">
        <f>IFERROR(__xludf.DUMMYFUNCTION("""COMPUTED_VALUE"""),"Jiangxi")</f>
        <v>Jiangxi</v>
      </c>
      <c r="B68" s="3" t="str">
        <f>IFERROR(__xludf.DUMMYFUNCTION("""COMPUTED_VALUE"""),"China")</f>
        <v>China</v>
      </c>
      <c r="C68" s="3">
        <f>IFERROR(__xludf.DUMMYFUNCTION("""COMPUTED_VALUE"""),27.614)</f>
        <v>27.614</v>
      </c>
      <c r="D68" s="3">
        <f>IFERROR(__xludf.DUMMYFUNCTION("""COMPUTED_VALUE"""),115.7221)</f>
        <v>115.7221</v>
      </c>
      <c r="E68" s="3">
        <f>IFERROR(__xludf.DUMMYFUNCTION("""COMPUTED_VALUE"""),0.0)</f>
        <v>0</v>
      </c>
      <c r="F68" s="3">
        <f>IFERROR(__xludf.DUMMYFUNCTION("""COMPUTED_VALUE"""),0.0)</f>
        <v>0</v>
      </c>
      <c r="G68" s="3">
        <f>IFERROR(__xludf.DUMMYFUNCTION("""COMPUTED_VALUE"""),0.0)</f>
        <v>0</v>
      </c>
      <c r="H68" s="3">
        <f>IFERROR(__xludf.DUMMYFUNCTION("""COMPUTED_VALUE"""),0.0)</f>
        <v>0</v>
      </c>
      <c r="I68" s="3">
        <f>IFERROR(__xludf.DUMMYFUNCTION("""COMPUTED_VALUE"""),0.0)</f>
        <v>0</v>
      </c>
      <c r="J68" s="3">
        <f>IFERROR(__xludf.DUMMYFUNCTION("""COMPUTED_VALUE"""),0.0)</f>
        <v>0</v>
      </c>
      <c r="K68" s="3">
        <f>IFERROR(__xludf.DUMMYFUNCTION("""COMPUTED_VALUE"""),0.0)</f>
        <v>0</v>
      </c>
      <c r="L68" s="3">
        <f>IFERROR(__xludf.DUMMYFUNCTION("""COMPUTED_VALUE"""),0.0)</f>
        <v>0</v>
      </c>
      <c r="M68" s="3">
        <f>IFERROR(__xludf.DUMMYFUNCTION("""COMPUTED_VALUE"""),0.0)</f>
        <v>0</v>
      </c>
      <c r="N68" s="3">
        <f>IFERROR(__xludf.DUMMYFUNCTION("""COMPUTED_VALUE"""),0.0)</f>
        <v>0</v>
      </c>
      <c r="O68" s="3">
        <f>IFERROR(__xludf.DUMMYFUNCTION("""COMPUTED_VALUE"""),0.0)</f>
        <v>0</v>
      </c>
      <c r="P68" s="3">
        <f>IFERROR(__xludf.DUMMYFUNCTION("""COMPUTED_VALUE"""),0.0)</f>
        <v>0</v>
      </c>
      <c r="Q68" s="3">
        <f>IFERROR(__xludf.DUMMYFUNCTION("""COMPUTED_VALUE"""),0.0)</f>
        <v>0</v>
      </c>
      <c r="R68" s="3">
        <f>IFERROR(__xludf.DUMMYFUNCTION("""COMPUTED_VALUE"""),0.0)</f>
        <v>0</v>
      </c>
      <c r="S68" s="3">
        <f>IFERROR(__xludf.DUMMYFUNCTION("""COMPUTED_VALUE"""),0.0)</f>
        <v>0</v>
      </c>
      <c r="T68" s="3">
        <f>IFERROR(__xludf.DUMMYFUNCTION("""COMPUTED_VALUE"""),0.0)</f>
        <v>0</v>
      </c>
      <c r="U68" s="3">
        <f>IFERROR(__xludf.DUMMYFUNCTION("""COMPUTED_VALUE"""),0.0)</f>
        <v>0</v>
      </c>
      <c r="V68" s="3">
        <f>IFERROR(__xludf.DUMMYFUNCTION("""COMPUTED_VALUE"""),0.0)</f>
        <v>0</v>
      </c>
      <c r="W68" s="3">
        <f>IFERROR(__xludf.DUMMYFUNCTION("""COMPUTED_VALUE"""),0.0)</f>
        <v>0</v>
      </c>
      <c r="X68" s="3">
        <f>IFERROR(__xludf.DUMMYFUNCTION("""COMPUTED_VALUE"""),1.0)</f>
        <v>1</v>
      </c>
      <c r="Y68" s="3">
        <f>IFERROR(__xludf.DUMMYFUNCTION("""COMPUTED_VALUE"""),1.0)</f>
        <v>1</v>
      </c>
      <c r="Z68" s="3">
        <f>IFERROR(__xludf.DUMMYFUNCTION("""COMPUTED_VALUE"""),1.0)</f>
        <v>1</v>
      </c>
      <c r="AA68" s="3">
        <f>IFERROR(__xludf.DUMMYFUNCTION("""COMPUTED_VALUE"""),1.0)</f>
        <v>1</v>
      </c>
      <c r="AB68" s="3">
        <f>IFERROR(__xludf.DUMMYFUNCTION("""COMPUTED_VALUE"""),1.0)</f>
        <v>1</v>
      </c>
      <c r="AC68" s="3">
        <f>IFERROR(__xludf.DUMMYFUNCTION("""COMPUTED_VALUE"""),1.0)</f>
        <v>1</v>
      </c>
      <c r="AD68" s="3">
        <f>IFERROR(__xludf.DUMMYFUNCTION("""COMPUTED_VALUE"""),1.0)</f>
        <v>1</v>
      </c>
      <c r="AE68" s="3">
        <f>IFERROR(__xludf.DUMMYFUNCTION("""COMPUTED_VALUE"""),1.0)</f>
        <v>1</v>
      </c>
      <c r="AF68" s="3">
        <f>IFERROR(__xludf.DUMMYFUNCTION("""COMPUTED_VALUE"""),1.0)</f>
        <v>1</v>
      </c>
      <c r="AG68" s="3">
        <f>IFERROR(__xludf.DUMMYFUNCTION("""COMPUTED_VALUE"""),1.0)</f>
        <v>1</v>
      </c>
      <c r="AH68" s="3">
        <f>IFERROR(__xludf.DUMMYFUNCTION("""COMPUTED_VALUE"""),1.0)</f>
        <v>1</v>
      </c>
      <c r="AI68" s="3">
        <f>IFERROR(__xludf.DUMMYFUNCTION("""COMPUTED_VALUE"""),1.0)</f>
        <v>1</v>
      </c>
      <c r="AJ68" s="3">
        <f>IFERROR(__xludf.DUMMYFUNCTION("""COMPUTED_VALUE"""),1.0)</f>
        <v>1</v>
      </c>
      <c r="AK68" s="3">
        <f>IFERROR(__xludf.DUMMYFUNCTION("""COMPUTED_VALUE"""),1.0)</f>
        <v>1</v>
      </c>
      <c r="AL68" s="3">
        <f>IFERROR(__xludf.DUMMYFUNCTION("""COMPUTED_VALUE"""),1.0)</f>
        <v>1</v>
      </c>
      <c r="AM68" s="3">
        <f>IFERROR(__xludf.DUMMYFUNCTION("""COMPUTED_VALUE"""),1.0)</f>
        <v>1</v>
      </c>
      <c r="AN68" s="3">
        <f>IFERROR(__xludf.DUMMYFUNCTION("""COMPUTED_VALUE"""),1.0)</f>
        <v>1</v>
      </c>
      <c r="AO68" s="3">
        <f>IFERROR(__xludf.DUMMYFUNCTION("""COMPUTED_VALUE"""),1.0)</f>
        <v>1</v>
      </c>
      <c r="AP68" s="3">
        <f>IFERROR(__xludf.DUMMYFUNCTION("""COMPUTED_VALUE"""),1.0)</f>
        <v>1</v>
      </c>
      <c r="AQ68" s="3">
        <f>IFERROR(__xludf.DUMMYFUNCTION("""COMPUTED_VALUE"""),1.0)</f>
        <v>1</v>
      </c>
      <c r="AR68" s="3">
        <f>IFERROR(__xludf.DUMMYFUNCTION("""COMPUTED_VALUE"""),1.0)</f>
        <v>1</v>
      </c>
      <c r="AS68" s="3">
        <f>IFERROR(__xludf.DUMMYFUNCTION("""COMPUTED_VALUE"""),1.0)</f>
        <v>1</v>
      </c>
      <c r="AT68" s="3">
        <f>IFERROR(__xludf.DUMMYFUNCTION("""COMPUTED_VALUE"""),1.0)</f>
        <v>1</v>
      </c>
      <c r="AU68" s="3">
        <f>IFERROR(__xludf.DUMMYFUNCTION("""COMPUTED_VALUE"""),1.0)</f>
        <v>1</v>
      </c>
      <c r="AV68" s="3">
        <f>IFERROR(__xludf.DUMMYFUNCTION("""COMPUTED_VALUE"""),1.0)</f>
        <v>1</v>
      </c>
      <c r="AW68" s="3">
        <f>IFERROR(__xludf.DUMMYFUNCTION("""COMPUTED_VALUE"""),1.0)</f>
        <v>1</v>
      </c>
      <c r="AX68" s="3">
        <f>IFERROR(__xludf.DUMMYFUNCTION("""COMPUTED_VALUE"""),1.0)</f>
        <v>1</v>
      </c>
      <c r="AY68" s="3">
        <f>IFERROR(__xludf.DUMMYFUNCTION("""COMPUTED_VALUE"""),1.0)</f>
        <v>1</v>
      </c>
      <c r="AZ68" s="3">
        <f>IFERROR(__xludf.DUMMYFUNCTION("""COMPUTED_VALUE"""),1.0)</f>
        <v>1</v>
      </c>
      <c r="BA68" s="3">
        <f>IFERROR(__xludf.DUMMYFUNCTION("""COMPUTED_VALUE"""),1.0)</f>
        <v>1</v>
      </c>
      <c r="BB68" s="3">
        <f>IFERROR(__xludf.DUMMYFUNCTION("""COMPUTED_VALUE"""),1.0)</f>
        <v>1</v>
      </c>
      <c r="BC68" s="3">
        <f>IFERROR(__xludf.DUMMYFUNCTION("""COMPUTED_VALUE"""),1.0)</f>
        <v>1</v>
      </c>
      <c r="BD68" s="3">
        <f>IFERROR(__xludf.DUMMYFUNCTION("""COMPUTED_VALUE"""),1.0)</f>
        <v>1</v>
      </c>
      <c r="BE68" s="3">
        <f>IFERROR(__xludf.DUMMYFUNCTION("""COMPUTED_VALUE"""),1.0)</f>
        <v>1</v>
      </c>
      <c r="BF68" s="3">
        <f>IFERROR(__xludf.DUMMYFUNCTION("""COMPUTED_VALUE"""),1.0)</f>
        <v>1</v>
      </c>
      <c r="BG68" s="3">
        <f>IFERROR(__xludf.DUMMYFUNCTION("""COMPUTED_VALUE"""),1.0)</f>
        <v>1</v>
      </c>
      <c r="BH68" s="3">
        <f>IFERROR(__xludf.DUMMYFUNCTION("""COMPUTED_VALUE"""),1.0)</f>
        <v>1</v>
      </c>
      <c r="BI68" s="3">
        <f>IFERROR(__xludf.DUMMYFUNCTION("""COMPUTED_VALUE"""),1.0)</f>
        <v>1</v>
      </c>
      <c r="BJ68" s="3">
        <f>IFERROR(__xludf.DUMMYFUNCTION("""COMPUTED_VALUE"""),1.0)</f>
        <v>1</v>
      </c>
      <c r="BK68" s="3">
        <f>IFERROR(__xludf.DUMMYFUNCTION("""COMPUTED_VALUE"""),1.0)</f>
        <v>1</v>
      </c>
      <c r="BL68" s="3">
        <f>IFERROR(__xludf.DUMMYFUNCTION("""COMPUTED_VALUE"""),1.0)</f>
        <v>1</v>
      </c>
      <c r="BM68" s="3">
        <f>IFERROR(__xludf.DUMMYFUNCTION("""COMPUTED_VALUE"""),1.0)</f>
        <v>1</v>
      </c>
      <c r="BN68" s="3">
        <f>IFERROR(__xludf.DUMMYFUNCTION("""COMPUTED_VALUE"""),1.0)</f>
        <v>1</v>
      </c>
      <c r="BO68" s="3">
        <f>IFERROR(__xludf.DUMMYFUNCTION("""COMPUTED_VALUE"""),1.0)</f>
        <v>1</v>
      </c>
      <c r="BP68" s="3">
        <f>IFERROR(__xludf.DUMMYFUNCTION("""COMPUTED_VALUE"""),1.0)</f>
        <v>1</v>
      </c>
      <c r="BQ68" s="3">
        <f>IFERROR(__xludf.DUMMYFUNCTION("""COMPUTED_VALUE"""),1.0)</f>
        <v>1</v>
      </c>
      <c r="BR68" s="3">
        <f>IFERROR(__xludf.DUMMYFUNCTION("""COMPUTED_VALUE"""),1.0)</f>
        <v>1</v>
      </c>
      <c r="BS68" s="3">
        <f>IFERROR(__xludf.DUMMYFUNCTION("""COMPUTED_VALUE"""),1.0)</f>
        <v>1</v>
      </c>
      <c r="BT68" s="3">
        <f>IFERROR(__xludf.DUMMYFUNCTION("""COMPUTED_VALUE"""),1.0)</f>
        <v>1</v>
      </c>
      <c r="BU68" s="3">
        <f>IFERROR(__xludf.DUMMYFUNCTION("""COMPUTED_VALUE"""),1.0)</f>
        <v>1</v>
      </c>
      <c r="BV68" s="3">
        <f>IFERROR(__xludf.DUMMYFUNCTION("""COMPUTED_VALUE"""),1.0)</f>
        <v>1</v>
      </c>
      <c r="BW68" s="3">
        <f>IFERROR(__xludf.DUMMYFUNCTION("""COMPUTED_VALUE"""),1.0)</f>
        <v>1</v>
      </c>
      <c r="BX68" s="3">
        <f>IFERROR(__xludf.DUMMYFUNCTION("""COMPUTED_VALUE"""),1.0)</f>
        <v>1</v>
      </c>
      <c r="BY68" s="3">
        <f>IFERROR(__xludf.DUMMYFUNCTION("""COMPUTED_VALUE"""),1.0)</f>
        <v>1</v>
      </c>
      <c r="BZ68" s="3">
        <f>IFERROR(__xludf.DUMMYFUNCTION("""COMPUTED_VALUE"""),1.0)</f>
        <v>1</v>
      </c>
      <c r="CA68" s="3">
        <f>IFERROR(__xludf.DUMMYFUNCTION("""COMPUTED_VALUE"""),1.0)</f>
        <v>1</v>
      </c>
      <c r="CB68" s="3">
        <f>IFERROR(__xludf.DUMMYFUNCTION("""COMPUTED_VALUE"""),1.0)</f>
        <v>1</v>
      </c>
    </row>
    <row r="69">
      <c r="A69" s="3" t="str">
        <f>IFERROR(__xludf.DUMMYFUNCTION("""COMPUTED_VALUE"""),"Jilin")</f>
        <v>Jilin</v>
      </c>
      <c r="B69" s="3" t="str">
        <f>IFERROR(__xludf.DUMMYFUNCTION("""COMPUTED_VALUE"""),"China")</f>
        <v>China</v>
      </c>
      <c r="C69" s="3">
        <f>IFERROR(__xludf.DUMMYFUNCTION("""COMPUTED_VALUE"""),43.6661)</f>
        <v>43.6661</v>
      </c>
      <c r="D69" s="3">
        <f>IFERROR(__xludf.DUMMYFUNCTION("""COMPUTED_VALUE"""),126.1923)</f>
        <v>126.1923</v>
      </c>
      <c r="E69" s="3">
        <f>IFERROR(__xludf.DUMMYFUNCTION("""COMPUTED_VALUE"""),0.0)</f>
        <v>0</v>
      </c>
      <c r="F69" s="3">
        <f>IFERROR(__xludf.DUMMYFUNCTION("""COMPUTED_VALUE"""),0.0)</f>
        <v>0</v>
      </c>
      <c r="G69" s="3">
        <f>IFERROR(__xludf.DUMMYFUNCTION("""COMPUTED_VALUE"""),0.0)</f>
        <v>0</v>
      </c>
      <c r="H69" s="3">
        <f>IFERROR(__xludf.DUMMYFUNCTION("""COMPUTED_VALUE"""),0.0)</f>
        <v>0</v>
      </c>
      <c r="I69" s="3">
        <f>IFERROR(__xludf.DUMMYFUNCTION("""COMPUTED_VALUE"""),0.0)</f>
        <v>0</v>
      </c>
      <c r="J69" s="3">
        <f>IFERROR(__xludf.DUMMYFUNCTION("""COMPUTED_VALUE"""),0.0)</f>
        <v>0</v>
      </c>
      <c r="K69" s="3">
        <f>IFERROR(__xludf.DUMMYFUNCTION("""COMPUTED_VALUE"""),0.0)</f>
        <v>0</v>
      </c>
      <c r="L69" s="3">
        <f>IFERROR(__xludf.DUMMYFUNCTION("""COMPUTED_VALUE"""),0.0)</f>
        <v>0</v>
      </c>
      <c r="M69" s="3">
        <f>IFERROR(__xludf.DUMMYFUNCTION("""COMPUTED_VALUE"""),0.0)</f>
        <v>0</v>
      </c>
      <c r="N69" s="3">
        <f>IFERROR(__xludf.DUMMYFUNCTION("""COMPUTED_VALUE"""),0.0)</f>
        <v>0</v>
      </c>
      <c r="O69" s="3">
        <f>IFERROR(__xludf.DUMMYFUNCTION("""COMPUTED_VALUE"""),0.0)</f>
        <v>0</v>
      </c>
      <c r="P69" s="3">
        <f>IFERROR(__xludf.DUMMYFUNCTION("""COMPUTED_VALUE"""),0.0)</f>
        <v>0</v>
      </c>
      <c r="Q69" s="3">
        <f>IFERROR(__xludf.DUMMYFUNCTION("""COMPUTED_VALUE"""),0.0)</f>
        <v>0</v>
      </c>
      <c r="R69" s="3">
        <f>IFERROR(__xludf.DUMMYFUNCTION("""COMPUTED_VALUE"""),0.0)</f>
        <v>0</v>
      </c>
      <c r="S69" s="3">
        <f>IFERROR(__xludf.DUMMYFUNCTION("""COMPUTED_VALUE"""),0.0)</f>
        <v>0</v>
      </c>
      <c r="T69" s="3">
        <f>IFERROR(__xludf.DUMMYFUNCTION("""COMPUTED_VALUE"""),0.0)</f>
        <v>0</v>
      </c>
      <c r="U69" s="3">
        <f>IFERROR(__xludf.DUMMYFUNCTION("""COMPUTED_VALUE"""),1.0)</f>
        <v>1</v>
      </c>
      <c r="V69" s="3">
        <f>IFERROR(__xludf.DUMMYFUNCTION("""COMPUTED_VALUE"""),1.0)</f>
        <v>1</v>
      </c>
      <c r="W69" s="3">
        <f>IFERROR(__xludf.DUMMYFUNCTION("""COMPUTED_VALUE"""),1.0)</f>
        <v>1</v>
      </c>
      <c r="X69" s="3">
        <f>IFERROR(__xludf.DUMMYFUNCTION("""COMPUTED_VALUE"""),1.0)</f>
        <v>1</v>
      </c>
      <c r="Y69" s="3">
        <f>IFERROR(__xludf.DUMMYFUNCTION("""COMPUTED_VALUE"""),1.0)</f>
        <v>1</v>
      </c>
      <c r="Z69" s="3">
        <f>IFERROR(__xludf.DUMMYFUNCTION("""COMPUTED_VALUE"""),1.0)</f>
        <v>1</v>
      </c>
      <c r="AA69" s="3">
        <f>IFERROR(__xludf.DUMMYFUNCTION("""COMPUTED_VALUE"""),1.0)</f>
        <v>1</v>
      </c>
      <c r="AB69" s="3">
        <f>IFERROR(__xludf.DUMMYFUNCTION("""COMPUTED_VALUE"""),1.0)</f>
        <v>1</v>
      </c>
      <c r="AC69" s="3">
        <f>IFERROR(__xludf.DUMMYFUNCTION("""COMPUTED_VALUE"""),1.0)</f>
        <v>1</v>
      </c>
      <c r="AD69" s="3">
        <f>IFERROR(__xludf.DUMMYFUNCTION("""COMPUTED_VALUE"""),1.0)</f>
        <v>1</v>
      </c>
      <c r="AE69" s="3">
        <f>IFERROR(__xludf.DUMMYFUNCTION("""COMPUTED_VALUE"""),1.0)</f>
        <v>1</v>
      </c>
      <c r="AF69" s="3">
        <f>IFERROR(__xludf.DUMMYFUNCTION("""COMPUTED_VALUE"""),1.0)</f>
        <v>1</v>
      </c>
      <c r="AG69" s="3">
        <f>IFERROR(__xludf.DUMMYFUNCTION("""COMPUTED_VALUE"""),1.0)</f>
        <v>1</v>
      </c>
      <c r="AH69" s="3">
        <f>IFERROR(__xludf.DUMMYFUNCTION("""COMPUTED_VALUE"""),1.0)</f>
        <v>1</v>
      </c>
      <c r="AI69" s="3">
        <f>IFERROR(__xludf.DUMMYFUNCTION("""COMPUTED_VALUE"""),1.0)</f>
        <v>1</v>
      </c>
      <c r="AJ69" s="3">
        <f>IFERROR(__xludf.DUMMYFUNCTION("""COMPUTED_VALUE"""),1.0)</f>
        <v>1</v>
      </c>
      <c r="AK69" s="3">
        <f>IFERROR(__xludf.DUMMYFUNCTION("""COMPUTED_VALUE"""),1.0)</f>
        <v>1</v>
      </c>
      <c r="AL69" s="3">
        <f>IFERROR(__xludf.DUMMYFUNCTION("""COMPUTED_VALUE"""),1.0)</f>
        <v>1</v>
      </c>
      <c r="AM69" s="3">
        <f>IFERROR(__xludf.DUMMYFUNCTION("""COMPUTED_VALUE"""),1.0)</f>
        <v>1</v>
      </c>
      <c r="AN69" s="3">
        <f>IFERROR(__xludf.DUMMYFUNCTION("""COMPUTED_VALUE"""),1.0)</f>
        <v>1</v>
      </c>
      <c r="AO69" s="3">
        <f>IFERROR(__xludf.DUMMYFUNCTION("""COMPUTED_VALUE"""),1.0)</f>
        <v>1</v>
      </c>
      <c r="AP69" s="3">
        <f>IFERROR(__xludf.DUMMYFUNCTION("""COMPUTED_VALUE"""),1.0)</f>
        <v>1</v>
      </c>
      <c r="AQ69" s="3">
        <f>IFERROR(__xludf.DUMMYFUNCTION("""COMPUTED_VALUE"""),1.0)</f>
        <v>1</v>
      </c>
      <c r="AR69" s="3">
        <f>IFERROR(__xludf.DUMMYFUNCTION("""COMPUTED_VALUE"""),1.0)</f>
        <v>1</v>
      </c>
      <c r="AS69" s="3">
        <f>IFERROR(__xludf.DUMMYFUNCTION("""COMPUTED_VALUE"""),1.0)</f>
        <v>1</v>
      </c>
      <c r="AT69" s="3">
        <f>IFERROR(__xludf.DUMMYFUNCTION("""COMPUTED_VALUE"""),1.0)</f>
        <v>1</v>
      </c>
      <c r="AU69" s="3">
        <f>IFERROR(__xludf.DUMMYFUNCTION("""COMPUTED_VALUE"""),1.0)</f>
        <v>1</v>
      </c>
      <c r="AV69" s="3">
        <f>IFERROR(__xludf.DUMMYFUNCTION("""COMPUTED_VALUE"""),1.0)</f>
        <v>1</v>
      </c>
      <c r="AW69" s="3">
        <f>IFERROR(__xludf.DUMMYFUNCTION("""COMPUTED_VALUE"""),1.0)</f>
        <v>1</v>
      </c>
      <c r="AX69" s="3">
        <f>IFERROR(__xludf.DUMMYFUNCTION("""COMPUTED_VALUE"""),1.0)</f>
        <v>1</v>
      </c>
      <c r="AY69" s="3">
        <f>IFERROR(__xludf.DUMMYFUNCTION("""COMPUTED_VALUE"""),1.0)</f>
        <v>1</v>
      </c>
      <c r="AZ69" s="3">
        <f>IFERROR(__xludf.DUMMYFUNCTION("""COMPUTED_VALUE"""),1.0)</f>
        <v>1</v>
      </c>
      <c r="BA69" s="3">
        <f>IFERROR(__xludf.DUMMYFUNCTION("""COMPUTED_VALUE"""),1.0)</f>
        <v>1</v>
      </c>
      <c r="BB69" s="3">
        <f>IFERROR(__xludf.DUMMYFUNCTION("""COMPUTED_VALUE"""),1.0)</f>
        <v>1</v>
      </c>
      <c r="BC69" s="3">
        <f>IFERROR(__xludf.DUMMYFUNCTION("""COMPUTED_VALUE"""),1.0)</f>
        <v>1</v>
      </c>
      <c r="BD69" s="3">
        <f>IFERROR(__xludf.DUMMYFUNCTION("""COMPUTED_VALUE"""),1.0)</f>
        <v>1</v>
      </c>
      <c r="BE69" s="3">
        <f>IFERROR(__xludf.DUMMYFUNCTION("""COMPUTED_VALUE"""),1.0)</f>
        <v>1</v>
      </c>
      <c r="BF69" s="3">
        <f>IFERROR(__xludf.DUMMYFUNCTION("""COMPUTED_VALUE"""),1.0)</f>
        <v>1</v>
      </c>
      <c r="BG69" s="3">
        <f>IFERROR(__xludf.DUMMYFUNCTION("""COMPUTED_VALUE"""),1.0)</f>
        <v>1</v>
      </c>
      <c r="BH69" s="3">
        <f>IFERROR(__xludf.DUMMYFUNCTION("""COMPUTED_VALUE"""),1.0)</f>
        <v>1</v>
      </c>
      <c r="BI69" s="3">
        <f>IFERROR(__xludf.DUMMYFUNCTION("""COMPUTED_VALUE"""),1.0)</f>
        <v>1</v>
      </c>
      <c r="BJ69" s="3">
        <f>IFERROR(__xludf.DUMMYFUNCTION("""COMPUTED_VALUE"""),1.0)</f>
        <v>1</v>
      </c>
      <c r="BK69" s="3">
        <f>IFERROR(__xludf.DUMMYFUNCTION("""COMPUTED_VALUE"""),1.0)</f>
        <v>1</v>
      </c>
      <c r="BL69" s="3">
        <f>IFERROR(__xludf.DUMMYFUNCTION("""COMPUTED_VALUE"""),1.0)</f>
        <v>1</v>
      </c>
      <c r="BM69" s="3">
        <f>IFERROR(__xludf.DUMMYFUNCTION("""COMPUTED_VALUE"""),1.0)</f>
        <v>1</v>
      </c>
      <c r="BN69" s="3">
        <f>IFERROR(__xludf.DUMMYFUNCTION("""COMPUTED_VALUE"""),1.0)</f>
        <v>1</v>
      </c>
      <c r="BO69" s="3">
        <f>IFERROR(__xludf.DUMMYFUNCTION("""COMPUTED_VALUE"""),1.0)</f>
        <v>1</v>
      </c>
      <c r="BP69" s="3">
        <f>IFERROR(__xludf.DUMMYFUNCTION("""COMPUTED_VALUE"""),1.0)</f>
        <v>1</v>
      </c>
      <c r="BQ69" s="3">
        <f>IFERROR(__xludf.DUMMYFUNCTION("""COMPUTED_VALUE"""),1.0)</f>
        <v>1</v>
      </c>
      <c r="BR69" s="3">
        <f>IFERROR(__xludf.DUMMYFUNCTION("""COMPUTED_VALUE"""),1.0)</f>
        <v>1</v>
      </c>
      <c r="BS69" s="3">
        <f>IFERROR(__xludf.DUMMYFUNCTION("""COMPUTED_VALUE"""),1.0)</f>
        <v>1</v>
      </c>
      <c r="BT69" s="3">
        <f>IFERROR(__xludf.DUMMYFUNCTION("""COMPUTED_VALUE"""),1.0)</f>
        <v>1</v>
      </c>
      <c r="BU69" s="3">
        <f>IFERROR(__xludf.DUMMYFUNCTION("""COMPUTED_VALUE"""),1.0)</f>
        <v>1</v>
      </c>
      <c r="BV69" s="3">
        <f>IFERROR(__xludf.DUMMYFUNCTION("""COMPUTED_VALUE"""),1.0)</f>
        <v>1</v>
      </c>
      <c r="BW69" s="3">
        <f>IFERROR(__xludf.DUMMYFUNCTION("""COMPUTED_VALUE"""),1.0)</f>
        <v>1</v>
      </c>
      <c r="BX69" s="3">
        <f>IFERROR(__xludf.DUMMYFUNCTION("""COMPUTED_VALUE"""),1.0)</f>
        <v>1</v>
      </c>
      <c r="BY69" s="3">
        <f>IFERROR(__xludf.DUMMYFUNCTION("""COMPUTED_VALUE"""),1.0)</f>
        <v>1</v>
      </c>
      <c r="BZ69" s="3">
        <f>IFERROR(__xludf.DUMMYFUNCTION("""COMPUTED_VALUE"""),1.0)</f>
        <v>1</v>
      </c>
      <c r="CA69" s="3">
        <f>IFERROR(__xludf.DUMMYFUNCTION("""COMPUTED_VALUE"""),1.0)</f>
        <v>1</v>
      </c>
      <c r="CB69" s="3">
        <f>IFERROR(__xludf.DUMMYFUNCTION("""COMPUTED_VALUE"""),1.0)</f>
        <v>1</v>
      </c>
    </row>
    <row r="70">
      <c r="A70" s="3" t="str">
        <f>IFERROR(__xludf.DUMMYFUNCTION("""COMPUTED_VALUE"""),"Liaoning")</f>
        <v>Liaoning</v>
      </c>
      <c r="B70" s="3" t="str">
        <f>IFERROR(__xludf.DUMMYFUNCTION("""COMPUTED_VALUE"""),"China")</f>
        <v>China</v>
      </c>
      <c r="C70" s="3">
        <f>IFERROR(__xludf.DUMMYFUNCTION("""COMPUTED_VALUE"""),41.2956)</f>
        <v>41.2956</v>
      </c>
      <c r="D70" s="3">
        <f>IFERROR(__xludf.DUMMYFUNCTION("""COMPUTED_VALUE"""),122.6085)</f>
        <v>122.6085</v>
      </c>
      <c r="E70" s="3">
        <f>IFERROR(__xludf.DUMMYFUNCTION("""COMPUTED_VALUE"""),0.0)</f>
        <v>0</v>
      </c>
      <c r="F70" s="3">
        <f>IFERROR(__xludf.DUMMYFUNCTION("""COMPUTED_VALUE"""),0.0)</f>
        <v>0</v>
      </c>
      <c r="G70" s="3">
        <f>IFERROR(__xludf.DUMMYFUNCTION("""COMPUTED_VALUE"""),0.0)</f>
        <v>0</v>
      </c>
      <c r="H70" s="3">
        <f>IFERROR(__xludf.DUMMYFUNCTION("""COMPUTED_VALUE"""),0.0)</f>
        <v>0</v>
      </c>
      <c r="I70" s="3">
        <f>IFERROR(__xludf.DUMMYFUNCTION("""COMPUTED_VALUE"""),0.0)</f>
        <v>0</v>
      </c>
      <c r="J70" s="3">
        <f>IFERROR(__xludf.DUMMYFUNCTION("""COMPUTED_VALUE"""),0.0)</f>
        <v>0</v>
      </c>
      <c r="K70" s="3">
        <f>IFERROR(__xludf.DUMMYFUNCTION("""COMPUTED_VALUE"""),0.0)</f>
        <v>0</v>
      </c>
      <c r="L70" s="3">
        <f>IFERROR(__xludf.DUMMYFUNCTION("""COMPUTED_VALUE"""),0.0)</f>
        <v>0</v>
      </c>
      <c r="M70" s="3">
        <f>IFERROR(__xludf.DUMMYFUNCTION("""COMPUTED_VALUE"""),0.0)</f>
        <v>0</v>
      </c>
      <c r="N70" s="3">
        <f>IFERROR(__xludf.DUMMYFUNCTION("""COMPUTED_VALUE"""),0.0)</f>
        <v>0</v>
      </c>
      <c r="O70" s="3">
        <f>IFERROR(__xludf.DUMMYFUNCTION("""COMPUTED_VALUE"""),0.0)</f>
        <v>0</v>
      </c>
      <c r="P70" s="3">
        <f>IFERROR(__xludf.DUMMYFUNCTION("""COMPUTED_VALUE"""),0.0)</f>
        <v>0</v>
      </c>
      <c r="Q70" s="3">
        <f>IFERROR(__xludf.DUMMYFUNCTION("""COMPUTED_VALUE"""),0.0)</f>
        <v>0</v>
      </c>
      <c r="R70" s="3">
        <f>IFERROR(__xludf.DUMMYFUNCTION("""COMPUTED_VALUE"""),0.0)</f>
        <v>0</v>
      </c>
      <c r="S70" s="3">
        <f>IFERROR(__xludf.DUMMYFUNCTION("""COMPUTED_VALUE"""),0.0)</f>
        <v>0</v>
      </c>
      <c r="T70" s="3">
        <f>IFERROR(__xludf.DUMMYFUNCTION("""COMPUTED_VALUE"""),0.0)</f>
        <v>0</v>
      </c>
      <c r="U70" s="3">
        <f>IFERROR(__xludf.DUMMYFUNCTION("""COMPUTED_VALUE"""),0.0)</f>
        <v>0</v>
      </c>
      <c r="V70" s="3">
        <f>IFERROR(__xludf.DUMMYFUNCTION("""COMPUTED_VALUE"""),0.0)</f>
        <v>0</v>
      </c>
      <c r="W70" s="3">
        <f>IFERROR(__xludf.DUMMYFUNCTION("""COMPUTED_VALUE"""),0.0)</f>
        <v>0</v>
      </c>
      <c r="X70" s="3">
        <f>IFERROR(__xludf.DUMMYFUNCTION("""COMPUTED_VALUE"""),0.0)</f>
        <v>0</v>
      </c>
      <c r="Y70" s="3">
        <f>IFERROR(__xludf.DUMMYFUNCTION("""COMPUTED_VALUE"""),0.0)</f>
        <v>0</v>
      </c>
      <c r="Z70" s="3">
        <f>IFERROR(__xludf.DUMMYFUNCTION("""COMPUTED_VALUE"""),1.0)</f>
        <v>1</v>
      </c>
      <c r="AA70" s="3">
        <f>IFERROR(__xludf.DUMMYFUNCTION("""COMPUTED_VALUE"""),1.0)</f>
        <v>1</v>
      </c>
      <c r="AB70" s="3">
        <f>IFERROR(__xludf.DUMMYFUNCTION("""COMPUTED_VALUE"""),1.0)</f>
        <v>1</v>
      </c>
      <c r="AC70" s="3">
        <f>IFERROR(__xludf.DUMMYFUNCTION("""COMPUTED_VALUE"""),1.0)</f>
        <v>1</v>
      </c>
      <c r="AD70" s="3">
        <f>IFERROR(__xludf.DUMMYFUNCTION("""COMPUTED_VALUE"""),1.0)</f>
        <v>1</v>
      </c>
      <c r="AE70" s="3">
        <f>IFERROR(__xludf.DUMMYFUNCTION("""COMPUTED_VALUE"""),1.0)</f>
        <v>1</v>
      </c>
      <c r="AF70" s="3">
        <f>IFERROR(__xludf.DUMMYFUNCTION("""COMPUTED_VALUE"""),1.0)</f>
        <v>1</v>
      </c>
      <c r="AG70" s="3">
        <f>IFERROR(__xludf.DUMMYFUNCTION("""COMPUTED_VALUE"""),1.0)</f>
        <v>1</v>
      </c>
      <c r="AH70" s="3">
        <f>IFERROR(__xludf.DUMMYFUNCTION("""COMPUTED_VALUE"""),1.0)</f>
        <v>1</v>
      </c>
      <c r="AI70" s="3">
        <f>IFERROR(__xludf.DUMMYFUNCTION("""COMPUTED_VALUE"""),1.0)</f>
        <v>1</v>
      </c>
      <c r="AJ70" s="3">
        <f>IFERROR(__xludf.DUMMYFUNCTION("""COMPUTED_VALUE"""),1.0)</f>
        <v>1</v>
      </c>
      <c r="AK70" s="3">
        <f>IFERROR(__xludf.DUMMYFUNCTION("""COMPUTED_VALUE"""),1.0)</f>
        <v>1</v>
      </c>
      <c r="AL70" s="3">
        <f>IFERROR(__xludf.DUMMYFUNCTION("""COMPUTED_VALUE"""),1.0)</f>
        <v>1</v>
      </c>
      <c r="AM70" s="3">
        <f>IFERROR(__xludf.DUMMYFUNCTION("""COMPUTED_VALUE"""),1.0)</f>
        <v>1</v>
      </c>
      <c r="AN70" s="3">
        <f>IFERROR(__xludf.DUMMYFUNCTION("""COMPUTED_VALUE"""),1.0)</f>
        <v>1</v>
      </c>
      <c r="AO70" s="3">
        <f>IFERROR(__xludf.DUMMYFUNCTION("""COMPUTED_VALUE"""),1.0)</f>
        <v>1</v>
      </c>
      <c r="AP70" s="3">
        <f>IFERROR(__xludf.DUMMYFUNCTION("""COMPUTED_VALUE"""),1.0)</f>
        <v>1</v>
      </c>
      <c r="AQ70" s="3">
        <f>IFERROR(__xludf.DUMMYFUNCTION("""COMPUTED_VALUE"""),1.0)</f>
        <v>1</v>
      </c>
      <c r="AR70" s="3">
        <f>IFERROR(__xludf.DUMMYFUNCTION("""COMPUTED_VALUE"""),1.0)</f>
        <v>1</v>
      </c>
      <c r="AS70" s="3">
        <f>IFERROR(__xludf.DUMMYFUNCTION("""COMPUTED_VALUE"""),1.0)</f>
        <v>1</v>
      </c>
      <c r="AT70" s="3">
        <f>IFERROR(__xludf.DUMMYFUNCTION("""COMPUTED_VALUE"""),1.0)</f>
        <v>1</v>
      </c>
      <c r="AU70" s="3">
        <f>IFERROR(__xludf.DUMMYFUNCTION("""COMPUTED_VALUE"""),1.0)</f>
        <v>1</v>
      </c>
      <c r="AV70" s="3">
        <f>IFERROR(__xludf.DUMMYFUNCTION("""COMPUTED_VALUE"""),1.0)</f>
        <v>1</v>
      </c>
      <c r="AW70" s="3">
        <f>IFERROR(__xludf.DUMMYFUNCTION("""COMPUTED_VALUE"""),1.0)</f>
        <v>1</v>
      </c>
      <c r="AX70" s="3">
        <f>IFERROR(__xludf.DUMMYFUNCTION("""COMPUTED_VALUE"""),1.0)</f>
        <v>1</v>
      </c>
      <c r="AY70" s="3">
        <f>IFERROR(__xludf.DUMMYFUNCTION("""COMPUTED_VALUE"""),1.0)</f>
        <v>1</v>
      </c>
      <c r="AZ70" s="3">
        <f>IFERROR(__xludf.DUMMYFUNCTION("""COMPUTED_VALUE"""),1.0)</f>
        <v>1</v>
      </c>
      <c r="BA70" s="3">
        <f>IFERROR(__xludf.DUMMYFUNCTION("""COMPUTED_VALUE"""),1.0)</f>
        <v>1</v>
      </c>
      <c r="BB70" s="3">
        <f>IFERROR(__xludf.DUMMYFUNCTION("""COMPUTED_VALUE"""),1.0)</f>
        <v>1</v>
      </c>
      <c r="BC70" s="3">
        <f>IFERROR(__xludf.DUMMYFUNCTION("""COMPUTED_VALUE"""),1.0)</f>
        <v>1</v>
      </c>
      <c r="BD70" s="3">
        <f>IFERROR(__xludf.DUMMYFUNCTION("""COMPUTED_VALUE"""),1.0)</f>
        <v>1</v>
      </c>
      <c r="BE70" s="3">
        <f>IFERROR(__xludf.DUMMYFUNCTION("""COMPUTED_VALUE"""),1.0)</f>
        <v>1</v>
      </c>
      <c r="BF70" s="3">
        <f>IFERROR(__xludf.DUMMYFUNCTION("""COMPUTED_VALUE"""),1.0)</f>
        <v>1</v>
      </c>
      <c r="BG70" s="3">
        <f>IFERROR(__xludf.DUMMYFUNCTION("""COMPUTED_VALUE"""),1.0)</f>
        <v>1</v>
      </c>
      <c r="BH70" s="3">
        <f>IFERROR(__xludf.DUMMYFUNCTION("""COMPUTED_VALUE"""),1.0)</f>
        <v>1</v>
      </c>
      <c r="BI70" s="3">
        <f>IFERROR(__xludf.DUMMYFUNCTION("""COMPUTED_VALUE"""),1.0)</f>
        <v>1</v>
      </c>
      <c r="BJ70" s="3">
        <f>IFERROR(__xludf.DUMMYFUNCTION("""COMPUTED_VALUE"""),1.0)</f>
        <v>1</v>
      </c>
      <c r="BK70" s="3">
        <f>IFERROR(__xludf.DUMMYFUNCTION("""COMPUTED_VALUE"""),2.0)</f>
        <v>2</v>
      </c>
      <c r="BL70" s="3">
        <f>IFERROR(__xludf.DUMMYFUNCTION("""COMPUTED_VALUE"""),2.0)</f>
        <v>2</v>
      </c>
      <c r="BM70" s="3">
        <f>IFERROR(__xludf.DUMMYFUNCTION("""COMPUTED_VALUE"""),2.0)</f>
        <v>2</v>
      </c>
      <c r="BN70" s="3">
        <f>IFERROR(__xludf.DUMMYFUNCTION("""COMPUTED_VALUE"""),2.0)</f>
        <v>2</v>
      </c>
      <c r="BO70" s="3">
        <f>IFERROR(__xludf.DUMMYFUNCTION("""COMPUTED_VALUE"""),2.0)</f>
        <v>2</v>
      </c>
      <c r="BP70" s="3">
        <f>IFERROR(__xludf.DUMMYFUNCTION("""COMPUTED_VALUE"""),2.0)</f>
        <v>2</v>
      </c>
      <c r="BQ70" s="3">
        <f>IFERROR(__xludf.DUMMYFUNCTION("""COMPUTED_VALUE"""),2.0)</f>
        <v>2</v>
      </c>
      <c r="BR70" s="3">
        <f>IFERROR(__xludf.DUMMYFUNCTION("""COMPUTED_VALUE"""),2.0)</f>
        <v>2</v>
      </c>
      <c r="BS70" s="3">
        <f>IFERROR(__xludf.DUMMYFUNCTION("""COMPUTED_VALUE"""),2.0)</f>
        <v>2</v>
      </c>
      <c r="BT70" s="3">
        <f>IFERROR(__xludf.DUMMYFUNCTION("""COMPUTED_VALUE"""),2.0)</f>
        <v>2</v>
      </c>
      <c r="BU70" s="3">
        <f>IFERROR(__xludf.DUMMYFUNCTION("""COMPUTED_VALUE"""),2.0)</f>
        <v>2</v>
      </c>
      <c r="BV70" s="3">
        <f>IFERROR(__xludf.DUMMYFUNCTION("""COMPUTED_VALUE"""),2.0)</f>
        <v>2</v>
      </c>
      <c r="BW70" s="3">
        <f>IFERROR(__xludf.DUMMYFUNCTION("""COMPUTED_VALUE"""),2.0)</f>
        <v>2</v>
      </c>
      <c r="BX70" s="3">
        <f>IFERROR(__xludf.DUMMYFUNCTION("""COMPUTED_VALUE"""),2.0)</f>
        <v>2</v>
      </c>
      <c r="BY70" s="3">
        <f>IFERROR(__xludf.DUMMYFUNCTION("""COMPUTED_VALUE"""),2.0)</f>
        <v>2</v>
      </c>
      <c r="BZ70" s="3">
        <f>IFERROR(__xludf.DUMMYFUNCTION("""COMPUTED_VALUE"""),2.0)</f>
        <v>2</v>
      </c>
      <c r="CA70" s="3">
        <f>IFERROR(__xludf.DUMMYFUNCTION("""COMPUTED_VALUE"""),2.0)</f>
        <v>2</v>
      </c>
      <c r="CB70" s="3">
        <f>IFERROR(__xludf.DUMMYFUNCTION("""COMPUTED_VALUE"""),2.0)</f>
        <v>2</v>
      </c>
    </row>
    <row r="71">
      <c r="A71" s="3" t="str">
        <f>IFERROR(__xludf.DUMMYFUNCTION("""COMPUTED_VALUE"""),"Macau")</f>
        <v>Macau</v>
      </c>
      <c r="B71" s="3" t="str">
        <f>IFERROR(__xludf.DUMMYFUNCTION("""COMPUTED_VALUE"""),"China")</f>
        <v>China</v>
      </c>
      <c r="C71" s="3">
        <f>IFERROR(__xludf.DUMMYFUNCTION("""COMPUTED_VALUE"""),22.1667)</f>
        <v>22.1667</v>
      </c>
      <c r="D71" s="3">
        <f>IFERROR(__xludf.DUMMYFUNCTION("""COMPUTED_VALUE"""),113.55)</f>
        <v>113.55</v>
      </c>
      <c r="E71" s="3">
        <f>IFERROR(__xludf.DUMMYFUNCTION("""COMPUTED_VALUE"""),0.0)</f>
        <v>0</v>
      </c>
      <c r="F71" s="3">
        <f>IFERROR(__xludf.DUMMYFUNCTION("""COMPUTED_VALUE"""),0.0)</f>
        <v>0</v>
      </c>
      <c r="G71" s="3">
        <f>IFERROR(__xludf.DUMMYFUNCTION("""COMPUTED_VALUE"""),0.0)</f>
        <v>0</v>
      </c>
      <c r="H71" s="3">
        <f>IFERROR(__xludf.DUMMYFUNCTION("""COMPUTED_VALUE"""),0.0)</f>
        <v>0</v>
      </c>
      <c r="I71" s="3">
        <f>IFERROR(__xludf.DUMMYFUNCTION("""COMPUTED_VALUE"""),0.0)</f>
        <v>0</v>
      </c>
      <c r="J71" s="3">
        <f>IFERROR(__xludf.DUMMYFUNCTION("""COMPUTED_VALUE"""),0.0)</f>
        <v>0</v>
      </c>
      <c r="K71" s="3">
        <f>IFERROR(__xludf.DUMMYFUNCTION("""COMPUTED_VALUE"""),0.0)</f>
        <v>0</v>
      </c>
      <c r="L71" s="3">
        <f>IFERROR(__xludf.DUMMYFUNCTION("""COMPUTED_VALUE"""),0.0)</f>
        <v>0</v>
      </c>
      <c r="M71" s="3">
        <f>IFERROR(__xludf.DUMMYFUNCTION("""COMPUTED_VALUE"""),0.0)</f>
        <v>0</v>
      </c>
      <c r="N71" s="3">
        <f>IFERROR(__xludf.DUMMYFUNCTION("""COMPUTED_VALUE"""),0.0)</f>
        <v>0</v>
      </c>
      <c r="O71" s="3">
        <f>IFERROR(__xludf.DUMMYFUNCTION("""COMPUTED_VALUE"""),0.0)</f>
        <v>0</v>
      </c>
      <c r="P71" s="3">
        <f>IFERROR(__xludf.DUMMYFUNCTION("""COMPUTED_VALUE"""),0.0)</f>
        <v>0</v>
      </c>
      <c r="Q71" s="3">
        <f>IFERROR(__xludf.DUMMYFUNCTION("""COMPUTED_VALUE"""),0.0)</f>
        <v>0</v>
      </c>
      <c r="R71" s="3">
        <f>IFERROR(__xludf.DUMMYFUNCTION("""COMPUTED_VALUE"""),0.0)</f>
        <v>0</v>
      </c>
      <c r="S71" s="3">
        <f>IFERROR(__xludf.DUMMYFUNCTION("""COMPUTED_VALUE"""),0.0)</f>
        <v>0</v>
      </c>
      <c r="T71" s="3">
        <f>IFERROR(__xludf.DUMMYFUNCTION("""COMPUTED_VALUE"""),0.0)</f>
        <v>0</v>
      </c>
      <c r="U71" s="3">
        <f>IFERROR(__xludf.DUMMYFUNCTION("""COMPUTED_VALUE"""),0.0)</f>
        <v>0</v>
      </c>
      <c r="V71" s="3">
        <f>IFERROR(__xludf.DUMMYFUNCTION("""COMPUTED_VALUE"""),0.0)</f>
        <v>0</v>
      </c>
      <c r="W71" s="3">
        <f>IFERROR(__xludf.DUMMYFUNCTION("""COMPUTED_VALUE"""),0.0)</f>
        <v>0</v>
      </c>
      <c r="X71" s="3">
        <f>IFERROR(__xludf.DUMMYFUNCTION("""COMPUTED_VALUE"""),0.0)</f>
        <v>0</v>
      </c>
      <c r="Y71" s="3">
        <f>IFERROR(__xludf.DUMMYFUNCTION("""COMPUTED_VALUE"""),0.0)</f>
        <v>0</v>
      </c>
      <c r="Z71" s="3">
        <f>IFERROR(__xludf.DUMMYFUNCTION("""COMPUTED_VALUE"""),0.0)</f>
        <v>0</v>
      </c>
      <c r="AA71" s="3">
        <f>IFERROR(__xludf.DUMMYFUNCTION("""COMPUTED_VALUE"""),0.0)</f>
        <v>0</v>
      </c>
      <c r="AB71" s="3">
        <f>IFERROR(__xludf.DUMMYFUNCTION("""COMPUTED_VALUE"""),0.0)</f>
        <v>0</v>
      </c>
      <c r="AC71" s="3">
        <f>IFERROR(__xludf.DUMMYFUNCTION("""COMPUTED_VALUE"""),0.0)</f>
        <v>0</v>
      </c>
      <c r="AD71" s="3">
        <f>IFERROR(__xludf.DUMMYFUNCTION("""COMPUTED_VALUE"""),0.0)</f>
        <v>0</v>
      </c>
      <c r="AE71" s="3">
        <f>IFERROR(__xludf.DUMMYFUNCTION("""COMPUTED_VALUE"""),0.0)</f>
        <v>0</v>
      </c>
      <c r="AF71" s="3">
        <f>IFERROR(__xludf.DUMMYFUNCTION("""COMPUTED_VALUE"""),0.0)</f>
        <v>0</v>
      </c>
      <c r="AG71" s="3">
        <f>IFERROR(__xludf.DUMMYFUNCTION("""COMPUTED_VALUE"""),0.0)</f>
        <v>0</v>
      </c>
      <c r="AH71" s="3">
        <f>IFERROR(__xludf.DUMMYFUNCTION("""COMPUTED_VALUE"""),0.0)</f>
        <v>0</v>
      </c>
      <c r="AI71" s="3">
        <f>IFERROR(__xludf.DUMMYFUNCTION("""COMPUTED_VALUE"""),0.0)</f>
        <v>0</v>
      </c>
      <c r="AJ71" s="3">
        <f>IFERROR(__xludf.DUMMYFUNCTION("""COMPUTED_VALUE"""),0.0)</f>
        <v>0</v>
      </c>
      <c r="AK71" s="3">
        <f>IFERROR(__xludf.DUMMYFUNCTION("""COMPUTED_VALUE"""),0.0)</f>
        <v>0</v>
      </c>
      <c r="AL71" s="3">
        <f>IFERROR(__xludf.DUMMYFUNCTION("""COMPUTED_VALUE"""),0.0)</f>
        <v>0</v>
      </c>
      <c r="AM71" s="3">
        <f>IFERROR(__xludf.DUMMYFUNCTION("""COMPUTED_VALUE"""),0.0)</f>
        <v>0</v>
      </c>
      <c r="AN71" s="3">
        <f>IFERROR(__xludf.DUMMYFUNCTION("""COMPUTED_VALUE"""),0.0)</f>
        <v>0</v>
      </c>
      <c r="AO71" s="3">
        <f>IFERROR(__xludf.DUMMYFUNCTION("""COMPUTED_VALUE"""),0.0)</f>
        <v>0</v>
      </c>
      <c r="AP71" s="3">
        <f>IFERROR(__xludf.DUMMYFUNCTION("""COMPUTED_VALUE"""),0.0)</f>
        <v>0</v>
      </c>
      <c r="AQ71" s="3">
        <f>IFERROR(__xludf.DUMMYFUNCTION("""COMPUTED_VALUE"""),0.0)</f>
        <v>0</v>
      </c>
      <c r="AR71" s="3">
        <f>IFERROR(__xludf.DUMMYFUNCTION("""COMPUTED_VALUE"""),0.0)</f>
        <v>0</v>
      </c>
      <c r="AS71" s="3">
        <f>IFERROR(__xludf.DUMMYFUNCTION("""COMPUTED_VALUE"""),0.0)</f>
        <v>0</v>
      </c>
      <c r="AT71" s="3">
        <f>IFERROR(__xludf.DUMMYFUNCTION("""COMPUTED_VALUE"""),0.0)</f>
        <v>0</v>
      </c>
      <c r="AU71" s="3">
        <f>IFERROR(__xludf.DUMMYFUNCTION("""COMPUTED_VALUE"""),0.0)</f>
        <v>0</v>
      </c>
      <c r="AV71" s="3">
        <f>IFERROR(__xludf.DUMMYFUNCTION("""COMPUTED_VALUE"""),0.0)</f>
        <v>0</v>
      </c>
      <c r="AW71" s="3">
        <f>IFERROR(__xludf.DUMMYFUNCTION("""COMPUTED_VALUE"""),0.0)</f>
        <v>0</v>
      </c>
      <c r="AX71" s="3">
        <f>IFERROR(__xludf.DUMMYFUNCTION("""COMPUTED_VALUE"""),0.0)</f>
        <v>0</v>
      </c>
      <c r="AY71" s="3">
        <f>IFERROR(__xludf.DUMMYFUNCTION("""COMPUTED_VALUE"""),0.0)</f>
        <v>0</v>
      </c>
      <c r="AZ71" s="3">
        <f>IFERROR(__xludf.DUMMYFUNCTION("""COMPUTED_VALUE"""),0.0)</f>
        <v>0</v>
      </c>
      <c r="BA71" s="3">
        <f>IFERROR(__xludf.DUMMYFUNCTION("""COMPUTED_VALUE"""),0.0)</f>
        <v>0</v>
      </c>
      <c r="BB71" s="3">
        <f>IFERROR(__xludf.DUMMYFUNCTION("""COMPUTED_VALUE"""),0.0)</f>
        <v>0</v>
      </c>
      <c r="BC71" s="3">
        <f>IFERROR(__xludf.DUMMYFUNCTION("""COMPUTED_VALUE"""),0.0)</f>
        <v>0</v>
      </c>
      <c r="BD71" s="3">
        <f>IFERROR(__xludf.DUMMYFUNCTION("""COMPUTED_VALUE"""),0.0)</f>
        <v>0</v>
      </c>
      <c r="BE71" s="3">
        <f>IFERROR(__xludf.DUMMYFUNCTION("""COMPUTED_VALUE"""),0.0)</f>
        <v>0</v>
      </c>
      <c r="BF71" s="3">
        <f>IFERROR(__xludf.DUMMYFUNCTION("""COMPUTED_VALUE"""),0.0)</f>
        <v>0</v>
      </c>
      <c r="BG71" s="3">
        <f>IFERROR(__xludf.DUMMYFUNCTION("""COMPUTED_VALUE"""),0.0)</f>
        <v>0</v>
      </c>
      <c r="BH71" s="3">
        <f>IFERROR(__xludf.DUMMYFUNCTION("""COMPUTED_VALUE"""),0.0)</f>
        <v>0</v>
      </c>
      <c r="BI71" s="3">
        <f>IFERROR(__xludf.DUMMYFUNCTION("""COMPUTED_VALUE"""),0.0)</f>
        <v>0</v>
      </c>
      <c r="BJ71" s="3">
        <f>IFERROR(__xludf.DUMMYFUNCTION("""COMPUTED_VALUE"""),0.0)</f>
        <v>0</v>
      </c>
      <c r="BK71" s="3">
        <f>IFERROR(__xludf.DUMMYFUNCTION("""COMPUTED_VALUE"""),0.0)</f>
        <v>0</v>
      </c>
      <c r="BL71" s="3">
        <f>IFERROR(__xludf.DUMMYFUNCTION("""COMPUTED_VALUE"""),0.0)</f>
        <v>0</v>
      </c>
      <c r="BM71" s="3">
        <f>IFERROR(__xludf.DUMMYFUNCTION("""COMPUTED_VALUE"""),0.0)</f>
        <v>0</v>
      </c>
      <c r="BN71" s="3">
        <f>IFERROR(__xludf.DUMMYFUNCTION("""COMPUTED_VALUE"""),0.0)</f>
        <v>0</v>
      </c>
      <c r="BO71" s="3">
        <f>IFERROR(__xludf.DUMMYFUNCTION("""COMPUTED_VALUE"""),0.0)</f>
        <v>0</v>
      </c>
      <c r="BP71" s="3">
        <f>IFERROR(__xludf.DUMMYFUNCTION("""COMPUTED_VALUE"""),0.0)</f>
        <v>0</v>
      </c>
      <c r="BQ71" s="3">
        <f>IFERROR(__xludf.DUMMYFUNCTION("""COMPUTED_VALUE"""),0.0)</f>
        <v>0</v>
      </c>
      <c r="BR71" s="3">
        <f>IFERROR(__xludf.DUMMYFUNCTION("""COMPUTED_VALUE"""),0.0)</f>
        <v>0</v>
      </c>
      <c r="BS71" s="3">
        <f>IFERROR(__xludf.DUMMYFUNCTION("""COMPUTED_VALUE"""),0.0)</f>
        <v>0</v>
      </c>
      <c r="BT71" s="3">
        <f>IFERROR(__xludf.DUMMYFUNCTION("""COMPUTED_VALUE"""),0.0)</f>
        <v>0</v>
      </c>
      <c r="BU71" s="3">
        <f>IFERROR(__xludf.DUMMYFUNCTION("""COMPUTED_VALUE"""),0.0)</f>
        <v>0</v>
      </c>
      <c r="BV71" s="3">
        <f>IFERROR(__xludf.DUMMYFUNCTION("""COMPUTED_VALUE"""),0.0)</f>
        <v>0</v>
      </c>
      <c r="BW71" s="3">
        <f>IFERROR(__xludf.DUMMYFUNCTION("""COMPUTED_VALUE"""),0.0)</f>
        <v>0</v>
      </c>
      <c r="BX71" s="3">
        <f>IFERROR(__xludf.DUMMYFUNCTION("""COMPUTED_VALUE"""),0.0)</f>
        <v>0</v>
      </c>
      <c r="BY71" s="3">
        <f>IFERROR(__xludf.DUMMYFUNCTION("""COMPUTED_VALUE"""),0.0)</f>
        <v>0</v>
      </c>
      <c r="BZ71" s="3">
        <f>IFERROR(__xludf.DUMMYFUNCTION("""COMPUTED_VALUE"""),0.0)</f>
        <v>0</v>
      </c>
      <c r="CA71" s="3">
        <f>IFERROR(__xludf.DUMMYFUNCTION("""COMPUTED_VALUE"""),0.0)</f>
        <v>0</v>
      </c>
      <c r="CB71" s="3">
        <f>IFERROR(__xludf.DUMMYFUNCTION("""COMPUTED_VALUE"""),0.0)</f>
        <v>0</v>
      </c>
    </row>
    <row r="72">
      <c r="A72" s="3" t="str">
        <f>IFERROR(__xludf.DUMMYFUNCTION("""COMPUTED_VALUE"""),"Ningxia")</f>
        <v>Ningxia</v>
      </c>
      <c r="B72" s="3" t="str">
        <f>IFERROR(__xludf.DUMMYFUNCTION("""COMPUTED_VALUE"""),"China")</f>
        <v>China</v>
      </c>
      <c r="C72" s="3">
        <f>IFERROR(__xludf.DUMMYFUNCTION("""COMPUTED_VALUE"""),37.2692)</f>
        <v>37.2692</v>
      </c>
      <c r="D72" s="3">
        <f>IFERROR(__xludf.DUMMYFUNCTION("""COMPUTED_VALUE"""),106.1655)</f>
        <v>106.1655</v>
      </c>
      <c r="E72" s="3">
        <f>IFERROR(__xludf.DUMMYFUNCTION("""COMPUTED_VALUE"""),0.0)</f>
        <v>0</v>
      </c>
      <c r="F72" s="3">
        <f>IFERROR(__xludf.DUMMYFUNCTION("""COMPUTED_VALUE"""),0.0)</f>
        <v>0</v>
      </c>
      <c r="G72" s="3">
        <f>IFERROR(__xludf.DUMMYFUNCTION("""COMPUTED_VALUE"""),0.0)</f>
        <v>0</v>
      </c>
      <c r="H72" s="3">
        <f>IFERROR(__xludf.DUMMYFUNCTION("""COMPUTED_VALUE"""),0.0)</f>
        <v>0</v>
      </c>
      <c r="I72" s="3">
        <f>IFERROR(__xludf.DUMMYFUNCTION("""COMPUTED_VALUE"""),0.0)</f>
        <v>0</v>
      </c>
      <c r="J72" s="3">
        <f>IFERROR(__xludf.DUMMYFUNCTION("""COMPUTED_VALUE"""),0.0)</f>
        <v>0</v>
      </c>
      <c r="K72" s="3">
        <f>IFERROR(__xludf.DUMMYFUNCTION("""COMPUTED_VALUE"""),0.0)</f>
        <v>0</v>
      </c>
      <c r="L72" s="3">
        <f>IFERROR(__xludf.DUMMYFUNCTION("""COMPUTED_VALUE"""),0.0)</f>
        <v>0</v>
      </c>
      <c r="M72" s="3">
        <f>IFERROR(__xludf.DUMMYFUNCTION("""COMPUTED_VALUE"""),0.0)</f>
        <v>0</v>
      </c>
      <c r="N72" s="3">
        <f>IFERROR(__xludf.DUMMYFUNCTION("""COMPUTED_VALUE"""),0.0)</f>
        <v>0</v>
      </c>
      <c r="O72" s="3">
        <f>IFERROR(__xludf.DUMMYFUNCTION("""COMPUTED_VALUE"""),0.0)</f>
        <v>0</v>
      </c>
      <c r="P72" s="3">
        <f>IFERROR(__xludf.DUMMYFUNCTION("""COMPUTED_VALUE"""),0.0)</f>
        <v>0</v>
      </c>
      <c r="Q72" s="3">
        <f>IFERROR(__xludf.DUMMYFUNCTION("""COMPUTED_VALUE"""),0.0)</f>
        <v>0</v>
      </c>
      <c r="R72" s="3">
        <f>IFERROR(__xludf.DUMMYFUNCTION("""COMPUTED_VALUE"""),0.0)</f>
        <v>0</v>
      </c>
      <c r="S72" s="3">
        <f>IFERROR(__xludf.DUMMYFUNCTION("""COMPUTED_VALUE"""),0.0)</f>
        <v>0</v>
      </c>
      <c r="T72" s="3">
        <f>IFERROR(__xludf.DUMMYFUNCTION("""COMPUTED_VALUE"""),0.0)</f>
        <v>0</v>
      </c>
      <c r="U72" s="3">
        <f>IFERROR(__xludf.DUMMYFUNCTION("""COMPUTED_VALUE"""),0.0)</f>
        <v>0</v>
      </c>
      <c r="V72" s="3">
        <f>IFERROR(__xludf.DUMMYFUNCTION("""COMPUTED_VALUE"""),0.0)</f>
        <v>0</v>
      </c>
      <c r="W72" s="3">
        <f>IFERROR(__xludf.DUMMYFUNCTION("""COMPUTED_VALUE"""),0.0)</f>
        <v>0</v>
      </c>
      <c r="X72" s="3">
        <f>IFERROR(__xludf.DUMMYFUNCTION("""COMPUTED_VALUE"""),0.0)</f>
        <v>0</v>
      </c>
      <c r="Y72" s="3">
        <f>IFERROR(__xludf.DUMMYFUNCTION("""COMPUTED_VALUE"""),0.0)</f>
        <v>0</v>
      </c>
      <c r="Z72" s="3">
        <f>IFERROR(__xludf.DUMMYFUNCTION("""COMPUTED_VALUE"""),0.0)</f>
        <v>0</v>
      </c>
      <c r="AA72" s="3">
        <f>IFERROR(__xludf.DUMMYFUNCTION("""COMPUTED_VALUE"""),0.0)</f>
        <v>0</v>
      </c>
      <c r="AB72" s="3">
        <f>IFERROR(__xludf.DUMMYFUNCTION("""COMPUTED_VALUE"""),0.0)</f>
        <v>0</v>
      </c>
      <c r="AC72" s="3">
        <f>IFERROR(__xludf.DUMMYFUNCTION("""COMPUTED_VALUE"""),0.0)</f>
        <v>0</v>
      </c>
      <c r="AD72" s="3">
        <f>IFERROR(__xludf.DUMMYFUNCTION("""COMPUTED_VALUE"""),0.0)</f>
        <v>0</v>
      </c>
      <c r="AE72" s="3">
        <f>IFERROR(__xludf.DUMMYFUNCTION("""COMPUTED_VALUE"""),0.0)</f>
        <v>0</v>
      </c>
      <c r="AF72" s="3">
        <f>IFERROR(__xludf.DUMMYFUNCTION("""COMPUTED_VALUE"""),0.0)</f>
        <v>0</v>
      </c>
      <c r="AG72" s="3">
        <f>IFERROR(__xludf.DUMMYFUNCTION("""COMPUTED_VALUE"""),0.0)</f>
        <v>0</v>
      </c>
      <c r="AH72" s="3">
        <f>IFERROR(__xludf.DUMMYFUNCTION("""COMPUTED_VALUE"""),0.0)</f>
        <v>0</v>
      </c>
      <c r="AI72" s="3">
        <f>IFERROR(__xludf.DUMMYFUNCTION("""COMPUTED_VALUE"""),0.0)</f>
        <v>0</v>
      </c>
      <c r="AJ72" s="3">
        <f>IFERROR(__xludf.DUMMYFUNCTION("""COMPUTED_VALUE"""),0.0)</f>
        <v>0</v>
      </c>
      <c r="AK72" s="3">
        <f>IFERROR(__xludf.DUMMYFUNCTION("""COMPUTED_VALUE"""),0.0)</f>
        <v>0</v>
      </c>
      <c r="AL72" s="3">
        <f>IFERROR(__xludf.DUMMYFUNCTION("""COMPUTED_VALUE"""),0.0)</f>
        <v>0</v>
      </c>
      <c r="AM72" s="3">
        <f>IFERROR(__xludf.DUMMYFUNCTION("""COMPUTED_VALUE"""),0.0)</f>
        <v>0</v>
      </c>
      <c r="AN72" s="3">
        <f>IFERROR(__xludf.DUMMYFUNCTION("""COMPUTED_VALUE"""),0.0)</f>
        <v>0</v>
      </c>
      <c r="AO72" s="3">
        <f>IFERROR(__xludf.DUMMYFUNCTION("""COMPUTED_VALUE"""),0.0)</f>
        <v>0</v>
      </c>
      <c r="AP72" s="3">
        <f>IFERROR(__xludf.DUMMYFUNCTION("""COMPUTED_VALUE"""),0.0)</f>
        <v>0</v>
      </c>
      <c r="AQ72" s="3">
        <f>IFERROR(__xludf.DUMMYFUNCTION("""COMPUTED_VALUE"""),0.0)</f>
        <v>0</v>
      </c>
      <c r="AR72" s="3">
        <f>IFERROR(__xludf.DUMMYFUNCTION("""COMPUTED_VALUE"""),0.0)</f>
        <v>0</v>
      </c>
      <c r="AS72" s="3">
        <f>IFERROR(__xludf.DUMMYFUNCTION("""COMPUTED_VALUE"""),0.0)</f>
        <v>0</v>
      </c>
      <c r="AT72" s="3">
        <f>IFERROR(__xludf.DUMMYFUNCTION("""COMPUTED_VALUE"""),0.0)</f>
        <v>0</v>
      </c>
      <c r="AU72" s="3">
        <f>IFERROR(__xludf.DUMMYFUNCTION("""COMPUTED_VALUE"""),0.0)</f>
        <v>0</v>
      </c>
      <c r="AV72" s="3">
        <f>IFERROR(__xludf.DUMMYFUNCTION("""COMPUTED_VALUE"""),0.0)</f>
        <v>0</v>
      </c>
      <c r="AW72" s="3">
        <f>IFERROR(__xludf.DUMMYFUNCTION("""COMPUTED_VALUE"""),0.0)</f>
        <v>0</v>
      </c>
      <c r="AX72" s="3">
        <f>IFERROR(__xludf.DUMMYFUNCTION("""COMPUTED_VALUE"""),0.0)</f>
        <v>0</v>
      </c>
      <c r="AY72" s="3">
        <f>IFERROR(__xludf.DUMMYFUNCTION("""COMPUTED_VALUE"""),0.0)</f>
        <v>0</v>
      </c>
      <c r="AZ72" s="3">
        <f>IFERROR(__xludf.DUMMYFUNCTION("""COMPUTED_VALUE"""),0.0)</f>
        <v>0</v>
      </c>
      <c r="BA72" s="3">
        <f>IFERROR(__xludf.DUMMYFUNCTION("""COMPUTED_VALUE"""),0.0)</f>
        <v>0</v>
      </c>
      <c r="BB72" s="3">
        <f>IFERROR(__xludf.DUMMYFUNCTION("""COMPUTED_VALUE"""),0.0)</f>
        <v>0</v>
      </c>
      <c r="BC72" s="3">
        <f>IFERROR(__xludf.DUMMYFUNCTION("""COMPUTED_VALUE"""),0.0)</f>
        <v>0</v>
      </c>
      <c r="BD72" s="3">
        <f>IFERROR(__xludf.DUMMYFUNCTION("""COMPUTED_VALUE"""),0.0)</f>
        <v>0</v>
      </c>
      <c r="BE72" s="3">
        <f>IFERROR(__xludf.DUMMYFUNCTION("""COMPUTED_VALUE"""),0.0)</f>
        <v>0</v>
      </c>
      <c r="BF72" s="3">
        <f>IFERROR(__xludf.DUMMYFUNCTION("""COMPUTED_VALUE"""),0.0)</f>
        <v>0</v>
      </c>
      <c r="BG72" s="3">
        <f>IFERROR(__xludf.DUMMYFUNCTION("""COMPUTED_VALUE"""),0.0)</f>
        <v>0</v>
      </c>
      <c r="BH72" s="3">
        <f>IFERROR(__xludf.DUMMYFUNCTION("""COMPUTED_VALUE"""),0.0)</f>
        <v>0</v>
      </c>
      <c r="BI72" s="3">
        <f>IFERROR(__xludf.DUMMYFUNCTION("""COMPUTED_VALUE"""),0.0)</f>
        <v>0</v>
      </c>
      <c r="BJ72" s="3">
        <f>IFERROR(__xludf.DUMMYFUNCTION("""COMPUTED_VALUE"""),0.0)</f>
        <v>0</v>
      </c>
      <c r="BK72" s="3">
        <f>IFERROR(__xludf.DUMMYFUNCTION("""COMPUTED_VALUE"""),0.0)</f>
        <v>0</v>
      </c>
      <c r="BL72" s="3">
        <f>IFERROR(__xludf.DUMMYFUNCTION("""COMPUTED_VALUE"""),0.0)</f>
        <v>0</v>
      </c>
      <c r="BM72" s="3">
        <f>IFERROR(__xludf.DUMMYFUNCTION("""COMPUTED_VALUE"""),0.0)</f>
        <v>0</v>
      </c>
      <c r="BN72" s="3">
        <f>IFERROR(__xludf.DUMMYFUNCTION("""COMPUTED_VALUE"""),0.0)</f>
        <v>0</v>
      </c>
      <c r="BO72" s="3">
        <f>IFERROR(__xludf.DUMMYFUNCTION("""COMPUTED_VALUE"""),0.0)</f>
        <v>0</v>
      </c>
      <c r="BP72" s="3">
        <f>IFERROR(__xludf.DUMMYFUNCTION("""COMPUTED_VALUE"""),0.0)</f>
        <v>0</v>
      </c>
      <c r="BQ72" s="3">
        <f>IFERROR(__xludf.DUMMYFUNCTION("""COMPUTED_VALUE"""),0.0)</f>
        <v>0</v>
      </c>
      <c r="BR72" s="3">
        <f>IFERROR(__xludf.DUMMYFUNCTION("""COMPUTED_VALUE"""),0.0)</f>
        <v>0</v>
      </c>
      <c r="BS72" s="3">
        <f>IFERROR(__xludf.DUMMYFUNCTION("""COMPUTED_VALUE"""),0.0)</f>
        <v>0</v>
      </c>
      <c r="BT72" s="3">
        <f>IFERROR(__xludf.DUMMYFUNCTION("""COMPUTED_VALUE"""),0.0)</f>
        <v>0</v>
      </c>
      <c r="BU72" s="3">
        <f>IFERROR(__xludf.DUMMYFUNCTION("""COMPUTED_VALUE"""),0.0)</f>
        <v>0</v>
      </c>
      <c r="BV72" s="3">
        <f>IFERROR(__xludf.DUMMYFUNCTION("""COMPUTED_VALUE"""),0.0)</f>
        <v>0</v>
      </c>
      <c r="BW72" s="3">
        <f>IFERROR(__xludf.DUMMYFUNCTION("""COMPUTED_VALUE"""),0.0)</f>
        <v>0</v>
      </c>
      <c r="BX72" s="3">
        <f>IFERROR(__xludf.DUMMYFUNCTION("""COMPUTED_VALUE"""),0.0)</f>
        <v>0</v>
      </c>
      <c r="BY72" s="3">
        <f>IFERROR(__xludf.DUMMYFUNCTION("""COMPUTED_VALUE"""),0.0)</f>
        <v>0</v>
      </c>
      <c r="BZ72" s="3">
        <f>IFERROR(__xludf.DUMMYFUNCTION("""COMPUTED_VALUE"""),0.0)</f>
        <v>0</v>
      </c>
      <c r="CA72" s="3">
        <f>IFERROR(__xludf.DUMMYFUNCTION("""COMPUTED_VALUE"""),0.0)</f>
        <v>0</v>
      </c>
      <c r="CB72" s="3">
        <f>IFERROR(__xludf.DUMMYFUNCTION("""COMPUTED_VALUE"""),0.0)</f>
        <v>0</v>
      </c>
    </row>
    <row r="73">
      <c r="A73" s="3" t="str">
        <f>IFERROR(__xludf.DUMMYFUNCTION("""COMPUTED_VALUE"""),"Qinghai")</f>
        <v>Qinghai</v>
      </c>
      <c r="B73" s="3" t="str">
        <f>IFERROR(__xludf.DUMMYFUNCTION("""COMPUTED_VALUE"""),"China")</f>
        <v>China</v>
      </c>
      <c r="C73" s="3">
        <f>IFERROR(__xludf.DUMMYFUNCTION("""COMPUTED_VALUE"""),35.7452)</f>
        <v>35.7452</v>
      </c>
      <c r="D73" s="3">
        <f>IFERROR(__xludf.DUMMYFUNCTION("""COMPUTED_VALUE"""),95.9956)</f>
        <v>95.9956</v>
      </c>
      <c r="E73" s="3">
        <f>IFERROR(__xludf.DUMMYFUNCTION("""COMPUTED_VALUE"""),0.0)</f>
        <v>0</v>
      </c>
      <c r="F73" s="3">
        <f>IFERROR(__xludf.DUMMYFUNCTION("""COMPUTED_VALUE"""),0.0)</f>
        <v>0</v>
      </c>
      <c r="G73" s="3">
        <f>IFERROR(__xludf.DUMMYFUNCTION("""COMPUTED_VALUE"""),0.0)</f>
        <v>0</v>
      </c>
      <c r="H73" s="3">
        <f>IFERROR(__xludf.DUMMYFUNCTION("""COMPUTED_VALUE"""),0.0)</f>
        <v>0</v>
      </c>
      <c r="I73" s="3">
        <f>IFERROR(__xludf.DUMMYFUNCTION("""COMPUTED_VALUE"""),0.0)</f>
        <v>0</v>
      </c>
      <c r="J73" s="3">
        <f>IFERROR(__xludf.DUMMYFUNCTION("""COMPUTED_VALUE"""),0.0)</f>
        <v>0</v>
      </c>
      <c r="K73" s="3">
        <f>IFERROR(__xludf.DUMMYFUNCTION("""COMPUTED_VALUE"""),0.0)</f>
        <v>0</v>
      </c>
      <c r="L73" s="3">
        <f>IFERROR(__xludf.DUMMYFUNCTION("""COMPUTED_VALUE"""),0.0)</f>
        <v>0</v>
      </c>
      <c r="M73" s="3">
        <f>IFERROR(__xludf.DUMMYFUNCTION("""COMPUTED_VALUE"""),0.0)</f>
        <v>0</v>
      </c>
      <c r="N73" s="3">
        <f>IFERROR(__xludf.DUMMYFUNCTION("""COMPUTED_VALUE"""),0.0)</f>
        <v>0</v>
      </c>
      <c r="O73" s="3">
        <f>IFERROR(__xludf.DUMMYFUNCTION("""COMPUTED_VALUE"""),0.0)</f>
        <v>0</v>
      </c>
      <c r="P73" s="3">
        <f>IFERROR(__xludf.DUMMYFUNCTION("""COMPUTED_VALUE"""),0.0)</f>
        <v>0</v>
      </c>
      <c r="Q73" s="3">
        <f>IFERROR(__xludf.DUMMYFUNCTION("""COMPUTED_VALUE"""),0.0)</f>
        <v>0</v>
      </c>
      <c r="R73" s="3">
        <f>IFERROR(__xludf.DUMMYFUNCTION("""COMPUTED_VALUE"""),0.0)</f>
        <v>0</v>
      </c>
      <c r="S73" s="3">
        <f>IFERROR(__xludf.DUMMYFUNCTION("""COMPUTED_VALUE"""),0.0)</f>
        <v>0</v>
      </c>
      <c r="T73" s="3">
        <f>IFERROR(__xludf.DUMMYFUNCTION("""COMPUTED_VALUE"""),0.0)</f>
        <v>0</v>
      </c>
      <c r="U73" s="3">
        <f>IFERROR(__xludf.DUMMYFUNCTION("""COMPUTED_VALUE"""),0.0)</f>
        <v>0</v>
      </c>
      <c r="V73" s="3">
        <f>IFERROR(__xludf.DUMMYFUNCTION("""COMPUTED_VALUE"""),0.0)</f>
        <v>0</v>
      </c>
      <c r="W73" s="3">
        <f>IFERROR(__xludf.DUMMYFUNCTION("""COMPUTED_VALUE"""),0.0)</f>
        <v>0</v>
      </c>
      <c r="X73" s="3">
        <f>IFERROR(__xludf.DUMMYFUNCTION("""COMPUTED_VALUE"""),0.0)</f>
        <v>0</v>
      </c>
      <c r="Y73" s="3">
        <f>IFERROR(__xludf.DUMMYFUNCTION("""COMPUTED_VALUE"""),0.0)</f>
        <v>0</v>
      </c>
      <c r="Z73" s="3">
        <f>IFERROR(__xludf.DUMMYFUNCTION("""COMPUTED_VALUE"""),0.0)</f>
        <v>0</v>
      </c>
      <c r="AA73" s="3">
        <f>IFERROR(__xludf.DUMMYFUNCTION("""COMPUTED_VALUE"""),0.0)</f>
        <v>0</v>
      </c>
      <c r="AB73" s="3">
        <f>IFERROR(__xludf.DUMMYFUNCTION("""COMPUTED_VALUE"""),0.0)</f>
        <v>0</v>
      </c>
      <c r="AC73" s="3">
        <f>IFERROR(__xludf.DUMMYFUNCTION("""COMPUTED_VALUE"""),0.0)</f>
        <v>0</v>
      </c>
      <c r="AD73" s="3">
        <f>IFERROR(__xludf.DUMMYFUNCTION("""COMPUTED_VALUE"""),0.0)</f>
        <v>0</v>
      </c>
      <c r="AE73" s="3">
        <f>IFERROR(__xludf.DUMMYFUNCTION("""COMPUTED_VALUE"""),0.0)</f>
        <v>0</v>
      </c>
      <c r="AF73" s="3">
        <f>IFERROR(__xludf.DUMMYFUNCTION("""COMPUTED_VALUE"""),0.0)</f>
        <v>0</v>
      </c>
      <c r="AG73" s="3">
        <f>IFERROR(__xludf.DUMMYFUNCTION("""COMPUTED_VALUE"""),0.0)</f>
        <v>0</v>
      </c>
      <c r="AH73" s="3">
        <f>IFERROR(__xludf.DUMMYFUNCTION("""COMPUTED_VALUE"""),0.0)</f>
        <v>0</v>
      </c>
      <c r="AI73" s="3">
        <f>IFERROR(__xludf.DUMMYFUNCTION("""COMPUTED_VALUE"""),0.0)</f>
        <v>0</v>
      </c>
      <c r="AJ73" s="3">
        <f>IFERROR(__xludf.DUMMYFUNCTION("""COMPUTED_VALUE"""),0.0)</f>
        <v>0</v>
      </c>
      <c r="AK73" s="3">
        <f>IFERROR(__xludf.DUMMYFUNCTION("""COMPUTED_VALUE"""),0.0)</f>
        <v>0</v>
      </c>
      <c r="AL73" s="3">
        <f>IFERROR(__xludf.DUMMYFUNCTION("""COMPUTED_VALUE"""),0.0)</f>
        <v>0</v>
      </c>
      <c r="AM73" s="3">
        <f>IFERROR(__xludf.DUMMYFUNCTION("""COMPUTED_VALUE"""),0.0)</f>
        <v>0</v>
      </c>
      <c r="AN73" s="3">
        <f>IFERROR(__xludf.DUMMYFUNCTION("""COMPUTED_VALUE"""),0.0)</f>
        <v>0</v>
      </c>
      <c r="AO73" s="3">
        <f>IFERROR(__xludf.DUMMYFUNCTION("""COMPUTED_VALUE"""),0.0)</f>
        <v>0</v>
      </c>
      <c r="AP73" s="3">
        <f>IFERROR(__xludf.DUMMYFUNCTION("""COMPUTED_VALUE"""),0.0)</f>
        <v>0</v>
      </c>
      <c r="AQ73" s="3">
        <f>IFERROR(__xludf.DUMMYFUNCTION("""COMPUTED_VALUE"""),0.0)</f>
        <v>0</v>
      </c>
      <c r="AR73" s="3">
        <f>IFERROR(__xludf.DUMMYFUNCTION("""COMPUTED_VALUE"""),0.0)</f>
        <v>0</v>
      </c>
      <c r="AS73" s="3">
        <f>IFERROR(__xludf.DUMMYFUNCTION("""COMPUTED_VALUE"""),0.0)</f>
        <v>0</v>
      </c>
      <c r="AT73" s="3">
        <f>IFERROR(__xludf.DUMMYFUNCTION("""COMPUTED_VALUE"""),0.0)</f>
        <v>0</v>
      </c>
      <c r="AU73" s="3">
        <f>IFERROR(__xludf.DUMMYFUNCTION("""COMPUTED_VALUE"""),0.0)</f>
        <v>0</v>
      </c>
      <c r="AV73" s="3">
        <f>IFERROR(__xludf.DUMMYFUNCTION("""COMPUTED_VALUE"""),0.0)</f>
        <v>0</v>
      </c>
      <c r="AW73" s="3">
        <f>IFERROR(__xludf.DUMMYFUNCTION("""COMPUTED_VALUE"""),0.0)</f>
        <v>0</v>
      </c>
      <c r="AX73" s="3">
        <f>IFERROR(__xludf.DUMMYFUNCTION("""COMPUTED_VALUE"""),0.0)</f>
        <v>0</v>
      </c>
      <c r="AY73" s="3">
        <f>IFERROR(__xludf.DUMMYFUNCTION("""COMPUTED_VALUE"""),0.0)</f>
        <v>0</v>
      </c>
      <c r="AZ73" s="3">
        <f>IFERROR(__xludf.DUMMYFUNCTION("""COMPUTED_VALUE"""),0.0)</f>
        <v>0</v>
      </c>
      <c r="BA73" s="3">
        <f>IFERROR(__xludf.DUMMYFUNCTION("""COMPUTED_VALUE"""),0.0)</f>
        <v>0</v>
      </c>
      <c r="BB73" s="3">
        <f>IFERROR(__xludf.DUMMYFUNCTION("""COMPUTED_VALUE"""),0.0)</f>
        <v>0</v>
      </c>
      <c r="BC73" s="3">
        <f>IFERROR(__xludf.DUMMYFUNCTION("""COMPUTED_VALUE"""),0.0)</f>
        <v>0</v>
      </c>
      <c r="BD73" s="3">
        <f>IFERROR(__xludf.DUMMYFUNCTION("""COMPUTED_VALUE"""),0.0)</f>
        <v>0</v>
      </c>
      <c r="BE73" s="3">
        <f>IFERROR(__xludf.DUMMYFUNCTION("""COMPUTED_VALUE"""),0.0)</f>
        <v>0</v>
      </c>
      <c r="BF73" s="3">
        <f>IFERROR(__xludf.DUMMYFUNCTION("""COMPUTED_VALUE"""),0.0)</f>
        <v>0</v>
      </c>
      <c r="BG73" s="3">
        <f>IFERROR(__xludf.DUMMYFUNCTION("""COMPUTED_VALUE"""),0.0)</f>
        <v>0</v>
      </c>
      <c r="BH73" s="3">
        <f>IFERROR(__xludf.DUMMYFUNCTION("""COMPUTED_VALUE"""),0.0)</f>
        <v>0</v>
      </c>
      <c r="BI73" s="3">
        <f>IFERROR(__xludf.DUMMYFUNCTION("""COMPUTED_VALUE"""),0.0)</f>
        <v>0</v>
      </c>
      <c r="BJ73" s="3">
        <f>IFERROR(__xludf.DUMMYFUNCTION("""COMPUTED_VALUE"""),0.0)</f>
        <v>0</v>
      </c>
      <c r="BK73" s="3">
        <f>IFERROR(__xludf.DUMMYFUNCTION("""COMPUTED_VALUE"""),0.0)</f>
        <v>0</v>
      </c>
      <c r="BL73" s="3">
        <f>IFERROR(__xludf.DUMMYFUNCTION("""COMPUTED_VALUE"""),0.0)</f>
        <v>0</v>
      </c>
      <c r="BM73" s="3">
        <f>IFERROR(__xludf.DUMMYFUNCTION("""COMPUTED_VALUE"""),0.0)</f>
        <v>0</v>
      </c>
      <c r="BN73" s="3">
        <f>IFERROR(__xludf.DUMMYFUNCTION("""COMPUTED_VALUE"""),0.0)</f>
        <v>0</v>
      </c>
      <c r="BO73" s="3">
        <f>IFERROR(__xludf.DUMMYFUNCTION("""COMPUTED_VALUE"""),0.0)</f>
        <v>0</v>
      </c>
      <c r="BP73" s="3">
        <f>IFERROR(__xludf.DUMMYFUNCTION("""COMPUTED_VALUE"""),0.0)</f>
        <v>0</v>
      </c>
      <c r="BQ73" s="3">
        <f>IFERROR(__xludf.DUMMYFUNCTION("""COMPUTED_VALUE"""),0.0)</f>
        <v>0</v>
      </c>
      <c r="BR73" s="3">
        <f>IFERROR(__xludf.DUMMYFUNCTION("""COMPUTED_VALUE"""),0.0)</f>
        <v>0</v>
      </c>
      <c r="BS73" s="3">
        <f>IFERROR(__xludf.DUMMYFUNCTION("""COMPUTED_VALUE"""),0.0)</f>
        <v>0</v>
      </c>
      <c r="BT73" s="3">
        <f>IFERROR(__xludf.DUMMYFUNCTION("""COMPUTED_VALUE"""),0.0)</f>
        <v>0</v>
      </c>
      <c r="BU73" s="3">
        <f>IFERROR(__xludf.DUMMYFUNCTION("""COMPUTED_VALUE"""),0.0)</f>
        <v>0</v>
      </c>
      <c r="BV73" s="3">
        <f>IFERROR(__xludf.DUMMYFUNCTION("""COMPUTED_VALUE"""),0.0)</f>
        <v>0</v>
      </c>
      <c r="BW73" s="3">
        <f>IFERROR(__xludf.DUMMYFUNCTION("""COMPUTED_VALUE"""),0.0)</f>
        <v>0</v>
      </c>
      <c r="BX73" s="3">
        <f>IFERROR(__xludf.DUMMYFUNCTION("""COMPUTED_VALUE"""),0.0)</f>
        <v>0</v>
      </c>
      <c r="BY73" s="3">
        <f>IFERROR(__xludf.DUMMYFUNCTION("""COMPUTED_VALUE"""),0.0)</f>
        <v>0</v>
      </c>
      <c r="BZ73" s="3">
        <f>IFERROR(__xludf.DUMMYFUNCTION("""COMPUTED_VALUE"""),0.0)</f>
        <v>0</v>
      </c>
      <c r="CA73" s="3">
        <f>IFERROR(__xludf.DUMMYFUNCTION("""COMPUTED_VALUE"""),0.0)</f>
        <v>0</v>
      </c>
      <c r="CB73" s="3">
        <f>IFERROR(__xludf.DUMMYFUNCTION("""COMPUTED_VALUE"""),0.0)</f>
        <v>0</v>
      </c>
    </row>
    <row r="74">
      <c r="A74" s="3" t="str">
        <f>IFERROR(__xludf.DUMMYFUNCTION("""COMPUTED_VALUE"""),"Shaanxi")</f>
        <v>Shaanxi</v>
      </c>
      <c r="B74" s="3" t="str">
        <f>IFERROR(__xludf.DUMMYFUNCTION("""COMPUTED_VALUE"""),"China")</f>
        <v>China</v>
      </c>
      <c r="C74" s="3">
        <f>IFERROR(__xludf.DUMMYFUNCTION("""COMPUTED_VALUE"""),35.1917)</f>
        <v>35.1917</v>
      </c>
      <c r="D74" s="3">
        <f>IFERROR(__xludf.DUMMYFUNCTION("""COMPUTED_VALUE"""),108.8701)</f>
        <v>108.8701</v>
      </c>
      <c r="E74" s="3">
        <f>IFERROR(__xludf.DUMMYFUNCTION("""COMPUTED_VALUE"""),0.0)</f>
        <v>0</v>
      </c>
      <c r="F74" s="3">
        <f>IFERROR(__xludf.DUMMYFUNCTION("""COMPUTED_VALUE"""),0.0)</f>
        <v>0</v>
      </c>
      <c r="G74" s="3">
        <f>IFERROR(__xludf.DUMMYFUNCTION("""COMPUTED_VALUE"""),0.0)</f>
        <v>0</v>
      </c>
      <c r="H74" s="3">
        <f>IFERROR(__xludf.DUMMYFUNCTION("""COMPUTED_VALUE"""),0.0)</f>
        <v>0</v>
      </c>
      <c r="I74" s="3">
        <f>IFERROR(__xludf.DUMMYFUNCTION("""COMPUTED_VALUE"""),0.0)</f>
        <v>0</v>
      </c>
      <c r="J74" s="3">
        <f>IFERROR(__xludf.DUMMYFUNCTION("""COMPUTED_VALUE"""),0.0)</f>
        <v>0</v>
      </c>
      <c r="K74" s="3">
        <f>IFERROR(__xludf.DUMMYFUNCTION("""COMPUTED_VALUE"""),0.0)</f>
        <v>0</v>
      </c>
      <c r="L74" s="3">
        <f>IFERROR(__xludf.DUMMYFUNCTION("""COMPUTED_VALUE"""),0.0)</f>
        <v>0</v>
      </c>
      <c r="M74" s="3">
        <f>IFERROR(__xludf.DUMMYFUNCTION("""COMPUTED_VALUE"""),0.0)</f>
        <v>0</v>
      </c>
      <c r="N74" s="3">
        <f>IFERROR(__xludf.DUMMYFUNCTION("""COMPUTED_VALUE"""),0.0)</f>
        <v>0</v>
      </c>
      <c r="O74" s="3">
        <f>IFERROR(__xludf.DUMMYFUNCTION("""COMPUTED_VALUE"""),0.0)</f>
        <v>0</v>
      </c>
      <c r="P74" s="3">
        <f>IFERROR(__xludf.DUMMYFUNCTION("""COMPUTED_VALUE"""),0.0)</f>
        <v>0</v>
      </c>
      <c r="Q74" s="3">
        <f>IFERROR(__xludf.DUMMYFUNCTION("""COMPUTED_VALUE"""),0.0)</f>
        <v>0</v>
      </c>
      <c r="R74" s="3">
        <f>IFERROR(__xludf.DUMMYFUNCTION("""COMPUTED_VALUE"""),0.0)</f>
        <v>0</v>
      </c>
      <c r="S74" s="3">
        <f>IFERROR(__xludf.DUMMYFUNCTION("""COMPUTED_VALUE"""),0.0)</f>
        <v>0</v>
      </c>
      <c r="T74" s="3">
        <f>IFERROR(__xludf.DUMMYFUNCTION("""COMPUTED_VALUE"""),0.0)</f>
        <v>0</v>
      </c>
      <c r="U74" s="3">
        <f>IFERROR(__xludf.DUMMYFUNCTION("""COMPUTED_VALUE"""),0.0)</f>
        <v>0</v>
      </c>
      <c r="V74" s="3">
        <f>IFERROR(__xludf.DUMMYFUNCTION("""COMPUTED_VALUE"""),0.0)</f>
        <v>0</v>
      </c>
      <c r="W74" s="3">
        <f>IFERROR(__xludf.DUMMYFUNCTION("""COMPUTED_VALUE"""),0.0)</f>
        <v>0</v>
      </c>
      <c r="X74" s="3">
        <f>IFERROR(__xludf.DUMMYFUNCTION("""COMPUTED_VALUE"""),0.0)</f>
        <v>0</v>
      </c>
      <c r="Y74" s="3">
        <f>IFERROR(__xludf.DUMMYFUNCTION("""COMPUTED_VALUE"""),0.0)</f>
        <v>0</v>
      </c>
      <c r="Z74" s="3">
        <f>IFERROR(__xludf.DUMMYFUNCTION("""COMPUTED_VALUE"""),0.0)</f>
        <v>0</v>
      </c>
      <c r="AA74" s="3">
        <f>IFERROR(__xludf.DUMMYFUNCTION("""COMPUTED_VALUE"""),0.0)</f>
        <v>0</v>
      </c>
      <c r="AB74" s="3">
        <f>IFERROR(__xludf.DUMMYFUNCTION("""COMPUTED_VALUE"""),0.0)</f>
        <v>0</v>
      </c>
      <c r="AC74" s="3">
        <f>IFERROR(__xludf.DUMMYFUNCTION("""COMPUTED_VALUE"""),0.0)</f>
        <v>0</v>
      </c>
      <c r="AD74" s="3">
        <f>IFERROR(__xludf.DUMMYFUNCTION("""COMPUTED_VALUE"""),0.0)</f>
        <v>0</v>
      </c>
      <c r="AE74" s="3">
        <f>IFERROR(__xludf.DUMMYFUNCTION("""COMPUTED_VALUE"""),0.0)</f>
        <v>0</v>
      </c>
      <c r="AF74" s="3">
        <f>IFERROR(__xludf.DUMMYFUNCTION("""COMPUTED_VALUE"""),0.0)</f>
        <v>0</v>
      </c>
      <c r="AG74" s="3">
        <f>IFERROR(__xludf.DUMMYFUNCTION("""COMPUTED_VALUE"""),0.0)</f>
        <v>0</v>
      </c>
      <c r="AH74" s="3">
        <f>IFERROR(__xludf.DUMMYFUNCTION("""COMPUTED_VALUE"""),1.0)</f>
        <v>1</v>
      </c>
      <c r="AI74" s="3">
        <f>IFERROR(__xludf.DUMMYFUNCTION("""COMPUTED_VALUE"""),1.0)</f>
        <v>1</v>
      </c>
      <c r="AJ74" s="3">
        <f>IFERROR(__xludf.DUMMYFUNCTION("""COMPUTED_VALUE"""),1.0)</f>
        <v>1</v>
      </c>
      <c r="AK74" s="3">
        <f>IFERROR(__xludf.DUMMYFUNCTION("""COMPUTED_VALUE"""),1.0)</f>
        <v>1</v>
      </c>
      <c r="AL74" s="3">
        <f>IFERROR(__xludf.DUMMYFUNCTION("""COMPUTED_VALUE"""),1.0)</f>
        <v>1</v>
      </c>
      <c r="AM74" s="3">
        <f>IFERROR(__xludf.DUMMYFUNCTION("""COMPUTED_VALUE"""),1.0)</f>
        <v>1</v>
      </c>
      <c r="AN74" s="3">
        <f>IFERROR(__xludf.DUMMYFUNCTION("""COMPUTED_VALUE"""),1.0)</f>
        <v>1</v>
      </c>
      <c r="AO74" s="3">
        <f>IFERROR(__xludf.DUMMYFUNCTION("""COMPUTED_VALUE"""),1.0)</f>
        <v>1</v>
      </c>
      <c r="AP74" s="3">
        <f>IFERROR(__xludf.DUMMYFUNCTION("""COMPUTED_VALUE"""),1.0)</f>
        <v>1</v>
      </c>
      <c r="AQ74" s="3">
        <f>IFERROR(__xludf.DUMMYFUNCTION("""COMPUTED_VALUE"""),1.0)</f>
        <v>1</v>
      </c>
      <c r="AR74" s="3">
        <f>IFERROR(__xludf.DUMMYFUNCTION("""COMPUTED_VALUE"""),1.0)</f>
        <v>1</v>
      </c>
      <c r="AS74" s="3">
        <f>IFERROR(__xludf.DUMMYFUNCTION("""COMPUTED_VALUE"""),1.0)</f>
        <v>1</v>
      </c>
      <c r="AT74" s="3">
        <f>IFERROR(__xludf.DUMMYFUNCTION("""COMPUTED_VALUE"""),1.0)</f>
        <v>1</v>
      </c>
      <c r="AU74" s="3">
        <f>IFERROR(__xludf.DUMMYFUNCTION("""COMPUTED_VALUE"""),1.0)</f>
        <v>1</v>
      </c>
      <c r="AV74" s="3">
        <f>IFERROR(__xludf.DUMMYFUNCTION("""COMPUTED_VALUE"""),1.0)</f>
        <v>1</v>
      </c>
      <c r="AW74" s="3">
        <f>IFERROR(__xludf.DUMMYFUNCTION("""COMPUTED_VALUE"""),1.0)</f>
        <v>1</v>
      </c>
      <c r="AX74" s="3">
        <f>IFERROR(__xludf.DUMMYFUNCTION("""COMPUTED_VALUE"""),1.0)</f>
        <v>1</v>
      </c>
      <c r="AY74" s="3">
        <f>IFERROR(__xludf.DUMMYFUNCTION("""COMPUTED_VALUE"""),1.0)</f>
        <v>1</v>
      </c>
      <c r="AZ74" s="3">
        <f>IFERROR(__xludf.DUMMYFUNCTION("""COMPUTED_VALUE"""),1.0)</f>
        <v>1</v>
      </c>
      <c r="BA74" s="3">
        <f>IFERROR(__xludf.DUMMYFUNCTION("""COMPUTED_VALUE"""),1.0)</f>
        <v>1</v>
      </c>
      <c r="BB74" s="3">
        <f>IFERROR(__xludf.DUMMYFUNCTION("""COMPUTED_VALUE"""),1.0)</f>
        <v>1</v>
      </c>
      <c r="BC74" s="3">
        <f>IFERROR(__xludf.DUMMYFUNCTION("""COMPUTED_VALUE"""),2.0)</f>
        <v>2</v>
      </c>
      <c r="BD74" s="3">
        <f>IFERROR(__xludf.DUMMYFUNCTION("""COMPUTED_VALUE"""),2.0)</f>
        <v>2</v>
      </c>
      <c r="BE74" s="3">
        <f>IFERROR(__xludf.DUMMYFUNCTION("""COMPUTED_VALUE"""),2.0)</f>
        <v>2</v>
      </c>
      <c r="BF74" s="3">
        <f>IFERROR(__xludf.DUMMYFUNCTION("""COMPUTED_VALUE"""),2.0)</f>
        <v>2</v>
      </c>
      <c r="BG74" s="3">
        <f>IFERROR(__xludf.DUMMYFUNCTION("""COMPUTED_VALUE"""),2.0)</f>
        <v>2</v>
      </c>
      <c r="BH74" s="3">
        <f>IFERROR(__xludf.DUMMYFUNCTION("""COMPUTED_VALUE"""),3.0)</f>
        <v>3</v>
      </c>
      <c r="BI74" s="3">
        <f>IFERROR(__xludf.DUMMYFUNCTION("""COMPUTED_VALUE"""),3.0)</f>
        <v>3</v>
      </c>
      <c r="BJ74" s="3">
        <f>IFERROR(__xludf.DUMMYFUNCTION("""COMPUTED_VALUE"""),3.0)</f>
        <v>3</v>
      </c>
      <c r="BK74" s="3">
        <f>IFERROR(__xludf.DUMMYFUNCTION("""COMPUTED_VALUE"""),3.0)</f>
        <v>3</v>
      </c>
      <c r="BL74" s="3">
        <f>IFERROR(__xludf.DUMMYFUNCTION("""COMPUTED_VALUE"""),3.0)</f>
        <v>3</v>
      </c>
      <c r="BM74" s="3">
        <f>IFERROR(__xludf.DUMMYFUNCTION("""COMPUTED_VALUE"""),3.0)</f>
        <v>3</v>
      </c>
      <c r="BN74" s="3">
        <f>IFERROR(__xludf.DUMMYFUNCTION("""COMPUTED_VALUE"""),3.0)</f>
        <v>3</v>
      </c>
      <c r="BO74" s="3">
        <f>IFERROR(__xludf.DUMMYFUNCTION("""COMPUTED_VALUE"""),3.0)</f>
        <v>3</v>
      </c>
      <c r="BP74" s="3">
        <f>IFERROR(__xludf.DUMMYFUNCTION("""COMPUTED_VALUE"""),3.0)</f>
        <v>3</v>
      </c>
      <c r="BQ74" s="3">
        <f>IFERROR(__xludf.DUMMYFUNCTION("""COMPUTED_VALUE"""),3.0)</f>
        <v>3</v>
      </c>
      <c r="BR74" s="3">
        <f>IFERROR(__xludf.DUMMYFUNCTION("""COMPUTED_VALUE"""),3.0)</f>
        <v>3</v>
      </c>
      <c r="BS74" s="3">
        <f>IFERROR(__xludf.DUMMYFUNCTION("""COMPUTED_VALUE"""),3.0)</f>
        <v>3</v>
      </c>
      <c r="BT74" s="3">
        <f>IFERROR(__xludf.DUMMYFUNCTION("""COMPUTED_VALUE"""),3.0)</f>
        <v>3</v>
      </c>
      <c r="BU74" s="3">
        <f>IFERROR(__xludf.DUMMYFUNCTION("""COMPUTED_VALUE"""),3.0)</f>
        <v>3</v>
      </c>
      <c r="BV74" s="3">
        <f>IFERROR(__xludf.DUMMYFUNCTION("""COMPUTED_VALUE"""),3.0)</f>
        <v>3</v>
      </c>
      <c r="BW74" s="3">
        <f>IFERROR(__xludf.DUMMYFUNCTION("""COMPUTED_VALUE"""),3.0)</f>
        <v>3</v>
      </c>
      <c r="BX74" s="3">
        <f>IFERROR(__xludf.DUMMYFUNCTION("""COMPUTED_VALUE"""),3.0)</f>
        <v>3</v>
      </c>
      <c r="BY74" s="3">
        <f>IFERROR(__xludf.DUMMYFUNCTION("""COMPUTED_VALUE"""),3.0)</f>
        <v>3</v>
      </c>
      <c r="BZ74" s="3">
        <f>IFERROR(__xludf.DUMMYFUNCTION("""COMPUTED_VALUE"""),3.0)</f>
        <v>3</v>
      </c>
      <c r="CA74" s="3">
        <f>IFERROR(__xludf.DUMMYFUNCTION("""COMPUTED_VALUE"""),3.0)</f>
        <v>3</v>
      </c>
      <c r="CB74" s="3">
        <f>IFERROR(__xludf.DUMMYFUNCTION("""COMPUTED_VALUE"""),3.0)</f>
        <v>3</v>
      </c>
    </row>
    <row r="75">
      <c r="A75" s="3" t="str">
        <f>IFERROR(__xludf.DUMMYFUNCTION("""COMPUTED_VALUE"""),"Shandong")</f>
        <v>Shandong</v>
      </c>
      <c r="B75" s="3" t="str">
        <f>IFERROR(__xludf.DUMMYFUNCTION("""COMPUTED_VALUE"""),"China")</f>
        <v>China</v>
      </c>
      <c r="C75" s="3">
        <f>IFERROR(__xludf.DUMMYFUNCTION("""COMPUTED_VALUE"""),36.3427)</f>
        <v>36.3427</v>
      </c>
      <c r="D75" s="3">
        <f>IFERROR(__xludf.DUMMYFUNCTION("""COMPUTED_VALUE"""),118.1498)</f>
        <v>118.1498</v>
      </c>
      <c r="E75" s="3">
        <f>IFERROR(__xludf.DUMMYFUNCTION("""COMPUTED_VALUE"""),0.0)</f>
        <v>0</v>
      </c>
      <c r="F75" s="3">
        <f>IFERROR(__xludf.DUMMYFUNCTION("""COMPUTED_VALUE"""),0.0)</f>
        <v>0</v>
      </c>
      <c r="G75" s="3">
        <f>IFERROR(__xludf.DUMMYFUNCTION("""COMPUTED_VALUE"""),0.0)</f>
        <v>0</v>
      </c>
      <c r="H75" s="3">
        <f>IFERROR(__xludf.DUMMYFUNCTION("""COMPUTED_VALUE"""),0.0)</f>
        <v>0</v>
      </c>
      <c r="I75" s="3">
        <f>IFERROR(__xludf.DUMMYFUNCTION("""COMPUTED_VALUE"""),0.0)</f>
        <v>0</v>
      </c>
      <c r="J75" s="3">
        <f>IFERROR(__xludf.DUMMYFUNCTION("""COMPUTED_VALUE"""),0.0)</f>
        <v>0</v>
      </c>
      <c r="K75" s="3">
        <f>IFERROR(__xludf.DUMMYFUNCTION("""COMPUTED_VALUE"""),0.0)</f>
        <v>0</v>
      </c>
      <c r="L75" s="3">
        <f>IFERROR(__xludf.DUMMYFUNCTION("""COMPUTED_VALUE"""),0.0)</f>
        <v>0</v>
      </c>
      <c r="M75" s="3">
        <f>IFERROR(__xludf.DUMMYFUNCTION("""COMPUTED_VALUE"""),0.0)</f>
        <v>0</v>
      </c>
      <c r="N75" s="3">
        <f>IFERROR(__xludf.DUMMYFUNCTION("""COMPUTED_VALUE"""),0.0)</f>
        <v>0</v>
      </c>
      <c r="O75" s="3">
        <f>IFERROR(__xludf.DUMMYFUNCTION("""COMPUTED_VALUE"""),0.0)</f>
        <v>0</v>
      </c>
      <c r="P75" s="3">
        <f>IFERROR(__xludf.DUMMYFUNCTION("""COMPUTED_VALUE"""),0.0)</f>
        <v>0</v>
      </c>
      <c r="Q75" s="3">
        <f>IFERROR(__xludf.DUMMYFUNCTION("""COMPUTED_VALUE"""),0.0)</f>
        <v>0</v>
      </c>
      <c r="R75" s="3">
        <f>IFERROR(__xludf.DUMMYFUNCTION("""COMPUTED_VALUE"""),0.0)</f>
        <v>0</v>
      </c>
      <c r="S75" s="3">
        <f>IFERROR(__xludf.DUMMYFUNCTION("""COMPUTED_VALUE"""),0.0)</f>
        <v>0</v>
      </c>
      <c r="T75" s="3">
        <f>IFERROR(__xludf.DUMMYFUNCTION("""COMPUTED_VALUE"""),0.0)</f>
        <v>0</v>
      </c>
      <c r="U75" s="3">
        <f>IFERROR(__xludf.DUMMYFUNCTION("""COMPUTED_VALUE"""),0.0)</f>
        <v>0</v>
      </c>
      <c r="V75" s="3">
        <f>IFERROR(__xludf.DUMMYFUNCTION("""COMPUTED_VALUE"""),0.0)</f>
        <v>0</v>
      </c>
      <c r="W75" s="3">
        <f>IFERROR(__xludf.DUMMYFUNCTION("""COMPUTED_VALUE"""),1.0)</f>
        <v>1</v>
      </c>
      <c r="X75" s="3">
        <f>IFERROR(__xludf.DUMMYFUNCTION("""COMPUTED_VALUE"""),1.0)</f>
        <v>1</v>
      </c>
      <c r="Y75" s="3">
        <f>IFERROR(__xludf.DUMMYFUNCTION("""COMPUTED_VALUE"""),1.0)</f>
        <v>1</v>
      </c>
      <c r="Z75" s="3">
        <f>IFERROR(__xludf.DUMMYFUNCTION("""COMPUTED_VALUE"""),2.0)</f>
        <v>2</v>
      </c>
      <c r="AA75" s="3">
        <f>IFERROR(__xludf.DUMMYFUNCTION("""COMPUTED_VALUE"""),2.0)</f>
        <v>2</v>
      </c>
      <c r="AB75" s="3">
        <f>IFERROR(__xludf.DUMMYFUNCTION("""COMPUTED_VALUE"""),2.0)</f>
        <v>2</v>
      </c>
      <c r="AC75" s="3">
        <f>IFERROR(__xludf.DUMMYFUNCTION("""COMPUTED_VALUE"""),2.0)</f>
        <v>2</v>
      </c>
      <c r="AD75" s="3">
        <f>IFERROR(__xludf.DUMMYFUNCTION("""COMPUTED_VALUE"""),2.0)</f>
        <v>2</v>
      </c>
      <c r="AE75" s="3">
        <f>IFERROR(__xludf.DUMMYFUNCTION("""COMPUTED_VALUE"""),2.0)</f>
        <v>2</v>
      </c>
      <c r="AF75" s="3">
        <f>IFERROR(__xludf.DUMMYFUNCTION("""COMPUTED_VALUE"""),3.0)</f>
        <v>3</v>
      </c>
      <c r="AG75" s="3">
        <f>IFERROR(__xludf.DUMMYFUNCTION("""COMPUTED_VALUE"""),3.0)</f>
        <v>3</v>
      </c>
      <c r="AH75" s="3">
        <f>IFERROR(__xludf.DUMMYFUNCTION("""COMPUTED_VALUE"""),4.0)</f>
        <v>4</v>
      </c>
      <c r="AI75" s="3">
        <f>IFERROR(__xludf.DUMMYFUNCTION("""COMPUTED_VALUE"""),4.0)</f>
        <v>4</v>
      </c>
      <c r="AJ75" s="3">
        <f>IFERROR(__xludf.DUMMYFUNCTION("""COMPUTED_VALUE"""),4.0)</f>
        <v>4</v>
      </c>
      <c r="AK75" s="3">
        <f>IFERROR(__xludf.DUMMYFUNCTION("""COMPUTED_VALUE"""),4.0)</f>
        <v>4</v>
      </c>
      <c r="AL75" s="3">
        <f>IFERROR(__xludf.DUMMYFUNCTION("""COMPUTED_VALUE"""),5.0)</f>
        <v>5</v>
      </c>
      <c r="AM75" s="3">
        <f>IFERROR(__xludf.DUMMYFUNCTION("""COMPUTED_VALUE"""),6.0)</f>
        <v>6</v>
      </c>
      <c r="AN75" s="3">
        <f>IFERROR(__xludf.DUMMYFUNCTION("""COMPUTED_VALUE"""),6.0)</f>
        <v>6</v>
      </c>
      <c r="AO75" s="3">
        <f>IFERROR(__xludf.DUMMYFUNCTION("""COMPUTED_VALUE"""),6.0)</f>
        <v>6</v>
      </c>
      <c r="AP75" s="3">
        <f>IFERROR(__xludf.DUMMYFUNCTION("""COMPUTED_VALUE"""),6.0)</f>
        <v>6</v>
      </c>
      <c r="AQ75" s="3">
        <f>IFERROR(__xludf.DUMMYFUNCTION("""COMPUTED_VALUE"""),6.0)</f>
        <v>6</v>
      </c>
      <c r="AR75" s="3">
        <f>IFERROR(__xludf.DUMMYFUNCTION("""COMPUTED_VALUE"""),6.0)</f>
        <v>6</v>
      </c>
      <c r="AS75" s="3">
        <f>IFERROR(__xludf.DUMMYFUNCTION("""COMPUTED_VALUE"""),6.0)</f>
        <v>6</v>
      </c>
      <c r="AT75" s="3">
        <f>IFERROR(__xludf.DUMMYFUNCTION("""COMPUTED_VALUE"""),6.0)</f>
        <v>6</v>
      </c>
      <c r="AU75" s="3">
        <f>IFERROR(__xludf.DUMMYFUNCTION("""COMPUTED_VALUE"""),6.0)</f>
        <v>6</v>
      </c>
      <c r="AV75" s="3">
        <f>IFERROR(__xludf.DUMMYFUNCTION("""COMPUTED_VALUE"""),6.0)</f>
        <v>6</v>
      </c>
      <c r="AW75" s="3">
        <f>IFERROR(__xludf.DUMMYFUNCTION("""COMPUTED_VALUE"""),6.0)</f>
        <v>6</v>
      </c>
      <c r="AX75" s="3">
        <f>IFERROR(__xludf.DUMMYFUNCTION("""COMPUTED_VALUE"""),6.0)</f>
        <v>6</v>
      </c>
      <c r="AY75" s="3">
        <f>IFERROR(__xludf.DUMMYFUNCTION("""COMPUTED_VALUE"""),6.0)</f>
        <v>6</v>
      </c>
      <c r="AZ75" s="3">
        <f>IFERROR(__xludf.DUMMYFUNCTION("""COMPUTED_VALUE"""),6.0)</f>
        <v>6</v>
      </c>
      <c r="BA75" s="3">
        <f>IFERROR(__xludf.DUMMYFUNCTION("""COMPUTED_VALUE"""),6.0)</f>
        <v>6</v>
      </c>
      <c r="BB75" s="3">
        <f>IFERROR(__xludf.DUMMYFUNCTION("""COMPUTED_VALUE"""),6.0)</f>
        <v>6</v>
      </c>
      <c r="BC75" s="3">
        <f>IFERROR(__xludf.DUMMYFUNCTION("""COMPUTED_VALUE"""),6.0)</f>
        <v>6</v>
      </c>
      <c r="BD75" s="3">
        <f>IFERROR(__xludf.DUMMYFUNCTION("""COMPUTED_VALUE"""),7.0)</f>
        <v>7</v>
      </c>
      <c r="BE75" s="3">
        <f>IFERROR(__xludf.DUMMYFUNCTION("""COMPUTED_VALUE"""),7.0)</f>
        <v>7</v>
      </c>
      <c r="BF75" s="3">
        <f>IFERROR(__xludf.DUMMYFUNCTION("""COMPUTED_VALUE"""),7.0)</f>
        <v>7</v>
      </c>
      <c r="BG75" s="3">
        <f>IFERROR(__xludf.DUMMYFUNCTION("""COMPUTED_VALUE"""),7.0)</f>
        <v>7</v>
      </c>
      <c r="BH75" s="3">
        <f>IFERROR(__xludf.DUMMYFUNCTION("""COMPUTED_VALUE"""),7.0)</f>
        <v>7</v>
      </c>
      <c r="BI75" s="3">
        <f>IFERROR(__xludf.DUMMYFUNCTION("""COMPUTED_VALUE"""),7.0)</f>
        <v>7</v>
      </c>
      <c r="BJ75" s="3">
        <f>IFERROR(__xludf.DUMMYFUNCTION("""COMPUTED_VALUE"""),7.0)</f>
        <v>7</v>
      </c>
      <c r="BK75" s="3">
        <f>IFERROR(__xludf.DUMMYFUNCTION("""COMPUTED_VALUE"""),7.0)</f>
        <v>7</v>
      </c>
      <c r="BL75" s="3">
        <f>IFERROR(__xludf.DUMMYFUNCTION("""COMPUTED_VALUE"""),7.0)</f>
        <v>7</v>
      </c>
      <c r="BM75" s="3">
        <f>IFERROR(__xludf.DUMMYFUNCTION("""COMPUTED_VALUE"""),7.0)</f>
        <v>7</v>
      </c>
      <c r="BN75" s="3">
        <f>IFERROR(__xludf.DUMMYFUNCTION("""COMPUTED_VALUE"""),7.0)</f>
        <v>7</v>
      </c>
      <c r="BO75" s="3">
        <f>IFERROR(__xludf.DUMMYFUNCTION("""COMPUTED_VALUE"""),7.0)</f>
        <v>7</v>
      </c>
      <c r="BP75" s="3">
        <f>IFERROR(__xludf.DUMMYFUNCTION("""COMPUTED_VALUE"""),7.0)</f>
        <v>7</v>
      </c>
      <c r="BQ75" s="3">
        <f>IFERROR(__xludf.DUMMYFUNCTION("""COMPUTED_VALUE"""),7.0)</f>
        <v>7</v>
      </c>
      <c r="BR75" s="3">
        <f>IFERROR(__xludf.DUMMYFUNCTION("""COMPUTED_VALUE"""),7.0)</f>
        <v>7</v>
      </c>
      <c r="BS75" s="3">
        <f>IFERROR(__xludf.DUMMYFUNCTION("""COMPUTED_VALUE"""),7.0)</f>
        <v>7</v>
      </c>
      <c r="BT75" s="3">
        <f>IFERROR(__xludf.DUMMYFUNCTION("""COMPUTED_VALUE"""),7.0)</f>
        <v>7</v>
      </c>
      <c r="BU75" s="3">
        <f>IFERROR(__xludf.DUMMYFUNCTION("""COMPUTED_VALUE"""),7.0)</f>
        <v>7</v>
      </c>
      <c r="BV75" s="3">
        <f>IFERROR(__xludf.DUMMYFUNCTION("""COMPUTED_VALUE"""),7.0)</f>
        <v>7</v>
      </c>
      <c r="BW75" s="3">
        <f>IFERROR(__xludf.DUMMYFUNCTION("""COMPUTED_VALUE"""),7.0)</f>
        <v>7</v>
      </c>
      <c r="BX75" s="3">
        <f>IFERROR(__xludf.DUMMYFUNCTION("""COMPUTED_VALUE"""),7.0)</f>
        <v>7</v>
      </c>
      <c r="BY75" s="3">
        <f>IFERROR(__xludf.DUMMYFUNCTION("""COMPUTED_VALUE"""),7.0)</f>
        <v>7</v>
      </c>
      <c r="BZ75" s="3">
        <f>IFERROR(__xludf.DUMMYFUNCTION("""COMPUTED_VALUE"""),7.0)</f>
        <v>7</v>
      </c>
      <c r="CA75" s="3">
        <f>IFERROR(__xludf.DUMMYFUNCTION("""COMPUTED_VALUE"""),7.0)</f>
        <v>7</v>
      </c>
      <c r="CB75" s="3">
        <f>IFERROR(__xludf.DUMMYFUNCTION("""COMPUTED_VALUE"""),7.0)</f>
        <v>7</v>
      </c>
    </row>
    <row r="76">
      <c r="A76" s="3" t="str">
        <f>IFERROR(__xludf.DUMMYFUNCTION("""COMPUTED_VALUE"""),"Shanghai")</f>
        <v>Shanghai</v>
      </c>
      <c r="B76" s="3" t="str">
        <f>IFERROR(__xludf.DUMMYFUNCTION("""COMPUTED_VALUE"""),"China")</f>
        <v>China</v>
      </c>
      <c r="C76" s="3">
        <f>IFERROR(__xludf.DUMMYFUNCTION("""COMPUTED_VALUE"""),31.202)</f>
        <v>31.202</v>
      </c>
      <c r="D76" s="3">
        <f>IFERROR(__xludf.DUMMYFUNCTION("""COMPUTED_VALUE"""),121.4491)</f>
        <v>121.4491</v>
      </c>
      <c r="E76" s="3">
        <f>IFERROR(__xludf.DUMMYFUNCTION("""COMPUTED_VALUE"""),0.0)</f>
        <v>0</v>
      </c>
      <c r="F76" s="3">
        <f>IFERROR(__xludf.DUMMYFUNCTION("""COMPUTED_VALUE"""),0.0)</f>
        <v>0</v>
      </c>
      <c r="G76" s="3">
        <f>IFERROR(__xludf.DUMMYFUNCTION("""COMPUTED_VALUE"""),0.0)</f>
        <v>0</v>
      </c>
      <c r="H76" s="3">
        <f>IFERROR(__xludf.DUMMYFUNCTION("""COMPUTED_VALUE"""),0.0)</f>
        <v>0</v>
      </c>
      <c r="I76" s="3">
        <f>IFERROR(__xludf.DUMMYFUNCTION("""COMPUTED_VALUE"""),1.0)</f>
        <v>1</v>
      </c>
      <c r="J76" s="3">
        <f>IFERROR(__xludf.DUMMYFUNCTION("""COMPUTED_VALUE"""),1.0)</f>
        <v>1</v>
      </c>
      <c r="K76" s="3">
        <f>IFERROR(__xludf.DUMMYFUNCTION("""COMPUTED_VALUE"""),1.0)</f>
        <v>1</v>
      </c>
      <c r="L76" s="3">
        <f>IFERROR(__xludf.DUMMYFUNCTION("""COMPUTED_VALUE"""),1.0)</f>
        <v>1</v>
      </c>
      <c r="M76" s="3">
        <f>IFERROR(__xludf.DUMMYFUNCTION("""COMPUTED_VALUE"""),1.0)</f>
        <v>1</v>
      </c>
      <c r="N76" s="3">
        <f>IFERROR(__xludf.DUMMYFUNCTION("""COMPUTED_VALUE"""),1.0)</f>
        <v>1</v>
      </c>
      <c r="O76" s="3">
        <f>IFERROR(__xludf.DUMMYFUNCTION("""COMPUTED_VALUE"""),1.0)</f>
        <v>1</v>
      </c>
      <c r="P76" s="3">
        <f>IFERROR(__xludf.DUMMYFUNCTION("""COMPUTED_VALUE"""),1.0)</f>
        <v>1</v>
      </c>
      <c r="Q76" s="3">
        <f>IFERROR(__xludf.DUMMYFUNCTION("""COMPUTED_VALUE"""),1.0)</f>
        <v>1</v>
      </c>
      <c r="R76" s="3">
        <f>IFERROR(__xludf.DUMMYFUNCTION("""COMPUTED_VALUE"""),1.0)</f>
        <v>1</v>
      </c>
      <c r="S76" s="3">
        <f>IFERROR(__xludf.DUMMYFUNCTION("""COMPUTED_VALUE"""),1.0)</f>
        <v>1</v>
      </c>
      <c r="T76" s="3">
        <f>IFERROR(__xludf.DUMMYFUNCTION("""COMPUTED_VALUE"""),1.0)</f>
        <v>1</v>
      </c>
      <c r="U76" s="3">
        <f>IFERROR(__xludf.DUMMYFUNCTION("""COMPUTED_VALUE"""),1.0)</f>
        <v>1</v>
      </c>
      <c r="V76" s="3">
        <f>IFERROR(__xludf.DUMMYFUNCTION("""COMPUTED_VALUE"""),1.0)</f>
        <v>1</v>
      </c>
      <c r="W76" s="3">
        <f>IFERROR(__xludf.DUMMYFUNCTION("""COMPUTED_VALUE"""),1.0)</f>
        <v>1</v>
      </c>
      <c r="X76" s="3">
        <f>IFERROR(__xludf.DUMMYFUNCTION("""COMPUTED_VALUE"""),1.0)</f>
        <v>1</v>
      </c>
      <c r="Y76" s="3">
        <f>IFERROR(__xludf.DUMMYFUNCTION("""COMPUTED_VALUE"""),1.0)</f>
        <v>1</v>
      </c>
      <c r="Z76" s="3">
        <f>IFERROR(__xludf.DUMMYFUNCTION("""COMPUTED_VALUE"""),1.0)</f>
        <v>1</v>
      </c>
      <c r="AA76" s="3">
        <f>IFERROR(__xludf.DUMMYFUNCTION("""COMPUTED_VALUE"""),1.0)</f>
        <v>1</v>
      </c>
      <c r="AB76" s="3">
        <f>IFERROR(__xludf.DUMMYFUNCTION("""COMPUTED_VALUE"""),1.0)</f>
        <v>1</v>
      </c>
      <c r="AC76" s="3">
        <f>IFERROR(__xludf.DUMMYFUNCTION("""COMPUTED_VALUE"""),1.0)</f>
        <v>1</v>
      </c>
      <c r="AD76" s="3">
        <f>IFERROR(__xludf.DUMMYFUNCTION("""COMPUTED_VALUE"""),1.0)</f>
        <v>1</v>
      </c>
      <c r="AE76" s="3">
        <f>IFERROR(__xludf.DUMMYFUNCTION("""COMPUTED_VALUE"""),1.0)</f>
        <v>1</v>
      </c>
      <c r="AF76" s="3">
        <f>IFERROR(__xludf.DUMMYFUNCTION("""COMPUTED_VALUE"""),1.0)</f>
        <v>1</v>
      </c>
      <c r="AG76" s="3">
        <f>IFERROR(__xludf.DUMMYFUNCTION("""COMPUTED_VALUE"""),2.0)</f>
        <v>2</v>
      </c>
      <c r="AH76" s="3">
        <f>IFERROR(__xludf.DUMMYFUNCTION("""COMPUTED_VALUE"""),2.0)</f>
        <v>2</v>
      </c>
      <c r="AI76" s="3">
        <f>IFERROR(__xludf.DUMMYFUNCTION("""COMPUTED_VALUE"""),2.0)</f>
        <v>2</v>
      </c>
      <c r="AJ76" s="3">
        <f>IFERROR(__xludf.DUMMYFUNCTION("""COMPUTED_VALUE"""),3.0)</f>
        <v>3</v>
      </c>
      <c r="AK76" s="3">
        <f>IFERROR(__xludf.DUMMYFUNCTION("""COMPUTED_VALUE"""),3.0)</f>
        <v>3</v>
      </c>
      <c r="AL76" s="3">
        <f>IFERROR(__xludf.DUMMYFUNCTION("""COMPUTED_VALUE"""),3.0)</f>
        <v>3</v>
      </c>
      <c r="AM76" s="3">
        <f>IFERROR(__xludf.DUMMYFUNCTION("""COMPUTED_VALUE"""),3.0)</f>
        <v>3</v>
      </c>
      <c r="AN76" s="3">
        <f>IFERROR(__xludf.DUMMYFUNCTION("""COMPUTED_VALUE"""),3.0)</f>
        <v>3</v>
      </c>
      <c r="AO76" s="3">
        <f>IFERROR(__xludf.DUMMYFUNCTION("""COMPUTED_VALUE"""),3.0)</f>
        <v>3</v>
      </c>
      <c r="AP76" s="3">
        <f>IFERROR(__xludf.DUMMYFUNCTION("""COMPUTED_VALUE"""),3.0)</f>
        <v>3</v>
      </c>
      <c r="AQ76" s="3">
        <f>IFERROR(__xludf.DUMMYFUNCTION("""COMPUTED_VALUE"""),3.0)</f>
        <v>3</v>
      </c>
      <c r="AR76" s="3">
        <f>IFERROR(__xludf.DUMMYFUNCTION("""COMPUTED_VALUE"""),3.0)</f>
        <v>3</v>
      </c>
      <c r="AS76" s="3">
        <f>IFERROR(__xludf.DUMMYFUNCTION("""COMPUTED_VALUE"""),3.0)</f>
        <v>3</v>
      </c>
      <c r="AT76" s="3">
        <f>IFERROR(__xludf.DUMMYFUNCTION("""COMPUTED_VALUE"""),3.0)</f>
        <v>3</v>
      </c>
      <c r="AU76" s="3">
        <f>IFERROR(__xludf.DUMMYFUNCTION("""COMPUTED_VALUE"""),3.0)</f>
        <v>3</v>
      </c>
      <c r="AV76" s="3">
        <f>IFERROR(__xludf.DUMMYFUNCTION("""COMPUTED_VALUE"""),3.0)</f>
        <v>3</v>
      </c>
      <c r="AW76" s="3">
        <f>IFERROR(__xludf.DUMMYFUNCTION("""COMPUTED_VALUE"""),3.0)</f>
        <v>3</v>
      </c>
      <c r="AX76" s="3">
        <f>IFERROR(__xludf.DUMMYFUNCTION("""COMPUTED_VALUE"""),3.0)</f>
        <v>3</v>
      </c>
      <c r="AY76" s="3">
        <f>IFERROR(__xludf.DUMMYFUNCTION("""COMPUTED_VALUE"""),3.0)</f>
        <v>3</v>
      </c>
      <c r="AZ76" s="3">
        <f>IFERROR(__xludf.DUMMYFUNCTION("""COMPUTED_VALUE"""),3.0)</f>
        <v>3</v>
      </c>
      <c r="BA76" s="3">
        <f>IFERROR(__xludf.DUMMYFUNCTION("""COMPUTED_VALUE"""),3.0)</f>
        <v>3</v>
      </c>
      <c r="BB76" s="3">
        <f>IFERROR(__xludf.DUMMYFUNCTION("""COMPUTED_VALUE"""),3.0)</f>
        <v>3</v>
      </c>
      <c r="BC76" s="3">
        <f>IFERROR(__xludf.DUMMYFUNCTION("""COMPUTED_VALUE"""),3.0)</f>
        <v>3</v>
      </c>
      <c r="BD76" s="3">
        <f>IFERROR(__xludf.DUMMYFUNCTION("""COMPUTED_VALUE"""),3.0)</f>
        <v>3</v>
      </c>
      <c r="BE76" s="3">
        <f>IFERROR(__xludf.DUMMYFUNCTION("""COMPUTED_VALUE"""),3.0)</f>
        <v>3</v>
      </c>
      <c r="BF76" s="3">
        <f>IFERROR(__xludf.DUMMYFUNCTION("""COMPUTED_VALUE"""),3.0)</f>
        <v>3</v>
      </c>
      <c r="BG76" s="3">
        <f>IFERROR(__xludf.DUMMYFUNCTION("""COMPUTED_VALUE"""),3.0)</f>
        <v>3</v>
      </c>
      <c r="BH76" s="3">
        <f>IFERROR(__xludf.DUMMYFUNCTION("""COMPUTED_VALUE"""),3.0)</f>
        <v>3</v>
      </c>
      <c r="BI76" s="3">
        <f>IFERROR(__xludf.DUMMYFUNCTION("""COMPUTED_VALUE"""),3.0)</f>
        <v>3</v>
      </c>
      <c r="BJ76" s="3">
        <f>IFERROR(__xludf.DUMMYFUNCTION("""COMPUTED_VALUE"""),3.0)</f>
        <v>3</v>
      </c>
      <c r="BK76" s="3">
        <f>IFERROR(__xludf.DUMMYFUNCTION("""COMPUTED_VALUE"""),3.0)</f>
        <v>3</v>
      </c>
      <c r="BL76" s="3">
        <f>IFERROR(__xludf.DUMMYFUNCTION("""COMPUTED_VALUE"""),3.0)</f>
        <v>3</v>
      </c>
      <c r="BM76" s="3">
        <f>IFERROR(__xludf.DUMMYFUNCTION("""COMPUTED_VALUE"""),4.0)</f>
        <v>4</v>
      </c>
      <c r="BN76" s="3">
        <f>IFERROR(__xludf.DUMMYFUNCTION("""COMPUTED_VALUE"""),4.0)</f>
        <v>4</v>
      </c>
      <c r="BO76" s="3">
        <f>IFERROR(__xludf.DUMMYFUNCTION("""COMPUTED_VALUE"""),4.0)</f>
        <v>4</v>
      </c>
      <c r="BP76" s="3">
        <f>IFERROR(__xludf.DUMMYFUNCTION("""COMPUTED_VALUE"""),5.0)</f>
        <v>5</v>
      </c>
      <c r="BQ76" s="3">
        <f>IFERROR(__xludf.DUMMYFUNCTION("""COMPUTED_VALUE"""),5.0)</f>
        <v>5</v>
      </c>
      <c r="BR76" s="3">
        <f>IFERROR(__xludf.DUMMYFUNCTION("""COMPUTED_VALUE"""),5.0)</f>
        <v>5</v>
      </c>
      <c r="BS76" s="3">
        <f>IFERROR(__xludf.DUMMYFUNCTION("""COMPUTED_VALUE"""),5.0)</f>
        <v>5</v>
      </c>
      <c r="BT76" s="3">
        <f>IFERROR(__xludf.DUMMYFUNCTION("""COMPUTED_VALUE"""),5.0)</f>
        <v>5</v>
      </c>
      <c r="BU76" s="3">
        <f>IFERROR(__xludf.DUMMYFUNCTION("""COMPUTED_VALUE"""),5.0)</f>
        <v>5</v>
      </c>
      <c r="BV76" s="3">
        <f>IFERROR(__xludf.DUMMYFUNCTION("""COMPUTED_VALUE"""),5.0)</f>
        <v>5</v>
      </c>
      <c r="BW76" s="3">
        <f>IFERROR(__xludf.DUMMYFUNCTION("""COMPUTED_VALUE"""),6.0)</f>
        <v>6</v>
      </c>
      <c r="BX76" s="3">
        <f>IFERROR(__xludf.DUMMYFUNCTION("""COMPUTED_VALUE"""),6.0)</f>
        <v>6</v>
      </c>
      <c r="BY76" s="3">
        <f>IFERROR(__xludf.DUMMYFUNCTION("""COMPUTED_VALUE"""),6.0)</f>
        <v>6</v>
      </c>
      <c r="BZ76" s="3">
        <f>IFERROR(__xludf.DUMMYFUNCTION("""COMPUTED_VALUE"""),6.0)</f>
        <v>6</v>
      </c>
      <c r="CA76" s="3">
        <f>IFERROR(__xludf.DUMMYFUNCTION("""COMPUTED_VALUE"""),6.0)</f>
        <v>6</v>
      </c>
      <c r="CB76" s="3">
        <f>IFERROR(__xludf.DUMMYFUNCTION("""COMPUTED_VALUE"""),6.0)</f>
        <v>6</v>
      </c>
    </row>
    <row r="77">
      <c r="A77" s="3" t="str">
        <f>IFERROR(__xludf.DUMMYFUNCTION("""COMPUTED_VALUE"""),"Shanxi")</f>
        <v>Shanxi</v>
      </c>
      <c r="B77" s="3" t="str">
        <f>IFERROR(__xludf.DUMMYFUNCTION("""COMPUTED_VALUE"""),"China")</f>
        <v>China</v>
      </c>
      <c r="C77" s="3">
        <f>IFERROR(__xludf.DUMMYFUNCTION("""COMPUTED_VALUE"""),37.5777)</f>
        <v>37.5777</v>
      </c>
      <c r="D77" s="3">
        <f>IFERROR(__xludf.DUMMYFUNCTION("""COMPUTED_VALUE"""),112.2922)</f>
        <v>112.2922</v>
      </c>
      <c r="E77" s="3">
        <f>IFERROR(__xludf.DUMMYFUNCTION("""COMPUTED_VALUE"""),0.0)</f>
        <v>0</v>
      </c>
      <c r="F77" s="3">
        <f>IFERROR(__xludf.DUMMYFUNCTION("""COMPUTED_VALUE"""),0.0)</f>
        <v>0</v>
      </c>
      <c r="G77" s="3">
        <f>IFERROR(__xludf.DUMMYFUNCTION("""COMPUTED_VALUE"""),0.0)</f>
        <v>0</v>
      </c>
      <c r="H77" s="3">
        <f>IFERROR(__xludf.DUMMYFUNCTION("""COMPUTED_VALUE"""),0.0)</f>
        <v>0</v>
      </c>
      <c r="I77" s="3">
        <f>IFERROR(__xludf.DUMMYFUNCTION("""COMPUTED_VALUE"""),0.0)</f>
        <v>0</v>
      </c>
      <c r="J77" s="3">
        <f>IFERROR(__xludf.DUMMYFUNCTION("""COMPUTED_VALUE"""),0.0)</f>
        <v>0</v>
      </c>
      <c r="K77" s="3">
        <f>IFERROR(__xludf.DUMMYFUNCTION("""COMPUTED_VALUE"""),0.0)</f>
        <v>0</v>
      </c>
      <c r="L77" s="3">
        <f>IFERROR(__xludf.DUMMYFUNCTION("""COMPUTED_VALUE"""),0.0)</f>
        <v>0</v>
      </c>
      <c r="M77" s="3">
        <f>IFERROR(__xludf.DUMMYFUNCTION("""COMPUTED_VALUE"""),0.0)</f>
        <v>0</v>
      </c>
      <c r="N77" s="3">
        <f>IFERROR(__xludf.DUMMYFUNCTION("""COMPUTED_VALUE"""),0.0)</f>
        <v>0</v>
      </c>
      <c r="O77" s="3">
        <f>IFERROR(__xludf.DUMMYFUNCTION("""COMPUTED_VALUE"""),0.0)</f>
        <v>0</v>
      </c>
      <c r="P77" s="3">
        <f>IFERROR(__xludf.DUMMYFUNCTION("""COMPUTED_VALUE"""),0.0)</f>
        <v>0</v>
      </c>
      <c r="Q77" s="3">
        <f>IFERROR(__xludf.DUMMYFUNCTION("""COMPUTED_VALUE"""),0.0)</f>
        <v>0</v>
      </c>
      <c r="R77" s="3">
        <f>IFERROR(__xludf.DUMMYFUNCTION("""COMPUTED_VALUE"""),0.0)</f>
        <v>0</v>
      </c>
      <c r="S77" s="3">
        <f>IFERROR(__xludf.DUMMYFUNCTION("""COMPUTED_VALUE"""),0.0)</f>
        <v>0</v>
      </c>
      <c r="T77" s="3">
        <f>IFERROR(__xludf.DUMMYFUNCTION("""COMPUTED_VALUE"""),0.0)</f>
        <v>0</v>
      </c>
      <c r="U77" s="3">
        <f>IFERROR(__xludf.DUMMYFUNCTION("""COMPUTED_VALUE"""),0.0)</f>
        <v>0</v>
      </c>
      <c r="V77" s="3">
        <f>IFERROR(__xludf.DUMMYFUNCTION("""COMPUTED_VALUE"""),0.0)</f>
        <v>0</v>
      </c>
      <c r="W77" s="3">
        <f>IFERROR(__xludf.DUMMYFUNCTION("""COMPUTED_VALUE"""),0.0)</f>
        <v>0</v>
      </c>
      <c r="X77" s="3">
        <f>IFERROR(__xludf.DUMMYFUNCTION("""COMPUTED_VALUE"""),0.0)</f>
        <v>0</v>
      </c>
      <c r="Y77" s="3">
        <f>IFERROR(__xludf.DUMMYFUNCTION("""COMPUTED_VALUE"""),0.0)</f>
        <v>0</v>
      </c>
      <c r="Z77" s="3">
        <f>IFERROR(__xludf.DUMMYFUNCTION("""COMPUTED_VALUE"""),0.0)</f>
        <v>0</v>
      </c>
      <c r="AA77" s="3">
        <f>IFERROR(__xludf.DUMMYFUNCTION("""COMPUTED_VALUE"""),0.0)</f>
        <v>0</v>
      </c>
      <c r="AB77" s="3">
        <f>IFERROR(__xludf.DUMMYFUNCTION("""COMPUTED_VALUE"""),0.0)</f>
        <v>0</v>
      </c>
      <c r="AC77" s="3">
        <f>IFERROR(__xludf.DUMMYFUNCTION("""COMPUTED_VALUE"""),0.0)</f>
        <v>0</v>
      </c>
      <c r="AD77" s="3">
        <f>IFERROR(__xludf.DUMMYFUNCTION("""COMPUTED_VALUE"""),0.0)</f>
        <v>0</v>
      </c>
      <c r="AE77" s="3">
        <f>IFERROR(__xludf.DUMMYFUNCTION("""COMPUTED_VALUE"""),0.0)</f>
        <v>0</v>
      </c>
      <c r="AF77" s="3">
        <f>IFERROR(__xludf.DUMMYFUNCTION("""COMPUTED_VALUE"""),0.0)</f>
        <v>0</v>
      </c>
      <c r="AG77" s="3">
        <f>IFERROR(__xludf.DUMMYFUNCTION("""COMPUTED_VALUE"""),0.0)</f>
        <v>0</v>
      </c>
      <c r="AH77" s="3">
        <f>IFERROR(__xludf.DUMMYFUNCTION("""COMPUTED_VALUE"""),0.0)</f>
        <v>0</v>
      </c>
      <c r="AI77" s="3">
        <f>IFERROR(__xludf.DUMMYFUNCTION("""COMPUTED_VALUE"""),0.0)</f>
        <v>0</v>
      </c>
      <c r="AJ77" s="3">
        <f>IFERROR(__xludf.DUMMYFUNCTION("""COMPUTED_VALUE"""),0.0)</f>
        <v>0</v>
      </c>
      <c r="AK77" s="3">
        <f>IFERROR(__xludf.DUMMYFUNCTION("""COMPUTED_VALUE"""),0.0)</f>
        <v>0</v>
      </c>
      <c r="AL77" s="3">
        <f>IFERROR(__xludf.DUMMYFUNCTION("""COMPUTED_VALUE"""),0.0)</f>
        <v>0</v>
      </c>
      <c r="AM77" s="3">
        <f>IFERROR(__xludf.DUMMYFUNCTION("""COMPUTED_VALUE"""),0.0)</f>
        <v>0</v>
      </c>
      <c r="AN77" s="3">
        <f>IFERROR(__xludf.DUMMYFUNCTION("""COMPUTED_VALUE"""),0.0)</f>
        <v>0</v>
      </c>
      <c r="AO77" s="3">
        <f>IFERROR(__xludf.DUMMYFUNCTION("""COMPUTED_VALUE"""),0.0)</f>
        <v>0</v>
      </c>
      <c r="AP77" s="3">
        <f>IFERROR(__xludf.DUMMYFUNCTION("""COMPUTED_VALUE"""),0.0)</f>
        <v>0</v>
      </c>
      <c r="AQ77" s="3">
        <f>IFERROR(__xludf.DUMMYFUNCTION("""COMPUTED_VALUE"""),0.0)</f>
        <v>0</v>
      </c>
      <c r="AR77" s="3">
        <f>IFERROR(__xludf.DUMMYFUNCTION("""COMPUTED_VALUE"""),0.0)</f>
        <v>0</v>
      </c>
      <c r="AS77" s="3">
        <f>IFERROR(__xludf.DUMMYFUNCTION("""COMPUTED_VALUE"""),0.0)</f>
        <v>0</v>
      </c>
      <c r="AT77" s="3">
        <f>IFERROR(__xludf.DUMMYFUNCTION("""COMPUTED_VALUE"""),0.0)</f>
        <v>0</v>
      </c>
      <c r="AU77" s="3">
        <f>IFERROR(__xludf.DUMMYFUNCTION("""COMPUTED_VALUE"""),0.0)</f>
        <v>0</v>
      </c>
      <c r="AV77" s="3">
        <f>IFERROR(__xludf.DUMMYFUNCTION("""COMPUTED_VALUE"""),0.0)</f>
        <v>0</v>
      </c>
      <c r="AW77" s="3">
        <f>IFERROR(__xludf.DUMMYFUNCTION("""COMPUTED_VALUE"""),0.0)</f>
        <v>0</v>
      </c>
      <c r="AX77" s="3">
        <f>IFERROR(__xludf.DUMMYFUNCTION("""COMPUTED_VALUE"""),0.0)</f>
        <v>0</v>
      </c>
      <c r="AY77" s="3">
        <f>IFERROR(__xludf.DUMMYFUNCTION("""COMPUTED_VALUE"""),0.0)</f>
        <v>0</v>
      </c>
      <c r="AZ77" s="3">
        <f>IFERROR(__xludf.DUMMYFUNCTION("""COMPUTED_VALUE"""),0.0)</f>
        <v>0</v>
      </c>
      <c r="BA77" s="3">
        <f>IFERROR(__xludf.DUMMYFUNCTION("""COMPUTED_VALUE"""),0.0)</f>
        <v>0</v>
      </c>
      <c r="BB77" s="3">
        <f>IFERROR(__xludf.DUMMYFUNCTION("""COMPUTED_VALUE"""),0.0)</f>
        <v>0</v>
      </c>
      <c r="BC77" s="3">
        <f>IFERROR(__xludf.DUMMYFUNCTION("""COMPUTED_VALUE"""),0.0)</f>
        <v>0</v>
      </c>
      <c r="BD77" s="3">
        <f>IFERROR(__xludf.DUMMYFUNCTION("""COMPUTED_VALUE"""),0.0)</f>
        <v>0</v>
      </c>
      <c r="BE77" s="3">
        <f>IFERROR(__xludf.DUMMYFUNCTION("""COMPUTED_VALUE"""),0.0)</f>
        <v>0</v>
      </c>
      <c r="BF77" s="3">
        <f>IFERROR(__xludf.DUMMYFUNCTION("""COMPUTED_VALUE"""),0.0)</f>
        <v>0</v>
      </c>
      <c r="BG77" s="3">
        <f>IFERROR(__xludf.DUMMYFUNCTION("""COMPUTED_VALUE"""),0.0)</f>
        <v>0</v>
      </c>
      <c r="BH77" s="3">
        <f>IFERROR(__xludf.DUMMYFUNCTION("""COMPUTED_VALUE"""),0.0)</f>
        <v>0</v>
      </c>
      <c r="BI77" s="3">
        <f>IFERROR(__xludf.DUMMYFUNCTION("""COMPUTED_VALUE"""),0.0)</f>
        <v>0</v>
      </c>
      <c r="BJ77" s="3">
        <f>IFERROR(__xludf.DUMMYFUNCTION("""COMPUTED_VALUE"""),0.0)</f>
        <v>0</v>
      </c>
      <c r="BK77" s="3">
        <f>IFERROR(__xludf.DUMMYFUNCTION("""COMPUTED_VALUE"""),0.0)</f>
        <v>0</v>
      </c>
      <c r="BL77" s="3">
        <f>IFERROR(__xludf.DUMMYFUNCTION("""COMPUTED_VALUE"""),0.0)</f>
        <v>0</v>
      </c>
      <c r="BM77" s="3">
        <f>IFERROR(__xludf.DUMMYFUNCTION("""COMPUTED_VALUE"""),0.0)</f>
        <v>0</v>
      </c>
      <c r="BN77" s="3">
        <f>IFERROR(__xludf.DUMMYFUNCTION("""COMPUTED_VALUE"""),0.0)</f>
        <v>0</v>
      </c>
      <c r="BO77" s="3">
        <f>IFERROR(__xludf.DUMMYFUNCTION("""COMPUTED_VALUE"""),0.0)</f>
        <v>0</v>
      </c>
      <c r="BP77" s="3">
        <f>IFERROR(__xludf.DUMMYFUNCTION("""COMPUTED_VALUE"""),0.0)</f>
        <v>0</v>
      </c>
      <c r="BQ77" s="3">
        <f>IFERROR(__xludf.DUMMYFUNCTION("""COMPUTED_VALUE"""),0.0)</f>
        <v>0</v>
      </c>
      <c r="BR77" s="3">
        <f>IFERROR(__xludf.DUMMYFUNCTION("""COMPUTED_VALUE"""),0.0)</f>
        <v>0</v>
      </c>
      <c r="BS77" s="3">
        <f>IFERROR(__xludf.DUMMYFUNCTION("""COMPUTED_VALUE"""),0.0)</f>
        <v>0</v>
      </c>
      <c r="BT77" s="3">
        <f>IFERROR(__xludf.DUMMYFUNCTION("""COMPUTED_VALUE"""),0.0)</f>
        <v>0</v>
      </c>
      <c r="BU77" s="3">
        <f>IFERROR(__xludf.DUMMYFUNCTION("""COMPUTED_VALUE"""),0.0)</f>
        <v>0</v>
      </c>
      <c r="BV77" s="3">
        <f>IFERROR(__xludf.DUMMYFUNCTION("""COMPUTED_VALUE"""),0.0)</f>
        <v>0</v>
      </c>
      <c r="BW77" s="3">
        <f>IFERROR(__xludf.DUMMYFUNCTION("""COMPUTED_VALUE"""),0.0)</f>
        <v>0</v>
      </c>
      <c r="BX77" s="3">
        <f>IFERROR(__xludf.DUMMYFUNCTION("""COMPUTED_VALUE"""),0.0)</f>
        <v>0</v>
      </c>
      <c r="BY77" s="3">
        <f>IFERROR(__xludf.DUMMYFUNCTION("""COMPUTED_VALUE"""),0.0)</f>
        <v>0</v>
      </c>
      <c r="BZ77" s="3">
        <f>IFERROR(__xludf.DUMMYFUNCTION("""COMPUTED_VALUE"""),0.0)</f>
        <v>0</v>
      </c>
      <c r="CA77" s="3">
        <f>IFERROR(__xludf.DUMMYFUNCTION("""COMPUTED_VALUE"""),0.0)</f>
        <v>0</v>
      </c>
      <c r="CB77" s="3">
        <f>IFERROR(__xludf.DUMMYFUNCTION("""COMPUTED_VALUE"""),0.0)</f>
        <v>0</v>
      </c>
    </row>
    <row r="78">
      <c r="A78" s="3" t="str">
        <f>IFERROR(__xludf.DUMMYFUNCTION("""COMPUTED_VALUE"""),"Sichuan")</f>
        <v>Sichuan</v>
      </c>
      <c r="B78" s="3" t="str">
        <f>IFERROR(__xludf.DUMMYFUNCTION("""COMPUTED_VALUE"""),"China")</f>
        <v>China</v>
      </c>
      <c r="C78" s="3">
        <f>IFERROR(__xludf.DUMMYFUNCTION("""COMPUTED_VALUE"""),30.6171)</f>
        <v>30.6171</v>
      </c>
      <c r="D78" s="3">
        <f>IFERROR(__xludf.DUMMYFUNCTION("""COMPUTED_VALUE"""),102.7103)</f>
        <v>102.7103</v>
      </c>
      <c r="E78" s="3">
        <f>IFERROR(__xludf.DUMMYFUNCTION("""COMPUTED_VALUE"""),0.0)</f>
        <v>0</v>
      </c>
      <c r="F78" s="3">
        <f>IFERROR(__xludf.DUMMYFUNCTION("""COMPUTED_VALUE"""),0.0)</f>
        <v>0</v>
      </c>
      <c r="G78" s="3">
        <f>IFERROR(__xludf.DUMMYFUNCTION("""COMPUTED_VALUE"""),0.0)</f>
        <v>0</v>
      </c>
      <c r="H78" s="3">
        <f>IFERROR(__xludf.DUMMYFUNCTION("""COMPUTED_VALUE"""),0.0)</f>
        <v>0</v>
      </c>
      <c r="I78" s="3">
        <f>IFERROR(__xludf.DUMMYFUNCTION("""COMPUTED_VALUE"""),0.0)</f>
        <v>0</v>
      </c>
      <c r="J78" s="3">
        <f>IFERROR(__xludf.DUMMYFUNCTION("""COMPUTED_VALUE"""),0.0)</f>
        <v>0</v>
      </c>
      <c r="K78" s="3">
        <f>IFERROR(__xludf.DUMMYFUNCTION("""COMPUTED_VALUE"""),0.0)</f>
        <v>0</v>
      </c>
      <c r="L78" s="3">
        <f>IFERROR(__xludf.DUMMYFUNCTION("""COMPUTED_VALUE"""),1.0)</f>
        <v>1</v>
      </c>
      <c r="M78" s="3">
        <f>IFERROR(__xludf.DUMMYFUNCTION("""COMPUTED_VALUE"""),1.0)</f>
        <v>1</v>
      </c>
      <c r="N78" s="3">
        <f>IFERROR(__xludf.DUMMYFUNCTION("""COMPUTED_VALUE"""),1.0)</f>
        <v>1</v>
      </c>
      <c r="O78" s="3">
        <f>IFERROR(__xludf.DUMMYFUNCTION("""COMPUTED_VALUE"""),1.0)</f>
        <v>1</v>
      </c>
      <c r="P78" s="3">
        <f>IFERROR(__xludf.DUMMYFUNCTION("""COMPUTED_VALUE"""),1.0)</f>
        <v>1</v>
      </c>
      <c r="Q78" s="3">
        <f>IFERROR(__xludf.DUMMYFUNCTION("""COMPUTED_VALUE"""),1.0)</f>
        <v>1</v>
      </c>
      <c r="R78" s="3">
        <f>IFERROR(__xludf.DUMMYFUNCTION("""COMPUTED_VALUE"""),1.0)</f>
        <v>1</v>
      </c>
      <c r="S78" s="3">
        <f>IFERROR(__xludf.DUMMYFUNCTION("""COMPUTED_VALUE"""),1.0)</f>
        <v>1</v>
      </c>
      <c r="T78" s="3">
        <f>IFERROR(__xludf.DUMMYFUNCTION("""COMPUTED_VALUE"""),1.0)</f>
        <v>1</v>
      </c>
      <c r="U78" s="3">
        <f>IFERROR(__xludf.DUMMYFUNCTION("""COMPUTED_VALUE"""),1.0)</f>
        <v>1</v>
      </c>
      <c r="V78" s="3">
        <f>IFERROR(__xludf.DUMMYFUNCTION("""COMPUTED_VALUE"""),1.0)</f>
        <v>1</v>
      </c>
      <c r="W78" s="3">
        <f>IFERROR(__xludf.DUMMYFUNCTION("""COMPUTED_VALUE"""),1.0)</f>
        <v>1</v>
      </c>
      <c r="X78" s="3">
        <f>IFERROR(__xludf.DUMMYFUNCTION("""COMPUTED_VALUE"""),1.0)</f>
        <v>1</v>
      </c>
      <c r="Y78" s="3">
        <f>IFERROR(__xludf.DUMMYFUNCTION("""COMPUTED_VALUE"""),1.0)</f>
        <v>1</v>
      </c>
      <c r="Z78" s="3">
        <f>IFERROR(__xludf.DUMMYFUNCTION("""COMPUTED_VALUE"""),1.0)</f>
        <v>1</v>
      </c>
      <c r="AA78" s="3">
        <f>IFERROR(__xludf.DUMMYFUNCTION("""COMPUTED_VALUE"""),1.0)</f>
        <v>1</v>
      </c>
      <c r="AB78" s="3">
        <f>IFERROR(__xludf.DUMMYFUNCTION("""COMPUTED_VALUE"""),1.0)</f>
        <v>1</v>
      </c>
      <c r="AC78" s="3">
        <f>IFERROR(__xludf.DUMMYFUNCTION("""COMPUTED_VALUE"""),1.0)</f>
        <v>1</v>
      </c>
      <c r="AD78" s="3">
        <f>IFERROR(__xludf.DUMMYFUNCTION("""COMPUTED_VALUE"""),3.0)</f>
        <v>3</v>
      </c>
      <c r="AE78" s="3">
        <f>IFERROR(__xludf.DUMMYFUNCTION("""COMPUTED_VALUE"""),3.0)</f>
        <v>3</v>
      </c>
      <c r="AF78" s="3">
        <f>IFERROR(__xludf.DUMMYFUNCTION("""COMPUTED_VALUE"""),3.0)</f>
        <v>3</v>
      </c>
      <c r="AG78" s="3">
        <f>IFERROR(__xludf.DUMMYFUNCTION("""COMPUTED_VALUE"""),3.0)</f>
        <v>3</v>
      </c>
      <c r="AH78" s="3">
        <f>IFERROR(__xludf.DUMMYFUNCTION("""COMPUTED_VALUE"""),3.0)</f>
        <v>3</v>
      </c>
      <c r="AI78" s="3">
        <f>IFERROR(__xludf.DUMMYFUNCTION("""COMPUTED_VALUE"""),3.0)</f>
        <v>3</v>
      </c>
      <c r="AJ78" s="3">
        <f>IFERROR(__xludf.DUMMYFUNCTION("""COMPUTED_VALUE"""),3.0)</f>
        <v>3</v>
      </c>
      <c r="AK78" s="3">
        <f>IFERROR(__xludf.DUMMYFUNCTION("""COMPUTED_VALUE"""),3.0)</f>
        <v>3</v>
      </c>
      <c r="AL78" s="3">
        <f>IFERROR(__xludf.DUMMYFUNCTION("""COMPUTED_VALUE"""),3.0)</f>
        <v>3</v>
      </c>
      <c r="AM78" s="3">
        <f>IFERROR(__xludf.DUMMYFUNCTION("""COMPUTED_VALUE"""),3.0)</f>
        <v>3</v>
      </c>
      <c r="AN78" s="3">
        <f>IFERROR(__xludf.DUMMYFUNCTION("""COMPUTED_VALUE"""),3.0)</f>
        <v>3</v>
      </c>
      <c r="AO78" s="3">
        <f>IFERROR(__xludf.DUMMYFUNCTION("""COMPUTED_VALUE"""),3.0)</f>
        <v>3</v>
      </c>
      <c r="AP78" s="3">
        <f>IFERROR(__xludf.DUMMYFUNCTION("""COMPUTED_VALUE"""),3.0)</f>
        <v>3</v>
      </c>
      <c r="AQ78" s="3">
        <f>IFERROR(__xludf.DUMMYFUNCTION("""COMPUTED_VALUE"""),3.0)</f>
        <v>3</v>
      </c>
      <c r="AR78" s="3">
        <f>IFERROR(__xludf.DUMMYFUNCTION("""COMPUTED_VALUE"""),3.0)</f>
        <v>3</v>
      </c>
      <c r="AS78" s="3">
        <f>IFERROR(__xludf.DUMMYFUNCTION("""COMPUTED_VALUE"""),3.0)</f>
        <v>3</v>
      </c>
      <c r="AT78" s="3">
        <f>IFERROR(__xludf.DUMMYFUNCTION("""COMPUTED_VALUE"""),3.0)</f>
        <v>3</v>
      </c>
      <c r="AU78" s="3">
        <f>IFERROR(__xludf.DUMMYFUNCTION("""COMPUTED_VALUE"""),3.0)</f>
        <v>3</v>
      </c>
      <c r="AV78" s="3">
        <f>IFERROR(__xludf.DUMMYFUNCTION("""COMPUTED_VALUE"""),3.0)</f>
        <v>3</v>
      </c>
      <c r="AW78" s="3">
        <f>IFERROR(__xludf.DUMMYFUNCTION("""COMPUTED_VALUE"""),3.0)</f>
        <v>3</v>
      </c>
      <c r="AX78" s="3">
        <f>IFERROR(__xludf.DUMMYFUNCTION("""COMPUTED_VALUE"""),3.0)</f>
        <v>3</v>
      </c>
      <c r="AY78" s="3">
        <f>IFERROR(__xludf.DUMMYFUNCTION("""COMPUTED_VALUE"""),3.0)</f>
        <v>3</v>
      </c>
      <c r="AZ78" s="3">
        <f>IFERROR(__xludf.DUMMYFUNCTION("""COMPUTED_VALUE"""),3.0)</f>
        <v>3</v>
      </c>
      <c r="BA78" s="3">
        <f>IFERROR(__xludf.DUMMYFUNCTION("""COMPUTED_VALUE"""),3.0)</f>
        <v>3</v>
      </c>
      <c r="BB78" s="3">
        <f>IFERROR(__xludf.DUMMYFUNCTION("""COMPUTED_VALUE"""),3.0)</f>
        <v>3</v>
      </c>
      <c r="BC78" s="3">
        <f>IFERROR(__xludf.DUMMYFUNCTION("""COMPUTED_VALUE"""),3.0)</f>
        <v>3</v>
      </c>
      <c r="BD78" s="3">
        <f>IFERROR(__xludf.DUMMYFUNCTION("""COMPUTED_VALUE"""),3.0)</f>
        <v>3</v>
      </c>
      <c r="BE78" s="3">
        <f>IFERROR(__xludf.DUMMYFUNCTION("""COMPUTED_VALUE"""),3.0)</f>
        <v>3</v>
      </c>
      <c r="BF78" s="3">
        <f>IFERROR(__xludf.DUMMYFUNCTION("""COMPUTED_VALUE"""),3.0)</f>
        <v>3</v>
      </c>
      <c r="BG78" s="3">
        <f>IFERROR(__xludf.DUMMYFUNCTION("""COMPUTED_VALUE"""),3.0)</f>
        <v>3</v>
      </c>
      <c r="BH78" s="3">
        <f>IFERROR(__xludf.DUMMYFUNCTION("""COMPUTED_VALUE"""),3.0)</f>
        <v>3</v>
      </c>
      <c r="BI78" s="3">
        <f>IFERROR(__xludf.DUMMYFUNCTION("""COMPUTED_VALUE"""),3.0)</f>
        <v>3</v>
      </c>
      <c r="BJ78" s="3">
        <f>IFERROR(__xludf.DUMMYFUNCTION("""COMPUTED_VALUE"""),3.0)</f>
        <v>3</v>
      </c>
      <c r="BK78" s="3">
        <f>IFERROR(__xludf.DUMMYFUNCTION("""COMPUTED_VALUE"""),3.0)</f>
        <v>3</v>
      </c>
      <c r="BL78" s="3">
        <f>IFERROR(__xludf.DUMMYFUNCTION("""COMPUTED_VALUE"""),3.0)</f>
        <v>3</v>
      </c>
      <c r="BM78" s="3">
        <f>IFERROR(__xludf.DUMMYFUNCTION("""COMPUTED_VALUE"""),3.0)</f>
        <v>3</v>
      </c>
      <c r="BN78" s="3">
        <f>IFERROR(__xludf.DUMMYFUNCTION("""COMPUTED_VALUE"""),3.0)</f>
        <v>3</v>
      </c>
      <c r="BO78" s="3">
        <f>IFERROR(__xludf.DUMMYFUNCTION("""COMPUTED_VALUE"""),3.0)</f>
        <v>3</v>
      </c>
      <c r="BP78" s="3">
        <f>IFERROR(__xludf.DUMMYFUNCTION("""COMPUTED_VALUE"""),3.0)</f>
        <v>3</v>
      </c>
      <c r="BQ78" s="3">
        <f>IFERROR(__xludf.DUMMYFUNCTION("""COMPUTED_VALUE"""),3.0)</f>
        <v>3</v>
      </c>
      <c r="BR78" s="3">
        <f>IFERROR(__xludf.DUMMYFUNCTION("""COMPUTED_VALUE"""),3.0)</f>
        <v>3</v>
      </c>
      <c r="BS78" s="3">
        <f>IFERROR(__xludf.DUMMYFUNCTION("""COMPUTED_VALUE"""),3.0)</f>
        <v>3</v>
      </c>
      <c r="BT78" s="3">
        <f>IFERROR(__xludf.DUMMYFUNCTION("""COMPUTED_VALUE"""),3.0)</f>
        <v>3</v>
      </c>
      <c r="BU78" s="3">
        <f>IFERROR(__xludf.DUMMYFUNCTION("""COMPUTED_VALUE"""),3.0)</f>
        <v>3</v>
      </c>
      <c r="BV78" s="3">
        <f>IFERROR(__xludf.DUMMYFUNCTION("""COMPUTED_VALUE"""),3.0)</f>
        <v>3</v>
      </c>
      <c r="BW78" s="3">
        <f>IFERROR(__xludf.DUMMYFUNCTION("""COMPUTED_VALUE"""),3.0)</f>
        <v>3</v>
      </c>
      <c r="BX78" s="3">
        <f>IFERROR(__xludf.DUMMYFUNCTION("""COMPUTED_VALUE"""),3.0)</f>
        <v>3</v>
      </c>
      <c r="BY78" s="3">
        <f>IFERROR(__xludf.DUMMYFUNCTION("""COMPUTED_VALUE"""),3.0)</f>
        <v>3</v>
      </c>
      <c r="BZ78" s="3">
        <f>IFERROR(__xludf.DUMMYFUNCTION("""COMPUTED_VALUE"""),3.0)</f>
        <v>3</v>
      </c>
      <c r="CA78" s="3">
        <f>IFERROR(__xludf.DUMMYFUNCTION("""COMPUTED_VALUE"""),3.0)</f>
        <v>3</v>
      </c>
      <c r="CB78" s="3">
        <f>IFERROR(__xludf.DUMMYFUNCTION("""COMPUTED_VALUE"""),3.0)</f>
        <v>3</v>
      </c>
    </row>
    <row r="79">
      <c r="A79" s="3" t="str">
        <f>IFERROR(__xludf.DUMMYFUNCTION("""COMPUTED_VALUE"""),"Tianjin")</f>
        <v>Tianjin</v>
      </c>
      <c r="B79" s="3" t="str">
        <f>IFERROR(__xludf.DUMMYFUNCTION("""COMPUTED_VALUE"""),"China")</f>
        <v>China</v>
      </c>
      <c r="C79" s="3">
        <f>IFERROR(__xludf.DUMMYFUNCTION("""COMPUTED_VALUE"""),39.3054)</f>
        <v>39.3054</v>
      </c>
      <c r="D79" s="3">
        <f>IFERROR(__xludf.DUMMYFUNCTION("""COMPUTED_VALUE"""),117.323)</f>
        <v>117.323</v>
      </c>
      <c r="E79" s="3">
        <f>IFERROR(__xludf.DUMMYFUNCTION("""COMPUTED_VALUE"""),0.0)</f>
        <v>0</v>
      </c>
      <c r="F79" s="3">
        <f>IFERROR(__xludf.DUMMYFUNCTION("""COMPUTED_VALUE"""),0.0)</f>
        <v>0</v>
      </c>
      <c r="G79" s="3">
        <f>IFERROR(__xludf.DUMMYFUNCTION("""COMPUTED_VALUE"""),0.0)</f>
        <v>0</v>
      </c>
      <c r="H79" s="3">
        <f>IFERROR(__xludf.DUMMYFUNCTION("""COMPUTED_VALUE"""),0.0)</f>
        <v>0</v>
      </c>
      <c r="I79" s="3">
        <f>IFERROR(__xludf.DUMMYFUNCTION("""COMPUTED_VALUE"""),0.0)</f>
        <v>0</v>
      </c>
      <c r="J79" s="3">
        <f>IFERROR(__xludf.DUMMYFUNCTION("""COMPUTED_VALUE"""),0.0)</f>
        <v>0</v>
      </c>
      <c r="K79" s="3">
        <f>IFERROR(__xludf.DUMMYFUNCTION("""COMPUTED_VALUE"""),0.0)</f>
        <v>0</v>
      </c>
      <c r="L79" s="3">
        <f>IFERROR(__xludf.DUMMYFUNCTION("""COMPUTED_VALUE"""),0.0)</f>
        <v>0</v>
      </c>
      <c r="M79" s="3">
        <f>IFERROR(__xludf.DUMMYFUNCTION("""COMPUTED_VALUE"""),0.0)</f>
        <v>0</v>
      </c>
      <c r="N79" s="3">
        <f>IFERROR(__xludf.DUMMYFUNCTION("""COMPUTED_VALUE"""),0.0)</f>
        <v>0</v>
      </c>
      <c r="O79" s="3">
        <f>IFERROR(__xludf.DUMMYFUNCTION("""COMPUTED_VALUE"""),0.0)</f>
        <v>0</v>
      </c>
      <c r="P79" s="3">
        <f>IFERROR(__xludf.DUMMYFUNCTION("""COMPUTED_VALUE"""),0.0)</f>
        <v>0</v>
      </c>
      <c r="Q79" s="3">
        <f>IFERROR(__xludf.DUMMYFUNCTION("""COMPUTED_VALUE"""),0.0)</f>
        <v>0</v>
      </c>
      <c r="R79" s="3">
        <f>IFERROR(__xludf.DUMMYFUNCTION("""COMPUTED_VALUE"""),0.0)</f>
        <v>0</v>
      </c>
      <c r="S79" s="3">
        <f>IFERROR(__xludf.DUMMYFUNCTION("""COMPUTED_VALUE"""),1.0)</f>
        <v>1</v>
      </c>
      <c r="T79" s="3">
        <f>IFERROR(__xludf.DUMMYFUNCTION("""COMPUTED_VALUE"""),1.0)</f>
        <v>1</v>
      </c>
      <c r="U79" s="3">
        <f>IFERROR(__xludf.DUMMYFUNCTION("""COMPUTED_VALUE"""),1.0)</f>
        <v>1</v>
      </c>
      <c r="V79" s="3">
        <f>IFERROR(__xludf.DUMMYFUNCTION("""COMPUTED_VALUE"""),1.0)</f>
        <v>1</v>
      </c>
      <c r="W79" s="3">
        <f>IFERROR(__xludf.DUMMYFUNCTION("""COMPUTED_VALUE"""),1.0)</f>
        <v>1</v>
      </c>
      <c r="X79" s="3">
        <f>IFERROR(__xludf.DUMMYFUNCTION("""COMPUTED_VALUE"""),1.0)</f>
        <v>1</v>
      </c>
      <c r="Y79" s="3">
        <f>IFERROR(__xludf.DUMMYFUNCTION("""COMPUTED_VALUE"""),2.0)</f>
        <v>2</v>
      </c>
      <c r="Z79" s="3">
        <f>IFERROR(__xludf.DUMMYFUNCTION("""COMPUTED_VALUE"""),2.0)</f>
        <v>2</v>
      </c>
      <c r="AA79" s="3">
        <f>IFERROR(__xludf.DUMMYFUNCTION("""COMPUTED_VALUE"""),3.0)</f>
        <v>3</v>
      </c>
      <c r="AB79" s="3">
        <f>IFERROR(__xludf.DUMMYFUNCTION("""COMPUTED_VALUE"""),3.0)</f>
        <v>3</v>
      </c>
      <c r="AC79" s="3">
        <f>IFERROR(__xludf.DUMMYFUNCTION("""COMPUTED_VALUE"""),3.0)</f>
        <v>3</v>
      </c>
      <c r="AD79" s="3">
        <f>IFERROR(__xludf.DUMMYFUNCTION("""COMPUTED_VALUE"""),3.0)</f>
        <v>3</v>
      </c>
      <c r="AE79" s="3">
        <f>IFERROR(__xludf.DUMMYFUNCTION("""COMPUTED_VALUE"""),3.0)</f>
        <v>3</v>
      </c>
      <c r="AF79" s="3">
        <f>IFERROR(__xludf.DUMMYFUNCTION("""COMPUTED_VALUE"""),3.0)</f>
        <v>3</v>
      </c>
      <c r="AG79" s="3">
        <f>IFERROR(__xludf.DUMMYFUNCTION("""COMPUTED_VALUE"""),3.0)</f>
        <v>3</v>
      </c>
      <c r="AH79" s="3">
        <f>IFERROR(__xludf.DUMMYFUNCTION("""COMPUTED_VALUE"""),3.0)</f>
        <v>3</v>
      </c>
      <c r="AI79" s="3">
        <f>IFERROR(__xludf.DUMMYFUNCTION("""COMPUTED_VALUE"""),3.0)</f>
        <v>3</v>
      </c>
      <c r="AJ79" s="3">
        <f>IFERROR(__xludf.DUMMYFUNCTION("""COMPUTED_VALUE"""),3.0)</f>
        <v>3</v>
      </c>
      <c r="AK79" s="3">
        <f>IFERROR(__xludf.DUMMYFUNCTION("""COMPUTED_VALUE"""),3.0)</f>
        <v>3</v>
      </c>
      <c r="AL79" s="3">
        <f>IFERROR(__xludf.DUMMYFUNCTION("""COMPUTED_VALUE"""),3.0)</f>
        <v>3</v>
      </c>
      <c r="AM79" s="3">
        <f>IFERROR(__xludf.DUMMYFUNCTION("""COMPUTED_VALUE"""),3.0)</f>
        <v>3</v>
      </c>
      <c r="AN79" s="3">
        <f>IFERROR(__xludf.DUMMYFUNCTION("""COMPUTED_VALUE"""),3.0)</f>
        <v>3</v>
      </c>
      <c r="AO79" s="3">
        <f>IFERROR(__xludf.DUMMYFUNCTION("""COMPUTED_VALUE"""),3.0)</f>
        <v>3</v>
      </c>
      <c r="AP79" s="3">
        <f>IFERROR(__xludf.DUMMYFUNCTION("""COMPUTED_VALUE"""),3.0)</f>
        <v>3</v>
      </c>
      <c r="AQ79" s="3">
        <f>IFERROR(__xludf.DUMMYFUNCTION("""COMPUTED_VALUE"""),3.0)</f>
        <v>3</v>
      </c>
      <c r="AR79" s="3">
        <f>IFERROR(__xludf.DUMMYFUNCTION("""COMPUTED_VALUE"""),3.0)</f>
        <v>3</v>
      </c>
      <c r="AS79" s="3">
        <f>IFERROR(__xludf.DUMMYFUNCTION("""COMPUTED_VALUE"""),3.0)</f>
        <v>3</v>
      </c>
      <c r="AT79" s="3">
        <f>IFERROR(__xludf.DUMMYFUNCTION("""COMPUTED_VALUE"""),3.0)</f>
        <v>3</v>
      </c>
      <c r="AU79" s="3">
        <f>IFERROR(__xludf.DUMMYFUNCTION("""COMPUTED_VALUE"""),3.0)</f>
        <v>3</v>
      </c>
      <c r="AV79" s="3">
        <f>IFERROR(__xludf.DUMMYFUNCTION("""COMPUTED_VALUE"""),3.0)</f>
        <v>3</v>
      </c>
      <c r="AW79" s="3">
        <f>IFERROR(__xludf.DUMMYFUNCTION("""COMPUTED_VALUE"""),3.0)</f>
        <v>3</v>
      </c>
      <c r="AX79" s="3">
        <f>IFERROR(__xludf.DUMMYFUNCTION("""COMPUTED_VALUE"""),3.0)</f>
        <v>3</v>
      </c>
      <c r="AY79" s="3">
        <f>IFERROR(__xludf.DUMMYFUNCTION("""COMPUTED_VALUE"""),3.0)</f>
        <v>3</v>
      </c>
      <c r="AZ79" s="3">
        <f>IFERROR(__xludf.DUMMYFUNCTION("""COMPUTED_VALUE"""),3.0)</f>
        <v>3</v>
      </c>
      <c r="BA79" s="3">
        <f>IFERROR(__xludf.DUMMYFUNCTION("""COMPUTED_VALUE"""),3.0)</f>
        <v>3</v>
      </c>
      <c r="BB79" s="3">
        <f>IFERROR(__xludf.DUMMYFUNCTION("""COMPUTED_VALUE"""),3.0)</f>
        <v>3</v>
      </c>
      <c r="BC79" s="3">
        <f>IFERROR(__xludf.DUMMYFUNCTION("""COMPUTED_VALUE"""),3.0)</f>
        <v>3</v>
      </c>
      <c r="BD79" s="3">
        <f>IFERROR(__xludf.DUMMYFUNCTION("""COMPUTED_VALUE"""),3.0)</f>
        <v>3</v>
      </c>
      <c r="BE79" s="3">
        <f>IFERROR(__xludf.DUMMYFUNCTION("""COMPUTED_VALUE"""),3.0)</f>
        <v>3</v>
      </c>
      <c r="BF79" s="3">
        <f>IFERROR(__xludf.DUMMYFUNCTION("""COMPUTED_VALUE"""),3.0)</f>
        <v>3</v>
      </c>
      <c r="BG79" s="3">
        <f>IFERROR(__xludf.DUMMYFUNCTION("""COMPUTED_VALUE"""),3.0)</f>
        <v>3</v>
      </c>
      <c r="BH79" s="3">
        <f>IFERROR(__xludf.DUMMYFUNCTION("""COMPUTED_VALUE"""),3.0)</f>
        <v>3</v>
      </c>
      <c r="BI79" s="3">
        <f>IFERROR(__xludf.DUMMYFUNCTION("""COMPUTED_VALUE"""),3.0)</f>
        <v>3</v>
      </c>
      <c r="BJ79" s="3">
        <f>IFERROR(__xludf.DUMMYFUNCTION("""COMPUTED_VALUE"""),3.0)</f>
        <v>3</v>
      </c>
      <c r="BK79" s="3">
        <f>IFERROR(__xludf.DUMMYFUNCTION("""COMPUTED_VALUE"""),3.0)</f>
        <v>3</v>
      </c>
      <c r="BL79" s="3">
        <f>IFERROR(__xludf.DUMMYFUNCTION("""COMPUTED_VALUE"""),3.0)</f>
        <v>3</v>
      </c>
      <c r="BM79" s="3">
        <f>IFERROR(__xludf.DUMMYFUNCTION("""COMPUTED_VALUE"""),3.0)</f>
        <v>3</v>
      </c>
      <c r="BN79" s="3">
        <f>IFERROR(__xludf.DUMMYFUNCTION("""COMPUTED_VALUE"""),3.0)</f>
        <v>3</v>
      </c>
      <c r="BO79" s="3">
        <f>IFERROR(__xludf.DUMMYFUNCTION("""COMPUTED_VALUE"""),3.0)</f>
        <v>3</v>
      </c>
      <c r="BP79" s="3">
        <f>IFERROR(__xludf.DUMMYFUNCTION("""COMPUTED_VALUE"""),3.0)</f>
        <v>3</v>
      </c>
      <c r="BQ79" s="3">
        <f>IFERROR(__xludf.DUMMYFUNCTION("""COMPUTED_VALUE"""),3.0)</f>
        <v>3</v>
      </c>
      <c r="BR79" s="3">
        <f>IFERROR(__xludf.DUMMYFUNCTION("""COMPUTED_VALUE"""),3.0)</f>
        <v>3</v>
      </c>
      <c r="BS79" s="3">
        <f>IFERROR(__xludf.DUMMYFUNCTION("""COMPUTED_VALUE"""),3.0)</f>
        <v>3</v>
      </c>
      <c r="BT79" s="3">
        <f>IFERROR(__xludf.DUMMYFUNCTION("""COMPUTED_VALUE"""),3.0)</f>
        <v>3</v>
      </c>
      <c r="BU79" s="3">
        <f>IFERROR(__xludf.DUMMYFUNCTION("""COMPUTED_VALUE"""),3.0)</f>
        <v>3</v>
      </c>
      <c r="BV79" s="3">
        <f>IFERROR(__xludf.DUMMYFUNCTION("""COMPUTED_VALUE"""),3.0)</f>
        <v>3</v>
      </c>
      <c r="BW79" s="3">
        <f>IFERROR(__xludf.DUMMYFUNCTION("""COMPUTED_VALUE"""),3.0)</f>
        <v>3</v>
      </c>
      <c r="BX79" s="3">
        <f>IFERROR(__xludf.DUMMYFUNCTION("""COMPUTED_VALUE"""),3.0)</f>
        <v>3</v>
      </c>
      <c r="BY79" s="3">
        <f>IFERROR(__xludf.DUMMYFUNCTION("""COMPUTED_VALUE"""),3.0)</f>
        <v>3</v>
      </c>
      <c r="BZ79" s="3">
        <f>IFERROR(__xludf.DUMMYFUNCTION("""COMPUTED_VALUE"""),3.0)</f>
        <v>3</v>
      </c>
      <c r="CA79" s="3">
        <f>IFERROR(__xludf.DUMMYFUNCTION("""COMPUTED_VALUE"""),3.0)</f>
        <v>3</v>
      </c>
      <c r="CB79" s="3">
        <f>IFERROR(__xludf.DUMMYFUNCTION("""COMPUTED_VALUE"""),3.0)</f>
        <v>3</v>
      </c>
    </row>
    <row r="80">
      <c r="A80" s="3" t="str">
        <f>IFERROR(__xludf.DUMMYFUNCTION("""COMPUTED_VALUE"""),"Tibet")</f>
        <v>Tibet</v>
      </c>
      <c r="B80" s="3" t="str">
        <f>IFERROR(__xludf.DUMMYFUNCTION("""COMPUTED_VALUE"""),"China")</f>
        <v>China</v>
      </c>
      <c r="C80" s="3">
        <f>IFERROR(__xludf.DUMMYFUNCTION("""COMPUTED_VALUE"""),31.6927)</f>
        <v>31.6927</v>
      </c>
      <c r="D80" s="3">
        <f>IFERROR(__xludf.DUMMYFUNCTION("""COMPUTED_VALUE"""),88.0924)</f>
        <v>88.0924</v>
      </c>
      <c r="E80" s="3">
        <f>IFERROR(__xludf.DUMMYFUNCTION("""COMPUTED_VALUE"""),0.0)</f>
        <v>0</v>
      </c>
      <c r="F80" s="3">
        <f>IFERROR(__xludf.DUMMYFUNCTION("""COMPUTED_VALUE"""),0.0)</f>
        <v>0</v>
      </c>
      <c r="G80" s="3">
        <f>IFERROR(__xludf.DUMMYFUNCTION("""COMPUTED_VALUE"""),0.0)</f>
        <v>0</v>
      </c>
      <c r="H80" s="3">
        <f>IFERROR(__xludf.DUMMYFUNCTION("""COMPUTED_VALUE"""),0.0)</f>
        <v>0</v>
      </c>
      <c r="I80" s="3">
        <f>IFERROR(__xludf.DUMMYFUNCTION("""COMPUTED_VALUE"""),0.0)</f>
        <v>0</v>
      </c>
      <c r="J80" s="3">
        <f>IFERROR(__xludf.DUMMYFUNCTION("""COMPUTED_VALUE"""),0.0)</f>
        <v>0</v>
      </c>
      <c r="K80" s="3">
        <f>IFERROR(__xludf.DUMMYFUNCTION("""COMPUTED_VALUE"""),0.0)</f>
        <v>0</v>
      </c>
      <c r="L80" s="3">
        <f>IFERROR(__xludf.DUMMYFUNCTION("""COMPUTED_VALUE"""),0.0)</f>
        <v>0</v>
      </c>
      <c r="M80" s="3">
        <f>IFERROR(__xludf.DUMMYFUNCTION("""COMPUTED_VALUE"""),0.0)</f>
        <v>0</v>
      </c>
      <c r="N80" s="3">
        <f>IFERROR(__xludf.DUMMYFUNCTION("""COMPUTED_VALUE"""),0.0)</f>
        <v>0</v>
      </c>
      <c r="O80" s="3">
        <f>IFERROR(__xludf.DUMMYFUNCTION("""COMPUTED_VALUE"""),0.0)</f>
        <v>0</v>
      </c>
      <c r="P80" s="3">
        <f>IFERROR(__xludf.DUMMYFUNCTION("""COMPUTED_VALUE"""),0.0)</f>
        <v>0</v>
      </c>
      <c r="Q80" s="3">
        <f>IFERROR(__xludf.DUMMYFUNCTION("""COMPUTED_VALUE"""),0.0)</f>
        <v>0</v>
      </c>
      <c r="R80" s="3">
        <f>IFERROR(__xludf.DUMMYFUNCTION("""COMPUTED_VALUE"""),0.0)</f>
        <v>0</v>
      </c>
      <c r="S80" s="3">
        <f>IFERROR(__xludf.DUMMYFUNCTION("""COMPUTED_VALUE"""),0.0)</f>
        <v>0</v>
      </c>
      <c r="T80" s="3">
        <f>IFERROR(__xludf.DUMMYFUNCTION("""COMPUTED_VALUE"""),0.0)</f>
        <v>0</v>
      </c>
      <c r="U80" s="3">
        <f>IFERROR(__xludf.DUMMYFUNCTION("""COMPUTED_VALUE"""),0.0)</f>
        <v>0</v>
      </c>
      <c r="V80" s="3">
        <f>IFERROR(__xludf.DUMMYFUNCTION("""COMPUTED_VALUE"""),0.0)</f>
        <v>0</v>
      </c>
      <c r="W80" s="3">
        <f>IFERROR(__xludf.DUMMYFUNCTION("""COMPUTED_VALUE"""),0.0)</f>
        <v>0</v>
      </c>
      <c r="X80" s="3">
        <f>IFERROR(__xludf.DUMMYFUNCTION("""COMPUTED_VALUE"""),0.0)</f>
        <v>0</v>
      </c>
      <c r="Y80" s="3">
        <f>IFERROR(__xludf.DUMMYFUNCTION("""COMPUTED_VALUE"""),0.0)</f>
        <v>0</v>
      </c>
      <c r="Z80" s="3">
        <f>IFERROR(__xludf.DUMMYFUNCTION("""COMPUTED_VALUE"""),0.0)</f>
        <v>0</v>
      </c>
      <c r="AA80" s="3">
        <f>IFERROR(__xludf.DUMMYFUNCTION("""COMPUTED_VALUE"""),0.0)</f>
        <v>0</v>
      </c>
      <c r="AB80" s="3">
        <f>IFERROR(__xludf.DUMMYFUNCTION("""COMPUTED_VALUE"""),0.0)</f>
        <v>0</v>
      </c>
      <c r="AC80" s="3">
        <f>IFERROR(__xludf.DUMMYFUNCTION("""COMPUTED_VALUE"""),0.0)</f>
        <v>0</v>
      </c>
      <c r="AD80" s="3">
        <f>IFERROR(__xludf.DUMMYFUNCTION("""COMPUTED_VALUE"""),0.0)</f>
        <v>0</v>
      </c>
      <c r="AE80" s="3">
        <f>IFERROR(__xludf.DUMMYFUNCTION("""COMPUTED_VALUE"""),0.0)</f>
        <v>0</v>
      </c>
      <c r="AF80" s="3">
        <f>IFERROR(__xludf.DUMMYFUNCTION("""COMPUTED_VALUE"""),0.0)</f>
        <v>0</v>
      </c>
      <c r="AG80" s="3">
        <f>IFERROR(__xludf.DUMMYFUNCTION("""COMPUTED_VALUE"""),0.0)</f>
        <v>0</v>
      </c>
      <c r="AH80" s="3">
        <f>IFERROR(__xludf.DUMMYFUNCTION("""COMPUTED_VALUE"""),0.0)</f>
        <v>0</v>
      </c>
      <c r="AI80" s="3">
        <f>IFERROR(__xludf.DUMMYFUNCTION("""COMPUTED_VALUE"""),0.0)</f>
        <v>0</v>
      </c>
      <c r="AJ80" s="3">
        <f>IFERROR(__xludf.DUMMYFUNCTION("""COMPUTED_VALUE"""),0.0)</f>
        <v>0</v>
      </c>
      <c r="AK80" s="3">
        <f>IFERROR(__xludf.DUMMYFUNCTION("""COMPUTED_VALUE"""),0.0)</f>
        <v>0</v>
      </c>
      <c r="AL80" s="3">
        <f>IFERROR(__xludf.DUMMYFUNCTION("""COMPUTED_VALUE"""),0.0)</f>
        <v>0</v>
      </c>
      <c r="AM80" s="3">
        <f>IFERROR(__xludf.DUMMYFUNCTION("""COMPUTED_VALUE"""),0.0)</f>
        <v>0</v>
      </c>
      <c r="AN80" s="3">
        <f>IFERROR(__xludf.DUMMYFUNCTION("""COMPUTED_VALUE"""),0.0)</f>
        <v>0</v>
      </c>
      <c r="AO80" s="3">
        <f>IFERROR(__xludf.DUMMYFUNCTION("""COMPUTED_VALUE"""),0.0)</f>
        <v>0</v>
      </c>
      <c r="AP80" s="3">
        <f>IFERROR(__xludf.DUMMYFUNCTION("""COMPUTED_VALUE"""),0.0)</f>
        <v>0</v>
      </c>
      <c r="AQ80" s="3">
        <f>IFERROR(__xludf.DUMMYFUNCTION("""COMPUTED_VALUE"""),0.0)</f>
        <v>0</v>
      </c>
      <c r="AR80" s="3">
        <f>IFERROR(__xludf.DUMMYFUNCTION("""COMPUTED_VALUE"""),0.0)</f>
        <v>0</v>
      </c>
      <c r="AS80" s="3">
        <f>IFERROR(__xludf.DUMMYFUNCTION("""COMPUTED_VALUE"""),0.0)</f>
        <v>0</v>
      </c>
      <c r="AT80" s="3">
        <f>IFERROR(__xludf.DUMMYFUNCTION("""COMPUTED_VALUE"""),0.0)</f>
        <v>0</v>
      </c>
      <c r="AU80" s="3">
        <f>IFERROR(__xludf.DUMMYFUNCTION("""COMPUTED_VALUE"""),0.0)</f>
        <v>0</v>
      </c>
      <c r="AV80" s="3">
        <f>IFERROR(__xludf.DUMMYFUNCTION("""COMPUTED_VALUE"""),0.0)</f>
        <v>0</v>
      </c>
      <c r="AW80" s="3">
        <f>IFERROR(__xludf.DUMMYFUNCTION("""COMPUTED_VALUE"""),0.0)</f>
        <v>0</v>
      </c>
      <c r="AX80" s="3">
        <f>IFERROR(__xludf.DUMMYFUNCTION("""COMPUTED_VALUE"""),0.0)</f>
        <v>0</v>
      </c>
      <c r="AY80" s="3">
        <f>IFERROR(__xludf.DUMMYFUNCTION("""COMPUTED_VALUE"""),0.0)</f>
        <v>0</v>
      </c>
      <c r="AZ80" s="3">
        <f>IFERROR(__xludf.DUMMYFUNCTION("""COMPUTED_VALUE"""),0.0)</f>
        <v>0</v>
      </c>
      <c r="BA80" s="3">
        <f>IFERROR(__xludf.DUMMYFUNCTION("""COMPUTED_VALUE"""),0.0)</f>
        <v>0</v>
      </c>
      <c r="BB80" s="3">
        <f>IFERROR(__xludf.DUMMYFUNCTION("""COMPUTED_VALUE"""),0.0)</f>
        <v>0</v>
      </c>
      <c r="BC80" s="3">
        <f>IFERROR(__xludf.DUMMYFUNCTION("""COMPUTED_VALUE"""),0.0)</f>
        <v>0</v>
      </c>
      <c r="BD80" s="3">
        <f>IFERROR(__xludf.DUMMYFUNCTION("""COMPUTED_VALUE"""),0.0)</f>
        <v>0</v>
      </c>
      <c r="BE80" s="3">
        <f>IFERROR(__xludf.DUMMYFUNCTION("""COMPUTED_VALUE"""),0.0)</f>
        <v>0</v>
      </c>
      <c r="BF80" s="3">
        <f>IFERROR(__xludf.DUMMYFUNCTION("""COMPUTED_VALUE"""),0.0)</f>
        <v>0</v>
      </c>
      <c r="BG80" s="3">
        <f>IFERROR(__xludf.DUMMYFUNCTION("""COMPUTED_VALUE"""),0.0)</f>
        <v>0</v>
      </c>
      <c r="BH80" s="3">
        <f>IFERROR(__xludf.DUMMYFUNCTION("""COMPUTED_VALUE"""),0.0)</f>
        <v>0</v>
      </c>
      <c r="BI80" s="3">
        <f>IFERROR(__xludf.DUMMYFUNCTION("""COMPUTED_VALUE"""),0.0)</f>
        <v>0</v>
      </c>
      <c r="BJ80" s="3">
        <f>IFERROR(__xludf.DUMMYFUNCTION("""COMPUTED_VALUE"""),0.0)</f>
        <v>0</v>
      </c>
      <c r="BK80" s="3">
        <f>IFERROR(__xludf.DUMMYFUNCTION("""COMPUTED_VALUE"""),0.0)</f>
        <v>0</v>
      </c>
      <c r="BL80" s="3">
        <f>IFERROR(__xludf.DUMMYFUNCTION("""COMPUTED_VALUE"""),0.0)</f>
        <v>0</v>
      </c>
      <c r="BM80" s="3">
        <f>IFERROR(__xludf.DUMMYFUNCTION("""COMPUTED_VALUE"""),0.0)</f>
        <v>0</v>
      </c>
      <c r="BN80" s="3">
        <f>IFERROR(__xludf.DUMMYFUNCTION("""COMPUTED_VALUE"""),0.0)</f>
        <v>0</v>
      </c>
      <c r="BO80" s="3">
        <f>IFERROR(__xludf.DUMMYFUNCTION("""COMPUTED_VALUE"""),0.0)</f>
        <v>0</v>
      </c>
      <c r="BP80" s="3">
        <f>IFERROR(__xludf.DUMMYFUNCTION("""COMPUTED_VALUE"""),0.0)</f>
        <v>0</v>
      </c>
      <c r="BQ80" s="3">
        <f>IFERROR(__xludf.DUMMYFUNCTION("""COMPUTED_VALUE"""),0.0)</f>
        <v>0</v>
      </c>
      <c r="BR80" s="3">
        <f>IFERROR(__xludf.DUMMYFUNCTION("""COMPUTED_VALUE"""),0.0)</f>
        <v>0</v>
      </c>
      <c r="BS80" s="3">
        <f>IFERROR(__xludf.DUMMYFUNCTION("""COMPUTED_VALUE"""),0.0)</f>
        <v>0</v>
      </c>
      <c r="BT80" s="3">
        <f>IFERROR(__xludf.DUMMYFUNCTION("""COMPUTED_VALUE"""),0.0)</f>
        <v>0</v>
      </c>
      <c r="BU80" s="3">
        <f>IFERROR(__xludf.DUMMYFUNCTION("""COMPUTED_VALUE"""),0.0)</f>
        <v>0</v>
      </c>
      <c r="BV80" s="3">
        <f>IFERROR(__xludf.DUMMYFUNCTION("""COMPUTED_VALUE"""),0.0)</f>
        <v>0</v>
      </c>
      <c r="BW80" s="3">
        <f>IFERROR(__xludf.DUMMYFUNCTION("""COMPUTED_VALUE"""),0.0)</f>
        <v>0</v>
      </c>
      <c r="BX80" s="3">
        <f>IFERROR(__xludf.DUMMYFUNCTION("""COMPUTED_VALUE"""),0.0)</f>
        <v>0</v>
      </c>
      <c r="BY80" s="3">
        <f>IFERROR(__xludf.DUMMYFUNCTION("""COMPUTED_VALUE"""),0.0)</f>
        <v>0</v>
      </c>
      <c r="BZ80" s="3">
        <f>IFERROR(__xludf.DUMMYFUNCTION("""COMPUTED_VALUE"""),0.0)</f>
        <v>0</v>
      </c>
      <c r="CA80" s="3">
        <f>IFERROR(__xludf.DUMMYFUNCTION("""COMPUTED_VALUE"""),0.0)</f>
        <v>0</v>
      </c>
      <c r="CB80" s="3">
        <f>IFERROR(__xludf.DUMMYFUNCTION("""COMPUTED_VALUE"""),0.0)</f>
        <v>0</v>
      </c>
    </row>
    <row r="81">
      <c r="A81" s="3" t="str">
        <f>IFERROR(__xludf.DUMMYFUNCTION("""COMPUTED_VALUE"""),"Xinjiang")</f>
        <v>Xinjiang</v>
      </c>
      <c r="B81" s="3" t="str">
        <f>IFERROR(__xludf.DUMMYFUNCTION("""COMPUTED_VALUE"""),"China")</f>
        <v>China</v>
      </c>
      <c r="C81" s="3">
        <f>IFERROR(__xludf.DUMMYFUNCTION("""COMPUTED_VALUE"""),41.1129)</f>
        <v>41.1129</v>
      </c>
      <c r="D81" s="3">
        <f>IFERROR(__xludf.DUMMYFUNCTION("""COMPUTED_VALUE"""),85.2401)</f>
        <v>85.2401</v>
      </c>
      <c r="E81" s="3">
        <f>IFERROR(__xludf.DUMMYFUNCTION("""COMPUTED_VALUE"""),0.0)</f>
        <v>0</v>
      </c>
      <c r="F81" s="3">
        <f>IFERROR(__xludf.DUMMYFUNCTION("""COMPUTED_VALUE"""),0.0)</f>
        <v>0</v>
      </c>
      <c r="G81" s="3">
        <f>IFERROR(__xludf.DUMMYFUNCTION("""COMPUTED_VALUE"""),0.0)</f>
        <v>0</v>
      </c>
      <c r="H81" s="3">
        <f>IFERROR(__xludf.DUMMYFUNCTION("""COMPUTED_VALUE"""),0.0)</f>
        <v>0</v>
      </c>
      <c r="I81" s="3">
        <f>IFERROR(__xludf.DUMMYFUNCTION("""COMPUTED_VALUE"""),0.0)</f>
        <v>0</v>
      </c>
      <c r="J81" s="3">
        <f>IFERROR(__xludf.DUMMYFUNCTION("""COMPUTED_VALUE"""),0.0)</f>
        <v>0</v>
      </c>
      <c r="K81" s="3">
        <f>IFERROR(__xludf.DUMMYFUNCTION("""COMPUTED_VALUE"""),0.0)</f>
        <v>0</v>
      </c>
      <c r="L81" s="3">
        <f>IFERROR(__xludf.DUMMYFUNCTION("""COMPUTED_VALUE"""),0.0)</f>
        <v>0</v>
      </c>
      <c r="M81" s="3">
        <f>IFERROR(__xludf.DUMMYFUNCTION("""COMPUTED_VALUE"""),0.0)</f>
        <v>0</v>
      </c>
      <c r="N81" s="3">
        <f>IFERROR(__xludf.DUMMYFUNCTION("""COMPUTED_VALUE"""),0.0)</f>
        <v>0</v>
      </c>
      <c r="O81" s="3">
        <f>IFERROR(__xludf.DUMMYFUNCTION("""COMPUTED_VALUE"""),0.0)</f>
        <v>0</v>
      </c>
      <c r="P81" s="3">
        <f>IFERROR(__xludf.DUMMYFUNCTION("""COMPUTED_VALUE"""),0.0)</f>
        <v>0</v>
      </c>
      <c r="Q81" s="3">
        <f>IFERROR(__xludf.DUMMYFUNCTION("""COMPUTED_VALUE"""),0.0)</f>
        <v>0</v>
      </c>
      <c r="R81" s="3">
        <f>IFERROR(__xludf.DUMMYFUNCTION("""COMPUTED_VALUE"""),0.0)</f>
        <v>0</v>
      </c>
      <c r="S81" s="3">
        <f>IFERROR(__xludf.DUMMYFUNCTION("""COMPUTED_VALUE"""),0.0)</f>
        <v>0</v>
      </c>
      <c r="T81" s="3">
        <f>IFERROR(__xludf.DUMMYFUNCTION("""COMPUTED_VALUE"""),0.0)</f>
        <v>0</v>
      </c>
      <c r="U81" s="3">
        <f>IFERROR(__xludf.DUMMYFUNCTION("""COMPUTED_VALUE"""),0.0)</f>
        <v>0</v>
      </c>
      <c r="V81" s="3">
        <f>IFERROR(__xludf.DUMMYFUNCTION("""COMPUTED_VALUE"""),0.0)</f>
        <v>0</v>
      </c>
      <c r="W81" s="3">
        <f>IFERROR(__xludf.DUMMYFUNCTION("""COMPUTED_VALUE"""),0.0)</f>
        <v>0</v>
      </c>
      <c r="X81" s="3">
        <f>IFERROR(__xludf.DUMMYFUNCTION("""COMPUTED_VALUE"""),0.0)</f>
        <v>0</v>
      </c>
      <c r="Y81" s="3">
        <f>IFERROR(__xludf.DUMMYFUNCTION("""COMPUTED_VALUE"""),0.0)</f>
        <v>0</v>
      </c>
      <c r="Z81" s="3">
        <f>IFERROR(__xludf.DUMMYFUNCTION("""COMPUTED_VALUE"""),0.0)</f>
        <v>0</v>
      </c>
      <c r="AA81" s="3">
        <f>IFERROR(__xludf.DUMMYFUNCTION("""COMPUTED_VALUE"""),1.0)</f>
        <v>1</v>
      </c>
      <c r="AB81" s="3">
        <f>IFERROR(__xludf.DUMMYFUNCTION("""COMPUTED_VALUE"""),1.0)</f>
        <v>1</v>
      </c>
      <c r="AC81" s="3">
        <f>IFERROR(__xludf.DUMMYFUNCTION("""COMPUTED_VALUE"""),1.0)</f>
        <v>1</v>
      </c>
      <c r="AD81" s="3">
        <f>IFERROR(__xludf.DUMMYFUNCTION("""COMPUTED_VALUE"""),1.0)</f>
        <v>1</v>
      </c>
      <c r="AE81" s="3">
        <f>IFERROR(__xludf.DUMMYFUNCTION("""COMPUTED_VALUE"""),1.0)</f>
        <v>1</v>
      </c>
      <c r="AF81" s="3">
        <f>IFERROR(__xludf.DUMMYFUNCTION("""COMPUTED_VALUE"""),1.0)</f>
        <v>1</v>
      </c>
      <c r="AG81" s="3">
        <f>IFERROR(__xludf.DUMMYFUNCTION("""COMPUTED_VALUE"""),1.0)</f>
        <v>1</v>
      </c>
      <c r="AH81" s="3">
        <f>IFERROR(__xludf.DUMMYFUNCTION("""COMPUTED_VALUE"""),1.0)</f>
        <v>1</v>
      </c>
      <c r="AI81" s="3">
        <f>IFERROR(__xludf.DUMMYFUNCTION("""COMPUTED_VALUE"""),1.0)</f>
        <v>1</v>
      </c>
      <c r="AJ81" s="3">
        <f>IFERROR(__xludf.DUMMYFUNCTION("""COMPUTED_VALUE"""),2.0)</f>
        <v>2</v>
      </c>
      <c r="AK81" s="3">
        <f>IFERROR(__xludf.DUMMYFUNCTION("""COMPUTED_VALUE"""),2.0)</f>
        <v>2</v>
      </c>
      <c r="AL81" s="3">
        <f>IFERROR(__xludf.DUMMYFUNCTION("""COMPUTED_VALUE"""),2.0)</f>
        <v>2</v>
      </c>
      <c r="AM81" s="3">
        <f>IFERROR(__xludf.DUMMYFUNCTION("""COMPUTED_VALUE"""),2.0)</f>
        <v>2</v>
      </c>
      <c r="AN81" s="3">
        <f>IFERROR(__xludf.DUMMYFUNCTION("""COMPUTED_VALUE"""),2.0)</f>
        <v>2</v>
      </c>
      <c r="AO81" s="3">
        <f>IFERROR(__xludf.DUMMYFUNCTION("""COMPUTED_VALUE"""),2.0)</f>
        <v>2</v>
      </c>
      <c r="AP81" s="3">
        <f>IFERROR(__xludf.DUMMYFUNCTION("""COMPUTED_VALUE"""),3.0)</f>
        <v>3</v>
      </c>
      <c r="AQ81" s="3">
        <f>IFERROR(__xludf.DUMMYFUNCTION("""COMPUTED_VALUE"""),3.0)</f>
        <v>3</v>
      </c>
      <c r="AR81" s="3">
        <f>IFERROR(__xludf.DUMMYFUNCTION("""COMPUTED_VALUE"""),3.0)</f>
        <v>3</v>
      </c>
      <c r="AS81" s="3">
        <f>IFERROR(__xludf.DUMMYFUNCTION("""COMPUTED_VALUE"""),3.0)</f>
        <v>3</v>
      </c>
      <c r="AT81" s="3">
        <f>IFERROR(__xludf.DUMMYFUNCTION("""COMPUTED_VALUE"""),3.0)</f>
        <v>3</v>
      </c>
      <c r="AU81" s="3">
        <f>IFERROR(__xludf.DUMMYFUNCTION("""COMPUTED_VALUE"""),3.0)</f>
        <v>3</v>
      </c>
      <c r="AV81" s="3">
        <f>IFERROR(__xludf.DUMMYFUNCTION("""COMPUTED_VALUE"""),3.0)</f>
        <v>3</v>
      </c>
      <c r="AW81" s="3">
        <f>IFERROR(__xludf.DUMMYFUNCTION("""COMPUTED_VALUE"""),3.0)</f>
        <v>3</v>
      </c>
      <c r="AX81" s="3">
        <f>IFERROR(__xludf.DUMMYFUNCTION("""COMPUTED_VALUE"""),3.0)</f>
        <v>3</v>
      </c>
      <c r="AY81" s="3">
        <f>IFERROR(__xludf.DUMMYFUNCTION("""COMPUTED_VALUE"""),3.0)</f>
        <v>3</v>
      </c>
      <c r="AZ81" s="3">
        <f>IFERROR(__xludf.DUMMYFUNCTION("""COMPUTED_VALUE"""),3.0)</f>
        <v>3</v>
      </c>
      <c r="BA81" s="3">
        <f>IFERROR(__xludf.DUMMYFUNCTION("""COMPUTED_VALUE"""),3.0)</f>
        <v>3</v>
      </c>
      <c r="BB81" s="3">
        <f>IFERROR(__xludf.DUMMYFUNCTION("""COMPUTED_VALUE"""),3.0)</f>
        <v>3</v>
      </c>
      <c r="BC81" s="3">
        <f>IFERROR(__xludf.DUMMYFUNCTION("""COMPUTED_VALUE"""),3.0)</f>
        <v>3</v>
      </c>
      <c r="BD81" s="3">
        <f>IFERROR(__xludf.DUMMYFUNCTION("""COMPUTED_VALUE"""),3.0)</f>
        <v>3</v>
      </c>
      <c r="BE81" s="3">
        <f>IFERROR(__xludf.DUMMYFUNCTION("""COMPUTED_VALUE"""),3.0)</f>
        <v>3</v>
      </c>
      <c r="BF81" s="3">
        <f>IFERROR(__xludf.DUMMYFUNCTION("""COMPUTED_VALUE"""),3.0)</f>
        <v>3</v>
      </c>
      <c r="BG81" s="3">
        <f>IFERROR(__xludf.DUMMYFUNCTION("""COMPUTED_VALUE"""),3.0)</f>
        <v>3</v>
      </c>
      <c r="BH81" s="3">
        <f>IFERROR(__xludf.DUMMYFUNCTION("""COMPUTED_VALUE"""),3.0)</f>
        <v>3</v>
      </c>
      <c r="BI81" s="3">
        <f>IFERROR(__xludf.DUMMYFUNCTION("""COMPUTED_VALUE"""),3.0)</f>
        <v>3</v>
      </c>
      <c r="BJ81" s="3">
        <f>IFERROR(__xludf.DUMMYFUNCTION("""COMPUTED_VALUE"""),3.0)</f>
        <v>3</v>
      </c>
      <c r="BK81" s="3">
        <f>IFERROR(__xludf.DUMMYFUNCTION("""COMPUTED_VALUE"""),3.0)</f>
        <v>3</v>
      </c>
      <c r="BL81" s="3">
        <f>IFERROR(__xludf.DUMMYFUNCTION("""COMPUTED_VALUE"""),3.0)</f>
        <v>3</v>
      </c>
      <c r="BM81" s="3">
        <f>IFERROR(__xludf.DUMMYFUNCTION("""COMPUTED_VALUE"""),3.0)</f>
        <v>3</v>
      </c>
      <c r="BN81" s="3">
        <f>IFERROR(__xludf.DUMMYFUNCTION("""COMPUTED_VALUE"""),3.0)</f>
        <v>3</v>
      </c>
      <c r="BO81" s="3">
        <f>IFERROR(__xludf.DUMMYFUNCTION("""COMPUTED_VALUE"""),3.0)</f>
        <v>3</v>
      </c>
      <c r="BP81" s="3">
        <f>IFERROR(__xludf.DUMMYFUNCTION("""COMPUTED_VALUE"""),3.0)</f>
        <v>3</v>
      </c>
      <c r="BQ81" s="3">
        <f>IFERROR(__xludf.DUMMYFUNCTION("""COMPUTED_VALUE"""),3.0)</f>
        <v>3</v>
      </c>
      <c r="BR81" s="3">
        <f>IFERROR(__xludf.DUMMYFUNCTION("""COMPUTED_VALUE"""),3.0)</f>
        <v>3</v>
      </c>
      <c r="BS81" s="3">
        <f>IFERROR(__xludf.DUMMYFUNCTION("""COMPUTED_VALUE"""),3.0)</f>
        <v>3</v>
      </c>
      <c r="BT81" s="3">
        <f>IFERROR(__xludf.DUMMYFUNCTION("""COMPUTED_VALUE"""),3.0)</f>
        <v>3</v>
      </c>
      <c r="BU81" s="3">
        <f>IFERROR(__xludf.DUMMYFUNCTION("""COMPUTED_VALUE"""),3.0)</f>
        <v>3</v>
      </c>
      <c r="BV81" s="3">
        <f>IFERROR(__xludf.DUMMYFUNCTION("""COMPUTED_VALUE"""),3.0)</f>
        <v>3</v>
      </c>
      <c r="BW81" s="3">
        <f>IFERROR(__xludf.DUMMYFUNCTION("""COMPUTED_VALUE"""),3.0)</f>
        <v>3</v>
      </c>
      <c r="BX81" s="3">
        <f>IFERROR(__xludf.DUMMYFUNCTION("""COMPUTED_VALUE"""),3.0)</f>
        <v>3</v>
      </c>
      <c r="BY81" s="3">
        <f>IFERROR(__xludf.DUMMYFUNCTION("""COMPUTED_VALUE"""),3.0)</f>
        <v>3</v>
      </c>
      <c r="BZ81" s="3">
        <f>IFERROR(__xludf.DUMMYFUNCTION("""COMPUTED_VALUE"""),3.0)</f>
        <v>3</v>
      </c>
      <c r="CA81" s="3">
        <f>IFERROR(__xludf.DUMMYFUNCTION("""COMPUTED_VALUE"""),3.0)</f>
        <v>3</v>
      </c>
      <c r="CB81" s="3">
        <f>IFERROR(__xludf.DUMMYFUNCTION("""COMPUTED_VALUE"""),3.0)</f>
        <v>3</v>
      </c>
    </row>
    <row r="82">
      <c r="A82" s="3" t="str">
        <f>IFERROR(__xludf.DUMMYFUNCTION("""COMPUTED_VALUE"""),"Yunnan")</f>
        <v>Yunnan</v>
      </c>
      <c r="B82" s="3" t="str">
        <f>IFERROR(__xludf.DUMMYFUNCTION("""COMPUTED_VALUE"""),"China")</f>
        <v>China</v>
      </c>
      <c r="C82" s="3">
        <f>IFERROR(__xludf.DUMMYFUNCTION("""COMPUTED_VALUE"""),24.974)</f>
        <v>24.974</v>
      </c>
      <c r="D82" s="3">
        <f>IFERROR(__xludf.DUMMYFUNCTION("""COMPUTED_VALUE"""),101.487)</f>
        <v>101.487</v>
      </c>
      <c r="E82" s="3">
        <f>IFERROR(__xludf.DUMMYFUNCTION("""COMPUTED_VALUE"""),0.0)</f>
        <v>0</v>
      </c>
      <c r="F82" s="3">
        <f>IFERROR(__xludf.DUMMYFUNCTION("""COMPUTED_VALUE"""),0.0)</f>
        <v>0</v>
      </c>
      <c r="G82" s="3">
        <f>IFERROR(__xludf.DUMMYFUNCTION("""COMPUTED_VALUE"""),0.0)</f>
        <v>0</v>
      </c>
      <c r="H82" s="3">
        <f>IFERROR(__xludf.DUMMYFUNCTION("""COMPUTED_VALUE"""),0.0)</f>
        <v>0</v>
      </c>
      <c r="I82" s="3">
        <f>IFERROR(__xludf.DUMMYFUNCTION("""COMPUTED_VALUE"""),0.0)</f>
        <v>0</v>
      </c>
      <c r="J82" s="3">
        <f>IFERROR(__xludf.DUMMYFUNCTION("""COMPUTED_VALUE"""),0.0)</f>
        <v>0</v>
      </c>
      <c r="K82" s="3">
        <f>IFERROR(__xludf.DUMMYFUNCTION("""COMPUTED_VALUE"""),0.0)</f>
        <v>0</v>
      </c>
      <c r="L82" s="3">
        <f>IFERROR(__xludf.DUMMYFUNCTION("""COMPUTED_VALUE"""),0.0)</f>
        <v>0</v>
      </c>
      <c r="M82" s="3">
        <f>IFERROR(__xludf.DUMMYFUNCTION("""COMPUTED_VALUE"""),0.0)</f>
        <v>0</v>
      </c>
      <c r="N82" s="3">
        <f>IFERROR(__xludf.DUMMYFUNCTION("""COMPUTED_VALUE"""),0.0)</f>
        <v>0</v>
      </c>
      <c r="O82" s="3">
        <f>IFERROR(__xludf.DUMMYFUNCTION("""COMPUTED_VALUE"""),0.0)</f>
        <v>0</v>
      </c>
      <c r="P82" s="3">
        <f>IFERROR(__xludf.DUMMYFUNCTION("""COMPUTED_VALUE"""),0.0)</f>
        <v>0</v>
      </c>
      <c r="Q82" s="3">
        <f>IFERROR(__xludf.DUMMYFUNCTION("""COMPUTED_VALUE"""),0.0)</f>
        <v>0</v>
      </c>
      <c r="R82" s="3">
        <f>IFERROR(__xludf.DUMMYFUNCTION("""COMPUTED_VALUE"""),0.0)</f>
        <v>0</v>
      </c>
      <c r="S82" s="3">
        <f>IFERROR(__xludf.DUMMYFUNCTION("""COMPUTED_VALUE"""),0.0)</f>
        <v>0</v>
      </c>
      <c r="T82" s="3">
        <f>IFERROR(__xludf.DUMMYFUNCTION("""COMPUTED_VALUE"""),0.0)</f>
        <v>0</v>
      </c>
      <c r="U82" s="3">
        <f>IFERROR(__xludf.DUMMYFUNCTION("""COMPUTED_VALUE"""),0.0)</f>
        <v>0</v>
      </c>
      <c r="V82" s="3">
        <f>IFERROR(__xludf.DUMMYFUNCTION("""COMPUTED_VALUE"""),0.0)</f>
        <v>0</v>
      </c>
      <c r="W82" s="3">
        <f>IFERROR(__xludf.DUMMYFUNCTION("""COMPUTED_VALUE"""),0.0)</f>
        <v>0</v>
      </c>
      <c r="X82" s="3">
        <f>IFERROR(__xludf.DUMMYFUNCTION("""COMPUTED_VALUE"""),0.0)</f>
        <v>0</v>
      </c>
      <c r="Y82" s="3">
        <f>IFERROR(__xludf.DUMMYFUNCTION("""COMPUTED_VALUE"""),0.0)</f>
        <v>0</v>
      </c>
      <c r="Z82" s="3">
        <f>IFERROR(__xludf.DUMMYFUNCTION("""COMPUTED_VALUE"""),0.0)</f>
        <v>0</v>
      </c>
      <c r="AA82" s="3">
        <f>IFERROR(__xludf.DUMMYFUNCTION("""COMPUTED_VALUE"""),0.0)</f>
        <v>0</v>
      </c>
      <c r="AB82" s="3">
        <f>IFERROR(__xludf.DUMMYFUNCTION("""COMPUTED_VALUE"""),0.0)</f>
        <v>0</v>
      </c>
      <c r="AC82" s="3">
        <f>IFERROR(__xludf.DUMMYFUNCTION("""COMPUTED_VALUE"""),0.0)</f>
        <v>0</v>
      </c>
      <c r="AD82" s="3">
        <f>IFERROR(__xludf.DUMMYFUNCTION("""COMPUTED_VALUE"""),0.0)</f>
        <v>0</v>
      </c>
      <c r="AE82" s="3">
        <f>IFERROR(__xludf.DUMMYFUNCTION("""COMPUTED_VALUE"""),0.0)</f>
        <v>0</v>
      </c>
      <c r="AF82" s="3">
        <f>IFERROR(__xludf.DUMMYFUNCTION("""COMPUTED_VALUE"""),0.0)</f>
        <v>0</v>
      </c>
      <c r="AG82" s="3">
        <f>IFERROR(__xludf.DUMMYFUNCTION("""COMPUTED_VALUE"""),1.0)</f>
        <v>1</v>
      </c>
      <c r="AH82" s="3">
        <f>IFERROR(__xludf.DUMMYFUNCTION("""COMPUTED_VALUE"""),2.0)</f>
        <v>2</v>
      </c>
      <c r="AI82" s="3">
        <f>IFERROR(__xludf.DUMMYFUNCTION("""COMPUTED_VALUE"""),2.0)</f>
        <v>2</v>
      </c>
      <c r="AJ82" s="3">
        <f>IFERROR(__xludf.DUMMYFUNCTION("""COMPUTED_VALUE"""),2.0)</f>
        <v>2</v>
      </c>
      <c r="AK82" s="3">
        <f>IFERROR(__xludf.DUMMYFUNCTION("""COMPUTED_VALUE"""),2.0)</f>
        <v>2</v>
      </c>
      <c r="AL82" s="3">
        <f>IFERROR(__xludf.DUMMYFUNCTION("""COMPUTED_VALUE"""),2.0)</f>
        <v>2</v>
      </c>
      <c r="AM82" s="3">
        <f>IFERROR(__xludf.DUMMYFUNCTION("""COMPUTED_VALUE"""),2.0)</f>
        <v>2</v>
      </c>
      <c r="AN82" s="3">
        <f>IFERROR(__xludf.DUMMYFUNCTION("""COMPUTED_VALUE"""),2.0)</f>
        <v>2</v>
      </c>
      <c r="AO82" s="3">
        <f>IFERROR(__xludf.DUMMYFUNCTION("""COMPUTED_VALUE"""),2.0)</f>
        <v>2</v>
      </c>
      <c r="AP82" s="3">
        <f>IFERROR(__xludf.DUMMYFUNCTION("""COMPUTED_VALUE"""),2.0)</f>
        <v>2</v>
      </c>
      <c r="AQ82" s="3">
        <f>IFERROR(__xludf.DUMMYFUNCTION("""COMPUTED_VALUE"""),2.0)</f>
        <v>2</v>
      </c>
      <c r="AR82" s="3">
        <f>IFERROR(__xludf.DUMMYFUNCTION("""COMPUTED_VALUE"""),2.0)</f>
        <v>2</v>
      </c>
      <c r="AS82" s="3">
        <f>IFERROR(__xludf.DUMMYFUNCTION("""COMPUTED_VALUE"""),2.0)</f>
        <v>2</v>
      </c>
      <c r="AT82" s="3">
        <f>IFERROR(__xludf.DUMMYFUNCTION("""COMPUTED_VALUE"""),2.0)</f>
        <v>2</v>
      </c>
      <c r="AU82" s="3">
        <f>IFERROR(__xludf.DUMMYFUNCTION("""COMPUTED_VALUE"""),2.0)</f>
        <v>2</v>
      </c>
      <c r="AV82" s="3">
        <f>IFERROR(__xludf.DUMMYFUNCTION("""COMPUTED_VALUE"""),2.0)</f>
        <v>2</v>
      </c>
      <c r="AW82" s="3">
        <f>IFERROR(__xludf.DUMMYFUNCTION("""COMPUTED_VALUE"""),2.0)</f>
        <v>2</v>
      </c>
      <c r="AX82" s="3">
        <f>IFERROR(__xludf.DUMMYFUNCTION("""COMPUTED_VALUE"""),2.0)</f>
        <v>2</v>
      </c>
      <c r="AY82" s="3">
        <f>IFERROR(__xludf.DUMMYFUNCTION("""COMPUTED_VALUE"""),2.0)</f>
        <v>2</v>
      </c>
      <c r="AZ82" s="3">
        <f>IFERROR(__xludf.DUMMYFUNCTION("""COMPUTED_VALUE"""),2.0)</f>
        <v>2</v>
      </c>
      <c r="BA82" s="3">
        <f>IFERROR(__xludf.DUMMYFUNCTION("""COMPUTED_VALUE"""),2.0)</f>
        <v>2</v>
      </c>
      <c r="BB82" s="3">
        <f>IFERROR(__xludf.DUMMYFUNCTION("""COMPUTED_VALUE"""),2.0)</f>
        <v>2</v>
      </c>
      <c r="BC82" s="3">
        <f>IFERROR(__xludf.DUMMYFUNCTION("""COMPUTED_VALUE"""),2.0)</f>
        <v>2</v>
      </c>
      <c r="BD82" s="3">
        <f>IFERROR(__xludf.DUMMYFUNCTION("""COMPUTED_VALUE"""),2.0)</f>
        <v>2</v>
      </c>
      <c r="BE82" s="3">
        <f>IFERROR(__xludf.DUMMYFUNCTION("""COMPUTED_VALUE"""),2.0)</f>
        <v>2</v>
      </c>
      <c r="BF82" s="3">
        <f>IFERROR(__xludf.DUMMYFUNCTION("""COMPUTED_VALUE"""),2.0)</f>
        <v>2</v>
      </c>
      <c r="BG82" s="3">
        <f>IFERROR(__xludf.DUMMYFUNCTION("""COMPUTED_VALUE"""),2.0)</f>
        <v>2</v>
      </c>
      <c r="BH82" s="3">
        <f>IFERROR(__xludf.DUMMYFUNCTION("""COMPUTED_VALUE"""),2.0)</f>
        <v>2</v>
      </c>
      <c r="BI82" s="3">
        <f>IFERROR(__xludf.DUMMYFUNCTION("""COMPUTED_VALUE"""),2.0)</f>
        <v>2</v>
      </c>
      <c r="BJ82" s="3">
        <f>IFERROR(__xludf.DUMMYFUNCTION("""COMPUTED_VALUE"""),2.0)</f>
        <v>2</v>
      </c>
      <c r="BK82" s="3">
        <f>IFERROR(__xludf.DUMMYFUNCTION("""COMPUTED_VALUE"""),2.0)</f>
        <v>2</v>
      </c>
      <c r="BL82" s="3">
        <f>IFERROR(__xludf.DUMMYFUNCTION("""COMPUTED_VALUE"""),2.0)</f>
        <v>2</v>
      </c>
      <c r="BM82" s="3">
        <f>IFERROR(__xludf.DUMMYFUNCTION("""COMPUTED_VALUE"""),2.0)</f>
        <v>2</v>
      </c>
      <c r="BN82" s="3">
        <f>IFERROR(__xludf.DUMMYFUNCTION("""COMPUTED_VALUE"""),2.0)</f>
        <v>2</v>
      </c>
      <c r="BO82" s="3">
        <f>IFERROR(__xludf.DUMMYFUNCTION("""COMPUTED_VALUE"""),2.0)</f>
        <v>2</v>
      </c>
      <c r="BP82" s="3">
        <f>IFERROR(__xludf.DUMMYFUNCTION("""COMPUTED_VALUE"""),2.0)</f>
        <v>2</v>
      </c>
      <c r="BQ82" s="3">
        <f>IFERROR(__xludf.DUMMYFUNCTION("""COMPUTED_VALUE"""),2.0)</f>
        <v>2</v>
      </c>
      <c r="BR82" s="3">
        <f>IFERROR(__xludf.DUMMYFUNCTION("""COMPUTED_VALUE"""),2.0)</f>
        <v>2</v>
      </c>
      <c r="BS82" s="3">
        <f>IFERROR(__xludf.DUMMYFUNCTION("""COMPUTED_VALUE"""),2.0)</f>
        <v>2</v>
      </c>
      <c r="BT82" s="3">
        <f>IFERROR(__xludf.DUMMYFUNCTION("""COMPUTED_VALUE"""),2.0)</f>
        <v>2</v>
      </c>
      <c r="BU82" s="3">
        <f>IFERROR(__xludf.DUMMYFUNCTION("""COMPUTED_VALUE"""),2.0)</f>
        <v>2</v>
      </c>
      <c r="BV82" s="3">
        <f>IFERROR(__xludf.DUMMYFUNCTION("""COMPUTED_VALUE"""),2.0)</f>
        <v>2</v>
      </c>
      <c r="BW82" s="3">
        <f>IFERROR(__xludf.DUMMYFUNCTION("""COMPUTED_VALUE"""),2.0)</f>
        <v>2</v>
      </c>
      <c r="BX82" s="3">
        <f>IFERROR(__xludf.DUMMYFUNCTION("""COMPUTED_VALUE"""),2.0)</f>
        <v>2</v>
      </c>
      <c r="BY82" s="3">
        <f>IFERROR(__xludf.DUMMYFUNCTION("""COMPUTED_VALUE"""),2.0)</f>
        <v>2</v>
      </c>
      <c r="BZ82" s="3">
        <f>IFERROR(__xludf.DUMMYFUNCTION("""COMPUTED_VALUE"""),2.0)</f>
        <v>2</v>
      </c>
      <c r="CA82" s="3">
        <f>IFERROR(__xludf.DUMMYFUNCTION("""COMPUTED_VALUE"""),2.0)</f>
        <v>2</v>
      </c>
      <c r="CB82" s="3">
        <f>IFERROR(__xludf.DUMMYFUNCTION("""COMPUTED_VALUE"""),2.0)</f>
        <v>2</v>
      </c>
    </row>
    <row r="83">
      <c r="A83" s="3" t="str">
        <f>IFERROR(__xludf.DUMMYFUNCTION("""COMPUTED_VALUE"""),"Zhejiang")</f>
        <v>Zhejiang</v>
      </c>
      <c r="B83" s="3" t="str">
        <f>IFERROR(__xludf.DUMMYFUNCTION("""COMPUTED_VALUE"""),"China")</f>
        <v>China</v>
      </c>
      <c r="C83" s="3">
        <f>IFERROR(__xludf.DUMMYFUNCTION("""COMPUTED_VALUE"""),29.1832)</f>
        <v>29.1832</v>
      </c>
      <c r="D83" s="3">
        <f>IFERROR(__xludf.DUMMYFUNCTION("""COMPUTED_VALUE"""),120.0934)</f>
        <v>120.0934</v>
      </c>
      <c r="E83" s="3">
        <f>IFERROR(__xludf.DUMMYFUNCTION("""COMPUTED_VALUE"""),0.0)</f>
        <v>0</v>
      </c>
      <c r="F83" s="3">
        <f>IFERROR(__xludf.DUMMYFUNCTION("""COMPUTED_VALUE"""),0.0)</f>
        <v>0</v>
      </c>
      <c r="G83" s="3">
        <f>IFERROR(__xludf.DUMMYFUNCTION("""COMPUTED_VALUE"""),0.0)</f>
        <v>0</v>
      </c>
      <c r="H83" s="3">
        <f>IFERROR(__xludf.DUMMYFUNCTION("""COMPUTED_VALUE"""),0.0)</f>
        <v>0</v>
      </c>
      <c r="I83" s="3">
        <f>IFERROR(__xludf.DUMMYFUNCTION("""COMPUTED_VALUE"""),0.0)</f>
        <v>0</v>
      </c>
      <c r="J83" s="3">
        <f>IFERROR(__xludf.DUMMYFUNCTION("""COMPUTED_VALUE"""),0.0)</f>
        <v>0</v>
      </c>
      <c r="K83" s="3">
        <f>IFERROR(__xludf.DUMMYFUNCTION("""COMPUTED_VALUE"""),0.0)</f>
        <v>0</v>
      </c>
      <c r="L83" s="3">
        <f>IFERROR(__xludf.DUMMYFUNCTION("""COMPUTED_VALUE"""),0.0)</f>
        <v>0</v>
      </c>
      <c r="M83" s="3">
        <f>IFERROR(__xludf.DUMMYFUNCTION("""COMPUTED_VALUE"""),0.0)</f>
        <v>0</v>
      </c>
      <c r="N83" s="3">
        <f>IFERROR(__xludf.DUMMYFUNCTION("""COMPUTED_VALUE"""),0.0)</f>
        <v>0</v>
      </c>
      <c r="O83" s="3">
        <f>IFERROR(__xludf.DUMMYFUNCTION("""COMPUTED_VALUE"""),0.0)</f>
        <v>0</v>
      </c>
      <c r="P83" s="3">
        <f>IFERROR(__xludf.DUMMYFUNCTION("""COMPUTED_VALUE"""),0.0)</f>
        <v>0</v>
      </c>
      <c r="Q83" s="3">
        <f>IFERROR(__xludf.DUMMYFUNCTION("""COMPUTED_VALUE"""),0.0)</f>
        <v>0</v>
      </c>
      <c r="R83" s="3">
        <f>IFERROR(__xludf.DUMMYFUNCTION("""COMPUTED_VALUE"""),0.0)</f>
        <v>0</v>
      </c>
      <c r="S83" s="3">
        <f>IFERROR(__xludf.DUMMYFUNCTION("""COMPUTED_VALUE"""),0.0)</f>
        <v>0</v>
      </c>
      <c r="T83" s="3">
        <f>IFERROR(__xludf.DUMMYFUNCTION("""COMPUTED_VALUE"""),0.0)</f>
        <v>0</v>
      </c>
      <c r="U83" s="3">
        <f>IFERROR(__xludf.DUMMYFUNCTION("""COMPUTED_VALUE"""),0.0)</f>
        <v>0</v>
      </c>
      <c r="V83" s="3">
        <f>IFERROR(__xludf.DUMMYFUNCTION("""COMPUTED_VALUE"""),0.0)</f>
        <v>0</v>
      </c>
      <c r="W83" s="3">
        <f>IFERROR(__xludf.DUMMYFUNCTION("""COMPUTED_VALUE"""),0.0)</f>
        <v>0</v>
      </c>
      <c r="X83" s="3">
        <f>IFERROR(__xludf.DUMMYFUNCTION("""COMPUTED_VALUE"""),0.0)</f>
        <v>0</v>
      </c>
      <c r="Y83" s="3">
        <f>IFERROR(__xludf.DUMMYFUNCTION("""COMPUTED_VALUE"""),0.0)</f>
        <v>0</v>
      </c>
      <c r="Z83" s="3">
        <f>IFERROR(__xludf.DUMMYFUNCTION("""COMPUTED_VALUE"""),0.0)</f>
        <v>0</v>
      </c>
      <c r="AA83" s="3">
        <f>IFERROR(__xludf.DUMMYFUNCTION("""COMPUTED_VALUE"""),0.0)</f>
        <v>0</v>
      </c>
      <c r="AB83" s="3">
        <f>IFERROR(__xludf.DUMMYFUNCTION("""COMPUTED_VALUE"""),0.0)</f>
        <v>0</v>
      </c>
      <c r="AC83" s="3">
        <f>IFERROR(__xludf.DUMMYFUNCTION("""COMPUTED_VALUE"""),0.0)</f>
        <v>0</v>
      </c>
      <c r="AD83" s="3">
        <f>IFERROR(__xludf.DUMMYFUNCTION("""COMPUTED_VALUE"""),0.0)</f>
        <v>0</v>
      </c>
      <c r="AE83" s="3">
        <f>IFERROR(__xludf.DUMMYFUNCTION("""COMPUTED_VALUE"""),0.0)</f>
        <v>0</v>
      </c>
      <c r="AF83" s="3">
        <f>IFERROR(__xludf.DUMMYFUNCTION("""COMPUTED_VALUE"""),0.0)</f>
        <v>0</v>
      </c>
      <c r="AG83" s="3">
        <f>IFERROR(__xludf.DUMMYFUNCTION("""COMPUTED_VALUE"""),0.0)</f>
        <v>0</v>
      </c>
      <c r="AH83" s="3">
        <f>IFERROR(__xludf.DUMMYFUNCTION("""COMPUTED_VALUE"""),1.0)</f>
        <v>1</v>
      </c>
      <c r="AI83" s="3">
        <f>IFERROR(__xludf.DUMMYFUNCTION("""COMPUTED_VALUE"""),1.0)</f>
        <v>1</v>
      </c>
      <c r="AJ83" s="3">
        <f>IFERROR(__xludf.DUMMYFUNCTION("""COMPUTED_VALUE"""),1.0)</f>
        <v>1</v>
      </c>
      <c r="AK83" s="3">
        <f>IFERROR(__xludf.DUMMYFUNCTION("""COMPUTED_VALUE"""),1.0)</f>
        <v>1</v>
      </c>
      <c r="AL83" s="3">
        <f>IFERROR(__xludf.DUMMYFUNCTION("""COMPUTED_VALUE"""),1.0)</f>
        <v>1</v>
      </c>
      <c r="AM83" s="3">
        <f>IFERROR(__xludf.DUMMYFUNCTION("""COMPUTED_VALUE"""),1.0)</f>
        <v>1</v>
      </c>
      <c r="AN83" s="3">
        <f>IFERROR(__xludf.DUMMYFUNCTION("""COMPUTED_VALUE"""),1.0)</f>
        <v>1</v>
      </c>
      <c r="AO83" s="3">
        <f>IFERROR(__xludf.DUMMYFUNCTION("""COMPUTED_VALUE"""),1.0)</f>
        <v>1</v>
      </c>
      <c r="AP83" s="3">
        <f>IFERROR(__xludf.DUMMYFUNCTION("""COMPUTED_VALUE"""),1.0)</f>
        <v>1</v>
      </c>
      <c r="AQ83" s="3">
        <f>IFERROR(__xludf.DUMMYFUNCTION("""COMPUTED_VALUE"""),1.0)</f>
        <v>1</v>
      </c>
      <c r="AR83" s="3">
        <f>IFERROR(__xludf.DUMMYFUNCTION("""COMPUTED_VALUE"""),1.0)</f>
        <v>1</v>
      </c>
      <c r="AS83" s="3">
        <f>IFERROR(__xludf.DUMMYFUNCTION("""COMPUTED_VALUE"""),1.0)</f>
        <v>1</v>
      </c>
      <c r="AT83" s="3">
        <f>IFERROR(__xludf.DUMMYFUNCTION("""COMPUTED_VALUE"""),1.0)</f>
        <v>1</v>
      </c>
      <c r="AU83" s="3">
        <f>IFERROR(__xludf.DUMMYFUNCTION("""COMPUTED_VALUE"""),1.0)</f>
        <v>1</v>
      </c>
      <c r="AV83" s="3">
        <f>IFERROR(__xludf.DUMMYFUNCTION("""COMPUTED_VALUE"""),1.0)</f>
        <v>1</v>
      </c>
      <c r="AW83" s="3">
        <f>IFERROR(__xludf.DUMMYFUNCTION("""COMPUTED_VALUE"""),1.0)</f>
        <v>1</v>
      </c>
      <c r="AX83" s="3">
        <f>IFERROR(__xludf.DUMMYFUNCTION("""COMPUTED_VALUE"""),1.0)</f>
        <v>1</v>
      </c>
      <c r="AY83" s="3">
        <f>IFERROR(__xludf.DUMMYFUNCTION("""COMPUTED_VALUE"""),1.0)</f>
        <v>1</v>
      </c>
      <c r="AZ83" s="3">
        <f>IFERROR(__xludf.DUMMYFUNCTION("""COMPUTED_VALUE"""),1.0)</f>
        <v>1</v>
      </c>
      <c r="BA83" s="3">
        <f>IFERROR(__xludf.DUMMYFUNCTION("""COMPUTED_VALUE"""),1.0)</f>
        <v>1</v>
      </c>
      <c r="BB83" s="3">
        <f>IFERROR(__xludf.DUMMYFUNCTION("""COMPUTED_VALUE"""),1.0)</f>
        <v>1</v>
      </c>
      <c r="BC83" s="3">
        <f>IFERROR(__xludf.DUMMYFUNCTION("""COMPUTED_VALUE"""),1.0)</f>
        <v>1</v>
      </c>
      <c r="BD83" s="3">
        <f>IFERROR(__xludf.DUMMYFUNCTION("""COMPUTED_VALUE"""),1.0)</f>
        <v>1</v>
      </c>
      <c r="BE83" s="3">
        <f>IFERROR(__xludf.DUMMYFUNCTION("""COMPUTED_VALUE"""),1.0)</f>
        <v>1</v>
      </c>
      <c r="BF83" s="3">
        <f>IFERROR(__xludf.DUMMYFUNCTION("""COMPUTED_VALUE"""),1.0)</f>
        <v>1</v>
      </c>
      <c r="BG83" s="3">
        <f>IFERROR(__xludf.DUMMYFUNCTION("""COMPUTED_VALUE"""),1.0)</f>
        <v>1</v>
      </c>
      <c r="BH83" s="3">
        <f>IFERROR(__xludf.DUMMYFUNCTION("""COMPUTED_VALUE"""),1.0)</f>
        <v>1</v>
      </c>
      <c r="BI83" s="3">
        <f>IFERROR(__xludf.DUMMYFUNCTION("""COMPUTED_VALUE"""),1.0)</f>
        <v>1</v>
      </c>
      <c r="BJ83" s="3">
        <f>IFERROR(__xludf.DUMMYFUNCTION("""COMPUTED_VALUE"""),1.0)</f>
        <v>1</v>
      </c>
      <c r="BK83" s="3">
        <f>IFERROR(__xludf.DUMMYFUNCTION("""COMPUTED_VALUE"""),1.0)</f>
        <v>1</v>
      </c>
      <c r="BL83" s="3">
        <f>IFERROR(__xludf.DUMMYFUNCTION("""COMPUTED_VALUE"""),1.0)</f>
        <v>1</v>
      </c>
      <c r="BM83" s="3">
        <f>IFERROR(__xludf.DUMMYFUNCTION("""COMPUTED_VALUE"""),1.0)</f>
        <v>1</v>
      </c>
      <c r="BN83" s="3">
        <f>IFERROR(__xludf.DUMMYFUNCTION("""COMPUTED_VALUE"""),1.0)</f>
        <v>1</v>
      </c>
      <c r="BO83" s="3">
        <f>IFERROR(__xludf.DUMMYFUNCTION("""COMPUTED_VALUE"""),1.0)</f>
        <v>1</v>
      </c>
      <c r="BP83" s="3">
        <f>IFERROR(__xludf.DUMMYFUNCTION("""COMPUTED_VALUE"""),1.0)</f>
        <v>1</v>
      </c>
      <c r="BQ83" s="3">
        <f>IFERROR(__xludf.DUMMYFUNCTION("""COMPUTED_VALUE"""),1.0)</f>
        <v>1</v>
      </c>
      <c r="BR83" s="3">
        <f>IFERROR(__xludf.DUMMYFUNCTION("""COMPUTED_VALUE"""),1.0)</f>
        <v>1</v>
      </c>
      <c r="BS83" s="3">
        <f>IFERROR(__xludf.DUMMYFUNCTION("""COMPUTED_VALUE"""),1.0)</f>
        <v>1</v>
      </c>
      <c r="BT83" s="3">
        <f>IFERROR(__xludf.DUMMYFUNCTION("""COMPUTED_VALUE"""),1.0)</f>
        <v>1</v>
      </c>
      <c r="BU83" s="3">
        <f>IFERROR(__xludf.DUMMYFUNCTION("""COMPUTED_VALUE"""),1.0)</f>
        <v>1</v>
      </c>
      <c r="BV83" s="3">
        <f>IFERROR(__xludf.DUMMYFUNCTION("""COMPUTED_VALUE"""),1.0)</f>
        <v>1</v>
      </c>
      <c r="BW83" s="3">
        <f>IFERROR(__xludf.DUMMYFUNCTION("""COMPUTED_VALUE"""),1.0)</f>
        <v>1</v>
      </c>
      <c r="BX83" s="3">
        <f>IFERROR(__xludf.DUMMYFUNCTION("""COMPUTED_VALUE"""),1.0)</f>
        <v>1</v>
      </c>
      <c r="BY83" s="3">
        <f>IFERROR(__xludf.DUMMYFUNCTION("""COMPUTED_VALUE"""),1.0)</f>
        <v>1</v>
      </c>
      <c r="BZ83" s="3">
        <f>IFERROR(__xludf.DUMMYFUNCTION("""COMPUTED_VALUE"""),1.0)</f>
        <v>1</v>
      </c>
      <c r="CA83" s="3">
        <f>IFERROR(__xludf.DUMMYFUNCTION("""COMPUTED_VALUE"""),1.0)</f>
        <v>1</v>
      </c>
      <c r="CB83" s="3">
        <f>IFERROR(__xludf.DUMMYFUNCTION("""COMPUTED_VALUE"""),1.0)</f>
        <v>1</v>
      </c>
    </row>
    <row r="84">
      <c r="A84" s="3" t="str">
        <f>IFERROR(__xludf.DUMMYFUNCTION("""COMPUTED_VALUE"""),"")</f>
        <v/>
      </c>
      <c r="B84" s="3" t="str">
        <f>IFERROR(__xludf.DUMMYFUNCTION("""COMPUTED_VALUE"""),"Colombia")</f>
        <v>Colombia</v>
      </c>
      <c r="C84" s="3">
        <f>IFERROR(__xludf.DUMMYFUNCTION("""COMPUTED_VALUE"""),4.5709)</f>
        <v>4.5709</v>
      </c>
      <c r="D84" s="3">
        <f>IFERROR(__xludf.DUMMYFUNCTION("""COMPUTED_VALUE"""),-74.2973)</f>
        <v>-74.2973</v>
      </c>
      <c r="E84" s="3">
        <f>IFERROR(__xludf.DUMMYFUNCTION("""COMPUTED_VALUE"""),0.0)</f>
        <v>0</v>
      </c>
      <c r="F84" s="3">
        <f>IFERROR(__xludf.DUMMYFUNCTION("""COMPUTED_VALUE"""),0.0)</f>
        <v>0</v>
      </c>
      <c r="G84" s="3">
        <f>IFERROR(__xludf.DUMMYFUNCTION("""COMPUTED_VALUE"""),0.0)</f>
        <v>0</v>
      </c>
      <c r="H84" s="3">
        <f>IFERROR(__xludf.DUMMYFUNCTION("""COMPUTED_VALUE"""),0.0)</f>
        <v>0</v>
      </c>
      <c r="I84" s="3">
        <f>IFERROR(__xludf.DUMMYFUNCTION("""COMPUTED_VALUE"""),0.0)</f>
        <v>0</v>
      </c>
      <c r="J84" s="3">
        <f>IFERROR(__xludf.DUMMYFUNCTION("""COMPUTED_VALUE"""),0.0)</f>
        <v>0</v>
      </c>
      <c r="K84" s="3">
        <f>IFERROR(__xludf.DUMMYFUNCTION("""COMPUTED_VALUE"""),0.0)</f>
        <v>0</v>
      </c>
      <c r="L84" s="3">
        <f>IFERROR(__xludf.DUMMYFUNCTION("""COMPUTED_VALUE"""),0.0)</f>
        <v>0</v>
      </c>
      <c r="M84" s="3">
        <f>IFERROR(__xludf.DUMMYFUNCTION("""COMPUTED_VALUE"""),0.0)</f>
        <v>0</v>
      </c>
      <c r="N84" s="3">
        <f>IFERROR(__xludf.DUMMYFUNCTION("""COMPUTED_VALUE"""),0.0)</f>
        <v>0</v>
      </c>
      <c r="O84" s="3">
        <f>IFERROR(__xludf.DUMMYFUNCTION("""COMPUTED_VALUE"""),0.0)</f>
        <v>0</v>
      </c>
      <c r="P84" s="3">
        <f>IFERROR(__xludf.DUMMYFUNCTION("""COMPUTED_VALUE"""),0.0)</f>
        <v>0</v>
      </c>
      <c r="Q84" s="3">
        <f>IFERROR(__xludf.DUMMYFUNCTION("""COMPUTED_VALUE"""),0.0)</f>
        <v>0</v>
      </c>
      <c r="R84" s="3">
        <f>IFERROR(__xludf.DUMMYFUNCTION("""COMPUTED_VALUE"""),0.0)</f>
        <v>0</v>
      </c>
      <c r="S84" s="3">
        <f>IFERROR(__xludf.DUMMYFUNCTION("""COMPUTED_VALUE"""),0.0)</f>
        <v>0</v>
      </c>
      <c r="T84" s="3">
        <f>IFERROR(__xludf.DUMMYFUNCTION("""COMPUTED_VALUE"""),0.0)</f>
        <v>0</v>
      </c>
      <c r="U84" s="3">
        <f>IFERROR(__xludf.DUMMYFUNCTION("""COMPUTED_VALUE"""),0.0)</f>
        <v>0</v>
      </c>
      <c r="V84" s="3">
        <f>IFERROR(__xludf.DUMMYFUNCTION("""COMPUTED_VALUE"""),0.0)</f>
        <v>0</v>
      </c>
      <c r="W84" s="3">
        <f>IFERROR(__xludf.DUMMYFUNCTION("""COMPUTED_VALUE"""),0.0)</f>
        <v>0</v>
      </c>
      <c r="X84" s="3">
        <f>IFERROR(__xludf.DUMMYFUNCTION("""COMPUTED_VALUE"""),0.0)</f>
        <v>0</v>
      </c>
      <c r="Y84" s="3">
        <f>IFERROR(__xludf.DUMMYFUNCTION("""COMPUTED_VALUE"""),0.0)</f>
        <v>0</v>
      </c>
      <c r="Z84" s="3">
        <f>IFERROR(__xludf.DUMMYFUNCTION("""COMPUTED_VALUE"""),0.0)</f>
        <v>0</v>
      </c>
      <c r="AA84" s="3">
        <f>IFERROR(__xludf.DUMMYFUNCTION("""COMPUTED_VALUE"""),0.0)</f>
        <v>0</v>
      </c>
      <c r="AB84" s="3">
        <f>IFERROR(__xludf.DUMMYFUNCTION("""COMPUTED_VALUE"""),0.0)</f>
        <v>0</v>
      </c>
      <c r="AC84" s="3">
        <f>IFERROR(__xludf.DUMMYFUNCTION("""COMPUTED_VALUE"""),0.0)</f>
        <v>0</v>
      </c>
      <c r="AD84" s="3">
        <f>IFERROR(__xludf.DUMMYFUNCTION("""COMPUTED_VALUE"""),0.0)</f>
        <v>0</v>
      </c>
      <c r="AE84" s="3">
        <f>IFERROR(__xludf.DUMMYFUNCTION("""COMPUTED_VALUE"""),0.0)</f>
        <v>0</v>
      </c>
      <c r="AF84" s="3">
        <f>IFERROR(__xludf.DUMMYFUNCTION("""COMPUTED_VALUE"""),0.0)</f>
        <v>0</v>
      </c>
      <c r="AG84" s="3">
        <f>IFERROR(__xludf.DUMMYFUNCTION("""COMPUTED_VALUE"""),0.0)</f>
        <v>0</v>
      </c>
      <c r="AH84" s="3">
        <f>IFERROR(__xludf.DUMMYFUNCTION("""COMPUTED_VALUE"""),0.0)</f>
        <v>0</v>
      </c>
      <c r="AI84" s="3">
        <f>IFERROR(__xludf.DUMMYFUNCTION("""COMPUTED_VALUE"""),0.0)</f>
        <v>0</v>
      </c>
      <c r="AJ84" s="3">
        <f>IFERROR(__xludf.DUMMYFUNCTION("""COMPUTED_VALUE"""),0.0)</f>
        <v>0</v>
      </c>
      <c r="AK84" s="3">
        <f>IFERROR(__xludf.DUMMYFUNCTION("""COMPUTED_VALUE"""),0.0)</f>
        <v>0</v>
      </c>
      <c r="AL84" s="3">
        <f>IFERROR(__xludf.DUMMYFUNCTION("""COMPUTED_VALUE"""),0.0)</f>
        <v>0</v>
      </c>
      <c r="AM84" s="3">
        <f>IFERROR(__xludf.DUMMYFUNCTION("""COMPUTED_VALUE"""),0.0)</f>
        <v>0</v>
      </c>
      <c r="AN84" s="3">
        <f>IFERROR(__xludf.DUMMYFUNCTION("""COMPUTED_VALUE"""),0.0)</f>
        <v>0</v>
      </c>
      <c r="AO84" s="3">
        <f>IFERROR(__xludf.DUMMYFUNCTION("""COMPUTED_VALUE"""),0.0)</f>
        <v>0</v>
      </c>
      <c r="AP84" s="3">
        <f>IFERROR(__xludf.DUMMYFUNCTION("""COMPUTED_VALUE"""),0.0)</f>
        <v>0</v>
      </c>
      <c r="AQ84" s="3">
        <f>IFERROR(__xludf.DUMMYFUNCTION("""COMPUTED_VALUE"""),0.0)</f>
        <v>0</v>
      </c>
      <c r="AR84" s="3">
        <f>IFERROR(__xludf.DUMMYFUNCTION("""COMPUTED_VALUE"""),0.0)</f>
        <v>0</v>
      </c>
      <c r="AS84" s="3">
        <f>IFERROR(__xludf.DUMMYFUNCTION("""COMPUTED_VALUE"""),0.0)</f>
        <v>0</v>
      </c>
      <c r="AT84" s="3">
        <f>IFERROR(__xludf.DUMMYFUNCTION("""COMPUTED_VALUE"""),0.0)</f>
        <v>0</v>
      </c>
      <c r="AU84" s="3">
        <f>IFERROR(__xludf.DUMMYFUNCTION("""COMPUTED_VALUE"""),0.0)</f>
        <v>0</v>
      </c>
      <c r="AV84" s="3">
        <f>IFERROR(__xludf.DUMMYFUNCTION("""COMPUTED_VALUE"""),0.0)</f>
        <v>0</v>
      </c>
      <c r="AW84" s="3">
        <f>IFERROR(__xludf.DUMMYFUNCTION("""COMPUTED_VALUE"""),0.0)</f>
        <v>0</v>
      </c>
      <c r="AX84" s="3">
        <f>IFERROR(__xludf.DUMMYFUNCTION("""COMPUTED_VALUE"""),0.0)</f>
        <v>0</v>
      </c>
      <c r="AY84" s="3">
        <f>IFERROR(__xludf.DUMMYFUNCTION("""COMPUTED_VALUE"""),0.0)</f>
        <v>0</v>
      </c>
      <c r="AZ84" s="3">
        <f>IFERROR(__xludf.DUMMYFUNCTION("""COMPUTED_VALUE"""),0.0)</f>
        <v>0</v>
      </c>
      <c r="BA84" s="3">
        <f>IFERROR(__xludf.DUMMYFUNCTION("""COMPUTED_VALUE"""),0.0)</f>
        <v>0</v>
      </c>
      <c r="BB84" s="3">
        <f>IFERROR(__xludf.DUMMYFUNCTION("""COMPUTED_VALUE"""),0.0)</f>
        <v>0</v>
      </c>
      <c r="BC84" s="3">
        <f>IFERROR(__xludf.DUMMYFUNCTION("""COMPUTED_VALUE"""),0.0)</f>
        <v>0</v>
      </c>
      <c r="BD84" s="3">
        <f>IFERROR(__xludf.DUMMYFUNCTION("""COMPUTED_VALUE"""),0.0)</f>
        <v>0</v>
      </c>
      <c r="BE84" s="3">
        <f>IFERROR(__xludf.DUMMYFUNCTION("""COMPUTED_VALUE"""),0.0)</f>
        <v>0</v>
      </c>
      <c r="BF84" s="3">
        <f>IFERROR(__xludf.DUMMYFUNCTION("""COMPUTED_VALUE"""),0.0)</f>
        <v>0</v>
      </c>
      <c r="BG84" s="3">
        <f>IFERROR(__xludf.DUMMYFUNCTION("""COMPUTED_VALUE"""),0.0)</f>
        <v>0</v>
      </c>
      <c r="BH84" s="3">
        <f>IFERROR(__xludf.DUMMYFUNCTION("""COMPUTED_VALUE"""),0.0)</f>
        <v>0</v>
      </c>
      <c r="BI84" s="3">
        <f>IFERROR(__xludf.DUMMYFUNCTION("""COMPUTED_VALUE"""),0.0)</f>
        <v>0</v>
      </c>
      <c r="BJ84" s="3">
        <f>IFERROR(__xludf.DUMMYFUNCTION("""COMPUTED_VALUE"""),0.0)</f>
        <v>0</v>
      </c>
      <c r="BK84" s="3">
        <f>IFERROR(__xludf.DUMMYFUNCTION("""COMPUTED_VALUE"""),0.0)</f>
        <v>0</v>
      </c>
      <c r="BL84" s="3">
        <f>IFERROR(__xludf.DUMMYFUNCTION("""COMPUTED_VALUE"""),0.0)</f>
        <v>0</v>
      </c>
      <c r="BM84" s="3">
        <f>IFERROR(__xludf.DUMMYFUNCTION("""COMPUTED_VALUE"""),2.0)</f>
        <v>2</v>
      </c>
      <c r="BN84" s="3">
        <f>IFERROR(__xludf.DUMMYFUNCTION("""COMPUTED_VALUE"""),3.0)</f>
        <v>3</v>
      </c>
      <c r="BO84" s="3">
        <f>IFERROR(__xludf.DUMMYFUNCTION("""COMPUTED_VALUE"""),3.0)</f>
        <v>3</v>
      </c>
      <c r="BP84" s="3">
        <f>IFERROR(__xludf.DUMMYFUNCTION("""COMPUTED_VALUE"""),4.0)</f>
        <v>4</v>
      </c>
      <c r="BQ84" s="3">
        <f>IFERROR(__xludf.DUMMYFUNCTION("""COMPUTED_VALUE"""),6.0)</f>
        <v>6</v>
      </c>
      <c r="BR84" s="3">
        <f>IFERROR(__xludf.DUMMYFUNCTION("""COMPUTED_VALUE"""),6.0)</f>
        <v>6</v>
      </c>
      <c r="BS84" s="3">
        <f>IFERROR(__xludf.DUMMYFUNCTION("""COMPUTED_VALUE"""),6.0)</f>
        <v>6</v>
      </c>
      <c r="BT84" s="3">
        <f>IFERROR(__xludf.DUMMYFUNCTION("""COMPUTED_VALUE"""),10.0)</f>
        <v>10</v>
      </c>
      <c r="BU84" s="3">
        <f>IFERROR(__xludf.DUMMYFUNCTION("""COMPUTED_VALUE"""),12.0)</f>
        <v>12</v>
      </c>
      <c r="BV84" s="3">
        <f>IFERROR(__xludf.DUMMYFUNCTION("""COMPUTED_VALUE"""),16.0)</f>
        <v>16</v>
      </c>
      <c r="BW84" s="3">
        <f>IFERROR(__xludf.DUMMYFUNCTION("""COMPUTED_VALUE"""),17.0)</f>
        <v>17</v>
      </c>
      <c r="BX84" s="3">
        <f>IFERROR(__xludf.DUMMYFUNCTION("""COMPUTED_VALUE"""),19.0)</f>
        <v>19</v>
      </c>
      <c r="BY84" s="3">
        <f>IFERROR(__xludf.DUMMYFUNCTION("""COMPUTED_VALUE"""),25.0)</f>
        <v>25</v>
      </c>
      <c r="BZ84" s="3">
        <f>IFERROR(__xludf.DUMMYFUNCTION("""COMPUTED_VALUE"""),32.0)</f>
        <v>32</v>
      </c>
      <c r="CA84" s="3">
        <f>IFERROR(__xludf.DUMMYFUNCTION("""COMPUTED_VALUE"""),35.0)</f>
        <v>35</v>
      </c>
      <c r="CB84" s="3">
        <f>IFERROR(__xludf.DUMMYFUNCTION("""COMPUTED_VALUE"""),46.0)</f>
        <v>46</v>
      </c>
    </row>
    <row r="85">
      <c r="A85" s="3" t="str">
        <f>IFERROR(__xludf.DUMMYFUNCTION("""COMPUTED_VALUE"""),"")</f>
        <v/>
      </c>
      <c r="B85" s="3" t="str">
        <f>IFERROR(__xludf.DUMMYFUNCTION("""COMPUTED_VALUE"""),"Congo (Brazzaville)")</f>
        <v>Congo (Brazzaville)</v>
      </c>
      <c r="C85" s="3">
        <f>IFERROR(__xludf.DUMMYFUNCTION("""COMPUTED_VALUE"""),-4.0383)</f>
        <v>-4.0383</v>
      </c>
      <c r="D85" s="3">
        <f>IFERROR(__xludf.DUMMYFUNCTION("""COMPUTED_VALUE"""),21.7587)</f>
        <v>21.7587</v>
      </c>
      <c r="E85" s="3">
        <f>IFERROR(__xludf.DUMMYFUNCTION("""COMPUTED_VALUE"""),0.0)</f>
        <v>0</v>
      </c>
      <c r="F85" s="3">
        <f>IFERROR(__xludf.DUMMYFUNCTION("""COMPUTED_VALUE"""),0.0)</f>
        <v>0</v>
      </c>
      <c r="G85" s="3">
        <f>IFERROR(__xludf.DUMMYFUNCTION("""COMPUTED_VALUE"""),0.0)</f>
        <v>0</v>
      </c>
      <c r="H85" s="3">
        <f>IFERROR(__xludf.DUMMYFUNCTION("""COMPUTED_VALUE"""),0.0)</f>
        <v>0</v>
      </c>
      <c r="I85" s="3">
        <f>IFERROR(__xludf.DUMMYFUNCTION("""COMPUTED_VALUE"""),0.0)</f>
        <v>0</v>
      </c>
      <c r="J85" s="3">
        <f>IFERROR(__xludf.DUMMYFUNCTION("""COMPUTED_VALUE"""),0.0)</f>
        <v>0</v>
      </c>
      <c r="K85" s="3">
        <f>IFERROR(__xludf.DUMMYFUNCTION("""COMPUTED_VALUE"""),0.0)</f>
        <v>0</v>
      </c>
      <c r="L85" s="3">
        <f>IFERROR(__xludf.DUMMYFUNCTION("""COMPUTED_VALUE"""),0.0)</f>
        <v>0</v>
      </c>
      <c r="M85" s="3">
        <f>IFERROR(__xludf.DUMMYFUNCTION("""COMPUTED_VALUE"""),0.0)</f>
        <v>0</v>
      </c>
      <c r="N85" s="3">
        <f>IFERROR(__xludf.DUMMYFUNCTION("""COMPUTED_VALUE"""),0.0)</f>
        <v>0</v>
      </c>
      <c r="O85" s="3">
        <f>IFERROR(__xludf.DUMMYFUNCTION("""COMPUTED_VALUE"""),0.0)</f>
        <v>0</v>
      </c>
      <c r="P85" s="3">
        <f>IFERROR(__xludf.DUMMYFUNCTION("""COMPUTED_VALUE"""),0.0)</f>
        <v>0</v>
      </c>
      <c r="Q85" s="3">
        <f>IFERROR(__xludf.DUMMYFUNCTION("""COMPUTED_VALUE"""),0.0)</f>
        <v>0</v>
      </c>
      <c r="R85" s="3">
        <f>IFERROR(__xludf.DUMMYFUNCTION("""COMPUTED_VALUE"""),0.0)</f>
        <v>0</v>
      </c>
      <c r="S85" s="3">
        <f>IFERROR(__xludf.DUMMYFUNCTION("""COMPUTED_VALUE"""),0.0)</f>
        <v>0</v>
      </c>
      <c r="T85" s="3">
        <f>IFERROR(__xludf.DUMMYFUNCTION("""COMPUTED_VALUE"""),0.0)</f>
        <v>0</v>
      </c>
      <c r="U85" s="3">
        <f>IFERROR(__xludf.DUMMYFUNCTION("""COMPUTED_VALUE"""),0.0)</f>
        <v>0</v>
      </c>
      <c r="V85" s="3">
        <f>IFERROR(__xludf.DUMMYFUNCTION("""COMPUTED_VALUE"""),0.0)</f>
        <v>0</v>
      </c>
      <c r="W85" s="3">
        <f>IFERROR(__xludf.DUMMYFUNCTION("""COMPUTED_VALUE"""),0.0)</f>
        <v>0</v>
      </c>
      <c r="X85" s="3">
        <f>IFERROR(__xludf.DUMMYFUNCTION("""COMPUTED_VALUE"""),0.0)</f>
        <v>0</v>
      </c>
      <c r="Y85" s="3">
        <f>IFERROR(__xludf.DUMMYFUNCTION("""COMPUTED_VALUE"""),0.0)</f>
        <v>0</v>
      </c>
      <c r="Z85" s="3">
        <f>IFERROR(__xludf.DUMMYFUNCTION("""COMPUTED_VALUE"""),0.0)</f>
        <v>0</v>
      </c>
      <c r="AA85" s="3">
        <f>IFERROR(__xludf.DUMMYFUNCTION("""COMPUTED_VALUE"""),0.0)</f>
        <v>0</v>
      </c>
      <c r="AB85" s="3">
        <f>IFERROR(__xludf.DUMMYFUNCTION("""COMPUTED_VALUE"""),0.0)</f>
        <v>0</v>
      </c>
      <c r="AC85" s="3">
        <f>IFERROR(__xludf.DUMMYFUNCTION("""COMPUTED_VALUE"""),0.0)</f>
        <v>0</v>
      </c>
      <c r="AD85" s="3">
        <f>IFERROR(__xludf.DUMMYFUNCTION("""COMPUTED_VALUE"""),0.0)</f>
        <v>0</v>
      </c>
      <c r="AE85" s="3">
        <f>IFERROR(__xludf.DUMMYFUNCTION("""COMPUTED_VALUE"""),0.0)</f>
        <v>0</v>
      </c>
      <c r="AF85" s="3">
        <f>IFERROR(__xludf.DUMMYFUNCTION("""COMPUTED_VALUE"""),0.0)</f>
        <v>0</v>
      </c>
      <c r="AG85" s="3">
        <f>IFERROR(__xludf.DUMMYFUNCTION("""COMPUTED_VALUE"""),0.0)</f>
        <v>0</v>
      </c>
      <c r="AH85" s="3">
        <f>IFERROR(__xludf.DUMMYFUNCTION("""COMPUTED_VALUE"""),0.0)</f>
        <v>0</v>
      </c>
      <c r="AI85" s="3">
        <f>IFERROR(__xludf.DUMMYFUNCTION("""COMPUTED_VALUE"""),0.0)</f>
        <v>0</v>
      </c>
      <c r="AJ85" s="3">
        <f>IFERROR(__xludf.DUMMYFUNCTION("""COMPUTED_VALUE"""),0.0)</f>
        <v>0</v>
      </c>
      <c r="AK85" s="3">
        <f>IFERROR(__xludf.DUMMYFUNCTION("""COMPUTED_VALUE"""),0.0)</f>
        <v>0</v>
      </c>
      <c r="AL85" s="3">
        <f>IFERROR(__xludf.DUMMYFUNCTION("""COMPUTED_VALUE"""),0.0)</f>
        <v>0</v>
      </c>
      <c r="AM85" s="3">
        <f>IFERROR(__xludf.DUMMYFUNCTION("""COMPUTED_VALUE"""),0.0)</f>
        <v>0</v>
      </c>
      <c r="AN85" s="3">
        <f>IFERROR(__xludf.DUMMYFUNCTION("""COMPUTED_VALUE"""),0.0)</f>
        <v>0</v>
      </c>
      <c r="AO85" s="3">
        <f>IFERROR(__xludf.DUMMYFUNCTION("""COMPUTED_VALUE"""),0.0)</f>
        <v>0</v>
      </c>
      <c r="AP85" s="3">
        <f>IFERROR(__xludf.DUMMYFUNCTION("""COMPUTED_VALUE"""),0.0)</f>
        <v>0</v>
      </c>
      <c r="AQ85" s="3">
        <f>IFERROR(__xludf.DUMMYFUNCTION("""COMPUTED_VALUE"""),0.0)</f>
        <v>0</v>
      </c>
      <c r="AR85" s="3">
        <f>IFERROR(__xludf.DUMMYFUNCTION("""COMPUTED_VALUE"""),0.0)</f>
        <v>0</v>
      </c>
      <c r="AS85" s="3">
        <f>IFERROR(__xludf.DUMMYFUNCTION("""COMPUTED_VALUE"""),0.0)</f>
        <v>0</v>
      </c>
      <c r="AT85" s="3">
        <f>IFERROR(__xludf.DUMMYFUNCTION("""COMPUTED_VALUE"""),0.0)</f>
        <v>0</v>
      </c>
      <c r="AU85" s="3">
        <f>IFERROR(__xludf.DUMMYFUNCTION("""COMPUTED_VALUE"""),0.0)</f>
        <v>0</v>
      </c>
      <c r="AV85" s="3">
        <f>IFERROR(__xludf.DUMMYFUNCTION("""COMPUTED_VALUE"""),0.0)</f>
        <v>0</v>
      </c>
      <c r="AW85" s="3">
        <f>IFERROR(__xludf.DUMMYFUNCTION("""COMPUTED_VALUE"""),0.0)</f>
        <v>0</v>
      </c>
      <c r="AX85" s="3">
        <f>IFERROR(__xludf.DUMMYFUNCTION("""COMPUTED_VALUE"""),0.0)</f>
        <v>0</v>
      </c>
      <c r="AY85" s="3">
        <f>IFERROR(__xludf.DUMMYFUNCTION("""COMPUTED_VALUE"""),0.0)</f>
        <v>0</v>
      </c>
      <c r="AZ85" s="3">
        <f>IFERROR(__xludf.DUMMYFUNCTION("""COMPUTED_VALUE"""),0.0)</f>
        <v>0</v>
      </c>
      <c r="BA85" s="3">
        <f>IFERROR(__xludf.DUMMYFUNCTION("""COMPUTED_VALUE"""),0.0)</f>
        <v>0</v>
      </c>
      <c r="BB85" s="3">
        <f>IFERROR(__xludf.DUMMYFUNCTION("""COMPUTED_VALUE"""),0.0)</f>
        <v>0</v>
      </c>
      <c r="BC85" s="3">
        <f>IFERROR(__xludf.DUMMYFUNCTION("""COMPUTED_VALUE"""),0.0)</f>
        <v>0</v>
      </c>
      <c r="BD85" s="3">
        <f>IFERROR(__xludf.DUMMYFUNCTION("""COMPUTED_VALUE"""),0.0)</f>
        <v>0</v>
      </c>
      <c r="BE85" s="3">
        <f>IFERROR(__xludf.DUMMYFUNCTION("""COMPUTED_VALUE"""),0.0)</f>
        <v>0</v>
      </c>
      <c r="BF85" s="3">
        <f>IFERROR(__xludf.DUMMYFUNCTION("""COMPUTED_VALUE"""),0.0)</f>
        <v>0</v>
      </c>
      <c r="BG85" s="3">
        <f>IFERROR(__xludf.DUMMYFUNCTION("""COMPUTED_VALUE"""),0.0)</f>
        <v>0</v>
      </c>
      <c r="BH85" s="3">
        <f>IFERROR(__xludf.DUMMYFUNCTION("""COMPUTED_VALUE"""),0.0)</f>
        <v>0</v>
      </c>
      <c r="BI85" s="3">
        <f>IFERROR(__xludf.DUMMYFUNCTION("""COMPUTED_VALUE"""),0.0)</f>
        <v>0</v>
      </c>
      <c r="BJ85" s="3">
        <f>IFERROR(__xludf.DUMMYFUNCTION("""COMPUTED_VALUE"""),0.0)</f>
        <v>0</v>
      </c>
      <c r="BK85" s="3">
        <f>IFERROR(__xludf.DUMMYFUNCTION("""COMPUTED_VALUE"""),0.0)</f>
        <v>0</v>
      </c>
      <c r="BL85" s="3">
        <f>IFERROR(__xludf.DUMMYFUNCTION("""COMPUTED_VALUE"""),0.0)</f>
        <v>0</v>
      </c>
      <c r="BM85" s="3">
        <f>IFERROR(__xludf.DUMMYFUNCTION("""COMPUTED_VALUE"""),0.0)</f>
        <v>0</v>
      </c>
      <c r="BN85" s="3">
        <f>IFERROR(__xludf.DUMMYFUNCTION("""COMPUTED_VALUE"""),0.0)</f>
        <v>0</v>
      </c>
      <c r="BO85" s="3">
        <f>IFERROR(__xludf.DUMMYFUNCTION("""COMPUTED_VALUE"""),0.0)</f>
        <v>0</v>
      </c>
      <c r="BP85" s="3">
        <f>IFERROR(__xludf.DUMMYFUNCTION("""COMPUTED_VALUE"""),0.0)</f>
        <v>0</v>
      </c>
      <c r="BQ85" s="3">
        <f>IFERROR(__xludf.DUMMYFUNCTION("""COMPUTED_VALUE"""),0.0)</f>
        <v>0</v>
      </c>
      <c r="BR85" s="3">
        <f>IFERROR(__xludf.DUMMYFUNCTION("""COMPUTED_VALUE"""),0.0)</f>
        <v>0</v>
      </c>
      <c r="BS85" s="3">
        <f>IFERROR(__xludf.DUMMYFUNCTION("""COMPUTED_VALUE"""),0.0)</f>
        <v>0</v>
      </c>
      <c r="BT85" s="3">
        <f>IFERROR(__xludf.DUMMYFUNCTION("""COMPUTED_VALUE"""),0.0)</f>
        <v>0</v>
      </c>
      <c r="BU85" s="3">
        <f>IFERROR(__xludf.DUMMYFUNCTION("""COMPUTED_VALUE"""),0.0)</f>
        <v>0</v>
      </c>
      <c r="BV85" s="3">
        <f>IFERROR(__xludf.DUMMYFUNCTION("""COMPUTED_VALUE"""),0.0)</f>
        <v>0</v>
      </c>
      <c r="BW85" s="3">
        <f>IFERROR(__xludf.DUMMYFUNCTION("""COMPUTED_VALUE"""),0.0)</f>
        <v>0</v>
      </c>
      <c r="BX85" s="3">
        <f>IFERROR(__xludf.DUMMYFUNCTION("""COMPUTED_VALUE"""),2.0)</f>
        <v>2</v>
      </c>
      <c r="BY85" s="3">
        <f>IFERROR(__xludf.DUMMYFUNCTION("""COMPUTED_VALUE"""),2.0)</f>
        <v>2</v>
      </c>
      <c r="BZ85" s="3">
        <f>IFERROR(__xludf.DUMMYFUNCTION("""COMPUTED_VALUE"""),2.0)</f>
        <v>2</v>
      </c>
      <c r="CA85" s="3">
        <f>IFERROR(__xludf.DUMMYFUNCTION("""COMPUTED_VALUE"""),5.0)</f>
        <v>5</v>
      </c>
      <c r="CB85" s="3">
        <f>IFERROR(__xludf.DUMMYFUNCTION("""COMPUTED_VALUE"""),5.0)</f>
        <v>5</v>
      </c>
    </row>
    <row r="86">
      <c r="A86" s="3" t="str">
        <f>IFERROR(__xludf.DUMMYFUNCTION("""COMPUTED_VALUE"""),"")</f>
        <v/>
      </c>
      <c r="B86" s="3" t="str">
        <f>IFERROR(__xludf.DUMMYFUNCTION("""COMPUTED_VALUE"""),"Congo (Kinshasa)")</f>
        <v>Congo (Kinshasa)</v>
      </c>
      <c r="C86" s="3">
        <f>IFERROR(__xludf.DUMMYFUNCTION("""COMPUTED_VALUE"""),-4.0383)</f>
        <v>-4.0383</v>
      </c>
      <c r="D86" s="3">
        <f>IFERROR(__xludf.DUMMYFUNCTION("""COMPUTED_VALUE"""),21.7587)</f>
        <v>21.7587</v>
      </c>
      <c r="E86" s="3">
        <f>IFERROR(__xludf.DUMMYFUNCTION("""COMPUTED_VALUE"""),0.0)</f>
        <v>0</v>
      </c>
      <c r="F86" s="3">
        <f>IFERROR(__xludf.DUMMYFUNCTION("""COMPUTED_VALUE"""),0.0)</f>
        <v>0</v>
      </c>
      <c r="G86" s="3">
        <f>IFERROR(__xludf.DUMMYFUNCTION("""COMPUTED_VALUE"""),0.0)</f>
        <v>0</v>
      </c>
      <c r="H86" s="3">
        <f>IFERROR(__xludf.DUMMYFUNCTION("""COMPUTED_VALUE"""),0.0)</f>
        <v>0</v>
      </c>
      <c r="I86" s="3">
        <f>IFERROR(__xludf.DUMMYFUNCTION("""COMPUTED_VALUE"""),0.0)</f>
        <v>0</v>
      </c>
      <c r="J86" s="3">
        <f>IFERROR(__xludf.DUMMYFUNCTION("""COMPUTED_VALUE"""),0.0)</f>
        <v>0</v>
      </c>
      <c r="K86" s="3">
        <f>IFERROR(__xludf.DUMMYFUNCTION("""COMPUTED_VALUE"""),0.0)</f>
        <v>0</v>
      </c>
      <c r="L86" s="3">
        <f>IFERROR(__xludf.DUMMYFUNCTION("""COMPUTED_VALUE"""),0.0)</f>
        <v>0</v>
      </c>
      <c r="M86" s="3">
        <f>IFERROR(__xludf.DUMMYFUNCTION("""COMPUTED_VALUE"""),0.0)</f>
        <v>0</v>
      </c>
      <c r="N86" s="3">
        <f>IFERROR(__xludf.DUMMYFUNCTION("""COMPUTED_VALUE"""),0.0)</f>
        <v>0</v>
      </c>
      <c r="O86" s="3">
        <f>IFERROR(__xludf.DUMMYFUNCTION("""COMPUTED_VALUE"""),0.0)</f>
        <v>0</v>
      </c>
      <c r="P86" s="3">
        <f>IFERROR(__xludf.DUMMYFUNCTION("""COMPUTED_VALUE"""),0.0)</f>
        <v>0</v>
      </c>
      <c r="Q86" s="3">
        <f>IFERROR(__xludf.DUMMYFUNCTION("""COMPUTED_VALUE"""),0.0)</f>
        <v>0</v>
      </c>
      <c r="R86" s="3">
        <f>IFERROR(__xludf.DUMMYFUNCTION("""COMPUTED_VALUE"""),0.0)</f>
        <v>0</v>
      </c>
      <c r="S86" s="3">
        <f>IFERROR(__xludf.DUMMYFUNCTION("""COMPUTED_VALUE"""),0.0)</f>
        <v>0</v>
      </c>
      <c r="T86" s="3">
        <f>IFERROR(__xludf.DUMMYFUNCTION("""COMPUTED_VALUE"""),0.0)</f>
        <v>0</v>
      </c>
      <c r="U86" s="3">
        <f>IFERROR(__xludf.DUMMYFUNCTION("""COMPUTED_VALUE"""),0.0)</f>
        <v>0</v>
      </c>
      <c r="V86" s="3">
        <f>IFERROR(__xludf.DUMMYFUNCTION("""COMPUTED_VALUE"""),0.0)</f>
        <v>0</v>
      </c>
      <c r="W86" s="3">
        <f>IFERROR(__xludf.DUMMYFUNCTION("""COMPUTED_VALUE"""),0.0)</f>
        <v>0</v>
      </c>
      <c r="X86" s="3">
        <f>IFERROR(__xludf.DUMMYFUNCTION("""COMPUTED_VALUE"""),0.0)</f>
        <v>0</v>
      </c>
      <c r="Y86" s="3">
        <f>IFERROR(__xludf.DUMMYFUNCTION("""COMPUTED_VALUE"""),0.0)</f>
        <v>0</v>
      </c>
      <c r="Z86" s="3">
        <f>IFERROR(__xludf.DUMMYFUNCTION("""COMPUTED_VALUE"""),0.0)</f>
        <v>0</v>
      </c>
      <c r="AA86" s="3">
        <f>IFERROR(__xludf.DUMMYFUNCTION("""COMPUTED_VALUE"""),0.0)</f>
        <v>0</v>
      </c>
      <c r="AB86" s="3">
        <f>IFERROR(__xludf.DUMMYFUNCTION("""COMPUTED_VALUE"""),0.0)</f>
        <v>0</v>
      </c>
      <c r="AC86" s="3">
        <f>IFERROR(__xludf.DUMMYFUNCTION("""COMPUTED_VALUE"""),0.0)</f>
        <v>0</v>
      </c>
      <c r="AD86" s="3">
        <f>IFERROR(__xludf.DUMMYFUNCTION("""COMPUTED_VALUE"""),0.0)</f>
        <v>0</v>
      </c>
      <c r="AE86" s="3">
        <f>IFERROR(__xludf.DUMMYFUNCTION("""COMPUTED_VALUE"""),0.0)</f>
        <v>0</v>
      </c>
      <c r="AF86" s="3">
        <f>IFERROR(__xludf.DUMMYFUNCTION("""COMPUTED_VALUE"""),0.0)</f>
        <v>0</v>
      </c>
      <c r="AG86" s="3">
        <f>IFERROR(__xludf.DUMMYFUNCTION("""COMPUTED_VALUE"""),0.0)</f>
        <v>0</v>
      </c>
      <c r="AH86" s="3">
        <f>IFERROR(__xludf.DUMMYFUNCTION("""COMPUTED_VALUE"""),0.0)</f>
        <v>0</v>
      </c>
      <c r="AI86" s="3">
        <f>IFERROR(__xludf.DUMMYFUNCTION("""COMPUTED_VALUE"""),0.0)</f>
        <v>0</v>
      </c>
      <c r="AJ86" s="3">
        <f>IFERROR(__xludf.DUMMYFUNCTION("""COMPUTED_VALUE"""),0.0)</f>
        <v>0</v>
      </c>
      <c r="AK86" s="3">
        <f>IFERROR(__xludf.DUMMYFUNCTION("""COMPUTED_VALUE"""),0.0)</f>
        <v>0</v>
      </c>
      <c r="AL86" s="3">
        <f>IFERROR(__xludf.DUMMYFUNCTION("""COMPUTED_VALUE"""),0.0)</f>
        <v>0</v>
      </c>
      <c r="AM86" s="3">
        <f>IFERROR(__xludf.DUMMYFUNCTION("""COMPUTED_VALUE"""),0.0)</f>
        <v>0</v>
      </c>
      <c r="AN86" s="3">
        <f>IFERROR(__xludf.DUMMYFUNCTION("""COMPUTED_VALUE"""),0.0)</f>
        <v>0</v>
      </c>
      <c r="AO86" s="3">
        <f>IFERROR(__xludf.DUMMYFUNCTION("""COMPUTED_VALUE"""),0.0)</f>
        <v>0</v>
      </c>
      <c r="AP86" s="3">
        <f>IFERROR(__xludf.DUMMYFUNCTION("""COMPUTED_VALUE"""),0.0)</f>
        <v>0</v>
      </c>
      <c r="AQ86" s="3">
        <f>IFERROR(__xludf.DUMMYFUNCTION("""COMPUTED_VALUE"""),0.0)</f>
        <v>0</v>
      </c>
      <c r="AR86" s="3">
        <f>IFERROR(__xludf.DUMMYFUNCTION("""COMPUTED_VALUE"""),0.0)</f>
        <v>0</v>
      </c>
      <c r="AS86" s="3">
        <f>IFERROR(__xludf.DUMMYFUNCTION("""COMPUTED_VALUE"""),0.0)</f>
        <v>0</v>
      </c>
      <c r="AT86" s="3">
        <f>IFERROR(__xludf.DUMMYFUNCTION("""COMPUTED_VALUE"""),0.0)</f>
        <v>0</v>
      </c>
      <c r="AU86" s="3">
        <f>IFERROR(__xludf.DUMMYFUNCTION("""COMPUTED_VALUE"""),0.0)</f>
        <v>0</v>
      </c>
      <c r="AV86" s="3">
        <f>IFERROR(__xludf.DUMMYFUNCTION("""COMPUTED_VALUE"""),0.0)</f>
        <v>0</v>
      </c>
      <c r="AW86" s="3">
        <f>IFERROR(__xludf.DUMMYFUNCTION("""COMPUTED_VALUE"""),0.0)</f>
        <v>0</v>
      </c>
      <c r="AX86" s="3">
        <f>IFERROR(__xludf.DUMMYFUNCTION("""COMPUTED_VALUE"""),0.0)</f>
        <v>0</v>
      </c>
      <c r="AY86" s="3">
        <f>IFERROR(__xludf.DUMMYFUNCTION("""COMPUTED_VALUE"""),0.0)</f>
        <v>0</v>
      </c>
      <c r="AZ86" s="3">
        <f>IFERROR(__xludf.DUMMYFUNCTION("""COMPUTED_VALUE"""),0.0)</f>
        <v>0</v>
      </c>
      <c r="BA86" s="3">
        <f>IFERROR(__xludf.DUMMYFUNCTION("""COMPUTED_VALUE"""),0.0)</f>
        <v>0</v>
      </c>
      <c r="BB86" s="3">
        <f>IFERROR(__xludf.DUMMYFUNCTION("""COMPUTED_VALUE"""),0.0)</f>
        <v>0</v>
      </c>
      <c r="BC86" s="3">
        <f>IFERROR(__xludf.DUMMYFUNCTION("""COMPUTED_VALUE"""),0.0)</f>
        <v>0</v>
      </c>
      <c r="BD86" s="3">
        <f>IFERROR(__xludf.DUMMYFUNCTION("""COMPUTED_VALUE"""),0.0)</f>
        <v>0</v>
      </c>
      <c r="BE86" s="3">
        <f>IFERROR(__xludf.DUMMYFUNCTION("""COMPUTED_VALUE"""),0.0)</f>
        <v>0</v>
      </c>
      <c r="BF86" s="3">
        <f>IFERROR(__xludf.DUMMYFUNCTION("""COMPUTED_VALUE"""),0.0)</f>
        <v>0</v>
      </c>
      <c r="BG86" s="3">
        <f>IFERROR(__xludf.DUMMYFUNCTION("""COMPUTED_VALUE"""),0.0)</f>
        <v>0</v>
      </c>
      <c r="BH86" s="3">
        <f>IFERROR(__xludf.DUMMYFUNCTION("""COMPUTED_VALUE"""),0.0)</f>
        <v>0</v>
      </c>
      <c r="BI86" s="3">
        <f>IFERROR(__xludf.DUMMYFUNCTION("""COMPUTED_VALUE"""),0.0)</f>
        <v>0</v>
      </c>
      <c r="BJ86" s="3">
        <f>IFERROR(__xludf.DUMMYFUNCTION("""COMPUTED_VALUE"""),0.0)</f>
        <v>0</v>
      </c>
      <c r="BK86" s="3">
        <f>IFERROR(__xludf.DUMMYFUNCTION("""COMPUTED_VALUE"""),0.0)</f>
        <v>0</v>
      </c>
      <c r="BL86" s="3">
        <f>IFERROR(__xludf.DUMMYFUNCTION("""COMPUTED_VALUE"""),1.0)</f>
        <v>1</v>
      </c>
      <c r="BM86" s="3">
        <f>IFERROR(__xludf.DUMMYFUNCTION("""COMPUTED_VALUE"""),1.0)</f>
        <v>1</v>
      </c>
      <c r="BN86" s="3">
        <f>IFERROR(__xludf.DUMMYFUNCTION("""COMPUTED_VALUE"""),1.0)</f>
        <v>1</v>
      </c>
      <c r="BO86" s="3">
        <f>IFERROR(__xludf.DUMMYFUNCTION("""COMPUTED_VALUE"""),2.0)</f>
        <v>2</v>
      </c>
      <c r="BP86" s="3">
        <f>IFERROR(__xludf.DUMMYFUNCTION("""COMPUTED_VALUE"""),2.0)</f>
        <v>2</v>
      </c>
      <c r="BQ86" s="3">
        <f>IFERROR(__xludf.DUMMYFUNCTION("""COMPUTED_VALUE"""),3.0)</f>
        <v>3</v>
      </c>
      <c r="BR86" s="3">
        <f>IFERROR(__xludf.DUMMYFUNCTION("""COMPUTED_VALUE"""),3.0)</f>
        <v>3</v>
      </c>
      <c r="BS86" s="3">
        <f>IFERROR(__xludf.DUMMYFUNCTION("""COMPUTED_VALUE"""),6.0)</f>
        <v>6</v>
      </c>
      <c r="BT86" s="3">
        <f>IFERROR(__xludf.DUMMYFUNCTION("""COMPUTED_VALUE"""),6.0)</f>
        <v>6</v>
      </c>
      <c r="BU86" s="3">
        <f>IFERROR(__xludf.DUMMYFUNCTION("""COMPUTED_VALUE"""),8.0)</f>
        <v>8</v>
      </c>
      <c r="BV86" s="3">
        <f>IFERROR(__xludf.DUMMYFUNCTION("""COMPUTED_VALUE"""),8.0)</f>
        <v>8</v>
      </c>
      <c r="BW86" s="3">
        <f>IFERROR(__xludf.DUMMYFUNCTION("""COMPUTED_VALUE"""),9.0)</f>
        <v>9</v>
      </c>
      <c r="BX86" s="3">
        <f>IFERROR(__xludf.DUMMYFUNCTION("""COMPUTED_VALUE"""),13.0)</f>
        <v>13</v>
      </c>
      <c r="BY86" s="3">
        <f>IFERROR(__xludf.DUMMYFUNCTION("""COMPUTED_VALUE"""),13.0)</f>
        <v>13</v>
      </c>
      <c r="BZ86" s="3">
        <f>IFERROR(__xludf.DUMMYFUNCTION("""COMPUTED_VALUE"""),18.0)</f>
        <v>18</v>
      </c>
      <c r="CA86" s="3">
        <f>IFERROR(__xludf.DUMMYFUNCTION("""COMPUTED_VALUE"""),18.0)</f>
        <v>18</v>
      </c>
      <c r="CB86" s="3">
        <f>IFERROR(__xludf.DUMMYFUNCTION("""COMPUTED_VALUE"""),18.0)</f>
        <v>18</v>
      </c>
    </row>
    <row r="87">
      <c r="A87" s="3" t="str">
        <f>IFERROR(__xludf.DUMMYFUNCTION("""COMPUTED_VALUE"""),"")</f>
        <v/>
      </c>
      <c r="B87" s="3" t="str">
        <f>IFERROR(__xludf.DUMMYFUNCTION("""COMPUTED_VALUE"""),"Costa Rica")</f>
        <v>Costa Rica</v>
      </c>
      <c r="C87" s="3">
        <f>IFERROR(__xludf.DUMMYFUNCTION("""COMPUTED_VALUE"""),9.7489)</f>
        <v>9.7489</v>
      </c>
      <c r="D87" s="3">
        <f>IFERROR(__xludf.DUMMYFUNCTION("""COMPUTED_VALUE"""),-83.7534)</f>
        <v>-83.7534</v>
      </c>
      <c r="E87" s="3">
        <f>IFERROR(__xludf.DUMMYFUNCTION("""COMPUTED_VALUE"""),0.0)</f>
        <v>0</v>
      </c>
      <c r="F87" s="3">
        <f>IFERROR(__xludf.DUMMYFUNCTION("""COMPUTED_VALUE"""),0.0)</f>
        <v>0</v>
      </c>
      <c r="G87" s="3">
        <f>IFERROR(__xludf.DUMMYFUNCTION("""COMPUTED_VALUE"""),0.0)</f>
        <v>0</v>
      </c>
      <c r="H87" s="3">
        <f>IFERROR(__xludf.DUMMYFUNCTION("""COMPUTED_VALUE"""),0.0)</f>
        <v>0</v>
      </c>
      <c r="I87" s="3">
        <f>IFERROR(__xludf.DUMMYFUNCTION("""COMPUTED_VALUE"""),0.0)</f>
        <v>0</v>
      </c>
      <c r="J87" s="3">
        <f>IFERROR(__xludf.DUMMYFUNCTION("""COMPUTED_VALUE"""),0.0)</f>
        <v>0</v>
      </c>
      <c r="K87" s="3">
        <f>IFERROR(__xludf.DUMMYFUNCTION("""COMPUTED_VALUE"""),0.0)</f>
        <v>0</v>
      </c>
      <c r="L87" s="3">
        <f>IFERROR(__xludf.DUMMYFUNCTION("""COMPUTED_VALUE"""),0.0)</f>
        <v>0</v>
      </c>
      <c r="M87" s="3">
        <f>IFERROR(__xludf.DUMMYFUNCTION("""COMPUTED_VALUE"""),0.0)</f>
        <v>0</v>
      </c>
      <c r="N87" s="3">
        <f>IFERROR(__xludf.DUMMYFUNCTION("""COMPUTED_VALUE"""),0.0)</f>
        <v>0</v>
      </c>
      <c r="O87" s="3">
        <f>IFERROR(__xludf.DUMMYFUNCTION("""COMPUTED_VALUE"""),0.0)</f>
        <v>0</v>
      </c>
      <c r="P87" s="3">
        <f>IFERROR(__xludf.DUMMYFUNCTION("""COMPUTED_VALUE"""),0.0)</f>
        <v>0</v>
      </c>
      <c r="Q87" s="3">
        <f>IFERROR(__xludf.DUMMYFUNCTION("""COMPUTED_VALUE"""),0.0)</f>
        <v>0</v>
      </c>
      <c r="R87" s="3">
        <f>IFERROR(__xludf.DUMMYFUNCTION("""COMPUTED_VALUE"""),0.0)</f>
        <v>0</v>
      </c>
      <c r="S87" s="3">
        <f>IFERROR(__xludf.DUMMYFUNCTION("""COMPUTED_VALUE"""),0.0)</f>
        <v>0</v>
      </c>
      <c r="T87" s="3">
        <f>IFERROR(__xludf.DUMMYFUNCTION("""COMPUTED_VALUE"""),0.0)</f>
        <v>0</v>
      </c>
      <c r="U87" s="3">
        <f>IFERROR(__xludf.DUMMYFUNCTION("""COMPUTED_VALUE"""),0.0)</f>
        <v>0</v>
      </c>
      <c r="V87" s="3">
        <f>IFERROR(__xludf.DUMMYFUNCTION("""COMPUTED_VALUE"""),0.0)</f>
        <v>0</v>
      </c>
      <c r="W87" s="3">
        <f>IFERROR(__xludf.DUMMYFUNCTION("""COMPUTED_VALUE"""),0.0)</f>
        <v>0</v>
      </c>
      <c r="X87" s="3">
        <f>IFERROR(__xludf.DUMMYFUNCTION("""COMPUTED_VALUE"""),0.0)</f>
        <v>0</v>
      </c>
      <c r="Y87" s="3">
        <f>IFERROR(__xludf.DUMMYFUNCTION("""COMPUTED_VALUE"""),0.0)</f>
        <v>0</v>
      </c>
      <c r="Z87" s="3">
        <f>IFERROR(__xludf.DUMMYFUNCTION("""COMPUTED_VALUE"""),0.0)</f>
        <v>0</v>
      </c>
      <c r="AA87" s="3">
        <f>IFERROR(__xludf.DUMMYFUNCTION("""COMPUTED_VALUE"""),0.0)</f>
        <v>0</v>
      </c>
      <c r="AB87" s="3">
        <f>IFERROR(__xludf.DUMMYFUNCTION("""COMPUTED_VALUE"""),0.0)</f>
        <v>0</v>
      </c>
      <c r="AC87" s="3">
        <f>IFERROR(__xludf.DUMMYFUNCTION("""COMPUTED_VALUE"""),0.0)</f>
        <v>0</v>
      </c>
      <c r="AD87" s="3">
        <f>IFERROR(__xludf.DUMMYFUNCTION("""COMPUTED_VALUE"""),0.0)</f>
        <v>0</v>
      </c>
      <c r="AE87" s="3">
        <f>IFERROR(__xludf.DUMMYFUNCTION("""COMPUTED_VALUE"""),0.0)</f>
        <v>0</v>
      </c>
      <c r="AF87" s="3">
        <f>IFERROR(__xludf.DUMMYFUNCTION("""COMPUTED_VALUE"""),0.0)</f>
        <v>0</v>
      </c>
      <c r="AG87" s="3">
        <f>IFERROR(__xludf.DUMMYFUNCTION("""COMPUTED_VALUE"""),0.0)</f>
        <v>0</v>
      </c>
      <c r="AH87" s="3">
        <f>IFERROR(__xludf.DUMMYFUNCTION("""COMPUTED_VALUE"""),0.0)</f>
        <v>0</v>
      </c>
      <c r="AI87" s="3">
        <f>IFERROR(__xludf.DUMMYFUNCTION("""COMPUTED_VALUE"""),0.0)</f>
        <v>0</v>
      </c>
      <c r="AJ87" s="3">
        <f>IFERROR(__xludf.DUMMYFUNCTION("""COMPUTED_VALUE"""),0.0)</f>
        <v>0</v>
      </c>
      <c r="AK87" s="3">
        <f>IFERROR(__xludf.DUMMYFUNCTION("""COMPUTED_VALUE"""),0.0)</f>
        <v>0</v>
      </c>
      <c r="AL87" s="3">
        <f>IFERROR(__xludf.DUMMYFUNCTION("""COMPUTED_VALUE"""),0.0)</f>
        <v>0</v>
      </c>
      <c r="AM87" s="3">
        <f>IFERROR(__xludf.DUMMYFUNCTION("""COMPUTED_VALUE"""),0.0)</f>
        <v>0</v>
      </c>
      <c r="AN87" s="3">
        <f>IFERROR(__xludf.DUMMYFUNCTION("""COMPUTED_VALUE"""),0.0)</f>
        <v>0</v>
      </c>
      <c r="AO87" s="3">
        <f>IFERROR(__xludf.DUMMYFUNCTION("""COMPUTED_VALUE"""),0.0)</f>
        <v>0</v>
      </c>
      <c r="AP87" s="3">
        <f>IFERROR(__xludf.DUMMYFUNCTION("""COMPUTED_VALUE"""),0.0)</f>
        <v>0</v>
      </c>
      <c r="AQ87" s="3">
        <f>IFERROR(__xludf.DUMMYFUNCTION("""COMPUTED_VALUE"""),0.0)</f>
        <v>0</v>
      </c>
      <c r="AR87" s="3">
        <f>IFERROR(__xludf.DUMMYFUNCTION("""COMPUTED_VALUE"""),0.0)</f>
        <v>0</v>
      </c>
      <c r="AS87" s="3">
        <f>IFERROR(__xludf.DUMMYFUNCTION("""COMPUTED_VALUE"""),0.0)</f>
        <v>0</v>
      </c>
      <c r="AT87" s="3">
        <f>IFERROR(__xludf.DUMMYFUNCTION("""COMPUTED_VALUE"""),0.0)</f>
        <v>0</v>
      </c>
      <c r="AU87" s="3">
        <f>IFERROR(__xludf.DUMMYFUNCTION("""COMPUTED_VALUE"""),0.0)</f>
        <v>0</v>
      </c>
      <c r="AV87" s="3">
        <f>IFERROR(__xludf.DUMMYFUNCTION("""COMPUTED_VALUE"""),0.0)</f>
        <v>0</v>
      </c>
      <c r="AW87" s="3">
        <f>IFERROR(__xludf.DUMMYFUNCTION("""COMPUTED_VALUE"""),0.0)</f>
        <v>0</v>
      </c>
      <c r="AX87" s="3">
        <f>IFERROR(__xludf.DUMMYFUNCTION("""COMPUTED_VALUE"""),0.0)</f>
        <v>0</v>
      </c>
      <c r="AY87" s="3">
        <f>IFERROR(__xludf.DUMMYFUNCTION("""COMPUTED_VALUE"""),0.0)</f>
        <v>0</v>
      </c>
      <c r="AZ87" s="3">
        <f>IFERROR(__xludf.DUMMYFUNCTION("""COMPUTED_VALUE"""),0.0)</f>
        <v>0</v>
      </c>
      <c r="BA87" s="3">
        <f>IFERROR(__xludf.DUMMYFUNCTION("""COMPUTED_VALUE"""),0.0)</f>
        <v>0</v>
      </c>
      <c r="BB87" s="3">
        <f>IFERROR(__xludf.DUMMYFUNCTION("""COMPUTED_VALUE"""),0.0)</f>
        <v>0</v>
      </c>
      <c r="BC87" s="3">
        <f>IFERROR(__xludf.DUMMYFUNCTION("""COMPUTED_VALUE"""),0.0)</f>
        <v>0</v>
      </c>
      <c r="BD87" s="3">
        <f>IFERROR(__xludf.DUMMYFUNCTION("""COMPUTED_VALUE"""),0.0)</f>
        <v>0</v>
      </c>
      <c r="BE87" s="3">
        <f>IFERROR(__xludf.DUMMYFUNCTION("""COMPUTED_VALUE"""),0.0)</f>
        <v>0</v>
      </c>
      <c r="BF87" s="3">
        <f>IFERROR(__xludf.DUMMYFUNCTION("""COMPUTED_VALUE"""),0.0)</f>
        <v>0</v>
      </c>
      <c r="BG87" s="3">
        <f>IFERROR(__xludf.DUMMYFUNCTION("""COMPUTED_VALUE"""),0.0)</f>
        <v>0</v>
      </c>
      <c r="BH87" s="3">
        <f>IFERROR(__xludf.DUMMYFUNCTION("""COMPUTED_VALUE"""),0.0)</f>
        <v>0</v>
      </c>
      <c r="BI87" s="3">
        <f>IFERROR(__xludf.DUMMYFUNCTION("""COMPUTED_VALUE"""),0.0)</f>
        <v>0</v>
      </c>
      <c r="BJ87" s="3">
        <f>IFERROR(__xludf.DUMMYFUNCTION("""COMPUTED_VALUE"""),1.0)</f>
        <v>1</v>
      </c>
      <c r="BK87" s="3">
        <f>IFERROR(__xludf.DUMMYFUNCTION("""COMPUTED_VALUE"""),1.0)</f>
        <v>1</v>
      </c>
      <c r="BL87" s="3">
        <f>IFERROR(__xludf.DUMMYFUNCTION("""COMPUTED_VALUE"""),2.0)</f>
        <v>2</v>
      </c>
      <c r="BM87" s="3">
        <f>IFERROR(__xludf.DUMMYFUNCTION("""COMPUTED_VALUE"""),2.0)</f>
        <v>2</v>
      </c>
      <c r="BN87" s="3">
        <f>IFERROR(__xludf.DUMMYFUNCTION("""COMPUTED_VALUE"""),2.0)</f>
        <v>2</v>
      </c>
      <c r="BO87" s="3">
        <f>IFERROR(__xludf.DUMMYFUNCTION("""COMPUTED_VALUE"""),2.0)</f>
        <v>2</v>
      </c>
      <c r="BP87" s="3">
        <f>IFERROR(__xludf.DUMMYFUNCTION("""COMPUTED_VALUE"""),2.0)</f>
        <v>2</v>
      </c>
      <c r="BQ87" s="3">
        <f>IFERROR(__xludf.DUMMYFUNCTION("""COMPUTED_VALUE"""),2.0)</f>
        <v>2</v>
      </c>
      <c r="BR87" s="3">
        <f>IFERROR(__xludf.DUMMYFUNCTION("""COMPUTED_VALUE"""),2.0)</f>
        <v>2</v>
      </c>
      <c r="BS87" s="3">
        <f>IFERROR(__xludf.DUMMYFUNCTION("""COMPUTED_VALUE"""),2.0)</f>
        <v>2</v>
      </c>
      <c r="BT87" s="3">
        <f>IFERROR(__xludf.DUMMYFUNCTION("""COMPUTED_VALUE"""),2.0)</f>
        <v>2</v>
      </c>
      <c r="BU87" s="3">
        <f>IFERROR(__xludf.DUMMYFUNCTION("""COMPUTED_VALUE"""),2.0)</f>
        <v>2</v>
      </c>
      <c r="BV87" s="3">
        <f>IFERROR(__xludf.DUMMYFUNCTION("""COMPUTED_VALUE"""),2.0)</f>
        <v>2</v>
      </c>
      <c r="BW87" s="3">
        <f>IFERROR(__xludf.DUMMYFUNCTION("""COMPUTED_VALUE"""),2.0)</f>
        <v>2</v>
      </c>
      <c r="BX87" s="3">
        <f>IFERROR(__xludf.DUMMYFUNCTION("""COMPUTED_VALUE"""),2.0)</f>
        <v>2</v>
      </c>
      <c r="BY87" s="3">
        <f>IFERROR(__xludf.DUMMYFUNCTION("""COMPUTED_VALUE"""),2.0)</f>
        <v>2</v>
      </c>
      <c r="BZ87" s="3">
        <f>IFERROR(__xludf.DUMMYFUNCTION("""COMPUTED_VALUE"""),2.0)</f>
        <v>2</v>
      </c>
      <c r="CA87" s="3">
        <f>IFERROR(__xludf.DUMMYFUNCTION("""COMPUTED_VALUE"""),2.0)</f>
        <v>2</v>
      </c>
      <c r="CB87" s="3">
        <f>IFERROR(__xludf.DUMMYFUNCTION("""COMPUTED_VALUE"""),2.0)</f>
        <v>2</v>
      </c>
    </row>
    <row r="88">
      <c r="A88" s="3" t="str">
        <f>IFERROR(__xludf.DUMMYFUNCTION("""COMPUTED_VALUE"""),"")</f>
        <v/>
      </c>
      <c r="B88" s="3" t="str">
        <f>IFERROR(__xludf.DUMMYFUNCTION("""COMPUTED_VALUE"""),"Cote d'Ivoire")</f>
        <v>Cote d'Ivoire</v>
      </c>
      <c r="C88" s="3">
        <f>IFERROR(__xludf.DUMMYFUNCTION("""COMPUTED_VALUE"""),7.54)</f>
        <v>7.54</v>
      </c>
      <c r="D88" s="3">
        <f>IFERROR(__xludf.DUMMYFUNCTION("""COMPUTED_VALUE"""),-5.5471)</f>
        <v>-5.5471</v>
      </c>
      <c r="E88" s="3">
        <f>IFERROR(__xludf.DUMMYFUNCTION("""COMPUTED_VALUE"""),0.0)</f>
        <v>0</v>
      </c>
      <c r="F88" s="3">
        <f>IFERROR(__xludf.DUMMYFUNCTION("""COMPUTED_VALUE"""),0.0)</f>
        <v>0</v>
      </c>
      <c r="G88" s="3">
        <f>IFERROR(__xludf.DUMMYFUNCTION("""COMPUTED_VALUE"""),0.0)</f>
        <v>0</v>
      </c>
      <c r="H88" s="3">
        <f>IFERROR(__xludf.DUMMYFUNCTION("""COMPUTED_VALUE"""),0.0)</f>
        <v>0</v>
      </c>
      <c r="I88" s="3">
        <f>IFERROR(__xludf.DUMMYFUNCTION("""COMPUTED_VALUE"""),0.0)</f>
        <v>0</v>
      </c>
      <c r="J88" s="3">
        <f>IFERROR(__xludf.DUMMYFUNCTION("""COMPUTED_VALUE"""),0.0)</f>
        <v>0</v>
      </c>
      <c r="K88" s="3">
        <f>IFERROR(__xludf.DUMMYFUNCTION("""COMPUTED_VALUE"""),0.0)</f>
        <v>0</v>
      </c>
      <c r="L88" s="3">
        <f>IFERROR(__xludf.DUMMYFUNCTION("""COMPUTED_VALUE"""),0.0)</f>
        <v>0</v>
      </c>
      <c r="M88" s="3">
        <f>IFERROR(__xludf.DUMMYFUNCTION("""COMPUTED_VALUE"""),0.0)</f>
        <v>0</v>
      </c>
      <c r="N88" s="3">
        <f>IFERROR(__xludf.DUMMYFUNCTION("""COMPUTED_VALUE"""),0.0)</f>
        <v>0</v>
      </c>
      <c r="O88" s="3">
        <f>IFERROR(__xludf.DUMMYFUNCTION("""COMPUTED_VALUE"""),0.0)</f>
        <v>0</v>
      </c>
      <c r="P88" s="3">
        <f>IFERROR(__xludf.DUMMYFUNCTION("""COMPUTED_VALUE"""),0.0)</f>
        <v>0</v>
      </c>
      <c r="Q88" s="3">
        <f>IFERROR(__xludf.DUMMYFUNCTION("""COMPUTED_VALUE"""),0.0)</f>
        <v>0</v>
      </c>
      <c r="R88" s="3">
        <f>IFERROR(__xludf.DUMMYFUNCTION("""COMPUTED_VALUE"""),0.0)</f>
        <v>0</v>
      </c>
      <c r="S88" s="3">
        <f>IFERROR(__xludf.DUMMYFUNCTION("""COMPUTED_VALUE"""),0.0)</f>
        <v>0</v>
      </c>
      <c r="T88" s="3">
        <f>IFERROR(__xludf.DUMMYFUNCTION("""COMPUTED_VALUE"""),0.0)</f>
        <v>0</v>
      </c>
      <c r="U88" s="3">
        <f>IFERROR(__xludf.DUMMYFUNCTION("""COMPUTED_VALUE"""),0.0)</f>
        <v>0</v>
      </c>
      <c r="V88" s="3">
        <f>IFERROR(__xludf.DUMMYFUNCTION("""COMPUTED_VALUE"""),0.0)</f>
        <v>0</v>
      </c>
      <c r="W88" s="3">
        <f>IFERROR(__xludf.DUMMYFUNCTION("""COMPUTED_VALUE"""),0.0)</f>
        <v>0</v>
      </c>
      <c r="X88" s="3">
        <f>IFERROR(__xludf.DUMMYFUNCTION("""COMPUTED_VALUE"""),0.0)</f>
        <v>0</v>
      </c>
      <c r="Y88" s="3">
        <f>IFERROR(__xludf.DUMMYFUNCTION("""COMPUTED_VALUE"""),0.0)</f>
        <v>0</v>
      </c>
      <c r="Z88" s="3">
        <f>IFERROR(__xludf.DUMMYFUNCTION("""COMPUTED_VALUE"""),0.0)</f>
        <v>0</v>
      </c>
      <c r="AA88" s="3">
        <f>IFERROR(__xludf.DUMMYFUNCTION("""COMPUTED_VALUE"""),0.0)</f>
        <v>0</v>
      </c>
      <c r="AB88" s="3">
        <f>IFERROR(__xludf.DUMMYFUNCTION("""COMPUTED_VALUE"""),0.0)</f>
        <v>0</v>
      </c>
      <c r="AC88" s="3">
        <f>IFERROR(__xludf.DUMMYFUNCTION("""COMPUTED_VALUE"""),0.0)</f>
        <v>0</v>
      </c>
      <c r="AD88" s="3">
        <f>IFERROR(__xludf.DUMMYFUNCTION("""COMPUTED_VALUE"""),0.0)</f>
        <v>0</v>
      </c>
      <c r="AE88" s="3">
        <f>IFERROR(__xludf.DUMMYFUNCTION("""COMPUTED_VALUE"""),0.0)</f>
        <v>0</v>
      </c>
      <c r="AF88" s="3">
        <f>IFERROR(__xludf.DUMMYFUNCTION("""COMPUTED_VALUE"""),0.0)</f>
        <v>0</v>
      </c>
      <c r="AG88" s="3">
        <f>IFERROR(__xludf.DUMMYFUNCTION("""COMPUTED_VALUE"""),0.0)</f>
        <v>0</v>
      </c>
      <c r="AH88" s="3">
        <f>IFERROR(__xludf.DUMMYFUNCTION("""COMPUTED_VALUE"""),0.0)</f>
        <v>0</v>
      </c>
      <c r="AI88" s="3">
        <f>IFERROR(__xludf.DUMMYFUNCTION("""COMPUTED_VALUE"""),0.0)</f>
        <v>0</v>
      </c>
      <c r="AJ88" s="3">
        <f>IFERROR(__xludf.DUMMYFUNCTION("""COMPUTED_VALUE"""),0.0)</f>
        <v>0</v>
      </c>
      <c r="AK88" s="3">
        <f>IFERROR(__xludf.DUMMYFUNCTION("""COMPUTED_VALUE"""),0.0)</f>
        <v>0</v>
      </c>
      <c r="AL88" s="3">
        <f>IFERROR(__xludf.DUMMYFUNCTION("""COMPUTED_VALUE"""),0.0)</f>
        <v>0</v>
      </c>
      <c r="AM88" s="3">
        <f>IFERROR(__xludf.DUMMYFUNCTION("""COMPUTED_VALUE"""),0.0)</f>
        <v>0</v>
      </c>
      <c r="AN88" s="3">
        <f>IFERROR(__xludf.DUMMYFUNCTION("""COMPUTED_VALUE"""),0.0)</f>
        <v>0</v>
      </c>
      <c r="AO88" s="3">
        <f>IFERROR(__xludf.DUMMYFUNCTION("""COMPUTED_VALUE"""),0.0)</f>
        <v>0</v>
      </c>
      <c r="AP88" s="3">
        <f>IFERROR(__xludf.DUMMYFUNCTION("""COMPUTED_VALUE"""),0.0)</f>
        <v>0</v>
      </c>
      <c r="AQ88" s="3">
        <f>IFERROR(__xludf.DUMMYFUNCTION("""COMPUTED_VALUE"""),0.0)</f>
        <v>0</v>
      </c>
      <c r="AR88" s="3">
        <f>IFERROR(__xludf.DUMMYFUNCTION("""COMPUTED_VALUE"""),0.0)</f>
        <v>0</v>
      </c>
      <c r="AS88" s="3">
        <f>IFERROR(__xludf.DUMMYFUNCTION("""COMPUTED_VALUE"""),0.0)</f>
        <v>0</v>
      </c>
      <c r="AT88" s="3">
        <f>IFERROR(__xludf.DUMMYFUNCTION("""COMPUTED_VALUE"""),0.0)</f>
        <v>0</v>
      </c>
      <c r="AU88" s="3">
        <f>IFERROR(__xludf.DUMMYFUNCTION("""COMPUTED_VALUE"""),0.0)</f>
        <v>0</v>
      </c>
      <c r="AV88" s="3">
        <f>IFERROR(__xludf.DUMMYFUNCTION("""COMPUTED_VALUE"""),0.0)</f>
        <v>0</v>
      </c>
      <c r="AW88" s="3">
        <f>IFERROR(__xludf.DUMMYFUNCTION("""COMPUTED_VALUE"""),0.0)</f>
        <v>0</v>
      </c>
      <c r="AX88" s="3">
        <f>IFERROR(__xludf.DUMMYFUNCTION("""COMPUTED_VALUE"""),0.0)</f>
        <v>0</v>
      </c>
      <c r="AY88" s="3">
        <f>IFERROR(__xludf.DUMMYFUNCTION("""COMPUTED_VALUE"""),0.0)</f>
        <v>0</v>
      </c>
      <c r="AZ88" s="3">
        <f>IFERROR(__xludf.DUMMYFUNCTION("""COMPUTED_VALUE"""),0.0)</f>
        <v>0</v>
      </c>
      <c r="BA88" s="3">
        <f>IFERROR(__xludf.DUMMYFUNCTION("""COMPUTED_VALUE"""),0.0)</f>
        <v>0</v>
      </c>
      <c r="BB88" s="3">
        <f>IFERROR(__xludf.DUMMYFUNCTION("""COMPUTED_VALUE"""),0.0)</f>
        <v>0</v>
      </c>
      <c r="BC88" s="3">
        <f>IFERROR(__xludf.DUMMYFUNCTION("""COMPUTED_VALUE"""),0.0)</f>
        <v>0</v>
      </c>
      <c r="BD88" s="3">
        <f>IFERROR(__xludf.DUMMYFUNCTION("""COMPUTED_VALUE"""),0.0)</f>
        <v>0</v>
      </c>
      <c r="BE88" s="3">
        <f>IFERROR(__xludf.DUMMYFUNCTION("""COMPUTED_VALUE"""),0.0)</f>
        <v>0</v>
      </c>
      <c r="BF88" s="3">
        <f>IFERROR(__xludf.DUMMYFUNCTION("""COMPUTED_VALUE"""),0.0)</f>
        <v>0</v>
      </c>
      <c r="BG88" s="3">
        <f>IFERROR(__xludf.DUMMYFUNCTION("""COMPUTED_VALUE"""),0.0)</f>
        <v>0</v>
      </c>
      <c r="BH88" s="3">
        <f>IFERROR(__xludf.DUMMYFUNCTION("""COMPUTED_VALUE"""),0.0)</f>
        <v>0</v>
      </c>
      <c r="BI88" s="3">
        <f>IFERROR(__xludf.DUMMYFUNCTION("""COMPUTED_VALUE"""),0.0)</f>
        <v>0</v>
      </c>
      <c r="BJ88" s="3">
        <f>IFERROR(__xludf.DUMMYFUNCTION("""COMPUTED_VALUE"""),0.0)</f>
        <v>0</v>
      </c>
      <c r="BK88" s="3">
        <f>IFERROR(__xludf.DUMMYFUNCTION("""COMPUTED_VALUE"""),0.0)</f>
        <v>0</v>
      </c>
      <c r="BL88" s="3">
        <f>IFERROR(__xludf.DUMMYFUNCTION("""COMPUTED_VALUE"""),0.0)</f>
        <v>0</v>
      </c>
      <c r="BM88" s="3">
        <f>IFERROR(__xludf.DUMMYFUNCTION("""COMPUTED_VALUE"""),0.0)</f>
        <v>0</v>
      </c>
      <c r="BN88" s="3">
        <f>IFERROR(__xludf.DUMMYFUNCTION("""COMPUTED_VALUE"""),0.0)</f>
        <v>0</v>
      </c>
      <c r="BO88" s="3">
        <f>IFERROR(__xludf.DUMMYFUNCTION("""COMPUTED_VALUE"""),0.0)</f>
        <v>0</v>
      </c>
      <c r="BP88" s="3">
        <f>IFERROR(__xludf.DUMMYFUNCTION("""COMPUTED_VALUE"""),0.0)</f>
        <v>0</v>
      </c>
      <c r="BQ88" s="3">
        <f>IFERROR(__xludf.DUMMYFUNCTION("""COMPUTED_VALUE"""),0.0)</f>
        <v>0</v>
      </c>
      <c r="BR88" s="3">
        <f>IFERROR(__xludf.DUMMYFUNCTION("""COMPUTED_VALUE"""),0.0)</f>
        <v>0</v>
      </c>
      <c r="BS88" s="3">
        <f>IFERROR(__xludf.DUMMYFUNCTION("""COMPUTED_VALUE"""),0.0)</f>
        <v>0</v>
      </c>
      <c r="BT88" s="3">
        <f>IFERROR(__xludf.DUMMYFUNCTION("""COMPUTED_VALUE"""),1.0)</f>
        <v>1</v>
      </c>
      <c r="BU88" s="3">
        <f>IFERROR(__xludf.DUMMYFUNCTION("""COMPUTED_VALUE"""),1.0)</f>
        <v>1</v>
      </c>
      <c r="BV88" s="3">
        <f>IFERROR(__xludf.DUMMYFUNCTION("""COMPUTED_VALUE"""),1.0)</f>
        <v>1</v>
      </c>
      <c r="BW88" s="3">
        <f>IFERROR(__xludf.DUMMYFUNCTION("""COMPUTED_VALUE"""),1.0)</f>
        <v>1</v>
      </c>
      <c r="BX88" s="3">
        <f>IFERROR(__xludf.DUMMYFUNCTION("""COMPUTED_VALUE"""),1.0)</f>
        <v>1</v>
      </c>
      <c r="BY88" s="3">
        <f>IFERROR(__xludf.DUMMYFUNCTION("""COMPUTED_VALUE"""),1.0)</f>
        <v>1</v>
      </c>
      <c r="BZ88" s="3">
        <f>IFERROR(__xludf.DUMMYFUNCTION("""COMPUTED_VALUE"""),1.0)</f>
        <v>1</v>
      </c>
      <c r="CA88" s="3">
        <f>IFERROR(__xludf.DUMMYFUNCTION("""COMPUTED_VALUE"""),3.0)</f>
        <v>3</v>
      </c>
      <c r="CB88" s="3">
        <f>IFERROR(__xludf.DUMMYFUNCTION("""COMPUTED_VALUE"""),3.0)</f>
        <v>3</v>
      </c>
    </row>
    <row r="89">
      <c r="A89" s="3" t="str">
        <f>IFERROR(__xludf.DUMMYFUNCTION("""COMPUTED_VALUE"""),"")</f>
        <v/>
      </c>
      <c r="B89" s="3" t="str">
        <f>IFERROR(__xludf.DUMMYFUNCTION("""COMPUTED_VALUE"""),"Croatia")</f>
        <v>Croatia</v>
      </c>
      <c r="C89" s="3">
        <f>IFERROR(__xludf.DUMMYFUNCTION("""COMPUTED_VALUE"""),45.1)</f>
        <v>45.1</v>
      </c>
      <c r="D89" s="3">
        <f>IFERROR(__xludf.DUMMYFUNCTION("""COMPUTED_VALUE"""),15.2)</f>
        <v>15.2</v>
      </c>
      <c r="E89" s="3">
        <f>IFERROR(__xludf.DUMMYFUNCTION("""COMPUTED_VALUE"""),0.0)</f>
        <v>0</v>
      </c>
      <c r="F89" s="3">
        <f>IFERROR(__xludf.DUMMYFUNCTION("""COMPUTED_VALUE"""),0.0)</f>
        <v>0</v>
      </c>
      <c r="G89" s="3">
        <f>IFERROR(__xludf.DUMMYFUNCTION("""COMPUTED_VALUE"""),0.0)</f>
        <v>0</v>
      </c>
      <c r="H89" s="3">
        <f>IFERROR(__xludf.DUMMYFUNCTION("""COMPUTED_VALUE"""),0.0)</f>
        <v>0</v>
      </c>
      <c r="I89" s="3">
        <f>IFERROR(__xludf.DUMMYFUNCTION("""COMPUTED_VALUE"""),0.0)</f>
        <v>0</v>
      </c>
      <c r="J89" s="3">
        <f>IFERROR(__xludf.DUMMYFUNCTION("""COMPUTED_VALUE"""),0.0)</f>
        <v>0</v>
      </c>
      <c r="K89" s="3">
        <f>IFERROR(__xludf.DUMMYFUNCTION("""COMPUTED_VALUE"""),0.0)</f>
        <v>0</v>
      </c>
      <c r="L89" s="3">
        <f>IFERROR(__xludf.DUMMYFUNCTION("""COMPUTED_VALUE"""),0.0)</f>
        <v>0</v>
      </c>
      <c r="M89" s="3">
        <f>IFERROR(__xludf.DUMMYFUNCTION("""COMPUTED_VALUE"""),0.0)</f>
        <v>0</v>
      </c>
      <c r="N89" s="3">
        <f>IFERROR(__xludf.DUMMYFUNCTION("""COMPUTED_VALUE"""),0.0)</f>
        <v>0</v>
      </c>
      <c r="O89" s="3">
        <f>IFERROR(__xludf.DUMMYFUNCTION("""COMPUTED_VALUE"""),0.0)</f>
        <v>0</v>
      </c>
      <c r="P89" s="3">
        <f>IFERROR(__xludf.DUMMYFUNCTION("""COMPUTED_VALUE"""),0.0)</f>
        <v>0</v>
      </c>
      <c r="Q89" s="3">
        <f>IFERROR(__xludf.DUMMYFUNCTION("""COMPUTED_VALUE"""),0.0)</f>
        <v>0</v>
      </c>
      <c r="R89" s="3">
        <f>IFERROR(__xludf.DUMMYFUNCTION("""COMPUTED_VALUE"""),0.0)</f>
        <v>0</v>
      </c>
      <c r="S89" s="3">
        <f>IFERROR(__xludf.DUMMYFUNCTION("""COMPUTED_VALUE"""),0.0)</f>
        <v>0</v>
      </c>
      <c r="T89" s="3">
        <f>IFERROR(__xludf.DUMMYFUNCTION("""COMPUTED_VALUE"""),0.0)</f>
        <v>0</v>
      </c>
      <c r="U89" s="3">
        <f>IFERROR(__xludf.DUMMYFUNCTION("""COMPUTED_VALUE"""),0.0)</f>
        <v>0</v>
      </c>
      <c r="V89" s="3">
        <f>IFERROR(__xludf.DUMMYFUNCTION("""COMPUTED_VALUE"""),0.0)</f>
        <v>0</v>
      </c>
      <c r="W89" s="3">
        <f>IFERROR(__xludf.DUMMYFUNCTION("""COMPUTED_VALUE"""),0.0)</f>
        <v>0</v>
      </c>
      <c r="X89" s="3">
        <f>IFERROR(__xludf.DUMMYFUNCTION("""COMPUTED_VALUE"""),0.0)</f>
        <v>0</v>
      </c>
      <c r="Y89" s="3">
        <f>IFERROR(__xludf.DUMMYFUNCTION("""COMPUTED_VALUE"""),0.0)</f>
        <v>0</v>
      </c>
      <c r="Z89" s="3">
        <f>IFERROR(__xludf.DUMMYFUNCTION("""COMPUTED_VALUE"""),0.0)</f>
        <v>0</v>
      </c>
      <c r="AA89" s="3">
        <f>IFERROR(__xludf.DUMMYFUNCTION("""COMPUTED_VALUE"""),0.0)</f>
        <v>0</v>
      </c>
      <c r="AB89" s="3">
        <f>IFERROR(__xludf.DUMMYFUNCTION("""COMPUTED_VALUE"""),0.0)</f>
        <v>0</v>
      </c>
      <c r="AC89" s="3">
        <f>IFERROR(__xludf.DUMMYFUNCTION("""COMPUTED_VALUE"""),0.0)</f>
        <v>0</v>
      </c>
      <c r="AD89" s="3">
        <f>IFERROR(__xludf.DUMMYFUNCTION("""COMPUTED_VALUE"""),0.0)</f>
        <v>0</v>
      </c>
      <c r="AE89" s="3">
        <f>IFERROR(__xludf.DUMMYFUNCTION("""COMPUTED_VALUE"""),0.0)</f>
        <v>0</v>
      </c>
      <c r="AF89" s="3">
        <f>IFERROR(__xludf.DUMMYFUNCTION("""COMPUTED_VALUE"""),0.0)</f>
        <v>0</v>
      </c>
      <c r="AG89" s="3">
        <f>IFERROR(__xludf.DUMMYFUNCTION("""COMPUTED_VALUE"""),0.0)</f>
        <v>0</v>
      </c>
      <c r="AH89" s="3">
        <f>IFERROR(__xludf.DUMMYFUNCTION("""COMPUTED_VALUE"""),0.0)</f>
        <v>0</v>
      </c>
      <c r="AI89" s="3">
        <f>IFERROR(__xludf.DUMMYFUNCTION("""COMPUTED_VALUE"""),0.0)</f>
        <v>0</v>
      </c>
      <c r="AJ89" s="3">
        <f>IFERROR(__xludf.DUMMYFUNCTION("""COMPUTED_VALUE"""),0.0)</f>
        <v>0</v>
      </c>
      <c r="AK89" s="3">
        <f>IFERROR(__xludf.DUMMYFUNCTION("""COMPUTED_VALUE"""),0.0)</f>
        <v>0</v>
      </c>
      <c r="AL89" s="3">
        <f>IFERROR(__xludf.DUMMYFUNCTION("""COMPUTED_VALUE"""),0.0)</f>
        <v>0</v>
      </c>
      <c r="AM89" s="3">
        <f>IFERROR(__xludf.DUMMYFUNCTION("""COMPUTED_VALUE"""),0.0)</f>
        <v>0</v>
      </c>
      <c r="AN89" s="3">
        <f>IFERROR(__xludf.DUMMYFUNCTION("""COMPUTED_VALUE"""),0.0)</f>
        <v>0</v>
      </c>
      <c r="AO89" s="3">
        <f>IFERROR(__xludf.DUMMYFUNCTION("""COMPUTED_VALUE"""),0.0)</f>
        <v>0</v>
      </c>
      <c r="AP89" s="3">
        <f>IFERROR(__xludf.DUMMYFUNCTION("""COMPUTED_VALUE"""),0.0)</f>
        <v>0</v>
      </c>
      <c r="AQ89" s="3">
        <f>IFERROR(__xludf.DUMMYFUNCTION("""COMPUTED_VALUE"""),0.0)</f>
        <v>0</v>
      </c>
      <c r="AR89" s="3">
        <f>IFERROR(__xludf.DUMMYFUNCTION("""COMPUTED_VALUE"""),0.0)</f>
        <v>0</v>
      </c>
      <c r="AS89" s="3">
        <f>IFERROR(__xludf.DUMMYFUNCTION("""COMPUTED_VALUE"""),0.0)</f>
        <v>0</v>
      </c>
      <c r="AT89" s="3">
        <f>IFERROR(__xludf.DUMMYFUNCTION("""COMPUTED_VALUE"""),0.0)</f>
        <v>0</v>
      </c>
      <c r="AU89" s="3">
        <f>IFERROR(__xludf.DUMMYFUNCTION("""COMPUTED_VALUE"""),0.0)</f>
        <v>0</v>
      </c>
      <c r="AV89" s="3">
        <f>IFERROR(__xludf.DUMMYFUNCTION("""COMPUTED_VALUE"""),0.0)</f>
        <v>0</v>
      </c>
      <c r="AW89" s="3">
        <f>IFERROR(__xludf.DUMMYFUNCTION("""COMPUTED_VALUE"""),0.0)</f>
        <v>0</v>
      </c>
      <c r="AX89" s="3">
        <f>IFERROR(__xludf.DUMMYFUNCTION("""COMPUTED_VALUE"""),0.0)</f>
        <v>0</v>
      </c>
      <c r="AY89" s="3">
        <f>IFERROR(__xludf.DUMMYFUNCTION("""COMPUTED_VALUE"""),0.0)</f>
        <v>0</v>
      </c>
      <c r="AZ89" s="3">
        <f>IFERROR(__xludf.DUMMYFUNCTION("""COMPUTED_VALUE"""),0.0)</f>
        <v>0</v>
      </c>
      <c r="BA89" s="3">
        <f>IFERROR(__xludf.DUMMYFUNCTION("""COMPUTED_VALUE"""),0.0)</f>
        <v>0</v>
      </c>
      <c r="BB89" s="3">
        <f>IFERROR(__xludf.DUMMYFUNCTION("""COMPUTED_VALUE"""),0.0)</f>
        <v>0</v>
      </c>
      <c r="BC89" s="3">
        <f>IFERROR(__xludf.DUMMYFUNCTION("""COMPUTED_VALUE"""),0.0)</f>
        <v>0</v>
      </c>
      <c r="BD89" s="3">
        <f>IFERROR(__xludf.DUMMYFUNCTION("""COMPUTED_VALUE"""),0.0)</f>
        <v>0</v>
      </c>
      <c r="BE89" s="3">
        <f>IFERROR(__xludf.DUMMYFUNCTION("""COMPUTED_VALUE"""),0.0)</f>
        <v>0</v>
      </c>
      <c r="BF89" s="3">
        <f>IFERROR(__xludf.DUMMYFUNCTION("""COMPUTED_VALUE"""),0.0)</f>
        <v>0</v>
      </c>
      <c r="BG89" s="3">
        <f>IFERROR(__xludf.DUMMYFUNCTION("""COMPUTED_VALUE"""),0.0)</f>
        <v>0</v>
      </c>
      <c r="BH89" s="3">
        <f>IFERROR(__xludf.DUMMYFUNCTION("""COMPUTED_VALUE"""),0.0)</f>
        <v>0</v>
      </c>
      <c r="BI89" s="3">
        <f>IFERROR(__xludf.DUMMYFUNCTION("""COMPUTED_VALUE"""),0.0)</f>
        <v>0</v>
      </c>
      <c r="BJ89" s="3">
        <f>IFERROR(__xludf.DUMMYFUNCTION("""COMPUTED_VALUE"""),1.0)</f>
        <v>1</v>
      </c>
      <c r="BK89" s="3">
        <f>IFERROR(__xludf.DUMMYFUNCTION("""COMPUTED_VALUE"""),1.0)</f>
        <v>1</v>
      </c>
      <c r="BL89" s="3">
        <f>IFERROR(__xludf.DUMMYFUNCTION("""COMPUTED_VALUE"""),1.0)</f>
        <v>1</v>
      </c>
      <c r="BM89" s="3">
        <f>IFERROR(__xludf.DUMMYFUNCTION("""COMPUTED_VALUE"""),1.0)</f>
        <v>1</v>
      </c>
      <c r="BN89" s="3">
        <f>IFERROR(__xludf.DUMMYFUNCTION("""COMPUTED_VALUE"""),1.0)</f>
        <v>1</v>
      </c>
      <c r="BO89" s="3">
        <f>IFERROR(__xludf.DUMMYFUNCTION("""COMPUTED_VALUE"""),1.0)</f>
        <v>1</v>
      </c>
      <c r="BP89" s="3">
        <f>IFERROR(__xludf.DUMMYFUNCTION("""COMPUTED_VALUE"""),1.0)</f>
        <v>1</v>
      </c>
      <c r="BQ89" s="3">
        <f>IFERROR(__xludf.DUMMYFUNCTION("""COMPUTED_VALUE"""),3.0)</f>
        <v>3</v>
      </c>
      <c r="BR89" s="3">
        <f>IFERROR(__xludf.DUMMYFUNCTION("""COMPUTED_VALUE"""),3.0)</f>
        <v>3</v>
      </c>
      <c r="BS89" s="3">
        <f>IFERROR(__xludf.DUMMYFUNCTION("""COMPUTED_VALUE"""),5.0)</f>
        <v>5</v>
      </c>
      <c r="BT89" s="3">
        <f>IFERROR(__xludf.DUMMYFUNCTION("""COMPUTED_VALUE"""),6.0)</f>
        <v>6</v>
      </c>
      <c r="BU89" s="3">
        <f>IFERROR(__xludf.DUMMYFUNCTION("""COMPUTED_VALUE"""),6.0)</f>
        <v>6</v>
      </c>
      <c r="BV89" s="3">
        <f>IFERROR(__xludf.DUMMYFUNCTION("""COMPUTED_VALUE"""),6.0)</f>
        <v>6</v>
      </c>
      <c r="BW89" s="3">
        <f>IFERROR(__xludf.DUMMYFUNCTION("""COMPUTED_VALUE"""),6.0)</f>
        <v>6</v>
      </c>
      <c r="BX89" s="3">
        <f>IFERROR(__xludf.DUMMYFUNCTION("""COMPUTED_VALUE"""),7.0)</f>
        <v>7</v>
      </c>
      <c r="BY89" s="3">
        <f>IFERROR(__xludf.DUMMYFUNCTION("""COMPUTED_VALUE"""),8.0)</f>
        <v>8</v>
      </c>
      <c r="BZ89" s="3">
        <f>IFERROR(__xludf.DUMMYFUNCTION("""COMPUTED_VALUE"""),12.0)</f>
        <v>12</v>
      </c>
      <c r="CA89" s="3">
        <f>IFERROR(__xludf.DUMMYFUNCTION("""COMPUTED_VALUE"""),15.0)</f>
        <v>15</v>
      </c>
      <c r="CB89" s="3">
        <f>IFERROR(__xludf.DUMMYFUNCTION("""COMPUTED_VALUE"""),16.0)</f>
        <v>16</v>
      </c>
    </row>
    <row r="90">
      <c r="A90" s="3" t="str">
        <f>IFERROR(__xludf.DUMMYFUNCTION("""COMPUTED_VALUE"""),"")</f>
        <v/>
      </c>
      <c r="B90" s="3" t="str">
        <f>IFERROR(__xludf.DUMMYFUNCTION("""COMPUTED_VALUE"""),"Diamond Princess")</f>
        <v>Diamond Princess</v>
      </c>
      <c r="C90" s="3">
        <f>IFERROR(__xludf.DUMMYFUNCTION("""COMPUTED_VALUE"""),0.0)</f>
        <v>0</v>
      </c>
      <c r="D90" s="3">
        <f>IFERROR(__xludf.DUMMYFUNCTION("""COMPUTED_VALUE"""),0.0)</f>
        <v>0</v>
      </c>
      <c r="E90" s="3">
        <f>IFERROR(__xludf.DUMMYFUNCTION("""COMPUTED_VALUE"""),0.0)</f>
        <v>0</v>
      </c>
      <c r="F90" s="3">
        <f>IFERROR(__xludf.DUMMYFUNCTION("""COMPUTED_VALUE"""),0.0)</f>
        <v>0</v>
      </c>
      <c r="G90" s="3">
        <f>IFERROR(__xludf.DUMMYFUNCTION("""COMPUTED_VALUE"""),0.0)</f>
        <v>0</v>
      </c>
      <c r="H90" s="3">
        <f>IFERROR(__xludf.DUMMYFUNCTION("""COMPUTED_VALUE"""),0.0)</f>
        <v>0</v>
      </c>
      <c r="I90" s="3">
        <f>IFERROR(__xludf.DUMMYFUNCTION("""COMPUTED_VALUE"""),0.0)</f>
        <v>0</v>
      </c>
      <c r="J90" s="3">
        <f>IFERROR(__xludf.DUMMYFUNCTION("""COMPUTED_VALUE"""),0.0)</f>
        <v>0</v>
      </c>
      <c r="K90" s="3">
        <f>IFERROR(__xludf.DUMMYFUNCTION("""COMPUTED_VALUE"""),0.0)</f>
        <v>0</v>
      </c>
      <c r="L90" s="3">
        <f>IFERROR(__xludf.DUMMYFUNCTION("""COMPUTED_VALUE"""),0.0)</f>
        <v>0</v>
      </c>
      <c r="M90" s="3">
        <f>IFERROR(__xludf.DUMMYFUNCTION("""COMPUTED_VALUE"""),0.0)</f>
        <v>0</v>
      </c>
      <c r="N90" s="3">
        <f>IFERROR(__xludf.DUMMYFUNCTION("""COMPUTED_VALUE"""),0.0)</f>
        <v>0</v>
      </c>
      <c r="O90" s="3">
        <f>IFERROR(__xludf.DUMMYFUNCTION("""COMPUTED_VALUE"""),0.0)</f>
        <v>0</v>
      </c>
      <c r="P90" s="3">
        <f>IFERROR(__xludf.DUMMYFUNCTION("""COMPUTED_VALUE"""),0.0)</f>
        <v>0</v>
      </c>
      <c r="Q90" s="3">
        <f>IFERROR(__xludf.DUMMYFUNCTION("""COMPUTED_VALUE"""),0.0)</f>
        <v>0</v>
      </c>
      <c r="R90" s="3">
        <f>IFERROR(__xludf.DUMMYFUNCTION("""COMPUTED_VALUE"""),0.0)</f>
        <v>0</v>
      </c>
      <c r="S90" s="3">
        <f>IFERROR(__xludf.DUMMYFUNCTION("""COMPUTED_VALUE"""),0.0)</f>
        <v>0</v>
      </c>
      <c r="T90" s="3">
        <f>IFERROR(__xludf.DUMMYFUNCTION("""COMPUTED_VALUE"""),0.0)</f>
        <v>0</v>
      </c>
      <c r="U90" s="3">
        <f>IFERROR(__xludf.DUMMYFUNCTION("""COMPUTED_VALUE"""),0.0)</f>
        <v>0</v>
      </c>
      <c r="V90" s="3">
        <f>IFERROR(__xludf.DUMMYFUNCTION("""COMPUTED_VALUE"""),0.0)</f>
        <v>0</v>
      </c>
      <c r="W90" s="3">
        <f>IFERROR(__xludf.DUMMYFUNCTION("""COMPUTED_VALUE"""),0.0)</f>
        <v>0</v>
      </c>
      <c r="X90" s="3">
        <f>IFERROR(__xludf.DUMMYFUNCTION("""COMPUTED_VALUE"""),0.0)</f>
        <v>0</v>
      </c>
      <c r="Y90" s="3">
        <f>IFERROR(__xludf.DUMMYFUNCTION("""COMPUTED_VALUE"""),0.0)</f>
        <v>0</v>
      </c>
      <c r="Z90" s="3">
        <f>IFERROR(__xludf.DUMMYFUNCTION("""COMPUTED_VALUE"""),0.0)</f>
        <v>0</v>
      </c>
      <c r="AA90" s="3">
        <f>IFERROR(__xludf.DUMMYFUNCTION("""COMPUTED_VALUE"""),0.0)</f>
        <v>0</v>
      </c>
      <c r="AB90" s="3">
        <f>IFERROR(__xludf.DUMMYFUNCTION("""COMPUTED_VALUE"""),0.0)</f>
        <v>0</v>
      </c>
      <c r="AC90" s="3">
        <f>IFERROR(__xludf.DUMMYFUNCTION("""COMPUTED_VALUE"""),0.0)</f>
        <v>0</v>
      </c>
      <c r="AD90" s="3">
        <f>IFERROR(__xludf.DUMMYFUNCTION("""COMPUTED_VALUE"""),0.0)</f>
        <v>0</v>
      </c>
      <c r="AE90" s="3">
        <f>IFERROR(__xludf.DUMMYFUNCTION("""COMPUTED_VALUE"""),0.0)</f>
        <v>0</v>
      </c>
      <c r="AF90" s="3">
        <f>IFERROR(__xludf.DUMMYFUNCTION("""COMPUTED_VALUE"""),0.0)</f>
        <v>0</v>
      </c>
      <c r="AG90" s="3">
        <f>IFERROR(__xludf.DUMMYFUNCTION("""COMPUTED_VALUE"""),0.0)</f>
        <v>0</v>
      </c>
      <c r="AH90" s="3">
        <f>IFERROR(__xludf.DUMMYFUNCTION("""COMPUTED_VALUE"""),2.0)</f>
        <v>2</v>
      </c>
      <c r="AI90" s="3">
        <f>IFERROR(__xludf.DUMMYFUNCTION("""COMPUTED_VALUE"""),2.0)</f>
        <v>2</v>
      </c>
      <c r="AJ90" s="3">
        <f>IFERROR(__xludf.DUMMYFUNCTION("""COMPUTED_VALUE"""),2.0)</f>
        <v>2</v>
      </c>
      <c r="AK90" s="3">
        <f>IFERROR(__xludf.DUMMYFUNCTION("""COMPUTED_VALUE"""),3.0)</f>
        <v>3</v>
      </c>
      <c r="AL90" s="3">
        <f>IFERROR(__xludf.DUMMYFUNCTION("""COMPUTED_VALUE"""),3.0)</f>
        <v>3</v>
      </c>
      <c r="AM90" s="3">
        <f>IFERROR(__xludf.DUMMYFUNCTION("""COMPUTED_VALUE"""),3.0)</f>
        <v>3</v>
      </c>
      <c r="AN90" s="3">
        <f>IFERROR(__xludf.DUMMYFUNCTION("""COMPUTED_VALUE"""),4.0)</f>
        <v>4</v>
      </c>
      <c r="AO90" s="3">
        <f>IFERROR(__xludf.DUMMYFUNCTION("""COMPUTED_VALUE"""),4.0)</f>
        <v>4</v>
      </c>
      <c r="AP90" s="3">
        <f>IFERROR(__xludf.DUMMYFUNCTION("""COMPUTED_VALUE"""),6.0)</f>
        <v>6</v>
      </c>
      <c r="AQ90" s="3">
        <f>IFERROR(__xludf.DUMMYFUNCTION("""COMPUTED_VALUE"""),6.0)</f>
        <v>6</v>
      </c>
      <c r="AR90" s="3">
        <f>IFERROR(__xludf.DUMMYFUNCTION("""COMPUTED_VALUE"""),6.0)</f>
        <v>6</v>
      </c>
      <c r="AS90" s="3">
        <f>IFERROR(__xludf.DUMMYFUNCTION("""COMPUTED_VALUE"""),6.0)</f>
        <v>6</v>
      </c>
      <c r="AT90" s="3">
        <f>IFERROR(__xludf.DUMMYFUNCTION("""COMPUTED_VALUE"""),6.0)</f>
        <v>6</v>
      </c>
      <c r="AU90" s="3">
        <f>IFERROR(__xludf.DUMMYFUNCTION("""COMPUTED_VALUE"""),6.0)</f>
        <v>6</v>
      </c>
      <c r="AV90" s="3">
        <f>IFERROR(__xludf.DUMMYFUNCTION("""COMPUTED_VALUE"""),6.0)</f>
        <v>6</v>
      </c>
      <c r="AW90" s="3">
        <f>IFERROR(__xludf.DUMMYFUNCTION("""COMPUTED_VALUE"""),6.0)</f>
        <v>6</v>
      </c>
      <c r="AX90" s="3">
        <f>IFERROR(__xludf.DUMMYFUNCTION("""COMPUTED_VALUE"""),6.0)</f>
        <v>6</v>
      </c>
      <c r="AY90" s="3">
        <f>IFERROR(__xludf.DUMMYFUNCTION("""COMPUTED_VALUE"""),6.0)</f>
        <v>6</v>
      </c>
      <c r="AZ90" s="3">
        <f>IFERROR(__xludf.DUMMYFUNCTION("""COMPUTED_VALUE"""),6.0)</f>
        <v>6</v>
      </c>
      <c r="BA90" s="3">
        <f>IFERROR(__xludf.DUMMYFUNCTION("""COMPUTED_VALUE"""),6.0)</f>
        <v>6</v>
      </c>
      <c r="BB90" s="3">
        <f>IFERROR(__xludf.DUMMYFUNCTION("""COMPUTED_VALUE"""),7.0)</f>
        <v>7</v>
      </c>
      <c r="BC90" s="3">
        <f>IFERROR(__xludf.DUMMYFUNCTION("""COMPUTED_VALUE"""),7.0)</f>
        <v>7</v>
      </c>
      <c r="BD90" s="3">
        <f>IFERROR(__xludf.DUMMYFUNCTION("""COMPUTED_VALUE"""),7.0)</f>
        <v>7</v>
      </c>
      <c r="BE90" s="3">
        <f>IFERROR(__xludf.DUMMYFUNCTION("""COMPUTED_VALUE"""),7.0)</f>
        <v>7</v>
      </c>
      <c r="BF90" s="3">
        <f>IFERROR(__xludf.DUMMYFUNCTION("""COMPUTED_VALUE"""),7.0)</f>
        <v>7</v>
      </c>
      <c r="BG90" s="3">
        <f>IFERROR(__xludf.DUMMYFUNCTION("""COMPUTED_VALUE"""),7.0)</f>
        <v>7</v>
      </c>
      <c r="BH90" s="3">
        <f>IFERROR(__xludf.DUMMYFUNCTION("""COMPUTED_VALUE"""),7.0)</f>
        <v>7</v>
      </c>
      <c r="BI90" s="3">
        <f>IFERROR(__xludf.DUMMYFUNCTION("""COMPUTED_VALUE"""),7.0)</f>
        <v>7</v>
      </c>
      <c r="BJ90" s="3">
        <f>IFERROR(__xludf.DUMMYFUNCTION("""COMPUTED_VALUE"""),7.0)</f>
        <v>7</v>
      </c>
      <c r="BK90" s="3">
        <f>IFERROR(__xludf.DUMMYFUNCTION("""COMPUTED_VALUE"""),7.0)</f>
        <v>7</v>
      </c>
      <c r="BL90" s="3">
        <f>IFERROR(__xludf.DUMMYFUNCTION("""COMPUTED_VALUE"""),8.0)</f>
        <v>8</v>
      </c>
      <c r="BM90" s="3">
        <f>IFERROR(__xludf.DUMMYFUNCTION("""COMPUTED_VALUE"""),8.0)</f>
        <v>8</v>
      </c>
      <c r="BN90" s="3">
        <f>IFERROR(__xludf.DUMMYFUNCTION("""COMPUTED_VALUE"""),8.0)</f>
        <v>8</v>
      </c>
      <c r="BO90" s="3">
        <f>IFERROR(__xludf.DUMMYFUNCTION("""COMPUTED_VALUE"""),10.0)</f>
        <v>10</v>
      </c>
      <c r="BP90" s="3">
        <f>IFERROR(__xludf.DUMMYFUNCTION("""COMPUTED_VALUE"""),10.0)</f>
        <v>10</v>
      </c>
      <c r="BQ90" s="3">
        <f>IFERROR(__xludf.DUMMYFUNCTION("""COMPUTED_VALUE"""),10.0)</f>
        <v>10</v>
      </c>
      <c r="BR90" s="3">
        <f>IFERROR(__xludf.DUMMYFUNCTION("""COMPUTED_VALUE"""),10.0)</f>
        <v>10</v>
      </c>
      <c r="BS90" s="3">
        <f>IFERROR(__xludf.DUMMYFUNCTION("""COMPUTED_VALUE"""),10.0)</f>
        <v>10</v>
      </c>
      <c r="BT90" s="3">
        <f>IFERROR(__xludf.DUMMYFUNCTION("""COMPUTED_VALUE"""),10.0)</f>
        <v>10</v>
      </c>
      <c r="BU90" s="3">
        <f>IFERROR(__xludf.DUMMYFUNCTION("""COMPUTED_VALUE"""),10.0)</f>
        <v>10</v>
      </c>
      <c r="BV90" s="3">
        <f>IFERROR(__xludf.DUMMYFUNCTION("""COMPUTED_VALUE"""),10.0)</f>
        <v>10</v>
      </c>
      <c r="BW90" s="3">
        <f>IFERROR(__xludf.DUMMYFUNCTION("""COMPUTED_VALUE"""),11.0)</f>
        <v>11</v>
      </c>
      <c r="BX90" s="3">
        <f>IFERROR(__xludf.DUMMYFUNCTION("""COMPUTED_VALUE"""),11.0)</f>
        <v>11</v>
      </c>
      <c r="BY90" s="3">
        <f>IFERROR(__xludf.DUMMYFUNCTION("""COMPUTED_VALUE"""),11.0)</f>
        <v>11</v>
      </c>
      <c r="BZ90" s="3">
        <f>IFERROR(__xludf.DUMMYFUNCTION("""COMPUTED_VALUE"""),11.0)</f>
        <v>11</v>
      </c>
      <c r="CA90" s="3">
        <f>IFERROR(__xludf.DUMMYFUNCTION("""COMPUTED_VALUE"""),11.0)</f>
        <v>11</v>
      </c>
      <c r="CB90" s="3">
        <f>IFERROR(__xludf.DUMMYFUNCTION("""COMPUTED_VALUE"""),11.0)</f>
        <v>11</v>
      </c>
    </row>
    <row r="91">
      <c r="A91" s="3" t="str">
        <f>IFERROR(__xludf.DUMMYFUNCTION("""COMPUTED_VALUE"""),"")</f>
        <v/>
      </c>
      <c r="B91" s="3" t="str">
        <f>IFERROR(__xludf.DUMMYFUNCTION("""COMPUTED_VALUE"""),"Cuba")</f>
        <v>Cuba</v>
      </c>
      <c r="C91" s="3">
        <f>IFERROR(__xludf.DUMMYFUNCTION("""COMPUTED_VALUE"""),22.0)</f>
        <v>22</v>
      </c>
      <c r="D91" s="3">
        <f>IFERROR(__xludf.DUMMYFUNCTION("""COMPUTED_VALUE"""),-80.0)</f>
        <v>-80</v>
      </c>
      <c r="E91" s="3">
        <f>IFERROR(__xludf.DUMMYFUNCTION("""COMPUTED_VALUE"""),0.0)</f>
        <v>0</v>
      </c>
      <c r="F91" s="3">
        <f>IFERROR(__xludf.DUMMYFUNCTION("""COMPUTED_VALUE"""),0.0)</f>
        <v>0</v>
      </c>
      <c r="G91" s="3">
        <f>IFERROR(__xludf.DUMMYFUNCTION("""COMPUTED_VALUE"""),0.0)</f>
        <v>0</v>
      </c>
      <c r="H91" s="3">
        <f>IFERROR(__xludf.DUMMYFUNCTION("""COMPUTED_VALUE"""),0.0)</f>
        <v>0</v>
      </c>
      <c r="I91" s="3">
        <f>IFERROR(__xludf.DUMMYFUNCTION("""COMPUTED_VALUE"""),0.0)</f>
        <v>0</v>
      </c>
      <c r="J91" s="3">
        <f>IFERROR(__xludf.DUMMYFUNCTION("""COMPUTED_VALUE"""),0.0)</f>
        <v>0</v>
      </c>
      <c r="K91" s="3">
        <f>IFERROR(__xludf.DUMMYFUNCTION("""COMPUTED_VALUE"""),0.0)</f>
        <v>0</v>
      </c>
      <c r="L91" s="3">
        <f>IFERROR(__xludf.DUMMYFUNCTION("""COMPUTED_VALUE"""),0.0)</f>
        <v>0</v>
      </c>
      <c r="M91" s="3">
        <f>IFERROR(__xludf.DUMMYFUNCTION("""COMPUTED_VALUE"""),0.0)</f>
        <v>0</v>
      </c>
      <c r="N91" s="3">
        <f>IFERROR(__xludf.DUMMYFUNCTION("""COMPUTED_VALUE"""),0.0)</f>
        <v>0</v>
      </c>
      <c r="O91" s="3">
        <f>IFERROR(__xludf.DUMMYFUNCTION("""COMPUTED_VALUE"""),0.0)</f>
        <v>0</v>
      </c>
      <c r="P91" s="3">
        <f>IFERROR(__xludf.DUMMYFUNCTION("""COMPUTED_VALUE"""),0.0)</f>
        <v>0</v>
      </c>
      <c r="Q91" s="3">
        <f>IFERROR(__xludf.DUMMYFUNCTION("""COMPUTED_VALUE"""),0.0)</f>
        <v>0</v>
      </c>
      <c r="R91" s="3">
        <f>IFERROR(__xludf.DUMMYFUNCTION("""COMPUTED_VALUE"""),0.0)</f>
        <v>0</v>
      </c>
      <c r="S91" s="3">
        <f>IFERROR(__xludf.DUMMYFUNCTION("""COMPUTED_VALUE"""),0.0)</f>
        <v>0</v>
      </c>
      <c r="T91" s="3">
        <f>IFERROR(__xludf.DUMMYFUNCTION("""COMPUTED_VALUE"""),0.0)</f>
        <v>0</v>
      </c>
      <c r="U91" s="3">
        <f>IFERROR(__xludf.DUMMYFUNCTION("""COMPUTED_VALUE"""),0.0)</f>
        <v>0</v>
      </c>
      <c r="V91" s="3">
        <f>IFERROR(__xludf.DUMMYFUNCTION("""COMPUTED_VALUE"""),0.0)</f>
        <v>0</v>
      </c>
      <c r="W91" s="3">
        <f>IFERROR(__xludf.DUMMYFUNCTION("""COMPUTED_VALUE"""),0.0)</f>
        <v>0</v>
      </c>
      <c r="X91" s="3">
        <f>IFERROR(__xludf.DUMMYFUNCTION("""COMPUTED_VALUE"""),0.0)</f>
        <v>0</v>
      </c>
      <c r="Y91" s="3">
        <f>IFERROR(__xludf.DUMMYFUNCTION("""COMPUTED_VALUE"""),0.0)</f>
        <v>0</v>
      </c>
      <c r="Z91" s="3">
        <f>IFERROR(__xludf.DUMMYFUNCTION("""COMPUTED_VALUE"""),0.0)</f>
        <v>0</v>
      </c>
      <c r="AA91" s="3">
        <f>IFERROR(__xludf.DUMMYFUNCTION("""COMPUTED_VALUE"""),0.0)</f>
        <v>0</v>
      </c>
      <c r="AB91" s="3">
        <f>IFERROR(__xludf.DUMMYFUNCTION("""COMPUTED_VALUE"""),0.0)</f>
        <v>0</v>
      </c>
      <c r="AC91" s="3">
        <f>IFERROR(__xludf.DUMMYFUNCTION("""COMPUTED_VALUE"""),0.0)</f>
        <v>0</v>
      </c>
      <c r="AD91" s="3">
        <f>IFERROR(__xludf.DUMMYFUNCTION("""COMPUTED_VALUE"""),0.0)</f>
        <v>0</v>
      </c>
      <c r="AE91" s="3">
        <f>IFERROR(__xludf.DUMMYFUNCTION("""COMPUTED_VALUE"""),0.0)</f>
        <v>0</v>
      </c>
      <c r="AF91" s="3">
        <f>IFERROR(__xludf.DUMMYFUNCTION("""COMPUTED_VALUE"""),0.0)</f>
        <v>0</v>
      </c>
      <c r="AG91" s="3">
        <f>IFERROR(__xludf.DUMMYFUNCTION("""COMPUTED_VALUE"""),0.0)</f>
        <v>0</v>
      </c>
      <c r="AH91" s="3">
        <f>IFERROR(__xludf.DUMMYFUNCTION("""COMPUTED_VALUE"""),0.0)</f>
        <v>0</v>
      </c>
      <c r="AI91" s="3">
        <f>IFERROR(__xludf.DUMMYFUNCTION("""COMPUTED_VALUE"""),0.0)</f>
        <v>0</v>
      </c>
      <c r="AJ91" s="3">
        <f>IFERROR(__xludf.DUMMYFUNCTION("""COMPUTED_VALUE"""),0.0)</f>
        <v>0</v>
      </c>
      <c r="AK91" s="3">
        <f>IFERROR(__xludf.DUMMYFUNCTION("""COMPUTED_VALUE"""),0.0)</f>
        <v>0</v>
      </c>
      <c r="AL91" s="3">
        <f>IFERROR(__xludf.DUMMYFUNCTION("""COMPUTED_VALUE"""),0.0)</f>
        <v>0</v>
      </c>
      <c r="AM91" s="3">
        <f>IFERROR(__xludf.DUMMYFUNCTION("""COMPUTED_VALUE"""),0.0)</f>
        <v>0</v>
      </c>
      <c r="AN91" s="3">
        <f>IFERROR(__xludf.DUMMYFUNCTION("""COMPUTED_VALUE"""),0.0)</f>
        <v>0</v>
      </c>
      <c r="AO91" s="3">
        <f>IFERROR(__xludf.DUMMYFUNCTION("""COMPUTED_VALUE"""),0.0)</f>
        <v>0</v>
      </c>
      <c r="AP91" s="3">
        <f>IFERROR(__xludf.DUMMYFUNCTION("""COMPUTED_VALUE"""),0.0)</f>
        <v>0</v>
      </c>
      <c r="AQ91" s="3">
        <f>IFERROR(__xludf.DUMMYFUNCTION("""COMPUTED_VALUE"""),0.0)</f>
        <v>0</v>
      </c>
      <c r="AR91" s="3">
        <f>IFERROR(__xludf.DUMMYFUNCTION("""COMPUTED_VALUE"""),0.0)</f>
        <v>0</v>
      </c>
      <c r="AS91" s="3">
        <f>IFERROR(__xludf.DUMMYFUNCTION("""COMPUTED_VALUE"""),0.0)</f>
        <v>0</v>
      </c>
      <c r="AT91" s="3">
        <f>IFERROR(__xludf.DUMMYFUNCTION("""COMPUTED_VALUE"""),0.0)</f>
        <v>0</v>
      </c>
      <c r="AU91" s="3">
        <f>IFERROR(__xludf.DUMMYFUNCTION("""COMPUTED_VALUE"""),0.0)</f>
        <v>0</v>
      </c>
      <c r="AV91" s="3">
        <f>IFERROR(__xludf.DUMMYFUNCTION("""COMPUTED_VALUE"""),0.0)</f>
        <v>0</v>
      </c>
      <c r="AW91" s="3">
        <f>IFERROR(__xludf.DUMMYFUNCTION("""COMPUTED_VALUE"""),0.0)</f>
        <v>0</v>
      </c>
      <c r="AX91" s="3">
        <f>IFERROR(__xludf.DUMMYFUNCTION("""COMPUTED_VALUE"""),0.0)</f>
        <v>0</v>
      </c>
      <c r="AY91" s="3">
        <f>IFERROR(__xludf.DUMMYFUNCTION("""COMPUTED_VALUE"""),0.0)</f>
        <v>0</v>
      </c>
      <c r="AZ91" s="3">
        <f>IFERROR(__xludf.DUMMYFUNCTION("""COMPUTED_VALUE"""),0.0)</f>
        <v>0</v>
      </c>
      <c r="BA91" s="3">
        <f>IFERROR(__xludf.DUMMYFUNCTION("""COMPUTED_VALUE"""),0.0)</f>
        <v>0</v>
      </c>
      <c r="BB91" s="3">
        <f>IFERROR(__xludf.DUMMYFUNCTION("""COMPUTED_VALUE"""),0.0)</f>
        <v>0</v>
      </c>
      <c r="BC91" s="3">
        <f>IFERROR(__xludf.DUMMYFUNCTION("""COMPUTED_VALUE"""),0.0)</f>
        <v>0</v>
      </c>
      <c r="BD91" s="3">
        <f>IFERROR(__xludf.DUMMYFUNCTION("""COMPUTED_VALUE"""),0.0)</f>
        <v>0</v>
      </c>
      <c r="BE91" s="3">
        <f>IFERROR(__xludf.DUMMYFUNCTION("""COMPUTED_VALUE"""),0.0)</f>
        <v>0</v>
      </c>
      <c r="BF91" s="3">
        <f>IFERROR(__xludf.DUMMYFUNCTION("""COMPUTED_VALUE"""),0.0)</f>
        <v>0</v>
      </c>
      <c r="BG91" s="3">
        <f>IFERROR(__xludf.DUMMYFUNCTION("""COMPUTED_VALUE"""),0.0)</f>
        <v>0</v>
      </c>
      <c r="BH91" s="3">
        <f>IFERROR(__xludf.DUMMYFUNCTION("""COMPUTED_VALUE"""),0.0)</f>
        <v>0</v>
      </c>
      <c r="BI91" s="3">
        <f>IFERROR(__xludf.DUMMYFUNCTION("""COMPUTED_VALUE"""),1.0)</f>
        <v>1</v>
      </c>
      <c r="BJ91" s="3">
        <f>IFERROR(__xludf.DUMMYFUNCTION("""COMPUTED_VALUE"""),1.0)</f>
        <v>1</v>
      </c>
      <c r="BK91" s="3">
        <f>IFERROR(__xludf.DUMMYFUNCTION("""COMPUTED_VALUE"""),1.0)</f>
        <v>1</v>
      </c>
      <c r="BL91" s="3">
        <f>IFERROR(__xludf.DUMMYFUNCTION("""COMPUTED_VALUE"""),1.0)</f>
        <v>1</v>
      </c>
      <c r="BM91" s="3">
        <f>IFERROR(__xludf.DUMMYFUNCTION("""COMPUTED_VALUE"""),1.0)</f>
        <v>1</v>
      </c>
      <c r="BN91" s="3">
        <f>IFERROR(__xludf.DUMMYFUNCTION("""COMPUTED_VALUE"""),1.0)</f>
        <v>1</v>
      </c>
      <c r="BO91" s="3">
        <f>IFERROR(__xludf.DUMMYFUNCTION("""COMPUTED_VALUE"""),1.0)</f>
        <v>1</v>
      </c>
      <c r="BP91" s="3">
        <f>IFERROR(__xludf.DUMMYFUNCTION("""COMPUTED_VALUE"""),1.0)</f>
        <v>1</v>
      </c>
      <c r="BQ91" s="3">
        <f>IFERROR(__xludf.DUMMYFUNCTION("""COMPUTED_VALUE"""),2.0)</f>
        <v>2</v>
      </c>
      <c r="BR91" s="3">
        <f>IFERROR(__xludf.DUMMYFUNCTION("""COMPUTED_VALUE"""),2.0)</f>
        <v>2</v>
      </c>
      <c r="BS91" s="3">
        <f>IFERROR(__xludf.DUMMYFUNCTION("""COMPUTED_VALUE"""),3.0)</f>
        <v>3</v>
      </c>
      <c r="BT91" s="3">
        <f>IFERROR(__xludf.DUMMYFUNCTION("""COMPUTED_VALUE"""),3.0)</f>
        <v>3</v>
      </c>
      <c r="BU91" s="3">
        <f>IFERROR(__xludf.DUMMYFUNCTION("""COMPUTED_VALUE"""),4.0)</f>
        <v>4</v>
      </c>
      <c r="BV91" s="3">
        <f>IFERROR(__xludf.DUMMYFUNCTION("""COMPUTED_VALUE"""),6.0)</f>
        <v>6</v>
      </c>
      <c r="BW91" s="3">
        <f>IFERROR(__xludf.DUMMYFUNCTION("""COMPUTED_VALUE"""),6.0)</f>
        <v>6</v>
      </c>
      <c r="BX91" s="3">
        <f>IFERROR(__xludf.DUMMYFUNCTION("""COMPUTED_VALUE"""),6.0)</f>
        <v>6</v>
      </c>
      <c r="BY91" s="3">
        <f>IFERROR(__xludf.DUMMYFUNCTION("""COMPUTED_VALUE"""),6.0)</f>
        <v>6</v>
      </c>
      <c r="BZ91" s="3">
        <f>IFERROR(__xludf.DUMMYFUNCTION("""COMPUTED_VALUE"""),6.0)</f>
        <v>6</v>
      </c>
      <c r="CA91" s="3">
        <f>IFERROR(__xludf.DUMMYFUNCTION("""COMPUTED_VALUE"""),8.0)</f>
        <v>8</v>
      </c>
      <c r="CB91" s="3">
        <f>IFERROR(__xludf.DUMMYFUNCTION("""COMPUTED_VALUE"""),9.0)</f>
        <v>9</v>
      </c>
    </row>
    <row r="92">
      <c r="A92" s="3" t="str">
        <f>IFERROR(__xludf.DUMMYFUNCTION("""COMPUTED_VALUE"""),"")</f>
        <v/>
      </c>
      <c r="B92" s="3" t="str">
        <f>IFERROR(__xludf.DUMMYFUNCTION("""COMPUTED_VALUE"""),"Cyprus")</f>
        <v>Cyprus</v>
      </c>
      <c r="C92" s="3">
        <f>IFERROR(__xludf.DUMMYFUNCTION("""COMPUTED_VALUE"""),35.1264)</f>
        <v>35.1264</v>
      </c>
      <c r="D92" s="3">
        <f>IFERROR(__xludf.DUMMYFUNCTION("""COMPUTED_VALUE"""),33.4299)</f>
        <v>33.4299</v>
      </c>
      <c r="E92" s="3">
        <f>IFERROR(__xludf.DUMMYFUNCTION("""COMPUTED_VALUE"""),0.0)</f>
        <v>0</v>
      </c>
      <c r="F92" s="3">
        <f>IFERROR(__xludf.DUMMYFUNCTION("""COMPUTED_VALUE"""),0.0)</f>
        <v>0</v>
      </c>
      <c r="G92" s="3">
        <f>IFERROR(__xludf.DUMMYFUNCTION("""COMPUTED_VALUE"""),0.0)</f>
        <v>0</v>
      </c>
      <c r="H92" s="3">
        <f>IFERROR(__xludf.DUMMYFUNCTION("""COMPUTED_VALUE"""),0.0)</f>
        <v>0</v>
      </c>
      <c r="I92" s="3">
        <f>IFERROR(__xludf.DUMMYFUNCTION("""COMPUTED_VALUE"""),0.0)</f>
        <v>0</v>
      </c>
      <c r="J92" s="3">
        <f>IFERROR(__xludf.DUMMYFUNCTION("""COMPUTED_VALUE"""),0.0)</f>
        <v>0</v>
      </c>
      <c r="K92" s="3">
        <f>IFERROR(__xludf.DUMMYFUNCTION("""COMPUTED_VALUE"""),0.0)</f>
        <v>0</v>
      </c>
      <c r="L92" s="3">
        <f>IFERROR(__xludf.DUMMYFUNCTION("""COMPUTED_VALUE"""),0.0)</f>
        <v>0</v>
      </c>
      <c r="M92" s="3">
        <f>IFERROR(__xludf.DUMMYFUNCTION("""COMPUTED_VALUE"""),0.0)</f>
        <v>0</v>
      </c>
      <c r="N92" s="3">
        <f>IFERROR(__xludf.DUMMYFUNCTION("""COMPUTED_VALUE"""),0.0)</f>
        <v>0</v>
      </c>
      <c r="O92" s="3">
        <f>IFERROR(__xludf.DUMMYFUNCTION("""COMPUTED_VALUE"""),0.0)</f>
        <v>0</v>
      </c>
      <c r="P92" s="3">
        <f>IFERROR(__xludf.DUMMYFUNCTION("""COMPUTED_VALUE"""),0.0)</f>
        <v>0</v>
      </c>
      <c r="Q92" s="3">
        <f>IFERROR(__xludf.DUMMYFUNCTION("""COMPUTED_VALUE"""),0.0)</f>
        <v>0</v>
      </c>
      <c r="R92" s="3">
        <f>IFERROR(__xludf.DUMMYFUNCTION("""COMPUTED_VALUE"""),0.0)</f>
        <v>0</v>
      </c>
      <c r="S92" s="3">
        <f>IFERROR(__xludf.DUMMYFUNCTION("""COMPUTED_VALUE"""),0.0)</f>
        <v>0</v>
      </c>
      <c r="T92" s="3">
        <f>IFERROR(__xludf.DUMMYFUNCTION("""COMPUTED_VALUE"""),0.0)</f>
        <v>0</v>
      </c>
      <c r="U92" s="3">
        <f>IFERROR(__xludf.DUMMYFUNCTION("""COMPUTED_VALUE"""),0.0)</f>
        <v>0</v>
      </c>
      <c r="V92" s="3">
        <f>IFERROR(__xludf.DUMMYFUNCTION("""COMPUTED_VALUE"""),0.0)</f>
        <v>0</v>
      </c>
      <c r="W92" s="3">
        <f>IFERROR(__xludf.DUMMYFUNCTION("""COMPUTED_VALUE"""),0.0)</f>
        <v>0</v>
      </c>
      <c r="X92" s="3">
        <f>IFERROR(__xludf.DUMMYFUNCTION("""COMPUTED_VALUE"""),0.0)</f>
        <v>0</v>
      </c>
      <c r="Y92" s="3">
        <f>IFERROR(__xludf.DUMMYFUNCTION("""COMPUTED_VALUE"""),0.0)</f>
        <v>0</v>
      </c>
      <c r="Z92" s="3">
        <f>IFERROR(__xludf.DUMMYFUNCTION("""COMPUTED_VALUE"""),0.0)</f>
        <v>0</v>
      </c>
      <c r="AA92" s="3">
        <f>IFERROR(__xludf.DUMMYFUNCTION("""COMPUTED_VALUE"""),0.0)</f>
        <v>0</v>
      </c>
      <c r="AB92" s="3">
        <f>IFERROR(__xludf.DUMMYFUNCTION("""COMPUTED_VALUE"""),0.0)</f>
        <v>0</v>
      </c>
      <c r="AC92" s="3">
        <f>IFERROR(__xludf.DUMMYFUNCTION("""COMPUTED_VALUE"""),0.0)</f>
        <v>0</v>
      </c>
      <c r="AD92" s="3">
        <f>IFERROR(__xludf.DUMMYFUNCTION("""COMPUTED_VALUE"""),0.0)</f>
        <v>0</v>
      </c>
      <c r="AE92" s="3">
        <f>IFERROR(__xludf.DUMMYFUNCTION("""COMPUTED_VALUE"""),0.0)</f>
        <v>0</v>
      </c>
      <c r="AF92" s="3">
        <f>IFERROR(__xludf.DUMMYFUNCTION("""COMPUTED_VALUE"""),0.0)</f>
        <v>0</v>
      </c>
      <c r="AG92" s="3">
        <f>IFERROR(__xludf.DUMMYFUNCTION("""COMPUTED_VALUE"""),0.0)</f>
        <v>0</v>
      </c>
      <c r="AH92" s="3">
        <f>IFERROR(__xludf.DUMMYFUNCTION("""COMPUTED_VALUE"""),0.0)</f>
        <v>0</v>
      </c>
      <c r="AI92" s="3">
        <f>IFERROR(__xludf.DUMMYFUNCTION("""COMPUTED_VALUE"""),0.0)</f>
        <v>0</v>
      </c>
      <c r="AJ92" s="3">
        <f>IFERROR(__xludf.DUMMYFUNCTION("""COMPUTED_VALUE"""),0.0)</f>
        <v>0</v>
      </c>
      <c r="AK92" s="3">
        <f>IFERROR(__xludf.DUMMYFUNCTION("""COMPUTED_VALUE"""),0.0)</f>
        <v>0</v>
      </c>
      <c r="AL92" s="3">
        <f>IFERROR(__xludf.DUMMYFUNCTION("""COMPUTED_VALUE"""),0.0)</f>
        <v>0</v>
      </c>
      <c r="AM92" s="3">
        <f>IFERROR(__xludf.DUMMYFUNCTION("""COMPUTED_VALUE"""),0.0)</f>
        <v>0</v>
      </c>
      <c r="AN92" s="3">
        <f>IFERROR(__xludf.DUMMYFUNCTION("""COMPUTED_VALUE"""),0.0)</f>
        <v>0</v>
      </c>
      <c r="AO92" s="3">
        <f>IFERROR(__xludf.DUMMYFUNCTION("""COMPUTED_VALUE"""),0.0)</f>
        <v>0</v>
      </c>
      <c r="AP92" s="3">
        <f>IFERROR(__xludf.DUMMYFUNCTION("""COMPUTED_VALUE"""),0.0)</f>
        <v>0</v>
      </c>
      <c r="AQ92" s="3">
        <f>IFERROR(__xludf.DUMMYFUNCTION("""COMPUTED_VALUE"""),0.0)</f>
        <v>0</v>
      </c>
      <c r="AR92" s="3">
        <f>IFERROR(__xludf.DUMMYFUNCTION("""COMPUTED_VALUE"""),0.0)</f>
        <v>0</v>
      </c>
      <c r="AS92" s="3">
        <f>IFERROR(__xludf.DUMMYFUNCTION("""COMPUTED_VALUE"""),0.0)</f>
        <v>0</v>
      </c>
      <c r="AT92" s="3">
        <f>IFERROR(__xludf.DUMMYFUNCTION("""COMPUTED_VALUE"""),0.0)</f>
        <v>0</v>
      </c>
      <c r="AU92" s="3">
        <f>IFERROR(__xludf.DUMMYFUNCTION("""COMPUTED_VALUE"""),0.0)</f>
        <v>0</v>
      </c>
      <c r="AV92" s="3">
        <f>IFERROR(__xludf.DUMMYFUNCTION("""COMPUTED_VALUE"""),0.0)</f>
        <v>0</v>
      </c>
      <c r="AW92" s="3">
        <f>IFERROR(__xludf.DUMMYFUNCTION("""COMPUTED_VALUE"""),0.0)</f>
        <v>0</v>
      </c>
      <c r="AX92" s="3">
        <f>IFERROR(__xludf.DUMMYFUNCTION("""COMPUTED_VALUE"""),0.0)</f>
        <v>0</v>
      </c>
      <c r="AY92" s="3">
        <f>IFERROR(__xludf.DUMMYFUNCTION("""COMPUTED_VALUE"""),0.0)</f>
        <v>0</v>
      </c>
      <c r="AZ92" s="3">
        <f>IFERROR(__xludf.DUMMYFUNCTION("""COMPUTED_VALUE"""),0.0)</f>
        <v>0</v>
      </c>
      <c r="BA92" s="3">
        <f>IFERROR(__xludf.DUMMYFUNCTION("""COMPUTED_VALUE"""),0.0)</f>
        <v>0</v>
      </c>
      <c r="BB92" s="3">
        <f>IFERROR(__xludf.DUMMYFUNCTION("""COMPUTED_VALUE"""),0.0)</f>
        <v>0</v>
      </c>
      <c r="BC92" s="3">
        <f>IFERROR(__xludf.DUMMYFUNCTION("""COMPUTED_VALUE"""),0.0)</f>
        <v>0</v>
      </c>
      <c r="BD92" s="3">
        <f>IFERROR(__xludf.DUMMYFUNCTION("""COMPUTED_VALUE"""),0.0)</f>
        <v>0</v>
      </c>
      <c r="BE92" s="3">
        <f>IFERROR(__xludf.DUMMYFUNCTION("""COMPUTED_VALUE"""),0.0)</f>
        <v>0</v>
      </c>
      <c r="BF92" s="3">
        <f>IFERROR(__xludf.DUMMYFUNCTION("""COMPUTED_VALUE"""),0.0)</f>
        <v>0</v>
      </c>
      <c r="BG92" s="3">
        <f>IFERROR(__xludf.DUMMYFUNCTION("""COMPUTED_VALUE"""),0.0)</f>
        <v>0</v>
      </c>
      <c r="BH92" s="3">
        <f>IFERROR(__xludf.DUMMYFUNCTION("""COMPUTED_VALUE"""),0.0)</f>
        <v>0</v>
      </c>
      <c r="BI92" s="3">
        <f>IFERROR(__xludf.DUMMYFUNCTION("""COMPUTED_VALUE"""),0.0)</f>
        <v>0</v>
      </c>
      <c r="BJ92" s="3">
        <f>IFERROR(__xludf.DUMMYFUNCTION("""COMPUTED_VALUE"""),0.0)</f>
        <v>0</v>
      </c>
      <c r="BK92" s="3">
        <f>IFERROR(__xludf.DUMMYFUNCTION("""COMPUTED_VALUE"""),0.0)</f>
        <v>0</v>
      </c>
      <c r="BL92" s="3">
        <f>IFERROR(__xludf.DUMMYFUNCTION("""COMPUTED_VALUE"""),0.0)</f>
        <v>0</v>
      </c>
      <c r="BM92" s="3">
        <f>IFERROR(__xludf.DUMMYFUNCTION("""COMPUTED_VALUE"""),1.0)</f>
        <v>1</v>
      </c>
      <c r="BN92" s="3">
        <f>IFERROR(__xludf.DUMMYFUNCTION("""COMPUTED_VALUE"""),1.0)</f>
        <v>1</v>
      </c>
      <c r="BO92" s="3">
        <f>IFERROR(__xludf.DUMMYFUNCTION("""COMPUTED_VALUE"""),3.0)</f>
        <v>3</v>
      </c>
      <c r="BP92" s="3">
        <f>IFERROR(__xludf.DUMMYFUNCTION("""COMPUTED_VALUE"""),3.0)</f>
        <v>3</v>
      </c>
      <c r="BQ92" s="3">
        <f>IFERROR(__xludf.DUMMYFUNCTION("""COMPUTED_VALUE"""),3.0)</f>
        <v>3</v>
      </c>
      <c r="BR92" s="3">
        <f>IFERROR(__xludf.DUMMYFUNCTION("""COMPUTED_VALUE"""),5.0)</f>
        <v>5</v>
      </c>
      <c r="BS92" s="3">
        <f>IFERROR(__xludf.DUMMYFUNCTION("""COMPUTED_VALUE"""),5.0)</f>
        <v>5</v>
      </c>
      <c r="BT92" s="3">
        <f>IFERROR(__xludf.DUMMYFUNCTION("""COMPUTED_VALUE"""),5.0)</f>
        <v>5</v>
      </c>
      <c r="BU92" s="3">
        <f>IFERROR(__xludf.DUMMYFUNCTION("""COMPUTED_VALUE"""),7.0)</f>
        <v>7</v>
      </c>
      <c r="BV92" s="3">
        <f>IFERROR(__xludf.DUMMYFUNCTION("""COMPUTED_VALUE"""),8.0)</f>
        <v>8</v>
      </c>
      <c r="BW92" s="3">
        <f>IFERROR(__xludf.DUMMYFUNCTION("""COMPUTED_VALUE"""),9.0)</f>
        <v>9</v>
      </c>
      <c r="BX92" s="3">
        <f>IFERROR(__xludf.DUMMYFUNCTION("""COMPUTED_VALUE"""),10.0)</f>
        <v>10</v>
      </c>
      <c r="BY92" s="3">
        <f>IFERROR(__xludf.DUMMYFUNCTION("""COMPUTED_VALUE"""),11.0)</f>
        <v>11</v>
      </c>
      <c r="BZ92" s="3">
        <f>IFERROR(__xludf.DUMMYFUNCTION("""COMPUTED_VALUE"""),11.0)</f>
        <v>11</v>
      </c>
      <c r="CA92" s="3">
        <f>IFERROR(__xludf.DUMMYFUNCTION("""COMPUTED_VALUE"""),9.0)</f>
        <v>9</v>
      </c>
      <c r="CB92" s="3">
        <f>IFERROR(__xludf.DUMMYFUNCTION("""COMPUTED_VALUE"""),9.0)</f>
        <v>9</v>
      </c>
    </row>
    <row r="93">
      <c r="A93" s="3" t="str">
        <f>IFERROR(__xludf.DUMMYFUNCTION("""COMPUTED_VALUE"""),"")</f>
        <v/>
      </c>
      <c r="B93" s="3" t="str">
        <f>IFERROR(__xludf.DUMMYFUNCTION("""COMPUTED_VALUE"""),"Czechia")</f>
        <v>Czechia</v>
      </c>
      <c r="C93" s="3">
        <f>IFERROR(__xludf.DUMMYFUNCTION("""COMPUTED_VALUE"""),49.8175)</f>
        <v>49.8175</v>
      </c>
      <c r="D93" s="3">
        <f>IFERROR(__xludf.DUMMYFUNCTION("""COMPUTED_VALUE"""),15.473)</f>
        <v>15.473</v>
      </c>
      <c r="E93" s="3">
        <f>IFERROR(__xludf.DUMMYFUNCTION("""COMPUTED_VALUE"""),0.0)</f>
        <v>0</v>
      </c>
      <c r="F93" s="3">
        <f>IFERROR(__xludf.DUMMYFUNCTION("""COMPUTED_VALUE"""),0.0)</f>
        <v>0</v>
      </c>
      <c r="G93" s="3">
        <f>IFERROR(__xludf.DUMMYFUNCTION("""COMPUTED_VALUE"""),0.0)</f>
        <v>0</v>
      </c>
      <c r="H93" s="3">
        <f>IFERROR(__xludf.DUMMYFUNCTION("""COMPUTED_VALUE"""),0.0)</f>
        <v>0</v>
      </c>
      <c r="I93" s="3">
        <f>IFERROR(__xludf.DUMMYFUNCTION("""COMPUTED_VALUE"""),0.0)</f>
        <v>0</v>
      </c>
      <c r="J93" s="3">
        <f>IFERROR(__xludf.DUMMYFUNCTION("""COMPUTED_VALUE"""),0.0)</f>
        <v>0</v>
      </c>
      <c r="K93" s="3">
        <f>IFERROR(__xludf.DUMMYFUNCTION("""COMPUTED_VALUE"""),0.0)</f>
        <v>0</v>
      </c>
      <c r="L93" s="3">
        <f>IFERROR(__xludf.DUMMYFUNCTION("""COMPUTED_VALUE"""),0.0)</f>
        <v>0</v>
      </c>
      <c r="M93" s="3">
        <f>IFERROR(__xludf.DUMMYFUNCTION("""COMPUTED_VALUE"""),0.0)</f>
        <v>0</v>
      </c>
      <c r="N93" s="3">
        <f>IFERROR(__xludf.DUMMYFUNCTION("""COMPUTED_VALUE"""),0.0)</f>
        <v>0</v>
      </c>
      <c r="O93" s="3">
        <f>IFERROR(__xludf.DUMMYFUNCTION("""COMPUTED_VALUE"""),0.0)</f>
        <v>0</v>
      </c>
      <c r="P93" s="3">
        <f>IFERROR(__xludf.DUMMYFUNCTION("""COMPUTED_VALUE"""),0.0)</f>
        <v>0</v>
      </c>
      <c r="Q93" s="3">
        <f>IFERROR(__xludf.DUMMYFUNCTION("""COMPUTED_VALUE"""),0.0)</f>
        <v>0</v>
      </c>
      <c r="R93" s="3">
        <f>IFERROR(__xludf.DUMMYFUNCTION("""COMPUTED_VALUE"""),0.0)</f>
        <v>0</v>
      </c>
      <c r="S93" s="3">
        <f>IFERROR(__xludf.DUMMYFUNCTION("""COMPUTED_VALUE"""),0.0)</f>
        <v>0</v>
      </c>
      <c r="T93" s="3">
        <f>IFERROR(__xludf.DUMMYFUNCTION("""COMPUTED_VALUE"""),0.0)</f>
        <v>0</v>
      </c>
      <c r="U93" s="3">
        <f>IFERROR(__xludf.DUMMYFUNCTION("""COMPUTED_VALUE"""),0.0)</f>
        <v>0</v>
      </c>
      <c r="V93" s="3">
        <f>IFERROR(__xludf.DUMMYFUNCTION("""COMPUTED_VALUE"""),0.0)</f>
        <v>0</v>
      </c>
      <c r="W93" s="3">
        <f>IFERROR(__xludf.DUMMYFUNCTION("""COMPUTED_VALUE"""),0.0)</f>
        <v>0</v>
      </c>
      <c r="X93" s="3">
        <f>IFERROR(__xludf.DUMMYFUNCTION("""COMPUTED_VALUE"""),0.0)</f>
        <v>0</v>
      </c>
      <c r="Y93" s="3">
        <f>IFERROR(__xludf.DUMMYFUNCTION("""COMPUTED_VALUE"""),0.0)</f>
        <v>0</v>
      </c>
      <c r="Z93" s="3">
        <f>IFERROR(__xludf.DUMMYFUNCTION("""COMPUTED_VALUE"""),0.0)</f>
        <v>0</v>
      </c>
      <c r="AA93" s="3">
        <f>IFERROR(__xludf.DUMMYFUNCTION("""COMPUTED_VALUE"""),0.0)</f>
        <v>0</v>
      </c>
      <c r="AB93" s="3">
        <f>IFERROR(__xludf.DUMMYFUNCTION("""COMPUTED_VALUE"""),0.0)</f>
        <v>0</v>
      </c>
      <c r="AC93" s="3">
        <f>IFERROR(__xludf.DUMMYFUNCTION("""COMPUTED_VALUE"""),0.0)</f>
        <v>0</v>
      </c>
      <c r="AD93" s="3">
        <f>IFERROR(__xludf.DUMMYFUNCTION("""COMPUTED_VALUE"""),0.0)</f>
        <v>0</v>
      </c>
      <c r="AE93" s="3">
        <f>IFERROR(__xludf.DUMMYFUNCTION("""COMPUTED_VALUE"""),0.0)</f>
        <v>0</v>
      </c>
      <c r="AF93" s="3">
        <f>IFERROR(__xludf.DUMMYFUNCTION("""COMPUTED_VALUE"""),0.0)</f>
        <v>0</v>
      </c>
      <c r="AG93" s="3">
        <f>IFERROR(__xludf.DUMMYFUNCTION("""COMPUTED_VALUE"""),0.0)</f>
        <v>0</v>
      </c>
      <c r="AH93" s="3">
        <f>IFERROR(__xludf.DUMMYFUNCTION("""COMPUTED_VALUE"""),0.0)</f>
        <v>0</v>
      </c>
      <c r="AI93" s="3">
        <f>IFERROR(__xludf.DUMMYFUNCTION("""COMPUTED_VALUE"""),0.0)</f>
        <v>0</v>
      </c>
      <c r="AJ93" s="3">
        <f>IFERROR(__xludf.DUMMYFUNCTION("""COMPUTED_VALUE"""),0.0)</f>
        <v>0</v>
      </c>
      <c r="AK93" s="3">
        <f>IFERROR(__xludf.DUMMYFUNCTION("""COMPUTED_VALUE"""),0.0)</f>
        <v>0</v>
      </c>
      <c r="AL93" s="3">
        <f>IFERROR(__xludf.DUMMYFUNCTION("""COMPUTED_VALUE"""),0.0)</f>
        <v>0</v>
      </c>
      <c r="AM93" s="3">
        <f>IFERROR(__xludf.DUMMYFUNCTION("""COMPUTED_VALUE"""),0.0)</f>
        <v>0</v>
      </c>
      <c r="AN93" s="3">
        <f>IFERROR(__xludf.DUMMYFUNCTION("""COMPUTED_VALUE"""),0.0)</f>
        <v>0</v>
      </c>
      <c r="AO93" s="3">
        <f>IFERROR(__xludf.DUMMYFUNCTION("""COMPUTED_VALUE"""),0.0)</f>
        <v>0</v>
      </c>
      <c r="AP93" s="3">
        <f>IFERROR(__xludf.DUMMYFUNCTION("""COMPUTED_VALUE"""),0.0)</f>
        <v>0</v>
      </c>
      <c r="AQ93" s="3">
        <f>IFERROR(__xludf.DUMMYFUNCTION("""COMPUTED_VALUE"""),0.0)</f>
        <v>0</v>
      </c>
      <c r="AR93" s="3">
        <f>IFERROR(__xludf.DUMMYFUNCTION("""COMPUTED_VALUE"""),0.0)</f>
        <v>0</v>
      </c>
      <c r="AS93" s="3">
        <f>IFERROR(__xludf.DUMMYFUNCTION("""COMPUTED_VALUE"""),0.0)</f>
        <v>0</v>
      </c>
      <c r="AT93" s="3">
        <f>IFERROR(__xludf.DUMMYFUNCTION("""COMPUTED_VALUE"""),0.0)</f>
        <v>0</v>
      </c>
      <c r="AU93" s="3">
        <f>IFERROR(__xludf.DUMMYFUNCTION("""COMPUTED_VALUE"""),0.0)</f>
        <v>0</v>
      </c>
      <c r="AV93" s="3">
        <f>IFERROR(__xludf.DUMMYFUNCTION("""COMPUTED_VALUE"""),0.0)</f>
        <v>0</v>
      </c>
      <c r="AW93" s="3">
        <f>IFERROR(__xludf.DUMMYFUNCTION("""COMPUTED_VALUE"""),0.0)</f>
        <v>0</v>
      </c>
      <c r="AX93" s="3">
        <f>IFERROR(__xludf.DUMMYFUNCTION("""COMPUTED_VALUE"""),0.0)</f>
        <v>0</v>
      </c>
      <c r="AY93" s="3">
        <f>IFERROR(__xludf.DUMMYFUNCTION("""COMPUTED_VALUE"""),0.0)</f>
        <v>0</v>
      </c>
      <c r="AZ93" s="3">
        <f>IFERROR(__xludf.DUMMYFUNCTION("""COMPUTED_VALUE"""),0.0)</f>
        <v>0</v>
      </c>
      <c r="BA93" s="3">
        <f>IFERROR(__xludf.DUMMYFUNCTION("""COMPUTED_VALUE"""),0.0)</f>
        <v>0</v>
      </c>
      <c r="BB93" s="3">
        <f>IFERROR(__xludf.DUMMYFUNCTION("""COMPUTED_VALUE"""),0.0)</f>
        <v>0</v>
      </c>
      <c r="BC93" s="3">
        <f>IFERROR(__xludf.DUMMYFUNCTION("""COMPUTED_VALUE"""),0.0)</f>
        <v>0</v>
      </c>
      <c r="BD93" s="3">
        <f>IFERROR(__xludf.DUMMYFUNCTION("""COMPUTED_VALUE"""),0.0)</f>
        <v>0</v>
      </c>
      <c r="BE93" s="3">
        <f>IFERROR(__xludf.DUMMYFUNCTION("""COMPUTED_VALUE"""),0.0)</f>
        <v>0</v>
      </c>
      <c r="BF93" s="3">
        <f>IFERROR(__xludf.DUMMYFUNCTION("""COMPUTED_VALUE"""),0.0)</f>
        <v>0</v>
      </c>
      <c r="BG93" s="3">
        <f>IFERROR(__xludf.DUMMYFUNCTION("""COMPUTED_VALUE"""),0.0)</f>
        <v>0</v>
      </c>
      <c r="BH93" s="3">
        <f>IFERROR(__xludf.DUMMYFUNCTION("""COMPUTED_VALUE"""),0.0)</f>
        <v>0</v>
      </c>
      <c r="BI93" s="3">
        <f>IFERROR(__xludf.DUMMYFUNCTION("""COMPUTED_VALUE"""),0.0)</f>
        <v>0</v>
      </c>
      <c r="BJ93" s="3">
        <f>IFERROR(__xludf.DUMMYFUNCTION("""COMPUTED_VALUE"""),0.0)</f>
        <v>0</v>
      </c>
      <c r="BK93" s="3">
        <f>IFERROR(__xludf.DUMMYFUNCTION("""COMPUTED_VALUE"""),0.0)</f>
        <v>0</v>
      </c>
      <c r="BL93" s="3">
        <f>IFERROR(__xludf.DUMMYFUNCTION("""COMPUTED_VALUE"""),0.0)</f>
        <v>0</v>
      </c>
      <c r="BM93" s="3">
        <f>IFERROR(__xludf.DUMMYFUNCTION("""COMPUTED_VALUE"""),1.0)</f>
        <v>1</v>
      </c>
      <c r="BN93" s="3">
        <f>IFERROR(__xludf.DUMMYFUNCTION("""COMPUTED_VALUE"""),1.0)</f>
        <v>1</v>
      </c>
      <c r="BO93" s="3">
        <f>IFERROR(__xludf.DUMMYFUNCTION("""COMPUTED_VALUE"""),3.0)</f>
        <v>3</v>
      </c>
      <c r="BP93" s="3">
        <f>IFERROR(__xludf.DUMMYFUNCTION("""COMPUTED_VALUE"""),6.0)</f>
        <v>6</v>
      </c>
      <c r="BQ93" s="3">
        <f>IFERROR(__xludf.DUMMYFUNCTION("""COMPUTED_VALUE"""),9.0)</f>
        <v>9</v>
      </c>
      <c r="BR93" s="3">
        <f>IFERROR(__xludf.DUMMYFUNCTION("""COMPUTED_VALUE"""),9.0)</f>
        <v>9</v>
      </c>
      <c r="BS93" s="3">
        <f>IFERROR(__xludf.DUMMYFUNCTION("""COMPUTED_VALUE"""),11.0)</f>
        <v>11</v>
      </c>
      <c r="BT93" s="3">
        <f>IFERROR(__xludf.DUMMYFUNCTION("""COMPUTED_VALUE"""),16.0)</f>
        <v>16</v>
      </c>
      <c r="BU93" s="3">
        <f>IFERROR(__xludf.DUMMYFUNCTION("""COMPUTED_VALUE"""),23.0)</f>
        <v>23</v>
      </c>
      <c r="BV93" s="3">
        <f>IFERROR(__xludf.DUMMYFUNCTION("""COMPUTED_VALUE"""),31.0)</f>
        <v>31</v>
      </c>
      <c r="BW93" s="3">
        <f>IFERROR(__xludf.DUMMYFUNCTION("""COMPUTED_VALUE"""),39.0)</f>
        <v>39</v>
      </c>
      <c r="BX93" s="3">
        <f>IFERROR(__xludf.DUMMYFUNCTION("""COMPUTED_VALUE"""),44.0)</f>
        <v>44</v>
      </c>
      <c r="BY93" s="3">
        <f>IFERROR(__xludf.DUMMYFUNCTION("""COMPUTED_VALUE"""),53.0)</f>
        <v>53</v>
      </c>
      <c r="BZ93" s="3">
        <f>IFERROR(__xludf.DUMMYFUNCTION("""COMPUTED_VALUE"""),59.0)</f>
        <v>59</v>
      </c>
      <c r="CA93" s="3">
        <f>IFERROR(__xludf.DUMMYFUNCTION("""COMPUTED_VALUE"""),67.0)</f>
        <v>67</v>
      </c>
      <c r="CB93" s="3">
        <f>IFERROR(__xludf.DUMMYFUNCTION("""COMPUTED_VALUE"""),78.0)</f>
        <v>78</v>
      </c>
    </row>
    <row r="94">
      <c r="A94" s="3" t="str">
        <f>IFERROR(__xludf.DUMMYFUNCTION("""COMPUTED_VALUE"""),"Faroe Islands")</f>
        <v>Faroe Islands</v>
      </c>
      <c r="B94" s="3" t="str">
        <f>IFERROR(__xludf.DUMMYFUNCTION("""COMPUTED_VALUE"""),"Denmark")</f>
        <v>Denmark</v>
      </c>
      <c r="C94" s="3">
        <f>IFERROR(__xludf.DUMMYFUNCTION("""COMPUTED_VALUE"""),61.8926)</f>
        <v>61.8926</v>
      </c>
      <c r="D94" s="3">
        <f>IFERROR(__xludf.DUMMYFUNCTION("""COMPUTED_VALUE"""),-6.9118)</f>
        <v>-6.9118</v>
      </c>
      <c r="E94" s="3">
        <f>IFERROR(__xludf.DUMMYFUNCTION("""COMPUTED_VALUE"""),0.0)</f>
        <v>0</v>
      </c>
      <c r="F94" s="3">
        <f>IFERROR(__xludf.DUMMYFUNCTION("""COMPUTED_VALUE"""),0.0)</f>
        <v>0</v>
      </c>
      <c r="G94" s="3">
        <f>IFERROR(__xludf.DUMMYFUNCTION("""COMPUTED_VALUE"""),0.0)</f>
        <v>0</v>
      </c>
      <c r="H94" s="3">
        <f>IFERROR(__xludf.DUMMYFUNCTION("""COMPUTED_VALUE"""),0.0)</f>
        <v>0</v>
      </c>
      <c r="I94" s="3">
        <f>IFERROR(__xludf.DUMMYFUNCTION("""COMPUTED_VALUE"""),0.0)</f>
        <v>0</v>
      </c>
      <c r="J94" s="3">
        <f>IFERROR(__xludf.DUMMYFUNCTION("""COMPUTED_VALUE"""),0.0)</f>
        <v>0</v>
      </c>
      <c r="K94" s="3">
        <f>IFERROR(__xludf.DUMMYFUNCTION("""COMPUTED_VALUE"""),0.0)</f>
        <v>0</v>
      </c>
      <c r="L94" s="3">
        <f>IFERROR(__xludf.DUMMYFUNCTION("""COMPUTED_VALUE"""),0.0)</f>
        <v>0</v>
      </c>
      <c r="M94" s="3">
        <f>IFERROR(__xludf.DUMMYFUNCTION("""COMPUTED_VALUE"""),0.0)</f>
        <v>0</v>
      </c>
      <c r="N94" s="3">
        <f>IFERROR(__xludf.DUMMYFUNCTION("""COMPUTED_VALUE"""),0.0)</f>
        <v>0</v>
      </c>
      <c r="O94" s="3">
        <f>IFERROR(__xludf.DUMMYFUNCTION("""COMPUTED_VALUE"""),0.0)</f>
        <v>0</v>
      </c>
      <c r="P94" s="3">
        <f>IFERROR(__xludf.DUMMYFUNCTION("""COMPUTED_VALUE"""),0.0)</f>
        <v>0</v>
      </c>
      <c r="Q94" s="3">
        <f>IFERROR(__xludf.DUMMYFUNCTION("""COMPUTED_VALUE"""),0.0)</f>
        <v>0</v>
      </c>
      <c r="R94" s="3">
        <f>IFERROR(__xludf.DUMMYFUNCTION("""COMPUTED_VALUE"""),0.0)</f>
        <v>0</v>
      </c>
      <c r="S94" s="3">
        <f>IFERROR(__xludf.DUMMYFUNCTION("""COMPUTED_VALUE"""),0.0)</f>
        <v>0</v>
      </c>
      <c r="T94" s="3">
        <f>IFERROR(__xludf.DUMMYFUNCTION("""COMPUTED_VALUE"""),0.0)</f>
        <v>0</v>
      </c>
      <c r="U94" s="3">
        <f>IFERROR(__xludf.DUMMYFUNCTION("""COMPUTED_VALUE"""),0.0)</f>
        <v>0</v>
      </c>
      <c r="V94" s="3">
        <f>IFERROR(__xludf.DUMMYFUNCTION("""COMPUTED_VALUE"""),0.0)</f>
        <v>0</v>
      </c>
      <c r="W94" s="3">
        <f>IFERROR(__xludf.DUMMYFUNCTION("""COMPUTED_VALUE"""),0.0)</f>
        <v>0</v>
      </c>
      <c r="X94" s="3">
        <f>IFERROR(__xludf.DUMMYFUNCTION("""COMPUTED_VALUE"""),0.0)</f>
        <v>0</v>
      </c>
      <c r="Y94" s="3">
        <f>IFERROR(__xludf.DUMMYFUNCTION("""COMPUTED_VALUE"""),0.0)</f>
        <v>0</v>
      </c>
      <c r="Z94" s="3">
        <f>IFERROR(__xludf.DUMMYFUNCTION("""COMPUTED_VALUE"""),0.0)</f>
        <v>0</v>
      </c>
      <c r="AA94" s="3">
        <f>IFERROR(__xludf.DUMMYFUNCTION("""COMPUTED_VALUE"""),0.0)</f>
        <v>0</v>
      </c>
      <c r="AB94" s="3">
        <f>IFERROR(__xludf.DUMMYFUNCTION("""COMPUTED_VALUE"""),0.0)</f>
        <v>0</v>
      </c>
      <c r="AC94" s="3">
        <f>IFERROR(__xludf.DUMMYFUNCTION("""COMPUTED_VALUE"""),0.0)</f>
        <v>0</v>
      </c>
      <c r="AD94" s="3">
        <f>IFERROR(__xludf.DUMMYFUNCTION("""COMPUTED_VALUE"""),0.0)</f>
        <v>0</v>
      </c>
      <c r="AE94" s="3">
        <f>IFERROR(__xludf.DUMMYFUNCTION("""COMPUTED_VALUE"""),0.0)</f>
        <v>0</v>
      </c>
      <c r="AF94" s="3">
        <f>IFERROR(__xludf.DUMMYFUNCTION("""COMPUTED_VALUE"""),0.0)</f>
        <v>0</v>
      </c>
      <c r="AG94" s="3">
        <f>IFERROR(__xludf.DUMMYFUNCTION("""COMPUTED_VALUE"""),0.0)</f>
        <v>0</v>
      </c>
      <c r="AH94" s="3">
        <f>IFERROR(__xludf.DUMMYFUNCTION("""COMPUTED_VALUE"""),0.0)</f>
        <v>0</v>
      </c>
      <c r="AI94" s="3">
        <f>IFERROR(__xludf.DUMMYFUNCTION("""COMPUTED_VALUE"""),0.0)</f>
        <v>0</v>
      </c>
      <c r="AJ94" s="3">
        <f>IFERROR(__xludf.DUMMYFUNCTION("""COMPUTED_VALUE"""),0.0)</f>
        <v>0</v>
      </c>
      <c r="AK94" s="3">
        <f>IFERROR(__xludf.DUMMYFUNCTION("""COMPUTED_VALUE"""),0.0)</f>
        <v>0</v>
      </c>
      <c r="AL94" s="3">
        <f>IFERROR(__xludf.DUMMYFUNCTION("""COMPUTED_VALUE"""),0.0)</f>
        <v>0</v>
      </c>
      <c r="AM94" s="3">
        <f>IFERROR(__xludf.DUMMYFUNCTION("""COMPUTED_VALUE"""),0.0)</f>
        <v>0</v>
      </c>
      <c r="AN94" s="3">
        <f>IFERROR(__xludf.DUMMYFUNCTION("""COMPUTED_VALUE"""),0.0)</f>
        <v>0</v>
      </c>
      <c r="AO94" s="3">
        <f>IFERROR(__xludf.DUMMYFUNCTION("""COMPUTED_VALUE"""),0.0)</f>
        <v>0</v>
      </c>
      <c r="AP94" s="3">
        <f>IFERROR(__xludf.DUMMYFUNCTION("""COMPUTED_VALUE"""),0.0)</f>
        <v>0</v>
      </c>
      <c r="AQ94" s="3">
        <f>IFERROR(__xludf.DUMMYFUNCTION("""COMPUTED_VALUE"""),0.0)</f>
        <v>0</v>
      </c>
      <c r="AR94" s="3">
        <f>IFERROR(__xludf.DUMMYFUNCTION("""COMPUTED_VALUE"""),0.0)</f>
        <v>0</v>
      </c>
      <c r="AS94" s="3">
        <f>IFERROR(__xludf.DUMMYFUNCTION("""COMPUTED_VALUE"""),0.0)</f>
        <v>0</v>
      </c>
      <c r="AT94" s="3">
        <f>IFERROR(__xludf.DUMMYFUNCTION("""COMPUTED_VALUE"""),0.0)</f>
        <v>0</v>
      </c>
      <c r="AU94" s="3">
        <f>IFERROR(__xludf.DUMMYFUNCTION("""COMPUTED_VALUE"""),0.0)</f>
        <v>0</v>
      </c>
      <c r="AV94" s="3">
        <f>IFERROR(__xludf.DUMMYFUNCTION("""COMPUTED_VALUE"""),0.0)</f>
        <v>0</v>
      </c>
      <c r="AW94" s="3">
        <f>IFERROR(__xludf.DUMMYFUNCTION("""COMPUTED_VALUE"""),0.0)</f>
        <v>0</v>
      </c>
      <c r="AX94" s="3">
        <f>IFERROR(__xludf.DUMMYFUNCTION("""COMPUTED_VALUE"""),0.0)</f>
        <v>0</v>
      </c>
      <c r="AY94" s="3">
        <f>IFERROR(__xludf.DUMMYFUNCTION("""COMPUTED_VALUE"""),0.0)</f>
        <v>0</v>
      </c>
      <c r="AZ94" s="3">
        <f>IFERROR(__xludf.DUMMYFUNCTION("""COMPUTED_VALUE"""),0.0)</f>
        <v>0</v>
      </c>
      <c r="BA94" s="3">
        <f>IFERROR(__xludf.DUMMYFUNCTION("""COMPUTED_VALUE"""),0.0)</f>
        <v>0</v>
      </c>
      <c r="BB94" s="3">
        <f>IFERROR(__xludf.DUMMYFUNCTION("""COMPUTED_VALUE"""),0.0)</f>
        <v>0</v>
      </c>
      <c r="BC94" s="3">
        <f>IFERROR(__xludf.DUMMYFUNCTION("""COMPUTED_VALUE"""),0.0)</f>
        <v>0</v>
      </c>
      <c r="BD94" s="3">
        <f>IFERROR(__xludf.DUMMYFUNCTION("""COMPUTED_VALUE"""),0.0)</f>
        <v>0</v>
      </c>
      <c r="BE94" s="3">
        <f>IFERROR(__xludf.DUMMYFUNCTION("""COMPUTED_VALUE"""),0.0)</f>
        <v>0</v>
      </c>
      <c r="BF94" s="3">
        <f>IFERROR(__xludf.DUMMYFUNCTION("""COMPUTED_VALUE"""),0.0)</f>
        <v>0</v>
      </c>
      <c r="BG94" s="3">
        <f>IFERROR(__xludf.DUMMYFUNCTION("""COMPUTED_VALUE"""),0.0)</f>
        <v>0</v>
      </c>
      <c r="BH94" s="3">
        <f>IFERROR(__xludf.DUMMYFUNCTION("""COMPUTED_VALUE"""),0.0)</f>
        <v>0</v>
      </c>
      <c r="BI94" s="3">
        <f>IFERROR(__xludf.DUMMYFUNCTION("""COMPUTED_VALUE"""),0.0)</f>
        <v>0</v>
      </c>
      <c r="BJ94" s="3">
        <f>IFERROR(__xludf.DUMMYFUNCTION("""COMPUTED_VALUE"""),0.0)</f>
        <v>0</v>
      </c>
      <c r="BK94" s="3">
        <f>IFERROR(__xludf.DUMMYFUNCTION("""COMPUTED_VALUE"""),0.0)</f>
        <v>0</v>
      </c>
      <c r="BL94" s="3">
        <f>IFERROR(__xludf.DUMMYFUNCTION("""COMPUTED_VALUE"""),0.0)</f>
        <v>0</v>
      </c>
      <c r="BM94" s="3">
        <f>IFERROR(__xludf.DUMMYFUNCTION("""COMPUTED_VALUE"""),0.0)</f>
        <v>0</v>
      </c>
      <c r="BN94" s="3">
        <f>IFERROR(__xludf.DUMMYFUNCTION("""COMPUTED_VALUE"""),0.0)</f>
        <v>0</v>
      </c>
      <c r="BO94" s="3">
        <f>IFERROR(__xludf.DUMMYFUNCTION("""COMPUTED_VALUE"""),0.0)</f>
        <v>0</v>
      </c>
      <c r="BP94" s="3">
        <f>IFERROR(__xludf.DUMMYFUNCTION("""COMPUTED_VALUE"""),0.0)</f>
        <v>0</v>
      </c>
      <c r="BQ94" s="3">
        <f>IFERROR(__xludf.DUMMYFUNCTION("""COMPUTED_VALUE"""),0.0)</f>
        <v>0</v>
      </c>
      <c r="BR94" s="3">
        <f>IFERROR(__xludf.DUMMYFUNCTION("""COMPUTED_VALUE"""),0.0)</f>
        <v>0</v>
      </c>
      <c r="BS94" s="3">
        <f>IFERROR(__xludf.DUMMYFUNCTION("""COMPUTED_VALUE"""),0.0)</f>
        <v>0</v>
      </c>
      <c r="BT94" s="3">
        <f>IFERROR(__xludf.DUMMYFUNCTION("""COMPUTED_VALUE"""),0.0)</f>
        <v>0</v>
      </c>
      <c r="BU94" s="3">
        <f>IFERROR(__xludf.DUMMYFUNCTION("""COMPUTED_VALUE"""),0.0)</f>
        <v>0</v>
      </c>
      <c r="BV94" s="3">
        <f>IFERROR(__xludf.DUMMYFUNCTION("""COMPUTED_VALUE"""),0.0)</f>
        <v>0</v>
      </c>
      <c r="BW94" s="3">
        <f>IFERROR(__xludf.DUMMYFUNCTION("""COMPUTED_VALUE"""),0.0)</f>
        <v>0</v>
      </c>
      <c r="BX94" s="3">
        <f>IFERROR(__xludf.DUMMYFUNCTION("""COMPUTED_VALUE"""),0.0)</f>
        <v>0</v>
      </c>
      <c r="BY94" s="3">
        <f>IFERROR(__xludf.DUMMYFUNCTION("""COMPUTED_VALUE"""),0.0)</f>
        <v>0</v>
      </c>
      <c r="BZ94" s="3">
        <f>IFERROR(__xludf.DUMMYFUNCTION("""COMPUTED_VALUE"""),0.0)</f>
        <v>0</v>
      </c>
      <c r="CA94" s="3">
        <f>IFERROR(__xludf.DUMMYFUNCTION("""COMPUTED_VALUE"""),0.0)</f>
        <v>0</v>
      </c>
      <c r="CB94" s="3">
        <f>IFERROR(__xludf.DUMMYFUNCTION("""COMPUTED_VALUE"""),0.0)</f>
        <v>0</v>
      </c>
    </row>
    <row r="95">
      <c r="A95" s="3" t="str">
        <f>IFERROR(__xludf.DUMMYFUNCTION("""COMPUTED_VALUE"""),"Greenland")</f>
        <v>Greenland</v>
      </c>
      <c r="B95" s="3" t="str">
        <f>IFERROR(__xludf.DUMMYFUNCTION("""COMPUTED_VALUE"""),"Denmark")</f>
        <v>Denmark</v>
      </c>
      <c r="C95" s="3">
        <f>IFERROR(__xludf.DUMMYFUNCTION("""COMPUTED_VALUE"""),71.7069)</f>
        <v>71.7069</v>
      </c>
      <c r="D95" s="3">
        <f>IFERROR(__xludf.DUMMYFUNCTION("""COMPUTED_VALUE"""),-42.6043)</f>
        <v>-42.6043</v>
      </c>
      <c r="E95" s="3">
        <f>IFERROR(__xludf.DUMMYFUNCTION("""COMPUTED_VALUE"""),0.0)</f>
        <v>0</v>
      </c>
      <c r="F95" s="3">
        <f>IFERROR(__xludf.DUMMYFUNCTION("""COMPUTED_VALUE"""),0.0)</f>
        <v>0</v>
      </c>
      <c r="G95" s="3">
        <f>IFERROR(__xludf.DUMMYFUNCTION("""COMPUTED_VALUE"""),0.0)</f>
        <v>0</v>
      </c>
      <c r="H95" s="3">
        <f>IFERROR(__xludf.DUMMYFUNCTION("""COMPUTED_VALUE"""),0.0)</f>
        <v>0</v>
      </c>
      <c r="I95" s="3">
        <f>IFERROR(__xludf.DUMMYFUNCTION("""COMPUTED_VALUE"""),0.0)</f>
        <v>0</v>
      </c>
      <c r="J95" s="3">
        <f>IFERROR(__xludf.DUMMYFUNCTION("""COMPUTED_VALUE"""),0.0)</f>
        <v>0</v>
      </c>
      <c r="K95" s="3">
        <f>IFERROR(__xludf.DUMMYFUNCTION("""COMPUTED_VALUE"""),0.0)</f>
        <v>0</v>
      </c>
      <c r="L95" s="3">
        <f>IFERROR(__xludf.DUMMYFUNCTION("""COMPUTED_VALUE"""),0.0)</f>
        <v>0</v>
      </c>
      <c r="M95" s="3">
        <f>IFERROR(__xludf.DUMMYFUNCTION("""COMPUTED_VALUE"""),0.0)</f>
        <v>0</v>
      </c>
      <c r="N95" s="3">
        <f>IFERROR(__xludf.DUMMYFUNCTION("""COMPUTED_VALUE"""),0.0)</f>
        <v>0</v>
      </c>
      <c r="O95" s="3">
        <f>IFERROR(__xludf.DUMMYFUNCTION("""COMPUTED_VALUE"""),0.0)</f>
        <v>0</v>
      </c>
      <c r="P95" s="3">
        <f>IFERROR(__xludf.DUMMYFUNCTION("""COMPUTED_VALUE"""),0.0)</f>
        <v>0</v>
      </c>
      <c r="Q95" s="3">
        <f>IFERROR(__xludf.DUMMYFUNCTION("""COMPUTED_VALUE"""),0.0)</f>
        <v>0</v>
      </c>
      <c r="R95" s="3">
        <f>IFERROR(__xludf.DUMMYFUNCTION("""COMPUTED_VALUE"""),0.0)</f>
        <v>0</v>
      </c>
      <c r="S95" s="3">
        <f>IFERROR(__xludf.DUMMYFUNCTION("""COMPUTED_VALUE"""),0.0)</f>
        <v>0</v>
      </c>
      <c r="T95" s="3">
        <f>IFERROR(__xludf.DUMMYFUNCTION("""COMPUTED_VALUE"""),0.0)</f>
        <v>0</v>
      </c>
      <c r="U95" s="3">
        <f>IFERROR(__xludf.DUMMYFUNCTION("""COMPUTED_VALUE"""),0.0)</f>
        <v>0</v>
      </c>
      <c r="V95" s="3">
        <f>IFERROR(__xludf.DUMMYFUNCTION("""COMPUTED_VALUE"""),0.0)</f>
        <v>0</v>
      </c>
      <c r="W95" s="3">
        <f>IFERROR(__xludf.DUMMYFUNCTION("""COMPUTED_VALUE"""),0.0)</f>
        <v>0</v>
      </c>
      <c r="X95" s="3">
        <f>IFERROR(__xludf.DUMMYFUNCTION("""COMPUTED_VALUE"""),0.0)</f>
        <v>0</v>
      </c>
      <c r="Y95" s="3">
        <f>IFERROR(__xludf.DUMMYFUNCTION("""COMPUTED_VALUE"""),0.0)</f>
        <v>0</v>
      </c>
      <c r="Z95" s="3">
        <f>IFERROR(__xludf.DUMMYFUNCTION("""COMPUTED_VALUE"""),0.0)</f>
        <v>0</v>
      </c>
      <c r="AA95" s="3">
        <f>IFERROR(__xludf.DUMMYFUNCTION("""COMPUTED_VALUE"""),0.0)</f>
        <v>0</v>
      </c>
      <c r="AB95" s="3">
        <f>IFERROR(__xludf.DUMMYFUNCTION("""COMPUTED_VALUE"""),0.0)</f>
        <v>0</v>
      </c>
      <c r="AC95" s="3">
        <f>IFERROR(__xludf.DUMMYFUNCTION("""COMPUTED_VALUE"""),0.0)</f>
        <v>0</v>
      </c>
      <c r="AD95" s="3">
        <f>IFERROR(__xludf.DUMMYFUNCTION("""COMPUTED_VALUE"""),0.0)</f>
        <v>0</v>
      </c>
      <c r="AE95" s="3">
        <f>IFERROR(__xludf.DUMMYFUNCTION("""COMPUTED_VALUE"""),0.0)</f>
        <v>0</v>
      </c>
      <c r="AF95" s="3">
        <f>IFERROR(__xludf.DUMMYFUNCTION("""COMPUTED_VALUE"""),0.0)</f>
        <v>0</v>
      </c>
      <c r="AG95" s="3">
        <f>IFERROR(__xludf.DUMMYFUNCTION("""COMPUTED_VALUE"""),0.0)</f>
        <v>0</v>
      </c>
      <c r="AH95" s="3">
        <f>IFERROR(__xludf.DUMMYFUNCTION("""COMPUTED_VALUE"""),0.0)</f>
        <v>0</v>
      </c>
      <c r="AI95" s="3">
        <f>IFERROR(__xludf.DUMMYFUNCTION("""COMPUTED_VALUE"""),0.0)</f>
        <v>0</v>
      </c>
      <c r="AJ95" s="3">
        <f>IFERROR(__xludf.DUMMYFUNCTION("""COMPUTED_VALUE"""),0.0)</f>
        <v>0</v>
      </c>
      <c r="AK95" s="3">
        <f>IFERROR(__xludf.DUMMYFUNCTION("""COMPUTED_VALUE"""),0.0)</f>
        <v>0</v>
      </c>
      <c r="AL95" s="3">
        <f>IFERROR(__xludf.DUMMYFUNCTION("""COMPUTED_VALUE"""),0.0)</f>
        <v>0</v>
      </c>
      <c r="AM95" s="3">
        <f>IFERROR(__xludf.DUMMYFUNCTION("""COMPUTED_VALUE"""),0.0)</f>
        <v>0</v>
      </c>
      <c r="AN95" s="3">
        <f>IFERROR(__xludf.DUMMYFUNCTION("""COMPUTED_VALUE"""),0.0)</f>
        <v>0</v>
      </c>
      <c r="AO95" s="3">
        <f>IFERROR(__xludf.DUMMYFUNCTION("""COMPUTED_VALUE"""),0.0)</f>
        <v>0</v>
      </c>
      <c r="AP95" s="3">
        <f>IFERROR(__xludf.DUMMYFUNCTION("""COMPUTED_VALUE"""),0.0)</f>
        <v>0</v>
      </c>
      <c r="AQ95" s="3">
        <f>IFERROR(__xludf.DUMMYFUNCTION("""COMPUTED_VALUE"""),0.0)</f>
        <v>0</v>
      </c>
      <c r="AR95" s="3">
        <f>IFERROR(__xludf.DUMMYFUNCTION("""COMPUTED_VALUE"""),0.0)</f>
        <v>0</v>
      </c>
      <c r="AS95" s="3">
        <f>IFERROR(__xludf.DUMMYFUNCTION("""COMPUTED_VALUE"""),0.0)</f>
        <v>0</v>
      </c>
      <c r="AT95" s="3">
        <f>IFERROR(__xludf.DUMMYFUNCTION("""COMPUTED_VALUE"""),0.0)</f>
        <v>0</v>
      </c>
      <c r="AU95" s="3">
        <f>IFERROR(__xludf.DUMMYFUNCTION("""COMPUTED_VALUE"""),0.0)</f>
        <v>0</v>
      </c>
      <c r="AV95" s="3">
        <f>IFERROR(__xludf.DUMMYFUNCTION("""COMPUTED_VALUE"""),0.0)</f>
        <v>0</v>
      </c>
      <c r="AW95" s="3">
        <f>IFERROR(__xludf.DUMMYFUNCTION("""COMPUTED_VALUE"""),0.0)</f>
        <v>0</v>
      </c>
      <c r="AX95" s="3">
        <f>IFERROR(__xludf.DUMMYFUNCTION("""COMPUTED_VALUE"""),0.0)</f>
        <v>0</v>
      </c>
      <c r="AY95" s="3">
        <f>IFERROR(__xludf.DUMMYFUNCTION("""COMPUTED_VALUE"""),0.0)</f>
        <v>0</v>
      </c>
      <c r="AZ95" s="3">
        <f>IFERROR(__xludf.DUMMYFUNCTION("""COMPUTED_VALUE"""),0.0)</f>
        <v>0</v>
      </c>
      <c r="BA95" s="3">
        <f>IFERROR(__xludf.DUMMYFUNCTION("""COMPUTED_VALUE"""),0.0)</f>
        <v>0</v>
      </c>
      <c r="BB95" s="3">
        <f>IFERROR(__xludf.DUMMYFUNCTION("""COMPUTED_VALUE"""),0.0)</f>
        <v>0</v>
      </c>
      <c r="BC95" s="3">
        <f>IFERROR(__xludf.DUMMYFUNCTION("""COMPUTED_VALUE"""),0.0)</f>
        <v>0</v>
      </c>
      <c r="BD95" s="3">
        <f>IFERROR(__xludf.DUMMYFUNCTION("""COMPUTED_VALUE"""),0.0)</f>
        <v>0</v>
      </c>
      <c r="BE95" s="3">
        <f>IFERROR(__xludf.DUMMYFUNCTION("""COMPUTED_VALUE"""),0.0)</f>
        <v>0</v>
      </c>
      <c r="BF95" s="3">
        <f>IFERROR(__xludf.DUMMYFUNCTION("""COMPUTED_VALUE"""),0.0)</f>
        <v>0</v>
      </c>
      <c r="BG95" s="3">
        <f>IFERROR(__xludf.DUMMYFUNCTION("""COMPUTED_VALUE"""),0.0)</f>
        <v>0</v>
      </c>
      <c r="BH95" s="3">
        <f>IFERROR(__xludf.DUMMYFUNCTION("""COMPUTED_VALUE"""),0.0)</f>
        <v>0</v>
      </c>
      <c r="BI95" s="3">
        <f>IFERROR(__xludf.DUMMYFUNCTION("""COMPUTED_VALUE"""),0.0)</f>
        <v>0</v>
      </c>
      <c r="BJ95" s="3">
        <f>IFERROR(__xludf.DUMMYFUNCTION("""COMPUTED_VALUE"""),0.0)</f>
        <v>0</v>
      </c>
      <c r="BK95" s="3">
        <f>IFERROR(__xludf.DUMMYFUNCTION("""COMPUTED_VALUE"""),0.0)</f>
        <v>0</v>
      </c>
      <c r="BL95" s="3">
        <f>IFERROR(__xludf.DUMMYFUNCTION("""COMPUTED_VALUE"""),0.0)</f>
        <v>0</v>
      </c>
      <c r="BM95" s="3">
        <f>IFERROR(__xludf.DUMMYFUNCTION("""COMPUTED_VALUE"""),0.0)</f>
        <v>0</v>
      </c>
      <c r="BN95" s="3">
        <f>IFERROR(__xludf.DUMMYFUNCTION("""COMPUTED_VALUE"""),0.0)</f>
        <v>0</v>
      </c>
      <c r="BO95" s="3">
        <f>IFERROR(__xludf.DUMMYFUNCTION("""COMPUTED_VALUE"""),0.0)</f>
        <v>0</v>
      </c>
      <c r="BP95" s="3">
        <f>IFERROR(__xludf.DUMMYFUNCTION("""COMPUTED_VALUE"""),0.0)</f>
        <v>0</v>
      </c>
      <c r="BQ95" s="3">
        <f>IFERROR(__xludf.DUMMYFUNCTION("""COMPUTED_VALUE"""),0.0)</f>
        <v>0</v>
      </c>
      <c r="BR95" s="3">
        <f>IFERROR(__xludf.DUMMYFUNCTION("""COMPUTED_VALUE"""),0.0)</f>
        <v>0</v>
      </c>
      <c r="BS95" s="3">
        <f>IFERROR(__xludf.DUMMYFUNCTION("""COMPUTED_VALUE"""),0.0)</f>
        <v>0</v>
      </c>
      <c r="BT95" s="3">
        <f>IFERROR(__xludf.DUMMYFUNCTION("""COMPUTED_VALUE"""),0.0)</f>
        <v>0</v>
      </c>
      <c r="BU95" s="3">
        <f>IFERROR(__xludf.DUMMYFUNCTION("""COMPUTED_VALUE"""),0.0)</f>
        <v>0</v>
      </c>
      <c r="BV95" s="3">
        <f>IFERROR(__xludf.DUMMYFUNCTION("""COMPUTED_VALUE"""),0.0)</f>
        <v>0</v>
      </c>
      <c r="BW95" s="3">
        <f>IFERROR(__xludf.DUMMYFUNCTION("""COMPUTED_VALUE"""),0.0)</f>
        <v>0</v>
      </c>
      <c r="BX95" s="3">
        <f>IFERROR(__xludf.DUMMYFUNCTION("""COMPUTED_VALUE"""),0.0)</f>
        <v>0</v>
      </c>
      <c r="BY95" s="3">
        <f>IFERROR(__xludf.DUMMYFUNCTION("""COMPUTED_VALUE"""),0.0)</f>
        <v>0</v>
      </c>
      <c r="BZ95" s="3">
        <f>IFERROR(__xludf.DUMMYFUNCTION("""COMPUTED_VALUE"""),0.0)</f>
        <v>0</v>
      </c>
      <c r="CA95" s="3">
        <f>IFERROR(__xludf.DUMMYFUNCTION("""COMPUTED_VALUE"""),0.0)</f>
        <v>0</v>
      </c>
      <c r="CB95" s="3">
        <f>IFERROR(__xludf.DUMMYFUNCTION("""COMPUTED_VALUE"""),0.0)</f>
        <v>0</v>
      </c>
    </row>
    <row r="96">
      <c r="A96" s="3" t="str">
        <f>IFERROR(__xludf.DUMMYFUNCTION("""COMPUTED_VALUE"""),"")</f>
        <v/>
      </c>
      <c r="B96" s="3" t="str">
        <f>IFERROR(__xludf.DUMMYFUNCTION("""COMPUTED_VALUE"""),"Denmark")</f>
        <v>Denmark</v>
      </c>
      <c r="C96" s="3">
        <f>IFERROR(__xludf.DUMMYFUNCTION("""COMPUTED_VALUE"""),56.2639)</f>
        <v>56.2639</v>
      </c>
      <c r="D96" s="3">
        <f>IFERROR(__xludf.DUMMYFUNCTION("""COMPUTED_VALUE"""),9.5018)</f>
        <v>9.5018</v>
      </c>
      <c r="E96" s="3">
        <f>IFERROR(__xludf.DUMMYFUNCTION("""COMPUTED_VALUE"""),0.0)</f>
        <v>0</v>
      </c>
      <c r="F96" s="3">
        <f>IFERROR(__xludf.DUMMYFUNCTION("""COMPUTED_VALUE"""),0.0)</f>
        <v>0</v>
      </c>
      <c r="G96" s="3">
        <f>IFERROR(__xludf.DUMMYFUNCTION("""COMPUTED_VALUE"""),0.0)</f>
        <v>0</v>
      </c>
      <c r="H96" s="3">
        <f>IFERROR(__xludf.DUMMYFUNCTION("""COMPUTED_VALUE"""),0.0)</f>
        <v>0</v>
      </c>
      <c r="I96" s="3">
        <f>IFERROR(__xludf.DUMMYFUNCTION("""COMPUTED_VALUE"""),0.0)</f>
        <v>0</v>
      </c>
      <c r="J96" s="3">
        <f>IFERROR(__xludf.DUMMYFUNCTION("""COMPUTED_VALUE"""),0.0)</f>
        <v>0</v>
      </c>
      <c r="K96" s="3">
        <f>IFERROR(__xludf.DUMMYFUNCTION("""COMPUTED_VALUE"""),0.0)</f>
        <v>0</v>
      </c>
      <c r="L96" s="3">
        <f>IFERROR(__xludf.DUMMYFUNCTION("""COMPUTED_VALUE"""),0.0)</f>
        <v>0</v>
      </c>
      <c r="M96" s="3">
        <f>IFERROR(__xludf.DUMMYFUNCTION("""COMPUTED_VALUE"""),0.0)</f>
        <v>0</v>
      </c>
      <c r="N96" s="3">
        <f>IFERROR(__xludf.DUMMYFUNCTION("""COMPUTED_VALUE"""),0.0)</f>
        <v>0</v>
      </c>
      <c r="O96" s="3">
        <f>IFERROR(__xludf.DUMMYFUNCTION("""COMPUTED_VALUE"""),0.0)</f>
        <v>0</v>
      </c>
      <c r="P96" s="3">
        <f>IFERROR(__xludf.DUMMYFUNCTION("""COMPUTED_VALUE"""),0.0)</f>
        <v>0</v>
      </c>
      <c r="Q96" s="3">
        <f>IFERROR(__xludf.DUMMYFUNCTION("""COMPUTED_VALUE"""),0.0)</f>
        <v>0</v>
      </c>
      <c r="R96" s="3">
        <f>IFERROR(__xludf.DUMMYFUNCTION("""COMPUTED_VALUE"""),0.0)</f>
        <v>0</v>
      </c>
      <c r="S96" s="3">
        <f>IFERROR(__xludf.DUMMYFUNCTION("""COMPUTED_VALUE"""),0.0)</f>
        <v>0</v>
      </c>
      <c r="T96" s="3">
        <f>IFERROR(__xludf.DUMMYFUNCTION("""COMPUTED_VALUE"""),0.0)</f>
        <v>0</v>
      </c>
      <c r="U96" s="3">
        <f>IFERROR(__xludf.DUMMYFUNCTION("""COMPUTED_VALUE"""),0.0)</f>
        <v>0</v>
      </c>
      <c r="V96" s="3">
        <f>IFERROR(__xludf.DUMMYFUNCTION("""COMPUTED_VALUE"""),0.0)</f>
        <v>0</v>
      </c>
      <c r="W96" s="3">
        <f>IFERROR(__xludf.DUMMYFUNCTION("""COMPUTED_VALUE"""),0.0)</f>
        <v>0</v>
      </c>
      <c r="X96" s="3">
        <f>IFERROR(__xludf.DUMMYFUNCTION("""COMPUTED_VALUE"""),0.0)</f>
        <v>0</v>
      </c>
      <c r="Y96" s="3">
        <f>IFERROR(__xludf.DUMMYFUNCTION("""COMPUTED_VALUE"""),0.0)</f>
        <v>0</v>
      </c>
      <c r="Z96" s="3">
        <f>IFERROR(__xludf.DUMMYFUNCTION("""COMPUTED_VALUE"""),0.0)</f>
        <v>0</v>
      </c>
      <c r="AA96" s="3">
        <f>IFERROR(__xludf.DUMMYFUNCTION("""COMPUTED_VALUE"""),0.0)</f>
        <v>0</v>
      </c>
      <c r="AB96" s="3">
        <f>IFERROR(__xludf.DUMMYFUNCTION("""COMPUTED_VALUE"""),0.0)</f>
        <v>0</v>
      </c>
      <c r="AC96" s="3">
        <f>IFERROR(__xludf.DUMMYFUNCTION("""COMPUTED_VALUE"""),0.0)</f>
        <v>0</v>
      </c>
      <c r="AD96" s="3">
        <f>IFERROR(__xludf.DUMMYFUNCTION("""COMPUTED_VALUE"""),0.0)</f>
        <v>0</v>
      </c>
      <c r="AE96" s="3">
        <f>IFERROR(__xludf.DUMMYFUNCTION("""COMPUTED_VALUE"""),0.0)</f>
        <v>0</v>
      </c>
      <c r="AF96" s="3">
        <f>IFERROR(__xludf.DUMMYFUNCTION("""COMPUTED_VALUE"""),0.0)</f>
        <v>0</v>
      </c>
      <c r="AG96" s="3">
        <f>IFERROR(__xludf.DUMMYFUNCTION("""COMPUTED_VALUE"""),0.0)</f>
        <v>0</v>
      </c>
      <c r="AH96" s="3">
        <f>IFERROR(__xludf.DUMMYFUNCTION("""COMPUTED_VALUE"""),0.0)</f>
        <v>0</v>
      </c>
      <c r="AI96" s="3">
        <f>IFERROR(__xludf.DUMMYFUNCTION("""COMPUTED_VALUE"""),0.0)</f>
        <v>0</v>
      </c>
      <c r="AJ96" s="3">
        <f>IFERROR(__xludf.DUMMYFUNCTION("""COMPUTED_VALUE"""),0.0)</f>
        <v>0</v>
      </c>
      <c r="AK96" s="3">
        <f>IFERROR(__xludf.DUMMYFUNCTION("""COMPUTED_VALUE"""),0.0)</f>
        <v>0</v>
      </c>
      <c r="AL96" s="3">
        <f>IFERROR(__xludf.DUMMYFUNCTION("""COMPUTED_VALUE"""),0.0)</f>
        <v>0</v>
      </c>
      <c r="AM96" s="3">
        <f>IFERROR(__xludf.DUMMYFUNCTION("""COMPUTED_VALUE"""),0.0)</f>
        <v>0</v>
      </c>
      <c r="AN96" s="3">
        <f>IFERROR(__xludf.DUMMYFUNCTION("""COMPUTED_VALUE"""),0.0)</f>
        <v>0</v>
      </c>
      <c r="AO96" s="3">
        <f>IFERROR(__xludf.DUMMYFUNCTION("""COMPUTED_VALUE"""),0.0)</f>
        <v>0</v>
      </c>
      <c r="AP96" s="3">
        <f>IFERROR(__xludf.DUMMYFUNCTION("""COMPUTED_VALUE"""),0.0)</f>
        <v>0</v>
      </c>
      <c r="AQ96" s="3">
        <f>IFERROR(__xludf.DUMMYFUNCTION("""COMPUTED_VALUE"""),0.0)</f>
        <v>0</v>
      </c>
      <c r="AR96" s="3">
        <f>IFERROR(__xludf.DUMMYFUNCTION("""COMPUTED_VALUE"""),0.0)</f>
        <v>0</v>
      </c>
      <c r="AS96" s="3">
        <f>IFERROR(__xludf.DUMMYFUNCTION("""COMPUTED_VALUE"""),0.0)</f>
        <v>0</v>
      </c>
      <c r="AT96" s="3">
        <f>IFERROR(__xludf.DUMMYFUNCTION("""COMPUTED_VALUE"""),0.0)</f>
        <v>0</v>
      </c>
      <c r="AU96" s="3">
        <f>IFERROR(__xludf.DUMMYFUNCTION("""COMPUTED_VALUE"""),0.0)</f>
        <v>0</v>
      </c>
      <c r="AV96" s="3">
        <f>IFERROR(__xludf.DUMMYFUNCTION("""COMPUTED_VALUE"""),0.0)</f>
        <v>0</v>
      </c>
      <c r="AW96" s="3">
        <f>IFERROR(__xludf.DUMMYFUNCTION("""COMPUTED_VALUE"""),0.0)</f>
        <v>0</v>
      </c>
      <c r="AX96" s="3">
        <f>IFERROR(__xludf.DUMMYFUNCTION("""COMPUTED_VALUE"""),0.0)</f>
        <v>0</v>
      </c>
      <c r="AY96" s="3">
        <f>IFERROR(__xludf.DUMMYFUNCTION("""COMPUTED_VALUE"""),0.0)</f>
        <v>0</v>
      </c>
      <c r="AZ96" s="3">
        <f>IFERROR(__xludf.DUMMYFUNCTION("""COMPUTED_VALUE"""),0.0)</f>
        <v>0</v>
      </c>
      <c r="BA96" s="3">
        <f>IFERROR(__xludf.DUMMYFUNCTION("""COMPUTED_VALUE"""),0.0)</f>
        <v>0</v>
      </c>
      <c r="BB96" s="3">
        <f>IFERROR(__xludf.DUMMYFUNCTION("""COMPUTED_VALUE"""),0.0)</f>
        <v>0</v>
      </c>
      <c r="BC96" s="3">
        <f>IFERROR(__xludf.DUMMYFUNCTION("""COMPUTED_VALUE"""),0.0)</f>
        <v>0</v>
      </c>
      <c r="BD96" s="3">
        <f>IFERROR(__xludf.DUMMYFUNCTION("""COMPUTED_VALUE"""),0.0)</f>
        <v>0</v>
      </c>
      <c r="BE96" s="3">
        <f>IFERROR(__xludf.DUMMYFUNCTION("""COMPUTED_VALUE"""),1.0)</f>
        <v>1</v>
      </c>
      <c r="BF96" s="3">
        <f>IFERROR(__xludf.DUMMYFUNCTION("""COMPUTED_VALUE"""),2.0)</f>
        <v>2</v>
      </c>
      <c r="BG96" s="3">
        <f>IFERROR(__xludf.DUMMYFUNCTION("""COMPUTED_VALUE"""),3.0)</f>
        <v>3</v>
      </c>
      <c r="BH96" s="3">
        <f>IFERROR(__xludf.DUMMYFUNCTION("""COMPUTED_VALUE"""),4.0)</f>
        <v>4</v>
      </c>
      <c r="BI96" s="3">
        <f>IFERROR(__xludf.DUMMYFUNCTION("""COMPUTED_VALUE"""),4.0)</f>
        <v>4</v>
      </c>
      <c r="BJ96" s="3">
        <f>IFERROR(__xludf.DUMMYFUNCTION("""COMPUTED_VALUE"""),6.0)</f>
        <v>6</v>
      </c>
      <c r="BK96" s="3">
        <f>IFERROR(__xludf.DUMMYFUNCTION("""COMPUTED_VALUE"""),9.0)</f>
        <v>9</v>
      </c>
      <c r="BL96" s="3">
        <f>IFERROR(__xludf.DUMMYFUNCTION("""COMPUTED_VALUE"""),13.0)</f>
        <v>13</v>
      </c>
      <c r="BM96" s="3">
        <f>IFERROR(__xludf.DUMMYFUNCTION("""COMPUTED_VALUE"""),13.0)</f>
        <v>13</v>
      </c>
      <c r="BN96" s="3">
        <f>IFERROR(__xludf.DUMMYFUNCTION("""COMPUTED_VALUE"""),24.0)</f>
        <v>24</v>
      </c>
      <c r="BO96" s="3">
        <f>IFERROR(__xludf.DUMMYFUNCTION("""COMPUTED_VALUE"""),32.0)</f>
        <v>32</v>
      </c>
      <c r="BP96" s="3">
        <f>IFERROR(__xludf.DUMMYFUNCTION("""COMPUTED_VALUE"""),34.0)</f>
        <v>34</v>
      </c>
      <c r="BQ96" s="3">
        <f>IFERROR(__xludf.DUMMYFUNCTION("""COMPUTED_VALUE"""),41.0)</f>
        <v>41</v>
      </c>
      <c r="BR96" s="3">
        <f>IFERROR(__xludf.DUMMYFUNCTION("""COMPUTED_VALUE"""),52.0)</f>
        <v>52</v>
      </c>
      <c r="BS96" s="3">
        <f>IFERROR(__xludf.DUMMYFUNCTION("""COMPUTED_VALUE"""),65.0)</f>
        <v>65</v>
      </c>
      <c r="BT96" s="3">
        <f>IFERROR(__xludf.DUMMYFUNCTION("""COMPUTED_VALUE"""),72.0)</f>
        <v>72</v>
      </c>
      <c r="BU96" s="3">
        <f>IFERROR(__xludf.DUMMYFUNCTION("""COMPUTED_VALUE"""),77.0)</f>
        <v>77</v>
      </c>
      <c r="BV96" s="3">
        <f>IFERROR(__xludf.DUMMYFUNCTION("""COMPUTED_VALUE"""),90.0)</f>
        <v>90</v>
      </c>
      <c r="BW96" s="3">
        <f>IFERROR(__xludf.DUMMYFUNCTION("""COMPUTED_VALUE"""),104.0)</f>
        <v>104</v>
      </c>
      <c r="BX96" s="3">
        <f>IFERROR(__xludf.DUMMYFUNCTION("""COMPUTED_VALUE"""),123.0)</f>
        <v>123</v>
      </c>
      <c r="BY96" s="3">
        <f>IFERROR(__xludf.DUMMYFUNCTION("""COMPUTED_VALUE"""),139.0)</f>
        <v>139</v>
      </c>
      <c r="BZ96" s="3">
        <f>IFERROR(__xludf.DUMMYFUNCTION("""COMPUTED_VALUE"""),161.0)</f>
        <v>161</v>
      </c>
      <c r="CA96" s="3">
        <f>IFERROR(__xludf.DUMMYFUNCTION("""COMPUTED_VALUE"""),179.0)</f>
        <v>179</v>
      </c>
      <c r="CB96" s="3">
        <f>IFERROR(__xludf.DUMMYFUNCTION("""COMPUTED_VALUE"""),187.0)</f>
        <v>187</v>
      </c>
    </row>
    <row r="97">
      <c r="A97" s="3" t="str">
        <f>IFERROR(__xludf.DUMMYFUNCTION("""COMPUTED_VALUE"""),"")</f>
        <v/>
      </c>
      <c r="B97" s="3" t="str">
        <f>IFERROR(__xludf.DUMMYFUNCTION("""COMPUTED_VALUE"""),"Djibouti")</f>
        <v>Djibouti</v>
      </c>
      <c r="C97" s="3">
        <f>IFERROR(__xludf.DUMMYFUNCTION("""COMPUTED_VALUE"""),11.8251)</f>
        <v>11.8251</v>
      </c>
      <c r="D97" s="3">
        <f>IFERROR(__xludf.DUMMYFUNCTION("""COMPUTED_VALUE"""),42.5903)</f>
        <v>42.5903</v>
      </c>
      <c r="E97" s="3">
        <f>IFERROR(__xludf.DUMMYFUNCTION("""COMPUTED_VALUE"""),0.0)</f>
        <v>0</v>
      </c>
      <c r="F97" s="3">
        <f>IFERROR(__xludf.DUMMYFUNCTION("""COMPUTED_VALUE"""),0.0)</f>
        <v>0</v>
      </c>
      <c r="G97" s="3">
        <f>IFERROR(__xludf.DUMMYFUNCTION("""COMPUTED_VALUE"""),0.0)</f>
        <v>0</v>
      </c>
      <c r="H97" s="3">
        <f>IFERROR(__xludf.DUMMYFUNCTION("""COMPUTED_VALUE"""),0.0)</f>
        <v>0</v>
      </c>
      <c r="I97" s="3">
        <f>IFERROR(__xludf.DUMMYFUNCTION("""COMPUTED_VALUE"""),0.0)</f>
        <v>0</v>
      </c>
      <c r="J97" s="3">
        <f>IFERROR(__xludf.DUMMYFUNCTION("""COMPUTED_VALUE"""),0.0)</f>
        <v>0</v>
      </c>
      <c r="K97" s="3">
        <f>IFERROR(__xludf.DUMMYFUNCTION("""COMPUTED_VALUE"""),0.0)</f>
        <v>0</v>
      </c>
      <c r="L97" s="3">
        <f>IFERROR(__xludf.DUMMYFUNCTION("""COMPUTED_VALUE"""),0.0)</f>
        <v>0</v>
      </c>
      <c r="M97" s="3">
        <f>IFERROR(__xludf.DUMMYFUNCTION("""COMPUTED_VALUE"""),0.0)</f>
        <v>0</v>
      </c>
      <c r="N97" s="3">
        <f>IFERROR(__xludf.DUMMYFUNCTION("""COMPUTED_VALUE"""),0.0)</f>
        <v>0</v>
      </c>
      <c r="O97" s="3">
        <f>IFERROR(__xludf.DUMMYFUNCTION("""COMPUTED_VALUE"""),0.0)</f>
        <v>0</v>
      </c>
      <c r="P97" s="3">
        <f>IFERROR(__xludf.DUMMYFUNCTION("""COMPUTED_VALUE"""),0.0)</f>
        <v>0</v>
      </c>
      <c r="Q97" s="3">
        <f>IFERROR(__xludf.DUMMYFUNCTION("""COMPUTED_VALUE"""),0.0)</f>
        <v>0</v>
      </c>
      <c r="R97" s="3">
        <f>IFERROR(__xludf.DUMMYFUNCTION("""COMPUTED_VALUE"""),0.0)</f>
        <v>0</v>
      </c>
      <c r="S97" s="3">
        <f>IFERROR(__xludf.DUMMYFUNCTION("""COMPUTED_VALUE"""),0.0)</f>
        <v>0</v>
      </c>
      <c r="T97" s="3">
        <f>IFERROR(__xludf.DUMMYFUNCTION("""COMPUTED_VALUE"""),0.0)</f>
        <v>0</v>
      </c>
      <c r="U97" s="3">
        <f>IFERROR(__xludf.DUMMYFUNCTION("""COMPUTED_VALUE"""),0.0)</f>
        <v>0</v>
      </c>
      <c r="V97" s="3">
        <f>IFERROR(__xludf.DUMMYFUNCTION("""COMPUTED_VALUE"""),0.0)</f>
        <v>0</v>
      </c>
      <c r="W97" s="3">
        <f>IFERROR(__xludf.DUMMYFUNCTION("""COMPUTED_VALUE"""),0.0)</f>
        <v>0</v>
      </c>
      <c r="X97" s="3">
        <f>IFERROR(__xludf.DUMMYFUNCTION("""COMPUTED_VALUE"""),0.0)</f>
        <v>0</v>
      </c>
      <c r="Y97" s="3">
        <f>IFERROR(__xludf.DUMMYFUNCTION("""COMPUTED_VALUE"""),0.0)</f>
        <v>0</v>
      </c>
      <c r="Z97" s="3">
        <f>IFERROR(__xludf.DUMMYFUNCTION("""COMPUTED_VALUE"""),0.0)</f>
        <v>0</v>
      </c>
      <c r="AA97" s="3">
        <f>IFERROR(__xludf.DUMMYFUNCTION("""COMPUTED_VALUE"""),0.0)</f>
        <v>0</v>
      </c>
      <c r="AB97" s="3">
        <f>IFERROR(__xludf.DUMMYFUNCTION("""COMPUTED_VALUE"""),0.0)</f>
        <v>0</v>
      </c>
      <c r="AC97" s="3">
        <f>IFERROR(__xludf.DUMMYFUNCTION("""COMPUTED_VALUE"""),0.0)</f>
        <v>0</v>
      </c>
      <c r="AD97" s="3">
        <f>IFERROR(__xludf.DUMMYFUNCTION("""COMPUTED_VALUE"""),0.0)</f>
        <v>0</v>
      </c>
      <c r="AE97" s="3">
        <f>IFERROR(__xludf.DUMMYFUNCTION("""COMPUTED_VALUE"""),0.0)</f>
        <v>0</v>
      </c>
      <c r="AF97" s="3">
        <f>IFERROR(__xludf.DUMMYFUNCTION("""COMPUTED_VALUE"""),0.0)</f>
        <v>0</v>
      </c>
      <c r="AG97" s="3">
        <f>IFERROR(__xludf.DUMMYFUNCTION("""COMPUTED_VALUE"""),0.0)</f>
        <v>0</v>
      </c>
      <c r="AH97" s="3">
        <f>IFERROR(__xludf.DUMMYFUNCTION("""COMPUTED_VALUE"""),0.0)</f>
        <v>0</v>
      </c>
      <c r="AI97" s="3">
        <f>IFERROR(__xludf.DUMMYFUNCTION("""COMPUTED_VALUE"""),0.0)</f>
        <v>0</v>
      </c>
      <c r="AJ97" s="3">
        <f>IFERROR(__xludf.DUMMYFUNCTION("""COMPUTED_VALUE"""),0.0)</f>
        <v>0</v>
      </c>
      <c r="AK97" s="3">
        <f>IFERROR(__xludf.DUMMYFUNCTION("""COMPUTED_VALUE"""),0.0)</f>
        <v>0</v>
      </c>
      <c r="AL97" s="3">
        <f>IFERROR(__xludf.DUMMYFUNCTION("""COMPUTED_VALUE"""),0.0)</f>
        <v>0</v>
      </c>
      <c r="AM97" s="3">
        <f>IFERROR(__xludf.DUMMYFUNCTION("""COMPUTED_VALUE"""),0.0)</f>
        <v>0</v>
      </c>
      <c r="AN97" s="3">
        <f>IFERROR(__xludf.DUMMYFUNCTION("""COMPUTED_VALUE"""),0.0)</f>
        <v>0</v>
      </c>
      <c r="AO97" s="3">
        <f>IFERROR(__xludf.DUMMYFUNCTION("""COMPUTED_VALUE"""),0.0)</f>
        <v>0</v>
      </c>
      <c r="AP97" s="3">
        <f>IFERROR(__xludf.DUMMYFUNCTION("""COMPUTED_VALUE"""),0.0)</f>
        <v>0</v>
      </c>
      <c r="AQ97" s="3">
        <f>IFERROR(__xludf.DUMMYFUNCTION("""COMPUTED_VALUE"""),0.0)</f>
        <v>0</v>
      </c>
      <c r="AR97" s="3">
        <f>IFERROR(__xludf.DUMMYFUNCTION("""COMPUTED_VALUE"""),0.0)</f>
        <v>0</v>
      </c>
      <c r="AS97" s="3">
        <f>IFERROR(__xludf.DUMMYFUNCTION("""COMPUTED_VALUE"""),0.0)</f>
        <v>0</v>
      </c>
      <c r="AT97" s="3">
        <f>IFERROR(__xludf.DUMMYFUNCTION("""COMPUTED_VALUE"""),0.0)</f>
        <v>0</v>
      </c>
      <c r="AU97" s="3">
        <f>IFERROR(__xludf.DUMMYFUNCTION("""COMPUTED_VALUE"""),0.0)</f>
        <v>0</v>
      </c>
      <c r="AV97" s="3">
        <f>IFERROR(__xludf.DUMMYFUNCTION("""COMPUTED_VALUE"""),0.0)</f>
        <v>0</v>
      </c>
      <c r="AW97" s="3">
        <f>IFERROR(__xludf.DUMMYFUNCTION("""COMPUTED_VALUE"""),0.0)</f>
        <v>0</v>
      </c>
      <c r="AX97" s="3">
        <f>IFERROR(__xludf.DUMMYFUNCTION("""COMPUTED_VALUE"""),0.0)</f>
        <v>0</v>
      </c>
      <c r="AY97" s="3">
        <f>IFERROR(__xludf.DUMMYFUNCTION("""COMPUTED_VALUE"""),0.0)</f>
        <v>0</v>
      </c>
      <c r="AZ97" s="3">
        <f>IFERROR(__xludf.DUMMYFUNCTION("""COMPUTED_VALUE"""),0.0)</f>
        <v>0</v>
      </c>
      <c r="BA97" s="3">
        <f>IFERROR(__xludf.DUMMYFUNCTION("""COMPUTED_VALUE"""),0.0)</f>
        <v>0</v>
      </c>
      <c r="BB97" s="3">
        <f>IFERROR(__xludf.DUMMYFUNCTION("""COMPUTED_VALUE"""),0.0)</f>
        <v>0</v>
      </c>
      <c r="BC97" s="3">
        <f>IFERROR(__xludf.DUMMYFUNCTION("""COMPUTED_VALUE"""),0.0)</f>
        <v>0</v>
      </c>
      <c r="BD97" s="3">
        <f>IFERROR(__xludf.DUMMYFUNCTION("""COMPUTED_VALUE"""),0.0)</f>
        <v>0</v>
      </c>
      <c r="BE97" s="3">
        <f>IFERROR(__xludf.DUMMYFUNCTION("""COMPUTED_VALUE"""),0.0)</f>
        <v>0</v>
      </c>
      <c r="BF97" s="3">
        <f>IFERROR(__xludf.DUMMYFUNCTION("""COMPUTED_VALUE"""),0.0)</f>
        <v>0</v>
      </c>
      <c r="BG97" s="3">
        <f>IFERROR(__xludf.DUMMYFUNCTION("""COMPUTED_VALUE"""),0.0)</f>
        <v>0</v>
      </c>
      <c r="BH97" s="3">
        <f>IFERROR(__xludf.DUMMYFUNCTION("""COMPUTED_VALUE"""),0.0)</f>
        <v>0</v>
      </c>
      <c r="BI97" s="3">
        <f>IFERROR(__xludf.DUMMYFUNCTION("""COMPUTED_VALUE"""),0.0)</f>
        <v>0</v>
      </c>
      <c r="BJ97" s="3">
        <f>IFERROR(__xludf.DUMMYFUNCTION("""COMPUTED_VALUE"""),0.0)</f>
        <v>0</v>
      </c>
      <c r="BK97" s="3">
        <f>IFERROR(__xludf.DUMMYFUNCTION("""COMPUTED_VALUE"""),0.0)</f>
        <v>0</v>
      </c>
      <c r="BL97" s="3">
        <f>IFERROR(__xludf.DUMMYFUNCTION("""COMPUTED_VALUE"""),0.0)</f>
        <v>0</v>
      </c>
      <c r="BM97" s="3">
        <f>IFERROR(__xludf.DUMMYFUNCTION("""COMPUTED_VALUE"""),0.0)</f>
        <v>0</v>
      </c>
      <c r="BN97" s="3">
        <f>IFERROR(__xludf.DUMMYFUNCTION("""COMPUTED_VALUE"""),0.0)</f>
        <v>0</v>
      </c>
      <c r="BO97" s="3">
        <f>IFERROR(__xludf.DUMMYFUNCTION("""COMPUTED_VALUE"""),0.0)</f>
        <v>0</v>
      </c>
      <c r="BP97" s="3">
        <f>IFERROR(__xludf.DUMMYFUNCTION("""COMPUTED_VALUE"""),0.0)</f>
        <v>0</v>
      </c>
      <c r="BQ97" s="3">
        <f>IFERROR(__xludf.DUMMYFUNCTION("""COMPUTED_VALUE"""),0.0)</f>
        <v>0</v>
      </c>
      <c r="BR97" s="3">
        <f>IFERROR(__xludf.DUMMYFUNCTION("""COMPUTED_VALUE"""),0.0)</f>
        <v>0</v>
      </c>
      <c r="BS97" s="3">
        <f>IFERROR(__xludf.DUMMYFUNCTION("""COMPUTED_VALUE"""),0.0)</f>
        <v>0</v>
      </c>
      <c r="BT97" s="3">
        <f>IFERROR(__xludf.DUMMYFUNCTION("""COMPUTED_VALUE"""),0.0)</f>
        <v>0</v>
      </c>
      <c r="BU97" s="3">
        <f>IFERROR(__xludf.DUMMYFUNCTION("""COMPUTED_VALUE"""),0.0)</f>
        <v>0</v>
      </c>
      <c r="BV97" s="3">
        <f>IFERROR(__xludf.DUMMYFUNCTION("""COMPUTED_VALUE"""),0.0)</f>
        <v>0</v>
      </c>
      <c r="BW97" s="3">
        <f>IFERROR(__xludf.DUMMYFUNCTION("""COMPUTED_VALUE"""),0.0)</f>
        <v>0</v>
      </c>
      <c r="BX97" s="3">
        <f>IFERROR(__xludf.DUMMYFUNCTION("""COMPUTED_VALUE"""),0.0)</f>
        <v>0</v>
      </c>
      <c r="BY97" s="3">
        <f>IFERROR(__xludf.DUMMYFUNCTION("""COMPUTED_VALUE"""),0.0)</f>
        <v>0</v>
      </c>
      <c r="BZ97" s="3">
        <f>IFERROR(__xludf.DUMMYFUNCTION("""COMPUTED_VALUE"""),0.0)</f>
        <v>0</v>
      </c>
      <c r="CA97" s="3">
        <f>IFERROR(__xludf.DUMMYFUNCTION("""COMPUTED_VALUE"""),0.0)</f>
        <v>0</v>
      </c>
      <c r="CB97" s="3">
        <f>IFERROR(__xludf.DUMMYFUNCTION("""COMPUTED_VALUE"""),0.0)</f>
        <v>0</v>
      </c>
    </row>
    <row r="98">
      <c r="A98" s="3" t="str">
        <f>IFERROR(__xludf.DUMMYFUNCTION("""COMPUTED_VALUE"""),"")</f>
        <v/>
      </c>
      <c r="B98" s="3" t="str">
        <f>IFERROR(__xludf.DUMMYFUNCTION("""COMPUTED_VALUE"""),"Dominican Republic")</f>
        <v>Dominican Republic</v>
      </c>
      <c r="C98" s="3">
        <f>IFERROR(__xludf.DUMMYFUNCTION("""COMPUTED_VALUE"""),18.7357)</f>
        <v>18.7357</v>
      </c>
      <c r="D98" s="3">
        <f>IFERROR(__xludf.DUMMYFUNCTION("""COMPUTED_VALUE"""),-70.1627)</f>
        <v>-70.1627</v>
      </c>
      <c r="E98" s="3">
        <f>IFERROR(__xludf.DUMMYFUNCTION("""COMPUTED_VALUE"""),0.0)</f>
        <v>0</v>
      </c>
      <c r="F98" s="3">
        <f>IFERROR(__xludf.DUMMYFUNCTION("""COMPUTED_VALUE"""),0.0)</f>
        <v>0</v>
      </c>
      <c r="G98" s="3">
        <f>IFERROR(__xludf.DUMMYFUNCTION("""COMPUTED_VALUE"""),0.0)</f>
        <v>0</v>
      </c>
      <c r="H98" s="3">
        <f>IFERROR(__xludf.DUMMYFUNCTION("""COMPUTED_VALUE"""),0.0)</f>
        <v>0</v>
      </c>
      <c r="I98" s="3">
        <f>IFERROR(__xludf.DUMMYFUNCTION("""COMPUTED_VALUE"""),0.0)</f>
        <v>0</v>
      </c>
      <c r="J98" s="3">
        <f>IFERROR(__xludf.DUMMYFUNCTION("""COMPUTED_VALUE"""),0.0)</f>
        <v>0</v>
      </c>
      <c r="K98" s="3">
        <f>IFERROR(__xludf.DUMMYFUNCTION("""COMPUTED_VALUE"""),0.0)</f>
        <v>0</v>
      </c>
      <c r="L98" s="3">
        <f>IFERROR(__xludf.DUMMYFUNCTION("""COMPUTED_VALUE"""),0.0)</f>
        <v>0</v>
      </c>
      <c r="M98" s="3">
        <f>IFERROR(__xludf.DUMMYFUNCTION("""COMPUTED_VALUE"""),0.0)</f>
        <v>0</v>
      </c>
      <c r="N98" s="3">
        <f>IFERROR(__xludf.DUMMYFUNCTION("""COMPUTED_VALUE"""),0.0)</f>
        <v>0</v>
      </c>
      <c r="O98" s="3">
        <f>IFERROR(__xludf.DUMMYFUNCTION("""COMPUTED_VALUE"""),0.0)</f>
        <v>0</v>
      </c>
      <c r="P98" s="3">
        <f>IFERROR(__xludf.DUMMYFUNCTION("""COMPUTED_VALUE"""),0.0)</f>
        <v>0</v>
      </c>
      <c r="Q98" s="3">
        <f>IFERROR(__xludf.DUMMYFUNCTION("""COMPUTED_VALUE"""),0.0)</f>
        <v>0</v>
      </c>
      <c r="R98" s="3">
        <f>IFERROR(__xludf.DUMMYFUNCTION("""COMPUTED_VALUE"""),0.0)</f>
        <v>0</v>
      </c>
      <c r="S98" s="3">
        <f>IFERROR(__xludf.DUMMYFUNCTION("""COMPUTED_VALUE"""),0.0)</f>
        <v>0</v>
      </c>
      <c r="T98" s="3">
        <f>IFERROR(__xludf.DUMMYFUNCTION("""COMPUTED_VALUE"""),0.0)</f>
        <v>0</v>
      </c>
      <c r="U98" s="3">
        <f>IFERROR(__xludf.DUMMYFUNCTION("""COMPUTED_VALUE"""),0.0)</f>
        <v>0</v>
      </c>
      <c r="V98" s="3">
        <f>IFERROR(__xludf.DUMMYFUNCTION("""COMPUTED_VALUE"""),0.0)</f>
        <v>0</v>
      </c>
      <c r="W98" s="3">
        <f>IFERROR(__xludf.DUMMYFUNCTION("""COMPUTED_VALUE"""),0.0)</f>
        <v>0</v>
      </c>
      <c r="X98" s="3">
        <f>IFERROR(__xludf.DUMMYFUNCTION("""COMPUTED_VALUE"""),0.0)</f>
        <v>0</v>
      </c>
      <c r="Y98" s="3">
        <f>IFERROR(__xludf.DUMMYFUNCTION("""COMPUTED_VALUE"""),0.0)</f>
        <v>0</v>
      </c>
      <c r="Z98" s="3">
        <f>IFERROR(__xludf.DUMMYFUNCTION("""COMPUTED_VALUE"""),0.0)</f>
        <v>0</v>
      </c>
      <c r="AA98" s="3">
        <f>IFERROR(__xludf.DUMMYFUNCTION("""COMPUTED_VALUE"""),0.0)</f>
        <v>0</v>
      </c>
      <c r="AB98" s="3">
        <f>IFERROR(__xludf.DUMMYFUNCTION("""COMPUTED_VALUE"""),0.0)</f>
        <v>0</v>
      </c>
      <c r="AC98" s="3">
        <f>IFERROR(__xludf.DUMMYFUNCTION("""COMPUTED_VALUE"""),0.0)</f>
        <v>0</v>
      </c>
      <c r="AD98" s="3">
        <f>IFERROR(__xludf.DUMMYFUNCTION("""COMPUTED_VALUE"""),0.0)</f>
        <v>0</v>
      </c>
      <c r="AE98" s="3">
        <f>IFERROR(__xludf.DUMMYFUNCTION("""COMPUTED_VALUE"""),0.0)</f>
        <v>0</v>
      </c>
      <c r="AF98" s="3">
        <f>IFERROR(__xludf.DUMMYFUNCTION("""COMPUTED_VALUE"""),0.0)</f>
        <v>0</v>
      </c>
      <c r="AG98" s="3">
        <f>IFERROR(__xludf.DUMMYFUNCTION("""COMPUTED_VALUE"""),0.0)</f>
        <v>0</v>
      </c>
      <c r="AH98" s="3">
        <f>IFERROR(__xludf.DUMMYFUNCTION("""COMPUTED_VALUE"""),0.0)</f>
        <v>0</v>
      </c>
      <c r="AI98" s="3">
        <f>IFERROR(__xludf.DUMMYFUNCTION("""COMPUTED_VALUE"""),0.0)</f>
        <v>0</v>
      </c>
      <c r="AJ98" s="3">
        <f>IFERROR(__xludf.DUMMYFUNCTION("""COMPUTED_VALUE"""),0.0)</f>
        <v>0</v>
      </c>
      <c r="AK98" s="3">
        <f>IFERROR(__xludf.DUMMYFUNCTION("""COMPUTED_VALUE"""),0.0)</f>
        <v>0</v>
      </c>
      <c r="AL98" s="3">
        <f>IFERROR(__xludf.DUMMYFUNCTION("""COMPUTED_VALUE"""),0.0)</f>
        <v>0</v>
      </c>
      <c r="AM98" s="3">
        <f>IFERROR(__xludf.DUMMYFUNCTION("""COMPUTED_VALUE"""),0.0)</f>
        <v>0</v>
      </c>
      <c r="AN98" s="3">
        <f>IFERROR(__xludf.DUMMYFUNCTION("""COMPUTED_VALUE"""),0.0)</f>
        <v>0</v>
      </c>
      <c r="AO98" s="3">
        <f>IFERROR(__xludf.DUMMYFUNCTION("""COMPUTED_VALUE"""),0.0)</f>
        <v>0</v>
      </c>
      <c r="AP98" s="3">
        <f>IFERROR(__xludf.DUMMYFUNCTION("""COMPUTED_VALUE"""),0.0)</f>
        <v>0</v>
      </c>
      <c r="AQ98" s="3">
        <f>IFERROR(__xludf.DUMMYFUNCTION("""COMPUTED_VALUE"""),0.0)</f>
        <v>0</v>
      </c>
      <c r="AR98" s="3">
        <f>IFERROR(__xludf.DUMMYFUNCTION("""COMPUTED_VALUE"""),0.0)</f>
        <v>0</v>
      </c>
      <c r="AS98" s="3">
        <f>IFERROR(__xludf.DUMMYFUNCTION("""COMPUTED_VALUE"""),0.0)</f>
        <v>0</v>
      </c>
      <c r="AT98" s="3">
        <f>IFERROR(__xludf.DUMMYFUNCTION("""COMPUTED_VALUE"""),0.0)</f>
        <v>0</v>
      </c>
      <c r="AU98" s="3">
        <f>IFERROR(__xludf.DUMMYFUNCTION("""COMPUTED_VALUE"""),0.0)</f>
        <v>0</v>
      </c>
      <c r="AV98" s="3">
        <f>IFERROR(__xludf.DUMMYFUNCTION("""COMPUTED_VALUE"""),0.0)</f>
        <v>0</v>
      </c>
      <c r="AW98" s="3">
        <f>IFERROR(__xludf.DUMMYFUNCTION("""COMPUTED_VALUE"""),0.0)</f>
        <v>0</v>
      </c>
      <c r="AX98" s="3">
        <f>IFERROR(__xludf.DUMMYFUNCTION("""COMPUTED_VALUE"""),0.0)</f>
        <v>0</v>
      </c>
      <c r="AY98" s="3">
        <f>IFERROR(__xludf.DUMMYFUNCTION("""COMPUTED_VALUE"""),0.0)</f>
        <v>0</v>
      </c>
      <c r="AZ98" s="3">
        <f>IFERROR(__xludf.DUMMYFUNCTION("""COMPUTED_VALUE"""),0.0)</f>
        <v>0</v>
      </c>
      <c r="BA98" s="3">
        <f>IFERROR(__xludf.DUMMYFUNCTION("""COMPUTED_VALUE"""),0.0)</f>
        <v>0</v>
      </c>
      <c r="BB98" s="3">
        <f>IFERROR(__xludf.DUMMYFUNCTION("""COMPUTED_VALUE"""),0.0)</f>
        <v>0</v>
      </c>
      <c r="BC98" s="3">
        <f>IFERROR(__xludf.DUMMYFUNCTION("""COMPUTED_VALUE"""),0.0)</f>
        <v>0</v>
      </c>
      <c r="BD98" s="3">
        <f>IFERROR(__xludf.DUMMYFUNCTION("""COMPUTED_VALUE"""),0.0)</f>
        <v>0</v>
      </c>
      <c r="BE98" s="3">
        <f>IFERROR(__xludf.DUMMYFUNCTION("""COMPUTED_VALUE"""),0.0)</f>
        <v>0</v>
      </c>
      <c r="BF98" s="3">
        <f>IFERROR(__xludf.DUMMYFUNCTION("""COMPUTED_VALUE"""),0.0)</f>
        <v>0</v>
      </c>
      <c r="BG98" s="3">
        <f>IFERROR(__xludf.DUMMYFUNCTION("""COMPUTED_VALUE"""),0.0)</f>
        <v>0</v>
      </c>
      <c r="BH98" s="3">
        <f>IFERROR(__xludf.DUMMYFUNCTION("""COMPUTED_VALUE"""),1.0)</f>
        <v>1</v>
      </c>
      <c r="BI98" s="3">
        <f>IFERROR(__xludf.DUMMYFUNCTION("""COMPUTED_VALUE"""),1.0)</f>
        <v>1</v>
      </c>
      <c r="BJ98" s="3">
        <f>IFERROR(__xludf.DUMMYFUNCTION("""COMPUTED_VALUE"""),2.0)</f>
        <v>2</v>
      </c>
      <c r="BK98" s="3">
        <f>IFERROR(__xludf.DUMMYFUNCTION("""COMPUTED_VALUE"""),2.0)</f>
        <v>2</v>
      </c>
      <c r="BL98" s="3">
        <f>IFERROR(__xludf.DUMMYFUNCTION("""COMPUTED_VALUE"""),2.0)</f>
        <v>2</v>
      </c>
      <c r="BM98" s="3">
        <f>IFERROR(__xludf.DUMMYFUNCTION("""COMPUTED_VALUE"""),3.0)</f>
        <v>3</v>
      </c>
      <c r="BN98" s="3">
        <f>IFERROR(__xludf.DUMMYFUNCTION("""COMPUTED_VALUE"""),3.0)</f>
        <v>3</v>
      </c>
      <c r="BO98" s="3">
        <f>IFERROR(__xludf.DUMMYFUNCTION("""COMPUTED_VALUE"""),6.0)</f>
        <v>6</v>
      </c>
      <c r="BP98" s="3">
        <f>IFERROR(__xludf.DUMMYFUNCTION("""COMPUTED_VALUE"""),10.0)</f>
        <v>10</v>
      </c>
      <c r="BQ98" s="3">
        <f>IFERROR(__xludf.DUMMYFUNCTION("""COMPUTED_VALUE"""),10.0)</f>
        <v>10</v>
      </c>
      <c r="BR98" s="3">
        <f>IFERROR(__xludf.DUMMYFUNCTION("""COMPUTED_VALUE"""),20.0)</f>
        <v>20</v>
      </c>
      <c r="BS98" s="3">
        <f>IFERROR(__xludf.DUMMYFUNCTION("""COMPUTED_VALUE"""),28.0)</f>
        <v>28</v>
      </c>
      <c r="BT98" s="3">
        <f>IFERROR(__xludf.DUMMYFUNCTION("""COMPUTED_VALUE"""),39.0)</f>
        <v>39</v>
      </c>
      <c r="BU98" s="3">
        <f>IFERROR(__xludf.DUMMYFUNCTION("""COMPUTED_VALUE"""),42.0)</f>
        <v>42</v>
      </c>
      <c r="BV98" s="3">
        <f>IFERROR(__xludf.DUMMYFUNCTION("""COMPUTED_VALUE"""),51.0)</f>
        <v>51</v>
      </c>
      <c r="BW98" s="3">
        <f>IFERROR(__xludf.DUMMYFUNCTION("""COMPUTED_VALUE"""),57.0)</f>
        <v>57</v>
      </c>
      <c r="BX98" s="3">
        <f>IFERROR(__xludf.DUMMYFUNCTION("""COMPUTED_VALUE"""),60.0)</f>
        <v>60</v>
      </c>
      <c r="BY98" s="3">
        <f>IFERROR(__xludf.DUMMYFUNCTION("""COMPUTED_VALUE"""),68.0)</f>
        <v>68</v>
      </c>
      <c r="BZ98" s="3">
        <f>IFERROR(__xludf.DUMMYFUNCTION("""COMPUTED_VALUE"""),68.0)</f>
        <v>68</v>
      </c>
      <c r="CA98" s="3">
        <f>IFERROR(__xludf.DUMMYFUNCTION("""COMPUTED_VALUE"""),82.0)</f>
        <v>82</v>
      </c>
      <c r="CB98" s="3">
        <f>IFERROR(__xludf.DUMMYFUNCTION("""COMPUTED_VALUE"""),86.0)</f>
        <v>86</v>
      </c>
    </row>
    <row r="99">
      <c r="A99" s="3" t="str">
        <f>IFERROR(__xludf.DUMMYFUNCTION("""COMPUTED_VALUE"""),"")</f>
        <v/>
      </c>
      <c r="B99" s="3" t="str">
        <f>IFERROR(__xludf.DUMMYFUNCTION("""COMPUTED_VALUE"""),"Ecuador")</f>
        <v>Ecuador</v>
      </c>
      <c r="C99" s="3">
        <f>IFERROR(__xludf.DUMMYFUNCTION("""COMPUTED_VALUE"""),-1.8312)</f>
        <v>-1.8312</v>
      </c>
      <c r="D99" s="3">
        <f>IFERROR(__xludf.DUMMYFUNCTION("""COMPUTED_VALUE"""),-78.1834)</f>
        <v>-78.1834</v>
      </c>
      <c r="E99" s="3">
        <f>IFERROR(__xludf.DUMMYFUNCTION("""COMPUTED_VALUE"""),0.0)</f>
        <v>0</v>
      </c>
      <c r="F99" s="3">
        <f>IFERROR(__xludf.DUMMYFUNCTION("""COMPUTED_VALUE"""),0.0)</f>
        <v>0</v>
      </c>
      <c r="G99" s="3">
        <f>IFERROR(__xludf.DUMMYFUNCTION("""COMPUTED_VALUE"""),0.0)</f>
        <v>0</v>
      </c>
      <c r="H99" s="3">
        <f>IFERROR(__xludf.DUMMYFUNCTION("""COMPUTED_VALUE"""),0.0)</f>
        <v>0</v>
      </c>
      <c r="I99" s="3">
        <f>IFERROR(__xludf.DUMMYFUNCTION("""COMPUTED_VALUE"""),0.0)</f>
        <v>0</v>
      </c>
      <c r="J99" s="3">
        <f>IFERROR(__xludf.DUMMYFUNCTION("""COMPUTED_VALUE"""),0.0)</f>
        <v>0</v>
      </c>
      <c r="K99" s="3">
        <f>IFERROR(__xludf.DUMMYFUNCTION("""COMPUTED_VALUE"""),0.0)</f>
        <v>0</v>
      </c>
      <c r="L99" s="3">
        <f>IFERROR(__xludf.DUMMYFUNCTION("""COMPUTED_VALUE"""),0.0)</f>
        <v>0</v>
      </c>
      <c r="M99" s="3">
        <f>IFERROR(__xludf.DUMMYFUNCTION("""COMPUTED_VALUE"""),0.0)</f>
        <v>0</v>
      </c>
      <c r="N99" s="3">
        <f>IFERROR(__xludf.DUMMYFUNCTION("""COMPUTED_VALUE"""),0.0)</f>
        <v>0</v>
      </c>
      <c r="O99" s="3">
        <f>IFERROR(__xludf.DUMMYFUNCTION("""COMPUTED_VALUE"""),0.0)</f>
        <v>0</v>
      </c>
      <c r="P99" s="3">
        <f>IFERROR(__xludf.DUMMYFUNCTION("""COMPUTED_VALUE"""),0.0)</f>
        <v>0</v>
      </c>
      <c r="Q99" s="3">
        <f>IFERROR(__xludf.DUMMYFUNCTION("""COMPUTED_VALUE"""),0.0)</f>
        <v>0</v>
      </c>
      <c r="R99" s="3">
        <f>IFERROR(__xludf.DUMMYFUNCTION("""COMPUTED_VALUE"""),0.0)</f>
        <v>0</v>
      </c>
      <c r="S99" s="3">
        <f>IFERROR(__xludf.DUMMYFUNCTION("""COMPUTED_VALUE"""),0.0)</f>
        <v>0</v>
      </c>
      <c r="T99" s="3">
        <f>IFERROR(__xludf.DUMMYFUNCTION("""COMPUTED_VALUE"""),0.0)</f>
        <v>0</v>
      </c>
      <c r="U99" s="3">
        <f>IFERROR(__xludf.DUMMYFUNCTION("""COMPUTED_VALUE"""),0.0)</f>
        <v>0</v>
      </c>
      <c r="V99" s="3">
        <f>IFERROR(__xludf.DUMMYFUNCTION("""COMPUTED_VALUE"""),0.0)</f>
        <v>0</v>
      </c>
      <c r="W99" s="3">
        <f>IFERROR(__xludf.DUMMYFUNCTION("""COMPUTED_VALUE"""),0.0)</f>
        <v>0</v>
      </c>
      <c r="X99" s="3">
        <f>IFERROR(__xludf.DUMMYFUNCTION("""COMPUTED_VALUE"""),0.0)</f>
        <v>0</v>
      </c>
      <c r="Y99" s="3">
        <f>IFERROR(__xludf.DUMMYFUNCTION("""COMPUTED_VALUE"""),0.0)</f>
        <v>0</v>
      </c>
      <c r="Z99" s="3">
        <f>IFERROR(__xludf.DUMMYFUNCTION("""COMPUTED_VALUE"""),0.0)</f>
        <v>0</v>
      </c>
      <c r="AA99" s="3">
        <f>IFERROR(__xludf.DUMMYFUNCTION("""COMPUTED_VALUE"""),0.0)</f>
        <v>0</v>
      </c>
      <c r="AB99" s="3">
        <f>IFERROR(__xludf.DUMMYFUNCTION("""COMPUTED_VALUE"""),0.0)</f>
        <v>0</v>
      </c>
      <c r="AC99" s="3">
        <f>IFERROR(__xludf.DUMMYFUNCTION("""COMPUTED_VALUE"""),0.0)</f>
        <v>0</v>
      </c>
      <c r="AD99" s="3">
        <f>IFERROR(__xludf.DUMMYFUNCTION("""COMPUTED_VALUE"""),0.0)</f>
        <v>0</v>
      </c>
      <c r="AE99" s="3">
        <f>IFERROR(__xludf.DUMMYFUNCTION("""COMPUTED_VALUE"""),0.0)</f>
        <v>0</v>
      </c>
      <c r="AF99" s="3">
        <f>IFERROR(__xludf.DUMMYFUNCTION("""COMPUTED_VALUE"""),0.0)</f>
        <v>0</v>
      </c>
      <c r="AG99" s="3">
        <f>IFERROR(__xludf.DUMMYFUNCTION("""COMPUTED_VALUE"""),0.0)</f>
        <v>0</v>
      </c>
      <c r="AH99" s="3">
        <f>IFERROR(__xludf.DUMMYFUNCTION("""COMPUTED_VALUE"""),0.0)</f>
        <v>0</v>
      </c>
      <c r="AI99" s="3">
        <f>IFERROR(__xludf.DUMMYFUNCTION("""COMPUTED_VALUE"""),0.0)</f>
        <v>0</v>
      </c>
      <c r="AJ99" s="3">
        <f>IFERROR(__xludf.DUMMYFUNCTION("""COMPUTED_VALUE"""),0.0)</f>
        <v>0</v>
      </c>
      <c r="AK99" s="3">
        <f>IFERROR(__xludf.DUMMYFUNCTION("""COMPUTED_VALUE"""),0.0)</f>
        <v>0</v>
      </c>
      <c r="AL99" s="3">
        <f>IFERROR(__xludf.DUMMYFUNCTION("""COMPUTED_VALUE"""),0.0)</f>
        <v>0</v>
      </c>
      <c r="AM99" s="3">
        <f>IFERROR(__xludf.DUMMYFUNCTION("""COMPUTED_VALUE"""),0.0)</f>
        <v>0</v>
      </c>
      <c r="AN99" s="3">
        <f>IFERROR(__xludf.DUMMYFUNCTION("""COMPUTED_VALUE"""),0.0)</f>
        <v>0</v>
      </c>
      <c r="AO99" s="3">
        <f>IFERROR(__xludf.DUMMYFUNCTION("""COMPUTED_VALUE"""),0.0)</f>
        <v>0</v>
      </c>
      <c r="AP99" s="3">
        <f>IFERROR(__xludf.DUMMYFUNCTION("""COMPUTED_VALUE"""),0.0)</f>
        <v>0</v>
      </c>
      <c r="AQ99" s="3">
        <f>IFERROR(__xludf.DUMMYFUNCTION("""COMPUTED_VALUE"""),0.0)</f>
        <v>0</v>
      </c>
      <c r="AR99" s="3">
        <f>IFERROR(__xludf.DUMMYFUNCTION("""COMPUTED_VALUE"""),0.0)</f>
        <v>0</v>
      </c>
      <c r="AS99" s="3">
        <f>IFERROR(__xludf.DUMMYFUNCTION("""COMPUTED_VALUE"""),0.0)</f>
        <v>0</v>
      </c>
      <c r="AT99" s="3">
        <f>IFERROR(__xludf.DUMMYFUNCTION("""COMPUTED_VALUE"""),0.0)</f>
        <v>0</v>
      </c>
      <c r="AU99" s="3">
        <f>IFERROR(__xludf.DUMMYFUNCTION("""COMPUTED_VALUE"""),0.0)</f>
        <v>0</v>
      </c>
      <c r="AV99" s="3">
        <f>IFERROR(__xludf.DUMMYFUNCTION("""COMPUTED_VALUE"""),0.0)</f>
        <v>0</v>
      </c>
      <c r="AW99" s="3">
        <f>IFERROR(__xludf.DUMMYFUNCTION("""COMPUTED_VALUE"""),0.0)</f>
        <v>0</v>
      </c>
      <c r="AX99" s="3">
        <f>IFERROR(__xludf.DUMMYFUNCTION("""COMPUTED_VALUE"""),0.0)</f>
        <v>0</v>
      </c>
      <c r="AY99" s="3">
        <f>IFERROR(__xludf.DUMMYFUNCTION("""COMPUTED_VALUE"""),0.0)</f>
        <v>0</v>
      </c>
      <c r="AZ99" s="3">
        <f>IFERROR(__xludf.DUMMYFUNCTION("""COMPUTED_VALUE"""),0.0)</f>
        <v>0</v>
      </c>
      <c r="BA99" s="3">
        <f>IFERROR(__xludf.DUMMYFUNCTION("""COMPUTED_VALUE"""),0.0)</f>
        <v>0</v>
      </c>
      <c r="BB99" s="3">
        <f>IFERROR(__xludf.DUMMYFUNCTION("""COMPUTED_VALUE"""),0.0)</f>
        <v>0</v>
      </c>
      <c r="BC99" s="3">
        <f>IFERROR(__xludf.DUMMYFUNCTION("""COMPUTED_VALUE"""),0.0)</f>
        <v>0</v>
      </c>
      <c r="BD99" s="3">
        <f>IFERROR(__xludf.DUMMYFUNCTION("""COMPUTED_VALUE"""),0.0)</f>
        <v>0</v>
      </c>
      <c r="BE99" s="3">
        <f>IFERROR(__xludf.DUMMYFUNCTION("""COMPUTED_VALUE"""),2.0)</f>
        <v>2</v>
      </c>
      <c r="BF99" s="3">
        <f>IFERROR(__xludf.DUMMYFUNCTION("""COMPUTED_VALUE"""),2.0)</f>
        <v>2</v>
      </c>
      <c r="BG99" s="3">
        <f>IFERROR(__xludf.DUMMYFUNCTION("""COMPUTED_VALUE"""),2.0)</f>
        <v>2</v>
      </c>
      <c r="BH99" s="3">
        <f>IFERROR(__xludf.DUMMYFUNCTION("""COMPUTED_VALUE"""),2.0)</f>
        <v>2</v>
      </c>
      <c r="BI99" s="3">
        <f>IFERROR(__xludf.DUMMYFUNCTION("""COMPUTED_VALUE"""),2.0)</f>
        <v>2</v>
      </c>
      <c r="BJ99" s="3">
        <f>IFERROR(__xludf.DUMMYFUNCTION("""COMPUTED_VALUE"""),3.0)</f>
        <v>3</v>
      </c>
      <c r="BK99" s="3">
        <f>IFERROR(__xludf.DUMMYFUNCTION("""COMPUTED_VALUE"""),5.0)</f>
        <v>5</v>
      </c>
      <c r="BL99" s="3">
        <f>IFERROR(__xludf.DUMMYFUNCTION("""COMPUTED_VALUE"""),7.0)</f>
        <v>7</v>
      </c>
      <c r="BM99" s="3">
        <f>IFERROR(__xludf.DUMMYFUNCTION("""COMPUTED_VALUE"""),14.0)</f>
        <v>14</v>
      </c>
      <c r="BN99" s="3">
        <f>IFERROR(__xludf.DUMMYFUNCTION("""COMPUTED_VALUE"""),18.0)</f>
        <v>18</v>
      </c>
      <c r="BO99" s="3">
        <f>IFERROR(__xludf.DUMMYFUNCTION("""COMPUTED_VALUE"""),27.0)</f>
        <v>27</v>
      </c>
      <c r="BP99" s="3">
        <f>IFERROR(__xludf.DUMMYFUNCTION("""COMPUTED_VALUE"""),28.0)</f>
        <v>28</v>
      </c>
      <c r="BQ99" s="3">
        <f>IFERROR(__xludf.DUMMYFUNCTION("""COMPUTED_VALUE"""),34.0)</f>
        <v>34</v>
      </c>
      <c r="BR99" s="3">
        <f>IFERROR(__xludf.DUMMYFUNCTION("""COMPUTED_VALUE"""),36.0)</f>
        <v>36</v>
      </c>
      <c r="BS99" s="3">
        <f>IFERROR(__xludf.DUMMYFUNCTION("""COMPUTED_VALUE"""),48.0)</f>
        <v>48</v>
      </c>
      <c r="BT99" s="3">
        <f>IFERROR(__xludf.DUMMYFUNCTION("""COMPUTED_VALUE"""),58.0)</f>
        <v>58</v>
      </c>
      <c r="BU99" s="3">
        <f>IFERROR(__xludf.DUMMYFUNCTION("""COMPUTED_VALUE"""),60.0)</f>
        <v>60</v>
      </c>
      <c r="BV99" s="3">
        <f>IFERROR(__xludf.DUMMYFUNCTION("""COMPUTED_VALUE"""),75.0)</f>
        <v>75</v>
      </c>
      <c r="BW99" s="3">
        <f>IFERROR(__xludf.DUMMYFUNCTION("""COMPUTED_VALUE"""),93.0)</f>
        <v>93</v>
      </c>
      <c r="BX99" s="3">
        <f>IFERROR(__xludf.DUMMYFUNCTION("""COMPUTED_VALUE"""),120.0)</f>
        <v>120</v>
      </c>
      <c r="BY99" s="3">
        <f>IFERROR(__xludf.DUMMYFUNCTION("""COMPUTED_VALUE"""),145.0)</f>
        <v>145</v>
      </c>
      <c r="BZ99" s="3">
        <f>IFERROR(__xludf.DUMMYFUNCTION("""COMPUTED_VALUE"""),172.0)</f>
        <v>172</v>
      </c>
      <c r="CA99" s="3">
        <f>IFERROR(__xludf.DUMMYFUNCTION("""COMPUTED_VALUE"""),180.0)</f>
        <v>180</v>
      </c>
      <c r="CB99" s="3">
        <f>IFERROR(__xludf.DUMMYFUNCTION("""COMPUTED_VALUE"""),191.0)</f>
        <v>191</v>
      </c>
    </row>
    <row r="100">
      <c r="A100" s="3" t="str">
        <f>IFERROR(__xludf.DUMMYFUNCTION("""COMPUTED_VALUE"""),"")</f>
        <v/>
      </c>
      <c r="B100" s="3" t="str">
        <f>IFERROR(__xludf.DUMMYFUNCTION("""COMPUTED_VALUE"""),"Egypt")</f>
        <v>Egypt</v>
      </c>
      <c r="C100" s="3">
        <f>IFERROR(__xludf.DUMMYFUNCTION("""COMPUTED_VALUE"""),26.0)</f>
        <v>26</v>
      </c>
      <c r="D100" s="3">
        <f>IFERROR(__xludf.DUMMYFUNCTION("""COMPUTED_VALUE"""),30.0)</f>
        <v>30</v>
      </c>
      <c r="E100" s="3">
        <f>IFERROR(__xludf.DUMMYFUNCTION("""COMPUTED_VALUE"""),0.0)</f>
        <v>0</v>
      </c>
      <c r="F100" s="3">
        <f>IFERROR(__xludf.DUMMYFUNCTION("""COMPUTED_VALUE"""),0.0)</f>
        <v>0</v>
      </c>
      <c r="G100" s="3">
        <f>IFERROR(__xludf.DUMMYFUNCTION("""COMPUTED_VALUE"""),0.0)</f>
        <v>0</v>
      </c>
      <c r="H100" s="3">
        <f>IFERROR(__xludf.DUMMYFUNCTION("""COMPUTED_VALUE"""),0.0)</f>
        <v>0</v>
      </c>
      <c r="I100" s="3">
        <f>IFERROR(__xludf.DUMMYFUNCTION("""COMPUTED_VALUE"""),0.0)</f>
        <v>0</v>
      </c>
      <c r="J100" s="3">
        <f>IFERROR(__xludf.DUMMYFUNCTION("""COMPUTED_VALUE"""),0.0)</f>
        <v>0</v>
      </c>
      <c r="K100" s="3">
        <f>IFERROR(__xludf.DUMMYFUNCTION("""COMPUTED_VALUE"""),0.0)</f>
        <v>0</v>
      </c>
      <c r="L100" s="3">
        <f>IFERROR(__xludf.DUMMYFUNCTION("""COMPUTED_VALUE"""),0.0)</f>
        <v>0</v>
      </c>
      <c r="M100" s="3">
        <f>IFERROR(__xludf.DUMMYFUNCTION("""COMPUTED_VALUE"""),0.0)</f>
        <v>0</v>
      </c>
      <c r="N100" s="3">
        <f>IFERROR(__xludf.DUMMYFUNCTION("""COMPUTED_VALUE"""),0.0)</f>
        <v>0</v>
      </c>
      <c r="O100" s="3">
        <f>IFERROR(__xludf.DUMMYFUNCTION("""COMPUTED_VALUE"""),0.0)</f>
        <v>0</v>
      </c>
      <c r="P100" s="3">
        <f>IFERROR(__xludf.DUMMYFUNCTION("""COMPUTED_VALUE"""),0.0)</f>
        <v>0</v>
      </c>
      <c r="Q100" s="3">
        <f>IFERROR(__xludf.DUMMYFUNCTION("""COMPUTED_VALUE"""),0.0)</f>
        <v>0</v>
      </c>
      <c r="R100" s="3">
        <f>IFERROR(__xludf.DUMMYFUNCTION("""COMPUTED_VALUE"""),0.0)</f>
        <v>0</v>
      </c>
      <c r="S100" s="3">
        <f>IFERROR(__xludf.DUMMYFUNCTION("""COMPUTED_VALUE"""),0.0)</f>
        <v>0</v>
      </c>
      <c r="T100" s="3">
        <f>IFERROR(__xludf.DUMMYFUNCTION("""COMPUTED_VALUE"""),0.0)</f>
        <v>0</v>
      </c>
      <c r="U100" s="3">
        <f>IFERROR(__xludf.DUMMYFUNCTION("""COMPUTED_VALUE"""),0.0)</f>
        <v>0</v>
      </c>
      <c r="V100" s="3">
        <f>IFERROR(__xludf.DUMMYFUNCTION("""COMPUTED_VALUE"""),0.0)</f>
        <v>0</v>
      </c>
      <c r="W100" s="3">
        <f>IFERROR(__xludf.DUMMYFUNCTION("""COMPUTED_VALUE"""),0.0)</f>
        <v>0</v>
      </c>
      <c r="X100" s="3">
        <f>IFERROR(__xludf.DUMMYFUNCTION("""COMPUTED_VALUE"""),0.0)</f>
        <v>0</v>
      </c>
      <c r="Y100" s="3">
        <f>IFERROR(__xludf.DUMMYFUNCTION("""COMPUTED_VALUE"""),0.0)</f>
        <v>0</v>
      </c>
      <c r="Z100" s="3">
        <f>IFERROR(__xludf.DUMMYFUNCTION("""COMPUTED_VALUE"""),0.0)</f>
        <v>0</v>
      </c>
      <c r="AA100" s="3">
        <f>IFERROR(__xludf.DUMMYFUNCTION("""COMPUTED_VALUE"""),0.0)</f>
        <v>0</v>
      </c>
      <c r="AB100" s="3">
        <f>IFERROR(__xludf.DUMMYFUNCTION("""COMPUTED_VALUE"""),0.0)</f>
        <v>0</v>
      </c>
      <c r="AC100" s="3">
        <f>IFERROR(__xludf.DUMMYFUNCTION("""COMPUTED_VALUE"""),0.0)</f>
        <v>0</v>
      </c>
      <c r="AD100" s="3">
        <f>IFERROR(__xludf.DUMMYFUNCTION("""COMPUTED_VALUE"""),0.0)</f>
        <v>0</v>
      </c>
      <c r="AE100" s="3">
        <f>IFERROR(__xludf.DUMMYFUNCTION("""COMPUTED_VALUE"""),0.0)</f>
        <v>0</v>
      </c>
      <c r="AF100" s="3">
        <f>IFERROR(__xludf.DUMMYFUNCTION("""COMPUTED_VALUE"""),0.0)</f>
        <v>0</v>
      </c>
      <c r="AG100" s="3">
        <f>IFERROR(__xludf.DUMMYFUNCTION("""COMPUTED_VALUE"""),0.0)</f>
        <v>0</v>
      </c>
      <c r="AH100" s="3">
        <f>IFERROR(__xludf.DUMMYFUNCTION("""COMPUTED_VALUE"""),0.0)</f>
        <v>0</v>
      </c>
      <c r="AI100" s="3">
        <f>IFERROR(__xludf.DUMMYFUNCTION("""COMPUTED_VALUE"""),0.0)</f>
        <v>0</v>
      </c>
      <c r="AJ100" s="3">
        <f>IFERROR(__xludf.DUMMYFUNCTION("""COMPUTED_VALUE"""),0.0)</f>
        <v>0</v>
      </c>
      <c r="AK100" s="3">
        <f>IFERROR(__xludf.DUMMYFUNCTION("""COMPUTED_VALUE"""),0.0)</f>
        <v>0</v>
      </c>
      <c r="AL100" s="3">
        <f>IFERROR(__xludf.DUMMYFUNCTION("""COMPUTED_VALUE"""),0.0)</f>
        <v>0</v>
      </c>
      <c r="AM100" s="3">
        <f>IFERROR(__xludf.DUMMYFUNCTION("""COMPUTED_VALUE"""),0.0)</f>
        <v>0</v>
      </c>
      <c r="AN100" s="3">
        <f>IFERROR(__xludf.DUMMYFUNCTION("""COMPUTED_VALUE"""),0.0)</f>
        <v>0</v>
      </c>
      <c r="AO100" s="3">
        <f>IFERROR(__xludf.DUMMYFUNCTION("""COMPUTED_VALUE"""),0.0)</f>
        <v>0</v>
      </c>
      <c r="AP100" s="3">
        <f>IFERROR(__xludf.DUMMYFUNCTION("""COMPUTED_VALUE"""),0.0)</f>
        <v>0</v>
      </c>
      <c r="AQ100" s="3">
        <f>IFERROR(__xludf.DUMMYFUNCTION("""COMPUTED_VALUE"""),0.0)</f>
        <v>0</v>
      </c>
      <c r="AR100" s="3">
        <f>IFERROR(__xludf.DUMMYFUNCTION("""COMPUTED_VALUE"""),0.0)</f>
        <v>0</v>
      </c>
      <c r="AS100" s="3">
        <f>IFERROR(__xludf.DUMMYFUNCTION("""COMPUTED_VALUE"""),0.0)</f>
        <v>0</v>
      </c>
      <c r="AT100" s="3">
        <f>IFERROR(__xludf.DUMMYFUNCTION("""COMPUTED_VALUE"""),0.0)</f>
        <v>0</v>
      </c>
      <c r="AU100" s="3">
        <f>IFERROR(__xludf.DUMMYFUNCTION("""COMPUTED_VALUE"""),0.0)</f>
        <v>0</v>
      </c>
      <c r="AV100" s="3">
        <f>IFERROR(__xludf.DUMMYFUNCTION("""COMPUTED_VALUE"""),0.0)</f>
        <v>0</v>
      </c>
      <c r="AW100" s="3">
        <f>IFERROR(__xludf.DUMMYFUNCTION("""COMPUTED_VALUE"""),0.0)</f>
        <v>0</v>
      </c>
      <c r="AX100" s="3">
        <f>IFERROR(__xludf.DUMMYFUNCTION("""COMPUTED_VALUE"""),0.0)</f>
        <v>0</v>
      </c>
      <c r="AY100" s="3">
        <f>IFERROR(__xludf.DUMMYFUNCTION("""COMPUTED_VALUE"""),1.0)</f>
        <v>1</v>
      </c>
      <c r="AZ100" s="3">
        <f>IFERROR(__xludf.DUMMYFUNCTION("""COMPUTED_VALUE"""),1.0)</f>
        <v>1</v>
      </c>
      <c r="BA100" s="3">
        <f>IFERROR(__xludf.DUMMYFUNCTION("""COMPUTED_VALUE"""),1.0)</f>
        <v>1</v>
      </c>
      <c r="BB100" s="3">
        <f>IFERROR(__xludf.DUMMYFUNCTION("""COMPUTED_VALUE"""),1.0)</f>
        <v>1</v>
      </c>
      <c r="BC100" s="3">
        <f>IFERROR(__xludf.DUMMYFUNCTION("""COMPUTED_VALUE"""),1.0)</f>
        <v>1</v>
      </c>
      <c r="BD100" s="3">
        <f>IFERROR(__xludf.DUMMYFUNCTION("""COMPUTED_VALUE"""),2.0)</f>
        <v>2</v>
      </c>
      <c r="BE100" s="3">
        <f>IFERROR(__xludf.DUMMYFUNCTION("""COMPUTED_VALUE"""),2.0)</f>
        <v>2</v>
      </c>
      <c r="BF100" s="3">
        <f>IFERROR(__xludf.DUMMYFUNCTION("""COMPUTED_VALUE"""),2.0)</f>
        <v>2</v>
      </c>
      <c r="BG100" s="3">
        <f>IFERROR(__xludf.DUMMYFUNCTION("""COMPUTED_VALUE"""),2.0)</f>
        <v>2</v>
      </c>
      <c r="BH100" s="3">
        <f>IFERROR(__xludf.DUMMYFUNCTION("""COMPUTED_VALUE"""),4.0)</f>
        <v>4</v>
      </c>
      <c r="BI100" s="3">
        <f>IFERROR(__xludf.DUMMYFUNCTION("""COMPUTED_VALUE"""),6.0)</f>
        <v>6</v>
      </c>
      <c r="BJ100" s="3">
        <f>IFERROR(__xludf.DUMMYFUNCTION("""COMPUTED_VALUE"""),6.0)</f>
        <v>6</v>
      </c>
      <c r="BK100" s="3">
        <f>IFERROR(__xludf.DUMMYFUNCTION("""COMPUTED_VALUE"""),8.0)</f>
        <v>8</v>
      </c>
      <c r="BL100" s="3">
        <f>IFERROR(__xludf.DUMMYFUNCTION("""COMPUTED_VALUE"""),10.0)</f>
        <v>10</v>
      </c>
      <c r="BM100" s="3">
        <f>IFERROR(__xludf.DUMMYFUNCTION("""COMPUTED_VALUE"""),14.0)</f>
        <v>14</v>
      </c>
      <c r="BN100" s="3">
        <f>IFERROR(__xludf.DUMMYFUNCTION("""COMPUTED_VALUE"""),19.0)</f>
        <v>19</v>
      </c>
      <c r="BO100" s="3">
        <f>IFERROR(__xludf.DUMMYFUNCTION("""COMPUTED_VALUE"""),20.0)</f>
        <v>20</v>
      </c>
      <c r="BP100" s="3">
        <f>IFERROR(__xludf.DUMMYFUNCTION("""COMPUTED_VALUE"""),21.0)</f>
        <v>21</v>
      </c>
      <c r="BQ100" s="3">
        <f>IFERROR(__xludf.DUMMYFUNCTION("""COMPUTED_VALUE"""),24.0)</f>
        <v>24</v>
      </c>
      <c r="BR100" s="3">
        <f>IFERROR(__xludf.DUMMYFUNCTION("""COMPUTED_VALUE"""),30.0)</f>
        <v>30</v>
      </c>
      <c r="BS100" s="3">
        <f>IFERROR(__xludf.DUMMYFUNCTION("""COMPUTED_VALUE"""),36.0)</f>
        <v>36</v>
      </c>
      <c r="BT100" s="3">
        <f>IFERROR(__xludf.DUMMYFUNCTION("""COMPUTED_VALUE"""),40.0)</f>
        <v>40</v>
      </c>
      <c r="BU100" s="3">
        <f>IFERROR(__xludf.DUMMYFUNCTION("""COMPUTED_VALUE"""),41.0)</f>
        <v>41</v>
      </c>
      <c r="BV100" s="3">
        <f>IFERROR(__xludf.DUMMYFUNCTION("""COMPUTED_VALUE"""),46.0)</f>
        <v>46</v>
      </c>
      <c r="BW100" s="3">
        <f>IFERROR(__xludf.DUMMYFUNCTION("""COMPUTED_VALUE"""),52.0)</f>
        <v>52</v>
      </c>
      <c r="BX100" s="3">
        <f>IFERROR(__xludf.DUMMYFUNCTION("""COMPUTED_VALUE"""),58.0)</f>
        <v>58</v>
      </c>
      <c r="BY100" s="3">
        <f>IFERROR(__xludf.DUMMYFUNCTION("""COMPUTED_VALUE"""),66.0)</f>
        <v>66</v>
      </c>
      <c r="BZ100" s="3">
        <f>IFERROR(__xludf.DUMMYFUNCTION("""COMPUTED_VALUE"""),71.0)</f>
        <v>71</v>
      </c>
      <c r="CA100" s="3">
        <f>IFERROR(__xludf.DUMMYFUNCTION("""COMPUTED_VALUE"""),78.0)</f>
        <v>78</v>
      </c>
      <c r="CB100" s="3">
        <f>IFERROR(__xludf.DUMMYFUNCTION("""COMPUTED_VALUE"""),85.0)</f>
        <v>85</v>
      </c>
    </row>
    <row r="101">
      <c r="A101" s="3" t="str">
        <f>IFERROR(__xludf.DUMMYFUNCTION("""COMPUTED_VALUE"""),"")</f>
        <v/>
      </c>
      <c r="B101" s="3" t="str">
        <f>IFERROR(__xludf.DUMMYFUNCTION("""COMPUTED_VALUE"""),"El Salvador")</f>
        <v>El Salvador</v>
      </c>
      <c r="C101" s="3">
        <f>IFERROR(__xludf.DUMMYFUNCTION("""COMPUTED_VALUE"""),13.7942)</f>
        <v>13.7942</v>
      </c>
      <c r="D101" s="3">
        <f>IFERROR(__xludf.DUMMYFUNCTION("""COMPUTED_VALUE"""),-88.8965)</f>
        <v>-88.8965</v>
      </c>
      <c r="E101" s="3">
        <f>IFERROR(__xludf.DUMMYFUNCTION("""COMPUTED_VALUE"""),0.0)</f>
        <v>0</v>
      </c>
      <c r="F101" s="3">
        <f>IFERROR(__xludf.DUMMYFUNCTION("""COMPUTED_VALUE"""),0.0)</f>
        <v>0</v>
      </c>
      <c r="G101" s="3">
        <f>IFERROR(__xludf.DUMMYFUNCTION("""COMPUTED_VALUE"""),0.0)</f>
        <v>0</v>
      </c>
      <c r="H101" s="3">
        <f>IFERROR(__xludf.DUMMYFUNCTION("""COMPUTED_VALUE"""),0.0)</f>
        <v>0</v>
      </c>
      <c r="I101" s="3">
        <f>IFERROR(__xludf.DUMMYFUNCTION("""COMPUTED_VALUE"""),0.0)</f>
        <v>0</v>
      </c>
      <c r="J101" s="3">
        <f>IFERROR(__xludf.DUMMYFUNCTION("""COMPUTED_VALUE"""),0.0)</f>
        <v>0</v>
      </c>
      <c r="K101" s="3">
        <f>IFERROR(__xludf.DUMMYFUNCTION("""COMPUTED_VALUE"""),0.0)</f>
        <v>0</v>
      </c>
      <c r="L101" s="3">
        <f>IFERROR(__xludf.DUMMYFUNCTION("""COMPUTED_VALUE"""),0.0)</f>
        <v>0</v>
      </c>
      <c r="M101" s="3">
        <f>IFERROR(__xludf.DUMMYFUNCTION("""COMPUTED_VALUE"""),0.0)</f>
        <v>0</v>
      </c>
      <c r="N101" s="3">
        <f>IFERROR(__xludf.DUMMYFUNCTION("""COMPUTED_VALUE"""),0.0)</f>
        <v>0</v>
      </c>
      <c r="O101" s="3">
        <f>IFERROR(__xludf.DUMMYFUNCTION("""COMPUTED_VALUE"""),0.0)</f>
        <v>0</v>
      </c>
      <c r="P101" s="3">
        <f>IFERROR(__xludf.DUMMYFUNCTION("""COMPUTED_VALUE"""),0.0)</f>
        <v>0</v>
      </c>
      <c r="Q101" s="3">
        <f>IFERROR(__xludf.DUMMYFUNCTION("""COMPUTED_VALUE"""),0.0)</f>
        <v>0</v>
      </c>
      <c r="R101" s="3">
        <f>IFERROR(__xludf.DUMMYFUNCTION("""COMPUTED_VALUE"""),0.0)</f>
        <v>0</v>
      </c>
      <c r="S101" s="3">
        <f>IFERROR(__xludf.DUMMYFUNCTION("""COMPUTED_VALUE"""),0.0)</f>
        <v>0</v>
      </c>
      <c r="T101" s="3">
        <f>IFERROR(__xludf.DUMMYFUNCTION("""COMPUTED_VALUE"""),0.0)</f>
        <v>0</v>
      </c>
      <c r="U101" s="3">
        <f>IFERROR(__xludf.DUMMYFUNCTION("""COMPUTED_VALUE"""),0.0)</f>
        <v>0</v>
      </c>
      <c r="V101" s="3">
        <f>IFERROR(__xludf.DUMMYFUNCTION("""COMPUTED_VALUE"""),0.0)</f>
        <v>0</v>
      </c>
      <c r="W101" s="3">
        <f>IFERROR(__xludf.DUMMYFUNCTION("""COMPUTED_VALUE"""),0.0)</f>
        <v>0</v>
      </c>
      <c r="X101" s="3">
        <f>IFERROR(__xludf.DUMMYFUNCTION("""COMPUTED_VALUE"""),0.0)</f>
        <v>0</v>
      </c>
      <c r="Y101" s="3">
        <f>IFERROR(__xludf.DUMMYFUNCTION("""COMPUTED_VALUE"""),0.0)</f>
        <v>0</v>
      </c>
      <c r="Z101" s="3">
        <f>IFERROR(__xludf.DUMMYFUNCTION("""COMPUTED_VALUE"""),0.0)</f>
        <v>0</v>
      </c>
      <c r="AA101" s="3">
        <f>IFERROR(__xludf.DUMMYFUNCTION("""COMPUTED_VALUE"""),0.0)</f>
        <v>0</v>
      </c>
      <c r="AB101" s="3">
        <f>IFERROR(__xludf.DUMMYFUNCTION("""COMPUTED_VALUE"""),0.0)</f>
        <v>0</v>
      </c>
      <c r="AC101" s="3">
        <f>IFERROR(__xludf.DUMMYFUNCTION("""COMPUTED_VALUE"""),0.0)</f>
        <v>0</v>
      </c>
      <c r="AD101" s="3">
        <f>IFERROR(__xludf.DUMMYFUNCTION("""COMPUTED_VALUE"""),0.0)</f>
        <v>0</v>
      </c>
      <c r="AE101" s="3">
        <f>IFERROR(__xludf.DUMMYFUNCTION("""COMPUTED_VALUE"""),0.0)</f>
        <v>0</v>
      </c>
      <c r="AF101" s="3">
        <f>IFERROR(__xludf.DUMMYFUNCTION("""COMPUTED_VALUE"""),0.0)</f>
        <v>0</v>
      </c>
      <c r="AG101" s="3">
        <f>IFERROR(__xludf.DUMMYFUNCTION("""COMPUTED_VALUE"""),0.0)</f>
        <v>0</v>
      </c>
      <c r="AH101" s="3">
        <f>IFERROR(__xludf.DUMMYFUNCTION("""COMPUTED_VALUE"""),0.0)</f>
        <v>0</v>
      </c>
      <c r="AI101" s="3">
        <f>IFERROR(__xludf.DUMMYFUNCTION("""COMPUTED_VALUE"""),0.0)</f>
        <v>0</v>
      </c>
      <c r="AJ101" s="3">
        <f>IFERROR(__xludf.DUMMYFUNCTION("""COMPUTED_VALUE"""),0.0)</f>
        <v>0</v>
      </c>
      <c r="AK101" s="3">
        <f>IFERROR(__xludf.DUMMYFUNCTION("""COMPUTED_VALUE"""),0.0)</f>
        <v>0</v>
      </c>
      <c r="AL101" s="3">
        <f>IFERROR(__xludf.DUMMYFUNCTION("""COMPUTED_VALUE"""),0.0)</f>
        <v>0</v>
      </c>
      <c r="AM101" s="3">
        <f>IFERROR(__xludf.DUMMYFUNCTION("""COMPUTED_VALUE"""),0.0)</f>
        <v>0</v>
      </c>
      <c r="AN101" s="3">
        <f>IFERROR(__xludf.DUMMYFUNCTION("""COMPUTED_VALUE"""),0.0)</f>
        <v>0</v>
      </c>
      <c r="AO101" s="3">
        <f>IFERROR(__xludf.DUMMYFUNCTION("""COMPUTED_VALUE"""),0.0)</f>
        <v>0</v>
      </c>
      <c r="AP101" s="3">
        <f>IFERROR(__xludf.DUMMYFUNCTION("""COMPUTED_VALUE"""),0.0)</f>
        <v>0</v>
      </c>
      <c r="AQ101" s="3">
        <f>IFERROR(__xludf.DUMMYFUNCTION("""COMPUTED_VALUE"""),0.0)</f>
        <v>0</v>
      </c>
      <c r="AR101" s="3">
        <f>IFERROR(__xludf.DUMMYFUNCTION("""COMPUTED_VALUE"""),0.0)</f>
        <v>0</v>
      </c>
      <c r="AS101" s="3">
        <f>IFERROR(__xludf.DUMMYFUNCTION("""COMPUTED_VALUE"""),0.0)</f>
        <v>0</v>
      </c>
      <c r="AT101" s="3">
        <f>IFERROR(__xludf.DUMMYFUNCTION("""COMPUTED_VALUE"""),0.0)</f>
        <v>0</v>
      </c>
      <c r="AU101" s="3">
        <f>IFERROR(__xludf.DUMMYFUNCTION("""COMPUTED_VALUE"""),0.0)</f>
        <v>0</v>
      </c>
      <c r="AV101" s="3">
        <f>IFERROR(__xludf.DUMMYFUNCTION("""COMPUTED_VALUE"""),0.0)</f>
        <v>0</v>
      </c>
      <c r="AW101" s="3">
        <f>IFERROR(__xludf.DUMMYFUNCTION("""COMPUTED_VALUE"""),0.0)</f>
        <v>0</v>
      </c>
      <c r="AX101" s="3">
        <f>IFERROR(__xludf.DUMMYFUNCTION("""COMPUTED_VALUE"""),0.0)</f>
        <v>0</v>
      </c>
      <c r="AY101" s="3">
        <f>IFERROR(__xludf.DUMMYFUNCTION("""COMPUTED_VALUE"""),0.0)</f>
        <v>0</v>
      </c>
      <c r="AZ101" s="3">
        <f>IFERROR(__xludf.DUMMYFUNCTION("""COMPUTED_VALUE"""),0.0)</f>
        <v>0</v>
      </c>
      <c r="BA101" s="3">
        <f>IFERROR(__xludf.DUMMYFUNCTION("""COMPUTED_VALUE"""),0.0)</f>
        <v>0</v>
      </c>
      <c r="BB101" s="3">
        <f>IFERROR(__xludf.DUMMYFUNCTION("""COMPUTED_VALUE"""),0.0)</f>
        <v>0</v>
      </c>
      <c r="BC101" s="3">
        <f>IFERROR(__xludf.DUMMYFUNCTION("""COMPUTED_VALUE"""),0.0)</f>
        <v>0</v>
      </c>
      <c r="BD101" s="3">
        <f>IFERROR(__xludf.DUMMYFUNCTION("""COMPUTED_VALUE"""),0.0)</f>
        <v>0</v>
      </c>
      <c r="BE101" s="3">
        <f>IFERROR(__xludf.DUMMYFUNCTION("""COMPUTED_VALUE"""),0.0)</f>
        <v>0</v>
      </c>
      <c r="BF101" s="3">
        <f>IFERROR(__xludf.DUMMYFUNCTION("""COMPUTED_VALUE"""),0.0)</f>
        <v>0</v>
      </c>
      <c r="BG101" s="3">
        <f>IFERROR(__xludf.DUMMYFUNCTION("""COMPUTED_VALUE"""),0.0)</f>
        <v>0</v>
      </c>
      <c r="BH101" s="3">
        <f>IFERROR(__xludf.DUMMYFUNCTION("""COMPUTED_VALUE"""),0.0)</f>
        <v>0</v>
      </c>
      <c r="BI101" s="3">
        <f>IFERROR(__xludf.DUMMYFUNCTION("""COMPUTED_VALUE"""),0.0)</f>
        <v>0</v>
      </c>
      <c r="BJ101" s="3">
        <f>IFERROR(__xludf.DUMMYFUNCTION("""COMPUTED_VALUE"""),0.0)</f>
        <v>0</v>
      </c>
      <c r="BK101" s="3">
        <f>IFERROR(__xludf.DUMMYFUNCTION("""COMPUTED_VALUE"""),0.0)</f>
        <v>0</v>
      </c>
      <c r="BL101" s="3">
        <f>IFERROR(__xludf.DUMMYFUNCTION("""COMPUTED_VALUE"""),0.0)</f>
        <v>0</v>
      </c>
      <c r="BM101" s="3">
        <f>IFERROR(__xludf.DUMMYFUNCTION("""COMPUTED_VALUE"""),0.0)</f>
        <v>0</v>
      </c>
      <c r="BN101" s="3">
        <f>IFERROR(__xludf.DUMMYFUNCTION("""COMPUTED_VALUE"""),0.0)</f>
        <v>0</v>
      </c>
      <c r="BO101" s="3">
        <f>IFERROR(__xludf.DUMMYFUNCTION("""COMPUTED_VALUE"""),0.0)</f>
        <v>0</v>
      </c>
      <c r="BP101" s="3">
        <f>IFERROR(__xludf.DUMMYFUNCTION("""COMPUTED_VALUE"""),0.0)</f>
        <v>0</v>
      </c>
      <c r="BQ101" s="3">
        <f>IFERROR(__xludf.DUMMYFUNCTION("""COMPUTED_VALUE"""),0.0)</f>
        <v>0</v>
      </c>
      <c r="BR101" s="3">
        <f>IFERROR(__xludf.DUMMYFUNCTION("""COMPUTED_VALUE"""),0.0)</f>
        <v>0</v>
      </c>
      <c r="BS101" s="3">
        <f>IFERROR(__xludf.DUMMYFUNCTION("""COMPUTED_VALUE"""),0.0)</f>
        <v>0</v>
      </c>
      <c r="BT101" s="3">
        <f>IFERROR(__xludf.DUMMYFUNCTION("""COMPUTED_VALUE"""),0.0)</f>
        <v>0</v>
      </c>
      <c r="BU101" s="3">
        <f>IFERROR(__xludf.DUMMYFUNCTION("""COMPUTED_VALUE"""),0.0)</f>
        <v>0</v>
      </c>
      <c r="BV101" s="3">
        <f>IFERROR(__xludf.DUMMYFUNCTION("""COMPUTED_VALUE"""),1.0)</f>
        <v>1</v>
      </c>
      <c r="BW101" s="3">
        <f>IFERROR(__xludf.DUMMYFUNCTION("""COMPUTED_VALUE"""),1.0)</f>
        <v>1</v>
      </c>
      <c r="BX101" s="3">
        <f>IFERROR(__xludf.DUMMYFUNCTION("""COMPUTED_VALUE"""),2.0)</f>
        <v>2</v>
      </c>
      <c r="BY101" s="3">
        <f>IFERROR(__xludf.DUMMYFUNCTION("""COMPUTED_VALUE"""),2.0)</f>
        <v>2</v>
      </c>
      <c r="BZ101" s="3">
        <f>IFERROR(__xludf.DUMMYFUNCTION("""COMPUTED_VALUE"""),3.0)</f>
        <v>3</v>
      </c>
      <c r="CA101" s="3">
        <f>IFERROR(__xludf.DUMMYFUNCTION("""COMPUTED_VALUE"""),3.0)</f>
        <v>3</v>
      </c>
      <c r="CB101" s="3">
        <f>IFERROR(__xludf.DUMMYFUNCTION("""COMPUTED_VALUE"""),4.0)</f>
        <v>4</v>
      </c>
    </row>
    <row r="102">
      <c r="A102" s="3" t="str">
        <f>IFERROR(__xludf.DUMMYFUNCTION("""COMPUTED_VALUE"""),"")</f>
        <v/>
      </c>
      <c r="B102" s="3" t="str">
        <f>IFERROR(__xludf.DUMMYFUNCTION("""COMPUTED_VALUE"""),"Equatorial Guinea")</f>
        <v>Equatorial Guinea</v>
      </c>
      <c r="C102" s="3">
        <f>IFERROR(__xludf.DUMMYFUNCTION("""COMPUTED_VALUE"""),1.5)</f>
        <v>1.5</v>
      </c>
      <c r="D102" s="3">
        <f>IFERROR(__xludf.DUMMYFUNCTION("""COMPUTED_VALUE"""),10.0)</f>
        <v>10</v>
      </c>
      <c r="E102" s="3">
        <f>IFERROR(__xludf.DUMMYFUNCTION("""COMPUTED_VALUE"""),0.0)</f>
        <v>0</v>
      </c>
      <c r="F102" s="3">
        <f>IFERROR(__xludf.DUMMYFUNCTION("""COMPUTED_VALUE"""),0.0)</f>
        <v>0</v>
      </c>
      <c r="G102" s="3">
        <f>IFERROR(__xludf.DUMMYFUNCTION("""COMPUTED_VALUE"""),0.0)</f>
        <v>0</v>
      </c>
      <c r="H102" s="3">
        <f>IFERROR(__xludf.DUMMYFUNCTION("""COMPUTED_VALUE"""),0.0)</f>
        <v>0</v>
      </c>
      <c r="I102" s="3">
        <f>IFERROR(__xludf.DUMMYFUNCTION("""COMPUTED_VALUE"""),0.0)</f>
        <v>0</v>
      </c>
      <c r="J102" s="3">
        <f>IFERROR(__xludf.DUMMYFUNCTION("""COMPUTED_VALUE"""),0.0)</f>
        <v>0</v>
      </c>
      <c r="K102" s="3">
        <f>IFERROR(__xludf.DUMMYFUNCTION("""COMPUTED_VALUE"""),0.0)</f>
        <v>0</v>
      </c>
      <c r="L102" s="3">
        <f>IFERROR(__xludf.DUMMYFUNCTION("""COMPUTED_VALUE"""),0.0)</f>
        <v>0</v>
      </c>
      <c r="M102" s="3">
        <f>IFERROR(__xludf.DUMMYFUNCTION("""COMPUTED_VALUE"""),0.0)</f>
        <v>0</v>
      </c>
      <c r="N102" s="3">
        <f>IFERROR(__xludf.DUMMYFUNCTION("""COMPUTED_VALUE"""),0.0)</f>
        <v>0</v>
      </c>
      <c r="O102" s="3">
        <f>IFERROR(__xludf.DUMMYFUNCTION("""COMPUTED_VALUE"""),0.0)</f>
        <v>0</v>
      </c>
      <c r="P102" s="3">
        <f>IFERROR(__xludf.DUMMYFUNCTION("""COMPUTED_VALUE"""),0.0)</f>
        <v>0</v>
      </c>
      <c r="Q102" s="3">
        <f>IFERROR(__xludf.DUMMYFUNCTION("""COMPUTED_VALUE"""),0.0)</f>
        <v>0</v>
      </c>
      <c r="R102" s="3">
        <f>IFERROR(__xludf.DUMMYFUNCTION("""COMPUTED_VALUE"""),0.0)</f>
        <v>0</v>
      </c>
      <c r="S102" s="3">
        <f>IFERROR(__xludf.DUMMYFUNCTION("""COMPUTED_VALUE"""),0.0)</f>
        <v>0</v>
      </c>
      <c r="T102" s="3">
        <f>IFERROR(__xludf.DUMMYFUNCTION("""COMPUTED_VALUE"""),0.0)</f>
        <v>0</v>
      </c>
      <c r="U102" s="3">
        <f>IFERROR(__xludf.DUMMYFUNCTION("""COMPUTED_VALUE"""),0.0)</f>
        <v>0</v>
      </c>
      <c r="V102" s="3">
        <f>IFERROR(__xludf.DUMMYFUNCTION("""COMPUTED_VALUE"""),0.0)</f>
        <v>0</v>
      </c>
      <c r="W102" s="3">
        <f>IFERROR(__xludf.DUMMYFUNCTION("""COMPUTED_VALUE"""),0.0)</f>
        <v>0</v>
      </c>
      <c r="X102" s="3">
        <f>IFERROR(__xludf.DUMMYFUNCTION("""COMPUTED_VALUE"""),0.0)</f>
        <v>0</v>
      </c>
      <c r="Y102" s="3">
        <f>IFERROR(__xludf.DUMMYFUNCTION("""COMPUTED_VALUE"""),0.0)</f>
        <v>0</v>
      </c>
      <c r="Z102" s="3">
        <f>IFERROR(__xludf.DUMMYFUNCTION("""COMPUTED_VALUE"""),0.0)</f>
        <v>0</v>
      </c>
      <c r="AA102" s="3">
        <f>IFERROR(__xludf.DUMMYFUNCTION("""COMPUTED_VALUE"""),0.0)</f>
        <v>0</v>
      </c>
      <c r="AB102" s="3">
        <f>IFERROR(__xludf.DUMMYFUNCTION("""COMPUTED_VALUE"""),0.0)</f>
        <v>0</v>
      </c>
      <c r="AC102" s="3">
        <f>IFERROR(__xludf.DUMMYFUNCTION("""COMPUTED_VALUE"""),0.0)</f>
        <v>0</v>
      </c>
      <c r="AD102" s="3">
        <f>IFERROR(__xludf.DUMMYFUNCTION("""COMPUTED_VALUE"""),0.0)</f>
        <v>0</v>
      </c>
      <c r="AE102" s="3">
        <f>IFERROR(__xludf.DUMMYFUNCTION("""COMPUTED_VALUE"""),0.0)</f>
        <v>0</v>
      </c>
      <c r="AF102" s="3">
        <f>IFERROR(__xludf.DUMMYFUNCTION("""COMPUTED_VALUE"""),0.0)</f>
        <v>0</v>
      </c>
      <c r="AG102" s="3">
        <f>IFERROR(__xludf.DUMMYFUNCTION("""COMPUTED_VALUE"""),0.0)</f>
        <v>0</v>
      </c>
      <c r="AH102" s="3">
        <f>IFERROR(__xludf.DUMMYFUNCTION("""COMPUTED_VALUE"""),0.0)</f>
        <v>0</v>
      </c>
      <c r="AI102" s="3">
        <f>IFERROR(__xludf.DUMMYFUNCTION("""COMPUTED_VALUE"""),0.0)</f>
        <v>0</v>
      </c>
      <c r="AJ102" s="3">
        <f>IFERROR(__xludf.DUMMYFUNCTION("""COMPUTED_VALUE"""),0.0)</f>
        <v>0</v>
      </c>
      <c r="AK102" s="3">
        <f>IFERROR(__xludf.DUMMYFUNCTION("""COMPUTED_VALUE"""),0.0)</f>
        <v>0</v>
      </c>
      <c r="AL102" s="3">
        <f>IFERROR(__xludf.DUMMYFUNCTION("""COMPUTED_VALUE"""),0.0)</f>
        <v>0</v>
      </c>
      <c r="AM102" s="3">
        <f>IFERROR(__xludf.DUMMYFUNCTION("""COMPUTED_VALUE"""),0.0)</f>
        <v>0</v>
      </c>
      <c r="AN102" s="3">
        <f>IFERROR(__xludf.DUMMYFUNCTION("""COMPUTED_VALUE"""),0.0)</f>
        <v>0</v>
      </c>
      <c r="AO102" s="3">
        <f>IFERROR(__xludf.DUMMYFUNCTION("""COMPUTED_VALUE"""),0.0)</f>
        <v>0</v>
      </c>
      <c r="AP102" s="3">
        <f>IFERROR(__xludf.DUMMYFUNCTION("""COMPUTED_VALUE"""),0.0)</f>
        <v>0</v>
      </c>
      <c r="AQ102" s="3">
        <f>IFERROR(__xludf.DUMMYFUNCTION("""COMPUTED_VALUE"""),0.0)</f>
        <v>0</v>
      </c>
      <c r="AR102" s="3">
        <f>IFERROR(__xludf.DUMMYFUNCTION("""COMPUTED_VALUE"""),0.0)</f>
        <v>0</v>
      </c>
      <c r="AS102" s="3">
        <f>IFERROR(__xludf.DUMMYFUNCTION("""COMPUTED_VALUE"""),0.0)</f>
        <v>0</v>
      </c>
      <c r="AT102" s="3">
        <f>IFERROR(__xludf.DUMMYFUNCTION("""COMPUTED_VALUE"""),0.0)</f>
        <v>0</v>
      </c>
      <c r="AU102" s="3">
        <f>IFERROR(__xludf.DUMMYFUNCTION("""COMPUTED_VALUE"""),0.0)</f>
        <v>0</v>
      </c>
      <c r="AV102" s="3">
        <f>IFERROR(__xludf.DUMMYFUNCTION("""COMPUTED_VALUE"""),0.0)</f>
        <v>0</v>
      </c>
      <c r="AW102" s="3">
        <f>IFERROR(__xludf.DUMMYFUNCTION("""COMPUTED_VALUE"""),0.0)</f>
        <v>0</v>
      </c>
      <c r="AX102" s="3">
        <f>IFERROR(__xludf.DUMMYFUNCTION("""COMPUTED_VALUE"""),0.0)</f>
        <v>0</v>
      </c>
      <c r="AY102" s="3">
        <f>IFERROR(__xludf.DUMMYFUNCTION("""COMPUTED_VALUE"""),0.0)</f>
        <v>0</v>
      </c>
      <c r="AZ102" s="3">
        <f>IFERROR(__xludf.DUMMYFUNCTION("""COMPUTED_VALUE"""),0.0)</f>
        <v>0</v>
      </c>
      <c r="BA102" s="3">
        <f>IFERROR(__xludf.DUMMYFUNCTION("""COMPUTED_VALUE"""),0.0)</f>
        <v>0</v>
      </c>
      <c r="BB102" s="3">
        <f>IFERROR(__xludf.DUMMYFUNCTION("""COMPUTED_VALUE"""),0.0)</f>
        <v>0</v>
      </c>
      <c r="BC102" s="3">
        <f>IFERROR(__xludf.DUMMYFUNCTION("""COMPUTED_VALUE"""),0.0)</f>
        <v>0</v>
      </c>
      <c r="BD102" s="3">
        <f>IFERROR(__xludf.DUMMYFUNCTION("""COMPUTED_VALUE"""),0.0)</f>
        <v>0</v>
      </c>
      <c r="BE102" s="3">
        <f>IFERROR(__xludf.DUMMYFUNCTION("""COMPUTED_VALUE"""),0.0)</f>
        <v>0</v>
      </c>
      <c r="BF102" s="3">
        <f>IFERROR(__xludf.DUMMYFUNCTION("""COMPUTED_VALUE"""),0.0)</f>
        <v>0</v>
      </c>
      <c r="BG102" s="3">
        <f>IFERROR(__xludf.DUMMYFUNCTION("""COMPUTED_VALUE"""),0.0)</f>
        <v>0</v>
      </c>
      <c r="BH102" s="3">
        <f>IFERROR(__xludf.DUMMYFUNCTION("""COMPUTED_VALUE"""),0.0)</f>
        <v>0</v>
      </c>
      <c r="BI102" s="3">
        <f>IFERROR(__xludf.DUMMYFUNCTION("""COMPUTED_VALUE"""),0.0)</f>
        <v>0</v>
      </c>
      <c r="BJ102" s="3">
        <f>IFERROR(__xludf.DUMMYFUNCTION("""COMPUTED_VALUE"""),0.0)</f>
        <v>0</v>
      </c>
      <c r="BK102" s="3">
        <f>IFERROR(__xludf.DUMMYFUNCTION("""COMPUTED_VALUE"""),0.0)</f>
        <v>0</v>
      </c>
      <c r="BL102" s="3">
        <f>IFERROR(__xludf.DUMMYFUNCTION("""COMPUTED_VALUE"""),0.0)</f>
        <v>0</v>
      </c>
      <c r="BM102" s="3">
        <f>IFERROR(__xludf.DUMMYFUNCTION("""COMPUTED_VALUE"""),0.0)</f>
        <v>0</v>
      </c>
      <c r="BN102" s="3">
        <f>IFERROR(__xludf.DUMMYFUNCTION("""COMPUTED_VALUE"""),0.0)</f>
        <v>0</v>
      </c>
      <c r="BO102" s="3">
        <f>IFERROR(__xludf.DUMMYFUNCTION("""COMPUTED_VALUE"""),0.0)</f>
        <v>0</v>
      </c>
      <c r="BP102" s="3">
        <f>IFERROR(__xludf.DUMMYFUNCTION("""COMPUTED_VALUE"""),0.0)</f>
        <v>0</v>
      </c>
      <c r="BQ102" s="3">
        <f>IFERROR(__xludf.DUMMYFUNCTION("""COMPUTED_VALUE"""),0.0)</f>
        <v>0</v>
      </c>
      <c r="BR102" s="3">
        <f>IFERROR(__xludf.DUMMYFUNCTION("""COMPUTED_VALUE"""),0.0)</f>
        <v>0</v>
      </c>
      <c r="BS102" s="3">
        <f>IFERROR(__xludf.DUMMYFUNCTION("""COMPUTED_VALUE"""),0.0)</f>
        <v>0</v>
      </c>
      <c r="BT102" s="3">
        <f>IFERROR(__xludf.DUMMYFUNCTION("""COMPUTED_VALUE"""),0.0)</f>
        <v>0</v>
      </c>
      <c r="BU102" s="3">
        <f>IFERROR(__xludf.DUMMYFUNCTION("""COMPUTED_VALUE"""),0.0)</f>
        <v>0</v>
      </c>
      <c r="BV102" s="3">
        <f>IFERROR(__xludf.DUMMYFUNCTION("""COMPUTED_VALUE"""),0.0)</f>
        <v>0</v>
      </c>
      <c r="BW102" s="3">
        <f>IFERROR(__xludf.DUMMYFUNCTION("""COMPUTED_VALUE"""),0.0)</f>
        <v>0</v>
      </c>
      <c r="BX102" s="3">
        <f>IFERROR(__xludf.DUMMYFUNCTION("""COMPUTED_VALUE"""),0.0)</f>
        <v>0</v>
      </c>
      <c r="BY102" s="3">
        <f>IFERROR(__xludf.DUMMYFUNCTION("""COMPUTED_VALUE"""),0.0)</f>
        <v>0</v>
      </c>
      <c r="BZ102" s="3">
        <f>IFERROR(__xludf.DUMMYFUNCTION("""COMPUTED_VALUE"""),0.0)</f>
        <v>0</v>
      </c>
      <c r="CA102" s="3">
        <f>IFERROR(__xludf.DUMMYFUNCTION("""COMPUTED_VALUE"""),0.0)</f>
        <v>0</v>
      </c>
      <c r="CB102" s="3">
        <f>IFERROR(__xludf.DUMMYFUNCTION("""COMPUTED_VALUE"""),0.0)</f>
        <v>0</v>
      </c>
    </row>
    <row r="103">
      <c r="A103" s="3" t="str">
        <f>IFERROR(__xludf.DUMMYFUNCTION("""COMPUTED_VALUE"""),"")</f>
        <v/>
      </c>
      <c r="B103" s="3" t="str">
        <f>IFERROR(__xludf.DUMMYFUNCTION("""COMPUTED_VALUE"""),"Eritrea")</f>
        <v>Eritrea</v>
      </c>
      <c r="C103" s="3">
        <f>IFERROR(__xludf.DUMMYFUNCTION("""COMPUTED_VALUE"""),15.1794)</f>
        <v>15.1794</v>
      </c>
      <c r="D103" s="3">
        <f>IFERROR(__xludf.DUMMYFUNCTION("""COMPUTED_VALUE"""),39.7823)</f>
        <v>39.7823</v>
      </c>
      <c r="E103" s="3">
        <f>IFERROR(__xludf.DUMMYFUNCTION("""COMPUTED_VALUE"""),0.0)</f>
        <v>0</v>
      </c>
      <c r="F103" s="3">
        <f>IFERROR(__xludf.DUMMYFUNCTION("""COMPUTED_VALUE"""),0.0)</f>
        <v>0</v>
      </c>
      <c r="G103" s="3">
        <f>IFERROR(__xludf.DUMMYFUNCTION("""COMPUTED_VALUE"""),0.0)</f>
        <v>0</v>
      </c>
      <c r="H103" s="3">
        <f>IFERROR(__xludf.DUMMYFUNCTION("""COMPUTED_VALUE"""),0.0)</f>
        <v>0</v>
      </c>
      <c r="I103" s="3">
        <f>IFERROR(__xludf.DUMMYFUNCTION("""COMPUTED_VALUE"""),0.0)</f>
        <v>0</v>
      </c>
      <c r="J103" s="3">
        <f>IFERROR(__xludf.DUMMYFUNCTION("""COMPUTED_VALUE"""),0.0)</f>
        <v>0</v>
      </c>
      <c r="K103" s="3">
        <f>IFERROR(__xludf.DUMMYFUNCTION("""COMPUTED_VALUE"""),0.0)</f>
        <v>0</v>
      </c>
      <c r="L103" s="3">
        <f>IFERROR(__xludf.DUMMYFUNCTION("""COMPUTED_VALUE"""),0.0)</f>
        <v>0</v>
      </c>
      <c r="M103" s="3">
        <f>IFERROR(__xludf.DUMMYFUNCTION("""COMPUTED_VALUE"""),0.0)</f>
        <v>0</v>
      </c>
      <c r="N103" s="3">
        <f>IFERROR(__xludf.DUMMYFUNCTION("""COMPUTED_VALUE"""),0.0)</f>
        <v>0</v>
      </c>
      <c r="O103" s="3">
        <f>IFERROR(__xludf.DUMMYFUNCTION("""COMPUTED_VALUE"""),0.0)</f>
        <v>0</v>
      </c>
      <c r="P103" s="3">
        <f>IFERROR(__xludf.DUMMYFUNCTION("""COMPUTED_VALUE"""),0.0)</f>
        <v>0</v>
      </c>
      <c r="Q103" s="3">
        <f>IFERROR(__xludf.DUMMYFUNCTION("""COMPUTED_VALUE"""),0.0)</f>
        <v>0</v>
      </c>
      <c r="R103" s="3">
        <f>IFERROR(__xludf.DUMMYFUNCTION("""COMPUTED_VALUE"""),0.0)</f>
        <v>0</v>
      </c>
      <c r="S103" s="3">
        <f>IFERROR(__xludf.DUMMYFUNCTION("""COMPUTED_VALUE"""),0.0)</f>
        <v>0</v>
      </c>
      <c r="T103" s="3">
        <f>IFERROR(__xludf.DUMMYFUNCTION("""COMPUTED_VALUE"""),0.0)</f>
        <v>0</v>
      </c>
      <c r="U103" s="3">
        <f>IFERROR(__xludf.DUMMYFUNCTION("""COMPUTED_VALUE"""),0.0)</f>
        <v>0</v>
      </c>
      <c r="V103" s="3">
        <f>IFERROR(__xludf.DUMMYFUNCTION("""COMPUTED_VALUE"""),0.0)</f>
        <v>0</v>
      </c>
      <c r="W103" s="3">
        <f>IFERROR(__xludf.DUMMYFUNCTION("""COMPUTED_VALUE"""),0.0)</f>
        <v>0</v>
      </c>
      <c r="X103" s="3">
        <f>IFERROR(__xludf.DUMMYFUNCTION("""COMPUTED_VALUE"""),0.0)</f>
        <v>0</v>
      </c>
      <c r="Y103" s="3">
        <f>IFERROR(__xludf.DUMMYFUNCTION("""COMPUTED_VALUE"""),0.0)</f>
        <v>0</v>
      </c>
      <c r="Z103" s="3">
        <f>IFERROR(__xludf.DUMMYFUNCTION("""COMPUTED_VALUE"""),0.0)</f>
        <v>0</v>
      </c>
      <c r="AA103" s="3">
        <f>IFERROR(__xludf.DUMMYFUNCTION("""COMPUTED_VALUE"""),0.0)</f>
        <v>0</v>
      </c>
      <c r="AB103" s="3">
        <f>IFERROR(__xludf.DUMMYFUNCTION("""COMPUTED_VALUE"""),0.0)</f>
        <v>0</v>
      </c>
      <c r="AC103" s="3">
        <f>IFERROR(__xludf.DUMMYFUNCTION("""COMPUTED_VALUE"""),0.0)</f>
        <v>0</v>
      </c>
      <c r="AD103" s="3">
        <f>IFERROR(__xludf.DUMMYFUNCTION("""COMPUTED_VALUE"""),0.0)</f>
        <v>0</v>
      </c>
      <c r="AE103" s="3">
        <f>IFERROR(__xludf.DUMMYFUNCTION("""COMPUTED_VALUE"""),0.0)</f>
        <v>0</v>
      </c>
      <c r="AF103" s="3">
        <f>IFERROR(__xludf.DUMMYFUNCTION("""COMPUTED_VALUE"""),0.0)</f>
        <v>0</v>
      </c>
      <c r="AG103" s="3">
        <f>IFERROR(__xludf.DUMMYFUNCTION("""COMPUTED_VALUE"""),0.0)</f>
        <v>0</v>
      </c>
      <c r="AH103" s="3">
        <f>IFERROR(__xludf.DUMMYFUNCTION("""COMPUTED_VALUE"""),0.0)</f>
        <v>0</v>
      </c>
      <c r="AI103" s="3">
        <f>IFERROR(__xludf.DUMMYFUNCTION("""COMPUTED_VALUE"""),0.0)</f>
        <v>0</v>
      </c>
      <c r="AJ103" s="3">
        <f>IFERROR(__xludf.DUMMYFUNCTION("""COMPUTED_VALUE"""),0.0)</f>
        <v>0</v>
      </c>
      <c r="AK103" s="3">
        <f>IFERROR(__xludf.DUMMYFUNCTION("""COMPUTED_VALUE"""),0.0)</f>
        <v>0</v>
      </c>
      <c r="AL103" s="3">
        <f>IFERROR(__xludf.DUMMYFUNCTION("""COMPUTED_VALUE"""),0.0)</f>
        <v>0</v>
      </c>
      <c r="AM103" s="3">
        <f>IFERROR(__xludf.DUMMYFUNCTION("""COMPUTED_VALUE"""),0.0)</f>
        <v>0</v>
      </c>
      <c r="AN103" s="3">
        <f>IFERROR(__xludf.DUMMYFUNCTION("""COMPUTED_VALUE"""),0.0)</f>
        <v>0</v>
      </c>
      <c r="AO103" s="3">
        <f>IFERROR(__xludf.DUMMYFUNCTION("""COMPUTED_VALUE"""),0.0)</f>
        <v>0</v>
      </c>
      <c r="AP103" s="3">
        <f>IFERROR(__xludf.DUMMYFUNCTION("""COMPUTED_VALUE"""),0.0)</f>
        <v>0</v>
      </c>
      <c r="AQ103" s="3">
        <f>IFERROR(__xludf.DUMMYFUNCTION("""COMPUTED_VALUE"""),0.0)</f>
        <v>0</v>
      </c>
      <c r="AR103" s="3">
        <f>IFERROR(__xludf.DUMMYFUNCTION("""COMPUTED_VALUE"""),0.0)</f>
        <v>0</v>
      </c>
      <c r="AS103" s="3">
        <f>IFERROR(__xludf.DUMMYFUNCTION("""COMPUTED_VALUE"""),0.0)</f>
        <v>0</v>
      </c>
      <c r="AT103" s="3">
        <f>IFERROR(__xludf.DUMMYFUNCTION("""COMPUTED_VALUE"""),0.0)</f>
        <v>0</v>
      </c>
      <c r="AU103" s="3">
        <f>IFERROR(__xludf.DUMMYFUNCTION("""COMPUTED_VALUE"""),0.0)</f>
        <v>0</v>
      </c>
      <c r="AV103" s="3">
        <f>IFERROR(__xludf.DUMMYFUNCTION("""COMPUTED_VALUE"""),0.0)</f>
        <v>0</v>
      </c>
      <c r="AW103" s="3">
        <f>IFERROR(__xludf.DUMMYFUNCTION("""COMPUTED_VALUE"""),0.0)</f>
        <v>0</v>
      </c>
      <c r="AX103" s="3">
        <f>IFERROR(__xludf.DUMMYFUNCTION("""COMPUTED_VALUE"""),0.0)</f>
        <v>0</v>
      </c>
      <c r="AY103" s="3">
        <f>IFERROR(__xludf.DUMMYFUNCTION("""COMPUTED_VALUE"""),0.0)</f>
        <v>0</v>
      </c>
      <c r="AZ103" s="3">
        <f>IFERROR(__xludf.DUMMYFUNCTION("""COMPUTED_VALUE"""),0.0)</f>
        <v>0</v>
      </c>
      <c r="BA103" s="3">
        <f>IFERROR(__xludf.DUMMYFUNCTION("""COMPUTED_VALUE"""),0.0)</f>
        <v>0</v>
      </c>
      <c r="BB103" s="3">
        <f>IFERROR(__xludf.DUMMYFUNCTION("""COMPUTED_VALUE"""),0.0)</f>
        <v>0</v>
      </c>
      <c r="BC103" s="3">
        <f>IFERROR(__xludf.DUMMYFUNCTION("""COMPUTED_VALUE"""),0.0)</f>
        <v>0</v>
      </c>
      <c r="BD103" s="3">
        <f>IFERROR(__xludf.DUMMYFUNCTION("""COMPUTED_VALUE"""),0.0)</f>
        <v>0</v>
      </c>
      <c r="BE103" s="3">
        <f>IFERROR(__xludf.DUMMYFUNCTION("""COMPUTED_VALUE"""),0.0)</f>
        <v>0</v>
      </c>
      <c r="BF103" s="3">
        <f>IFERROR(__xludf.DUMMYFUNCTION("""COMPUTED_VALUE"""),0.0)</f>
        <v>0</v>
      </c>
      <c r="BG103" s="3">
        <f>IFERROR(__xludf.DUMMYFUNCTION("""COMPUTED_VALUE"""),0.0)</f>
        <v>0</v>
      </c>
      <c r="BH103" s="3">
        <f>IFERROR(__xludf.DUMMYFUNCTION("""COMPUTED_VALUE"""),0.0)</f>
        <v>0</v>
      </c>
      <c r="BI103" s="3">
        <f>IFERROR(__xludf.DUMMYFUNCTION("""COMPUTED_VALUE"""),0.0)</f>
        <v>0</v>
      </c>
      <c r="BJ103" s="3">
        <f>IFERROR(__xludf.DUMMYFUNCTION("""COMPUTED_VALUE"""),0.0)</f>
        <v>0</v>
      </c>
      <c r="BK103" s="3">
        <f>IFERROR(__xludf.DUMMYFUNCTION("""COMPUTED_VALUE"""),0.0)</f>
        <v>0</v>
      </c>
      <c r="BL103" s="3">
        <f>IFERROR(__xludf.DUMMYFUNCTION("""COMPUTED_VALUE"""),0.0)</f>
        <v>0</v>
      </c>
      <c r="BM103" s="3">
        <f>IFERROR(__xludf.DUMMYFUNCTION("""COMPUTED_VALUE"""),0.0)</f>
        <v>0</v>
      </c>
      <c r="BN103" s="3">
        <f>IFERROR(__xludf.DUMMYFUNCTION("""COMPUTED_VALUE"""),0.0)</f>
        <v>0</v>
      </c>
      <c r="BO103" s="3">
        <f>IFERROR(__xludf.DUMMYFUNCTION("""COMPUTED_VALUE"""),0.0)</f>
        <v>0</v>
      </c>
      <c r="BP103" s="3">
        <f>IFERROR(__xludf.DUMMYFUNCTION("""COMPUTED_VALUE"""),0.0)</f>
        <v>0</v>
      </c>
      <c r="BQ103" s="3">
        <f>IFERROR(__xludf.DUMMYFUNCTION("""COMPUTED_VALUE"""),0.0)</f>
        <v>0</v>
      </c>
      <c r="BR103" s="3">
        <f>IFERROR(__xludf.DUMMYFUNCTION("""COMPUTED_VALUE"""),0.0)</f>
        <v>0</v>
      </c>
      <c r="BS103" s="3">
        <f>IFERROR(__xludf.DUMMYFUNCTION("""COMPUTED_VALUE"""),0.0)</f>
        <v>0</v>
      </c>
      <c r="BT103" s="3">
        <f>IFERROR(__xludf.DUMMYFUNCTION("""COMPUTED_VALUE"""),0.0)</f>
        <v>0</v>
      </c>
      <c r="BU103" s="3">
        <f>IFERROR(__xludf.DUMMYFUNCTION("""COMPUTED_VALUE"""),0.0)</f>
        <v>0</v>
      </c>
      <c r="BV103" s="3">
        <f>IFERROR(__xludf.DUMMYFUNCTION("""COMPUTED_VALUE"""),0.0)</f>
        <v>0</v>
      </c>
      <c r="BW103" s="3">
        <f>IFERROR(__xludf.DUMMYFUNCTION("""COMPUTED_VALUE"""),0.0)</f>
        <v>0</v>
      </c>
      <c r="BX103" s="3">
        <f>IFERROR(__xludf.DUMMYFUNCTION("""COMPUTED_VALUE"""),0.0)</f>
        <v>0</v>
      </c>
      <c r="BY103" s="3">
        <f>IFERROR(__xludf.DUMMYFUNCTION("""COMPUTED_VALUE"""),0.0)</f>
        <v>0</v>
      </c>
      <c r="BZ103" s="3">
        <f>IFERROR(__xludf.DUMMYFUNCTION("""COMPUTED_VALUE"""),0.0)</f>
        <v>0</v>
      </c>
      <c r="CA103" s="3">
        <f>IFERROR(__xludf.DUMMYFUNCTION("""COMPUTED_VALUE"""),0.0)</f>
        <v>0</v>
      </c>
      <c r="CB103" s="3">
        <f>IFERROR(__xludf.DUMMYFUNCTION("""COMPUTED_VALUE"""),0.0)</f>
        <v>0</v>
      </c>
    </row>
    <row r="104">
      <c r="A104" s="3" t="str">
        <f>IFERROR(__xludf.DUMMYFUNCTION("""COMPUTED_VALUE"""),"")</f>
        <v/>
      </c>
      <c r="B104" s="3" t="str">
        <f>IFERROR(__xludf.DUMMYFUNCTION("""COMPUTED_VALUE"""),"Estonia")</f>
        <v>Estonia</v>
      </c>
      <c r="C104" s="3">
        <f>IFERROR(__xludf.DUMMYFUNCTION("""COMPUTED_VALUE"""),58.5953)</f>
        <v>58.5953</v>
      </c>
      <c r="D104" s="3">
        <f>IFERROR(__xludf.DUMMYFUNCTION("""COMPUTED_VALUE"""),25.0136)</f>
        <v>25.0136</v>
      </c>
      <c r="E104" s="3">
        <f>IFERROR(__xludf.DUMMYFUNCTION("""COMPUTED_VALUE"""),0.0)</f>
        <v>0</v>
      </c>
      <c r="F104" s="3">
        <f>IFERROR(__xludf.DUMMYFUNCTION("""COMPUTED_VALUE"""),0.0)</f>
        <v>0</v>
      </c>
      <c r="G104" s="3">
        <f>IFERROR(__xludf.DUMMYFUNCTION("""COMPUTED_VALUE"""),0.0)</f>
        <v>0</v>
      </c>
      <c r="H104" s="3">
        <f>IFERROR(__xludf.DUMMYFUNCTION("""COMPUTED_VALUE"""),0.0)</f>
        <v>0</v>
      </c>
      <c r="I104" s="3">
        <f>IFERROR(__xludf.DUMMYFUNCTION("""COMPUTED_VALUE"""),0.0)</f>
        <v>0</v>
      </c>
      <c r="J104" s="3">
        <f>IFERROR(__xludf.DUMMYFUNCTION("""COMPUTED_VALUE"""),0.0)</f>
        <v>0</v>
      </c>
      <c r="K104" s="3">
        <f>IFERROR(__xludf.DUMMYFUNCTION("""COMPUTED_VALUE"""),0.0)</f>
        <v>0</v>
      </c>
      <c r="L104" s="3">
        <f>IFERROR(__xludf.DUMMYFUNCTION("""COMPUTED_VALUE"""),0.0)</f>
        <v>0</v>
      </c>
      <c r="M104" s="3">
        <f>IFERROR(__xludf.DUMMYFUNCTION("""COMPUTED_VALUE"""),0.0)</f>
        <v>0</v>
      </c>
      <c r="N104" s="3">
        <f>IFERROR(__xludf.DUMMYFUNCTION("""COMPUTED_VALUE"""),0.0)</f>
        <v>0</v>
      </c>
      <c r="O104" s="3">
        <f>IFERROR(__xludf.DUMMYFUNCTION("""COMPUTED_VALUE"""),0.0)</f>
        <v>0</v>
      </c>
      <c r="P104" s="3">
        <f>IFERROR(__xludf.DUMMYFUNCTION("""COMPUTED_VALUE"""),0.0)</f>
        <v>0</v>
      </c>
      <c r="Q104" s="3">
        <f>IFERROR(__xludf.DUMMYFUNCTION("""COMPUTED_VALUE"""),0.0)</f>
        <v>0</v>
      </c>
      <c r="R104" s="3">
        <f>IFERROR(__xludf.DUMMYFUNCTION("""COMPUTED_VALUE"""),0.0)</f>
        <v>0</v>
      </c>
      <c r="S104" s="3">
        <f>IFERROR(__xludf.DUMMYFUNCTION("""COMPUTED_VALUE"""),0.0)</f>
        <v>0</v>
      </c>
      <c r="T104" s="3">
        <f>IFERROR(__xludf.DUMMYFUNCTION("""COMPUTED_VALUE"""),0.0)</f>
        <v>0</v>
      </c>
      <c r="U104" s="3">
        <f>IFERROR(__xludf.DUMMYFUNCTION("""COMPUTED_VALUE"""),0.0)</f>
        <v>0</v>
      </c>
      <c r="V104" s="3">
        <f>IFERROR(__xludf.DUMMYFUNCTION("""COMPUTED_VALUE"""),0.0)</f>
        <v>0</v>
      </c>
      <c r="W104" s="3">
        <f>IFERROR(__xludf.DUMMYFUNCTION("""COMPUTED_VALUE"""),0.0)</f>
        <v>0</v>
      </c>
      <c r="X104" s="3">
        <f>IFERROR(__xludf.DUMMYFUNCTION("""COMPUTED_VALUE"""),0.0)</f>
        <v>0</v>
      </c>
      <c r="Y104" s="3">
        <f>IFERROR(__xludf.DUMMYFUNCTION("""COMPUTED_VALUE"""),0.0)</f>
        <v>0</v>
      </c>
      <c r="Z104" s="3">
        <f>IFERROR(__xludf.DUMMYFUNCTION("""COMPUTED_VALUE"""),0.0)</f>
        <v>0</v>
      </c>
      <c r="AA104" s="3">
        <f>IFERROR(__xludf.DUMMYFUNCTION("""COMPUTED_VALUE"""),0.0)</f>
        <v>0</v>
      </c>
      <c r="AB104" s="3">
        <f>IFERROR(__xludf.DUMMYFUNCTION("""COMPUTED_VALUE"""),0.0)</f>
        <v>0</v>
      </c>
      <c r="AC104" s="3">
        <f>IFERROR(__xludf.DUMMYFUNCTION("""COMPUTED_VALUE"""),0.0)</f>
        <v>0</v>
      </c>
      <c r="AD104" s="3">
        <f>IFERROR(__xludf.DUMMYFUNCTION("""COMPUTED_VALUE"""),0.0)</f>
        <v>0</v>
      </c>
      <c r="AE104" s="3">
        <f>IFERROR(__xludf.DUMMYFUNCTION("""COMPUTED_VALUE"""),0.0)</f>
        <v>0</v>
      </c>
      <c r="AF104" s="3">
        <f>IFERROR(__xludf.DUMMYFUNCTION("""COMPUTED_VALUE"""),0.0)</f>
        <v>0</v>
      </c>
      <c r="AG104" s="3">
        <f>IFERROR(__xludf.DUMMYFUNCTION("""COMPUTED_VALUE"""),0.0)</f>
        <v>0</v>
      </c>
      <c r="AH104" s="3">
        <f>IFERROR(__xludf.DUMMYFUNCTION("""COMPUTED_VALUE"""),0.0)</f>
        <v>0</v>
      </c>
      <c r="AI104" s="3">
        <f>IFERROR(__xludf.DUMMYFUNCTION("""COMPUTED_VALUE"""),0.0)</f>
        <v>0</v>
      </c>
      <c r="AJ104" s="3">
        <f>IFERROR(__xludf.DUMMYFUNCTION("""COMPUTED_VALUE"""),0.0)</f>
        <v>0</v>
      </c>
      <c r="AK104" s="3">
        <f>IFERROR(__xludf.DUMMYFUNCTION("""COMPUTED_VALUE"""),0.0)</f>
        <v>0</v>
      </c>
      <c r="AL104" s="3">
        <f>IFERROR(__xludf.DUMMYFUNCTION("""COMPUTED_VALUE"""),0.0)</f>
        <v>0</v>
      </c>
      <c r="AM104" s="3">
        <f>IFERROR(__xludf.DUMMYFUNCTION("""COMPUTED_VALUE"""),0.0)</f>
        <v>0</v>
      </c>
      <c r="AN104" s="3">
        <f>IFERROR(__xludf.DUMMYFUNCTION("""COMPUTED_VALUE"""),0.0)</f>
        <v>0</v>
      </c>
      <c r="AO104" s="3">
        <f>IFERROR(__xludf.DUMMYFUNCTION("""COMPUTED_VALUE"""),0.0)</f>
        <v>0</v>
      </c>
      <c r="AP104" s="3">
        <f>IFERROR(__xludf.DUMMYFUNCTION("""COMPUTED_VALUE"""),0.0)</f>
        <v>0</v>
      </c>
      <c r="AQ104" s="3">
        <f>IFERROR(__xludf.DUMMYFUNCTION("""COMPUTED_VALUE"""),0.0)</f>
        <v>0</v>
      </c>
      <c r="AR104" s="3">
        <f>IFERROR(__xludf.DUMMYFUNCTION("""COMPUTED_VALUE"""),0.0)</f>
        <v>0</v>
      </c>
      <c r="AS104" s="3">
        <f>IFERROR(__xludf.DUMMYFUNCTION("""COMPUTED_VALUE"""),0.0)</f>
        <v>0</v>
      </c>
      <c r="AT104" s="3">
        <f>IFERROR(__xludf.DUMMYFUNCTION("""COMPUTED_VALUE"""),0.0)</f>
        <v>0</v>
      </c>
      <c r="AU104" s="3">
        <f>IFERROR(__xludf.DUMMYFUNCTION("""COMPUTED_VALUE"""),0.0)</f>
        <v>0</v>
      </c>
      <c r="AV104" s="3">
        <f>IFERROR(__xludf.DUMMYFUNCTION("""COMPUTED_VALUE"""),0.0)</f>
        <v>0</v>
      </c>
      <c r="AW104" s="3">
        <f>IFERROR(__xludf.DUMMYFUNCTION("""COMPUTED_VALUE"""),0.0)</f>
        <v>0</v>
      </c>
      <c r="AX104" s="3">
        <f>IFERROR(__xludf.DUMMYFUNCTION("""COMPUTED_VALUE"""),0.0)</f>
        <v>0</v>
      </c>
      <c r="AY104" s="3">
        <f>IFERROR(__xludf.DUMMYFUNCTION("""COMPUTED_VALUE"""),0.0)</f>
        <v>0</v>
      </c>
      <c r="AZ104" s="3">
        <f>IFERROR(__xludf.DUMMYFUNCTION("""COMPUTED_VALUE"""),0.0)</f>
        <v>0</v>
      </c>
      <c r="BA104" s="3">
        <f>IFERROR(__xludf.DUMMYFUNCTION("""COMPUTED_VALUE"""),0.0)</f>
        <v>0</v>
      </c>
      <c r="BB104" s="3">
        <f>IFERROR(__xludf.DUMMYFUNCTION("""COMPUTED_VALUE"""),0.0)</f>
        <v>0</v>
      </c>
      <c r="BC104" s="3">
        <f>IFERROR(__xludf.DUMMYFUNCTION("""COMPUTED_VALUE"""),0.0)</f>
        <v>0</v>
      </c>
      <c r="BD104" s="3">
        <f>IFERROR(__xludf.DUMMYFUNCTION("""COMPUTED_VALUE"""),0.0)</f>
        <v>0</v>
      </c>
      <c r="BE104" s="3">
        <f>IFERROR(__xludf.DUMMYFUNCTION("""COMPUTED_VALUE"""),0.0)</f>
        <v>0</v>
      </c>
      <c r="BF104" s="3">
        <f>IFERROR(__xludf.DUMMYFUNCTION("""COMPUTED_VALUE"""),0.0)</f>
        <v>0</v>
      </c>
      <c r="BG104" s="3">
        <f>IFERROR(__xludf.DUMMYFUNCTION("""COMPUTED_VALUE"""),0.0)</f>
        <v>0</v>
      </c>
      <c r="BH104" s="3">
        <f>IFERROR(__xludf.DUMMYFUNCTION("""COMPUTED_VALUE"""),0.0)</f>
        <v>0</v>
      </c>
      <c r="BI104" s="3">
        <f>IFERROR(__xludf.DUMMYFUNCTION("""COMPUTED_VALUE"""),0.0)</f>
        <v>0</v>
      </c>
      <c r="BJ104" s="3">
        <f>IFERROR(__xludf.DUMMYFUNCTION("""COMPUTED_VALUE"""),0.0)</f>
        <v>0</v>
      </c>
      <c r="BK104" s="3">
        <f>IFERROR(__xludf.DUMMYFUNCTION("""COMPUTED_VALUE"""),0.0)</f>
        <v>0</v>
      </c>
      <c r="BL104" s="3">
        <f>IFERROR(__xludf.DUMMYFUNCTION("""COMPUTED_VALUE"""),0.0)</f>
        <v>0</v>
      </c>
      <c r="BM104" s="3">
        <f>IFERROR(__xludf.DUMMYFUNCTION("""COMPUTED_VALUE"""),0.0)</f>
        <v>0</v>
      </c>
      <c r="BN104" s="3">
        <f>IFERROR(__xludf.DUMMYFUNCTION("""COMPUTED_VALUE"""),0.0)</f>
        <v>0</v>
      </c>
      <c r="BO104" s="3">
        <f>IFERROR(__xludf.DUMMYFUNCTION("""COMPUTED_VALUE"""),0.0)</f>
        <v>0</v>
      </c>
      <c r="BP104" s="3">
        <f>IFERROR(__xludf.DUMMYFUNCTION("""COMPUTED_VALUE"""),1.0)</f>
        <v>1</v>
      </c>
      <c r="BQ104" s="3">
        <f>IFERROR(__xludf.DUMMYFUNCTION("""COMPUTED_VALUE"""),1.0)</f>
        <v>1</v>
      </c>
      <c r="BR104" s="3">
        <f>IFERROR(__xludf.DUMMYFUNCTION("""COMPUTED_VALUE"""),1.0)</f>
        <v>1</v>
      </c>
      <c r="BS104" s="3">
        <f>IFERROR(__xludf.DUMMYFUNCTION("""COMPUTED_VALUE"""),1.0)</f>
        <v>1</v>
      </c>
      <c r="BT104" s="3">
        <f>IFERROR(__xludf.DUMMYFUNCTION("""COMPUTED_VALUE"""),3.0)</f>
        <v>3</v>
      </c>
      <c r="BU104" s="3">
        <f>IFERROR(__xludf.DUMMYFUNCTION("""COMPUTED_VALUE"""),3.0)</f>
        <v>3</v>
      </c>
      <c r="BV104" s="3">
        <f>IFERROR(__xludf.DUMMYFUNCTION("""COMPUTED_VALUE"""),4.0)</f>
        <v>4</v>
      </c>
      <c r="BW104" s="3">
        <f>IFERROR(__xludf.DUMMYFUNCTION("""COMPUTED_VALUE"""),5.0)</f>
        <v>5</v>
      </c>
      <c r="BX104" s="3">
        <f>IFERROR(__xludf.DUMMYFUNCTION("""COMPUTED_VALUE"""),11.0)</f>
        <v>11</v>
      </c>
      <c r="BY104" s="3">
        <f>IFERROR(__xludf.DUMMYFUNCTION("""COMPUTED_VALUE"""),12.0)</f>
        <v>12</v>
      </c>
      <c r="BZ104" s="3">
        <f>IFERROR(__xludf.DUMMYFUNCTION("""COMPUTED_VALUE"""),13.0)</f>
        <v>13</v>
      </c>
      <c r="CA104" s="3">
        <f>IFERROR(__xludf.DUMMYFUNCTION("""COMPUTED_VALUE"""),15.0)</f>
        <v>15</v>
      </c>
      <c r="CB104" s="3">
        <f>IFERROR(__xludf.DUMMYFUNCTION("""COMPUTED_VALUE"""),19.0)</f>
        <v>19</v>
      </c>
    </row>
    <row r="105">
      <c r="A105" s="3" t="str">
        <f>IFERROR(__xludf.DUMMYFUNCTION("""COMPUTED_VALUE"""),"")</f>
        <v/>
      </c>
      <c r="B105" s="3" t="str">
        <f>IFERROR(__xludf.DUMMYFUNCTION("""COMPUTED_VALUE"""),"Eswatini")</f>
        <v>Eswatini</v>
      </c>
      <c r="C105" s="3">
        <f>IFERROR(__xludf.DUMMYFUNCTION("""COMPUTED_VALUE"""),-26.5225)</f>
        <v>-26.5225</v>
      </c>
      <c r="D105" s="3">
        <f>IFERROR(__xludf.DUMMYFUNCTION("""COMPUTED_VALUE"""),31.4659)</f>
        <v>31.4659</v>
      </c>
      <c r="E105" s="3">
        <f>IFERROR(__xludf.DUMMYFUNCTION("""COMPUTED_VALUE"""),0.0)</f>
        <v>0</v>
      </c>
      <c r="F105" s="3">
        <f>IFERROR(__xludf.DUMMYFUNCTION("""COMPUTED_VALUE"""),0.0)</f>
        <v>0</v>
      </c>
      <c r="G105" s="3">
        <f>IFERROR(__xludf.DUMMYFUNCTION("""COMPUTED_VALUE"""),0.0)</f>
        <v>0</v>
      </c>
      <c r="H105" s="3">
        <f>IFERROR(__xludf.DUMMYFUNCTION("""COMPUTED_VALUE"""),0.0)</f>
        <v>0</v>
      </c>
      <c r="I105" s="3">
        <f>IFERROR(__xludf.DUMMYFUNCTION("""COMPUTED_VALUE"""),0.0)</f>
        <v>0</v>
      </c>
      <c r="J105" s="3">
        <f>IFERROR(__xludf.DUMMYFUNCTION("""COMPUTED_VALUE"""),0.0)</f>
        <v>0</v>
      </c>
      <c r="K105" s="3">
        <f>IFERROR(__xludf.DUMMYFUNCTION("""COMPUTED_VALUE"""),0.0)</f>
        <v>0</v>
      </c>
      <c r="L105" s="3">
        <f>IFERROR(__xludf.DUMMYFUNCTION("""COMPUTED_VALUE"""),0.0)</f>
        <v>0</v>
      </c>
      <c r="M105" s="3">
        <f>IFERROR(__xludf.DUMMYFUNCTION("""COMPUTED_VALUE"""),0.0)</f>
        <v>0</v>
      </c>
      <c r="N105" s="3">
        <f>IFERROR(__xludf.DUMMYFUNCTION("""COMPUTED_VALUE"""),0.0)</f>
        <v>0</v>
      </c>
      <c r="O105" s="3">
        <f>IFERROR(__xludf.DUMMYFUNCTION("""COMPUTED_VALUE"""),0.0)</f>
        <v>0</v>
      </c>
      <c r="P105" s="3">
        <f>IFERROR(__xludf.DUMMYFUNCTION("""COMPUTED_VALUE"""),0.0)</f>
        <v>0</v>
      </c>
      <c r="Q105" s="3">
        <f>IFERROR(__xludf.DUMMYFUNCTION("""COMPUTED_VALUE"""),0.0)</f>
        <v>0</v>
      </c>
      <c r="R105" s="3">
        <f>IFERROR(__xludf.DUMMYFUNCTION("""COMPUTED_VALUE"""),0.0)</f>
        <v>0</v>
      </c>
      <c r="S105" s="3">
        <f>IFERROR(__xludf.DUMMYFUNCTION("""COMPUTED_VALUE"""),0.0)</f>
        <v>0</v>
      </c>
      <c r="T105" s="3">
        <f>IFERROR(__xludf.DUMMYFUNCTION("""COMPUTED_VALUE"""),0.0)</f>
        <v>0</v>
      </c>
      <c r="U105" s="3">
        <f>IFERROR(__xludf.DUMMYFUNCTION("""COMPUTED_VALUE"""),0.0)</f>
        <v>0</v>
      </c>
      <c r="V105" s="3">
        <f>IFERROR(__xludf.DUMMYFUNCTION("""COMPUTED_VALUE"""),0.0)</f>
        <v>0</v>
      </c>
      <c r="W105" s="3">
        <f>IFERROR(__xludf.DUMMYFUNCTION("""COMPUTED_VALUE"""),0.0)</f>
        <v>0</v>
      </c>
      <c r="X105" s="3">
        <f>IFERROR(__xludf.DUMMYFUNCTION("""COMPUTED_VALUE"""),0.0)</f>
        <v>0</v>
      </c>
      <c r="Y105" s="3">
        <f>IFERROR(__xludf.DUMMYFUNCTION("""COMPUTED_VALUE"""),0.0)</f>
        <v>0</v>
      </c>
      <c r="Z105" s="3">
        <f>IFERROR(__xludf.DUMMYFUNCTION("""COMPUTED_VALUE"""),0.0)</f>
        <v>0</v>
      </c>
      <c r="AA105" s="3">
        <f>IFERROR(__xludf.DUMMYFUNCTION("""COMPUTED_VALUE"""),0.0)</f>
        <v>0</v>
      </c>
      <c r="AB105" s="3">
        <f>IFERROR(__xludf.DUMMYFUNCTION("""COMPUTED_VALUE"""),0.0)</f>
        <v>0</v>
      </c>
      <c r="AC105" s="3">
        <f>IFERROR(__xludf.DUMMYFUNCTION("""COMPUTED_VALUE"""),0.0)</f>
        <v>0</v>
      </c>
      <c r="AD105" s="3">
        <f>IFERROR(__xludf.DUMMYFUNCTION("""COMPUTED_VALUE"""),0.0)</f>
        <v>0</v>
      </c>
      <c r="AE105" s="3">
        <f>IFERROR(__xludf.DUMMYFUNCTION("""COMPUTED_VALUE"""),0.0)</f>
        <v>0</v>
      </c>
      <c r="AF105" s="3">
        <f>IFERROR(__xludf.DUMMYFUNCTION("""COMPUTED_VALUE"""),0.0)</f>
        <v>0</v>
      </c>
      <c r="AG105" s="3">
        <f>IFERROR(__xludf.DUMMYFUNCTION("""COMPUTED_VALUE"""),0.0)</f>
        <v>0</v>
      </c>
      <c r="AH105" s="3">
        <f>IFERROR(__xludf.DUMMYFUNCTION("""COMPUTED_VALUE"""),0.0)</f>
        <v>0</v>
      </c>
      <c r="AI105" s="3">
        <f>IFERROR(__xludf.DUMMYFUNCTION("""COMPUTED_VALUE"""),0.0)</f>
        <v>0</v>
      </c>
      <c r="AJ105" s="3">
        <f>IFERROR(__xludf.DUMMYFUNCTION("""COMPUTED_VALUE"""),0.0)</f>
        <v>0</v>
      </c>
      <c r="AK105" s="3">
        <f>IFERROR(__xludf.DUMMYFUNCTION("""COMPUTED_VALUE"""),0.0)</f>
        <v>0</v>
      </c>
      <c r="AL105" s="3">
        <f>IFERROR(__xludf.DUMMYFUNCTION("""COMPUTED_VALUE"""),0.0)</f>
        <v>0</v>
      </c>
      <c r="AM105" s="3">
        <f>IFERROR(__xludf.DUMMYFUNCTION("""COMPUTED_VALUE"""),0.0)</f>
        <v>0</v>
      </c>
      <c r="AN105" s="3">
        <f>IFERROR(__xludf.DUMMYFUNCTION("""COMPUTED_VALUE"""),0.0)</f>
        <v>0</v>
      </c>
      <c r="AO105" s="3">
        <f>IFERROR(__xludf.DUMMYFUNCTION("""COMPUTED_VALUE"""),0.0)</f>
        <v>0</v>
      </c>
      <c r="AP105" s="3">
        <f>IFERROR(__xludf.DUMMYFUNCTION("""COMPUTED_VALUE"""),0.0)</f>
        <v>0</v>
      </c>
      <c r="AQ105" s="3">
        <f>IFERROR(__xludf.DUMMYFUNCTION("""COMPUTED_VALUE"""),0.0)</f>
        <v>0</v>
      </c>
      <c r="AR105" s="3">
        <f>IFERROR(__xludf.DUMMYFUNCTION("""COMPUTED_VALUE"""),0.0)</f>
        <v>0</v>
      </c>
      <c r="AS105" s="3">
        <f>IFERROR(__xludf.DUMMYFUNCTION("""COMPUTED_VALUE"""),0.0)</f>
        <v>0</v>
      </c>
      <c r="AT105" s="3">
        <f>IFERROR(__xludf.DUMMYFUNCTION("""COMPUTED_VALUE"""),0.0)</f>
        <v>0</v>
      </c>
      <c r="AU105" s="3">
        <f>IFERROR(__xludf.DUMMYFUNCTION("""COMPUTED_VALUE"""),0.0)</f>
        <v>0</v>
      </c>
      <c r="AV105" s="3">
        <f>IFERROR(__xludf.DUMMYFUNCTION("""COMPUTED_VALUE"""),0.0)</f>
        <v>0</v>
      </c>
      <c r="AW105" s="3">
        <f>IFERROR(__xludf.DUMMYFUNCTION("""COMPUTED_VALUE"""),0.0)</f>
        <v>0</v>
      </c>
      <c r="AX105" s="3">
        <f>IFERROR(__xludf.DUMMYFUNCTION("""COMPUTED_VALUE"""),0.0)</f>
        <v>0</v>
      </c>
      <c r="AY105" s="3">
        <f>IFERROR(__xludf.DUMMYFUNCTION("""COMPUTED_VALUE"""),0.0)</f>
        <v>0</v>
      </c>
      <c r="AZ105" s="3">
        <f>IFERROR(__xludf.DUMMYFUNCTION("""COMPUTED_VALUE"""),0.0)</f>
        <v>0</v>
      </c>
      <c r="BA105" s="3">
        <f>IFERROR(__xludf.DUMMYFUNCTION("""COMPUTED_VALUE"""),0.0)</f>
        <v>0</v>
      </c>
      <c r="BB105" s="3">
        <f>IFERROR(__xludf.DUMMYFUNCTION("""COMPUTED_VALUE"""),0.0)</f>
        <v>0</v>
      </c>
      <c r="BC105" s="3">
        <f>IFERROR(__xludf.DUMMYFUNCTION("""COMPUTED_VALUE"""),0.0)</f>
        <v>0</v>
      </c>
      <c r="BD105" s="3">
        <f>IFERROR(__xludf.DUMMYFUNCTION("""COMPUTED_VALUE"""),0.0)</f>
        <v>0</v>
      </c>
      <c r="BE105" s="3">
        <f>IFERROR(__xludf.DUMMYFUNCTION("""COMPUTED_VALUE"""),0.0)</f>
        <v>0</v>
      </c>
      <c r="BF105" s="3">
        <f>IFERROR(__xludf.DUMMYFUNCTION("""COMPUTED_VALUE"""),0.0)</f>
        <v>0</v>
      </c>
      <c r="BG105" s="3">
        <f>IFERROR(__xludf.DUMMYFUNCTION("""COMPUTED_VALUE"""),0.0)</f>
        <v>0</v>
      </c>
      <c r="BH105" s="3">
        <f>IFERROR(__xludf.DUMMYFUNCTION("""COMPUTED_VALUE"""),0.0)</f>
        <v>0</v>
      </c>
      <c r="BI105" s="3">
        <f>IFERROR(__xludf.DUMMYFUNCTION("""COMPUTED_VALUE"""),0.0)</f>
        <v>0</v>
      </c>
      <c r="BJ105" s="3">
        <f>IFERROR(__xludf.DUMMYFUNCTION("""COMPUTED_VALUE"""),0.0)</f>
        <v>0</v>
      </c>
      <c r="BK105" s="3">
        <f>IFERROR(__xludf.DUMMYFUNCTION("""COMPUTED_VALUE"""),0.0)</f>
        <v>0</v>
      </c>
      <c r="BL105" s="3">
        <f>IFERROR(__xludf.DUMMYFUNCTION("""COMPUTED_VALUE"""),0.0)</f>
        <v>0</v>
      </c>
      <c r="BM105" s="3">
        <f>IFERROR(__xludf.DUMMYFUNCTION("""COMPUTED_VALUE"""),0.0)</f>
        <v>0</v>
      </c>
      <c r="BN105" s="3">
        <f>IFERROR(__xludf.DUMMYFUNCTION("""COMPUTED_VALUE"""),0.0)</f>
        <v>0</v>
      </c>
      <c r="BO105" s="3">
        <f>IFERROR(__xludf.DUMMYFUNCTION("""COMPUTED_VALUE"""),0.0)</f>
        <v>0</v>
      </c>
      <c r="BP105" s="3">
        <f>IFERROR(__xludf.DUMMYFUNCTION("""COMPUTED_VALUE"""),0.0)</f>
        <v>0</v>
      </c>
      <c r="BQ105" s="3">
        <f>IFERROR(__xludf.DUMMYFUNCTION("""COMPUTED_VALUE"""),0.0)</f>
        <v>0</v>
      </c>
      <c r="BR105" s="3">
        <f>IFERROR(__xludf.DUMMYFUNCTION("""COMPUTED_VALUE"""),0.0)</f>
        <v>0</v>
      </c>
      <c r="BS105" s="3">
        <f>IFERROR(__xludf.DUMMYFUNCTION("""COMPUTED_VALUE"""),0.0)</f>
        <v>0</v>
      </c>
      <c r="BT105" s="3">
        <f>IFERROR(__xludf.DUMMYFUNCTION("""COMPUTED_VALUE"""),0.0)</f>
        <v>0</v>
      </c>
      <c r="BU105" s="3">
        <f>IFERROR(__xludf.DUMMYFUNCTION("""COMPUTED_VALUE"""),0.0)</f>
        <v>0</v>
      </c>
      <c r="BV105" s="3">
        <f>IFERROR(__xludf.DUMMYFUNCTION("""COMPUTED_VALUE"""),0.0)</f>
        <v>0</v>
      </c>
      <c r="BW105" s="3">
        <f>IFERROR(__xludf.DUMMYFUNCTION("""COMPUTED_VALUE"""),0.0)</f>
        <v>0</v>
      </c>
      <c r="BX105" s="3">
        <f>IFERROR(__xludf.DUMMYFUNCTION("""COMPUTED_VALUE"""),0.0)</f>
        <v>0</v>
      </c>
      <c r="BY105" s="3">
        <f>IFERROR(__xludf.DUMMYFUNCTION("""COMPUTED_VALUE"""),0.0)</f>
        <v>0</v>
      </c>
      <c r="BZ105" s="3">
        <f>IFERROR(__xludf.DUMMYFUNCTION("""COMPUTED_VALUE"""),0.0)</f>
        <v>0</v>
      </c>
      <c r="CA105" s="3">
        <f>IFERROR(__xludf.DUMMYFUNCTION("""COMPUTED_VALUE"""),0.0)</f>
        <v>0</v>
      </c>
      <c r="CB105" s="3">
        <f>IFERROR(__xludf.DUMMYFUNCTION("""COMPUTED_VALUE"""),0.0)</f>
        <v>0</v>
      </c>
    </row>
    <row r="106">
      <c r="A106" s="3" t="str">
        <f>IFERROR(__xludf.DUMMYFUNCTION("""COMPUTED_VALUE"""),"")</f>
        <v/>
      </c>
      <c r="B106" s="3" t="str">
        <f>IFERROR(__xludf.DUMMYFUNCTION("""COMPUTED_VALUE"""),"Ethiopia")</f>
        <v>Ethiopia</v>
      </c>
      <c r="C106" s="3">
        <f>IFERROR(__xludf.DUMMYFUNCTION("""COMPUTED_VALUE"""),9.145)</f>
        <v>9.145</v>
      </c>
      <c r="D106" s="3">
        <f>IFERROR(__xludf.DUMMYFUNCTION("""COMPUTED_VALUE"""),40.4897)</f>
        <v>40.4897</v>
      </c>
      <c r="E106" s="3">
        <f>IFERROR(__xludf.DUMMYFUNCTION("""COMPUTED_VALUE"""),0.0)</f>
        <v>0</v>
      </c>
      <c r="F106" s="3">
        <f>IFERROR(__xludf.DUMMYFUNCTION("""COMPUTED_VALUE"""),0.0)</f>
        <v>0</v>
      </c>
      <c r="G106" s="3">
        <f>IFERROR(__xludf.DUMMYFUNCTION("""COMPUTED_VALUE"""),0.0)</f>
        <v>0</v>
      </c>
      <c r="H106" s="3">
        <f>IFERROR(__xludf.DUMMYFUNCTION("""COMPUTED_VALUE"""),0.0)</f>
        <v>0</v>
      </c>
      <c r="I106" s="3">
        <f>IFERROR(__xludf.DUMMYFUNCTION("""COMPUTED_VALUE"""),0.0)</f>
        <v>0</v>
      </c>
      <c r="J106" s="3">
        <f>IFERROR(__xludf.DUMMYFUNCTION("""COMPUTED_VALUE"""),0.0)</f>
        <v>0</v>
      </c>
      <c r="K106" s="3">
        <f>IFERROR(__xludf.DUMMYFUNCTION("""COMPUTED_VALUE"""),0.0)</f>
        <v>0</v>
      </c>
      <c r="L106" s="3">
        <f>IFERROR(__xludf.DUMMYFUNCTION("""COMPUTED_VALUE"""),0.0)</f>
        <v>0</v>
      </c>
      <c r="M106" s="3">
        <f>IFERROR(__xludf.DUMMYFUNCTION("""COMPUTED_VALUE"""),0.0)</f>
        <v>0</v>
      </c>
      <c r="N106" s="3">
        <f>IFERROR(__xludf.DUMMYFUNCTION("""COMPUTED_VALUE"""),0.0)</f>
        <v>0</v>
      </c>
      <c r="O106" s="3">
        <f>IFERROR(__xludf.DUMMYFUNCTION("""COMPUTED_VALUE"""),0.0)</f>
        <v>0</v>
      </c>
      <c r="P106" s="3">
        <f>IFERROR(__xludf.DUMMYFUNCTION("""COMPUTED_VALUE"""),0.0)</f>
        <v>0</v>
      </c>
      <c r="Q106" s="3">
        <f>IFERROR(__xludf.DUMMYFUNCTION("""COMPUTED_VALUE"""),0.0)</f>
        <v>0</v>
      </c>
      <c r="R106" s="3">
        <f>IFERROR(__xludf.DUMMYFUNCTION("""COMPUTED_VALUE"""),0.0)</f>
        <v>0</v>
      </c>
      <c r="S106" s="3">
        <f>IFERROR(__xludf.DUMMYFUNCTION("""COMPUTED_VALUE"""),0.0)</f>
        <v>0</v>
      </c>
      <c r="T106" s="3">
        <f>IFERROR(__xludf.DUMMYFUNCTION("""COMPUTED_VALUE"""),0.0)</f>
        <v>0</v>
      </c>
      <c r="U106" s="3">
        <f>IFERROR(__xludf.DUMMYFUNCTION("""COMPUTED_VALUE"""),0.0)</f>
        <v>0</v>
      </c>
      <c r="V106" s="3">
        <f>IFERROR(__xludf.DUMMYFUNCTION("""COMPUTED_VALUE"""),0.0)</f>
        <v>0</v>
      </c>
      <c r="W106" s="3">
        <f>IFERROR(__xludf.DUMMYFUNCTION("""COMPUTED_VALUE"""),0.0)</f>
        <v>0</v>
      </c>
      <c r="X106" s="3">
        <f>IFERROR(__xludf.DUMMYFUNCTION("""COMPUTED_VALUE"""),0.0)</f>
        <v>0</v>
      </c>
      <c r="Y106" s="3">
        <f>IFERROR(__xludf.DUMMYFUNCTION("""COMPUTED_VALUE"""),0.0)</f>
        <v>0</v>
      </c>
      <c r="Z106" s="3">
        <f>IFERROR(__xludf.DUMMYFUNCTION("""COMPUTED_VALUE"""),0.0)</f>
        <v>0</v>
      </c>
      <c r="AA106" s="3">
        <f>IFERROR(__xludf.DUMMYFUNCTION("""COMPUTED_VALUE"""),0.0)</f>
        <v>0</v>
      </c>
      <c r="AB106" s="3">
        <f>IFERROR(__xludf.DUMMYFUNCTION("""COMPUTED_VALUE"""),0.0)</f>
        <v>0</v>
      </c>
      <c r="AC106" s="3">
        <f>IFERROR(__xludf.DUMMYFUNCTION("""COMPUTED_VALUE"""),0.0)</f>
        <v>0</v>
      </c>
      <c r="AD106" s="3">
        <f>IFERROR(__xludf.DUMMYFUNCTION("""COMPUTED_VALUE"""),0.0)</f>
        <v>0</v>
      </c>
      <c r="AE106" s="3">
        <f>IFERROR(__xludf.DUMMYFUNCTION("""COMPUTED_VALUE"""),0.0)</f>
        <v>0</v>
      </c>
      <c r="AF106" s="3">
        <f>IFERROR(__xludf.DUMMYFUNCTION("""COMPUTED_VALUE"""),0.0)</f>
        <v>0</v>
      </c>
      <c r="AG106" s="3">
        <f>IFERROR(__xludf.DUMMYFUNCTION("""COMPUTED_VALUE"""),0.0)</f>
        <v>0</v>
      </c>
      <c r="AH106" s="3">
        <f>IFERROR(__xludf.DUMMYFUNCTION("""COMPUTED_VALUE"""),0.0)</f>
        <v>0</v>
      </c>
      <c r="AI106" s="3">
        <f>IFERROR(__xludf.DUMMYFUNCTION("""COMPUTED_VALUE"""),0.0)</f>
        <v>0</v>
      </c>
      <c r="AJ106" s="3">
        <f>IFERROR(__xludf.DUMMYFUNCTION("""COMPUTED_VALUE"""),0.0)</f>
        <v>0</v>
      </c>
      <c r="AK106" s="3">
        <f>IFERROR(__xludf.DUMMYFUNCTION("""COMPUTED_VALUE"""),0.0)</f>
        <v>0</v>
      </c>
      <c r="AL106" s="3">
        <f>IFERROR(__xludf.DUMMYFUNCTION("""COMPUTED_VALUE"""),0.0)</f>
        <v>0</v>
      </c>
      <c r="AM106" s="3">
        <f>IFERROR(__xludf.DUMMYFUNCTION("""COMPUTED_VALUE"""),0.0)</f>
        <v>0</v>
      </c>
      <c r="AN106" s="3">
        <f>IFERROR(__xludf.DUMMYFUNCTION("""COMPUTED_VALUE"""),0.0)</f>
        <v>0</v>
      </c>
      <c r="AO106" s="3">
        <f>IFERROR(__xludf.DUMMYFUNCTION("""COMPUTED_VALUE"""),0.0)</f>
        <v>0</v>
      </c>
      <c r="AP106" s="3">
        <f>IFERROR(__xludf.DUMMYFUNCTION("""COMPUTED_VALUE"""),0.0)</f>
        <v>0</v>
      </c>
      <c r="AQ106" s="3">
        <f>IFERROR(__xludf.DUMMYFUNCTION("""COMPUTED_VALUE"""),0.0)</f>
        <v>0</v>
      </c>
      <c r="AR106" s="3">
        <f>IFERROR(__xludf.DUMMYFUNCTION("""COMPUTED_VALUE"""),0.0)</f>
        <v>0</v>
      </c>
      <c r="AS106" s="3">
        <f>IFERROR(__xludf.DUMMYFUNCTION("""COMPUTED_VALUE"""),0.0)</f>
        <v>0</v>
      </c>
      <c r="AT106" s="3">
        <f>IFERROR(__xludf.DUMMYFUNCTION("""COMPUTED_VALUE"""),0.0)</f>
        <v>0</v>
      </c>
      <c r="AU106" s="3">
        <f>IFERROR(__xludf.DUMMYFUNCTION("""COMPUTED_VALUE"""),0.0)</f>
        <v>0</v>
      </c>
      <c r="AV106" s="3">
        <f>IFERROR(__xludf.DUMMYFUNCTION("""COMPUTED_VALUE"""),0.0)</f>
        <v>0</v>
      </c>
      <c r="AW106" s="3">
        <f>IFERROR(__xludf.DUMMYFUNCTION("""COMPUTED_VALUE"""),0.0)</f>
        <v>0</v>
      </c>
      <c r="AX106" s="3">
        <f>IFERROR(__xludf.DUMMYFUNCTION("""COMPUTED_VALUE"""),0.0)</f>
        <v>0</v>
      </c>
      <c r="AY106" s="3">
        <f>IFERROR(__xludf.DUMMYFUNCTION("""COMPUTED_VALUE"""),0.0)</f>
        <v>0</v>
      </c>
      <c r="AZ106" s="3">
        <f>IFERROR(__xludf.DUMMYFUNCTION("""COMPUTED_VALUE"""),0.0)</f>
        <v>0</v>
      </c>
      <c r="BA106" s="3">
        <f>IFERROR(__xludf.DUMMYFUNCTION("""COMPUTED_VALUE"""),0.0)</f>
        <v>0</v>
      </c>
      <c r="BB106" s="3">
        <f>IFERROR(__xludf.DUMMYFUNCTION("""COMPUTED_VALUE"""),0.0)</f>
        <v>0</v>
      </c>
      <c r="BC106" s="3">
        <f>IFERROR(__xludf.DUMMYFUNCTION("""COMPUTED_VALUE"""),0.0)</f>
        <v>0</v>
      </c>
      <c r="BD106" s="3">
        <f>IFERROR(__xludf.DUMMYFUNCTION("""COMPUTED_VALUE"""),0.0)</f>
        <v>0</v>
      </c>
      <c r="BE106" s="3">
        <f>IFERROR(__xludf.DUMMYFUNCTION("""COMPUTED_VALUE"""),0.0)</f>
        <v>0</v>
      </c>
      <c r="BF106" s="3">
        <f>IFERROR(__xludf.DUMMYFUNCTION("""COMPUTED_VALUE"""),0.0)</f>
        <v>0</v>
      </c>
      <c r="BG106" s="3">
        <f>IFERROR(__xludf.DUMMYFUNCTION("""COMPUTED_VALUE"""),0.0)</f>
        <v>0</v>
      </c>
      <c r="BH106" s="3">
        <f>IFERROR(__xludf.DUMMYFUNCTION("""COMPUTED_VALUE"""),0.0)</f>
        <v>0</v>
      </c>
      <c r="BI106" s="3">
        <f>IFERROR(__xludf.DUMMYFUNCTION("""COMPUTED_VALUE"""),0.0)</f>
        <v>0</v>
      </c>
      <c r="BJ106" s="3">
        <f>IFERROR(__xludf.DUMMYFUNCTION("""COMPUTED_VALUE"""),0.0)</f>
        <v>0</v>
      </c>
      <c r="BK106" s="3">
        <f>IFERROR(__xludf.DUMMYFUNCTION("""COMPUTED_VALUE"""),0.0)</f>
        <v>0</v>
      </c>
      <c r="BL106" s="3">
        <f>IFERROR(__xludf.DUMMYFUNCTION("""COMPUTED_VALUE"""),0.0)</f>
        <v>0</v>
      </c>
      <c r="BM106" s="3">
        <f>IFERROR(__xludf.DUMMYFUNCTION("""COMPUTED_VALUE"""),0.0)</f>
        <v>0</v>
      </c>
      <c r="BN106" s="3">
        <f>IFERROR(__xludf.DUMMYFUNCTION("""COMPUTED_VALUE"""),0.0)</f>
        <v>0</v>
      </c>
      <c r="BO106" s="3">
        <f>IFERROR(__xludf.DUMMYFUNCTION("""COMPUTED_VALUE"""),0.0)</f>
        <v>0</v>
      </c>
      <c r="BP106" s="3">
        <f>IFERROR(__xludf.DUMMYFUNCTION("""COMPUTED_VALUE"""),0.0)</f>
        <v>0</v>
      </c>
      <c r="BQ106" s="3">
        <f>IFERROR(__xludf.DUMMYFUNCTION("""COMPUTED_VALUE"""),0.0)</f>
        <v>0</v>
      </c>
      <c r="BR106" s="3">
        <f>IFERROR(__xludf.DUMMYFUNCTION("""COMPUTED_VALUE"""),0.0)</f>
        <v>0</v>
      </c>
      <c r="BS106" s="3">
        <f>IFERROR(__xludf.DUMMYFUNCTION("""COMPUTED_VALUE"""),0.0)</f>
        <v>0</v>
      </c>
      <c r="BT106" s="3">
        <f>IFERROR(__xludf.DUMMYFUNCTION("""COMPUTED_VALUE"""),0.0)</f>
        <v>0</v>
      </c>
      <c r="BU106" s="3">
        <f>IFERROR(__xludf.DUMMYFUNCTION("""COMPUTED_VALUE"""),0.0)</f>
        <v>0</v>
      </c>
      <c r="BV106" s="3">
        <f>IFERROR(__xludf.DUMMYFUNCTION("""COMPUTED_VALUE"""),0.0)</f>
        <v>0</v>
      </c>
      <c r="BW106" s="3">
        <f>IFERROR(__xludf.DUMMYFUNCTION("""COMPUTED_VALUE"""),0.0)</f>
        <v>0</v>
      </c>
      <c r="BX106" s="3">
        <f>IFERROR(__xludf.DUMMYFUNCTION("""COMPUTED_VALUE"""),0.0)</f>
        <v>0</v>
      </c>
      <c r="BY106" s="3">
        <f>IFERROR(__xludf.DUMMYFUNCTION("""COMPUTED_VALUE"""),0.0)</f>
        <v>0</v>
      </c>
      <c r="BZ106" s="3">
        <f>IFERROR(__xludf.DUMMYFUNCTION("""COMPUTED_VALUE"""),0.0)</f>
        <v>0</v>
      </c>
      <c r="CA106" s="3">
        <f>IFERROR(__xludf.DUMMYFUNCTION("""COMPUTED_VALUE"""),2.0)</f>
        <v>2</v>
      </c>
      <c r="CB106" s="3">
        <f>IFERROR(__xludf.DUMMYFUNCTION("""COMPUTED_VALUE"""),2.0)</f>
        <v>2</v>
      </c>
    </row>
    <row r="107">
      <c r="A107" s="3" t="str">
        <f>IFERROR(__xludf.DUMMYFUNCTION("""COMPUTED_VALUE"""),"")</f>
        <v/>
      </c>
      <c r="B107" s="3" t="str">
        <f>IFERROR(__xludf.DUMMYFUNCTION("""COMPUTED_VALUE"""),"Fiji")</f>
        <v>Fiji</v>
      </c>
      <c r="C107" s="3">
        <f>IFERROR(__xludf.DUMMYFUNCTION("""COMPUTED_VALUE"""),-17.7134)</f>
        <v>-17.7134</v>
      </c>
      <c r="D107" s="3">
        <f>IFERROR(__xludf.DUMMYFUNCTION("""COMPUTED_VALUE"""),178.065)</f>
        <v>178.065</v>
      </c>
      <c r="E107" s="3">
        <f>IFERROR(__xludf.DUMMYFUNCTION("""COMPUTED_VALUE"""),0.0)</f>
        <v>0</v>
      </c>
      <c r="F107" s="3">
        <f>IFERROR(__xludf.DUMMYFUNCTION("""COMPUTED_VALUE"""),0.0)</f>
        <v>0</v>
      </c>
      <c r="G107" s="3">
        <f>IFERROR(__xludf.DUMMYFUNCTION("""COMPUTED_VALUE"""),0.0)</f>
        <v>0</v>
      </c>
      <c r="H107" s="3">
        <f>IFERROR(__xludf.DUMMYFUNCTION("""COMPUTED_VALUE"""),0.0)</f>
        <v>0</v>
      </c>
      <c r="I107" s="3">
        <f>IFERROR(__xludf.DUMMYFUNCTION("""COMPUTED_VALUE"""),0.0)</f>
        <v>0</v>
      </c>
      <c r="J107" s="3">
        <f>IFERROR(__xludf.DUMMYFUNCTION("""COMPUTED_VALUE"""),0.0)</f>
        <v>0</v>
      </c>
      <c r="K107" s="3">
        <f>IFERROR(__xludf.DUMMYFUNCTION("""COMPUTED_VALUE"""),0.0)</f>
        <v>0</v>
      </c>
      <c r="L107" s="3">
        <f>IFERROR(__xludf.DUMMYFUNCTION("""COMPUTED_VALUE"""),0.0)</f>
        <v>0</v>
      </c>
      <c r="M107" s="3">
        <f>IFERROR(__xludf.DUMMYFUNCTION("""COMPUTED_VALUE"""),0.0)</f>
        <v>0</v>
      </c>
      <c r="N107" s="3">
        <f>IFERROR(__xludf.DUMMYFUNCTION("""COMPUTED_VALUE"""),0.0)</f>
        <v>0</v>
      </c>
      <c r="O107" s="3">
        <f>IFERROR(__xludf.DUMMYFUNCTION("""COMPUTED_VALUE"""),0.0)</f>
        <v>0</v>
      </c>
      <c r="P107" s="3">
        <f>IFERROR(__xludf.DUMMYFUNCTION("""COMPUTED_VALUE"""),0.0)</f>
        <v>0</v>
      </c>
      <c r="Q107" s="3">
        <f>IFERROR(__xludf.DUMMYFUNCTION("""COMPUTED_VALUE"""),0.0)</f>
        <v>0</v>
      </c>
      <c r="R107" s="3">
        <f>IFERROR(__xludf.DUMMYFUNCTION("""COMPUTED_VALUE"""),0.0)</f>
        <v>0</v>
      </c>
      <c r="S107" s="3">
        <f>IFERROR(__xludf.DUMMYFUNCTION("""COMPUTED_VALUE"""),0.0)</f>
        <v>0</v>
      </c>
      <c r="T107" s="3">
        <f>IFERROR(__xludf.DUMMYFUNCTION("""COMPUTED_VALUE"""),0.0)</f>
        <v>0</v>
      </c>
      <c r="U107" s="3">
        <f>IFERROR(__xludf.DUMMYFUNCTION("""COMPUTED_VALUE"""),0.0)</f>
        <v>0</v>
      </c>
      <c r="V107" s="3">
        <f>IFERROR(__xludf.DUMMYFUNCTION("""COMPUTED_VALUE"""),0.0)</f>
        <v>0</v>
      </c>
      <c r="W107" s="3">
        <f>IFERROR(__xludf.DUMMYFUNCTION("""COMPUTED_VALUE"""),0.0)</f>
        <v>0</v>
      </c>
      <c r="X107" s="3">
        <f>IFERROR(__xludf.DUMMYFUNCTION("""COMPUTED_VALUE"""),0.0)</f>
        <v>0</v>
      </c>
      <c r="Y107" s="3">
        <f>IFERROR(__xludf.DUMMYFUNCTION("""COMPUTED_VALUE"""),0.0)</f>
        <v>0</v>
      </c>
      <c r="Z107" s="3">
        <f>IFERROR(__xludf.DUMMYFUNCTION("""COMPUTED_VALUE"""),0.0)</f>
        <v>0</v>
      </c>
      <c r="AA107" s="3">
        <f>IFERROR(__xludf.DUMMYFUNCTION("""COMPUTED_VALUE"""),0.0)</f>
        <v>0</v>
      </c>
      <c r="AB107" s="3">
        <f>IFERROR(__xludf.DUMMYFUNCTION("""COMPUTED_VALUE"""),0.0)</f>
        <v>0</v>
      </c>
      <c r="AC107" s="3">
        <f>IFERROR(__xludf.DUMMYFUNCTION("""COMPUTED_VALUE"""),0.0)</f>
        <v>0</v>
      </c>
      <c r="AD107" s="3">
        <f>IFERROR(__xludf.DUMMYFUNCTION("""COMPUTED_VALUE"""),0.0)</f>
        <v>0</v>
      </c>
      <c r="AE107" s="3">
        <f>IFERROR(__xludf.DUMMYFUNCTION("""COMPUTED_VALUE"""),0.0)</f>
        <v>0</v>
      </c>
      <c r="AF107" s="3">
        <f>IFERROR(__xludf.DUMMYFUNCTION("""COMPUTED_VALUE"""),0.0)</f>
        <v>0</v>
      </c>
      <c r="AG107" s="3">
        <f>IFERROR(__xludf.DUMMYFUNCTION("""COMPUTED_VALUE"""),0.0)</f>
        <v>0</v>
      </c>
      <c r="AH107" s="3">
        <f>IFERROR(__xludf.DUMMYFUNCTION("""COMPUTED_VALUE"""),0.0)</f>
        <v>0</v>
      </c>
      <c r="AI107" s="3">
        <f>IFERROR(__xludf.DUMMYFUNCTION("""COMPUTED_VALUE"""),0.0)</f>
        <v>0</v>
      </c>
      <c r="AJ107" s="3">
        <f>IFERROR(__xludf.DUMMYFUNCTION("""COMPUTED_VALUE"""),0.0)</f>
        <v>0</v>
      </c>
      <c r="AK107" s="3">
        <f>IFERROR(__xludf.DUMMYFUNCTION("""COMPUTED_VALUE"""),0.0)</f>
        <v>0</v>
      </c>
      <c r="AL107" s="3">
        <f>IFERROR(__xludf.DUMMYFUNCTION("""COMPUTED_VALUE"""),0.0)</f>
        <v>0</v>
      </c>
      <c r="AM107" s="3">
        <f>IFERROR(__xludf.DUMMYFUNCTION("""COMPUTED_VALUE"""),0.0)</f>
        <v>0</v>
      </c>
      <c r="AN107" s="3">
        <f>IFERROR(__xludf.DUMMYFUNCTION("""COMPUTED_VALUE"""),0.0)</f>
        <v>0</v>
      </c>
      <c r="AO107" s="3">
        <f>IFERROR(__xludf.DUMMYFUNCTION("""COMPUTED_VALUE"""),0.0)</f>
        <v>0</v>
      </c>
      <c r="AP107" s="3">
        <f>IFERROR(__xludf.DUMMYFUNCTION("""COMPUTED_VALUE"""),0.0)</f>
        <v>0</v>
      </c>
      <c r="AQ107" s="3">
        <f>IFERROR(__xludf.DUMMYFUNCTION("""COMPUTED_VALUE"""),0.0)</f>
        <v>0</v>
      </c>
      <c r="AR107" s="3">
        <f>IFERROR(__xludf.DUMMYFUNCTION("""COMPUTED_VALUE"""),0.0)</f>
        <v>0</v>
      </c>
      <c r="AS107" s="3">
        <f>IFERROR(__xludf.DUMMYFUNCTION("""COMPUTED_VALUE"""),0.0)</f>
        <v>0</v>
      </c>
      <c r="AT107" s="3">
        <f>IFERROR(__xludf.DUMMYFUNCTION("""COMPUTED_VALUE"""),0.0)</f>
        <v>0</v>
      </c>
      <c r="AU107" s="3">
        <f>IFERROR(__xludf.DUMMYFUNCTION("""COMPUTED_VALUE"""),0.0)</f>
        <v>0</v>
      </c>
      <c r="AV107" s="3">
        <f>IFERROR(__xludf.DUMMYFUNCTION("""COMPUTED_VALUE"""),0.0)</f>
        <v>0</v>
      </c>
      <c r="AW107" s="3">
        <f>IFERROR(__xludf.DUMMYFUNCTION("""COMPUTED_VALUE"""),0.0)</f>
        <v>0</v>
      </c>
      <c r="AX107" s="3">
        <f>IFERROR(__xludf.DUMMYFUNCTION("""COMPUTED_VALUE"""),0.0)</f>
        <v>0</v>
      </c>
      <c r="AY107" s="3">
        <f>IFERROR(__xludf.DUMMYFUNCTION("""COMPUTED_VALUE"""),0.0)</f>
        <v>0</v>
      </c>
      <c r="AZ107" s="3">
        <f>IFERROR(__xludf.DUMMYFUNCTION("""COMPUTED_VALUE"""),0.0)</f>
        <v>0</v>
      </c>
      <c r="BA107" s="3">
        <f>IFERROR(__xludf.DUMMYFUNCTION("""COMPUTED_VALUE"""),0.0)</f>
        <v>0</v>
      </c>
      <c r="BB107" s="3">
        <f>IFERROR(__xludf.DUMMYFUNCTION("""COMPUTED_VALUE"""),0.0)</f>
        <v>0</v>
      </c>
      <c r="BC107" s="3">
        <f>IFERROR(__xludf.DUMMYFUNCTION("""COMPUTED_VALUE"""),0.0)</f>
        <v>0</v>
      </c>
      <c r="BD107" s="3">
        <f>IFERROR(__xludf.DUMMYFUNCTION("""COMPUTED_VALUE"""),0.0)</f>
        <v>0</v>
      </c>
      <c r="BE107" s="3">
        <f>IFERROR(__xludf.DUMMYFUNCTION("""COMPUTED_VALUE"""),0.0)</f>
        <v>0</v>
      </c>
      <c r="BF107" s="3">
        <f>IFERROR(__xludf.DUMMYFUNCTION("""COMPUTED_VALUE"""),0.0)</f>
        <v>0</v>
      </c>
      <c r="BG107" s="3">
        <f>IFERROR(__xludf.DUMMYFUNCTION("""COMPUTED_VALUE"""),0.0)</f>
        <v>0</v>
      </c>
      <c r="BH107" s="3">
        <f>IFERROR(__xludf.DUMMYFUNCTION("""COMPUTED_VALUE"""),0.0)</f>
        <v>0</v>
      </c>
      <c r="BI107" s="3">
        <f>IFERROR(__xludf.DUMMYFUNCTION("""COMPUTED_VALUE"""),0.0)</f>
        <v>0</v>
      </c>
      <c r="BJ107" s="3">
        <f>IFERROR(__xludf.DUMMYFUNCTION("""COMPUTED_VALUE"""),0.0)</f>
        <v>0</v>
      </c>
      <c r="BK107" s="3">
        <f>IFERROR(__xludf.DUMMYFUNCTION("""COMPUTED_VALUE"""),0.0)</f>
        <v>0</v>
      </c>
      <c r="BL107" s="3">
        <f>IFERROR(__xludf.DUMMYFUNCTION("""COMPUTED_VALUE"""),0.0)</f>
        <v>0</v>
      </c>
      <c r="BM107" s="3">
        <f>IFERROR(__xludf.DUMMYFUNCTION("""COMPUTED_VALUE"""),0.0)</f>
        <v>0</v>
      </c>
      <c r="BN107" s="3">
        <f>IFERROR(__xludf.DUMMYFUNCTION("""COMPUTED_VALUE"""),0.0)</f>
        <v>0</v>
      </c>
      <c r="BO107" s="3">
        <f>IFERROR(__xludf.DUMMYFUNCTION("""COMPUTED_VALUE"""),0.0)</f>
        <v>0</v>
      </c>
      <c r="BP107" s="3">
        <f>IFERROR(__xludf.DUMMYFUNCTION("""COMPUTED_VALUE"""),0.0)</f>
        <v>0</v>
      </c>
      <c r="BQ107" s="3">
        <f>IFERROR(__xludf.DUMMYFUNCTION("""COMPUTED_VALUE"""),0.0)</f>
        <v>0</v>
      </c>
      <c r="BR107" s="3">
        <f>IFERROR(__xludf.DUMMYFUNCTION("""COMPUTED_VALUE"""),0.0)</f>
        <v>0</v>
      </c>
      <c r="BS107" s="3">
        <f>IFERROR(__xludf.DUMMYFUNCTION("""COMPUTED_VALUE"""),0.0)</f>
        <v>0</v>
      </c>
      <c r="BT107" s="3">
        <f>IFERROR(__xludf.DUMMYFUNCTION("""COMPUTED_VALUE"""),0.0)</f>
        <v>0</v>
      </c>
      <c r="BU107" s="3">
        <f>IFERROR(__xludf.DUMMYFUNCTION("""COMPUTED_VALUE"""),0.0)</f>
        <v>0</v>
      </c>
      <c r="BV107" s="3">
        <f>IFERROR(__xludf.DUMMYFUNCTION("""COMPUTED_VALUE"""),0.0)</f>
        <v>0</v>
      </c>
      <c r="BW107" s="3">
        <f>IFERROR(__xludf.DUMMYFUNCTION("""COMPUTED_VALUE"""),0.0)</f>
        <v>0</v>
      </c>
      <c r="BX107" s="3">
        <f>IFERROR(__xludf.DUMMYFUNCTION("""COMPUTED_VALUE"""),0.0)</f>
        <v>0</v>
      </c>
      <c r="BY107" s="3">
        <f>IFERROR(__xludf.DUMMYFUNCTION("""COMPUTED_VALUE"""),0.0)</f>
        <v>0</v>
      </c>
      <c r="BZ107" s="3">
        <f>IFERROR(__xludf.DUMMYFUNCTION("""COMPUTED_VALUE"""),0.0)</f>
        <v>0</v>
      </c>
      <c r="CA107" s="3">
        <f>IFERROR(__xludf.DUMMYFUNCTION("""COMPUTED_VALUE"""),0.0)</f>
        <v>0</v>
      </c>
      <c r="CB107" s="3">
        <f>IFERROR(__xludf.DUMMYFUNCTION("""COMPUTED_VALUE"""),0.0)</f>
        <v>0</v>
      </c>
    </row>
    <row r="108">
      <c r="A108" s="3" t="str">
        <f>IFERROR(__xludf.DUMMYFUNCTION("""COMPUTED_VALUE"""),"")</f>
        <v/>
      </c>
      <c r="B108" s="3" t="str">
        <f>IFERROR(__xludf.DUMMYFUNCTION("""COMPUTED_VALUE"""),"Finland")</f>
        <v>Finland</v>
      </c>
      <c r="C108" s="3">
        <f>IFERROR(__xludf.DUMMYFUNCTION("""COMPUTED_VALUE"""),64.0)</f>
        <v>64</v>
      </c>
      <c r="D108" s="3">
        <f>IFERROR(__xludf.DUMMYFUNCTION("""COMPUTED_VALUE"""),26.0)</f>
        <v>26</v>
      </c>
      <c r="E108" s="3">
        <f>IFERROR(__xludf.DUMMYFUNCTION("""COMPUTED_VALUE"""),0.0)</f>
        <v>0</v>
      </c>
      <c r="F108" s="3">
        <f>IFERROR(__xludf.DUMMYFUNCTION("""COMPUTED_VALUE"""),0.0)</f>
        <v>0</v>
      </c>
      <c r="G108" s="3">
        <f>IFERROR(__xludf.DUMMYFUNCTION("""COMPUTED_VALUE"""),0.0)</f>
        <v>0</v>
      </c>
      <c r="H108" s="3">
        <f>IFERROR(__xludf.DUMMYFUNCTION("""COMPUTED_VALUE"""),0.0)</f>
        <v>0</v>
      </c>
      <c r="I108" s="3">
        <f>IFERROR(__xludf.DUMMYFUNCTION("""COMPUTED_VALUE"""),0.0)</f>
        <v>0</v>
      </c>
      <c r="J108" s="3">
        <f>IFERROR(__xludf.DUMMYFUNCTION("""COMPUTED_VALUE"""),0.0)</f>
        <v>0</v>
      </c>
      <c r="K108" s="3">
        <f>IFERROR(__xludf.DUMMYFUNCTION("""COMPUTED_VALUE"""),0.0)</f>
        <v>0</v>
      </c>
      <c r="L108" s="3">
        <f>IFERROR(__xludf.DUMMYFUNCTION("""COMPUTED_VALUE"""),0.0)</f>
        <v>0</v>
      </c>
      <c r="M108" s="3">
        <f>IFERROR(__xludf.DUMMYFUNCTION("""COMPUTED_VALUE"""),0.0)</f>
        <v>0</v>
      </c>
      <c r="N108" s="3">
        <f>IFERROR(__xludf.DUMMYFUNCTION("""COMPUTED_VALUE"""),0.0)</f>
        <v>0</v>
      </c>
      <c r="O108" s="3">
        <f>IFERROR(__xludf.DUMMYFUNCTION("""COMPUTED_VALUE"""),0.0)</f>
        <v>0</v>
      </c>
      <c r="P108" s="3">
        <f>IFERROR(__xludf.DUMMYFUNCTION("""COMPUTED_VALUE"""),0.0)</f>
        <v>0</v>
      </c>
      <c r="Q108" s="3">
        <f>IFERROR(__xludf.DUMMYFUNCTION("""COMPUTED_VALUE"""),0.0)</f>
        <v>0</v>
      </c>
      <c r="R108" s="3">
        <f>IFERROR(__xludf.DUMMYFUNCTION("""COMPUTED_VALUE"""),0.0)</f>
        <v>0</v>
      </c>
      <c r="S108" s="3">
        <f>IFERROR(__xludf.DUMMYFUNCTION("""COMPUTED_VALUE"""),0.0)</f>
        <v>0</v>
      </c>
      <c r="T108" s="3">
        <f>IFERROR(__xludf.DUMMYFUNCTION("""COMPUTED_VALUE"""),0.0)</f>
        <v>0</v>
      </c>
      <c r="U108" s="3">
        <f>IFERROR(__xludf.DUMMYFUNCTION("""COMPUTED_VALUE"""),0.0)</f>
        <v>0</v>
      </c>
      <c r="V108" s="3">
        <f>IFERROR(__xludf.DUMMYFUNCTION("""COMPUTED_VALUE"""),0.0)</f>
        <v>0</v>
      </c>
      <c r="W108" s="3">
        <f>IFERROR(__xludf.DUMMYFUNCTION("""COMPUTED_VALUE"""),0.0)</f>
        <v>0</v>
      </c>
      <c r="X108" s="3">
        <f>IFERROR(__xludf.DUMMYFUNCTION("""COMPUTED_VALUE"""),0.0)</f>
        <v>0</v>
      </c>
      <c r="Y108" s="3">
        <f>IFERROR(__xludf.DUMMYFUNCTION("""COMPUTED_VALUE"""),0.0)</f>
        <v>0</v>
      </c>
      <c r="Z108" s="3">
        <f>IFERROR(__xludf.DUMMYFUNCTION("""COMPUTED_VALUE"""),0.0)</f>
        <v>0</v>
      </c>
      <c r="AA108" s="3">
        <f>IFERROR(__xludf.DUMMYFUNCTION("""COMPUTED_VALUE"""),0.0)</f>
        <v>0</v>
      </c>
      <c r="AB108" s="3">
        <f>IFERROR(__xludf.DUMMYFUNCTION("""COMPUTED_VALUE"""),0.0)</f>
        <v>0</v>
      </c>
      <c r="AC108" s="3">
        <f>IFERROR(__xludf.DUMMYFUNCTION("""COMPUTED_VALUE"""),0.0)</f>
        <v>0</v>
      </c>
      <c r="AD108" s="3">
        <f>IFERROR(__xludf.DUMMYFUNCTION("""COMPUTED_VALUE"""),0.0)</f>
        <v>0</v>
      </c>
      <c r="AE108" s="3">
        <f>IFERROR(__xludf.DUMMYFUNCTION("""COMPUTED_VALUE"""),0.0)</f>
        <v>0</v>
      </c>
      <c r="AF108" s="3">
        <f>IFERROR(__xludf.DUMMYFUNCTION("""COMPUTED_VALUE"""),0.0)</f>
        <v>0</v>
      </c>
      <c r="AG108" s="3">
        <f>IFERROR(__xludf.DUMMYFUNCTION("""COMPUTED_VALUE"""),0.0)</f>
        <v>0</v>
      </c>
      <c r="AH108" s="3">
        <f>IFERROR(__xludf.DUMMYFUNCTION("""COMPUTED_VALUE"""),0.0)</f>
        <v>0</v>
      </c>
      <c r="AI108" s="3">
        <f>IFERROR(__xludf.DUMMYFUNCTION("""COMPUTED_VALUE"""),0.0)</f>
        <v>0</v>
      </c>
      <c r="AJ108" s="3">
        <f>IFERROR(__xludf.DUMMYFUNCTION("""COMPUTED_VALUE"""),0.0)</f>
        <v>0</v>
      </c>
      <c r="AK108" s="3">
        <f>IFERROR(__xludf.DUMMYFUNCTION("""COMPUTED_VALUE"""),0.0)</f>
        <v>0</v>
      </c>
      <c r="AL108" s="3">
        <f>IFERROR(__xludf.DUMMYFUNCTION("""COMPUTED_VALUE"""),0.0)</f>
        <v>0</v>
      </c>
      <c r="AM108" s="3">
        <f>IFERROR(__xludf.DUMMYFUNCTION("""COMPUTED_VALUE"""),0.0)</f>
        <v>0</v>
      </c>
      <c r="AN108" s="3">
        <f>IFERROR(__xludf.DUMMYFUNCTION("""COMPUTED_VALUE"""),0.0)</f>
        <v>0</v>
      </c>
      <c r="AO108" s="3">
        <f>IFERROR(__xludf.DUMMYFUNCTION("""COMPUTED_VALUE"""),0.0)</f>
        <v>0</v>
      </c>
      <c r="AP108" s="3">
        <f>IFERROR(__xludf.DUMMYFUNCTION("""COMPUTED_VALUE"""),0.0)</f>
        <v>0</v>
      </c>
      <c r="AQ108" s="3">
        <f>IFERROR(__xludf.DUMMYFUNCTION("""COMPUTED_VALUE"""),0.0)</f>
        <v>0</v>
      </c>
      <c r="AR108" s="3">
        <f>IFERROR(__xludf.DUMMYFUNCTION("""COMPUTED_VALUE"""),0.0)</f>
        <v>0</v>
      </c>
      <c r="AS108" s="3">
        <f>IFERROR(__xludf.DUMMYFUNCTION("""COMPUTED_VALUE"""),0.0)</f>
        <v>0</v>
      </c>
      <c r="AT108" s="3">
        <f>IFERROR(__xludf.DUMMYFUNCTION("""COMPUTED_VALUE"""),0.0)</f>
        <v>0</v>
      </c>
      <c r="AU108" s="3">
        <f>IFERROR(__xludf.DUMMYFUNCTION("""COMPUTED_VALUE"""),0.0)</f>
        <v>0</v>
      </c>
      <c r="AV108" s="3">
        <f>IFERROR(__xludf.DUMMYFUNCTION("""COMPUTED_VALUE"""),0.0)</f>
        <v>0</v>
      </c>
      <c r="AW108" s="3">
        <f>IFERROR(__xludf.DUMMYFUNCTION("""COMPUTED_VALUE"""),0.0)</f>
        <v>0</v>
      </c>
      <c r="AX108" s="3">
        <f>IFERROR(__xludf.DUMMYFUNCTION("""COMPUTED_VALUE"""),0.0)</f>
        <v>0</v>
      </c>
      <c r="AY108" s="3">
        <f>IFERROR(__xludf.DUMMYFUNCTION("""COMPUTED_VALUE"""),0.0)</f>
        <v>0</v>
      </c>
      <c r="AZ108" s="3">
        <f>IFERROR(__xludf.DUMMYFUNCTION("""COMPUTED_VALUE"""),0.0)</f>
        <v>0</v>
      </c>
      <c r="BA108" s="3">
        <f>IFERROR(__xludf.DUMMYFUNCTION("""COMPUTED_VALUE"""),0.0)</f>
        <v>0</v>
      </c>
      <c r="BB108" s="3">
        <f>IFERROR(__xludf.DUMMYFUNCTION("""COMPUTED_VALUE"""),0.0)</f>
        <v>0</v>
      </c>
      <c r="BC108" s="3">
        <f>IFERROR(__xludf.DUMMYFUNCTION("""COMPUTED_VALUE"""),0.0)</f>
        <v>0</v>
      </c>
      <c r="BD108" s="3">
        <f>IFERROR(__xludf.DUMMYFUNCTION("""COMPUTED_VALUE"""),0.0)</f>
        <v>0</v>
      </c>
      <c r="BE108" s="3">
        <f>IFERROR(__xludf.DUMMYFUNCTION("""COMPUTED_VALUE"""),0.0)</f>
        <v>0</v>
      </c>
      <c r="BF108" s="3">
        <f>IFERROR(__xludf.DUMMYFUNCTION("""COMPUTED_VALUE"""),0.0)</f>
        <v>0</v>
      </c>
      <c r="BG108" s="3">
        <f>IFERROR(__xludf.DUMMYFUNCTION("""COMPUTED_VALUE"""),0.0)</f>
        <v>0</v>
      </c>
      <c r="BH108" s="3">
        <f>IFERROR(__xludf.DUMMYFUNCTION("""COMPUTED_VALUE"""),0.0)</f>
        <v>0</v>
      </c>
      <c r="BI108" s="3">
        <f>IFERROR(__xludf.DUMMYFUNCTION("""COMPUTED_VALUE"""),0.0)</f>
        <v>0</v>
      </c>
      <c r="BJ108" s="3">
        <f>IFERROR(__xludf.DUMMYFUNCTION("""COMPUTED_VALUE"""),0.0)</f>
        <v>0</v>
      </c>
      <c r="BK108" s="3">
        <f>IFERROR(__xludf.DUMMYFUNCTION("""COMPUTED_VALUE"""),0.0)</f>
        <v>0</v>
      </c>
      <c r="BL108" s="3">
        <f>IFERROR(__xludf.DUMMYFUNCTION("""COMPUTED_VALUE"""),1.0)</f>
        <v>1</v>
      </c>
      <c r="BM108" s="3">
        <f>IFERROR(__xludf.DUMMYFUNCTION("""COMPUTED_VALUE"""),1.0)</f>
        <v>1</v>
      </c>
      <c r="BN108" s="3">
        <f>IFERROR(__xludf.DUMMYFUNCTION("""COMPUTED_VALUE"""),1.0)</f>
        <v>1</v>
      </c>
      <c r="BO108" s="3">
        <f>IFERROR(__xludf.DUMMYFUNCTION("""COMPUTED_VALUE"""),1.0)</f>
        <v>1</v>
      </c>
      <c r="BP108" s="3">
        <f>IFERROR(__xludf.DUMMYFUNCTION("""COMPUTED_VALUE"""),3.0)</f>
        <v>3</v>
      </c>
      <c r="BQ108" s="3">
        <f>IFERROR(__xludf.DUMMYFUNCTION("""COMPUTED_VALUE"""),5.0)</f>
        <v>5</v>
      </c>
      <c r="BR108" s="3">
        <f>IFERROR(__xludf.DUMMYFUNCTION("""COMPUTED_VALUE"""),7.0)</f>
        <v>7</v>
      </c>
      <c r="BS108" s="3">
        <f>IFERROR(__xludf.DUMMYFUNCTION("""COMPUTED_VALUE"""),9.0)</f>
        <v>9</v>
      </c>
      <c r="BT108" s="3">
        <f>IFERROR(__xludf.DUMMYFUNCTION("""COMPUTED_VALUE"""),11.0)</f>
        <v>11</v>
      </c>
      <c r="BU108" s="3">
        <f>IFERROR(__xludf.DUMMYFUNCTION("""COMPUTED_VALUE"""),13.0)</f>
        <v>13</v>
      </c>
      <c r="BV108" s="3">
        <f>IFERROR(__xludf.DUMMYFUNCTION("""COMPUTED_VALUE"""),17.0)</f>
        <v>17</v>
      </c>
      <c r="BW108" s="3">
        <f>IFERROR(__xludf.DUMMYFUNCTION("""COMPUTED_VALUE"""),17.0)</f>
        <v>17</v>
      </c>
      <c r="BX108" s="3">
        <f>IFERROR(__xludf.DUMMYFUNCTION("""COMPUTED_VALUE"""),19.0)</f>
        <v>19</v>
      </c>
      <c r="BY108" s="3">
        <f>IFERROR(__xludf.DUMMYFUNCTION("""COMPUTED_VALUE"""),20.0)</f>
        <v>20</v>
      </c>
      <c r="BZ108" s="3">
        <f>IFERROR(__xludf.DUMMYFUNCTION("""COMPUTED_VALUE"""),25.0)</f>
        <v>25</v>
      </c>
      <c r="CA108" s="3">
        <f>IFERROR(__xludf.DUMMYFUNCTION("""COMPUTED_VALUE"""),28.0)</f>
        <v>28</v>
      </c>
      <c r="CB108" s="3">
        <f>IFERROR(__xludf.DUMMYFUNCTION("""COMPUTED_VALUE"""),27.0)</f>
        <v>27</v>
      </c>
    </row>
    <row r="109">
      <c r="A109" s="3" t="str">
        <f>IFERROR(__xludf.DUMMYFUNCTION("""COMPUTED_VALUE"""),"French Guiana")</f>
        <v>French Guiana</v>
      </c>
      <c r="B109" s="3" t="str">
        <f>IFERROR(__xludf.DUMMYFUNCTION("""COMPUTED_VALUE"""),"France")</f>
        <v>France</v>
      </c>
      <c r="C109" s="3">
        <f>IFERROR(__xludf.DUMMYFUNCTION("""COMPUTED_VALUE"""),3.9339)</f>
        <v>3.9339</v>
      </c>
      <c r="D109" s="3">
        <f>IFERROR(__xludf.DUMMYFUNCTION("""COMPUTED_VALUE"""),-53.1258)</f>
        <v>-53.1258</v>
      </c>
      <c r="E109" s="3">
        <f>IFERROR(__xludf.DUMMYFUNCTION("""COMPUTED_VALUE"""),0.0)</f>
        <v>0</v>
      </c>
      <c r="F109" s="3">
        <f>IFERROR(__xludf.DUMMYFUNCTION("""COMPUTED_VALUE"""),0.0)</f>
        <v>0</v>
      </c>
      <c r="G109" s="3">
        <f>IFERROR(__xludf.DUMMYFUNCTION("""COMPUTED_VALUE"""),0.0)</f>
        <v>0</v>
      </c>
      <c r="H109" s="3">
        <f>IFERROR(__xludf.DUMMYFUNCTION("""COMPUTED_VALUE"""),0.0)</f>
        <v>0</v>
      </c>
      <c r="I109" s="3">
        <f>IFERROR(__xludf.DUMMYFUNCTION("""COMPUTED_VALUE"""),0.0)</f>
        <v>0</v>
      </c>
      <c r="J109" s="3">
        <f>IFERROR(__xludf.DUMMYFUNCTION("""COMPUTED_VALUE"""),0.0)</f>
        <v>0</v>
      </c>
      <c r="K109" s="3">
        <f>IFERROR(__xludf.DUMMYFUNCTION("""COMPUTED_VALUE"""),0.0)</f>
        <v>0</v>
      </c>
      <c r="L109" s="3">
        <f>IFERROR(__xludf.DUMMYFUNCTION("""COMPUTED_VALUE"""),0.0)</f>
        <v>0</v>
      </c>
      <c r="M109" s="3">
        <f>IFERROR(__xludf.DUMMYFUNCTION("""COMPUTED_VALUE"""),0.0)</f>
        <v>0</v>
      </c>
      <c r="N109" s="3">
        <f>IFERROR(__xludf.DUMMYFUNCTION("""COMPUTED_VALUE"""),0.0)</f>
        <v>0</v>
      </c>
      <c r="O109" s="3">
        <f>IFERROR(__xludf.DUMMYFUNCTION("""COMPUTED_VALUE"""),0.0)</f>
        <v>0</v>
      </c>
      <c r="P109" s="3">
        <f>IFERROR(__xludf.DUMMYFUNCTION("""COMPUTED_VALUE"""),0.0)</f>
        <v>0</v>
      </c>
      <c r="Q109" s="3">
        <f>IFERROR(__xludf.DUMMYFUNCTION("""COMPUTED_VALUE"""),0.0)</f>
        <v>0</v>
      </c>
      <c r="R109" s="3">
        <f>IFERROR(__xludf.DUMMYFUNCTION("""COMPUTED_VALUE"""),0.0)</f>
        <v>0</v>
      </c>
      <c r="S109" s="3">
        <f>IFERROR(__xludf.DUMMYFUNCTION("""COMPUTED_VALUE"""),0.0)</f>
        <v>0</v>
      </c>
      <c r="T109" s="3">
        <f>IFERROR(__xludf.DUMMYFUNCTION("""COMPUTED_VALUE"""),0.0)</f>
        <v>0</v>
      </c>
      <c r="U109" s="3">
        <f>IFERROR(__xludf.DUMMYFUNCTION("""COMPUTED_VALUE"""),0.0)</f>
        <v>0</v>
      </c>
      <c r="V109" s="3">
        <f>IFERROR(__xludf.DUMMYFUNCTION("""COMPUTED_VALUE"""),0.0)</f>
        <v>0</v>
      </c>
      <c r="W109" s="3">
        <f>IFERROR(__xludf.DUMMYFUNCTION("""COMPUTED_VALUE"""),0.0)</f>
        <v>0</v>
      </c>
      <c r="X109" s="3">
        <f>IFERROR(__xludf.DUMMYFUNCTION("""COMPUTED_VALUE"""),0.0)</f>
        <v>0</v>
      </c>
      <c r="Y109" s="3">
        <f>IFERROR(__xludf.DUMMYFUNCTION("""COMPUTED_VALUE"""),0.0)</f>
        <v>0</v>
      </c>
      <c r="Z109" s="3">
        <f>IFERROR(__xludf.DUMMYFUNCTION("""COMPUTED_VALUE"""),0.0)</f>
        <v>0</v>
      </c>
      <c r="AA109" s="3">
        <f>IFERROR(__xludf.DUMMYFUNCTION("""COMPUTED_VALUE"""),0.0)</f>
        <v>0</v>
      </c>
      <c r="AB109" s="3">
        <f>IFERROR(__xludf.DUMMYFUNCTION("""COMPUTED_VALUE"""),0.0)</f>
        <v>0</v>
      </c>
      <c r="AC109" s="3">
        <f>IFERROR(__xludf.DUMMYFUNCTION("""COMPUTED_VALUE"""),0.0)</f>
        <v>0</v>
      </c>
      <c r="AD109" s="3">
        <f>IFERROR(__xludf.DUMMYFUNCTION("""COMPUTED_VALUE"""),0.0)</f>
        <v>0</v>
      </c>
      <c r="AE109" s="3">
        <f>IFERROR(__xludf.DUMMYFUNCTION("""COMPUTED_VALUE"""),0.0)</f>
        <v>0</v>
      </c>
      <c r="AF109" s="3">
        <f>IFERROR(__xludf.DUMMYFUNCTION("""COMPUTED_VALUE"""),0.0)</f>
        <v>0</v>
      </c>
      <c r="AG109" s="3">
        <f>IFERROR(__xludf.DUMMYFUNCTION("""COMPUTED_VALUE"""),0.0)</f>
        <v>0</v>
      </c>
      <c r="AH109" s="3">
        <f>IFERROR(__xludf.DUMMYFUNCTION("""COMPUTED_VALUE"""),0.0)</f>
        <v>0</v>
      </c>
      <c r="AI109" s="3">
        <f>IFERROR(__xludf.DUMMYFUNCTION("""COMPUTED_VALUE"""),0.0)</f>
        <v>0</v>
      </c>
      <c r="AJ109" s="3">
        <f>IFERROR(__xludf.DUMMYFUNCTION("""COMPUTED_VALUE"""),0.0)</f>
        <v>0</v>
      </c>
      <c r="AK109" s="3">
        <f>IFERROR(__xludf.DUMMYFUNCTION("""COMPUTED_VALUE"""),0.0)</f>
        <v>0</v>
      </c>
      <c r="AL109" s="3">
        <f>IFERROR(__xludf.DUMMYFUNCTION("""COMPUTED_VALUE"""),0.0)</f>
        <v>0</v>
      </c>
      <c r="AM109" s="3">
        <f>IFERROR(__xludf.DUMMYFUNCTION("""COMPUTED_VALUE"""),0.0)</f>
        <v>0</v>
      </c>
      <c r="AN109" s="3">
        <f>IFERROR(__xludf.DUMMYFUNCTION("""COMPUTED_VALUE"""),0.0)</f>
        <v>0</v>
      </c>
      <c r="AO109" s="3">
        <f>IFERROR(__xludf.DUMMYFUNCTION("""COMPUTED_VALUE"""),0.0)</f>
        <v>0</v>
      </c>
      <c r="AP109" s="3">
        <f>IFERROR(__xludf.DUMMYFUNCTION("""COMPUTED_VALUE"""),0.0)</f>
        <v>0</v>
      </c>
      <c r="AQ109" s="3">
        <f>IFERROR(__xludf.DUMMYFUNCTION("""COMPUTED_VALUE"""),0.0)</f>
        <v>0</v>
      </c>
      <c r="AR109" s="3">
        <f>IFERROR(__xludf.DUMMYFUNCTION("""COMPUTED_VALUE"""),0.0)</f>
        <v>0</v>
      </c>
      <c r="AS109" s="3">
        <f>IFERROR(__xludf.DUMMYFUNCTION("""COMPUTED_VALUE"""),0.0)</f>
        <v>0</v>
      </c>
      <c r="AT109" s="3">
        <f>IFERROR(__xludf.DUMMYFUNCTION("""COMPUTED_VALUE"""),0.0)</f>
        <v>0</v>
      </c>
      <c r="AU109" s="3">
        <f>IFERROR(__xludf.DUMMYFUNCTION("""COMPUTED_VALUE"""),0.0)</f>
        <v>0</v>
      </c>
      <c r="AV109" s="3">
        <f>IFERROR(__xludf.DUMMYFUNCTION("""COMPUTED_VALUE"""),0.0)</f>
        <v>0</v>
      </c>
      <c r="AW109" s="3">
        <f>IFERROR(__xludf.DUMMYFUNCTION("""COMPUTED_VALUE"""),0.0)</f>
        <v>0</v>
      </c>
      <c r="AX109" s="3">
        <f>IFERROR(__xludf.DUMMYFUNCTION("""COMPUTED_VALUE"""),0.0)</f>
        <v>0</v>
      </c>
      <c r="AY109" s="3">
        <f>IFERROR(__xludf.DUMMYFUNCTION("""COMPUTED_VALUE"""),0.0)</f>
        <v>0</v>
      </c>
      <c r="AZ109" s="3">
        <f>IFERROR(__xludf.DUMMYFUNCTION("""COMPUTED_VALUE"""),0.0)</f>
        <v>0</v>
      </c>
      <c r="BA109" s="3">
        <f>IFERROR(__xludf.DUMMYFUNCTION("""COMPUTED_VALUE"""),0.0)</f>
        <v>0</v>
      </c>
      <c r="BB109" s="3">
        <f>IFERROR(__xludf.DUMMYFUNCTION("""COMPUTED_VALUE"""),0.0)</f>
        <v>0</v>
      </c>
      <c r="BC109" s="3">
        <f>IFERROR(__xludf.DUMMYFUNCTION("""COMPUTED_VALUE"""),0.0)</f>
        <v>0</v>
      </c>
      <c r="BD109" s="3">
        <f>IFERROR(__xludf.DUMMYFUNCTION("""COMPUTED_VALUE"""),0.0)</f>
        <v>0</v>
      </c>
      <c r="BE109" s="3">
        <f>IFERROR(__xludf.DUMMYFUNCTION("""COMPUTED_VALUE"""),0.0)</f>
        <v>0</v>
      </c>
      <c r="BF109" s="3">
        <f>IFERROR(__xludf.DUMMYFUNCTION("""COMPUTED_VALUE"""),0.0)</f>
        <v>0</v>
      </c>
      <c r="BG109" s="3">
        <f>IFERROR(__xludf.DUMMYFUNCTION("""COMPUTED_VALUE"""),0.0)</f>
        <v>0</v>
      </c>
      <c r="BH109" s="3">
        <f>IFERROR(__xludf.DUMMYFUNCTION("""COMPUTED_VALUE"""),0.0)</f>
        <v>0</v>
      </c>
      <c r="BI109" s="3">
        <f>IFERROR(__xludf.DUMMYFUNCTION("""COMPUTED_VALUE"""),0.0)</f>
        <v>0</v>
      </c>
      <c r="BJ109" s="3">
        <f>IFERROR(__xludf.DUMMYFUNCTION("""COMPUTED_VALUE"""),0.0)</f>
        <v>0</v>
      </c>
      <c r="BK109" s="3">
        <f>IFERROR(__xludf.DUMMYFUNCTION("""COMPUTED_VALUE"""),0.0)</f>
        <v>0</v>
      </c>
      <c r="BL109" s="3">
        <f>IFERROR(__xludf.DUMMYFUNCTION("""COMPUTED_VALUE"""),0.0)</f>
        <v>0</v>
      </c>
      <c r="BM109" s="3">
        <f>IFERROR(__xludf.DUMMYFUNCTION("""COMPUTED_VALUE"""),0.0)</f>
        <v>0</v>
      </c>
      <c r="BN109" s="3">
        <f>IFERROR(__xludf.DUMMYFUNCTION("""COMPUTED_VALUE"""),0.0)</f>
        <v>0</v>
      </c>
      <c r="BO109" s="3">
        <f>IFERROR(__xludf.DUMMYFUNCTION("""COMPUTED_VALUE"""),0.0)</f>
        <v>0</v>
      </c>
      <c r="BP109" s="3">
        <f>IFERROR(__xludf.DUMMYFUNCTION("""COMPUTED_VALUE"""),0.0)</f>
        <v>0</v>
      </c>
      <c r="BQ109" s="3">
        <f>IFERROR(__xludf.DUMMYFUNCTION("""COMPUTED_VALUE"""),0.0)</f>
        <v>0</v>
      </c>
      <c r="BR109" s="3">
        <f>IFERROR(__xludf.DUMMYFUNCTION("""COMPUTED_VALUE"""),0.0)</f>
        <v>0</v>
      </c>
      <c r="BS109" s="3">
        <f>IFERROR(__xludf.DUMMYFUNCTION("""COMPUTED_VALUE"""),0.0)</f>
        <v>0</v>
      </c>
      <c r="BT109" s="3">
        <f>IFERROR(__xludf.DUMMYFUNCTION("""COMPUTED_VALUE"""),0.0)</f>
        <v>0</v>
      </c>
      <c r="BU109" s="3">
        <f>IFERROR(__xludf.DUMMYFUNCTION("""COMPUTED_VALUE"""),0.0)</f>
        <v>0</v>
      </c>
      <c r="BV109" s="3">
        <f>IFERROR(__xludf.DUMMYFUNCTION("""COMPUTED_VALUE"""),0.0)</f>
        <v>0</v>
      </c>
      <c r="BW109" s="3">
        <f>IFERROR(__xludf.DUMMYFUNCTION("""COMPUTED_VALUE"""),0.0)</f>
        <v>0</v>
      </c>
      <c r="BX109" s="3">
        <f>IFERROR(__xludf.DUMMYFUNCTION("""COMPUTED_VALUE"""),0.0)</f>
        <v>0</v>
      </c>
      <c r="BY109" s="3">
        <f>IFERROR(__xludf.DUMMYFUNCTION("""COMPUTED_VALUE"""),0.0)</f>
        <v>0</v>
      </c>
      <c r="BZ109" s="3">
        <f>IFERROR(__xludf.DUMMYFUNCTION("""COMPUTED_VALUE"""),0.0)</f>
        <v>0</v>
      </c>
      <c r="CA109" s="3">
        <f>IFERROR(__xludf.DUMMYFUNCTION("""COMPUTED_VALUE"""),0.0)</f>
        <v>0</v>
      </c>
      <c r="CB109" s="3">
        <f>IFERROR(__xludf.DUMMYFUNCTION("""COMPUTED_VALUE"""),0.0)</f>
        <v>0</v>
      </c>
    </row>
    <row r="110">
      <c r="A110" s="3" t="str">
        <f>IFERROR(__xludf.DUMMYFUNCTION("""COMPUTED_VALUE"""),"French Polynesia")</f>
        <v>French Polynesia</v>
      </c>
      <c r="B110" s="3" t="str">
        <f>IFERROR(__xludf.DUMMYFUNCTION("""COMPUTED_VALUE"""),"France")</f>
        <v>France</v>
      </c>
      <c r="C110" s="3">
        <f>IFERROR(__xludf.DUMMYFUNCTION("""COMPUTED_VALUE"""),-17.6797)</f>
        <v>-17.6797</v>
      </c>
      <c r="D110" s="3">
        <f>IFERROR(__xludf.DUMMYFUNCTION("""COMPUTED_VALUE"""),149.4068)</f>
        <v>149.4068</v>
      </c>
      <c r="E110" s="3">
        <f>IFERROR(__xludf.DUMMYFUNCTION("""COMPUTED_VALUE"""),0.0)</f>
        <v>0</v>
      </c>
      <c r="F110" s="3">
        <f>IFERROR(__xludf.DUMMYFUNCTION("""COMPUTED_VALUE"""),0.0)</f>
        <v>0</v>
      </c>
      <c r="G110" s="3">
        <f>IFERROR(__xludf.DUMMYFUNCTION("""COMPUTED_VALUE"""),0.0)</f>
        <v>0</v>
      </c>
      <c r="H110" s="3">
        <f>IFERROR(__xludf.DUMMYFUNCTION("""COMPUTED_VALUE"""),0.0)</f>
        <v>0</v>
      </c>
      <c r="I110" s="3">
        <f>IFERROR(__xludf.DUMMYFUNCTION("""COMPUTED_VALUE"""),0.0)</f>
        <v>0</v>
      </c>
      <c r="J110" s="3">
        <f>IFERROR(__xludf.DUMMYFUNCTION("""COMPUTED_VALUE"""),0.0)</f>
        <v>0</v>
      </c>
      <c r="K110" s="3">
        <f>IFERROR(__xludf.DUMMYFUNCTION("""COMPUTED_VALUE"""),0.0)</f>
        <v>0</v>
      </c>
      <c r="L110" s="3">
        <f>IFERROR(__xludf.DUMMYFUNCTION("""COMPUTED_VALUE"""),0.0)</f>
        <v>0</v>
      </c>
      <c r="M110" s="3">
        <f>IFERROR(__xludf.DUMMYFUNCTION("""COMPUTED_VALUE"""),0.0)</f>
        <v>0</v>
      </c>
      <c r="N110" s="3">
        <f>IFERROR(__xludf.DUMMYFUNCTION("""COMPUTED_VALUE"""),0.0)</f>
        <v>0</v>
      </c>
      <c r="O110" s="3">
        <f>IFERROR(__xludf.DUMMYFUNCTION("""COMPUTED_VALUE"""),0.0)</f>
        <v>0</v>
      </c>
      <c r="P110" s="3">
        <f>IFERROR(__xludf.DUMMYFUNCTION("""COMPUTED_VALUE"""),0.0)</f>
        <v>0</v>
      </c>
      <c r="Q110" s="3">
        <f>IFERROR(__xludf.DUMMYFUNCTION("""COMPUTED_VALUE"""),0.0)</f>
        <v>0</v>
      </c>
      <c r="R110" s="3">
        <f>IFERROR(__xludf.DUMMYFUNCTION("""COMPUTED_VALUE"""),0.0)</f>
        <v>0</v>
      </c>
      <c r="S110" s="3">
        <f>IFERROR(__xludf.DUMMYFUNCTION("""COMPUTED_VALUE"""),0.0)</f>
        <v>0</v>
      </c>
      <c r="T110" s="3">
        <f>IFERROR(__xludf.DUMMYFUNCTION("""COMPUTED_VALUE"""),0.0)</f>
        <v>0</v>
      </c>
      <c r="U110" s="3">
        <f>IFERROR(__xludf.DUMMYFUNCTION("""COMPUTED_VALUE"""),0.0)</f>
        <v>0</v>
      </c>
      <c r="V110" s="3">
        <f>IFERROR(__xludf.DUMMYFUNCTION("""COMPUTED_VALUE"""),0.0)</f>
        <v>0</v>
      </c>
      <c r="W110" s="3">
        <f>IFERROR(__xludf.DUMMYFUNCTION("""COMPUTED_VALUE"""),0.0)</f>
        <v>0</v>
      </c>
      <c r="X110" s="3">
        <f>IFERROR(__xludf.DUMMYFUNCTION("""COMPUTED_VALUE"""),0.0)</f>
        <v>0</v>
      </c>
      <c r="Y110" s="3">
        <f>IFERROR(__xludf.DUMMYFUNCTION("""COMPUTED_VALUE"""),0.0)</f>
        <v>0</v>
      </c>
      <c r="Z110" s="3">
        <f>IFERROR(__xludf.DUMMYFUNCTION("""COMPUTED_VALUE"""),0.0)</f>
        <v>0</v>
      </c>
      <c r="AA110" s="3">
        <f>IFERROR(__xludf.DUMMYFUNCTION("""COMPUTED_VALUE"""),0.0)</f>
        <v>0</v>
      </c>
      <c r="AB110" s="3">
        <f>IFERROR(__xludf.DUMMYFUNCTION("""COMPUTED_VALUE"""),0.0)</f>
        <v>0</v>
      </c>
      <c r="AC110" s="3">
        <f>IFERROR(__xludf.DUMMYFUNCTION("""COMPUTED_VALUE"""),0.0)</f>
        <v>0</v>
      </c>
      <c r="AD110" s="3">
        <f>IFERROR(__xludf.DUMMYFUNCTION("""COMPUTED_VALUE"""),0.0)</f>
        <v>0</v>
      </c>
      <c r="AE110" s="3">
        <f>IFERROR(__xludf.DUMMYFUNCTION("""COMPUTED_VALUE"""),0.0)</f>
        <v>0</v>
      </c>
      <c r="AF110" s="3">
        <f>IFERROR(__xludf.DUMMYFUNCTION("""COMPUTED_VALUE"""),0.0)</f>
        <v>0</v>
      </c>
      <c r="AG110" s="3">
        <f>IFERROR(__xludf.DUMMYFUNCTION("""COMPUTED_VALUE"""),0.0)</f>
        <v>0</v>
      </c>
      <c r="AH110" s="3">
        <f>IFERROR(__xludf.DUMMYFUNCTION("""COMPUTED_VALUE"""),0.0)</f>
        <v>0</v>
      </c>
      <c r="AI110" s="3">
        <f>IFERROR(__xludf.DUMMYFUNCTION("""COMPUTED_VALUE"""),0.0)</f>
        <v>0</v>
      </c>
      <c r="AJ110" s="3">
        <f>IFERROR(__xludf.DUMMYFUNCTION("""COMPUTED_VALUE"""),0.0)</f>
        <v>0</v>
      </c>
      <c r="AK110" s="3">
        <f>IFERROR(__xludf.DUMMYFUNCTION("""COMPUTED_VALUE"""),0.0)</f>
        <v>0</v>
      </c>
      <c r="AL110" s="3">
        <f>IFERROR(__xludf.DUMMYFUNCTION("""COMPUTED_VALUE"""),0.0)</f>
        <v>0</v>
      </c>
      <c r="AM110" s="3">
        <f>IFERROR(__xludf.DUMMYFUNCTION("""COMPUTED_VALUE"""),0.0)</f>
        <v>0</v>
      </c>
      <c r="AN110" s="3">
        <f>IFERROR(__xludf.DUMMYFUNCTION("""COMPUTED_VALUE"""),0.0)</f>
        <v>0</v>
      </c>
      <c r="AO110" s="3">
        <f>IFERROR(__xludf.DUMMYFUNCTION("""COMPUTED_VALUE"""),0.0)</f>
        <v>0</v>
      </c>
      <c r="AP110" s="3">
        <f>IFERROR(__xludf.DUMMYFUNCTION("""COMPUTED_VALUE"""),0.0)</f>
        <v>0</v>
      </c>
      <c r="AQ110" s="3">
        <f>IFERROR(__xludf.DUMMYFUNCTION("""COMPUTED_VALUE"""),0.0)</f>
        <v>0</v>
      </c>
      <c r="AR110" s="3">
        <f>IFERROR(__xludf.DUMMYFUNCTION("""COMPUTED_VALUE"""),0.0)</f>
        <v>0</v>
      </c>
      <c r="AS110" s="3">
        <f>IFERROR(__xludf.DUMMYFUNCTION("""COMPUTED_VALUE"""),0.0)</f>
        <v>0</v>
      </c>
      <c r="AT110" s="3">
        <f>IFERROR(__xludf.DUMMYFUNCTION("""COMPUTED_VALUE"""),0.0)</f>
        <v>0</v>
      </c>
      <c r="AU110" s="3">
        <f>IFERROR(__xludf.DUMMYFUNCTION("""COMPUTED_VALUE"""),0.0)</f>
        <v>0</v>
      </c>
      <c r="AV110" s="3">
        <f>IFERROR(__xludf.DUMMYFUNCTION("""COMPUTED_VALUE"""),0.0)</f>
        <v>0</v>
      </c>
      <c r="AW110" s="3">
        <f>IFERROR(__xludf.DUMMYFUNCTION("""COMPUTED_VALUE"""),0.0)</f>
        <v>0</v>
      </c>
      <c r="AX110" s="3">
        <f>IFERROR(__xludf.DUMMYFUNCTION("""COMPUTED_VALUE"""),0.0)</f>
        <v>0</v>
      </c>
      <c r="AY110" s="3">
        <f>IFERROR(__xludf.DUMMYFUNCTION("""COMPUTED_VALUE"""),0.0)</f>
        <v>0</v>
      </c>
      <c r="AZ110" s="3">
        <f>IFERROR(__xludf.DUMMYFUNCTION("""COMPUTED_VALUE"""),0.0)</f>
        <v>0</v>
      </c>
      <c r="BA110" s="3">
        <f>IFERROR(__xludf.DUMMYFUNCTION("""COMPUTED_VALUE"""),0.0)</f>
        <v>0</v>
      </c>
      <c r="BB110" s="3">
        <f>IFERROR(__xludf.DUMMYFUNCTION("""COMPUTED_VALUE"""),0.0)</f>
        <v>0</v>
      </c>
      <c r="BC110" s="3">
        <f>IFERROR(__xludf.DUMMYFUNCTION("""COMPUTED_VALUE"""),0.0)</f>
        <v>0</v>
      </c>
      <c r="BD110" s="3">
        <f>IFERROR(__xludf.DUMMYFUNCTION("""COMPUTED_VALUE"""),0.0)</f>
        <v>0</v>
      </c>
      <c r="BE110" s="3">
        <f>IFERROR(__xludf.DUMMYFUNCTION("""COMPUTED_VALUE"""),0.0)</f>
        <v>0</v>
      </c>
      <c r="BF110" s="3">
        <f>IFERROR(__xludf.DUMMYFUNCTION("""COMPUTED_VALUE"""),0.0)</f>
        <v>0</v>
      </c>
      <c r="BG110" s="3">
        <f>IFERROR(__xludf.DUMMYFUNCTION("""COMPUTED_VALUE"""),0.0)</f>
        <v>0</v>
      </c>
      <c r="BH110" s="3">
        <f>IFERROR(__xludf.DUMMYFUNCTION("""COMPUTED_VALUE"""),0.0)</f>
        <v>0</v>
      </c>
      <c r="BI110" s="3">
        <f>IFERROR(__xludf.DUMMYFUNCTION("""COMPUTED_VALUE"""),0.0)</f>
        <v>0</v>
      </c>
      <c r="BJ110" s="3">
        <f>IFERROR(__xludf.DUMMYFUNCTION("""COMPUTED_VALUE"""),0.0)</f>
        <v>0</v>
      </c>
      <c r="BK110" s="3">
        <f>IFERROR(__xludf.DUMMYFUNCTION("""COMPUTED_VALUE"""),0.0)</f>
        <v>0</v>
      </c>
      <c r="BL110" s="3">
        <f>IFERROR(__xludf.DUMMYFUNCTION("""COMPUTED_VALUE"""),0.0)</f>
        <v>0</v>
      </c>
      <c r="BM110" s="3">
        <f>IFERROR(__xludf.DUMMYFUNCTION("""COMPUTED_VALUE"""),0.0)</f>
        <v>0</v>
      </c>
      <c r="BN110" s="3">
        <f>IFERROR(__xludf.DUMMYFUNCTION("""COMPUTED_VALUE"""),0.0)</f>
        <v>0</v>
      </c>
      <c r="BO110" s="3">
        <f>IFERROR(__xludf.DUMMYFUNCTION("""COMPUTED_VALUE"""),0.0)</f>
        <v>0</v>
      </c>
      <c r="BP110" s="3">
        <f>IFERROR(__xludf.DUMMYFUNCTION("""COMPUTED_VALUE"""),0.0)</f>
        <v>0</v>
      </c>
      <c r="BQ110" s="3">
        <f>IFERROR(__xludf.DUMMYFUNCTION("""COMPUTED_VALUE"""),0.0)</f>
        <v>0</v>
      </c>
      <c r="BR110" s="3">
        <f>IFERROR(__xludf.DUMMYFUNCTION("""COMPUTED_VALUE"""),0.0)</f>
        <v>0</v>
      </c>
      <c r="BS110" s="3">
        <f>IFERROR(__xludf.DUMMYFUNCTION("""COMPUTED_VALUE"""),0.0)</f>
        <v>0</v>
      </c>
      <c r="BT110" s="3">
        <f>IFERROR(__xludf.DUMMYFUNCTION("""COMPUTED_VALUE"""),0.0)</f>
        <v>0</v>
      </c>
      <c r="BU110" s="3">
        <f>IFERROR(__xludf.DUMMYFUNCTION("""COMPUTED_VALUE"""),0.0)</f>
        <v>0</v>
      </c>
      <c r="BV110" s="3">
        <f>IFERROR(__xludf.DUMMYFUNCTION("""COMPUTED_VALUE"""),0.0)</f>
        <v>0</v>
      </c>
      <c r="BW110" s="3">
        <f>IFERROR(__xludf.DUMMYFUNCTION("""COMPUTED_VALUE"""),0.0)</f>
        <v>0</v>
      </c>
      <c r="BX110" s="3">
        <f>IFERROR(__xludf.DUMMYFUNCTION("""COMPUTED_VALUE"""),0.0)</f>
        <v>0</v>
      </c>
      <c r="BY110" s="3">
        <f>IFERROR(__xludf.DUMMYFUNCTION("""COMPUTED_VALUE"""),0.0)</f>
        <v>0</v>
      </c>
      <c r="BZ110" s="3">
        <f>IFERROR(__xludf.DUMMYFUNCTION("""COMPUTED_VALUE"""),0.0)</f>
        <v>0</v>
      </c>
      <c r="CA110" s="3">
        <f>IFERROR(__xludf.DUMMYFUNCTION("""COMPUTED_VALUE"""),0.0)</f>
        <v>0</v>
      </c>
      <c r="CB110" s="3">
        <f>IFERROR(__xludf.DUMMYFUNCTION("""COMPUTED_VALUE"""),0.0)</f>
        <v>0</v>
      </c>
    </row>
    <row r="111">
      <c r="A111" s="3" t="str">
        <f>IFERROR(__xludf.DUMMYFUNCTION("""COMPUTED_VALUE"""),"Guadeloupe")</f>
        <v>Guadeloupe</v>
      </c>
      <c r="B111" s="3" t="str">
        <f>IFERROR(__xludf.DUMMYFUNCTION("""COMPUTED_VALUE"""),"France")</f>
        <v>France</v>
      </c>
      <c r="C111" s="3">
        <f>IFERROR(__xludf.DUMMYFUNCTION("""COMPUTED_VALUE"""),16.25)</f>
        <v>16.25</v>
      </c>
      <c r="D111" s="3">
        <f>IFERROR(__xludf.DUMMYFUNCTION("""COMPUTED_VALUE"""),-61.5833)</f>
        <v>-61.5833</v>
      </c>
      <c r="E111" s="3">
        <f>IFERROR(__xludf.DUMMYFUNCTION("""COMPUTED_VALUE"""),0.0)</f>
        <v>0</v>
      </c>
      <c r="F111" s="3">
        <f>IFERROR(__xludf.DUMMYFUNCTION("""COMPUTED_VALUE"""),0.0)</f>
        <v>0</v>
      </c>
      <c r="G111" s="3">
        <f>IFERROR(__xludf.DUMMYFUNCTION("""COMPUTED_VALUE"""),0.0)</f>
        <v>0</v>
      </c>
      <c r="H111" s="3">
        <f>IFERROR(__xludf.DUMMYFUNCTION("""COMPUTED_VALUE"""),0.0)</f>
        <v>0</v>
      </c>
      <c r="I111" s="3">
        <f>IFERROR(__xludf.DUMMYFUNCTION("""COMPUTED_VALUE"""),0.0)</f>
        <v>0</v>
      </c>
      <c r="J111" s="3">
        <f>IFERROR(__xludf.DUMMYFUNCTION("""COMPUTED_VALUE"""),0.0)</f>
        <v>0</v>
      </c>
      <c r="K111" s="3">
        <f>IFERROR(__xludf.DUMMYFUNCTION("""COMPUTED_VALUE"""),0.0)</f>
        <v>0</v>
      </c>
      <c r="L111" s="3">
        <f>IFERROR(__xludf.DUMMYFUNCTION("""COMPUTED_VALUE"""),0.0)</f>
        <v>0</v>
      </c>
      <c r="M111" s="3">
        <f>IFERROR(__xludf.DUMMYFUNCTION("""COMPUTED_VALUE"""),0.0)</f>
        <v>0</v>
      </c>
      <c r="N111" s="3">
        <f>IFERROR(__xludf.DUMMYFUNCTION("""COMPUTED_VALUE"""),0.0)</f>
        <v>0</v>
      </c>
      <c r="O111" s="3">
        <f>IFERROR(__xludf.DUMMYFUNCTION("""COMPUTED_VALUE"""),0.0)</f>
        <v>0</v>
      </c>
      <c r="P111" s="3">
        <f>IFERROR(__xludf.DUMMYFUNCTION("""COMPUTED_VALUE"""),0.0)</f>
        <v>0</v>
      </c>
      <c r="Q111" s="3">
        <f>IFERROR(__xludf.DUMMYFUNCTION("""COMPUTED_VALUE"""),0.0)</f>
        <v>0</v>
      </c>
      <c r="R111" s="3">
        <f>IFERROR(__xludf.DUMMYFUNCTION("""COMPUTED_VALUE"""),0.0)</f>
        <v>0</v>
      </c>
      <c r="S111" s="3">
        <f>IFERROR(__xludf.DUMMYFUNCTION("""COMPUTED_VALUE"""),0.0)</f>
        <v>0</v>
      </c>
      <c r="T111" s="3">
        <f>IFERROR(__xludf.DUMMYFUNCTION("""COMPUTED_VALUE"""),0.0)</f>
        <v>0</v>
      </c>
      <c r="U111" s="3">
        <f>IFERROR(__xludf.DUMMYFUNCTION("""COMPUTED_VALUE"""),0.0)</f>
        <v>0</v>
      </c>
      <c r="V111" s="3">
        <f>IFERROR(__xludf.DUMMYFUNCTION("""COMPUTED_VALUE"""),0.0)</f>
        <v>0</v>
      </c>
      <c r="W111" s="3">
        <f>IFERROR(__xludf.DUMMYFUNCTION("""COMPUTED_VALUE"""),0.0)</f>
        <v>0</v>
      </c>
      <c r="X111" s="3">
        <f>IFERROR(__xludf.DUMMYFUNCTION("""COMPUTED_VALUE"""),0.0)</f>
        <v>0</v>
      </c>
      <c r="Y111" s="3">
        <f>IFERROR(__xludf.DUMMYFUNCTION("""COMPUTED_VALUE"""),0.0)</f>
        <v>0</v>
      </c>
      <c r="Z111" s="3">
        <f>IFERROR(__xludf.DUMMYFUNCTION("""COMPUTED_VALUE"""),0.0)</f>
        <v>0</v>
      </c>
      <c r="AA111" s="3">
        <f>IFERROR(__xludf.DUMMYFUNCTION("""COMPUTED_VALUE"""),0.0)</f>
        <v>0</v>
      </c>
      <c r="AB111" s="3">
        <f>IFERROR(__xludf.DUMMYFUNCTION("""COMPUTED_VALUE"""),0.0)</f>
        <v>0</v>
      </c>
      <c r="AC111" s="3">
        <f>IFERROR(__xludf.DUMMYFUNCTION("""COMPUTED_VALUE"""),0.0)</f>
        <v>0</v>
      </c>
      <c r="AD111" s="3">
        <f>IFERROR(__xludf.DUMMYFUNCTION("""COMPUTED_VALUE"""),0.0)</f>
        <v>0</v>
      </c>
      <c r="AE111" s="3">
        <f>IFERROR(__xludf.DUMMYFUNCTION("""COMPUTED_VALUE"""),0.0)</f>
        <v>0</v>
      </c>
      <c r="AF111" s="3">
        <f>IFERROR(__xludf.DUMMYFUNCTION("""COMPUTED_VALUE"""),0.0)</f>
        <v>0</v>
      </c>
      <c r="AG111" s="3">
        <f>IFERROR(__xludf.DUMMYFUNCTION("""COMPUTED_VALUE"""),0.0)</f>
        <v>0</v>
      </c>
      <c r="AH111" s="3">
        <f>IFERROR(__xludf.DUMMYFUNCTION("""COMPUTED_VALUE"""),0.0)</f>
        <v>0</v>
      </c>
      <c r="AI111" s="3">
        <f>IFERROR(__xludf.DUMMYFUNCTION("""COMPUTED_VALUE"""),0.0)</f>
        <v>0</v>
      </c>
      <c r="AJ111" s="3">
        <f>IFERROR(__xludf.DUMMYFUNCTION("""COMPUTED_VALUE"""),0.0)</f>
        <v>0</v>
      </c>
      <c r="AK111" s="3">
        <f>IFERROR(__xludf.DUMMYFUNCTION("""COMPUTED_VALUE"""),0.0)</f>
        <v>0</v>
      </c>
      <c r="AL111" s="3">
        <f>IFERROR(__xludf.DUMMYFUNCTION("""COMPUTED_VALUE"""),0.0)</f>
        <v>0</v>
      </c>
      <c r="AM111" s="3">
        <f>IFERROR(__xludf.DUMMYFUNCTION("""COMPUTED_VALUE"""),0.0)</f>
        <v>0</v>
      </c>
      <c r="AN111" s="3">
        <f>IFERROR(__xludf.DUMMYFUNCTION("""COMPUTED_VALUE"""),0.0)</f>
        <v>0</v>
      </c>
      <c r="AO111" s="3">
        <f>IFERROR(__xludf.DUMMYFUNCTION("""COMPUTED_VALUE"""),0.0)</f>
        <v>0</v>
      </c>
      <c r="AP111" s="3">
        <f>IFERROR(__xludf.DUMMYFUNCTION("""COMPUTED_VALUE"""),0.0)</f>
        <v>0</v>
      </c>
      <c r="AQ111" s="3">
        <f>IFERROR(__xludf.DUMMYFUNCTION("""COMPUTED_VALUE"""),0.0)</f>
        <v>0</v>
      </c>
      <c r="AR111" s="3">
        <f>IFERROR(__xludf.DUMMYFUNCTION("""COMPUTED_VALUE"""),0.0)</f>
        <v>0</v>
      </c>
      <c r="AS111" s="3">
        <f>IFERROR(__xludf.DUMMYFUNCTION("""COMPUTED_VALUE"""),0.0)</f>
        <v>0</v>
      </c>
      <c r="AT111" s="3">
        <f>IFERROR(__xludf.DUMMYFUNCTION("""COMPUTED_VALUE"""),0.0)</f>
        <v>0</v>
      </c>
      <c r="AU111" s="3">
        <f>IFERROR(__xludf.DUMMYFUNCTION("""COMPUTED_VALUE"""),0.0)</f>
        <v>0</v>
      </c>
      <c r="AV111" s="3">
        <f>IFERROR(__xludf.DUMMYFUNCTION("""COMPUTED_VALUE"""),0.0)</f>
        <v>0</v>
      </c>
      <c r="AW111" s="3">
        <f>IFERROR(__xludf.DUMMYFUNCTION("""COMPUTED_VALUE"""),0.0)</f>
        <v>0</v>
      </c>
      <c r="AX111" s="3">
        <f>IFERROR(__xludf.DUMMYFUNCTION("""COMPUTED_VALUE"""),0.0)</f>
        <v>0</v>
      </c>
      <c r="AY111" s="3">
        <f>IFERROR(__xludf.DUMMYFUNCTION("""COMPUTED_VALUE"""),0.0)</f>
        <v>0</v>
      </c>
      <c r="AZ111" s="3">
        <f>IFERROR(__xludf.DUMMYFUNCTION("""COMPUTED_VALUE"""),0.0)</f>
        <v>0</v>
      </c>
      <c r="BA111" s="3">
        <f>IFERROR(__xludf.DUMMYFUNCTION("""COMPUTED_VALUE"""),0.0)</f>
        <v>0</v>
      </c>
      <c r="BB111" s="3">
        <f>IFERROR(__xludf.DUMMYFUNCTION("""COMPUTED_VALUE"""),0.0)</f>
        <v>0</v>
      </c>
      <c r="BC111" s="3">
        <f>IFERROR(__xludf.DUMMYFUNCTION("""COMPUTED_VALUE"""),0.0)</f>
        <v>0</v>
      </c>
      <c r="BD111" s="3">
        <f>IFERROR(__xludf.DUMMYFUNCTION("""COMPUTED_VALUE"""),0.0)</f>
        <v>0</v>
      </c>
      <c r="BE111" s="3">
        <f>IFERROR(__xludf.DUMMYFUNCTION("""COMPUTED_VALUE"""),0.0)</f>
        <v>0</v>
      </c>
      <c r="BF111" s="3">
        <f>IFERROR(__xludf.DUMMYFUNCTION("""COMPUTED_VALUE"""),0.0)</f>
        <v>0</v>
      </c>
      <c r="BG111" s="3">
        <f>IFERROR(__xludf.DUMMYFUNCTION("""COMPUTED_VALUE"""),0.0)</f>
        <v>0</v>
      </c>
      <c r="BH111" s="3">
        <f>IFERROR(__xludf.DUMMYFUNCTION("""COMPUTED_VALUE"""),0.0)</f>
        <v>0</v>
      </c>
      <c r="BI111" s="3">
        <f>IFERROR(__xludf.DUMMYFUNCTION("""COMPUTED_VALUE"""),0.0)</f>
        <v>0</v>
      </c>
      <c r="BJ111" s="3">
        <f>IFERROR(__xludf.DUMMYFUNCTION("""COMPUTED_VALUE"""),0.0)</f>
        <v>0</v>
      </c>
      <c r="BK111" s="3">
        <f>IFERROR(__xludf.DUMMYFUNCTION("""COMPUTED_VALUE"""),0.0)</f>
        <v>0</v>
      </c>
      <c r="BL111" s="3">
        <f>IFERROR(__xludf.DUMMYFUNCTION("""COMPUTED_VALUE"""),0.0)</f>
        <v>0</v>
      </c>
      <c r="BM111" s="3">
        <f>IFERROR(__xludf.DUMMYFUNCTION("""COMPUTED_VALUE"""),1.0)</f>
        <v>1</v>
      </c>
      <c r="BN111" s="3">
        <f>IFERROR(__xludf.DUMMYFUNCTION("""COMPUTED_VALUE"""),1.0)</f>
        <v>1</v>
      </c>
      <c r="BO111" s="3">
        <f>IFERROR(__xludf.DUMMYFUNCTION("""COMPUTED_VALUE"""),1.0)</f>
        <v>1</v>
      </c>
      <c r="BP111" s="3">
        <f>IFERROR(__xludf.DUMMYFUNCTION("""COMPUTED_VALUE"""),1.0)</f>
        <v>1</v>
      </c>
      <c r="BQ111" s="3">
        <f>IFERROR(__xludf.DUMMYFUNCTION("""COMPUTED_VALUE"""),1.0)</f>
        <v>1</v>
      </c>
      <c r="BR111" s="3">
        <f>IFERROR(__xludf.DUMMYFUNCTION("""COMPUTED_VALUE"""),1.0)</f>
        <v>1</v>
      </c>
      <c r="BS111" s="3">
        <f>IFERROR(__xludf.DUMMYFUNCTION("""COMPUTED_VALUE"""),2.0)</f>
        <v>2</v>
      </c>
      <c r="BT111" s="3">
        <f>IFERROR(__xludf.DUMMYFUNCTION("""COMPUTED_VALUE"""),4.0)</f>
        <v>4</v>
      </c>
      <c r="BU111" s="3">
        <f>IFERROR(__xludf.DUMMYFUNCTION("""COMPUTED_VALUE"""),4.0)</f>
        <v>4</v>
      </c>
      <c r="BV111" s="3">
        <f>IFERROR(__xludf.DUMMYFUNCTION("""COMPUTED_VALUE"""),4.0)</f>
        <v>4</v>
      </c>
      <c r="BW111" s="3">
        <f>IFERROR(__xludf.DUMMYFUNCTION("""COMPUTED_VALUE"""),6.0)</f>
        <v>6</v>
      </c>
      <c r="BX111" s="3">
        <f>IFERROR(__xludf.DUMMYFUNCTION("""COMPUTED_VALUE"""),6.0)</f>
        <v>6</v>
      </c>
      <c r="BY111" s="3">
        <f>IFERROR(__xludf.DUMMYFUNCTION("""COMPUTED_VALUE"""),7.0)</f>
        <v>7</v>
      </c>
      <c r="BZ111" s="3">
        <f>IFERROR(__xludf.DUMMYFUNCTION("""COMPUTED_VALUE"""),7.0)</f>
        <v>7</v>
      </c>
      <c r="CA111" s="3">
        <f>IFERROR(__xludf.DUMMYFUNCTION("""COMPUTED_VALUE"""),7.0)</f>
        <v>7</v>
      </c>
      <c r="CB111" s="3">
        <f>IFERROR(__xludf.DUMMYFUNCTION("""COMPUTED_VALUE"""),7.0)</f>
        <v>7</v>
      </c>
    </row>
    <row r="112">
      <c r="A112" s="3" t="str">
        <f>IFERROR(__xludf.DUMMYFUNCTION("""COMPUTED_VALUE"""),"Mayotte")</f>
        <v>Mayotte</v>
      </c>
      <c r="B112" s="3" t="str">
        <f>IFERROR(__xludf.DUMMYFUNCTION("""COMPUTED_VALUE"""),"France")</f>
        <v>France</v>
      </c>
      <c r="C112" s="3">
        <f>IFERROR(__xludf.DUMMYFUNCTION("""COMPUTED_VALUE"""),-12.8275)</f>
        <v>-12.8275</v>
      </c>
      <c r="D112" s="3">
        <f>IFERROR(__xludf.DUMMYFUNCTION("""COMPUTED_VALUE"""),45.1662)</f>
        <v>45.1662</v>
      </c>
      <c r="E112" s="3">
        <f>IFERROR(__xludf.DUMMYFUNCTION("""COMPUTED_VALUE"""),0.0)</f>
        <v>0</v>
      </c>
      <c r="F112" s="3">
        <f>IFERROR(__xludf.DUMMYFUNCTION("""COMPUTED_VALUE"""),0.0)</f>
        <v>0</v>
      </c>
      <c r="G112" s="3">
        <f>IFERROR(__xludf.DUMMYFUNCTION("""COMPUTED_VALUE"""),0.0)</f>
        <v>0</v>
      </c>
      <c r="H112" s="3">
        <f>IFERROR(__xludf.DUMMYFUNCTION("""COMPUTED_VALUE"""),0.0)</f>
        <v>0</v>
      </c>
      <c r="I112" s="3">
        <f>IFERROR(__xludf.DUMMYFUNCTION("""COMPUTED_VALUE"""),0.0)</f>
        <v>0</v>
      </c>
      <c r="J112" s="3">
        <f>IFERROR(__xludf.DUMMYFUNCTION("""COMPUTED_VALUE"""),0.0)</f>
        <v>0</v>
      </c>
      <c r="K112" s="3">
        <f>IFERROR(__xludf.DUMMYFUNCTION("""COMPUTED_VALUE"""),0.0)</f>
        <v>0</v>
      </c>
      <c r="L112" s="3">
        <f>IFERROR(__xludf.DUMMYFUNCTION("""COMPUTED_VALUE"""),0.0)</f>
        <v>0</v>
      </c>
      <c r="M112" s="3">
        <f>IFERROR(__xludf.DUMMYFUNCTION("""COMPUTED_VALUE"""),0.0)</f>
        <v>0</v>
      </c>
      <c r="N112" s="3">
        <f>IFERROR(__xludf.DUMMYFUNCTION("""COMPUTED_VALUE"""),0.0)</f>
        <v>0</v>
      </c>
      <c r="O112" s="3">
        <f>IFERROR(__xludf.DUMMYFUNCTION("""COMPUTED_VALUE"""),0.0)</f>
        <v>0</v>
      </c>
      <c r="P112" s="3">
        <f>IFERROR(__xludf.DUMMYFUNCTION("""COMPUTED_VALUE"""),0.0)</f>
        <v>0</v>
      </c>
      <c r="Q112" s="3">
        <f>IFERROR(__xludf.DUMMYFUNCTION("""COMPUTED_VALUE"""),0.0)</f>
        <v>0</v>
      </c>
      <c r="R112" s="3">
        <f>IFERROR(__xludf.DUMMYFUNCTION("""COMPUTED_VALUE"""),0.0)</f>
        <v>0</v>
      </c>
      <c r="S112" s="3">
        <f>IFERROR(__xludf.DUMMYFUNCTION("""COMPUTED_VALUE"""),0.0)</f>
        <v>0</v>
      </c>
      <c r="T112" s="3">
        <f>IFERROR(__xludf.DUMMYFUNCTION("""COMPUTED_VALUE"""),0.0)</f>
        <v>0</v>
      </c>
      <c r="U112" s="3">
        <f>IFERROR(__xludf.DUMMYFUNCTION("""COMPUTED_VALUE"""),0.0)</f>
        <v>0</v>
      </c>
      <c r="V112" s="3">
        <f>IFERROR(__xludf.DUMMYFUNCTION("""COMPUTED_VALUE"""),0.0)</f>
        <v>0</v>
      </c>
      <c r="W112" s="3">
        <f>IFERROR(__xludf.DUMMYFUNCTION("""COMPUTED_VALUE"""),0.0)</f>
        <v>0</v>
      </c>
      <c r="X112" s="3">
        <f>IFERROR(__xludf.DUMMYFUNCTION("""COMPUTED_VALUE"""),0.0)</f>
        <v>0</v>
      </c>
      <c r="Y112" s="3">
        <f>IFERROR(__xludf.DUMMYFUNCTION("""COMPUTED_VALUE"""),0.0)</f>
        <v>0</v>
      </c>
      <c r="Z112" s="3">
        <f>IFERROR(__xludf.DUMMYFUNCTION("""COMPUTED_VALUE"""),0.0)</f>
        <v>0</v>
      </c>
      <c r="AA112" s="3">
        <f>IFERROR(__xludf.DUMMYFUNCTION("""COMPUTED_VALUE"""),0.0)</f>
        <v>0</v>
      </c>
      <c r="AB112" s="3">
        <f>IFERROR(__xludf.DUMMYFUNCTION("""COMPUTED_VALUE"""),0.0)</f>
        <v>0</v>
      </c>
      <c r="AC112" s="3">
        <f>IFERROR(__xludf.DUMMYFUNCTION("""COMPUTED_VALUE"""),0.0)</f>
        <v>0</v>
      </c>
      <c r="AD112" s="3">
        <f>IFERROR(__xludf.DUMMYFUNCTION("""COMPUTED_VALUE"""),0.0)</f>
        <v>0</v>
      </c>
      <c r="AE112" s="3">
        <f>IFERROR(__xludf.DUMMYFUNCTION("""COMPUTED_VALUE"""),0.0)</f>
        <v>0</v>
      </c>
      <c r="AF112" s="3">
        <f>IFERROR(__xludf.DUMMYFUNCTION("""COMPUTED_VALUE"""),0.0)</f>
        <v>0</v>
      </c>
      <c r="AG112" s="3">
        <f>IFERROR(__xludf.DUMMYFUNCTION("""COMPUTED_VALUE"""),0.0)</f>
        <v>0</v>
      </c>
      <c r="AH112" s="3">
        <f>IFERROR(__xludf.DUMMYFUNCTION("""COMPUTED_VALUE"""),0.0)</f>
        <v>0</v>
      </c>
      <c r="AI112" s="3">
        <f>IFERROR(__xludf.DUMMYFUNCTION("""COMPUTED_VALUE"""),0.0)</f>
        <v>0</v>
      </c>
      <c r="AJ112" s="3">
        <f>IFERROR(__xludf.DUMMYFUNCTION("""COMPUTED_VALUE"""),0.0)</f>
        <v>0</v>
      </c>
      <c r="AK112" s="3">
        <f>IFERROR(__xludf.DUMMYFUNCTION("""COMPUTED_VALUE"""),0.0)</f>
        <v>0</v>
      </c>
      <c r="AL112" s="3">
        <f>IFERROR(__xludf.DUMMYFUNCTION("""COMPUTED_VALUE"""),0.0)</f>
        <v>0</v>
      </c>
      <c r="AM112" s="3">
        <f>IFERROR(__xludf.DUMMYFUNCTION("""COMPUTED_VALUE"""),0.0)</f>
        <v>0</v>
      </c>
      <c r="AN112" s="3">
        <f>IFERROR(__xludf.DUMMYFUNCTION("""COMPUTED_VALUE"""),0.0)</f>
        <v>0</v>
      </c>
      <c r="AO112" s="3">
        <f>IFERROR(__xludf.DUMMYFUNCTION("""COMPUTED_VALUE"""),0.0)</f>
        <v>0</v>
      </c>
      <c r="AP112" s="3">
        <f>IFERROR(__xludf.DUMMYFUNCTION("""COMPUTED_VALUE"""),0.0)</f>
        <v>0</v>
      </c>
      <c r="AQ112" s="3">
        <f>IFERROR(__xludf.DUMMYFUNCTION("""COMPUTED_VALUE"""),0.0)</f>
        <v>0</v>
      </c>
      <c r="AR112" s="3">
        <f>IFERROR(__xludf.DUMMYFUNCTION("""COMPUTED_VALUE"""),0.0)</f>
        <v>0</v>
      </c>
      <c r="AS112" s="3">
        <f>IFERROR(__xludf.DUMMYFUNCTION("""COMPUTED_VALUE"""),0.0)</f>
        <v>0</v>
      </c>
      <c r="AT112" s="3">
        <f>IFERROR(__xludf.DUMMYFUNCTION("""COMPUTED_VALUE"""),0.0)</f>
        <v>0</v>
      </c>
      <c r="AU112" s="3">
        <f>IFERROR(__xludf.DUMMYFUNCTION("""COMPUTED_VALUE"""),0.0)</f>
        <v>0</v>
      </c>
      <c r="AV112" s="3">
        <f>IFERROR(__xludf.DUMMYFUNCTION("""COMPUTED_VALUE"""),0.0)</f>
        <v>0</v>
      </c>
      <c r="AW112" s="3">
        <f>IFERROR(__xludf.DUMMYFUNCTION("""COMPUTED_VALUE"""),0.0)</f>
        <v>0</v>
      </c>
      <c r="AX112" s="3">
        <f>IFERROR(__xludf.DUMMYFUNCTION("""COMPUTED_VALUE"""),0.0)</f>
        <v>0</v>
      </c>
      <c r="AY112" s="3">
        <f>IFERROR(__xludf.DUMMYFUNCTION("""COMPUTED_VALUE"""),0.0)</f>
        <v>0</v>
      </c>
      <c r="AZ112" s="3">
        <f>IFERROR(__xludf.DUMMYFUNCTION("""COMPUTED_VALUE"""),0.0)</f>
        <v>0</v>
      </c>
      <c r="BA112" s="3">
        <f>IFERROR(__xludf.DUMMYFUNCTION("""COMPUTED_VALUE"""),0.0)</f>
        <v>0</v>
      </c>
      <c r="BB112" s="3">
        <f>IFERROR(__xludf.DUMMYFUNCTION("""COMPUTED_VALUE"""),0.0)</f>
        <v>0</v>
      </c>
      <c r="BC112" s="3">
        <f>IFERROR(__xludf.DUMMYFUNCTION("""COMPUTED_VALUE"""),0.0)</f>
        <v>0</v>
      </c>
      <c r="BD112" s="3">
        <f>IFERROR(__xludf.DUMMYFUNCTION("""COMPUTED_VALUE"""),0.0)</f>
        <v>0</v>
      </c>
      <c r="BE112" s="3">
        <f>IFERROR(__xludf.DUMMYFUNCTION("""COMPUTED_VALUE"""),0.0)</f>
        <v>0</v>
      </c>
      <c r="BF112" s="3">
        <f>IFERROR(__xludf.DUMMYFUNCTION("""COMPUTED_VALUE"""),0.0)</f>
        <v>0</v>
      </c>
      <c r="BG112" s="3">
        <f>IFERROR(__xludf.DUMMYFUNCTION("""COMPUTED_VALUE"""),0.0)</f>
        <v>0</v>
      </c>
      <c r="BH112" s="3">
        <f>IFERROR(__xludf.DUMMYFUNCTION("""COMPUTED_VALUE"""),0.0)</f>
        <v>0</v>
      </c>
      <c r="BI112" s="3">
        <f>IFERROR(__xludf.DUMMYFUNCTION("""COMPUTED_VALUE"""),0.0)</f>
        <v>0</v>
      </c>
      <c r="BJ112" s="3">
        <f>IFERROR(__xludf.DUMMYFUNCTION("""COMPUTED_VALUE"""),0.0)</f>
        <v>0</v>
      </c>
      <c r="BK112" s="3">
        <f>IFERROR(__xludf.DUMMYFUNCTION("""COMPUTED_VALUE"""),0.0)</f>
        <v>0</v>
      </c>
      <c r="BL112" s="3">
        <f>IFERROR(__xludf.DUMMYFUNCTION("""COMPUTED_VALUE"""),0.0)</f>
        <v>0</v>
      </c>
      <c r="BM112" s="3">
        <f>IFERROR(__xludf.DUMMYFUNCTION("""COMPUTED_VALUE"""),0.0)</f>
        <v>0</v>
      </c>
      <c r="BN112" s="3">
        <f>IFERROR(__xludf.DUMMYFUNCTION("""COMPUTED_VALUE"""),0.0)</f>
        <v>0</v>
      </c>
      <c r="BO112" s="3">
        <f>IFERROR(__xludf.DUMMYFUNCTION("""COMPUTED_VALUE"""),0.0)</f>
        <v>0</v>
      </c>
      <c r="BP112" s="3">
        <f>IFERROR(__xludf.DUMMYFUNCTION("""COMPUTED_VALUE"""),0.0)</f>
        <v>0</v>
      </c>
      <c r="BQ112" s="3">
        <f>IFERROR(__xludf.DUMMYFUNCTION("""COMPUTED_VALUE"""),0.0)</f>
        <v>0</v>
      </c>
      <c r="BR112" s="3">
        <f>IFERROR(__xludf.DUMMYFUNCTION("""COMPUTED_VALUE"""),0.0)</f>
        <v>0</v>
      </c>
      <c r="BS112" s="3">
        <f>IFERROR(__xludf.DUMMYFUNCTION("""COMPUTED_VALUE"""),0.0)</f>
        <v>0</v>
      </c>
      <c r="BT112" s="3">
        <f>IFERROR(__xludf.DUMMYFUNCTION("""COMPUTED_VALUE"""),0.0)</f>
        <v>0</v>
      </c>
      <c r="BU112" s="3">
        <f>IFERROR(__xludf.DUMMYFUNCTION("""COMPUTED_VALUE"""),0.0)</f>
        <v>0</v>
      </c>
      <c r="BV112" s="3">
        <f>IFERROR(__xludf.DUMMYFUNCTION("""COMPUTED_VALUE"""),1.0)</f>
        <v>1</v>
      </c>
      <c r="BW112" s="3">
        <f>IFERROR(__xludf.DUMMYFUNCTION("""COMPUTED_VALUE"""),1.0)</f>
        <v>1</v>
      </c>
      <c r="BX112" s="3">
        <f>IFERROR(__xludf.DUMMYFUNCTION("""COMPUTED_VALUE"""),1.0)</f>
        <v>1</v>
      </c>
      <c r="BY112" s="3">
        <f>IFERROR(__xludf.DUMMYFUNCTION("""COMPUTED_VALUE"""),2.0)</f>
        <v>2</v>
      </c>
      <c r="BZ112" s="3">
        <f>IFERROR(__xludf.DUMMYFUNCTION("""COMPUTED_VALUE"""),2.0)</f>
        <v>2</v>
      </c>
      <c r="CA112" s="3">
        <f>IFERROR(__xludf.DUMMYFUNCTION("""COMPUTED_VALUE"""),2.0)</f>
        <v>2</v>
      </c>
      <c r="CB112" s="3">
        <f>IFERROR(__xludf.DUMMYFUNCTION("""COMPUTED_VALUE"""),2.0)</f>
        <v>2</v>
      </c>
    </row>
    <row r="113">
      <c r="A113" s="3" t="str">
        <f>IFERROR(__xludf.DUMMYFUNCTION("""COMPUTED_VALUE"""),"New Caledonia")</f>
        <v>New Caledonia</v>
      </c>
      <c r="B113" s="3" t="str">
        <f>IFERROR(__xludf.DUMMYFUNCTION("""COMPUTED_VALUE"""),"France")</f>
        <v>France</v>
      </c>
      <c r="C113" s="3">
        <f>IFERROR(__xludf.DUMMYFUNCTION("""COMPUTED_VALUE"""),-20.9043)</f>
        <v>-20.9043</v>
      </c>
      <c r="D113" s="3">
        <f>IFERROR(__xludf.DUMMYFUNCTION("""COMPUTED_VALUE"""),165.618)</f>
        <v>165.618</v>
      </c>
      <c r="E113" s="3">
        <f>IFERROR(__xludf.DUMMYFUNCTION("""COMPUTED_VALUE"""),0.0)</f>
        <v>0</v>
      </c>
      <c r="F113" s="3">
        <f>IFERROR(__xludf.DUMMYFUNCTION("""COMPUTED_VALUE"""),0.0)</f>
        <v>0</v>
      </c>
      <c r="G113" s="3">
        <f>IFERROR(__xludf.DUMMYFUNCTION("""COMPUTED_VALUE"""),0.0)</f>
        <v>0</v>
      </c>
      <c r="H113" s="3">
        <f>IFERROR(__xludf.DUMMYFUNCTION("""COMPUTED_VALUE"""),0.0)</f>
        <v>0</v>
      </c>
      <c r="I113" s="3">
        <f>IFERROR(__xludf.DUMMYFUNCTION("""COMPUTED_VALUE"""),0.0)</f>
        <v>0</v>
      </c>
      <c r="J113" s="3">
        <f>IFERROR(__xludf.DUMMYFUNCTION("""COMPUTED_VALUE"""),0.0)</f>
        <v>0</v>
      </c>
      <c r="K113" s="3">
        <f>IFERROR(__xludf.DUMMYFUNCTION("""COMPUTED_VALUE"""),0.0)</f>
        <v>0</v>
      </c>
      <c r="L113" s="3">
        <f>IFERROR(__xludf.DUMMYFUNCTION("""COMPUTED_VALUE"""),0.0)</f>
        <v>0</v>
      </c>
      <c r="M113" s="3">
        <f>IFERROR(__xludf.DUMMYFUNCTION("""COMPUTED_VALUE"""),0.0)</f>
        <v>0</v>
      </c>
      <c r="N113" s="3">
        <f>IFERROR(__xludf.DUMMYFUNCTION("""COMPUTED_VALUE"""),0.0)</f>
        <v>0</v>
      </c>
      <c r="O113" s="3">
        <f>IFERROR(__xludf.DUMMYFUNCTION("""COMPUTED_VALUE"""),0.0)</f>
        <v>0</v>
      </c>
      <c r="P113" s="3">
        <f>IFERROR(__xludf.DUMMYFUNCTION("""COMPUTED_VALUE"""),0.0)</f>
        <v>0</v>
      </c>
      <c r="Q113" s="3">
        <f>IFERROR(__xludf.DUMMYFUNCTION("""COMPUTED_VALUE"""),0.0)</f>
        <v>0</v>
      </c>
      <c r="R113" s="3">
        <f>IFERROR(__xludf.DUMMYFUNCTION("""COMPUTED_VALUE"""),0.0)</f>
        <v>0</v>
      </c>
      <c r="S113" s="3">
        <f>IFERROR(__xludf.DUMMYFUNCTION("""COMPUTED_VALUE"""),0.0)</f>
        <v>0</v>
      </c>
      <c r="T113" s="3">
        <f>IFERROR(__xludf.DUMMYFUNCTION("""COMPUTED_VALUE"""),0.0)</f>
        <v>0</v>
      </c>
      <c r="U113" s="3">
        <f>IFERROR(__xludf.DUMMYFUNCTION("""COMPUTED_VALUE"""),0.0)</f>
        <v>0</v>
      </c>
      <c r="V113" s="3">
        <f>IFERROR(__xludf.DUMMYFUNCTION("""COMPUTED_VALUE"""),0.0)</f>
        <v>0</v>
      </c>
      <c r="W113" s="3">
        <f>IFERROR(__xludf.DUMMYFUNCTION("""COMPUTED_VALUE"""),0.0)</f>
        <v>0</v>
      </c>
      <c r="X113" s="3">
        <f>IFERROR(__xludf.DUMMYFUNCTION("""COMPUTED_VALUE"""),0.0)</f>
        <v>0</v>
      </c>
      <c r="Y113" s="3">
        <f>IFERROR(__xludf.DUMMYFUNCTION("""COMPUTED_VALUE"""),0.0)</f>
        <v>0</v>
      </c>
      <c r="Z113" s="3">
        <f>IFERROR(__xludf.DUMMYFUNCTION("""COMPUTED_VALUE"""),0.0)</f>
        <v>0</v>
      </c>
      <c r="AA113" s="3">
        <f>IFERROR(__xludf.DUMMYFUNCTION("""COMPUTED_VALUE"""),0.0)</f>
        <v>0</v>
      </c>
      <c r="AB113" s="3">
        <f>IFERROR(__xludf.DUMMYFUNCTION("""COMPUTED_VALUE"""),0.0)</f>
        <v>0</v>
      </c>
      <c r="AC113" s="3">
        <f>IFERROR(__xludf.DUMMYFUNCTION("""COMPUTED_VALUE"""),0.0)</f>
        <v>0</v>
      </c>
      <c r="AD113" s="3">
        <f>IFERROR(__xludf.DUMMYFUNCTION("""COMPUTED_VALUE"""),0.0)</f>
        <v>0</v>
      </c>
      <c r="AE113" s="3">
        <f>IFERROR(__xludf.DUMMYFUNCTION("""COMPUTED_VALUE"""),0.0)</f>
        <v>0</v>
      </c>
      <c r="AF113" s="3">
        <f>IFERROR(__xludf.DUMMYFUNCTION("""COMPUTED_VALUE"""),0.0)</f>
        <v>0</v>
      </c>
      <c r="AG113" s="3">
        <f>IFERROR(__xludf.DUMMYFUNCTION("""COMPUTED_VALUE"""),0.0)</f>
        <v>0</v>
      </c>
      <c r="AH113" s="3">
        <f>IFERROR(__xludf.DUMMYFUNCTION("""COMPUTED_VALUE"""),0.0)</f>
        <v>0</v>
      </c>
      <c r="AI113" s="3">
        <f>IFERROR(__xludf.DUMMYFUNCTION("""COMPUTED_VALUE"""),0.0)</f>
        <v>0</v>
      </c>
      <c r="AJ113" s="3">
        <f>IFERROR(__xludf.DUMMYFUNCTION("""COMPUTED_VALUE"""),0.0)</f>
        <v>0</v>
      </c>
      <c r="AK113" s="3">
        <f>IFERROR(__xludf.DUMMYFUNCTION("""COMPUTED_VALUE"""),0.0)</f>
        <v>0</v>
      </c>
      <c r="AL113" s="3">
        <f>IFERROR(__xludf.DUMMYFUNCTION("""COMPUTED_VALUE"""),0.0)</f>
        <v>0</v>
      </c>
      <c r="AM113" s="3">
        <f>IFERROR(__xludf.DUMMYFUNCTION("""COMPUTED_VALUE"""),0.0)</f>
        <v>0</v>
      </c>
      <c r="AN113" s="3">
        <f>IFERROR(__xludf.DUMMYFUNCTION("""COMPUTED_VALUE"""),0.0)</f>
        <v>0</v>
      </c>
      <c r="AO113" s="3">
        <f>IFERROR(__xludf.DUMMYFUNCTION("""COMPUTED_VALUE"""),0.0)</f>
        <v>0</v>
      </c>
      <c r="AP113" s="3">
        <f>IFERROR(__xludf.DUMMYFUNCTION("""COMPUTED_VALUE"""),0.0)</f>
        <v>0</v>
      </c>
      <c r="AQ113" s="3">
        <f>IFERROR(__xludf.DUMMYFUNCTION("""COMPUTED_VALUE"""),0.0)</f>
        <v>0</v>
      </c>
      <c r="AR113" s="3">
        <f>IFERROR(__xludf.DUMMYFUNCTION("""COMPUTED_VALUE"""),0.0)</f>
        <v>0</v>
      </c>
      <c r="AS113" s="3">
        <f>IFERROR(__xludf.DUMMYFUNCTION("""COMPUTED_VALUE"""),0.0)</f>
        <v>0</v>
      </c>
      <c r="AT113" s="3">
        <f>IFERROR(__xludf.DUMMYFUNCTION("""COMPUTED_VALUE"""),0.0)</f>
        <v>0</v>
      </c>
      <c r="AU113" s="3">
        <f>IFERROR(__xludf.DUMMYFUNCTION("""COMPUTED_VALUE"""),0.0)</f>
        <v>0</v>
      </c>
      <c r="AV113" s="3">
        <f>IFERROR(__xludf.DUMMYFUNCTION("""COMPUTED_VALUE"""),0.0)</f>
        <v>0</v>
      </c>
      <c r="AW113" s="3">
        <f>IFERROR(__xludf.DUMMYFUNCTION("""COMPUTED_VALUE"""),0.0)</f>
        <v>0</v>
      </c>
      <c r="AX113" s="3">
        <f>IFERROR(__xludf.DUMMYFUNCTION("""COMPUTED_VALUE"""),0.0)</f>
        <v>0</v>
      </c>
      <c r="AY113" s="3">
        <f>IFERROR(__xludf.DUMMYFUNCTION("""COMPUTED_VALUE"""),0.0)</f>
        <v>0</v>
      </c>
      <c r="AZ113" s="3">
        <f>IFERROR(__xludf.DUMMYFUNCTION("""COMPUTED_VALUE"""),0.0)</f>
        <v>0</v>
      </c>
      <c r="BA113" s="3">
        <f>IFERROR(__xludf.DUMMYFUNCTION("""COMPUTED_VALUE"""),0.0)</f>
        <v>0</v>
      </c>
      <c r="BB113" s="3">
        <f>IFERROR(__xludf.DUMMYFUNCTION("""COMPUTED_VALUE"""),0.0)</f>
        <v>0</v>
      </c>
      <c r="BC113" s="3">
        <f>IFERROR(__xludf.DUMMYFUNCTION("""COMPUTED_VALUE"""),0.0)</f>
        <v>0</v>
      </c>
      <c r="BD113" s="3">
        <f>IFERROR(__xludf.DUMMYFUNCTION("""COMPUTED_VALUE"""),0.0)</f>
        <v>0</v>
      </c>
      <c r="BE113" s="3">
        <f>IFERROR(__xludf.DUMMYFUNCTION("""COMPUTED_VALUE"""),0.0)</f>
        <v>0</v>
      </c>
      <c r="BF113" s="3">
        <f>IFERROR(__xludf.DUMMYFUNCTION("""COMPUTED_VALUE"""),0.0)</f>
        <v>0</v>
      </c>
      <c r="BG113" s="3">
        <f>IFERROR(__xludf.DUMMYFUNCTION("""COMPUTED_VALUE"""),0.0)</f>
        <v>0</v>
      </c>
      <c r="BH113" s="3">
        <f>IFERROR(__xludf.DUMMYFUNCTION("""COMPUTED_VALUE"""),0.0)</f>
        <v>0</v>
      </c>
      <c r="BI113" s="3">
        <f>IFERROR(__xludf.DUMMYFUNCTION("""COMPUTED_VALUE"""),0.0)</f>
        <v>0</v>
      </c>
      <c r="BJ113" s="3">
        <f>IFERROR(__xludf.DUMMYFUNCTION("""COMPUTED_VALUE"""),0.0)</f>
        <v>0</v>
      </c>
      <c r="BK113" s="3">
        <f>IFERROR(__xludf.DUMMYFUNCTION("""COMPUTED_VALUE"""),0.0)</f>
        <v>0</v>
      </c>
      <c r="BL113" s="3">
        <f>IFERROR(__xludf.DUMMYFUNCTION("""COMPUTED_VALUE"""),0.0)</f>
        <v>0</v>
      </c>
      <c r="BM113" s="3">
        <f>IFERROR(__xludf.DUMMYFUNCTION("""COMPUTED_VALUE"""),0.0)</f>
        <v>0</v>
      </c>
      <c r="BN113" s="3">
        <f>IFERROR(__xludf.DUMMYFUNCTION("""COMPUTED_VALUE"""),0.0)</f>
        <v>0</v>
      </c>
      <c r="BO113" s="3">
        <f>IFERROR(__xludf.DUMMYFUNCTION("""COMPUTED_VALUE"""),0.0)</f>
        <v>0</v>
      </c>
      <c r="BP113" s="3">
        <f>IFERROR(__xludf.DUMMYFUNCTION("""COMPUTED_VALUE"""),0.0)</f>
        <v>0</v>
      </c>
      <c r="BQ113" s="3">
        <f>IFERROR(__xludf.DUMMYFUNCTION("""COMPUTED_VALUE"""),0.0)</f>
        <v>0</v>
      </c>
      <c r="BR113" s="3">
        <f>IFERROR(__xludf.DUMMYFUNCTION("""COMPUTED_VALUE"""),0.0)</f>
        <v>0</v>
      </c>
      <c r="BS113" s="3">
        <f>IFERROR(__xludf.DUMMYFUNCTION("""COMPUTED_VALUE"""),0.0)</f>
        <v>0</v>
      </c>
      <c r="BT113" s="3">
        <f>IFERROR(__xludf.DUMMYFUNCTION("""COMPUTED_VALUE"""),0.0)</f>
        <v>0</v>
      </c>
      <c r="BU113" s="3">
        <f>IFERROR(__xludf.DUMMYFUNCTION("""COMPUTED_VALUE"""),0.0)</f>
        <v>0</v>
      </c>
      <c r="BV113" s="3">
        <f>IFERROR(__xludf.DUMMYFUNCTION("""COMPUTED_VALUE"""),0.0)</f>
        <v>0</v>
      </c>
      <c r="BW113" s="3">
        <f>IFERROR(__xludf.DUMMYFUNCTION("""COMPUTED_VALUE"""),0.0)</f>
        <v>0</v>
      </c>
      <c r="BX113" s="3">
        <f>IFERROR(__xludf.DUMMYFUNCTION("""COMPUTED_VALUE"""),0.0)</f>
        <v>0</v>
      </c>
      <c r="BY113" s="3">
        <f>IFERROR(__xludf.DUMMYFUNCTION("""COMPUTED_VALUE"""),0.0)</f>
        <v>0</v>
      </c>
      <c r="BZ113" s="3">
        <f>IFERROR(__xludf.DUMMYFUNCTION("""COMPUTED_VALUE"""),0.0)</f>
        <v>0</v>
      </c>
      <c r="CA113" s="3">
        <f>IFERROR(__xludf.DUMMYFUNCTION("""COMPUTED_VALUE"""),0.0)</f>
        <v>0</v>
      </c>
      <c r="CB113" s="3">
        <f>IFERROR(__xludf.DUMMYFUNCTION("""COMPUTED_VALUE"""),0.0)</f>
        <v>0</v>
      </c>
    </row>
    <row r="114">
      <c r="A114" s="3" t="str">
        <f>IFERROR(__xludf.DUMMYFUNCTION("""COMPUTED_VALUE"""),"Reunion")</f>
        <v>Reunion</v>
      </c>
      <c r="B114" s="3" t="str">
        <f>IFERROR(__xludf.DUMMYFUNCTION("""COMPUTED_VALUE"""),"France")</f>
        <v>France</v>
      </c>
      <c r="C114" s="3">
        <f>IFERROR(__xludf.DUMMYFUNCTION("""COMPUTED_VALUE"""),-21.1351)</f>
        <v>-21.1351</v>
      </c>
      <c r="D114" s="3">
        <f>IFERROR(__xludf.DUMMYFUNCTION("""COMPUTED_VALUE"""),55.2471)</f>
        <v>55.2471</v>
      </c>
      <c r="E114" s="3">
        <f>IFERROR(__xludf.DUMMYFUNCTION("""COMPUTED_VALUE"""),0.0)</f>
        <v>0</v>
      </c>
      <c r="F114" s="3">
        <f>IFERROR(__xludf.DUMMYFUNCTION("""COMPUTED_VALUE"""),0.0)</f>
        <v>0</v>
      </c>
      <c r="G114" s="3">
        <f>IFERROR(__xludf.DUMMYFUNCTION("""COMPUTED_VALUE"""),0.0)</f>
        <v>0</v>
      </c>
      <c r="H114" s="3">
        <f>IFERROR(__xludf.DUMMYFUNCTION("""COMPUTED_VALUE"""),0.0)</f>
        <v>0</v>
      </c>
      <c r="I114" s="3">
        <f>IFERROR(__xludf.DUMMYFUNCTION("""COMPUTED_VALUE"""),0.0)</f>
        <v>0</v>
      </c>
      <c r="J114" s="3">
        <f>IFERROR(__xludf.DUMMYFUNCTION("""COMPUTED_VALUE"""),0.0)</f>
        <v>0</v>
      </c>
      <c r="K114" s="3">
        <f>IFERROR(__xludf.DUMMYFUNCTION("""COMPUTED_VALUE"""),0.0)</f>
        <v>0</v>
      </c>
      <c r="L114" s="3">
        <f>IFERROR(__xludf.DUMMYFUNCTION("""COMPUTED_VALUE"""),0.0)</f>
        <v>0</v>
      </c>
      <c r="M114" s="3">
        <f>IFERROR(__xludf.DUMMYFUNCTION("""COMPUTED_VALUE"""),0.0)</f>
        <v>0</v>
      </c>
      <c r="N114" s="3">
        <f>IFERROR(__xludf.DUMMYFUNCTION("""COMPUTED_VALUE"""),0.0)</f>
        <v>0</v>
      </c>
      <c r="O114" s="3">
        <f>IFERROR(__xludf.DUMMYFUNCTION("""COMPUTED_VALUE"""),0.0)</f>
        <v>0</v>
      </c>
      <c r="P114" s="3">
        <f>IFERROR(__xludf.DUMMYFUNCTION("""COMPUTED_VALUE"""),0.0)</f>
        <v>0</v>
      </c>
      <c r="Q114" s="3">
        <f>IFERROR(__xludf.DUMMYFUNCTION("""COMPUTED_VALUE"""),0.0)</f>
        <v>0</v>
      </c>
      <c r="R114" s="3">
        <f>IFERROR(__xludf.DUMMYFUNCTION("""COMPUTED_VALUE"""),0.0)</f>
        <v>0</v>
      </c>
      <c r="S114" s="3">
        <f>IFERROR(__xludf.DUMMYFUNCTION("""COMPUTED_VALUE"""),0.0)</f>
        <v>0</v>
      </c>
      <c r="T114" s="3">
        <f>IFERROR(__xludf.DUMMYFUNCTION("""COMPUTED_VALUE"""),0.0)</f>
        <v>0</v>
      </c>
      <c r="U114" s="3">
        <f>IFERROR(__xludf.DUMMYFUNCTION("""COMPUTED_VALUE"""),0.0)</f>
        <v>0</v>
      </c>
      <c r="V114" s="3">
        <f>IFERROR(__xludf.DUMMYFUNCTION("""COMPUTED_VALUE"""),0.0)</f>
        <v>0</v>
      </c>
      <c r="W114" s="3">
        <f>IFERROR(__xludf.DUMMYFUNCTION("""COMPUTED_VALUE"""),0.0)</f>
        <v>0</v>
      </c>
      <c r="X114" s="3">
        <f>IFERROR(__xludf.DUMMYFUNCTION("""COMPUTED_VALUE"""),0.0)</f>
        <v>0</v>
      </c>
      <c r="Y114" s="3">
        <f>IFERROR(__xludf.DUMMYFUNCTION("""COMPUTED_VALUE"""),0.0)</f>
        <v>0</v>
      </c>
      <c r="Z114" s="3">
        <f>IFERROR(__xludf.DUMMYFUNCTION("""COMPUTED_VALUE"""),0.0)</f>
        <v>0</v>
      </c>
      <c r="AA114" s="3">
        <f>IFERROR(__xludf.DUMMYFUNCTION("""COMPUTED_VALUE"""),0.0)</f>
        <v>0</v>
      </c>
      <c r="AB114" s="3">
        <f>IFERROR(__xludf.DUMMYFUNCTION("""COMPUTED_VALUE"""),0.0)</f>
        <v>0</v>
      </c>
      <c r="AC114" s="3">
        <f>IFERROR(__xludf.DUMMYFUNCTION("""COMPUTED_VALUE"""),0.0)</f>
        <v>0</v>
      </c>
      <c r="AD114" s="3">
        <f>IFERROR(__xludf.DUMMYFUNCTION("""COMPUTED_VALUE"""),0.0)</f>
        <v>0</v>
      </c>
      <c r="AE114" s="3">
        <f>IFERROR(__xludf.DUMMYFUNCTION("""COMPUTED_VALUE"""),0.0)</f>
        <v>0</v>
      </c>
      <c r="AF114" s="3">
        <f>IFERROR(__xludf.DUMMYFUNCTION("""COMPUTED_VALUE"""),0.0)</f>
        <v>0</v>
      </c>
      <c r="AG114" s="3">
        <f>IFERROR(__xludf.DUMMYFUNCTION("""COMPUTED_VALUE"""),0.0)</f>
        <v>0</v>
      </c>
      <c r="AH114" s="3">
        <f>IFERROR(__xludf.DUMMYFUNCTION("""COMPUTED_VALUE"""),0.0)</f>
        <v>0</v>
      </c>
      <c r="AI114" s="3">
        <f>IFERROR(__xludf.DUMMYFUNCTION("""COMPUTED_VALUE"""),0.0)</f>
        <v>0</v>
      </c>
      <c r="AJ114" s="3">
        <f>IFERROR(__xludf.DUMMYFUNCTION("""COMPUTED_VALUE"""),0.0)</f>
        <v>0</v>
      </c>
      <c r="AK114" s="3">
        <f>IFERROR(__xludf.DUMMYFUNCTION("""COMPUTED_VALUE"""),0.0)</f>
        <v>0</v>
      </c>
      <c r="AL114" s="3">
        <f>IFERROR(__xludf.DUMMYFUNCTION("""COMPUTED_VALUE"""),0.0)</f>
        <v>0</v>
      </c>
      <c r="AM114" s="3">
        <f>IFERROR(__xludf.DUMMYFUNCTION("""COMPUTED_VALUE"""),0.0)</f>
        <v>0</v>
      </c>
      <c r="AN114" s="3">
        <f>IFERROR(__xludf.DUMMYFUNCTION("""COMPUTED_VALUE"""),0.0)</f>
        <v>0</v>
      </c>
      <c r="AO114" s="3">
        <f>IFERROR(__xludf.DUMMYFUNCTION("""COMPUTED_VALUE"""),0.0)</f>
        <v>0</v>
      </c>
      <c r="AP114" s="3">
        <f>IFERROR(__xludf.DUMMYFUNCTION("""COMPUTED_VALUE"""),0.0)</f>
        <v>0</v>
      </c>
      <c r="AQ114" s="3">
        <f>IFERROR(__xludf.DUMMYFUNCTION("""COMPUTED_VALUE"""),0.0)</f>
        <v>0</v>
      </c>
      <c r="AR114" s="3">
        <f>IFERROR(__xludf.DUMMYFUNCTION("""COMPUTED_VALUE"""),0.0)</f>
        <v>0</v>
      </c>
      <c r="AS114" s="3">
        <f>IFERROR(__xludf.DUMMYFUNCTION("""COMPUTED_VALUE"""),0.0)</f>
        <v>0</v>
      </c>
      <c r="AT114" s="3">
        <f>IFERROR(__xludf.DUMMYFUNCTION("""COMPUTED_VALUE"""),0.0)</f>
        <v>0</v>
      </c>
      <c r="AU114" s="3">
        <f>IFERROR(__xludf.DUMMYFUNCTION("""COMPUTED_VALUE"""),0.0)</f>
        <v>0</v>
      </c>
      <c r="AV114" s="3">
        <f>IFERROR(__xludf.DUMMYFUNCTION("""COMPUTED_VALUE"""),0.0)</f>
        <v>0</v>
      </c>
      <c r="AW114" s="3">
        <f>IFERROR(__xludf.DUMMYFUNCTION("""COMPUTED_VALUE"""),0.0)</f>
        <v>0</v>
      </c>
      <c r="AX114" s="3">
        <f>IFERROR(__xludf.DUMMYFUNCTION("""COMPUTED_VALUE"""),0.0)</f>
        <v>0</v>
      </c>
      <c r="AY114" s="3">
        <f>IFERROR(__xludf.DUMMYFUNCTION("""COMPUTED_VALUE"""),0.0)</f>
        <v>0</v>
      </c>
      <c r="AZ114" s="3">
        <f>IFERROR(__xludf.DUMMYFUNCTION("""COMPUTED_VALUE"""),0.0)</f>
        <v>0</v>
      </c>
      <c r="BA114" s="3">
        <f>IFERROR(__xludf.DUMMYFUNCTION("""COMPUTED_VALUE"""),0.0)</f>
        <v>0</v>
      </c>
      <c r="BB114" s="3">
        <f>IFERROR(__xludf.DUMMYFUNCTION("""COMPUTED_VALUE"""),0.0)</f>
        <v>0</v>
      </c>
      <c r="BC114" s="3">
        <f>IFERROR(__xludf.DUMMYFUNCTION("""COMPUTED_VALUE"""),0.0)</f>
        <v>0</v>
      </c>
      <c r="BD114" s="3">
        <f>IFERROR(__xludf.DUMMYFUNCTION("""COMPUTED_VALUE"""),0.0)</f>
        <v>0</v>
      </c>
      <c r="BE114" s="3">
        <f>IFERROR(__xludf.DUMMYFUNCTION("""COMPUTED_VALUE"""),0.0)</f>
        <v>0</v>
      </c>
      <c r="BF114" s="3">
        <f>IFERROR(__xludf.DUMMYFUNCTION("""COMPUTED_VALUE"""),0.0)</f>
        <v>0</v>
      </c>
      <c r="BG114" s="3">
        <f>IFERROR(__xludf.DUMMYFUNCTION("""COMPUTED_VALUE"""),0.0)</f>
        <v>0</v>
      </c>
      <c r="BH114" s="3">
        <f>IFERROR(__xludf.DUMMYFUNCTION("""COMPUTED_VALUE"""),0.0)</f>
        <v>0</v>
      </c>
      <c r="BI114" s="3">
        <f>IFERROR(__xludf.DUMMYFUNCTION("""COMPUTED_VALUE"""),0.0)</f>
        <v>0</v>
      </c>
      <c r="BJ114" s="3">
        <f>IFERROR(__xludf.DUMMYFUNCTION("""COMPUTED_VALUE"""),0.0)</f>
        <v>0</v>
      </c>
      <c r="BK114" s="3">
        <f>IFERROR(__xludf.DUMMYFUNCTION("""COMPUTED_VALUE"""),0.0)</f>
        <v>0</v>
      </c>
      <c r="BL114" s="3">
        <f>IFERROR(__xludf.DUMMYFUNCTION("""COMPUTED_VALUE"""),0.0)</f>
        <v>0</v>
      </c>
      <c r="BM114" s="3">
        <f>IFERROR(__xludf.DUMMYFUNCTION("""COMPUTED_VALUE"""),0.0)</f>
        <v>0</v>
      </c>
      <c r="BN114" s="3">
        <f>IFERROR(__xludf.DUMMYFUNCTION("""COMPUTED_VALUE"""),0.0)</f>
        <v>0</v>
      </c>
      <c r="BO114" s="3">
        <f>IFERROR(__xludf.DUMMYFUNCTION("""COMPUTED_VALUE"""),0.0)</f>
        <v>0</v>
      </c>
      <c r="BP114" s="3">
        <f>IFERROR(__xludf.DUMMYFUNCTION("""COMPUTED_VALUE"""),0.0)</f>
        <v>0</v>
      </c>
      <c r="BQ114" s="3">
        <f>IFERROR(__xludf.DUMMYFUNCTION("""COMPUTED_VALUE"""),0.0)</f>
        <v>0</v>
      </c>
      <c r="BR114" s="3">
        <f>IFERROR(__xludf.DUMMYFUNCTION("""COMPUTED_VALUE"""),0.0)</f>
        <v>0</v>
      </c>
      <c r="BS114" s="3">
        <f>IFERROR(__xludf.DUMMYFUNCTION("""COMPUTED_VALUE"""),0.0)</f>
        <v>0</v>
      </c>
      <c r="BT114" s="3">
        <f>IFERROR(__xludf.DUMMYFUNCTION("""COMPUTED_VALUE"""),0.0)</f>
        <v>0</v>
      </c>
      <c r="BU114" s="3">
        <f>IFERROR(__xludf.DUMMYFUNCTION("""COMPUTED_VALUE"""),0.0)</f>
        <v>0</v>
      </c>
      <c r="BV114" s="3">
        <f>IFERROR(__xludf.DUMMYFUNCTION("""COMPUTED_VALUE"""),0.0)</f>
        <v>0</v>
      </c>
      <c r="BW114" s="3">
        <f>IFERROR(__xludf.DUMMYFUNCTION("""COMPUTED_VALUE"""),0.0)</f>
        <v>0</v>
      </c>
      <c r="BX114" s="3">
        <f>IFERROR(__xludf.DUMMYFUNCTION("""COMPUTED_VALUE"""),0.0)</f>
        <v>0</v>
      </c>
      <c r="BY114" s="3">
        <f>IFERROR(__xludf.DUMMYFUNCTION("""COMPUTED_VALUE"""),0.0)</f>
        <v>0</v>
      </c>
      <c r="BZ114" s="3">
        <f>IFERROR(__xludf.DUMMYFUNCTION("""COMPUTED_VALUE"""),0.0)</f>
        <v>0</v>
      </c>
      <c r="CA114" s="3">
        <f>IFERROR(__xludf.DUMMYFUNCTION("""COMPUTED_VALUE"""),0.0)</f>
        <v>0</v>
      </c>
      <c r="CB114" s="3">
        <f>IFERROR(__xludf.DUMMYFUNCTION("""COMPUTED_VALUE"""),0.0)</f>
        <v>0</v>
      </c>
    </row>
    <row r="115">
      <c r="A115" s="3" t="str">
        <f>IFERROR(__xludf.DUMMYFUNCTION("""COMPUTED_VALUE"""),"Saint Barthelemy")</f>
        <v>Saint Barthelemy</v>
      </c>
      <c r="B115" s="3" t="str">
        <f>IFERROR(__xludf.DUMMYFUNCTION("""COMPUTED_VALUE"""),"France")</f>
        <v>France</v>
      </c>
      <c r="C115" s="3">
        <f>IFERROR(__xludf.DUMMYFUNCTION("""COMPUTED_VALUE"""),17.9)</f>
        <v>17.9</v>
      </c>
      <c r="D115" s="3">
        <f>IFERROR(__xludf.DUMMYFUNCTION("""COMPUTED_VALUE"""),-62.8333)</f>
        <v>-62.8333</v>
      </c>
      <c r="E115" s="3">
        <f>IFERROR(__xludf.DUMMYFUNCTION("""COMPUTED_VALUE"""),0.0)</f>
        <v>0</v>
      </c>
      <c r="F115" s="3">
        <f>IFERROR(__xludf.DUMMYFUNCTION("""COMPUTED_VALUE"""),0.0)</f>
        <v>0</v>
      </c>
      <c r="G115" s="3">
        <f>IFERROR(__xludf.DUMMYFUNCTION("""COMPUTED_VALUE"""),0.0)</f>
        <v>0</v>
      </c>
      <c r="H115" s="3">
        <f>IFERROR(__xludf.DUMMYFUNCTION("""COMPUTED_VALUE"""),0.0)</f>
        <v>0</v>
      </c>
      <c r="I115" s="3">
        <f>IFERROR(__xludf.DUMMYFUNCTION("""COMPUTED_VALUE"""),0.0)</f>
        <v>0</v>
      </c>
      <c r="J115" s="3">
        <f>IFERROR(__xludf.DUMMYFUNCTION("""COMPUTED_VALUE"""),0.0)</f>
        <v>0</v>
      </c>
      <c r="K115" s="3">
        <f>IFERROR(__xludf.DUMMYFUNCTION("""COMPUTED_VALUE"""),0.0)</f>
        <v>0</v>
      </c>
      <c r="L115" s="3">
        <f>IFERROR(__xludf.DUMMYFUNCTION("""COMPUTED_VALUE"""),0.0)</f>
        <v>0</v>
      </c>
      <c r="M115" s="3">
        <f>IFERROR(__xludf.DUMMYFUNCTION("""COMPUTED_VALUE"""),0.0)</f>
        <v>0</v>
      </c>
      <c r="N115" s="3">
        <f>IFERROR(__xludf.DUMMYFUNCTION("""COMPUTED_VALUE"""),0.0)</f>
        <v>0</v>
      </c>
      <c r="O115" s="3">
        <f>IFERROR(__xludf.DUMMYFUNCTION("""COMPUTED_VALUE"""),0.0)</f>
        <v>0</v>
      </c>
      <c r="P115" s="3">
        <f>IFERROR(__xludf.DUMMYFUNCTION("""COMPUTED_VALUE"""),0.0)</f>
        <v>0</v>
      </c>
      <c r="Q115" s="3">
        <f>IFERROR(__xludf.DUMMYFUNCTION("""COMPUTED_VALUE"""),0.0)</f>
        <v>0</v>
      </c>
      <c r="R115" s="3">
        <f>IFERROR(__xludf.DUMMYFUNCTION("""COMPUTED_VALUE"""),0.0)</f>
        <v>0</v>
      </c>
      <c r="S115" s="3">
        <f>IFERROR(__xludf.DUMMYFUNCTION("""COMPUTED_VALUE"""),0.0)</f>
        <v>0</v>
      </c>
      <c r="T115" s="3">
        <f>IFERROR(__xludf.DUMMYFUNCTION("""COMPUTED_VALUE"""),0.0)</f>
        <v>0</v>
      </c>
      <c r="U115" s="3">
        <f>IFERROR(__xludf.DUMMYFUNCTION("""COMPUTED_VALUE"""),0.0)</f>
        <v>0</v>
      </c>
      <c r="V115" s="3">
        <f>IFERROR(__xludf.DUMMYFUNCTION("""COMPUTED_VALUE"""),0.0)</f>
        <v>0</v>
      </c>
      <c r="W115" s="3">
        <f>IFERROR(__xludf.DUMMYFUNCTION("""COMPUTED_VALUE"""),0.0)</f>
        <v>0</v>
      </c>
      <c r="X115" s="3">
        <f>IFERROR(__xludf.DUMMYFUNCTION("""COMPUTED_VALUE"""),0.0)</f>
        <v>0</v>
      </c>
      <c r="Y115" s="3">
        <f>IFERROR(__xludf.DUMMYFUNCTION("""COMPUTED_VALUE"""),0.0)</f>
        <v>0</v>
      </c>
      <c r="Z115" s="3">
        <f>IFERROR(__xludf.DUMMYFUNCTION("""COMPUTED_VALUE"""),0.0)</f>
        <v>0</v>
      </c>
      <c r="AA115" s="3">
        <f>IFERROR(__xludf.DUMMYFUNCTION("""COMPUTED_VALUE"""),0.0)</f>
        <v>0</v>
      </c>
      <c r="AB115" s="3">
        <f>IFERROR(__xludf.DUMMYFUNCTION("""COMPUTED_VALUE"""),0.0)</f>
        <v>0</v>
      </c>
      <c r="AC115" s="3">
        <f>IFERROR(__xludf.DUMMYFUNCTION("""COMPUTED_VALUE"""),0.0)</f>
        <v>0</v>
      </c>
      <c r="AD115" s="3">
        <f>IFERROR(__xludf.DUMMYFUNCTION("""COMPUTED_VALUE"""),0.0)</f>
        <v>0</v>
      </c>
      <c r="AE115" s="3">
        <f>IFERROR(__xludf.DUMMYFUNCTION("""COMPUTED_VALUE"""),0.0)</f>
        <v>0</v>
      </c>
      <c r="AF115" s="3">
        <f>IFERROR(__xludf.DUMMYFUNCTION("""COMPUTED_VALUE"""),0.0)</f>
        <v>0</v>
      </c>
      <c r="AG115" s="3">
        <f>IFERROR(__xludf.DUMMYFUNCTION("""COMPUTED_VALUE"""),0.0)</f>
        <v>0</v>
      </c>
      <c r="AH115" s="3">
        <f>IFERROR(__xludf.DUMMYFUNCTION("""COMPUTED_VALUE"""),0.0)</f>
        <v>0</v>
      </c>
      <c r="AI115" s="3">
        <f>IFERROR(__xludf.DUMMYFUNCTION("""COMPUTED_VALUE"""),0.0)</f>
        <v>0</v>
      </c>
      <c r="AJ115" s="3">
        <f>IFERROR(__xludf.DUMMYFUNCTION("""COMPUTED_VALUE"""),0.0)</f>
        <v>0</v>
      </c>
      <c r="AK115" s="3">
        <f>IFERROR(__xludf.DUMMYFUNCTION("""COMPUTED_VALUE"""),0.0)</f>
        <v>0</v>
      </c>
      <c r="AL115" s="3">
        <f>IFERROR(__xludf.DUMMYFUNCTION("""COMPUTED_VALUE"""),0.0)</f>
        <v>0</v>
      </c>
      <c r="AM115" s="3">
        <f>IFERROR(__xludf.DUMMYFUNCTION("""COMPUTED_VALUE"""),0.0)</f>
        <v>0</v>
      </c>
      <c r="AN115" s="3">
        <f>IFERROR(__xludf.DUMMYFUNCTION("""COMPUTED_VALUE"""),0.0)</f>
        <v>0</v>
      </c>
      <c r="AO115" s="3">
        <f>IFERROR(__xludf.DUMMYFUNCTION("""COMPUTED_VALUE"""),0.0)</f>
        <v>0</v>
      </c>
      <c r="AP115" s="3">
        <f>IFERROR(__xludf.DUMMYFUNCTION("""COMPUTED_VALUE"""),0.0)</f>
        <v>0</v>
      </c>
      <c r="AQ115" s="3">
        <f>IFERROR(__xludf.DUMMYFUNCTION("""COMPUTED_VALUE"""),0.0)</f>
        <v>0</v>
      </c>
      <c r="AR115" s="3">
        <f>IFERROR(__xludf.DUMMYFUNCTION("""COMPUTED_VALUE"""),0.0)</f>
        <v>0</v>
      </c>
      <c r="AS115" s="3">
        <f>IFERROR(__xludf.DUMMYFUNCTION("""COMPUTED_VALUE"""),0.0)</f>
        <v>0</v>
      </c>
      <c r="AT115" s="3">
        <f>IFERROR(__xludf.DUMMYFUNCTION("""COMPUTED_VALUE"""),0.0)</f>
        <v>0</v>
      </c>
      <c r="AU115" s="3">
        <f>IFERROR(__xludf.DUMMYFUNCTION("""COMPUTED_VALUE"""),0.0)</f>
        <v>0</v>
      </c>
      <c r="AV115" s="3">
        <f>IFERROR(__xludf.DUMMYFUNCTION("""COMPUTED_VALUE"""),0.0)</f>
        <v>0</v>
      </c>
      <c r="AW115" s="3">
        <f>IFERROR(__xludf.DUMMYFUNCTION("""COMPUTED_VALUE"""),0.0)</f>
        <v>0</v>
      </c>
      <c r="AX115" s="3">
        <f>IFERROR(__xludf.DUMMYFUNCTION("""COMPUTED_VALUE"""),0.0)</f>
        <v>0</v>
      </c>
      <c r="AY115" s="3">
        <f>IFERROR(__xludf.DUMMYFUNCTION("""COMPUTED_VALUE"""),0.0)</f>
        <v>0</v>
      </c>
      <c r="AZ115" s="3">
        <f>IFERROR(__xludf.DUMMYFUNCTION("""COMPUTED_VALUE"""),0.0)</f>
        <v>0</v>
      </c>
      <c r="BA115" s="3">
        <f>IFERROR(__xludf.DUMMYFUNCTION("""COMPUTED_VALUE"""),0.0)</f>
        <v>0</v>
      </c>
      <c r="BB115" s="3">
        <f>IFERROR(__xludf.DUMMYFUNCTION("""COMPUTED_VALUE"""),0.0)</f>
        <v>0</v>
      </c>
      <c r="BC115" s="3">
        <f>IFERROR(__xludf.DUMMYFUNCTION("""COMPUTED_VALUE"""),0.0)</f>
        <v>0</v>
      </c>
      <c r="BD115" s="3">
        <f>IFERROR(__xludf.DUMMYFUNCTION("""COMPUTED_VALUE"""),0.0)</f>
        <v>0</v>
      </c>
      <c r="BE115" s="3">
        <f>IFERROR(__xludf.DUMMYFUNCTION("""COMPUTED_VALUE"""),0.0)</f>
        <v>0</v>
      </c>
      <c r="BF115" s="3">
        <f>IFERROR(__xludf.DUMMYFUNCTION("""COMPUTED_VALUE"""),0.0)</f>
        <v>0</v>
      </c>
      <c r="BG115" s="3">
        <f>IFERROR(__xludf.DUMMYFUNCTION("""COMPUTED_VALUE"""),0.0)</f>
        <v>0</v>
      </c>
      <c r="BH115" s="3">
        <f>IFERROR(__xludf.DUMMYFUNCTION("""COMPUTED_VALUE"""),0.0)</f>
        <v>0</v>
      </c>
      <c r="BI115" s="3">
        <f>IFERROR(__xludf.DUMMYFUNCTION("""COMPUTED_VALUE"""),0.0)</f>
        <v>0</v>
      </c>
      <c r="BJ115" s="3">
        <f>IFERROR(__xludf.DUMMYFUNCTION("""COMPUTED_VALUE"""),0.0)</f>
        <v>0</v>
      </c>
      <c r="BK115" s="3">
        <f>IFERROR(__xludf.DUMMYFUNCTION("""COMPUTED_VALUE"""),0.0)</f>
        <v>0</v>
      </c>
      <c r="BL115" s="3">
        <f>IFERROR(__xludf.DUMMYFUNCTION("""COMPUTED_VALUE"""),0.0)</f>
        <v>0</v>
      </c>
      <c r="BM115" s="3">
        <f>IFERROR(__xludf.DUMMYFUNCTION("""COMPUTED_VALUE"""),0.0)</f>
        <v>0</v>
      </c>
      <c r="BN115" s="3">
        <f>IFERROR(__xludf.DUMMYFUNCTION("""COMPUTED_VALUE"""),0.0)</f>
        <v>0</v>
      </c>
      <c r="BO115" s="3">
        <f>IFERROR(__xludf.DUMMYFUNCTION("""COMPUTED_VALUE"""),0.0)</f>
        <v>0</v>
      </c>
      <c r="BP115" s="3">
        <f>IFERROR(__xludf.DUMMYFUNCTION("""COMPUTED_VALUE"""),0.0)</f>
        <v>0</v>
      </c>
      <c r="BQ115" s="3">
        <f>IFERROR(__xludf.DUMMYFUNCTION("""COMPUTED_VALUE"""),0.0)</f>
        <v>0</v>
      </c>
      <c r="BR115" s="3">
        <f>IFERROR(__xludf.DUMMYFUNCTION("""COMPUTED_VALUE"""),0.0)</f>
        <v>0</v>
      </c>
      <c r="BS115" s="3">
        <f>IFERROR(__xludf.DUMMYFUNCTION("""COMPUTED_VALUE"""),0.0)</f>
        <v>0</v>
      </c>
      <c r="BT115" s="3">
        <f>IFERROR(__xludf.DUMMYFUNCTION("""COMPUTED_VALUE"""),0.0)</f>
        <v>0</v>
      </c>
      <c r="BU115" s="3">
        <f>IFERROR(__xludf.DUMMYFUNCTION("""COMPUTED_VALUE"""),0.0)</f>
        <v>0</v>
      </c>
      <c r="BV115" s="3">
        <f>IFERROR(__xludf.DUMMYFUNCTION("""COMPUTED_VALUE"""),0.0)</f>
        <v>0</v>
      </c>
      <c r="BW115" s="3">
        <f>IFERROR(__xludf.DUMMYFUNCTION("""COMPUTED_VALUE"""),0.0)</f>
        <v>0</v>
      </c>
      <c r="BX115" s="3">
        <f>IFERROR(__xludf.DUMMYFUNCTION("""COMPUTED_VALUE"""),0.0)</f>
        <v>0</v>
      </c>
      <c r="BY115" s="3">
        <f>IFERROR(__xludf.DUMMYFUNCTION("""COMPUTED_VALUE"""),0.0)</f>
        <v>0</v>
      </c>
      <c r="BZ115" s="3">
        <f>IFERROR(__xludf.DUMMYFUNCTION("""COMPUTED_VALUE"""),0.0)</f>
        <v>0</v>
      </c>
      <c r="CA115" s="3">
        <f>IFERROR(__xludf.DUMMYFUNCTION("""COMPUTED_VALUE"""),0.0)</f>
        <v>0</v>
      </c>
      <c r="CB115" s="3">
        <f>IFERROR(__xludf.DUMMYFUNCTION("""COMPUTED_VALUE"""),0.0)</f>
        <v>0</v>
      </c>
    </row>
    <row r="116">
      <c r="A116" s="3" t="str">
        <f>IFERROR(__xludf.DUMMYFUNCTION("""COMPUTED_VALUE"""),"St Martin")</f>
        <v>St Martin</v>
      </c>
      <c r="B116" s="3" t="str">
        <f>IFERROR(__xludf.DUMMYFUNCTION("""COMPUTED_VALUE"""),"France")</f>
        <v>France</v>
      </c>
      <c r="C116" s="3">
        <f>IFERROR(__xludf.DUMMYFUNCTION("""COMPUTED_VALUE"""),18.0708)</f>
        <v>18.0708</v>
      </c>
      <c r="D116" s="3">
        <f>IFERROR(__xludf.DUMMYFUNCTION("""COMPUTED_VALUE"""),-63.0501)</f>
        <v>-63.0501</v>
      </c>
      <c r="E116" s="3">
        <f>IFERROR(__xludf.DUMMYFUNCTION("""COMPUTED_VALUE"""),0.0)</f>
        <v>0</v>
      </c>
      <c r="F116" s="3">
        <f>IFERROR(__xludf.DUMMYFUNCTION("""COMPUTED_VALUE"""),0.0)</f>
        <v>0</v>
      </c>
      <c r="G116" s="3">
        <f>IFERROR(__xludf.DUMMYFUNCTION("""COMPUTED_VALUE"""),0.0)</f>
        <v>0</v>
      </c>
      <c r="H116" s="3">
        <f>IFERROR(__xludf.DUMMYFUNCTION("""COMPUTED_VALUE"""),0.0)</f>
        <v>0</v>
      </c>
      <c r="I116" s="3">
        <f>IFERROR(__xludf.DUMMYFUNCTION("""COMPUTED_VALUE"""),0.0)</f>
        <v>0</v>
      </c>
      <c r="J116" s="3">
        <f>IFERROR(__xludf.DUMMYFUNCTION("""COMPUTED_VALUE"""),0.0)</f>
        <v>0</v>
      </c>
      <c r="K116" s="3">
        <f>IFERROR(__xludf.DUMMYFUNCTION("""COMPUTED_VALUE"""),0.0)</f>
        <v>0</v>
      </c>
      <c r="L116" s="3">
        <f>IFERROR(__xludf.DUMMYFUNCTION("""COMPUTED_VALUE"""),0.0)</f>
        <v>0</v>
      </c>
      <c r="M116" s="3">
        <f>IFERROR(__xludf.DUMMYFUNCTION("""COMPUTED_VALUE"""),0.0)</f>
        <v>0</v>
      </c>
      <c r="N116" s="3">
        <f>IFERROR(__xludf.DUMMYFUNCTION("""COMPUTED_VALUE"""),0.0)</f>
        <v>0</v>
      </c>
      <c r="O116" s="3">
        <f>IFERROR(__xludf.DUMMYFUNCTION("""COMPUTED_VALUE"""),0.0)</f>
        <v>0</v>
      </c>
      <c r="P116" s="3">
        <f>IFERROR(__xludf.DUMMYFUNCTION("""COMPUTED_VALUE"""),0.0)</f>
        <v>0</v>
      </c>
      <c r="Q116" s="3">
        <f>IFERROR(__xludf.DUMMYFUNCTION("""COMPUTED_VALUE"""),0.0)</f>
        <v>0</v>
      </c>
      <c r="R116" s="3">
        <f>IFERROR(__xludf.DUMMYFUNCTION("""COMPUTED_VALUE"""),0.0)</f>
        <v>0</v>
      </c>
      <c r="S116" s="3">
        <f>IFERROR(__xludf.DUMMYFUNCTION("""COMPUTED_VALUE"""),0.0)</f>
        <v>0</v>
      </c>
      <c r="T116" s="3">
        <f>IFERROR(__xludf.DUMMYFUNCTION("""COMPUTED_VALUE"""),0.0)</f>
        <v>0</v>
      </c>
      <c r="U116" s="3">
        <f>IFERROR(__xludf.DUMMYFUNCTION("""COMPUTED_VALUE"""),0.0)</f>
        <v>0</v>
      </c>
      <c r="V116" s="3">
        <f>IFERROR(__xludf.DUMMYFUNCTION("""COMPUTED_VALUE"""),0.0)</f>
        <v>0</v>
      </c>
      <c r="W116" s="3">
        <f>IFERROR(__xludf.DUMMYFUNCTION("""COMPUTED_VALUE"""),0.0)</f>
        <v>0</v>
      </c>
      <c r="X116" s="3">
        <f>IFERROR(__xludf.DUMMYFUNCTION("""COMPUTED_VALUE"""),0.0)</f>
        <v>0</v>
      </c>
      <c r="Y116" s="3">
        <f>IFERROR(__xludf.DUMMYFUNCTION("""COMPUTED_VALUE"""),0.0)</f>
        <v>0</v>
      </c>
      <c r="Z116" s="3">
        <f>IFERROR(__xludf.DUMMYFUNCTION("""COMPUTED_VALUE"""),0.0)</f>
        <v>0</v>
      </c>
      <c r="AA116" s="3">
        <f>IFERROR(__xludf.DUMMYFUNCTION("""COMPUTED_VALUE"""),0.0)</f>
        <v>0</v>
      </c>
      <c r="AB116" s="3">
        <f>IFERROR(__xludf.DUMMYFUNCTION("""COMPUTED_VALUE"""),0.0)</f>
        <v>0</v>
      </c>
      <c r="AC116" s="3">
        <f>IFERROR(__xludf.DUMMYFUNCTION("""COMPUTED_VALUE"""),0.0)</f>
        <v>0</v>
      </c>
      <c r="AD116" s="3">
        <f>IFERROR(__xludf.DUMMYFUNCTION("""COMPUTED_VALUE"""),0.0)</f>
        <v>0</v>
      </c>
      <c r="AE116" s="3">
        <f>IFERROR(__xludf.DUMMYFUNCTION("""COMPUTED_VALUE"""),0.0)</f>
        <v>0</v>
      </c>
      <c r="AF116" s="3">
        <f>IFERROR(__xludf.DUMMYFUNCTION("""COMPUTED_VALUE"""),0.0)</f>
        <v>0</v>
      </c>
      <c r="AG116" s="3">
        <f>IFERROR(__xludf.DUMMYFUNCTION("""COMPUTED_VALUE"""),0.0)</f>
        <v>0</v>
      </c>
      <c r="AH116" s="3">
        <f>IFERROR(__xludf.DUMMYFUNCTION("""COMPUTED_VALUE"""),0.0)</f>
        <v>0</v>
      </c>
      <c r="AI116" s="3">
        <f>IFERROR(__xludf.DUMMYFUNCTION("""COMPUTED_VALUE"""),0.0)</f>
        <v>0</v>
      </c>
      <c r="AJ116" s="3">
        <f>IFERROR(__xludf.DUMMYFUNCTION("""COMPUTED_VALUE"""),0.0)</f>
        <v>0</v>
      </c>
      <c r="AK116" s="3">
        <f>IFERROR(__xludf.DUMMYFUNCTION("""COMPUTED_VALUE"""),0.0)</f>
        <v>0</v>
      </c>
      <c r="AL116" s="3">
        <f>IFERROR(__xludf.DUMMYFUNCTION("""COMPUTED_VALUE"""),0.0)</f>
        <v>0</v>
      </c>
      <c r="AM116" s="3">
        <f>IFERROR(__xludf.DUMMYFUNCTION("""COMPUTED_VALUE"""),0.0)</f>
        <v>0</v>
      </c>
      <c r="AN116" s="3">
        <f>IFERROR(__xludf.DUMMYFUNCTION("""COMPUTED_VALUE"""),0.0)</f>
        <v>0</v>
      </c>
      <c r="AO116" s="3">
        <f>IFERROR(__xludf.DUMMYFUNCTION("""COMPUTED_VALUE"""),0.0)</f>
        <v>0</v>
      </c>
      <c r="AP116" s="3">
        <f>IFERROR(__xludf.DUMMYFUNCTION("""COMPUTED_VALUE"""),0.0)</f>
        <v>0</v>
      </c>
      <c r="AQ116" s="3">
        <f>IFERROR(__xludf.DUMMYFUNCTION("""COMPUTED_VALUE"""),0.0)</f>
        <v>0</v>
      </c>
      <c r="AR116" s="3">
        <f>IFERROR(__xludf.DUMMYFUNCTION("""COMPUTED_VALUE"""),0.0)</f>
        <v>0</v>
      </c>
      <c r="AS116" s="3">
        <f>IFERROR(__xludf.DUMMYFUNCTION("""COMPUTED_VALUE"""),0.0)</f>
        <v>0</v>
      </c>
      <c r="AT116" s="3">
        <f>IFERROR(__xludf.DUMMYFUNCTION("""COMPUTED_VALUE"""),0.0)</f>
        <v>0</v>
      </c>
      <c r="AU116" s="3">
        <f>IFERROR(__xludf.DUMMYFUNCTION("""COMPUTED_VALUE"""),0.0)</f>
        <v>0</v>
      </c>
      <c r="AV116" s="3">
        <f>IFERROR(__xludf.DUMMYFUNCTION("""COMPUTED_VALUE"""),0.0)</f>
        <v>0</v>
      </c>
      <c r="AW116" s="3">
        <f>IFERROR(__xludf.DUMMYFUNCTION("""COMPUTED_VALUE"""),0.0)</f>
        <v>0</v>
      </c>
      <c r="AX116" s="3">
        <f>IFERROR(__xludf.DUMMYFUNCTION("""COMPUTED_VALUE"""),0.0)</f>
        <v>0</v>
      </c>
      <c r="AY116" s="3">
        <f>IFERROR(__xludf.DUMMYFUNCTION("""COMPUTED_VALUE"""),0.0)</f>
        <v>0</v>
      </c>
      <c r="AZ116" s="3">
        <f>IFERROR(__xludf.DUMMYFUNCTION("""COMPUTED_VALUE"""),0.0)</f>
        <v>0</v>
      </c>
      <c r="BA116" s="3">
        <f>IFERROR(__xludf.DUMMYFUNCTION("""COMPUTED_VALUE"""),0.0)</f>
        <v>0</v>
      </c>
      <c r="BB116" s="3">
        <f>IFERROR(__xludf.DUMMYFUNCTION("""COMPUTED_VALUE"""),0.0)</f>
        <v>0</v>
      </c>
      <c r="BC116" s="3">
        <f>IFERROR(__xludf.DUMMYFUNCTION("""COMPUTED_VALUE"""),0.0)</f>
        <v>0</v>
      </c>
      <c r="BD116" s="3">
        <f>IFERROR(__xludf.DUMMYFUNCTION("""COMPUTED_VALUE"""),0.0)</f>
        <v>0</v>
      </c>
      <c r="BE116" s="3">
        <f>IFERROR(__xludf.DUMMYFUNCTION("""COMPUTED_VALUE"""),0.0)</f>
        <v>0</v>
      </c>
      <c r="BF116" s="3">
        <f>IFERROR(__xludf.DUMMYFUNCTION("""COMPUTED_VALUE"""),0.0)</f>
        <v>0</v>
      </c>
      <c r="BG116" s="3">
        <f>IFERROR(__xludf.DUMMYFUNCTION("""COMPUTED_VALUE"""),0.0)</f>
        <v>0</v>
      </c>
      <c r="BH116" s="3">
        <f>IFERROR(__xludf.DUMMYFUNCTION("""COMPUTED_VALUE"""),0.0)</f>
        <v>0</v>
      </c>
      <c r="BI116" s="3">
        <f>IFERROR(__xludf.DUMMYFUNCTION("""COMPUTED_VALUE"""),0.0)</f>
        <v>0</v>
      </c>
      <c r="BJ116" s="3">
        <f>IFERROR(__xludf.DUMMYFUNCTION("""COMPUTED_VALUE"""),0.0)</f>
        <v>0</v>
      </c>
      <c r="BK116" s="3">
        <f>IFERROR(__xludf.DUMMYFUNCTION("""COMPUTED_VALUE"""),0.0)</f>
        <v>0</v>
      </c>
      <c r="BL116" s="3">
        <f>IFERROR(__xludf.DUMMYFUNCTION("""COMPUTED_VALUE"""),0.0)</f>
        <v>0</v>
      </c>
      <c r="BM116" s="3">
        <f>IFERROR(__xludf.DUMMYFUNCTION("""COMPUTED_VALUE"""),0.0)</f>
        <v>0</v>
      </c>
      <c r="BN116" s="3">
        <f>IFERROR(__xludf.DUMMYFUNCTION("""COMPUTED_VALUE"""),0.0)</f>
        <v>0</v>
      </c>
      <c r="BO116" s="3">
        <f>IFERROR(__xludf.DUMMYFUNCTION("""COMPUTED_VALUE"""),0.0)</f>
        <v>0</v>
      </c>
      <c r="BP116" s="3">
        <f>IFERROR(__xludf.DUMMYFUNCTION("""COMPUTED_VALUE"""),0.0)</f>
        <v>0</v>
      </c>
      <c r="BQ116" s="3">
        <f>IFERROR(__xludf.DUMMYFUNCTION("""COMPUTED_VALUE"""),0.0)</f>
        <v>0</v>
      </c>
      <c r="BR116" s="3">
        <f>IFERROR(__xludf.DUMMYFUNCTION("""COMPUTED_VALUE"""),0.0)</f>
        <v>0</v>
      </c>
      <c r="BS116" s="3">
        <f>IFERROR(__xludf.DUMMYFUNCTION("""COMPUTED_VALUE"""),0.0)</f>
        <v>0</v>
      </c>
      <c r="BT116" s="3">
        <f>IFERROR(__xludf.DUMMYFUNCTION("""COMPUTED_VALUE"""),0.0)</f>
        <v>0</v>
      </c>
      <c r="BU116" s="3">
        <f>IFERROR(__xludf.DUMMYFUNCTION("""COMPUTED_VALUE"""),1.0)</f>
        <v>1</v>
      </c>
      <c r="BV116" s="3">
        <f>IFERROR(__xludf.DUMMYFUNCTION("""COMPUTED_VALUE"""),1.0)</f>
        <v>1</v>
      </c>
      <c r="BW116" s="3">
        <f>IFERROR(__xludf.DUMMYFUNCTION("""COMPUTED_VALUE"""),1.0)</f>
        <v>1</v>
      </c>
      <c r="BX116" s="3">
        <f>IFERROR(__xludf.DUMMYFUNCTION("""COMPUTED_VALUE"""),1.0)</f>
        <v>1</v>
      </c>
      <c r="BY116" s="3">
        <f>IFERROR(__xludf.DUMMYFUNCTION("""COMPUTED_VALUE"""),1.0)</f>
        <v>1</v>
      </c>
      <c r="BZ116" s="3">
        <f>IFERROR(__xludf.DUMMYFUNCTION("""COMPUTED_VALUE"""),2.0)</f>
        <v>2</v>
      </c>
      <c r="CA116" s="3">
        <f>IFERROR(__xludf.DUMMYFUNCTION("""COMPUTED_VALUE"""),2.0)</f>
        <v>2</v>
      </c>
      <c r="CB116" s="3">
        <f>IFERROR(__xludf.DUMMYFUNCTION("""COMPUTED_VALUE"""),2.0)</f>
        <v>2</v>
      </c>
    </row>
    <row r="117">
      <c r="A117" s="3" t="str">
        <f>IFERROR(__xludf.DUMMYFUNCTION("""COMPUTED_VALUE"""),"Martinique")</f>
        <v>Martinique</v>
      </c>
      <c r="B117" s="3" t="str">
        <f>IFERROR(__xludf.DUMMYFUNCTION("""COMPUTED_VALUE"""),"France")</f>
        <v>France</v>
      </c>
      <c r="C117" s="3">
        <f>IFERROR(__xludf.DUMMYFUNCTION("""COMPUTED_VALUE"""),14.6415)</f>
        <v>14.6415</v>
      </c>
      <c r="D117" s="3">
        <f>IFERROR(__xludf.DUMMYFUNCTION("""COMPUTED_VALUE"""),-61.0242)</f>
        <v>-61.0242</v>
      </c>
      <c r="E117" s="3">
        <f>IFERROR(__xludf.DUMMYFUNCTION("""COMPUTED_VALUE"""),0.0)</f>
        <v>0</v>
      </c>
      <c r="F117" s="3">
        <f>IFERROR(__xludf.DUMMYFUNCTION("""COMPUTED_VALUE"""),0.0)</f>
        <v>0</v>
      </c>
      <c r="G117" s="3">
        <f>IFERROR(__xludf.DUMMYFUNCTION("""COMPUTED_VALUE"""),0.0)</f>
        <v>0</v>
      </c>
      <c r="H117" s="3">
        <f>IFERROR(__xludf.DUMMYFUNCTION("""COMPUTED_VALUE"""),0.0)</f>
        <v>0</v>
      </c>
      <c r="I117" s="3">
        <f>IFERROR(__xludf.DUMMYFUNCTION("""COMPUTED_VALUE"""),0.0)</f>
        <v>0</v>
      </c>
      <c r="J117" s="3">
        <f>IFERROR(__xludf.DUMMYFUNCTION("""COMPUTED_VALUE"""),0.0)</f>
        <v>0</v>
      </c>
      <c r="K117" s="3">
        <f>IFERROR(__xludf.DUMMYFUNCTION("""COMPUTED_VALUE"""),0.0)</f>
        <v>0</v>
      </c>
      <c r="L117" s="3">
        <f>IFERROR(__xludf.DUMMYFUNCTION("""COMPUTED_VALUE"""),0.0)</f>
        <v>0</v>
      </c>
      <c r="M117" s="3">
        <f>IFERROR(__xludf.DUMMYFUNCTION("""COMPUTED_VALUE"""),0.0)</f>
        <v>0</v>
      </c>
      <c r="N117" s="3">
        <f>IFERROR(__xludf.DUMMYFUNCTION("""COMPUTED_VALUE"""),0.0)</f>
        <v>0</v>
      </c>
      <c r="O117" s="3">
        <f>IFERROR(__xludf.DUMMYFUNCTION("""COMPUTED_VALUE"""),0.0)</f>
        <v>0</v>
      </c>
      <c r="P117" s="3">
        <f>IFERROR(__xludf.DUMMYFUNCTION("""COMPUTED_VALUE"""),0.0)</f>
        <v>0</v>
      </c>
      <c r="Q117" s="3">
        <f>IFERROR(__xludf.DUMMYFUNCTION("""COMPUTED_VALUE"""),0.0)</f>
        <v>0</v>
      </c>
      <c r="R117" s="3">
        <f>IFERROR(__xludf.DUMMYFUNCTION("""COMPUTED_VALUE"""),0.0)</f>
        <v>0</v>
      </c>
      <c r="S117" s="3">
        <f>IFERROR(__xludf.DUMMYFUNCTION("""COMPUTED_VALUE"""),0.0)</f>
        <v>0</v>
      </c>
      <c r="T117" s="3">
        <f>IFERROR(__xludf.DUMMYFUNCTION("""COMPUTED_VALUE"""),0.0)</f>
        <v>0</v>
      </c>
      <c r="U117" s="3">
        <f>IFERROR(__xludf.DUMMYFUNCTION("""COMPUTED_VALUE"""),0.0)</f>
        <v>0</v>
      </c>
      <c r="V117" s="3">
        <f>IFERROR(__xludf.DUMMYFUNCTION("""COMPUTED_VALUE"""),0.0)</f>
        <v>0</v>
      </c>
      <c r="W117" s="3">
        <f>IFERROR(__xludf.DUMMYFUNCTION("""COMPUTED_VALUE"""),0.0)</f>
        <v>0</v>
      </c>
      <c r="X117" s="3">
        <f>IFERROR(__xludf.DUMMYFUNCTION("""COMPUTED_VALUE"""),0.0)</f>
        <v>0</v>
      </c>
      <c r="Y117" s="3">
        <f>IFERROR(__xludf.DUMMYFUNCTION("""COMPUTED_VALUE"""),0.0)</f>
        <v>0</v>
      </c>
      <c r="Z117" s="3">
        <f>IFERROR(__xludf.DUMMYFUNCTION("""COMPUTED_VALUE"""),0.0)</f>
        <v>0</v>
      </c>
      <c r="AA117" s="3">
        <f>IFERROR(__xludf.DUMMYFUNCTION("""COMPUTED_VALUE"""),0.0)</f>
        <v>0</v>
      </c>
      <c r="AB117" s="3">
        <f>IFERROR(__xludf.DUMMYFUNCTION("""COMPUTED_VALUE"""),0.0)</f>
        <v>0</v>
      </c>
      <c r="AC117" s="3">
        <f>IFERROR(__xludf.DUMMYFUNCTION("""COMPUTED_VALUE"""),0.0)</f>
        <v>0</v>
      </c>
      <c r="AD117" s="3">
        <f>IFERROR(__xludf.DUMMYFUNCTION("""COMPUTED_VALUE"""),0.0)</f>
        <v>0</v>
      </c>
      <c r="AE117" s="3">
        <f>IFERROR(__xludf.DUMMYFUNCTION("""COMPUTED_VALUE"""),0.0)</f>
        <v>0</v>
      </c>
      <c r="AF117" s="3">
        <f>IFERROR(__xludf.DUMMYFUNCTION("""COMPUTED_VALUE"""),0.0)</f>
        <v>0</v>
      </c>
      <c r="AG117" s="3">
        <f>IFERROR(__xludf.DUMMYFUNCTION("""COMPUTED_VALUE"""),0.0)</f>
        <v>0</v>
      </c>
      <c r="AH117" s="3">
        <f>IFERROR(__xludf.DUMMYFUNCTION("""COMPUTED_VALUE"""),0.0)</f>
        <v>0</v>
      </c>
      <c r="AI117" s="3">
        <f>IFERROR(__xludf.DUMMYFUNCTION("""COMPUTED_VALUE"""),0.0)</f>
        <v>0</v>
      </c>
      <c r="AJ117" s="3">
        <f>IFERROR(__xludf.DUMMYFUNCTION("""COMPUTED_VALUE"""),0.0)</f>
        <v>0</v>
      </c>
      <c r="AK117" s="3">
        <f>IFERROR(__xludf.DUMMYFUNCTION("""COMPUTED_VALUE"""),0.0)</f>
        <v>0</v>
      </c>
      <c r="AL117" s="3">
        <f>IFERROR(__xludf.DUMMYFUNCTION("""COMPUTED_VALUE"""),0.0)</f>
        <v>0</v>
      </c>
      <c r="AM117" s="3">
        <f>IFERROR(__xludf.DUMMYFUNCTION("""COMPUTED_VALUE"""),0.0)</f>
        <v>0</v>
      </c>
      <c r="AN117" s="3">
        <f>IFERROR(__xludf.DUMMYFUNCTION("""COMPUTED_VALUE"""),0.0)</f>
        <v>0</v>
      </c>
      <c r="AO117" s="3">
        <f>IFERROR(__xludf.DUMMYFUNCTION("""COMPUTED_VALUE"""),0.0)</f>
        <v>0</v>
      </c>
      <c r="AP117" s="3">
        <f>IFERROR(__xludf.DUMMYFUNCTION("""COMPUTED_VALUE"""),0.0)</f>
        <v>0</v>
      </c>
      <c r="AQ117" s="3">
        <f>IFERROR(__xludf.DUMMYFUNCTION("""COMPUTED_VALUE"""),0.0)</f>
        <v>0</v>
      </c>
      <c r="AR117" s="3">
        <f>IFERROR(__xludf.DUMMYFUNCTION("""COMPUTED_VALUE"""),0.0)</f>
        <v>0</v>
      </c>
      <c r="AS117" s="3">
        <f>IFERROR(__xludf.DUMMYFUNCTION("""COMPUTED_VALUE"""),0.0)</f>
        <v>0</v>
      </c>
      <c r="AT117" s="3">
        <f>IFERROR(__xludf.DUMMYFUNCTION("""COMPUTED_VALUE"""),0.0)</f>
        <v>0</v>
      </c>
      <c r="AU117" s="3">
        <f>IFERROR(__xludf.DUMMYFUNCTION("""COMPUTED_VALUE"""),0.0)</f>
        <v>0</v>
      </c>
      <c r="AV117" s="3">
        <f>IFERROR(__xludf.DUMMYFUNCTION("""COMPUTED_VALUE"""),0.0)</f>
        <v>0</v>
      </c>
      <c r="AW117" s="3">
        <f>IFERROR(__xludf.DUMMYFUNCTION("""COMPUTED_VALUE"""),0.0)</f>
        <v>0</v>
      </c>
      <c r="AX117" s="3">
        <f>IFERROR(__xludf.DUMMYFUNCTION("""COMPUTED_VALUE"""),0.0)</f>
        <v>0</v>
      </c>
      <c r="AY117" s="3">
        <f>IFERROR(__xludf.DUMMYFUNCTION("""COMPUTED_VALUE"""),0.0)</f>
        <v>0</v>
      </c>
      <c r="AZ117" s="3">
        <f>IFERROR(__xludf.DUMMYFUNCTION("""COMPUTED_VALUE"""),0.0)</f>
        <v>0</v>
      </c>
      <c r="BA117" s="3">
        <f>IFERROR(__xludf.DUMMYFUNCTION("""COMPUTED_VALUE"""),0.0)</f>
        <v>0</v>
      </c>
      <c r="BB117" s="3">
        <f>IFERROR(__xludf.DUMMYFUNCTION("""COMPUTED_VALUE"""),0.0)</f>
        <v>0</v>
      </c>
      <c r="BC117" s="3">
        <f>IFERROR(__xludf.DUMMYFUNCTION("""COMPUTED_VALUE"""),0.0)</f>
        <v>0</v>
      </c>
      <c r="BD117" s="3">
        <f>IFERROR(__xludf.DUMMYFUNCTION("""COMPUTED_VALUE"""),0.0)</f>
        <v>0</v>
      </c>
      <c r="BE117" s="3">
        <f>IFERROR(__xludf.DUMMYFUNCTION("""COMPUTED_VALUE"""),0.0)</f>
        <v>0</v>
      </c>
      <c r="BF117" s="3">
        <f>IFERROR(__xludf.DUMMYFUNCTION("""COMPUTED_VALUE"""),0.0)</f>
        <v>0</v>
      </c>
      <c r="BG117" s="3">
        <f>IFERROR(__xludf.DUMMYFUNCTION("""COMPUTED_VALUE"""),1.0)</f>
        <v>1</v>
      </c>
      <c r="BH117" s="3">
        <f>IFERROR(__xludf.DUMMYFUNCTION("""COMPUTED_VALUE"""),1.0)</f>
        <v>1</v>
      </c>
      <c r="BI117" s="3">
        <f>IFERROR(__xludf.DUMMYFUNCTION("""COMPUTED_VALUE"""),1.0)</f>
        <v>1</v>
      </c>
      <c r="BJ117" s="3">
        <f>IFERROR(__xludf.DUMMYFUNCTION("""COMPUTED_VALUE"""),1.0)</f>
        <v>1</v>
      </c>
      <c r="BK117" s="3">
        <f>IFERROR(__xludf.DUMMYFUNCTION("""COMPUTED_VALUE"""),1.0)</f>
        <v>1</v>
      </c>
      <c r="BL117" s="3">
        <f>IFERROR(__xludf.DUMMYFUNCTION("""COMPUTED_VALUE"""),1.0)</f>
        <v>1</v>
      </c>
      <c r="BM117" s="3">
        <f>IFERROR(__xludf.DUMMYFUNCTION("""COMPUTED_VALUE"""),1.0)</f>
        <v>1</v>
      </c>
      <c r="BN117" s="3">
        <f>IFERROR(__xludf.DUMMYFUNCTION("""COMPUTED_VALUE"""),1.0)</f>
        <v>1</v>
      </c>
      <c r="BO117" s="3">
        <f>IFERROR(__xludf.DUMMYFUNCTION("""COMPUTED_VALUE"""),1.0)</f>
        <v>1</v>
      </c>
      <c r="BP117" s="3">
        <f>IFERROR(__xludf.DUMMYFUNCTION("""COMPUTED_VALUE"""),1.0)</f>
        <v>1</v>
      </c>
      <c r="BQ117" s="3">
        <f>IFERROR(__xludf.DUMMYFUNCTION("""COMPUTED_VALUE"""),1.0)</f>
        <v>1</v>
      </c>
      <c r="BR117" s="3">
        <f>IFERROR(__xludf.DUMMYFUNCTION("""COMPUTED_VALUE"""),1.0)</f>
        <v>1</v>
      </c>
      <c r="BS117" s="3">
        <f>IFERROR(__xludf.DUMMYFUNCTION("""COMPUTED_VALUE"""),1.0)</f>
        <v>1</v>
      </c>
      <c r="BT117" s="3">
        <f>IFERROR(__xludf.DUMMYFUNCTION("""COMPUTED_VALUE"""),1.0)</f>
        <v>1</v>
      </c>
      <c r="BU117" s="3">
        <f>IFERROR(__xludf.DUMMYFUNCTION("""COMPUTED_VALUE"""),1.0)</f>
        <v>1</v>
      </c>
      <c r="BV117" s="3">
        <f>IFERROR(__xludf.DUMMYFUNCTION("""COMPUTED_VALUE"""),3.0)</f>
        <v>3</v>
      </c>
      <c r="BW117" s="3">
        <f>IFERROR(__xludf.DUMMYFUNCTION("""COMPUTED_VALUE"""),3.0)</f>
        <v>3</v>
      </c>
      <c r="BX117" s="3">
        <f>IFERROR(__xludf.DUMMYFUNCTION("""COMPUTED_VALUE"""),3.0)</f>
        <v>3</v>
      </c>
      <c r="BY117" s="3">
        <f>IFERROR(__xludf.DUMMYFUNCTION("""COMPUTED_VALUE"""),3.0)</f>
        <v>3</v>
      </c>
      <c r="BZ117" s="3">
        <f>IFERROR(__xludf.DUMMYFUNCTION("""COMPUTED_VALUE"""),3.0)</f>
        <v>3</v>
      </c>
      <c r="CA117" s="3">
        <f>IFERROR(__xludf.DUMMYFUNCTION("""COMPUTED_VALUE"""),4.0)</f>
        <v>4</v>
      </c>
      <c r="CB117" s="3">
        <f>IFERROR(__xludf.DUMMYFUNCTION("""COMPUTED_VALUE"""),4.0)</f>
        <v>4</v>
      </c>
    </row>
    <row r="118">
      <c r="A118" s="3" t="str">
        <f>IFERROR(__xludf.DUMMYFUNCTION("""COMPUTED_VALUE"""),"")</f>
        <v/>
      </c>
      <c r="B118" s="3" t="str">
        <f>IFERROR(__xludf.DUMMYFUNCTION("""COMPUTED_VALUE"""),"France")</f>
        <v>France</v>
      </c>
      <c r="C118" s="3">
        <f>IFERROR(__xludf.DUMMYFUNCTION("""COMPUTED_VALUE"""),46.2276)</f>
        <v>46.2276</v>
      </c>
      <c r="D118" s="3">
        <f>IFERROR(__xludf.DUMMYFUNCTION("""COMPUTED_VALUE"""),2.2137)</f>
        <v>2.2137</v>
      </c>
      <c r="E118" s="3">
        <f>IFERROR(__xludf.DUMMYFUNCTION("""COMPUTED_VALUE"""),0.0)</f>
        <v>0</v>
      </c>
      <c r="F118" s="3">
        <f>IFERROR(__xludf.DUMMYFUNCTION("""COMPUTED_VALUE"""),0.0)</f>
        <v>0</v>
      </c>
      <c r="G118" s="3">
        <f>IFERROR(__xludf.DUMMYFUNCTION("""COMPUTED_VALUE"""),0.0)</f>
        <v>0</v>
      </c>
      <c r="H118" s="3">
        <f>IFERROR(__xludf.DUMMYFUNCTION("""COMPUTED_VALUE"""),0.0)</f>
        <v>0</v>
      </c>
      <c r="I118" s="3">
        <f>IFERROR(__xludf.DUMMYFUNCTION("""COMPUTED_VALUE"""),0.0)</f>
        <v>0</v>
      </c>
      <c r="J118" s="3">
        <f>IFERROR(__xludf.DUMMYFUNCTION("""COMPUTED_VALUE"""),0.0)</f>
        <v>0</v>
      </c>
      <c r="K118" s="3">
        <f>IFERROR(__xludf.DUMMYFUNCTION("""COMPUTED_VALUE"""),0.0)</f>
        <v>0</v>
      </c>
      <c r="L118" s="3">
        <f>IFERROR(__xludf.DUMMYFUNCTION("""COMPUTED_VALUE"""),0.0)</f>
        <v>0</v>
      </c>
      <c r="M118" s="3">
        <f>IFERROR(__xludf.DUMMYFUNCTION("""COMPUTED_VALUE"""),0.0)</f>
        <v>0</v>
      </c>
      <c r="N118" s="3">
        <f>IFERROR(__xludf.DUMMYFUNCTION("""COMPUTED_VALUE"""),0.0)</f>
        <v>0</v>
      </c>
      <c r="O118" s="3">
        <f>IFERROR(__xludf.DUMMYFUNCTION("""COMPUTED_VALUE"""),0.0)</f>
        <v>0</v>
      </c>
      <c r="P118" s="3">
        <f>IFERROR(__xludf.DUMMYFUNCTION("""COMPUTED_VALUE"""),0.0)</f>
        <v>0</v>
      </c>
      <c r="Q118" s="3">
        <f>IFERROR(__xludf.DUMMYFUNCTION("""COMPUTED_VALUE"""),0.0)</f>
        <v>0</v>
      </c>
      <c r="R118" s="3">
        <f>IFERROR(__xludf.DUMMYFUNCTION("""COMPUTED_VALUE"""),0.0)</f>
        <v>0</v>
      </c>
      <c r="S118" s="3">
        <f>IFERROR(__xludf.DUMMYFUNCTION("""COMPUTED_VALUE"""),0.0)</f>
        <v>0</v>
      </c>
      <c r="T118" s="3">
        <f>IFERROR(__xludf.DUMMYFUNCTION("""COMPUTED_VALUE"""),0.0)</f>
        <v>0</v>
      </c>
      <c r="U118" s="3">
        <f>IFERROR(__xludf.DUMMYFUNCTION("""COMPUTED_VALUE"""),0.0)</f>
        <v>0</v>
      </c>
      <c r="V118" s="3">
        <f>IFERROR(__xludf.DUMMYFUNCTION("""COMPUTED_VALUE"""),0.0)</f>
        <v>0</v>
      </c>
      <c r="W118" s="3">
        <f>IFERROR(__xludf.DUMMYFUNCTION("""COMPUTED_VALUE"""),0.0)</f>
        <v>0</v>
      </c>
      <c r="X118" s="3">
        <f>IFERROR(__xludf.DUMMYFUNCTION("""COMPUTED_VALUE"""),0.0)</f>
        <v>0</v>
      </c>
      <c r="Y118" s="3">
        <f>IFERROR(__xludf.DUMMYFUNCTION("""COMPUTED_VALUE"""),0.0)</f>
        <v>0</v>
      </c>
      <c r="Z118" s="3">
        <f>IFERROR(__xludf.DUMMYFUNCTION("""COMPUTED_VALUE"""),0.0)</f>
        <v>0</v>
      </c>
      <c r="AA118" s="3">
        <f>IFERROR(__xludf.DUMMYFUNCTION("""COMPUTED_VALUE"""),0.0)</f>
        <v>0</v>
      </c>
      <c r="AB118" s="3">
        <f>IFERROR(__xludf.DUMMYFUNCTION("""COMPUTED_VALUE"""),0.0)</f>
        <v>0</v>
      </c>
      <c r="AC118" s="3">
        <f>IFERROR(__xludf.DUMMYFUNCTION("""COMPUTED_VALUE"""),1.0)</f>
        <v>1</v>
      </c>
      <c r="AD118" s="3">
        <f>IFERROR(__xludf.DUMMYFUNCTION("""COMPUTED_VALUE"""),1.0)</f>
        <v>1</v>
      </c>
      <c r="AE118" s="3">
        <f>IFERROR(__xludf.DUMMYFUNCTION("""COMPUTED_VALUE"""),1.0)</f>
        <v>1</v>
      </c>
      <c r="AF118" s="3">
        <f>IFERROR(__xludf.DUMMYFUNCTION("""COMPUTED_VALUE"""),1.0)</f>
        <v>1</v>
      </c>
      <c r="AG118" s="3">
        <f>IFERROR(__xludf.DUMMYFUNCTION("""COMPUTED_VALUE"""),1.0)</f>
        <v>1</v>
      </c>
      <c r="AH118" s="3">
        <f>IFERROR(__xludf.DUMMYFUNCTION("""COMPUTED_VALUE"""),1.0)</f>
        <v>1</v>
      </c>
      <c r="AI118" s="3">
        <f>IFERROR(__xludf.DUMMYFUNCTION("""COMPUTED_VALUE"""),1.0)</f>
        <v>1</v>
      </c>
      <c r="AJ118" s="3">
        <f>IFERROR(__xludf.DUMMYFUNCTION("""COMPUTED_VALUE"""),1.0)</f>
        <v>1</v>
      </c>
      <c r="AK118" s="3">
        <f>IFERROR(__xludf.DUMMYFUNCTION("""COMPUTED_VALUE"""),1.0)</f>
        <v>1</v>
      </c>
      <c r="AL118" s="3">
        <f>IFERROR(__xludf.DUMMYFUNCTION("""COMPUTED_VALUE"""),1.0)</f>
        <v>1</v>
      </c>
      <c r="AM118" s="3">
        <f>IFERROR(__xludf.DUMMYFUNCTION("""COMPUTED_VALUE"""),1.0)</f>
        <v>1</v>
      </c>
      <c r="AN118" s="3">
        <f>IFERROR(__xludf.DUMMYFUNCTION("""COMPUTED_VALUE"""),2.0)</f>
        <v>2</v>
      </c>
      <c r="AO118" s="3">
        <f>IFERROR(__xludf.DUMMYFUNCTION("""COMPUTED_VALUE"""),2.0)</f>
        <v>2</v>
      </c>
      <c r="AP118" s="3">
        <f>IFERROR(__xludf.DUMMYFUNCTION("""COMPUTED_VALUE"""),2.0)</f>
        <v>2</v>
      </c>
      <c r="AQ118" s="3">
        <f>IFERROR(__xludf.DUMMYFUNCTION("""COMPUTED_VALUE"""),2.0)</f>
        <v>2</v>
      </c>
      <c r="AR118" s="3">
        <f>IFERROR(__xludf.DUMMYFUNCTION("""COMPUTED_VALUE"""),2.0)</f>
        <v>2</v>
      </c>
      <c r="AS118" s="3">
        <f>IFERROR(__xludf.DUMMYFUNCTION("""COMPUTED_VALUE"""),3.0)</f>
        <v>3</v>
      </c>
      <c r="AT118" s="3">
        <f>IFERROR(__xludf.DUMMYFUNCTION("""COMPUTED_VALUE"""),4.0)</f>
        <v>4</v>
      </c>
      <c r="AU118" s="3">
        <f>IFERROR(__xludf.DUMMYFUNCTION("""COMPUTED_VALUE"""),4.0)</f>
        <v>4</v>
      </c>
      <c r="AV118" s="3">
        <f>IFERROR(__xludf.DUMMYFUNCTION("""COMPUTED_VALUE"""),6.0)</f>
        <v>6</v>
      </c>
      <c r="AW118" s="3">
        <f>IFERROR(__xludf.DUMMYFUNCTION("""COMPUTED_VALUE"""),9.0)</f>
        <v>9</v>
      </c>
      <c r="AX118" s="3">
        <f>IFERROR(__xludf.DUMMYFUNCTION("""COMPUTED_VALUE"""),11.0)</f>
        <v>11</v>
      </c>
      <c r="AY118" s="3">
        <f>IFERROR(__xludf.DUMMYFUNCTION("""COMPUTED_VALUE"""),19.0)</f>
        <v>19</v>
      </c>
      <c r="AZ118" s="3">
        <f>IFERROR(__xludf.DUMMYFUNCTION("""COMPUTED_VALUE"""),19.0)</f>
        <v>19</v>
      </c>
      <c r="BA118" s="3">
        <f>IFERROR(__xludf.DUMMYFUNCTION("""COMPUTED_VALUE"""),33.0)</f>
        <v>33</v>
      </c>
      <c r="BB118" s="3">
        <f>IFERROR(__xludf.DUMMYFUNCTION("""COMPUTED_VALUE"""),48.0)</f>
        <v>48</v>
      </c>
      <c r="BC118" s="3">
        <f>IFERROR(__xludf.DUMMYFUNCTION("""COMPUTED_VALUE"""),48.0)</f>
        <v>48</v>
      </c>
      <c r="BD118" s="3">
        <f>IFERROR(__xludf.DUMMYFUNCTION("""COMPUTED_VALUE"""),79.0)</f>
        <v>79</v>
      </c>
      <c r="BE118" s="3">
        <f>IFERROR(__xludf.DUMMYFUNCTION("""COMPUTED_VALUE"""),91.0)</f>
        <v>91</v>
      </c>
      <c r="BF118" s="3">
        <f>IFERROR(__xludf.DUMMYFUNCTION("""COMPUTED_VALUE"""),91.0)</f>
        <v>91</v>
      </c>
      <c r="BG118" s="3">
        <f>IFERROR(__xludf.DUMMYFUNCTION("""COMPUTED_VALUE"""),148.0)</f>
        <v>148</v>
      </c>
      <c r="BH118" s="3">
        <f>IFERROR(__xludf.DUMMYFUNCTION("""COMPUTED_VALUE"""),148.0)</f>
        <v>148</v>
      </c>
      <c r="BI118" s="3">
        <f>IFERROR(__xludf.DUMMYFUNCTION("""COMPUTED_VALUE"""),148.0)</f>
        <v>148</v>
      </c>
      <c r="BJ118" s="3">
        <f>IFERROR(__xludf.DUMMYFUNCTION("""COMPUTED_VALUE"""),243.0)</f>
        <v>243</v>
      </c>
      <c r="BK118" s="3">
        <f>IFERROR(__xludf.DUMMYFUNCTION("""COMPUTED_VALUE"""),450.0)</f>
        <v>450</v>
      </c>
      <c r="BL118" s="3">
        <f>IFERROR(__xludf.DUMMYFUNCTION("""COMPUTED_VALUE"""),562.0)</f>
        <v>562</v>
      </c>
      <c r="BM118" s="3">
        <f>IFERROR(__xludf.DUMMYFUNCTION("""COMPUTED_VALUE"""),674.0)</f>
        <v>674</v>
      </c>
      <c r="BN118" s="3">
        <f>IFERROR(__xludf.DUMMYFUNCTION("""COMPUTED_VALUE"""),860.0)</f>
        <v>860</v>
      </c>
      <c r="BO118" s="3">
        <f>IFERROR(__xludf.DUMMYFUNCTION("""COMPUTED_VALUE"""),1100.0)</f>
        <v>1100</v>
      </c>
      <c r="BP118" s="3">
        <f>IFERROR(__xludf.DUMMYFUNCTION("""COMPUTED_VALUE"""),1331.0)</f>
        <v>1331</v>
      </c>
      <c r="BQ118" s="3">
        <f>IFERROR(__xludf.DUMMYFUNCTION("""COMPUTED_VALUE"""),1696.0)</f>
        <v>1696</v>
      </c>
      <c r="BR118" s="3">
        <f>IFERROR(__xludf.DUMMYFUNCTION("""COMPUTED_VALUE"""),1995.0)</f>
        <v>1995</v>
      </c>
      <c r="BS118" s="3">
        <f>IFERROR(__xludf.DUMMYFUNCTION("""COMPUTED_VALUE"""),2314.0)</f>
        <v>2314</v>
      </c>
      <c r="BT118" s="3">
        <f>IFERROR(__xludf.DUMMYFUNCTION("""COMPUTED_VALUE"""),2606.0)</f>
        <v>2606</v>
      </c>
      <c r="BU118" s="3">
        <f>IFERROR(__xludf.DUMMYFUNCTION("""COMPUTED_VALUE"""),3024.0)</f>
        <v>3024</v>
      </c>
      <c r="BV118" s="3">
        <f>IFERROR(__xludf.DUMMYFUNCTION("""COMPUTED_VALUE"""),3523.0)</f>
        <v>3523</v>
      </c>
      <c r="BW118" s="3">
        <f>IFERROR(__xludf.DUMMYFUNCTION("""COMPUTED_VALUE"""),4032.0)</f>
        <v>4032</v>
      </c>
      <c r="BX118" s="3">
        <f>IFERROR(__xludf.DUMMYFUNCTION("""COMPUTED_VALUE"""),5387.0)</f>
        <v>5387</v>
      </c>
      <c r="BY118" s="3">
        <f>IFERROR(__xludf.DUMMYFUNCTION("""COMPUTED_VALUE"""),6507.0)</f>
        <v>6507</v>
      </c>
      <c r="BZ118" s="3">
        <f>IFERROR(__xludf.DUMMYFUNCTION("""COMPUTED_VALUE"""),7560.0)</f>
        <v>7560</v>
      </c>
      <c r="CA118" s="3">
        <f>IFERROR(__xludf.DUMMYFUNCTION("""COMPUTED_VALUE"""),8078.0)</f>
        <v>8078</v>
      </c>
      <c r="CB118" s="3">
        <f>IFERROR(__xludf.DUMMYFUNCTION("""COMPUTED_VALUE"""),8911.0)</f>
        <v>8911</v>
      </c>
    </row>
    <row r="119">
      <c r="A119" s="3" t="str">
        <f>IFERROR(__xludf.DUMMYFUNCTION("""COMPUTED_VALUE"""),"")</f>
        <v/>
      </c>
      <c r="B119" s="3" t="str">
        <f>IFERROR(__xludf.DUMMYFUNCTION("""COMPUTED_VALUE"""),"Gabon")</f>
        <v>Gabon</v>
      </c>
      <c r="C119" s="3">
        <f>IFERROR(__xludf.DUMMYFUNCTION("""COMPUTED_VALUE"""),-0.8037)</f>
        <v>-0.8037</v>
      </c>
      <c r="D119" s="3">
        <f>IFERROR(__xludf.DUMMYFUNCTION("""COMPUTED_VALUE"""),11.6094)</f>
        <v>11.6094</v>
      </c>
      <c r="E119" s="3">
        <f>IFERROR(__xludf.DUMMYFUNCTION("""COMPUTED_VALUE"""),0.0)</f>
        <v>0</v>
      </c>
      <c r="F119" s="3">
        <f>IFERROR(__xludf.DUMMYFUNCTION("""COMPUTED_VALUE"""),0.0)</f>
        <v>0</v>
      </c>
      <c r="G119" s="3">
        <f>IFERROR(__xludf.DUMMYFUNCTION("""COMPUTED_VALUE"""),0.0)</f>
        <v>0</v>
      </c>
      <c r="H119" s="3">
        <f>IFERROR(__xludf.DUMMYFUNCTION("""COMPUTED_VALUE"""),0.0)</f>
        <v>0</v>
      </c>
      <c r="I119" s="3">
        <f>IFERROR(__xludf.DUMMYFUNCTION("""COMPUTED_VALUE"""),0.0)</f>
        <v>0</v>
      </c>
      <c r="J119" s="3">
        <f>IFERROR(__xludf.DUMMYFUNCTION("""COMPUTED_VALUE"""),0.0)</f>
        <v>0</v>
      </c>
      <c r="K119" s="3">
        <f>IFERROR(__xludf.DUMMYFUNCTION("""COMPUTED_VALUE"""),0.0)</f>
        <v>0</v>
      </c>
      <c r="L119" s="3">
        <f>IFERROR(__xludf.DUMMYFUNCTION("""COMPUTED_VALUE"""),0.0)</f>
        <v>0</v>
      </c>
      <c r="M119" s="3">
        <f>IFERROR(__xludf.DUMMYFUNCTION("""COMPUTED_VALUE"""),0.0)</f>
        <v>0</v>
      </c>
      <c r="N119" s="3">
        <f>IFERROR(__xludf.DUMMYFUNCTION("""COMPUTED_VALUE"""),0.0)</f>
        <v>0</v>
      </c>
      <c r="O119" s="3">
        <f>IFERROR(__xludf.DUMMYFUNCTION("""COMPUTED_VALUE"""),0.0)</f>
        <v>0</v>
      </c>
      <c r="P119" s="3">
        <f>IFERROR(__xludf.DUMMYFUNCTION("""COMPUTED_VALUE"""),0.0)</f>
        <v>0</v>
      </c>
      <c r="Q119" s="3">
        <f>IFERROR(__xludf.DUMMYFUNCTION("""COMPUTED_VALUE"""),0.0)</f>
        <v>0</v>
      </c>
      <c r="R119" s="3">
        <f>IFERROR(__xludf.DUMMYFUNCTION("""COMPUTED_VALUE"""),0.0)</f>
        <v>0</v>
      </c>
      <c r="S119" s="3">
        <f>IFERROR(__xludf.DUMMYFUNCTION("""COMPUTED_VALUE"""),0.0)</f>
        <v>0</v>
      </c>
      <c r="T119" s="3">
        <f>IFERROR(__xludf.DUMMYFUNCTION("""COMPUTED_VALUE"""),0.0)</f>
        <v>0</v>
      </c>
      <c r="U119" s="3">
        <f>IFERROR(__xludf.DUMMYFUNCTION("""COMPUTED_VALUE"""),0.0)</f>
        <v>0</v>
      </c>
      <c r="V119" s="3">
        <f>IFERROR(__xludf.DUMMYFUNCTION("""COMPUTED_VALUE"""),0.0)</f>
        <v>0</v>
      </c>
      <c r="W119" s="3">
        <f>IFERROR(__xludf.DUMMYFUNCTION("""COMPUTED_VALUE"""),0.0)</f>
        <v>0</v>
      </c>
      <c r="X119" s="3">
        <f>IFERROR(__xludf.DUMMYFUNCTION("""COMPUTED_VALUE"""),0.0)</f>
        <v>0</v>
      </c>
      <c r="Y119" s="3">
        <f>IFERROR(__xludf.DUMMYFUNCTION("""COMPUTED_VALUE"""),0.0)</f>
        <v>0</v>
      </c>
      <c r="Z119" s="3">
        <f>IFERROR(__xludf.DUMMYFUNCTION("""COMPUTED_VALUE"""),0.0)</f>
        <v>0</v>
      </c>
      <c r="AA119" s="3">
        <f>IFERROR(__xludf.DUMMYFUNCTION("""COMPUTED_VALUE"""),0.0)</f>
        <v>0</v>
      </c>
      <c r="AB119" s="3">
        <f>IFERROR(__xludf.DUMMYFUNCTION("""COMPUTED_VALUE"""),0.0)</f>
        <v>0</v>
      </c>
      <c r="AC119" s="3">
        <f>IFERROR(__xludf.DUMMYFUNCTION("""COMPUTED_VALUE"""),0.0)</f>
        <v>0</v>
      </c>
      <c r="AD119" s="3">
        <f>IFERROR(__xludf.DUMMYFUNCTION("""COMPUTED_VALUE"""),0.0)</f>
        <v>0</v>
      </c>
      <c r="AE119" s="3">
        <f>IFERROR(__xludf.DUMMYFUNCTION("""COMPUTED_VALUE"""),0.0)</f>
        <v>0</v>
      </c>
      <c r="AF119" s="3">
        <f>IFERROR(__xludf.DUMMYFUNCTION("""COMPUTED_VALUE"""),0.0)</f>
        <v>0</v>
      </c>
      <c r="AG119" s="3">
        <f>IFERROR(__xludf.DUMMYFUNCTION("""COMPUTED_VALUE"""),0.0)</f>
        <v>0</v>
      </c>
      <c r="AH119" s="3">
        <f>IFERROR(__xludf.DUMMYFUNCTION("""COMPUTED_VALUE"""),0.0)</f>
        <v>0</v>
      </c>
      <c r="AI119" s="3">
        <f>IFERROR(__xludf.DUMMYFUNCTION("""COMPUTED_VALUE"""),0.0)</f>
        <v>0</v>
      </c>
      <c r="AJ119" s="3">
        <f>IFERROR(__xludf.DUMMYFUNCTION("""COMPUTED_VALUE"""),0.0)</f>
        <v>0</v>
      </c>
      <c r="AK119" s="3">
        <f>IFERROR(__xludf.DUMMYFUNCTION("""COMPUTED_VALUE"""),0.0)</f>
        <v>0</v>
      </c>
      <c r="AL119" s="3">
        <f>IFERROR(__xludf.DUMMYFUNCTION("""COMPUTED_VALUE"""),0.0)</f>
        <v>0</v>
      </c>
      <c r="AM119" s="3">
        <f>IFERROR(__xludf.DUMMYFUNCTION("""COMPUTED_VALUE"""),0.0)</f>
        <v>0</v>
      </c>
      <c r="AN119" s="3">
        <f>IFERROR(__xludf.DUMMYFUNCTION("""COMPUTED_VALUE"""),0.0)</f>
        <v>0</v>
      </c>
      <c r="AO119" s="3">
        <f>IFERROR(__xludf.DUMMYFUNCTION("""COMPUTED_VALUE"""),0.0)</f>
        <v>0</v>
      </c>
      <c r="AP119" s="3">
        <f>IFERROR(__xludf.DUMMYFUNCTION("""COMPUTED_VALUE"""),0.0)</f>
        <v>0</v>
      </c>
      <c r="AQ119" s="3">
        <f>IFERROR(__xludf.DUMMYFUNCTION("""COMPUTED_VALUE"""),0.0)</f>
        <v>0</v>
      </c>
      <c r="AR119" s="3">
        <f>IFERROR(__xludf.DUMMYFUNCTION("""COMPUTED_VALUE"""),0.0)</f>
        <v>0</v>
      </c>
      <c r="AS119" s="3">
        <f>IFERROR(__xludf.DUMMYFUNCTION("""COMPUTED_VALUE"""),0.0)</f>
        <v>0</v>
      </c>
      <c r="AT119" s="3">
        <f>IFERROR(__xludf.DUMMYFUNCTION("""COMPUTED_VALUE"""),0.0)</f>
        <v>0</v>
      </c>
      <c r="AU119" s="3">
        <f>IFERROR(__xludf.DUMMYFUNCTION("""COMPUTED_VALUE"""),0.0)</f>
        <v>0</v>
      </c>
      <c r="AV119" s="3">
        <f>IFERROR(__xludf.DUMMYFUNCTION("""COMPUTED_VALUE"""),0.0)</f>
        <v>0</v>
      </c>
      <c r="AW119" s="3">
        <f>IFERROR(__xludf.DUMMYFUNCTION("""COMPUTED_VALUE"""),0.0)</f>
        <v>0</v>
      </c>
      <c r="AX119" s="3">
        <f>IFERROR(__xludf.DUMMYFUNCTION("""COMPUTED_VALUE"""),0.0)</f>
        <v>0</v>
      </c>
      <c r="AY119" s="3">
        <f>IFERROR(__xludf.DUMMYFUNCTION("""COMPUTED_VALUE"""),0.0)</f>
        <v>0</v>
      </c>
      <c r="AZ119" s="3">
        <f>IFERROR(__xludf.DUMMYFUNCTION("""COMPUTED_VALUE"""),0.0)</f>
        <v>0</v>
      </c>
      <c r="BA119" s="3">
        <f>IFERROR(__xludf.DUMMYFUNCTION("""COMPUTED_VALUE"""),0.0)</f>
        <v>0</v>
      </c>
      <c r="BB119" s="3">
        <f>IFERROR(__xludf.DUMMYFUNCTION("""COMPUTED_VALUE"""),0.0)</f>
        <v>0</v>
      </c>
      <c r="BC119" s="3">
        <f>IFERROR(__xludf.DUMMYFUNCTION("""COMPUTED_VALUE"""),0.0)</f>
        <v>0</v>
      </c>
      <c r="BD119" s="3">
        <f>IFERROR(__xludf.DUMMYFUNCTION("""COMPUTED_VALUE"""),0.0)</f>
        <v>0</v>
      </c>
      <c r="BE119" s="3">
        <f>IFERROR(__xludf.DUMMYFUNCTION("""COMPUTED_VALUE"""),0.0)</f>
        <v>0</v>
      </c>
      <c r="BF119" s="3">
        <f>IFERROR(__xludf.DUMMYFUNCTION("""COMPUTED_VALUE"""),0.0)</f>
        <v>0</v>
      </c>
      <c r="BG119" s="3">
        <f>IFERROR(__xludf.DUMMYFUNCTION("""COMPUTED_VALUE"""),0.0)</f>
        <v>0</v>
      </c>
      <c r="BH119" s="3">
        <f>IFERROR(__xludf.DUMMYFUNCTION("""COMPUTED_VALUE"""),0.0)</f>
        <v>0</v>
      </c>
      <c r="BI119" s="3">
        <f>IFERROR(__xludf.DUMMYFUNCTION("""COMPUTED_VALUE"""),0.0)</f>
        <v>0</v>
      </c>
      <c r="BJ119" s="3">
        <f>IFERROR(__xludf.DUMMYFUNCTION("""COMPUTED_VALUE"""),0.0)</f>
        <v>0</v>
      </c>
      <c r="BK119" s="3">
        <f>IFERROR(__xludf.DUMMYFUNCTION("""COMPUTED_VALUE"""),1.0)</f>
        <v>1</v>
      </c>
      <c r="BL119" s="3">
        <f>IFERROR(__xludf.DUMMYFUNCTION("""COMPUTED_VALUE"""),1.0)</f>
        <v>1</v>
      </c>
      <c r="BM119" s="3">
        <f>IFERROR(__xludf.DUMMYFUNCTION("""COMPUTED_VALUE"""),1.0)</f>
        <v>1</v>
      </c>
      <c r="BN119" s="3">
        <f>IFERROR(__xludf.DUMMYFUNCTION("""COMPUTED_VALUE"""),1.0)</f>
        <v>1</v>
      </c>
      <c r="BO119" s="3">
        <f>IFERROR(__xludf.DUMMYFUNCTION("""COMPUTED_VALUE"""),1.0)</f>
        <v>1</v>
      </c>
      <c r="BP119" s="3">
        <f>IFERROR(__xludf.DUMMYFUNCTION("""COMPUTED_VALUE"""),1.0)</f>
        <v>1</v>
      </c>
      <c r="BQ119" s="3">
        <f>IFERROR(__xludf.DUMMYFUNCTION("""COMPUTED_VALUE"""),1.0)</f>
        <v>1</v>
      </c>
      <c r="BR119" s="3">
        <f>IFERROR(__xludf.DUMMYFUNCTION("""COMPUTED_VALUE"""),1.0)</f>
        <v>1</v>
      </c>
      <c r="BS119" s="3">
        <f>IFERROR(__xludf.DUMMYFUNCTION("""COMPUTED_VALUE"""),1.0)</f>
        <v>1</v>
      </c>
      <c r="BT119" s="3">
        <f>IFERROR(__xludf.DUMMYFUNCTION("""COMPUTED_VALUE"""),1.0)</f>
        <v>1</v>
      </c>
      <c r="BU119" s="3">
        <f>IFERROR(__xludf.DUMMYFUNCTION("""COMPUTED_VALUE"""),1.0)</f>
        <v>1</v>
      </c>
      <c r="BV119" s="3">
        <f>IFERROR(__xludf.DUMMYFUNCTION("""COMPUTED_VALUE"""),1.0)</f>
        <v>1</v>
      </c>
      <c r="BW119" s="3">
        <f>IFERROR(__xludf.DUMMYFUNCTION("""COMPUTED_VALUE"""),1.0)</f>
        <v>1</v>
      </c>
      <c r="BX119" s="3">
        <f>IFERROR(__xludf.DUMMYFUNCTION("""COMPUTED_VALUE"""),1.0)</f>
        <v>1</v>
      </c>
      <c r="BY119" s="3">
        <f>IFERROR(__xludf.DUMMYFUNCTION("""COMPUTED_VALUE"""),1.0)</f>
        <v>1</v>
      </c>
      <c r="BZ119" s="3">
        <f>IFERROR(__xludf.DUMMYFUNCTION("""COMPUTED_VALUE"""),1.0)</f>
        <v>1</v>
      </c>
      <c r="CA119" s="3">
        <f>IFERROR(__xludf.DUMMYFUNCTION("""COMPUTED_VALUE"""),1.0)</f>
        <v>1</v>
      </c>
      <c r="CB119" s="3">
        <f>IFERROR(__xludf.DUMMYFUNCTION("""COMPUTED_VALUE"""),1.0)</f>
        <v>1</v>
      </c>
    </row>
    <row r="120">
      <c r="A120" s="3" t="str">
        <f>IFERROR(__xludf.DUMMYFUNCTION("""COMPUTED_VALUE"""),"")</f>
        <v/>
      </c>
      <c r="B120" s="3" t="str">
        <f>IFERROR(__xludf.DUMMYFUNCTION("""COMPUTED_VALUE"""),"Gambia")</f>
        <v>Gambia</v>
      </c>
      <c r="C120" s="3">
        <f>IFERROR(__xludf.DUMMYFUNCTION("""COMPUTED_VALUE"""),13.4432)</f>
        <v>13.4432</v>
      </c>
      <c r="D120" s="3">
        <f>IFERROR(__xludf.DUMMYFUNCTION("""COMPUTED_VALUE"""),-15.3101)</f>
        <v>-15.3101</v>
      </c>
      <c r="E120" s="3">
        <f>IFERROR(__xludf.DUMMYFUNCTION("""COMPUTED_VALUE"""),0.0)</f>
        <v>0</v>
      </c>
      <c r="F120" s="3">
        <f>IFERROR(__xludf.DUMMYFUNCTION("""COMPUTED_VALUE"""),0.0)</f>
        <v>0</v>
      </c>
      <c r="G120" s="3">
        <f>IFERROR(__xludf.DUMMYFUNCTION("""COMPUTED_VALUE"""),0.0)</f>
        <v>0</v>
      </c>
      <c r="H120" s="3">
        <f>IFERROR(__xludf.DUMMYFUNCTION("""COMPUTED_VALUE"""),0.0)</f>
        <v>0</v>
      </c>
      <c r="I120" s="3">
        <f>IFERROR(__xludf.DUMMYFUNCTION("""COMPUTED_VALUE"""),0.0)</f>
        <v>0</v>
      </c>
      <c r="J120" s="3">
        <f>IFERROR(__xludf.DUMMYFUNCTION("""COMPUTED_VALUE"""),0.0)</f>
        <v>0</v>
      </c>
      <c r="K120" s="3">
        <f>IFERROR(__xludf.DUMMYFUNCTION("""COMPUTED_VALUE"""),0.0)</f>
        <v>0</v>
      </c>
      <c r="L120" s="3">
        <f>IFERROR(__xludf.DUMMYFUNCTION("""COMPUTED_VALUE"""),0.0)</f>
        <v>0</v>
      </c>
      <c r="M120" s="3">
        <f>IFERROR(__xludf.DUMMYFUNCTION("""COMPUTED_VALUE"""),0.0)</f>
        <v>0</v>
      </c>
      <c r="N120" s="3">
        <f>IFERROR(__xludf.DUMMYFUNCTION("""COMPUTED_VALUE"""),0.0)</f>
        <v>0</v>
      </c>
      <c r="O120" s="3">
        <f>IFERROR(__xludf.DUMMYFUNCTION("""COMPUTED_VALUE"""),0.0)</f>
        <v>0</v>
      </c>
      <c r="P120" s="3">
        <f>IFERROR(__xludf.DUMMYFUNCTION("""COMPUTED_VALUE"""),0.0)</f>
        <v>0</v>
      </c>
      <c r="Q120" s="3">
        <f>IFERROR(__xludf.DUMMYFUNCTION("""COMPUTED_VALUE"""),0.0)</f>
        <v>0</v>
      </c>
      <c r="R120" s="3">
        <f>IFERROR(__xludf.DUMMYFUNCTION("""COMPUTED_VALUE"""),0.0)</f>
        <v>0</v>
      </c>
      <c r="S120" s="3">
        <f>IFERROR(__xludf.DUMMYFUNCTION("""COMPUTED_VALUE"""),0.0)</f>
        <v>0</v>
      </c>
      <c r="T120" s="3">
        <f>IFERROR(__xludf.DUMMYFUNCTION("""COMPUTED_VALUE"""),0.0)</f>
        <v>0</v>
      </c>
      <c r="U120" s="3">
        <f>IFERROR(__xludf.DUMMYFUNCTION("""COMPUTED_VALUE"""),0.0)</f>
        <v>0</v>
      </c>
      <c r="V120" s="3">
        <f>IFERROR(__xludf.DUMMYFUNCTION("""COMPUTED_VALUE"""),0.0)</f>
        <v>0</v>
      </c>
      <c r="W120" s="3">
        <f>IFERROR(__xludf.DUMMYFUNCTION("""COMPUTED_VALUE"""),0.0)</f>
        <v>0</v>
      </c>
      <c r="X120" s="3">
        <f>IFERROR(__xludf.DUMMYFUNCTION("""COMPUTED_VALUE"""),0.0)</f>
        <v>0</v>
      </c>
      <c r="Y120" s="3">
        <f>IFERROR(__xludf.DUMMYFUNCTION("""COMPUTED_VALUE"""),0.0)</f>
        <v>0</v>
      </c>
      <c r="Z120" s="3">
        <f>IFERROR(__xludf.DUMMYFUNCTION("""COMPUTED_VALUE"""),0.0)</f>
        <v>0</v>
      </c>
      <c r="AA120" s="3">
        <f>IFERROR(__xludf.DUMMYFUNCTION("""COMPUTED_VALUE"""),0.0)</f>
        <v>0</v>
      </c>
      <c r="AB120" s="3">
        <f>IFERROR(__xludf.DUMMYFUNCTION("""COMPUTED_VALUE"""),0.0)</f>
        <v>0</v>
      </c>
      <c r="AC120" s="3">
        <f>IFERROR(__xludf.DUMMYFUNCTION("""COMPUTED_VALUE"""),0.0)</f>
        <v>0</v>
      </c>
      <c r="AD120" s="3">
        <f>IFERROR(__xludf.DUMMYFUNCTION("""COMPUTED_VALUE"""),0.0)</f>
        <v>0</v>
      </c>
      <c r="AE120" s="3">
        <f>IFERROR(__xludf.DUMMYFUNCTION("""COMPUTED_VALUE"""),0.0)</f>
        <v>0</v>
      </c>
      <c r="AF120" s="3">
        <f>IFERROR(__xludf.DUMMYFUNCTION("""COMPUTED_VALUE"""),0.0)</f>
        <v>0</v>
      </c>
      <c r="AG120" s="3">
        <f>IFERROR(__xludf.DUMMYFUNCTION("""COMPUTED_VALUE"""),0.0)</f>
        <v>0</v>
      </c>
      <c r="AH120" s="3">
        <f>IFERROR(__xludf.DUMMYFUNCTION("""COMPUTED_VALUE"""),0.0)</f>
        <v>0</v>
      </c>
      <c r="AI120" s="3">
        <f>IFERROR(__xludf.DUMMYFUNCTION("""COMPUTED_VALUE"""),0.0)</f>
        <v>0</v>
      </c>
      <c r="AJ120" s="3">
        <f>IFERROR(__xludf.DUMMYFUNCTION("""COMPUTED_VALUE"""),0.0)</f>
        <v>0</v>
      </c>
      <c r="AK120" s="3">
        <f>IFERROR(__xludf.DUMMYFUNCTION("""COMPUTED_VALUE"""),0.0)</f>
        <v>0</v>
      </c>
      <c r="AL120" s="3">
        <f>IFERROR(__xludf.DUMMYFUNCTION("""COMPUTED_VALUE"""),0.0)</f>
        <v>0</v>
      </c>
      <c r="AM120" s="3">
        <f>IFERROR(__xludf.DUMMYFUNCTION("""COMPUTED_VALUE"""),0.0)</f>
        <v>0</v>
      </c>
      <c r="AN120" s="3">
        <f>IFERROR(__xludf.DUMMYFUNCTION("""COMPUTED_VALUE"""),0.0)</f>
        <v>0</v>
      </c>
      <c r="AO120" s="3">
        <f>IFERROR(__xludf.DUMMYFUNCTION("""COMPUTED_VALUE"""),0.0)</f>
        <v>0</v>
      </c>
      <c r="AP120" s="3">
        <f>IFERROR(__xludf.DUMMYFUNCTION("""COMPUTED_VALUE"""),0.0)</f>
        <v>0</v>
      </c>
      <c r="AQ120" s="3">
        <f>IFERROR(__xludf.DUMMYFUNCTION("""COMPUTED_VALUE"""),0.0)</f>
        <v>0</v>
      </c>
      <c r="AR120" s="3">
        <f>IFERROR(__xludf.DUMMYFUNCTION("""COMPUTED_VALUE"""),0.0)</f>
        <v>0</v>
      </c>
      <c r="AS120" s="3">
        <f>IFERROR(__xludf.DUMMYFUNCTION("""COMPUTED_VALUE"""),0.0)</f>
        <v>0</v>
      </c>
      <c r="AT120" s="3">
        <f>IFERROR(__xludf.DUMMYFUNCTION("""COMPUTED_VALUE"""),0.0)</f>
        <v>0</v>
      </c>
      <c r="AU120" s="3">
        <f>IFERROR(__xludf.DUMMYFUNCTION("""COMPUTED_VALUE"""),0.0)</f>
        <v>0</v>
      </c>
      <c r="AV120" s="3">
        <f>IFERROR(__xludf.DUMMYFUNCTION("""COMPUTED_VALUE"""),0.0)</f>
        <v>0</v>
      </c>
      <c r="AW120" s="3">
        <f>IFERROR(__xludf.DUMMYFUNCTION("""COMPUTED_VALUE"""),0.0)</f>
        <v>0</v>
      </c>
      <c r="AX120" s="3">
        <f>IFERROR(__xludf.DUMMYFUNCTION("""COMPUTED_VALUE"""),0.0)</f>
        <v>0</v>
      </c>
      <c r="AY120" s="3">
        <f>IFERROR(__xludf.DUMMYFUNCTION("""COMPUTED_VALUE"""),0.0)</f>
        <v>0</v>
      </c>
      <c r="AZ120" s="3">
        <f>IFERROR(__xludf.DUMMYFUNCTION("""COMPUTED_VALUE"""),0.0)</f>
        <v>0</v>
      </c>
      <c r="BA120" s="3">
        <f>IFERROR(__xludf.DUMMYFUNCTION("""COMPUTED_VALUE"""),0.0)</f>
        <v>0</v>
      </c>
      <c r="BB120" s="3">
        <f>IFERROR(__xludf.DUMMYFUNCTION("""COMPUTED_VALUE"""),0.0)</f>
        <v>0</v>
      </c>
      <c r="BC120" s="3">
        <f>IFERROR(__xludf.DUMMYFUNCTION("""COMPUTED_VALUE"""),0.0)</f>
        <v>0</v>
      </c>
      <c r="BD120" s="3">
        <f>IFERROR(__xludf.DUMMYFUNCTION("""COMPUTED_VALUE"""),0.0)</f>
        <v>0</v>
      </c>
      <c r="BE120" s="3">
        <f>IFERROR(__xludf.DUMMYFUNCTION("""COMPUTED_VALUE"""),0.0)</f>
        <v>0</v>
      </c>
      <c r="BF120" s="3">
        <f>IFERROR(__xludf.DUMMYFUNCTION("""COMPUTED_VALUE"""),0.0)</f>
        <v>0</v>
      </c>
      <c r="BG120" s="3">
        <f>IFERROR(__xludf.DUMMYFUNCTION("""COMPUTED_VALUE"""),0.0)</f>
        <v>0</v>
      </c>
      <c r="BH120" s="3">
        <f>IFERROR(__xludf.DUMMYFUNCTION("""COMPUTED_VALUE"""),0.0)</f>
        <v>0</v>
      </c>
      <c r="BI120" s="3">
        <f>IFERROR(__xludf.DUMMYFUNCTION("""COMPUTED_VALUE"""),0.0)</f>
        <v>0</v>
      </c>
      <c r="BJ120" s="3">
        <f>IFERROR(__xludf.DUMMYFUNCTION("""COMPUTED_VALUE"""),0.0)</f>
        <v>0</v>
      </c>
      <c r="BK120" s="3">
        <f>IFERROR(__xludf.DUMMYFUNCTION("""COMPUTED_VALUE"""),0.0)</f>
        <v>0</v>
      </c>
      <c r="BL120" s="3">
        <f>IFERROR(__xludf.DUMMYFUNCTION("""COMPUTED_VALUE"""),0.0)</f>
        <v>0</v>
      </c>
      <c r="BM120" s="3">
        <f>IFERROR(__xludf.DUMMYFUNCTION("""COMPUTED_VALUE"""),0.0)</f>
        <v>0</v>
      </c>
      <c r="BN120" s="3">
        <f>IFERROR(__xludf.DUMMYFUNCTION("""COMPUTED_VALUE"""),1.0)</f>
        <v>1</v>
      </c>
      <c r="BO120" s="3">
        <f>IFERROR(__xludf.DUMMYFUNCTION("""COMPUTED_VALUE"""),1.0)</f>
        <v>1</v>
      </c>
      <c r="BP120" s="3">
        <f>IFERROR(__xludf.DUMMYFUNCTION("""COMPUTED_VALUE"""),1.0)</f>
        <v>1</v>
      </c>
      <c r="BQ120" s="3">
        <f>IFERROR(__xludf.DUMMYFUNCTION("""COMPUTED_VALUE"""),1.0)</f>
        <v>1</v>
      </c>
      <c r="BR120" s="3">
        <f>IFERROR(__xludf.DUMMYFUNCTION("""COMPUTED_VALUE"""),1.0)</f>
        <v>1</v>
      </c>
      <c r="BS120" s="3">
        <f>IFERROR(__xludf.DUMMYFUNCTION("""COMPUTED_VALUE"""),1.0)</f>
        <v>1</v>
      </c>
      <c r="BT120" s="3">
        <f>IFERROR(__xludf.DUMMYFUNCTION("""COMPUTED_VALUE"""),1.0)</f>
        <v>1</v>
      </c>
      <c r="BU120" s="3">
        <f>IFERROR(__xludf.DUMMYFUNCTION("""COMPUTED_VALUE"""),1.0)</f>
        <v>1</v>
      </c>
      <c r="BV120" s="3">
        <f>IFERROR(__xludf.DUMMYFUNCTION("""COMPUTED_VALUE"""),1.0)</f>
        <v>1</v>
      </c>
      <c r="BW120" s="3">
        <f>IFERROR(__xludf.DUMMYFUNCTION("""COMPUTED_VALUE"""),1.0)</f>
        <v>1</v>
      </c>
      <c r="BX120" s="3">
        <f>IFERROR(__xludf.DUMMYFUNCTION("""COMPUTED_VALUE"""),1.0)</f>
        <v>1</v>
      </c>
      <c r="BY120" s="3">
        <f>IFERROR(__xludf.DUMMYFUNCTION("""COMPUTED_VALUE"""),1.0)</f>
        <v>1</v>
      </c>
      <c r="BZ120" s="3">
        <f>IFERROR(__xludf.DUMMYFUNCTION("""COMPUTED_VALUE"""),1.0)</f>
        <v>1</v>
      </c>
      <c r="CA120" s="3">
        <f>IFERROR(__xludf.DUMMYFUNCTION("""COMPUTED_VALUE"""),1.0)</f>
        <v>1</v>
      </c>
      <c r="CB120" s="3">
        <f>IFERROR(__xludf.DUMMYFUNCTION("""COMPUTED_VALUE"""),1.0)</f>
        <v>1</v>
      </c>
    </row>
    <row r="121">
      <c r="A121" s="3" t="str">
        <f>IFERROR(__xludf.DUMMYFUNCTION("""COMPUTED_VALUE"""),"")</f>
        <v/>
      </c>
      <c r="B121" s="3" t="str">
        <f>IFERROR(__xludf.DUMMYFUNCTION("""COMPUTED_VALUE"""),"Georgia")</f>
        <v>Georgia</v>
      </c>
      <c r="C121" s="3">
        <f>IFERROR(__xludf.DUMMYFUNCTION("""COMPUTED_VALUE"""),42.3154)</f>
        <v>42.3154</v>
      </c>
      <c r="D121" s="3">
        <f>IFERROR(__xludf.DUMMYFUNCTION("""COMPUTED_VALUE"""),43.3569)</f>
        <v>43.3569</v>
      </c>
      <c r="E121" s="3">
        <f>IFERROR(__xludf.DUMMYFUNCTION("""COMPUTED_VALUE"""),0.0)</f>
        <v>0</v>
      </c>
      <c r="F121" s="3">
        <f>IFERROR(__xludf.DUMMYFUNCTION("""COMPUTED_VALUE"""),0.0)</f>
        <v>0</v>
      </c>
      <c r="G121" s="3">
        <f>IFERROR(__xludf.DUMMYFUNCTION("""COMPUTED_VALUE"""),0.0)</f>
        <v>0</v>
      </c>
      <c r="H121" s="3">
        <f>IFERROR(__xludf.DUMMYFUNCTION("""COMPUTED_VALUE"""),0.0)</f>
        <v>0</v>
      </c>
      <c r="I121" s="3">
        <f>IFERROR(__xludf.DUMMYFUNCTION("""COMPUTED_VALUE"""),0.0)</f>
        <v>0</v>
      </c>
      <c r="J121" s="3">
        <f>IFERROR(__xludf.DUMMYFUNCTION("""COMPUTED_VALUE"""),0.0)</f>
        <v>0</v>
      </c>
      <c r="K121" s="3">
        <f>IFERROR(__xludf.DUMMYFUNCTION("""COMPUTED_VALUE"""),0.0)</f>
        <v>0</v>
      </c>
      <c r="L121" s="3">
        <f>IFERROR(__xludf.DUMMYFUNCTION("""COMPUTED_VALUE"""),0.0)</f>
        <v>0</v>
      </c>
      <c r="M121" s="3">
        <f>IFERROR(__xludf.DUMMYFUNCTION("""COMPUTED_VALUE"""),0.0)</f>
        <v>0</v>
      </c>
      <c r="N121" s="3">
        <f>IFERROR(__xludf.DUMMYFUNCTION("""COMPUTED_VALUE"""),0.0)</f>
        <v>0</v>
      </c>
      <c r="O121" s="3">
        <f>IFERROR(__xludf.DUMMYFUNCTION("""COMPUTED_VALUE"""),0.0)</f>
        <v>0</v>
      </c>
      <c r="P121" s="3">
        <f>IFERROR(__xludf.DUMMYFUNCTION("""COMPUTED_VALUE"""),0.0)</f>
        <v>0</v>
      </c>
      <c r="Q121" s="3">
        <f>IFERROR(__xludf.DUMMYFUNCTION("""COMPUTED_VALUE"""),0.0)</f>
        <v>0</v>
      </c>
      <c r="R121" s="3">
        <f>IFERROR(__xludf.DUMMYFUNCTION("""COMPUTED_VALUE"""),0.0)</f>
        <v>0</v>
      </c>
      <c r="S121" s="3">
        <f>IFERROR(__xludf.DUMMYFUNCTION("""COMPUTED_VALUE"""),0.0)</f>
        <v>0</v>
      </c>
      <c r="T121" s="3">
        <f>IFERROR(__xludf.DUMMYFUNCTION("""COMPUTED_VALUE"""),0.0)</f>
        <v>0</v>
      </c>
      <c r="U121" s="3">
        <f>IFERROR(__xludf.DUMMYFUNCTION("""COMPUTED_VALUE"""),0.0)</f>
        <v>0</v>
      </c>
      <c r="V121" s="3">
        <f>IFERROR(__xludf.DUMMYFUNCTION("""COMPUTED_VALUE"""),0.0)</f>
        <v>0</v>
      </c>
      <c r="W121" s="3">
        <f>IFERROR(__xludf.DUMMYFUNCTION("""COMPUTED_VALUE"""),0.0)</f>
        <v>0</v>
      </c>
      <c r="X121" s="3">
        <f>IFERROR(__xludf.DUMMYFUNCTION("""COMPUTED_VALUE"""),0.0)</f>
        <v>0</v>
      </c>
      <c r="Y121" s="3">
        <f>IFERROR(__xludf.DUMMYFUNCTION("""COMPUTED_VALUE"""),0.0)</f>
        <v>0</v>
      </c>
      <c r="Z121" s="3">
        <f>IFERROR(__xludf.DUMMYFUNCTION("""COMPUTED_VALUE"""),0.0)</f>
        <v>0</v>
      </c>
      <c r="AA121" s="3">
        <f>IFERROR(__xludf.DUMMYFUNCTION("""COMPUTED_VALUE"""),0.0)</f>
        <v>0</v>
      </c>
      <c r="AB121" s="3">
        <f>IFERROR(__xludf.DUMMYFUNCTION("""COMPUTED_VALUE"""),0.0)</f>
        <v>0</v>
      </c>
      <c r="AC121" s="3">
        <f>IFERROR(__xludf.DUMMYFUNCTION("""COMPUTED_VALUE"""),0.0)</f>
        <v>0</v>
      </c>
      <c r="AD121" s="3">
        <f>IFERROR(__xludf.DUMMYFUNCTION("""COMPUTED_VALUE"""),0.0)</f>
        <v>0</v>
      </c>
      <c r="AE121" s="3">
        <f>IFERROR(__xludf.DUMMYFUNCTION("""COMPUTED_VALUE"""),0.0)</f>
        <v>0</v>
      </c>
      <c r="AF121" s="3">
        <f>IFERROR(__xludf.DUMMYFUNCTION("""COMPUTED_VALUE"""),0.0)</f>
        <v>0</v>
      </c>
      <c r="AG121" s="3">
        <f>IFERROR(__xludf.DUMMYFUNCTION("""COMPUTED_VALUE"""),0.0)</f>
        <v>0</v>
      </c>
      <c r="AH121" s="3">
        <f>IFERROR(__xludf.DUMMYFUNCTION("""COMPUTED_VALUE"""),0.0)</f>
        <v>0</v>
      </c>
      <c r="AI121" s="3">
        <f>IFERROR(__xludf.DUMMYFUNCTION("""COMPUTED_VALUE"""),0.0)</f>
        <v>0</v>
      </c>
      <c r="AJ121" s="3">
        <f>IFERROR(__xludf.DUMMYFUNCTION("""COMPUTED_VALUE"""),0.0)</f>
        <v>0</v>
      </c>
      <c r="AK121" s="3">
        <f>IFERROR(__xludf.DUMMYFUNCTION("""COMPUTED_VALUE"""),0.0)</f>
        <v>0</v>
      </c>
      <c r="AL121" s="3">
        <f>IFERROR(__xludf.DUMMYFUNCTION("""COMPUTED_VALUE"""),0.0)</f>
        <v>0</v>
      </c>
      <c r="AM121" s="3">
        <f>IFERROR(__xludf.DUMMYFUNCTION("""COMPUTED_VALUE"""),0.0)</f>
        <v>0</v>
      </c>
      <c r="AN121" s="3">
        <f>IFERROR(__xludf.DUMMYFUNCTION("""COMPUTED_VALUE"""),0.0)</f>
        <v>0</v>
      </c>
      <c r="AO121" s="3">
        <f>IFERROR(__xludf.DUMMYFUNCTION("""COMPUTED_VALUE"""),0.0)</f>
        <v>0</v>
      </c>
      <c r="AP121" s="3">
        <f>IFERROR(__xludf.DUMMYFUNCTION("""COMPUTED_VALUE"""),0.0)</f>
        <v>0</v>
      </c>
      <c r="AQ121" s="3">
        <f>IFERROR(__xludf.DUMMYFUNCTION("""COMPUTED_VALUE"""),0.0)</f>
        <v>0</v>
      </c>
      <c r="AR121" s="3">
        <f>IFERROR(__xludf.DUMMYFUNCTION("""COMPUTED_VALUE"""),0.0)</f>
        <v>0</v>
      </c>
      <c r="AS121" s="3">
        <f>IFERROR(__xludf.DUMMYFUNCTION("""COMPUTED_VALUE"""),0.0)</f>
        <v>0</v>
      </c>
      <c r="AT121" s="3">
        <f>IFERROR(__xludf.DUMMYFUNCTION("""COMPUTED_VALUE"""),0.0)</f>
        <v>0</v>
      </c>
      <c r="AU121" s="3">
        <f>IFERROR(__xludf.DUMMYFUNCTION("""COMPUTED_VALUE"""),0.0)</f>
        <v>0</v>
      </c>
      <c r="AV121" s="3">
        <f>IFERROR(__xludf.DUMMYFUNCTION("""COMPUTED_VALUE"""),0.0)</f>
        <v>0</v>
      </c>
      <c r="AW121" s="3">
        <f>IFERROR(__xludf.DUMMYFUNCTION("""COMPUTED_VALUE"""),0.0)</f>
        <v>0</v>
      </c>
      <c r="AX121" s="3">
        <f>IFERROR(__xludf.DUMMYFUNCTION("""COMPUTED_VALUE"""),0.0)</f>
        <v>0</v>
      </c>
      <c r="AY121" s="3">
        <f>IFERROR(__xludf.DUMMYFUNCTION("""COMPUTED_VALUE"""),0.0)</f>
        <v>0</v>
      </c>
      <c r="AZ121" s="3">
        <f>IFERROR(__xludf.DUMMYFUNCTION("""COMPUTED_VALUE"""),0.0)</f>
        <v>0</v>
      </c>
      <c r="BA121" s="3">
        <f>IFERROR(__xludf.DUMMYFUNCTION("""COMPUTED_VALUE"""),0.0)</f>
        <v>0</v>
      </c>
      <c r="BB121" s="3">
        <f>IFERROR(__xludf.DUMMYFUNCTION("""COMPUTED_VALUE"""),0.0)</f>
        <v>0</v>
      </c>
      <c r="BC121" s="3">
        <f>IFERROR(__xludf.DUMMYFUNCTION("""COMPUTED_VALUE"""),0.0)</f>
        <v>0</v>
      </c>
      <c r="BD121" s="3">
        <f>IFERROR(__xludf.DUMMYFUNCTION("""COMPUTED_VALUE"""),0.0)</f>
        <v>0</v>
      </c>
      <c r="BE121" s="3">
        <f>IFERROR(__xludf.DUMMYFUNCTION("""COMPUTED_VALUE"""),0.0)</f>
        <v>0</v>
      </c>
      <c r="BF121" s="3">
        <f>IFERROR(__xludf.DUMMYFUNCTION("""COMPUTED_VALUE"""),0.0)</f>
        <v>0</v>
      </c>
      <c r="BG121" s="3">
        <f>IFERROR(__xludf.DUMMYFUNCTION("""COMPUTED_VALUE"""),0.0)</f>
        <v>0</v>
      </c>
      <c r="BH121" s="3">
        <f>IFERROR(__xludf.DUMMYFUNCTION("""COMPUTED_VALUE"""),0.0)</f>
        <v>0</v>
      </c>
      <c r="BI121" s="3">
        <f>IFERROR(__xludf.DUMMYFUNCTION("""COMPUTED_VALUE"""),0.0)</f>
        <v>0</v>
      </c>
      <c r="BJ121" s="3">
        <f>IFERROR(__xludf.DUMMYFUNCTION("""COMPUTED_VALUE"""),0.0)</f>
        <v>0</v>
      </c>
      <c r="BK121" s="3">
        <f>IFERROR(__xludf.DUMMYFUNCTION("""COMPUTED_VALUE"""),0.0)</f>
        <v>0</v>
      </c>
      <c r="BL121" s="3">
        <f>IFERROR(__xludf.DUMMYFUNCTION("""COMPUTED_VALUE"""),0.0)</f>
        <v>0</v>
      </c>
      <c r="BM121" s="3">
        <f>IFERROR(__xludf.DUMMYFUNCTION("""COMPUTED_VALUE"""),0.0)</f>
        <v>0</v>
      </c>
      <c r="BN121" s="3">
        <f>IFERROR(__xludf.DUMMYFUNCTION("""COMPUTED_VALUE"""),0.0)</f>
        <v>0</v>
      </c>
      <c r="BO121" s="3">
        <f>IFERROR(__xludf.DUMMYFUNCTION("""COMPUTED_VALUE"""),0.0)</f>
        <v>0</v>
      </c>
      <c r="BP121" s="3">
        <f>IFERROR(__xludf.DUMMYFUNCTION("""COMPUTED_VALUE"""),0.0)</f>
        <v>0</v>
      </c>
      <c r="BQ121" s="3">
        <f>IFERROR(__xludf.DUMMYFUNCTION("""COMPUTED_VALUE"""),0.0)</f>
        <v>0</v>
      </c>
      <c r="BR121" s="3">
        <f>IFERROR(__xludf.DUMMYFUNCTION("""COMPUTED_VALUE"""),0.0)</f>
        <v>0</v>
      </c>
      <c r="BS121" s="3">
        <f>IFERROR(__xludf.DUMMYFUNCTION("""COMPUTED_VALUE"""),0.0)</f>
        <v>0</v>
      </c>
      <c r="BT121" s="3">
        <f>IFERROR(__xludf.DUMMYFUNCTION("""COMPUTED_VALUE"""),0.0)</f>
        <v>0</v>
      </c>
      <c r="BU121" s="3">
        <f>IFERROR(__xludf.DUMMYFUNCTION("""COMPUTED_VALUE"""),0.0)</f>
        <v>0</v>
      </c>
      <c r="BV121" s="3">
        <f>IFERROR(__xludf.DUMMYFUNCTION("""COMPUTED_VALUE"""),0.0)</f>
        <v>0</v>
      </c>
      <c r="BW121" s="3">
        <f>IFERROR(__xludf.DUMMYFUNCTION("""COMPUTED_VALUE"""),0.0)</f>
        <v>0</v>
      </c>
      <c r="BX121" s="3">
        <f>IFERROR(__xludf.DUMMYFUNCTION("""COMPUTED_VALUE"""),0.0)</f>
        <v>0</v>
      </c>
      <c r="BY121" s="3">
        <f>IFERROR(__xludf.DUMMYFUNCTION("""COMPUTED_VALUE"""),0.0)</f>
        <v>0</v>
      </c>
      <c r="BZ121" s="3">
        <f>IFERROR(__xludf.DUMMYFUNCTION("""COMPUTED_VALUE"""),1.0)</f>
        <v>1</v>
      </c>
      <c r="CA121" s="3">
        <f>IFERROR(__xludf.DUMMYFUNCTION("""COMPUTED_VALUE"""),2.0)</f>
        <v>2</v>
      </c>
      <c r="CB121" s="3">
        <f>IFERROR(__xludf.DUMMYFUNCTION("""COMPUTED_VALUE"""),2.0)</f>
        <v>2</v>
      </c>
    </row>
    <row r="122">
      <c r="A122" s="3" t="str">
        <f>IFERROR(__xludf.DUMMYFUNCTION("""COMPUTED_VALUE"""),"")</f>
        <v/>
      </c>
      <c r="B122" s="3" t="str">
        <f>IFERROR(__xludf.DUMMYFUNCTION("""COMPUTED_VALUE"""),"Germany")</f>
        <v>Germany</v>
      </c>
      <c r="C122" s="3">
        <f>IFERROR(__xludf.DUMMYFUNCTION("""COMPUTED_VALUE"""),51.0)</f>
        <v>51</v>
      </c>
      <c r="D122" s="3">
        <f>IFERROR(__xludf.DUMMYFUNCTION("""COMPUTED_VALUE"""),9.0)</f>
        <v>9</v>
      </c>
      <c r="E122" s="3">
        <f>IFERROR(__xludf.DUMMYFUNCTION("""COMPUTED_VALUE"""),0.0)</f>
        <v>0</v>
      </c>
      <c r="F122" s="3">
        <f>IFERROR(__xludf.DUMMYFUNCTION("""COMPUTED_VALUE"""),0.0)</f>
        <v>0</v>
      </c>
      <c r="G122" s="3">
        <f>IFERROR(__xludf.DUMMYFUNCTION("""COMPUTED_VALUE"""),0.0)</f>
        <v>0</v>
      </c>
      <c r="H122" s="3">
        <f>IFERROR(__xludf.DUMMYFUNCTION("""COMPUTED_VALUE"""),0.0)</f>
        <v>0</v>
      </c>
      <c r="I122" s="3">
        <f>IFERROR(__xludf.DUMMYFUNCTION("""COMPUTED_VALUE"""),0.0)</f>
        <v>0</v>
      </c>
      <c r="J122" s="3">
        <f>IFERROR(__xludf.DUMMYFUNCTION("""COMPUTED_VALUE"""),0.0)</f>
        <v>0</v>
      </c>
      <c r="K122" s="3">
        <f>IFERROR(__xludf.DUMMYFUNCTION("""COMPUTED_VALUE"""),0.0)</f>
        <v>0</v>
      </c>
      <c r="L122" s="3">
        <f>IFERROR(__xludf.DUMMYFUNCTION("""COMPUTED_VALUE"""),0.0)</f>
        <v>0</v>
      </c>
      <c r="M122" s="3">
        <f>IFERROR(__xludf.DUMMYFUNCTION("""COMPUTED_VALUE"""),0.0)</f>
        <v>0</v>
      </c>
      <c r="N122" s="3">
        <f>IFERROR(__xludf.DUMMYFUNCTION("""COMPUTED_VALUE"""),0.0)</f>
        <v>0</v>
      </c>
      <c r="O122" s="3">
        <f>IFERROR(__xludf.DUMMYFUNCTION("""COMPUTED_VALUE"""),0.0)</f>
        <v>0</v>
      </c>
      <c r="P122" s="3">
        <f>IFERROR(__xludf.DUMMYFUNCTION("""COMPUTED_VALUE"""),0.0)</f>
        <v>0</v>
      </c>
      <c r="Q122" s="3">
        <f>IFERROR(__xludf.DUMMYFUNCTION("""COMPUTED_VALUE"""),0.0)</f>
        <v>0</v>
      </c>
      <c r="R122" s="3">
        <f>IFERROR(__xludf.DUMMYFUNCTION("""COMPUTED_VALUE"""),0.0)</f>
        <v>0</v>
      </c>
      <c r="S122" s="3">
        <f>IFERROR(__xludf.DUMMYFUNCTION("""COMPUTED_VALUE"""),0.0)</f>
        <v>0</v>
      </c>
      <c r="T122" s="3">
        <f>IFERROR(__xludf.DUMMYFUNCTION("""COMPUTED_VALUE"""),0.0)</f>
        <v>0</v>
      </c>
      <c r="U122" s="3">
        <f>IFERROR(__xludf.DUMMYFUNCTION("""COMPUTED_VALUE"""),0.0)</f>
        <v>0</v>
      </c>
      <c r="V122" s="3">
        <f>IFERROR(__xludf.DUMMYFUNCTION("""COMPUTED_VALUE"""),0.0)</f>
        <v>0</v>
      </c>
      <c r="W122" s="3">
        <f>IFERROR(__xludf.DUMMYFUNCTION("""COMPUTED_VALUE"""),0.0)</f>
        <v>0</v>
      </c>
      <c r="X122" s="3">
        <f>IFERROR(__xludf.DUMMYFUNCTION("""COMPUTED_VALUE"""),0.0)</f>
        <v>0</v>
      </c>
      <c r="Y122" s="3">
        <f>IFERROR(__xludf.DUMMYFUNCTION("""COMPUTED_VALUE"""),0.0)</f>
        <v>0</v>
      </c>
      <c r="Z122" s="3">
        <f>IFERROR(__xludf.DUMMYFUNCTION("""COMPUTED_VALUE"""),0.0)</f>
        <v>0</v>
      </c>
      <c r="AA122" s="3">
        <f>IFERROR(__xludf.DUMMYFUNCTION("""COMPUTED_VALUE"""),0.0)</f>
        <v>0</v>
      </c>
      <c r="AB122" s="3">
        <f>IFERROR(__xludf.DUMMYFUNCTION("""COMPUTED_VALUE"""),0.0)</f>
        <v>0</v>
      </c>
      <c r="AC122" s="3">
        <f>IFERROR(__xludf.DUMMYFUNCTION("""COMPUTED_VALUE"""),0.0)</f>
        <v>0</v>
      </c>
      <c r="AD122" s="3">
        <f>IFERROR(__xludf.DUMMYFUNCTION("""COMPUTED_VALUE"""),0.0)</f>
        <v>0</v>
      </c>
      <c r="AE122" s="3">
        <f>IFERROR(__xludf.DUMMYFUNCTION("""COMPUTED_VALUE"""),0.0)</f>
        <v>0</v>
      </c>
      <c r="AF122" s="3">
        <f>IFERROR(__xludf.DUMMYFUNCTION("""COMPUTED_VALUE"""),0.0)</f>
        <v>0</v>
      </c>
      <c r="AG122" s="3">
        <f>IFERROR(__xludf.DUMMYFUNCTION("""COMPUTED_VALUE"""),0.0)</f>
        <v>0</v>
      </c>
      <c r="AH122" s="3">
        <f>IFERROR(__xludf.DUMMYFUNCTION("""COMPUTED_VALUE"""),0.0)</f>
        <v>0</v>
      </c>
      <c r="AI122" s="3">
        <f>IFERROR(__xludf.DUMMYFUNCTION("""COMPUTED_VALUE"""),0.0)</f>
        <v>0</v>
      </c>
      <c r="AJ122" s="3">
        <f>IFERROR(__xludf.DUMMYFUNCTION("""COMPUTED_VALUE"""),0.0)</f>
        <v>0</v>
      </c>
      <c r="AK122" s="3">
        <f>IFERROR(__xludf.DUMMYFUNCTION("""COMPUTED_VALUE"""),0.0)</f>
        <v>0</v>
      </c>
      <c r="AL122" s="3">
        <f>IFERROR(__xludf.DUMMYFUNCTION("""COMPUTED_VALUE"""),0.0)</f>
        <v>0</v>
      </c>
      <c r="AM122" s="3">
        <f>IFERROR(__xludf.DUMMYFUNCTION("""COMPUTED_VALUE"""),0.0)</f>
        <v>0</v>
      </c>
      <c r="AN122" s="3">
        <f>IFERROR(__xludf.DUMMYFUNCTION("""COMPUTED_VALUE"""),0.0)</f>
        <v>0</v>
      </c>
      <c r="AO122" s="3">
        <f>IFERROR(__xludf.DUMMYFUNCTION("""COMPUTED_VALUE"""),0.0)</f>
        <v>0</v>
      </c>
      <c r="AP122" s="3">
        <f>IFERROR(__xludf.DUMMYFUNCTION("""COMPUTED_VALUE"""),0.0)</f>
        <v>0</v>
      </c>
      <c r="AQ122" s="3">
        <f>IFERROR(__xludf.DUMMYFUNCTION("""COMPUTED_VALUE"""),0.0)</f>
        <v>0</v>
      </c>
      <c r="AR122" s="3">
        <f>IFERROR(__xludf.DUMMYFUNCTION("""COMPUTED_VALUE"""),0.0)</f>
        <v>0</v>
      </c>
      <c r="AS122" s="3">
        <f>IFERROR(__xludf.DUMMYFUNCTION("""COMPUTED_VALUE"""),0.0)</f>
        <v>0</v>
      </c>
      <c r="AT122" s="3">
        <f>IFERROR(__xludf.DUMMYFUNCTION("""COMPUTED_VALUE"""),0.0)</f>
        <v>0</v>
      </c>
      <c r="AU122" s="3">
        <f>IFERROR(__xludf.DUMMYFUNCTION("""COMPUTED_VALUE"""),0.0)</f>
        <v>0</v>
      </c>
      <c r="AV122" s="3">
        <f>IFERROR(__xludf.DUMMYFUNCTION("""COMPUTED_VALUE"""),0.0)</f>
        <v>0</v>
      </c>
      <c r="AW122" s="3">
        <f>IFERROR(__xludf.DUMMYFUNCTION("""COMPUTED_VALUE"""),0.0)</f>
        <v>0</v>
      </c>
      <c r="AX122" s="3">
        <f>IFERROR(__xludf.DUMMYFUNCTION("""COMPUTED_VALUE"""),0.0)</f>
        <v>0</v>
      </c>
      <c r="AY122" s="3">
        <f>IFERROR(__xludf.DUMMYFUNCTION("""COMPUTED_VALUE"""),0.0)</f>
        <v>0</v>
      </c>
      <c r="AZ122" s="3">
        <f>IFERROR(__xludf.DUMMYFUNCTION("""COMPUTED_VALUE"""),2.0)</f>
        <v>2</v>
      </c>
      <c r="BA122" s="3">
        <f>IFERROR(__xludf.DUMMYFUNCTION("""COMPUTED_VALUE"""),2.0)</f>
        <v>2</v>
      </c>
      <c r="BB122" s="3">
        <f>IFERROR(__xludf.DUMMYFUNCTION("""COMPUTED_VALUE"""),3.0)</f>
        <v>3</v>
      </c>
      <c r="BC122" s="3">
        <f>IFERROR(__xludf.DUMMYFUNCTION("""COMPUTED_VALUE"""),3.0)</f>
        <v>3</v>
      </c>
      <c r="BD122" s="3">
        <f>IFERROR(__xludf.DUMMYFUNCTION("""COMPUTED_VALUE"""),7.0)</f>
        <v>7</v>
      </c>
      <c r="BE122" s="3">
        <f>IFERROR(__xludf.DUMMYFUNCTION("""COMPUTED_VALUE"""),9.0)</f>
        <v>9</v>
      </c>
      <c r="BF122" s="3">
        <f>IFERROR(__xludf.DUMMYFUNCTION("""COMPUTED_VALUE"""),11.0)</f>
        <v>11</v>
      </c>
      <c r="BG122" s="3">
        <f>IFERROR(__xludf.DUMMYFUNCTION("""COMPUTED_VALUE"""),17.0)</f>
        <v>17</v>
      </c>
      <c r="BH122" s="3">
        <f>IFERROR(__xludf.DUMMYFUNCTION("""COMPUTED_VALUE"""),24.0)</f>
        <v>24</v>
      </c>
      <c r="BI122" s="3">
        <f>IFERROR(__xludf.DUMMYFUNCTION("""COMPUTED_VALUE"""),28.0)</f>
        <v>28</v>
      </c>
      <c r="BJ122" s="3">
        <f>IFERROR(__xludf.DUMMYFUNCTION("""COMPUTED_VALUE"""),44.0)</f>
        <v>44</v>
      </c>
      <c r="BK122" s="3">
        <f>IFERROR(__xludf.DUMMYFUNCTION("""COMPUTED_VALUE"""),67.0)</f>
        <v>67</v>
      </c>
      <c r="BL122" s="3">
        <f>IFERROR(__xludf.DUMMYFUNCTION("""COMPUTED_VALUE"""),84.0)</f>
        <v>84</v>
      </c>
      <c r="BM122" s="3">
        <f>IFERROR(__xludf.DUMMYFUNCTION("""COMPUTED_VALUE"""),94.0)</f>
        <v>94</v>
      </c>
      <c r="BN122" s="3">
        <f>IFERROR(__xludf.DUMMYFUNCTION("""COMPUTED_VALUE"""),123.0)</f>
        <v>123</v>
      </c>
      <c r="BO122" s="3">
        <f>IFERROR(__xludf.DUMMYFUNCTION("""COMPUTED_VALUE"""),157.0)</f>
        <v>157</v>
      </c>
      <c r="BP122" s="3">
        <f>IFERROR(__xludf.DUMMYFUNCTION("""COMPUTED_VALUE"""),206.0)</f>
        <v>206</v>
      </c>
      <c r="BQ122" s="3">
        <f>IFERROR(__xludf.DUMMYFUNCTION("""COMPUTED_VALUE"""),267.0)</f>
        <v>267</v>
      </c>
      <c r="BR122" s="3">
        <f>IFERROR(__xludf.DUMMYFUNCTION("""COMPUTED_VALUE"""),342.0)</f>
        <v>342</v>
      </c>
      <c r="BS122" s="3">
        <f>IFERROR(__xludf.DUMMYFUNCTION("""COMPUTED_VALUE"""),433.0)</f>
        <v>433</v>
      </c>
      <c r="BT122" s="3">
        <f>IFERROR(__xludf.DUMMYFUNCTION("""COMPUTED_VALUE"""),533.0)</f>
        <v>533</v>
      </c>
      <c r="BU122" s="3">
        <f>IFERROR(__xludf.DUMMYFUNCTION("""COMPUTED_VALUE"""),645.0)</f>
        <v>645</v>
      </c>
      <c r="BV122" s="3">
        <f>IFERROR(__xludf.DUMMYFUNCTION("""COMPUTED_VALUE"""),775.0)</f>
        <v>775</v>
      </c>
      <c r="BW122" s="3">
        <f>IFERROR(__xludf.DUMMYFUNCTION("""COMPUTED_VALUE"""),920.0)</f>
        <v>920</v>
      </c>
      <c r="BX122" s="3">
        <f>IFERROR(__xludf.DUMMYFUNCTION("""COMPUTED_VALUE"""),1107.0)</f>
        <v>1107</v>
      </c>
      <c r="BY122" s="3">
        <f>IFERROR(__xludf.DUMMYFUNCTION("""COMPUTED_VALUE"""),1275.0)</f>
        <v>1275</v>
      </c>
      <c r="BZ122" s="3">
        <f>IFERROR(__xludf.DUMMYFUNCTION("""COMPUTED_VALUE"""),1444.0)</f>
        <v>1444</v>
      </c>
      <c r="CA122" s="3">
        <f>IFERROR(__xludf.DUMMYFUNCTION("""COMPUTED_VALUE"""),1584.0)</f>
        <v>1584</v>
      </c>
      <c r="CB122" s="3">
        <f>IFERROR(__xludf.DUMMYFUNCTION("""COMPUTED_VALUE"""),1810.0)</f>
        <v>1810</v>
      </c>
    </row>
    <row r="123">
      <c r="A123" s="3" t="str">
        <f>IFERROR(__xludf.DUMMYFUNCTION("""COMPUTED_VALUE"""),"")</f>
        <v/>
      </c>
      <c r="B123" s="3" t="str">
        <f>IFERROR(__xludf.DUMMYFUNCTION("""COMPUTED_VALUE"""),"Ghana")</f>
        <v>Ghana</v>
      </c>
      <c r="C123" s="3">
        <f>IFERROR(__xludf.DUMMYFUNCTION("""COMPUTED_VALUE"""),7.9465)</f>
        <v>7.9465</v>
      </c>
      <c r="D123" s="3">
        <f>IFERROR(__xludf.DUMMYFUNCTION("""COMPUTED_VALUE"""),-1.0232)</f>
        <v>-1.0232</v>
      </c>
      <c r="E123" s="3">
        <f>IFERROR(__xludf.DUMMYFUNCTION("""COMPUTED_VALUE"""),0.0)</f>
        <v>0</v>
      </c>
      <c r="F123" s="3">
        <f>IFERROR(__xludf.DUMMYFUNCTION("""COMPUTED_VALUE"""),0.0)</f>
        <v>0</v>
      </c>
      <c r="G123" s="3">
        <f>IFERROR(__xludf.DUMMYFUNCTION("""COMPUTED_VALUE"""),0.0)</f>
        <v>0</v>
      </c>
      <c r="H123" s="3">
        <f>IFERROR(__xludf.DUMMYFUNCTION("""COMPUTED_VALUE"""),0.0)</f>
        <v>0</v>
      </c>
      <c r="I123" s="3">
        <f>IFERROR(__xludf.DUMMYFUNCTION("""COMPUTED_VALUE"""),0.0)</f>
        <v>0</v>
      </c>
      <c r="J123" s="3">
        <f>IFERROR(__xludf.DUMMYFUNCTION("""COMPUTED_VALUE"""),0.0)</f>
        <v>0</v>
      </c>
      <c r="K123" s="3">
        <f>IFERROR(__xludf.DUMMYFUNCTION("""COMPUTED_VALUE"""),0.0)</f>
        <v>0</v>
      </c>
      <c r="L123" s="3">
        <f>IFERROR(__xludf.DUMMYFUNCTION("""COMPUTED_VALUE"""),0.0)</f>
        <v>0</v>
      </c>
      <c r="M123" s="3">
        <f>IFERROR(__xludf.DUMMYFUNCTION("""COMPUTED_VALUE"""),0.0)</f>
        <v>0</v>
      </c>
      <c r="N123" s="3">
        <f>IFERROR(__xludf.DUMMYFUNCTION("""COMPUTED_VALUE"""),0.0)</f>
        <v>0</v>
      </c>
      <c r="O123" s="3">
        <f>IFERROR(__xludf.DUMMYFUNCTION("""COMPUTED_VALUE"""),0.0)</f>
        <v>0</v>
      </c>
      <c r="P123" s="3">
        <f>IFERROR(__xludf.DUMMYFUNCTION("""COMPUTED_VALUE"""),0.0)</f>
        <v>0</v>
      </c>
      <c r="Q123" s="3">
        <f>IFERROR(__xludf.DUMMYFUNCTION("""COMPUTED_VALUE"""),0.0)</f>
        <v>0</v>
      </c>
      <c r="R123" s="3">
        <f>IFERROR(__xludf.DUMMYFUNCTION("""COMPUTED_VALUE"""),0.0)</f>
        <v>0</v>
      </c>
      <c r="S123" s="3">
        <f>IFERROR(__xludf.DUMMYFUNCTION("""COMPUTED_VALUE"""),0.0)</f>
        <v>0</v>
      </c>
      <c r="T123" s="3">
        <f>IFERROR(__xludf.DUMMYFUNCTION("""COMPUTED_VALUE"""),0.0)</f>
        <v>0</v>
      </c>
      <c r="U123" s="3">
        <f>IFERROR(__xludf.DUMMYFUNCTION("""COMPUTED_VALUE"""),0.0)</f>
        <v>0</v>
      </c>
      <c r="V123" s="3">
        <f>IFERROR(__xludf.DUMMYFUNCTION("""COMPUTED_VALUE"""),0.0)</f>
        <v>0</v>
      </c>
      <c r="W123" s="3">
        <f>IFERROR(__xludf.DUMMYFUNCTION("""COMPUTED_VALUE"""),0.0)</f>
        <v>0</v>
      </c>
      <c r="X123" s="3">
        <f>IFERROR(__xludf.DUMMYFUNCTION("""COMPUTED_VALUE"""),0.0)</f>
        <v>0</v>
      </c>
      <c r="Y123" s="3">
        <f>IFERROR(__xludf.DUMMYFUNCTION("""COMPUTED_VALUE"""),0.0)</f>
        <v>0</v>
      </c>
      <c r="Z123" s="3">
        <f>IFERROR(__xludf.DUMMYFUNCTION("""COMPUTED_VALUE"""),0.0)</f>
        <v>0</v>
      </c>
      <c r="AA123" s="3">
        <f>IFERROR(__xludf.DUMMYFUNCTION("""COMPUTED_VALUE"""),0.0)</f>
        <v>0</v>
      </c>
      <c r="AB123" s="3">
        <f>IFERROR(__xludf.DUMMYFUNCTION("""COMPUTED_VALUE"""),0.0)</f>
        <v>0</v>
      </c>
      <c r="AC123" s="3">
        <f>IFERROR(__xludf.DUMMYFUNCTION("""COMPUTED_VALUE"""),0.0)</f>
        <v>0</v>
      </c>
      <c r="AD123" s="3">
        <f>IFERROR(__xludf.DUMMYFUNCTION("""COMPUTED_VALUE"""),0.0)</f>
        <v>0</v>
      </c>
      <c r="AE123" s="3">
        <f>IFERROR(__xludf.DUMMYFUNCTION("""COMPUTED_VALUE"""),0.0)</f>
        <v>0</v>
      </c>
      <c r="AF123" s="3">
        <f>IFERROR(__xludf.DUMMYFUNCTION("""COMPUTED_VALUE"""),0.0)</f>
        <v>0</v>
      </c>
      <c r="AG123" s="3">
        <f>IFERROR(__xludf.DUMMYFUNCTION("""COMPUTED_VALUE"""),0.0)</f>
        <v>0</v>
      </c>
      <c r="AH123" s="3">
        <f>IFERROR(__xludf.DUMMYFUNCTION("""COMPUTED_VALUE"""),0.0)</f>
        <v>0</v>
      </c>
      <c r="AI123" s="3">
        <f>IFERROR(__xludf.DUMMYFUNCTION("""COMPUTED_VALUE"""),0.0)</f>
        <v>0</v>
      </c>
      <c r="AJ123" s="3">
        <f>IFERROR(__xludf.DUMMYFUNCTION("""COMPUTED_VALUE"""),0.0)</f>
        <v>0</v>
      </c>
      <c r="AK123" s="3">
        <f>IFERROR(__xludf.DUMMYFUNCTION("""COMPUTED_VALUE"""),0.0)</f>
        <v>0</v>
      </c>
      <c r="AL123" s="3">
        <f>IFERROR(__xludf.DUMMYFUNCTION("""COMPUTED_VALUE"""),0.0)</f>
        <v>0</v>
      </c>
      <c r="AM123" s="3">
        <f>IFERROR(__xludf.DUMMYFUNCTION("""COMPUTED_VALUE"""),0.0)</f>
        <v>0</v>
      </c>
      <c r="AN123" s="3">
        <f>IFERROR(__xludf.DUMMYFUNCTION("""COMPUTED_VALUE"""),0.0)</f>
        <v>0</v>
      </c>
      <c r="AO123" s="3">
        <f>IFERROR(__xludf.DUMMYFUNCTION("""COMPUTED_VALUE"""),0.0)</f>
        <v>0</v>
      </c>
      <c r="AP123" s="3">
        <f>IFERROR(__xludf.DUMMYFUNCTION("""COMPUTED_VALUE"""),0.0)</f>
        <v>0</v>
      </c>
      <c r="AQ123" s="3">
        <f>IFERROR(__xludf.DUMMYFUNCTION("""COMPUTED_VALUE"""),0.0)</f>
        <v>0</v>
      </c>
      <c r="AR123" s="3">
        <f>IFERROR(__xludf.DUMMYFUNCTION("""COMPUTED_VALUE"""),0.0)</f>
        <v>0</v>
      </c>
      <c r="AS123" s="3">
        <f>IFERROR(__xludf.DUMMYFUNCTION("""COMPUTED_VALUE"""),0.0)</f>
        <v>0</v>
      </c>
      <c r="AT123" s="3">
        <f>IFERROR(__xludf.DUMMYFUNCTION("""COMPUTED_VALUE"""),0.0)</f>
        <v>0</v>
      </c>
      <c r="AU123" s="3">
        <f>IFERROR(__xludf.DUMMYFUNCTION("""COMPUTED_VALUE"""),0.0)</f>
        <v>0</v>
      </c>
      <c r="AV123" s="3">
        <f>IFERROR(__xludf.DUMMYFUNCTION("""COMPUTED_VALUE"""),0.0)</f>
        <v>0</v>
      </c>
      <c r="AW123" s="3">
        <f>IFERROR(__xludf.DUMMYFUNCTION("""COMPUTED_VALUE"""),0.0)</f>
        <v>0</v>
      </c>
      <c r="AX123" s="3">
        <f>IFERROR(__xludf.DUMMYFUNCTION("""COMPUTED_VALUE"""),0.0)</f>
        <v>0</v>
      </c>
      <c r="AY123" s="3">
        <f>IFERROR(__xludf.DUMMYFUNCTION("""COMPUTED_VALUE"""),0.0)</f>
        <v>0</v>
      </c>
      <c r="AZ123" s="3">
        <f>IFERROR(__xludf.DUMMYFUNCTION("""COMPUTED_VALUE"""),0.0)</f>
        <v>0</v>
      </c>
      <c r="BA123" s="3">
        <f>IFERROR(__xludf.DUMMYFUNCTION("""COMPUTED_VALUE"""),0.0)</f>
        <v>0</v>
      </c>
      <c r="BB123" s="3">
        <f>IFERROR(__xludf.DUMMYFUNCTION("""COMPUTED_VALUE"""),0.0)</f>
        <v>0</v>
      </c>
      <c r="BC123" s="3">
        <f>IFERROR(__xludf.DUMMYFUNCTION("""COMPUTED_VALUE"""),0.0)</f>
        <v>0</v>
      </c>
      <c r="BD123" s="3">
        <f>IFERROR(__xludf.DUMMYFUNCTION("""COMPUTED_VALUE"""),0.0)</f>
        <v>0</v>
      </c>
      <c r="BE123" s="3">
        <f>IFERROR(__xludf.DUMMYFUNCTION("""COMPUTED_VALUE"""),0.0)</f>
        <v>0</v>
      </c>
      <c r="BF123" s="3">
        <f>IFERROR(__xludf.DUMMYFUNCTION("""COMPUTED_VALUE"""),0.0)</f>
        <v>0</v>
      </c>
      <c r="BG123" s="3">
        <f>IFERROR(__xludf.DUMMYFUNCTION("""COMPUTED_VALUE"""),0.0)</f>
        <v>0</v>
      </c>
      <c r="BH123" s="3">
        <f>IFERROR(__xludf.DUMMYFUNCTION("""COMPUTED_VALUE"""),0.0)</f>
        <v>0</v>
      </c>
      <c r="BI123" s="3">
        <f>IFERROR(__xludf.DUMMYFUNCTION("""COMPUTED_VALUE"""),0.0)</f>
        <v>0</v>
      </c>
      <c r="BJ123" s="3">
        <f>IFERROR(__xludf.DUMMYFUNCTION("""COMPUTED_VALUE"""),0.0)</f>
        <v>0</v>
      </c>
      <c r="BK123" s="3">
        <f>IFERROR(__xludf.DUMMYFUNCTION("""COMPUTED_VALUE"""),0.0)</f>
        <v>0</v>
      </c>
      <c r="BL123" s="3">
        <f>IFERROR(__xludf.DUMMYFUNCTION("""COMPUTED_VALUE"""),1.0)</f>
        <v>1</v>
      </c>
      <c r="BM123" s="3">
        <f>IFERROR(__xludf.DUMMYFUNCTION("""COMPUTED_VALUE"""),1.0)</f>
        <v>1</v>
      </c>
      <c r="BN123" s="3">
        <f>IFERROR(__xludf.DUMMYFUNCTION("""COMPUTED_VALUE"""),2.0)</f>
        <v>2</v>
      </c>
      <c r="BO123" s="3">
        <f>IFERROR(__xludf.DUMMYFUNCTION("""COMPUTED_VALUE"""),2.0)</f>
        <v>2</v>
      </c>
      <c r="BP123" s="3">
        <f>IFERROR(__xludf.DUMMYFUNCTION("""COMPUTED_VALUE"""),4.0)</f>
        <v>4</v>
      </c>
      <c r="BQ123" s="3">
        <f>IFERROR(__xludf.DUMMYFUNCTION("""COMPUTED_VALUE"""),4.0)</f>
        <v>4</v>
      </c>
      <c r="BR123" s="3">
        <f>IFERROR(__xludf.DUMMYFUNCTION("""COMPUTED_VALUE"""),4.0)</f>
        <v>4</v>
      </c>
      <c r="BS123" s="3">
        <f>IFERROR(__xludf.DUMMYFUNCTION("""COMPUTED_VALUE"""),5.0)</f>
        <v>5</v>
      </c>
      <c r="BT123" s="3">
        <f>IFERROR(__xludf.DUMMYFUNCTION("""COMPUTED_VALUE"""),5.0)</f>
        <v>5</v>
      </c>
      <c r="BU123" s="3">
        <f>IFERROR(__xludf.DUMMYFUNCTION("""COMPUTED_VALUE"""),5.0)</f>
        <v>5</v>
      </c>
      <c r="BV123" s="3">
        <f>IFERROR(__xludf.DUMMYFUNCTION("""COMPUTED_VALUE"""),5.0)</f>
        <v>5</v>
      </c>
      <c r="BW123" s="3">
        <f>IFERROR(__xludf.DUMMYFUNCTION("""COMPUTED_VALUE"""),5.0)</f>
        <v>5</v>
      </c>
      <c r="BX123" s="3">
        <f>IFERROR(__xludf.DUMMYFUNCTION("""COMPUTED_VALUE"""),5.0)</f>
        <v>5</v>
      </c>
      <c r="BY123" s="3">
        <f>IFERROR(__xludf.DUMMYFUNCTION("""COMPUTED_VALUE"""),5.0)</f>
        <v>5</v>
      </c>
      <c r="BZ123" s="3">
        <f>IFERROR(__xludf.DUMMYFUNCTION("""COMPUTED_VALUE"""),5.0)</f>
        <v>5</v>
      </c>
      <c r="CA123" s="3">
        <f>IFERROR(__xludf.DUMMYFUNCTION("""COMPUTED_VALUE"""),5.0)</f>
        <v>5</v>
      </c>
      <c r="CB123" s="3">
        <f>IFERROR(__xludf.DUMMYFUNCTION("""COMPUTED_VALUE"""),5.0)</f>
        <v>5</v>
      </c>
    </row>
    <row r="124">
      <c r="A124" s="3" t="str">
        <f>IFERROR(__xludf.DUMMYFUNCTION("""COMPUTED_VALUE"""),"")</f>
        <v/>
      </c>
      <c r="B124" s="3" t="str">
        <f>IFERROR(__xludf.DUMMYFUNCTION("""COMPUTED_VALUE"""),"Greece")</f>
        <v>Greece</v>
      </c>
      <c r="C124" s="3">
        <f>IFERROR(__xludf.DUMMYFUNCTION("""COMPUTED_VALUE"""),39.0742)</f>
        <v>39.0742</v>
      </c>
      <c r="D124" s="3">
        <f>IFERROR(__xludf.DUMMYFUNCTION("""COMPUTED_VALUE"""),21.8243)</f>
        <v>21.8243</v>
      </c>
      <c r="E124" s="3">
        <f>IFERROR(__xludf.DUMMYFUNCTION("""COMPUTED_VALUE"""),0.0)</f>
        <v>0</v>
      </c>
      <c r="F124" s="3">
        <f>IFERROR(__xludf.DUMMYFUNCTION("""COMPUTED_VALUE"""),0.0)</f>
        <v>0</v>
      </c>
      <c r="G124" s="3">
        <f>IFERROR(__xludf.DUMMYFUNCTION("""COMPUTED_VALUE"""),0.0)</f>
        <v>0</v>
      </c>
      <c r="H124" s="3">
        <f>IFERROR(__xludf.DUMMYFUNCTION("""COMPUTED_VALUE"""),0.0)</f>
        <v>0</v>
      </c>
      <c r="I124" s="3">
        <f>IFERROR(__xludf.DUMMYFUNCTION("""COMPUTED_VALUE"""),0.0)</f>
        <v>0</v>
      </c>
      <c r="J124" s="3">
        <f>IFERROR(__xludf.DUMMYFUNCTION("""COMPUTED_VALUE"""),0.0)</f>
        <v>0</v>
      </c>
      <c r="K124" s="3">
        <f>IFERROR(__xludf.DUMMYFUNCTION("""COMPUTED_VALUE"""),0.0)</f>
        <v>0</v>
      </c>
      <c r="L124" s="3">
        <f>IFERROR(__xludf.DUMMYFUNCTION("""COMPUTED_VALUE"""),0.0)</f>
        <v>0</v>
      </c>
      <c r="M124" s="3">
        <f>IFERROR(__xludf.DUMMYFUNCTION("""COMPUTED_VALUE"""),0.0)</f>
        <v>0</v>
      </c>
      <c r="N124" s="3">
        <f>IFERROR(__xludf.DUMMYFUNCTION("""COMPUTED_VALUE"""),0.0)</f>
        <v>0</v>
      </c>
      <c r="O124" s="3">
        <f>IFERROR(__xludf.DUMMYFUNCTION("""COMPUTED_VALUE"""),0.0)</f>
        <v>0</v>
      </c>
      <c r="P124" s="3">
        <f>IFERROR(__xludf.DUMMYFUNCTION("""COMPUTED_VALUE"""),0.0)</f>
        <v>0</v>
      </c>
      <c r="Q124" s="3">
        <f>IFERROR(__xludf.DUMMYFUNCTION("""COMPUTED_VALUE"""),0.0)</f>
        <v>0</v>
      </c>
      <c r="R124" s="3">
        <f>IFERROR(__xludf.DUMMYFUNCTION("""COMPUTED_VALUE"""),0.0)</f>
        <v>0</v>
      </c>
      <c r="S124" s="3">
        <f>IFERROR(__xludf.DUMMYFUNCTION("""COMPUTED_VALUE"""),0.0)</f>
        <v>0</v>
      </c>
      <c r="T124" s="3">
        <f>IFERROR(__xludf.DUMMYFUNCTION("""COMPUTED_VALUE"""),0.0)</f>
        <v>0</v>
      </c>
      <c r="U124" s="3">
        <f>IFERROR(__xludf.DUMMYFUNCTION("""COMPUTED_VALUE"""),0.0)</f>
        <v>0</v>
      </c>
      <c r="V124" s="3">
        <f>IFERROR(__xludf.DUMMYFUNCTION("""COMPUTED_VALUE"""),0.0)</f>
        <v>0</v>
      </c>
      <c r="W124" s="3">
        <f>IFERROR(__xludf.DUMMYFUNCTION("""COMPUTED_VALUE"""),0.0)</f>
        <v>0</v>
      </c>
      <c r="X124" s="3">
        <f>IFERROR(__xludf.DUMMYFUNCTION("""COMPUTED_VALUE"""),0.0)</f>
        <v>0</v>
      </c>
      <c r="Y124" s="3">
        <f>IFERROR(__xludf.DUMMYFUNCTION("""COMPUTED_VALUE"""),0.0)</f>
        <v>0</v>
      </c>
      <c r="Z124" s="3">
        <f>IFERROR(__xludf.DUMMYFUNCTION("""COMPUTED_VALUE"""),0.0)</f>
        <v>0</v>
      </c>
      <c r="AA124" s="3">
        <f>IFERROR(__xludf.DUMMYFUNCTION("""COMPUTED_VALUE"""),0.0)</f>
        <v>0</v>
      </c>
      <c r="AB124" s="3">
        <f>IFERROR(__xludf.DUMMYFUNCTION("""COMPUTED_VALUE"""),0.0)</f>
        <v>0</v>
      </c>
      <c r="AC124" s="3">
        <f>IFERROR(__xludf.DUMMYFUNCTION("""COMPUTED_VALUE"""),0.0)</f>
        <v>0</v>
      </c>
      <c r="AD124" s="3">
        <f>IFERROR(__xludf.DUMMYFUNCTION("""COMPUTED_VALUE"""),0.0)</f>
        <v>0</v>
      </c>
      <c r="AE124" s="3">
        <f>IFERROR(__xludf.DUMMYFUNCTION("""COMPUTED_VALUE"""),0.0)</f>
        <v>0</v>
      </c>
      <c r="AF124" s="3">
        <f>IFERROR(__xludf.DUMMYFUNCTION("""COMPUTED_VALUE"""),0.0)</f>
        <v>0</v>
      </c>
      <c r="AG124" s="3">
        <f>IFERROR(__xludf.DUMMYFUNCTION("""COMPUTED_VALUE"""),0.0)</f>
        <v>0</v>
      </c>
      <c r="AH124" s="3">
        <f>IFERROR(__xludf.DUMMYFUNCTION("""COMPUTED_VALUE"""),0.0)</f>
        <v>0</v>
      </c>
      <c r="AI124" s="3">
        <f>IFERROR(__xludf.DUMMYFUNCTION("""COMPUTED_VALUE"""),0.0)</f>
        <v>0</v>
      </c>
      <c r="AJ124" s="3">
        <f>IFERROR(__xludf.DUMMYFUNCTION("""COMPUTED_VALUE"""),0.0)</f>
        <v>0</v>
      </c>
      <c r="AK124" s="3">
        <f>IFERROR(__xludf.DUMMYFUNCTION("""COMPUTED_VALUE"""),0.0)</f>
        <v>0</v>
      </c>
      <c r="AL124" s="3">
        <f>IFERROR(__xludf.DUMMYFUNCTION("""COMPUTED_VALUE"""),0.0)</f>
        <v>0</v>
      </c>
      <c r="AM124" s="3">
        <f>IFERROR(__xludf.DUMMYFUNCTION("""COMPUTED_VALUE"""),0.0)</f>
        <v>0</v>
      </c>
      <c r="AN124" s="3">
        <f>IFERROR(__xludf.DUMMYFUNCTION("""COMPUTED_VALUE"""),0.0)</f>
        <v>0</v>
      </c>
      <c r="AO124" s="3">
        <f>IFERROR(__xludf.DUMMYFUNCTION("""COMPUTED_VALUE"""),0.0)</f>
        <v>0</v>
      </c>
      <c r="AP124" s="3">
        <f>IFERROR(__xludf.DUMMYFUNCTION("""COMPUTED_VALUE"""),0.0)</f>
        <v>0</v>
      </c>
      <c r="AQ124" s="3">
        <f>IFERROR(__xludf.DUMMYFUNCTION("""COMPUTED_VALUE"""),0.0)</f>
        <v>0</v>
      </c>
      <c r="AR124" s="3">
        <f>IFERROR(__xludf.DUMMYFUNCTION("""COMPUTED_VALUE"""),0.0)</f>
        <v>0</v>
      </c>
      <c r="AS124" s="3">
        <f>IFERROR(__xludf.DUMMYFUNCTION("""COMPUTED_VALUE"""),0.0)</f>
        <v>0</v>
      </c>
      <c r="AT124" s="3">
        <f>IFERROR(__xludf.DUMMYFUNCTION("""COMPUTED_VALUE"""),0.0)</f>
        <v>0</v>
      </c>
      <c r="AU124" s="3">
        <f>IFERROR(__xludf.DUMMYFUNCTION("""COMPUTED_VALUE"""),0.0)</f>
        <v>0</v>
      </c>
      <c r="AV124" s="3">
        <f>IFERROR(__xludf.DUMMYFUNCTION("""COMPUTED_VALUE"""),0.0)</f>
        <v>0</v>
      </c>
      <c r="AW124" s="3">
        <f>IFERROR(__xludf.DUMMYFUNCTION("""COMPUTED_VALUE"""),0.0)</f>
        <v>0</v>
      </c>
      <c r="AX124" s="3">
        <f>IFERROR(__xludf.DUMMYFUNCTION("""COMPUTED_VALUE"""),0.0)</f>
        <v>0</v>
      </c>
      <c r="AY124" s="3">
        <f>IFERROR(__xludf.DUMMYFUNCTION("""COMPUTED_VALUE"""),0.0)</f>
        <v>0</v>
      </c>
      <c r="AZ124" s="3">
        <f>IFERROR(__xludf.DUMMYFUNCTION("""COMPUTED_VALUE"""),0.0)</f>
        <v>0</v>
      </c>
      <c r="BA124" s="3">
        <f>IFERROR(__xludf.DUMMYFUNCTION("""COMPUTED_VALUE"""),0.0)</f>
        <v>0</v>
      </c>
      <c r="BB124" s="3">
        <f>IFERROR(__xludf.DUMMYFUNCTION("""COMPUTED_VALUE"""),1.0)</f>
        <v>1</v>
      </c>
      <c r="BC124" s="3">
        <f>IFERROR(__xludf.DUMMYFUNCTION("""COMPUTED_VALUE"""),1.0)</f>
        <v>1</v>
      </c>
      <c r="BD124" s="3">
        <f>IFERROR(__xludf.DUMMYFUNCTION("""COMPUTED_VALUE"""),1.0)</f>
        <v>1</v>
      </c>
      <c r="BE124" s="3">
        <f>IFERROR(__xludf.DUMMYFUNCTION("""COMPUTED_VALUE"""),3.0)</f>
        <v>3</v>
      </c>
      <c r="BF124" s="3">
        <f>IFERROR(__xludf.DUMMYFUNCTION("""COMPUTED_VALUE"""),4.0)</f>
        <v>4</v>
      </c>
      <c r="BG124" s="3">
        <f>IFERROR(__xludf.DUMMYFUNCTION("""COMPUTED_VALUE"""),4.0)</f>
        <v>4</v>
      </c>
      <c r="BH124" s="3">
        <f>IFERROR(__xludf.DUMMYFUNCTION("""COMPUTED_VALUE"""),5.0)</f>
        <v>5</v>
      </c>
      <c r="BI124" s="3">
        <f>IFERROR(__xludf.DUMMYFUNCTION("""COMPUTED_VALUE"""),5.0)</f>
        <v>5</v>
      </c>
      <c r="BJ124" s="3">
        <f>IFERROR(__xludf.DUMMYFUNCTION("""COMPUTED_VALUE"""),6.0)</f>
        <v>6</v>
      </c>
      <c r="BK124" s="3">
        <f>IFERROR(__xludf.DUMMYFUNCTION("""COMPUTED_VALUE"""),6.0)</f>
        <v>6</v>
      </c>
      <c r="BL124" s="3">
        <f>IFERROR(__xludf.DUMMYFUNCTION("""COMPUTED_VALUE"""),13.0)</f>
        <v>13</v>
      </c>
      <c r="BM124" s="3">
        <f>IFERROR(__xludf.DUMMYFUNCTION("""COMPUTED_VALUE"""),15.0)</f>
        <v>15</v>
      </c>
      <c r="BN124" s="3">
        <f>IFERROR(__xludf.DUMMYFUNCTION("""COMPUTED_VALUE"""),17.0)</f>
        <v>17</v>
      </c>
      <c r="BO124" s="3">
        <f>IFERROR(__xludf.DUMMYFUNCTION("""COMPUTED_VALUE"""),20.0)</f>
        <v>20</v>
      </c>
      <c r="BP124" s="3">
        <f>IFERROR(__xludf.DUMMYFUNCTION("""COMPUTED_VALUE"""),22.0)</f>
        <v>22</v>
      </c>
      <c r="BQ124" s="3">
        <f>IFERROR(__xludf.DUMMYFUNCTION("""COMPUTED_VALUE"""),26.0)</f>
        <v>26</v>
      </c>
      <c r="BR124" s="3">
        <f>IFERROR(__xludf.DUMMYFUNCTION("""COMPUTED_VALUE"""),28.0)</f>
        <v>28</v>
      </c>
      <c r="BS124" s="3">
        <f>IFERROR(__xludf.DUMMYFUNCTION("""COMPUTED_VALUE"""),32.0)</f>
        <v>32</v>
      </c>
      <c r="BT124" s="3">
        <f>IFERROR(__xludf.DUMMYFUNCTION("""COMPUTED_VALUE"""),38.0)</f>
        <v>38</v>
      </c>
      <c r="BU124" s="3">
        <f>IFERROR(__xludf.DUMMYFUNCTION("""COMPUTED_VALUE"""),43.0)</f>
        <v>43</v>
      </c>
      <c r="BV124" s="3">
        <f>IFERROR(__xludf.DUMMYFUNCTION("""COMPUTED_VALUE"""),49.0)</f>
        <v>49</v>
      </c>
      <c r="BW124" s="3">
        <f>IFERROR(__xludf.DUMMYFUNCTION("""COMPUTED_VALUE"""),50.0)</f>
        <v>50</v>
      </c>
      <c r="BX124" s="3">
        <f>IFERROR(__xludf.DUMMYFUNCTION("""COMPUTED_VALUE"""),53.0)</f>
        <v>53</v>
      </c>
      <c r="BY124" s="3">
        <f>IFERROR(__xludf.DUMMYFUNCTION("""COMPUTED_VALUE"""),63.0)</f>
        <v>63</v>
      </c>
      <c r="BZ124" s="3">
        <f>IFERROR(__xludf.DUMMYFUNCTION("""COMPUTED_VALUE"""),68.0)</f>
        <v>68</v>
      </c>
      <c r="CA124" s="3">
        <f>IFERROR(__xludf.DUMMYFUNCTION("""COMPUTED_VALUE"""),73.0)</f>
        <v>73</v>
      </c>
      <c r="CB124" s="3">
        <f>IFERROR(__xludf.DUMMYFUNCTION("""COMPUTED_VALUE"""),79.0)</f>
        <v>79</v>
      </c>
    </row>
    <row r="125">
      <c r="A125" s="3" t="str">
        <f>IFERROR(__xludf.DUMMYFUNCTION("""COMPUTED_VALUE"""),"")</f>
        <v/>
      </c>
      <c r="B125" s="3" t="str">
        <f>IFERROR(__xludf.DUMMYFUNCTION("""COMPUTED_VALUE"""),"Guatemala")</f>
        <v>Guatemala</v>
      </c>
      <c r="C125" s="3">
        <f>IFERROR(__xludf.DUMMYFUNCTION("""COMPUTED_VALUE"""),15.7835)</f>
        <v>15.7835</v>
      </c>
      <c r="D125" s="3">
        <f>IFERROR(__xludf.DUMMYFUNCTION("""COMPUTED_VALUE"""),-90.2308)</f>
        <v>-90.2308</v>
      </c>
      <c r="E125" s="3">
        <f>IFERROR(__xludf.DUMMYFUNCTION("""COMPUTED_VALUE"""),0.0)</f>
        <v>0</v>
      </c>
      <c r="F125" s="3">
        <f>IFERROR(__xludf.DUMMYFUNCTION("""COMPUTED_VALUE"""),0.0)</f>
        <v>0</v>
      </c>
      <c r="G125" s="3">
        <f>IFERROR(__xludf.DUMMYFUNCTION("""COMPUTED_VALUE"""),0.0)</f>
        <v>0</v>
      </c>
      <c r="H125" s="3">
        <f>IFERROR(__xludf.DUMMYFUNCTION("""COMPUTED_VALUE"""),0.0)</f>
        <v>0</v>
      </c>
      <c r="I125" s="3">
        <f>IFERROR(__xludf.DUMMYFUNCTION("""COMPUTED_VALUE"""),0.0)</f>
        <v>0</v>
      </c>
      <c r="J125" s="3">
        <f>IFERROR(__xludf.DUMMYFUNCTION("""COMPUTED_VALUE"""),0.0)</f>
        <v>0</v>
      </c>
      <c r="K125" s="3">
        <f>IFERROR(__xludf.DUMMYFUNCTION("""COMPUTED_VALUE"""),0.0)</f>
        <v>0</v>
      </c>
      <c r="L125" s="3">
        <f>IFERROR(__xludf.DUMMYFUNCTION("""COMPUTED_VALUE"""),0.0)</f>
        <v>0</v>
      </c>
      <c r="M125" s="3">
        <f>IFERROR(__xludf.DUMMYFUNCTION("""COMPUTED_VALUE"""),0.0)</f>
        <v>0</v>
      </c>
      <c r="N125" s="3">
        <f>IFERROR(__xludf.DUMMYFUNCTION("""COMPUTED_VALUE"""),0.0)</f>
        <v>0</v>
      </c>
      <c r="O125" s="3">
        <f>IFERROR(__xludf.DUMMYFUNCTION("""COMPUTED_VALUE"""),0.0)</f>
        <v>0</v>
      </c>
      <c r="P125" s="3">
        <f>IFERROR(__xludf.DUMMYFUNCTION("""COMPUTED_VALUE"""),0.0)</f>
        <v>0</v>
      </c>
      <c r="Q125" s="3">
        <f>IFERROR(__xludf.DUMMYFUNCTION("""COMPUTED_VALUE"""),0.0)</f>
        <v>0</v>
      </c>
      <c r="R125" s="3">
        <f>IFERROR(__xludf.DUMMYFUNCTION("""COMPUTED_VALUE"""),0.0)</f>
        <v>0</v>
      </c>
      <c r="S125" s="3">
        <f>IFERROR(__xludf.DUMMYFUNCTION("""COMPUTED_VALUE"""),0.0)</f>
        <v>0</v>
      </c>
      <c r="T125" s="3">
        <f>IFERROR(__xludf.DUMMYFUNCTION("""COMPUTED_VALUE"""),0.0)</f>
        <v>0</v>
      </c>
      <c r="U125" s="3">
        <f>IFERROR(__xludf.DUMMYFUNCTION("""COMPUTED_VALUE"""),0.0)</f>
        <v>0</v>
      </c>
      <c r="V125" s="3">
        <f>IFERROR(__xludf.DUMMYFUNCTION("""COMPUTED_VALUE"""),0.0)</f>
        <v>0</v>
      </c>
      <c r="W125" s="3">
        <f>IFERROR(__xludf.DUMMYFUNCTION("""COMPUTED_VALUE"""),0.0)</f>
        <v>0</v>
      </c>
      <c r="X125" s="3">
        <f>IFERROR(__xludf.DUMMYFUNCTION("""COMPUTED_VALUE"""),0.0)</f>
        <v>0</v>
      </c>
      <c r="Y125" s="3">
        <f>IFERROR(__xludf.DUMMYFUNCTION("""COMPUTED_VALUE"""),0.0)</f>
        <v>0</v>
      </c>
      <c r="Z125" s="3">
        <f>IFERROR(__xludf.DUMMYFUNCTION("""COMPUTED_VALUE"""),0.0)</f>
        <v>0</v>
      </c>
      <c r="AA125" s="3">
        <f>IFERROR(__xludf.DUMMYFUNCTION("""COMPUTED_VALUE"""),0.0)</f>
        <v>0</v>
      </c>
      <c r="AB125" s="3">
        <f>IFERROR(__xludf.DUMMYFUNCTION("""COMPUTED_VALUE"""),0.0)</f>
        <v>0</v>
      </c>
      <c r="AC125" s="3">
        <f>IFERROR(__xludf.DUMMYFUNCTION("""COMPUTED_VALUE"""),0.0)</f>
        <v>0</v>
      </c>
      <c r="AD125" s="3">
        <f>IFERROR(__xludf.DUMMYFUNCTION("""COMPUTED_VALUE"""),0.0)</f>
        <v>0</v>
      </c>
      <c r="AE125" s="3">
        <f>IFERROR(__xludf.DUMMYFUNCTION("""COMPUTED_VALUE"""),0.0)</f>
        <v>0</v>
      </c>
      <c r="AF125" s="3">
        <f>IFERROR(__xludf.DUMMYFUNCTION("""COMPUTED_VALUE"""),0.0)</f>
        <v>0</v>
      </c>
      <c r="AG125" s="3">
        <f>IFERROR(__xludf.DUMMYFUNCTION("""COMPUTED_VALUE"""),0.0)</f>
        <v>0</v>
      </c>
      <c r="AH125" s="3">
        <f>IFERROR(__xludf.DUMMYFUNCTION("""COMPUTED_VALUE"""),0.0)</f>
        <v>0</v>
      </c>
      <c r="AI125" s="3">
        <f>IFERROR(__xludf.DUMMYFUNCTION("""COMPUTED_VALUE"""),0.0)</f>
        <v>0</v>
      </c>
      <c r="AJ125" s="3">
        <f>IFERROR(__xludf.DUMMYFUNCTION("""COMPUTED_VALUE"""),0.0)</f>
        <v>0</v>
      </c>
      <c r="AK125" s="3">
        <f>IFERROR(__xludf.DUMMYFUNCTION("""COMPUTED_VALUE"""),0.0)</f>
        <v>0</v>
      </c>
      <c r="AL125" s="3">
        <f>IFERROR(__xludf.DUMMYFUNCTION("""COMPUTED_VALUE"""),0.0)</f>
        <v>0</v>
      </c>
      <c r="AM125" s="3">
        <f>IFERROR(__xludf.DUMMYFUNCTION("""COMPUTED_VALUE"""),0.0)</f>
        <v>0</v>
      </c>
      <c r="AN125" s="3">
        <f>IFERROR(__xludf.DUMMYFUNCTION("""COMPUTED_VALUE"""),0.0)</f>
        <v>0</v>
      </c>
      <c r="AO125" s="3">
        <f>IFERROR(__xludf.DUMMYFUNCTION("""COMPUTED_VALUE"""),0.0)</f>
        <v>0</v>
      </c>
      <c r="AP125" s="3">
        <f>IFERROR(__xludf.DUMMYFUNCTION("""COMPUTED_VALUE"""),0.0)</f>
        <v>0</v>
      </c>
      <c r="AQ125" s="3">
        <f>IFERROR(__xludf.DUMMYFUNCTION("""COMPUTED_VALUE"""),0.0)</f>
        <v>0</v>
      </c>
      <c r="AR125" s="3">
        <f>IFERROR(__xludf.DUMMYFUNCTION("""COMPUTED_VALUE"""),0.0)</f>
        <v>0</v>
      </c>
      <c r="AS125" s="3">
        <f>IFERROR(__xludf.DUMMYFUNCTION("""COMPUTED_VALUE"""),0.0)</f>
        <v>0</v>
      </c>
      <c r="AT125" s="3">
        <f>IFERROR(__xludf.DUMMYFUNCTION("""COMPUTED_VALUE"""),0.0)</f>
        <v>0</v>
      </c>
      <c r="AU125" s="3">
        <f>IFERROR(__xludf.DUMMYFUNCTION("""COMPUTED_VALUE"""),0.0)</f>
        <v>0</v>
      </c>
      <c r="AV125" s="3">
        <f>IFERROR(__xludf.DUMMYFUNCTION("""COMPUTED_VALUE"""),0.0)</f>
        <v>0</v>
      </c>
      <c r="AW125" s="3">
        <f>IFERROR(__xludf.DUMMYFUNCTION("""COMPUTED_VALUE"""),0.0)</f>
        <v>0</v>
      </c>
      <c r="AX125" s="3">
        <f>IFERROR(__xludf.DUMMYFUNCTION("""COMPUTED_VALUE"""),0.0)</f>
        <v>0</v>
      </c>
      <c r="AY125" s="3">
        <f>IFERROR(__xludf.DUMMYFUNCTION("""COMPUTED_VALUE"""),0.0)</f>
        <v>0</v>
      </c>
      <c r="AZ125" s="3">
        <f>IFERROR(__xludf.DUMMYFUNCTION("""COMPUTED_VALUE"""),0.0)</f>
        <v>0</v>
      </c>
      <c r="BA125" s="3">
        <f>IFERROR(__xludf.DUMMYFUNCTION("""COMPUTED_VALUE"""),0.0)</f>
        <v>0</v>
      </c>
      <c r="BB125" s="3">
        <f>IFERROR(__xludf.DUMMYFUNCTION("""COMPUTED_VALUE"""),0.0)</f>
        <v>0</v>
      </c>
      <c r="BC125" s="3">
        <f>IFERROR(__xludf.DUMMYFUNCTION("""COMPUTED_VALUE"""),0.0)</f>
        <v>0</v>
      </c>
      <c r="BD125" s="3">
        <f>IFERROR(__xludf.DUMMYFUNCTION("""COMPUTED_VALUE"""),0.0)</f>
        <v>0</v>
      </c>
      <c r="BE125" s="3">
        <f>IFERROR(__xludf.DUMMYFUNCTION("""COMPUTED_VALUE"""),0.0)</f>
        <v>0</v>
      </c>
      <c r="BF125" s="3">
        <f>IFERROR(__xludf.DUMMYFUNCTION("""COMPUTED_VALUE"""),0.0)</f>
        <v>0</v>
      </c>
      <c r="BG125" s="3">
        <f>IFERROR(__xludf.DUMMYFUNCTION("""COMPUTED_VALUE"""),1.0)</f>
        <v>1</v>
      </c>
      <c r="BH125" s="3">
        <f>IFERROR(__xludf.DUMMYFUNCTION("""COMPUTED_VALUE"""),1.0)</f>
        <v>1</v>
      </c>
      <c r="BI125" s="3">
        <f>IFERROR(__xludf.DUMMYFUNCTION("""COMPUTED_VALUE"""),1.0)</f>
        <v>1</v>
      </c>
      <c r="BJ125" s="3">
        <f>IFERROR(__xludf.DUMMYFUNCTION("""COMPUTED_VALUE"""),1.0)</f>
        <v>1</v>
      </c>
      <c r="BK125" s="3">
        <f>IFERROR(__xludf.DUMMYFUNCTION("""COMPUTED_VALUE"""),1.0)</f>
        <v>1</v>
      </c>
      <c r="BL125" s="3">
        <f>IFERROR(__xludf.DUMMYFUNCTION("""COMPUTED_VALUE"""),1.0)</f>
        <v>1</v>
      </c>
      <c r="BM125" s="3">
        <f>IFERROR(__xludf.DUMMYFUNCTION("""COMPUTED_VALUE"""),1.0)</f>
        <v>1</v>
      </c>
      <c r="BN125" s="3">
        <f>IFERROR(__xludf.DUMMYFUNCTION("""COMPUTED_VALUE"""),1.0)</f>
        <v>1</v>
      </c>
      <c r="BO125" s="3">
        <f>IFERROR(__xludf.DUMMYFUNCTION("""COMPUTED_VALUE"""),1.0)</f>
        <v>1</v>
      </c>
      <c r="BP125" s="3">
        <f>IFERROR(__xludf.DUMMYFUNCTION("""COMPUTED_VALUE"""),1.0)</f>
        <v>1</v>
      </c>
      <c r="BQ125" s="3">
        <f>IFERROR(__xludf.DUMMYFUNCTION("""COMPUTED_VALUE"""),1.0)</f>
        <v>1</v>
      </c>
      <c r="BR125" s="3">
        <f>IFERROR(__xludf.DUMMYFUNCTION("""COMPUTED_VALUE"""),1.0)</f>
        <v>1</v>
      </c>
      <c r="BS125" s="3">
        <f>IFERROR(__xludf.DUMMYFUNCTION("""COMPUTED_VALUE"""),1.0)</f>
        <v>1</v>
      </c>
      <c r="BT125" s="3">
        <f>IFERROR(__xludf.DUMMYFUNCTION("""COMPUTED_VALUE"""),1.0)</f>
        <v>1</v>
      </c>
      <c r="BU125" s="3">
        <f>IFERROR(__xludf.DUMMYFUNCTION("""COMPUTED_VALUE"""),1.0)</f>
        <v>1</v>
      </c>
      <c r="BV125" s="3">
        <f>IFERROR(__xludf.DUMMYFUNCTION("""COMPUTED_VALUE"""),1.0)</f>
        <v>1</v>
      </c>
      <c r="BW125" s="3">
        <f>IFERROR(__xludf.DUMMYFUNCTION("""COMPUTED_VALUE"""),1.0)</f>
        <v>1</v>
      </c>
      <c r="BX125" s="3">
        <f>IFERROR(__xludf.DUMMYFUNCTION("""COMPUTED_VALUE"""),1.0)</f>
        <v>1</v>
      </c>
      <c r="BY125" s="3">
        <f>IFERROR(__xludf.DUMMYFUNCTION("""COMPUTED_VALUE"""),1.0)</f>
        <v>1</v>
      </c>
      <c r="BZ125" s="3">
        <f>IFERROR(__xludf.DUMMYFUNCTION("""COMPUTED_VALUE"""),2.0)</f>
        <v>2</v>
      </c>
      <c r="CA125" s="3">
        <f>IFERROR(__xludf.DUMMYFUNCTION("""COMPUTED_VALUE"""),2.0)</f>
        <v>2</v>
      </c>
      <c r="CB125" s="3">
        <f>IFERROR(__xludf.DUMMYFUNCTION("""COMPUTED_VALUE"""),3.0)</f>
        <v>3</v>
      </c>
    </row>
    <row r="126">
      <c r="A126" s="3" t="str">
        <f>IFERROR(__xludf.DUMMYFUNCTION("""COMPUTED_VALUE"""),"")</f>
        <v/>
      </c>
      <c r="B126" s="3" t="str">
        <f>IFERROR(__xludf.DUMMYFUNCTION("""COMPUTED_VALUE"""),"Guinea")</f>
        <v>Guinea</v>
      </c>
      <c r="C126" s="3">
        <f>IFERROR(__xludf.DUMMYFUNCTION("""COMPUTED_VALUE"""),9.9456)</f>
        <v>9.9456</v>
      </c>
      <c r="D126" s="3">
        <f>IFERROR(__xludf.DUMMYFUNCTION("""COMPUTED_VALUE"""),-9.6966)</f>
        <v>-9.6966</v>
      </c>
      <c r="E126" s="3">
        <f>IFERROR(__xludf.DUMMYFUNCTION("""COMPUTED_VALUE"""),0.0)</f>
        <v>0</v>
      </c>
      <c r="F126" s="3">
        <f>IFERROR(__xludf.DUMMYFUNCTION("""COMPUTED_VALUE"""),0.0)</f>
        <v>0</v>
      </c>
      <c r="G126" s="3">
        <f>IFERROR(__xludf.DUMMYFUNCTION("""COMPUTED_VALUE"""),0.0)</f>
        <v>0</v>
      </c>
      <c r="H126" s="3">
        <f>IFERROR(__xludf.DUMMYFUNCTION("""COMPUTED_VALUE"""),0.0)</f>
        <v>0</v>
      </c>
      <c r="I126" s="3">
        <f>IFERROR(__xludf.DUMMYFUNCTION("""COMPUTED_VALUE"""),0.0)</f>
        <v>0</v>
      </c>
      <c r="J126" s="3">
        <f>IFERROR(__xludf.DUMMYFUNCTION("""COMPUTED_VALUE"""),0.0)</f>
        <v>0</v>
      </c>
      <c r="K126" s="3">
        <f>IFERROR(__xludf.DUMMYFUNCTION("""COMPUTED_VALUE"""),0.0)</f>
        <v>0</v>
      </c>
      <c r="L126" s="3">
        <f>IFERROR(__xludf.DUMMYFUNCTION("""COMPUTED_VALUE"""),0.0)</f>
        <v>0</v>
      </c>
      <c r="M126" s="3">
        <f>IFERROR(__xludf.DUMMYFUNCTION("""COMPUTED_VALUE"""),0.0)</f>
        <v>0</v>
      </c>
      <c r="N126" s="3">
        <f>IFERROR(__xludf.DUMMYFUNCTION("""COMPUTED_VALUE"""),0.0)</f>
        <v>0</v>
      </c>
      <c r="O126" s="3">
        <f>IFERROR(__xludf.DUMMYFUNCTION("""COMPUTED_VALUE"""),0.0)</f>
        <v>0</v>
      </c>
      <c r="P126" s="3">
        <f>IFERROR(__xludf.DUMMYFUNCTION("""COMPUTED_VALUE"""),0.0)</f>
        <v>0</v>
      </c>
      <c r="Q126" s="3">
        <f>IFERROR(__xludf.DUMMYFUNCTION("""COMPUTED_VALUE"""),0.0)</f>
        <v>0</v>
      </c>
      <c r="R126" s="3">
        <f>IFERROR(__xludf.DUMMYFUNCTION("""COMPUTED_VALUE"""),0.0)</f>
        <v>0</v>
      </c>
      <c r="S126" s="3">
        <f>IFERROR(__xludf.DUMMYFUNCTION("""COMPUTED_VALUE"""),0.0)</f>
        <v>0</v>
      </c>
      <c r="T126" s="3">
        <f>IFERROR(__xludf.DUMMYFUNCTION("""COMPUTED_VALUE"""),0.0)</f>
        <v>0</v>
      </c>
      <c r="U126" s="3">
        <f>IFERROR(__xludf.DUMMYFUNCTION("""COMPUTED_VALUE"""),0.0)</f>
        <v>0</v>
      </c>
      <c r="V126" s="3">
        <f>IFERROR(__xludf.DUMMYFUNCTION("""COMPUTED_VALUE"""),0.0)</f>
        <v>0</v>
      </c>
      <c r="W126" s="3">
        <f>IFERROR(__xludf.DUMMYFUNCTION("""COMPUTED_VALUE"""),0.0)</f>
        <v>0</v>
      </c>
      <c r="X126" s="3">
        <f>IFERROR(__xludf.DUMMYFUNCTION("""COMPUTED_VALUE"""),0.0)</f>
        <v>0</v>
      </c>
      <c r="Y126" s="3">
        <f>IFERROR(__xludf.DUMMYFUNCTION("""COMPUTED_VALUE"""),0.0)</f>
        <v>0</v>
      </c>
      <c r="Z126" s="3">
        <f>IFERROR(__xludf.DUMMYFUNCTION("""COMPUTED_VALUE"""),0.0)</f>
        <v>0</v>
      </c>
      <c r="AA126" s="3">
        <f>IFERROR(__xludf.DUMMYFUNCTION("""COMPUTED_VALUE"""),0.0)</f>
        <v>0</v>
      </c>
      <c r="AB126" s="3">
        <f>IFERROR(__xludf.DUMMYFUNCTION("""COMPUTED_VALUE"""),0.0)</f>
        <v>0</v>
      </c>
      <c r="AC126" s="3">
        <f>IFERROR(__xludf.DUMMYFUNCTION("""COMPUTED_VALUE"""),0.0)</f>
        <v>0</v>
      </c>
      <c r="AD126" s="3">
        <f>IFERROR(__xludf.DUMMYFUNCTION("""COMPUTED_VALUE"""),0.0)</f>
        <v>0</v>
      </c>
      <c r="AE126" s="3">
        <f>IFERROR(__xludf.DUMMYFUNCTION("""COMPUTED_VALUE"""),0.0)</f>
        <v>0</v>
      </c>
      <c r="AF126" s="3">
        <f>IFERROR(__xludf.DUMMYFUNCTION("""COMPUTED_VALUE"""),0.0)</f>
        <v>0</v>
      </c>
      <c r="AG126" s="3">
        <f>IFERROR(__xludf.DUMMYFUNCTION("""COMPUTED_VALUE"""),0.0)</f>
        <v>0</v>
      </c>
      <c r="AH126" s="3">
        <f>IFERROR(__xludf.DUMMYFUNCTION("""COMPUTED_VALUE"""),0.0)</f>
        <v>0</v>
      </c>
      <c r="AI126" s="3">
        <f>IFERROR(__xludf.DUMMYFUNCTION("""COMPUTED_VALUE"""),0.0)</f>
        <v>0</v>
      </c>
      <c r="AJ126" s="3">
        <f>IFERROR(__xludf.DUMMYFUNCTION("""COMPUTED_VALUE"""),0.0)</f>
        <v>0</v>
      </c>
      <c r="AK126" s="3">
        <f>IFERROR(__xludf.DUMMYFUNCTION("""COMPUTED_VALUE"""),0.0)</f>
        <v>0</v>
      </c>
      <c r="AL126" s="3">
        <f>IFERROR(__xludf.DUMMYFUNCTION("""COMPUTED_VALUE"""),0.0)</f>
        <v>0</v>
      </c>
      <c r="AM126" s="3">
        <f>IFERROR(__xludf.DUMMYFUNCTION("""COMPUTED_VALUE"""),0.0)</f>
        <v>0</v>
      </c>
      <c r="AN126" s="3">
        <f>IFERROR(__xludf.DUMMYFUNCTION("""COMPUTED_VALUE"""),0.0)</f>
        <v>0</v>
      </c>
      <c r="AO126" s="3">
        <f>IFERROR(__xludf.DUMMYFUNCTION("""COMPUTED_VALUE"""),0.0)</f>
        <v>0</v>
      </c>
      <c r="AP126" s="3">
        <f>IFERROR(__xludf.DUMMYFUNCTION("""COMPUTED_VALUE"""),0.0)</f>
        <v>0</v>
      </c>
      <c r="AQ126" s="3">
        <f>IFERROR(__xludf.DUMMYFUNCTION("""COMPUTED_VALUE"""),0.0)</f>
        <v>0</v>
      </c>
      <c r="AR126" s="3">
        <f>IFERROR(__xludf.DUMMYFUNCTION("""COMPUTED_VALUE"""),0.0)</f>
        <v>0</v>
      </c>
      <c r="AS126" s="3">
        <f>IFERROR(__xludf.DUMMYFUNCTION("""COMPUTED_VALUE"""),0.0)</f>
        <v>0</v>
      </c>
      <c r="AT126" s="3">
        <f>IFERROR(__xludf.DUMMYFUNCTION("""COMPUTED_VALUE"""),0.0)</f>
        <v>0</v>
      </c>
      <c r="AU126" s="3">
        <f>IFERROR(__xludf.DUMMYFUNCTION("""COMPUTED_VALUE"""),0.0)</f>
        <v>0</v>
      </c>
      <c r="AV126" s="3">
        <f>IFERROR(__xludf.DUMMYFUNCTION("""COMPUTED_VALUE"""),0.0)</f>
        <v>0</v>
      </c>
      <c r="AW126" s="3">
        <f>IFERROR(__xludf.DUMMYFUNCTION("""COMPUTED_VALUE"""),0.0)</f>
        <v>0</v>
      </c>
      <c r="AX126" s="3">
        <f>IFERROR(__xludf.DUMMYFUNCTION("""COMPUTED_VALUE"""),0.0)</f>
        <v>0</v>
      </c>
      <c r="AY126" s="3">
        <f>IFERROR(__xludf.DUMMYFUNCTION("""COMPUTED_VALUE"""),0.0)</f>
        <v>0</v>
      </c>
      <c r="AZ126" s="3">
        <f>IFERROR(__xludf.DUMMYFUNCTION("""COMPUTED_VALUE"""),0.0)</f>
        <v>0</v>
      </c>
      <c r="BA126" s="3">
        <f>IFERROR(__xludf.DUMMYFUNCTION("""COMPUTED_VALUE"""),0.0)</f>
        <v>0</v>
      </c>
      <c r="BB126" s="3">
        <f>IFERROR(__xludf.DUMMYFUNCTION("""COMPUTED_VALUE"""),0.0)</f>
        <v>0</v>
      </c>
      <c r="BC126" s="3">
        <f>IFERROR(__xludf.DUMMYFUNCTION("""COMPUTED_VALUE"""),0.0)</f>
        <v>0</v>
      </c>
      <c r="BD126" s="3">
        <f>IFERROR(__xludf.DUMMYFUNCTION("""COMPUTED_VALUE"""),0.0)</f>
        <v>0</v>
      </c>
      <c r="BE126" s="3">
        <f>IFERROR(__xludf.DUMMYFUNCTION("""COMPUTED_VALUE"""),0.0)</f>
        <v>0</v>
      </c>
      <c r="BF126" s="3">
        <f>IFERROR(__xludf.DUMMYFUNCTION("""COMPUTED_VALUE"""),0.0)</f>
        <v>0</v>
      </c>
      <c r="BG126" s="3">
        <f>IFERROR(__xludf.DUMMYFUNCTION("""COMPUTED_VALUE"""),0.0)</f>
        <v>0</v>
      </c>
      <c r="BH126" s="3">
        <f>IFERROR(__xludf.DUMMYFUNCTION("""COMPUTED_VALUE"""),0.0)</f>
        <v>0</v>
      </c>
      <c r="BI126" s="3">
        <f>IFERROR(__xludf.DUMMYFUNCTION("""COMPUTED_VALUE"""),0.0)</f>
        <v>0</v>
      </c>
      <c r="BJ126" s="3">
        <f>IFERROR(__xludf.DUMMYFUNCTION("""COMPUTED_VALUE"""),0.0)</f>
        <v>0</v>
      </c>
      <c r="BK126" s="3">
        <f>IFERROR(__xludf.DUMMYFUNCTION("""COMPUTED_VALUE"""),0.0)</f>
        <v>0</v>
      </c>
      <c r="BL126" s="3">
        <f>IFERROR(__xludf.DUMMYFUNCTION("""COMPUTED_VALUE"""),0.0)</f>
        <v>0</v>
      </c>
      <c r="BM126" s="3">
        <f>IFERROR(__xludf.DUMMYFUNCTION("""COMPUTED_VALUE"""),0.0)</f>
        <v>0</v>
      </c>
      <c r="BN126" s="3">
        <f>IFERROR(__xludf.DUMMYFUNCTION("""COMPUTED_VALUE"""),0.0)</f>
        <v>0</v>
      </c>
      <c r="BO126" s="3">
        <f>IFERROR(__xludf.DUMMYFUNCTION("""COMPUTED_VALUE"""),0.0)</f>
        <v>0</v>
      </c>
      <c r="BP126" s="3">
        <f>IFERROR(__xludf.DUMMYFUNCTION("""COMPUTED_VALUE"""),0.0)</f>
        <v>0</v>
      </c>
      <c r="BQ126" s="3">
        <f>IFERROR(__xludf.DUMMYFUNCTION("""COMPUTED_VALUE"""),0.0)</f>
        <v>0</v>
      </c>
      <c r="BR126" s="3">
        <f>IFERROR(__xludf.DUMMYFUNCTION("""COMPUTED_VALUE"""),0.0)</f>
        <v>0</v>
      </c>
      <c r="BS126" s="3">
        <f>IFERROR(__xludf.DUMMYFUNCTION("""COMPUTED_VALUE"""),0.0)</f>
        <v>0</v>
      </c>
      <c r="BT126" s="3">
        <f>IFERROR(__xludf.DUMMYFUNCTION("""COMPUTED_VALUE"""),0.0)</f>
        <v>0</v>
      </c>
      <c r="BU126" s="3">
        <f>IFERROR(__xludf.DUMMYFUNCTION("""COMPUTED_VALUE"""),0.0)</f>
        <v>0</v>
      </c>
      <c r="BV126" s="3">
        <f>IFERROR(__xludf.DUMMYFUNCTION("""COMPUTED_VALUE"""),0.0)</f>
        <v>0</v>
      </c>
      <c r="BW126" s="3">
        <f>IFERROR(__xludf.DUMMYFUNCTION("""COMPUTED_VALUE"""),0.0)</f>
        <v>0</v>
      </c>
      <c r="BX126" s="3">
        <f>IFERROR(__xludf.DUMMYFUNCTION("""COMPUTED_VALUE"""),0.0)</f>
        <v>0</v>
      </c>
      <c r="BY126" s="3">
        <f>IFERROR(__xludf.DUMMYFUNCTION("""COMPUTED_VALUE"""),0.0)</f>
        <v>0</v>
      </c>
      <c r="BZ126" s="3">
        <f>IFERROR(__xludf.DUMMYFUNCTION("""COMPUTED_VALUE"""),0.0)</f>
        <v>0</v>
      </c>
      <c r="CA126" s="3">
        <f>IFERROR(__xludf.DUMMYFUNCTION("""COMPUTED_VALUE"""),0.0)</f>
        <v>0</v>
      </c>
      <c r="CB126" s="3">
        <f>IFERROR(__xludf.DUMMYFUNCTION("""COMPUTED_VALUE"""),0.0)</f>
        <v>0</v>
      </c>
    </row>
    <row r="127">
      <c r="A127" s="3" t="str">
        <f>IFERROR(__xludf.DUMMYFUNCTION("""COMPUTED_VALUE"""),"")</f>
        <v/>
      </c>
      <c r="B127" s="3" t="str">
        <f>IFERROR(__xludf.DUMMYFUNCTION("""COMPUTED_VALUE"""),"Guyana")</f>
        <v>Guyana</v>
      </c>
      <c r="C127" s="3">
        <f>IFERROR(__xludf.DUMMYFUNCTION("""COMPUTED_VALUE"""),5.0)</f>
        <v>5</v>
      </c>
      <c r="D127" s="3">
        <f>IFERROR(__xludf.DUMMYFUNCTION("""COMPUTED_VALUE"""),-58.75)</f>
        <v>-58.75</v>
      </c>
      <c r="E127" s="3">
        <f>IFERROR(__xludf.DUMMYFUNCTION("""COMPUTED_VALUE"""),0.0)</f>
        <v>0</v>
      </c>
      <c r="F127" s="3">
        <f>IFERROR(__xludf.DUMMYFUNCTION("""COMPUTED_VALUE"""),0.0)</f>
        <v>0</v>
      </c>
      <c r="G127" s="3">
        <f>IFERROR(__xludf.DUMMYFUNCTION("""COMPUTED_VALUE"""),0.0)</f>
        <v>0</v>
      </c>
      <c r="H127" s="3">
        <f>IFERROR(__xludf.DUMMYFUNCTION("""COMPUTED_VALUE"""),0.0)</f>
        <v>0</v>
      </c>
      <c r="I127" s="3">
        <f>IFERROR(__xludf.DUMMYFUNCTION("""COMPUTED_VALUE"""),0.0)</f>
        <v>0</v>
      </c>
      <c r="J127" s="3">
        <f>IFERROR(__xludf.DUMMYFUNCTION("""COMPUTED_VALUE"""),0.0)</f>
        <v>0</v>
      </c>
      <c r="K127" s="3">
        <f>IFERROR(__xludf.DUMMYFUNCTION("""COMPUTED_VALUE"""),0.0)</f>
        <v>0</v>
      </c>
      <c r="L127" s="3">
        <f>IFERROR(__xludf.DUMMYFUNCTION("""COMPUTED_VALUE"""),0.0)</f>
        <v>0</v>
      </c>
      <c r="M127" s="3">
        <f>IFERROR(__xludf.DUMMYFUNCTION("""COMPUTED_VALUE"""),0.0)</f>
        <v>0</v>
      </c>
      <c r="N127" s="3">
        <f>IFERROR(__xludf.DUMMYFUNCTION("""COMPUTED_VALUE"""),0.0)</f>
        <v>0</v>
      </c>
      <c r="O127" s="3">
        <f>IFERROR(__xludf.DUMMYFUNCTION("""COMPUTED_VALUE"""),0.0)</f>
        <v>0</v>
      </c>
      <c r="P127" s="3">
        <f>IFERROR(__xludf.DUMMYFUNCTION("""COMPUTED_VALUE"""),0.0)</f>
        <v>0</v>
      </c>
      <c r="Q127" s="3">
        <f>IFERROR(__xludf.DUMMYFUNCTION("""COMPUTED_VALUE"""),0.0)</f>
        <v>0</v>
      </c>
      <c r="R127" s="3">
        <f>IFERROR(__xludf.DUMMYFUNCTION("""COMPUTED_VALUE"""),0.0)</f>
        <v>0</v>
      </c>
      <c r="S127" s="3">
        <f>IFERROR(__xludf.DUMMYFUNCTION("""COMPUTED_VALUE"""),0.0)</f>
        <v>0</v>
      </c>
      <c r="T127" s="3">
        <f>IFERROR(__xludf.DUMMYFUNCTION("""COMPUTED_VALUE"""),0.0)</f>
        <v>0</v>
      </c>
      <c r="U127" s="3">
        <f>IFERROR(__xludf.DUMMYFUNCTION("""COMPUTED_VALUE"""),0.0)</f>
        <v>0</v>
      </c>
      <c r="V127" s="3">
        <f>IFERROR(__xludf.DUMMYFUNCTION("""COMPUTED_VALUE"""),0.0)</f>
        <v>0</v>
      </c>
      <c r="W127" s="3">
        <f>IFERROR(__xludf.DUMMYFUNCTION("""COMPUTED_VALUE"""),0.0)</f>
        <v>0</v>
      </c>
      <c r="X127" s="3">
        <f>IFERROR(__xludf.DUMMYFUNCTION("""COMPUTED_VALUE"""),0.0)</f>
        <v>0</v>
      </c>
      <c r="Y127" s="3">
        <f>IFERROR(__xludf.DUMMYFUNCTION("""COMPUTED_VALUE"""),0.0)</f>
        <v>0</v>
      </c>
      <c r="Z127" s="3">
        <f>IFERROR(__xludf.DUMMYFUNCTION("""COMPUTED_VALUE"""),0.0)</f>
        <v>0</v>
      </c>
      <c r="AA127" s="3">
        <f>IFERROR(__xludf.DUMMYFUNCTION("""COMPUTED_VALUE"""),0.0)</f>
        <v>0</v>
      </c>
      <c r="AB127" s="3">
        <f>IFERROR(__xludf.DUMMYFUNCTION("""COMPUTED_VALUE"""),0.0)</f>
        <v>0</v>
      </c>
      <c r="AC127" s="3">
        <f>IFERROR(__xludf.DUMMYFUNCTION("""COMPUTED_VALUE"""),0.0)</f>
        <v>0</v>
      </c>
      <c r="AD127" s="3">
        <f>IFERROR(__xludf.DUMMYFUNCTION("""COMPUTED_VALUE"""),0.0)</f>
        <v>0</v>
      </c>
      <c r="AE127" s="3">
        <f>IFERROR(__xludf.DUMMYFUNCTION("""COMPUTED_VALUE"""),0.0)</f>
        <v>0</v>
      </c>
      <c r="AF127" s="3">
        <f>IFERROR(__xludf.DUMMYFUNCTION("""COMPUTED_VALUE"""),0.0)</f>
        <v>0</v>
      </c>
      <c r="AG127" s="3">
        <f>IFERROR(__xludf.DUMMYFUNCTION("""COMPUTED_VALUE"""),0.0)</f>
        <v>0</v>
      </c>
      <c r="AH127" s="3">
        <f>IFERROR(__xludf.DUMMYFUNCTION("""COMPUTED_VALUE"""),0.0)</f>
        <v>0</v>
      </c>
      <c r="AI127" s="3">
        <f>IFERROR(__xludf.DUMMYFUNCTION("""COMPUTED_VALUE"""),0.0)</f>
        <v>0</v>
      </c>
      <c r="AJ127" s="3">
        <f>IFERROR(__xludf.DUMMYFUNCTION("""COMPUTED_VALUE"""),0.0)</f>
        <v>0</v>
      </c>
      <c r="AK127" s="3">
        <f>IFERROR(__xludf.DUMMYFUNCTION("""COMPUTED_VALUE"""),0.0)</f>
        <v>0</v>
      </c>
      <c r="AL127" s="3">
        <f>IFERROR(__xludf.DUMMYFUNCTION("""COMPUTED_VALUE"""),0.0)</f>
        <v>0</v>
      </c>
      <c r="AM127" s="3">
        <f>IFERROR(__xludf.DUMMYFUNCTION("""COMPUTED_VALUE"""),0.0)</f>
        <v>0</v>
      </c>
      <c r="AN127" s="3">
        <f>IFERROR(__xludf.DUMMYFUNCTION("""COMPUTED_VALUE"""),0.0)</f>
        <v>0</v>
      </c>
      <c r="AO127" s="3">
        <f>IFERROR(__xludf.DUMMYFUNCTION("""COMPUTED_VALUE"""),0.0)</f>
        <v>0</v>
      </c>
      <c r="AP127" s="3">
        <f>IFERROR(__xludf.DUMMYFUNCTION("""COMPUTED_VALUE"""),0.0)</f>
        <v>0</v>
      </c>
      <c r="AQ127" s="3">
        <f>IFERROR(__xludf.DUMMYFUNCTION("""COMPUTED_VALUE"""),0.0)</f>
        <v>0</v>
      </c>
      <c r="AR127" s="3">
        <f>IFERROR(__xludf.DUMMYFUNCTION("""COMPUTED_VALUE"""),0.0)</f>
        <v>0</v>
      </c>
      <c r="AS127" s="3">
        <f>IFERROR(__xludf.DUMMYFUNCTION("""COMPUTED_VALUE"""),0.0)</f>
        <v>0</v>
      </c>
      <c r="AT127" s="3">
        <f>IFERROR(__xludf.DUMMYFUNCTION("""COMPUTED_VALUE"""),0.0)</f>
        <v>0</v>
      </c>
      <c r="AU127" s="3">
        <f>IFERROR(__xludf.DUMMYFUNCTION("""COMPUTED_VALUE"""),0.0)</f>
        <v>0</v>
      </c>
      <c r="AV127" s="3">
        <f>IFERROR(__xludf.DUMMYFUNCTION("""COMPUTED_VALUE"""),0.0)</f>
        <v>0</v>
      </c>
      <c r="AW127" s="3">
        <f>IFERROR(__xludf.DUMMYFUNCTION("""COMPUTED_VALUE"""),0.0)</f>
        <v>0</v>
      </c>
      <c r="AX127" s="3">
        <f>IFERROR(__xludf.DUMMYFUNCTION("""COMPUTED_VALUE"""),0.0)</f>
        <v>0</v>
      </c>
      <c r="AY127" s="3">
        <f>IFERROR(__xludf.DUMMYFUNCTION("""COMPUTED_VALUE"""),0.0)</f>
        <v>0</v>
      </c>
      <c r="AZ127" s="3">
        <f>IFERROR(__xludf.DUMMYFUNCTION("""COMPUTED_VALUE"""),0.0)</f>
        <v>0</v>
      </c>
      <c r="BA127" s="3">
        <f>IFERROR(__xludf.DUMMYFUNCTION("""COMPUTED_VALUE"""),0.0)</f>
        <v>0</v>
      </c>
      <c r="BB127" s="3">
        <f>IFERROR(__xludf.DUMMYFUNCTION("""COMPUTED_VALUE"""),0.0)</f>
        <v>0</v>
      </c>
      <c r="BC127" s="3">
        <f>IFERROR(__xludf.DUMMYFUNCTION("""COMPUTED_VALUE"""),1.0)</f>
        <v>1</v>
      </c>
      <c r="BD127" s="3">
        <f>IFERROR(__xludf.DUMMYFUNCTION("""COMPUTED_VALUE"""),1.0)</f>
        <v>1</v>
      </c>
      <c r="BE127" s="3">
        <f>IFERROR(__xludf.DUMMYFUNCTION("""COMPUTED_VALUE"""),1.0)</f>
        <v>1</v>
      </c>
      <c r="BF127" s="3">
        <f>IFERROR(__xludf.DUMMYFUNCTION("""COMPUTED_VALUE"""),1.0)</f>
        <v>1</v>
      </c>
      <c r="BG127" s="3">
        <f>IFERROR(__xludf.DUMMYFUNCTION("""COMPUTED_VALUE"""),1.0)</f>
        <v>1</v>
      </c>
      <c r="BH127" s="3">
        <f>IFERROR(__xludf.DUMMYFUNCTION("""COMPUTED_VALUE"""),1.0)</f>
        <v>1</v>
      </c>
      <c r="BI127" s="3">
        <f>IFERROR(__xludf.DUMMYFUNCTION("""COMPUTED_VALUE"""),1.0)</f>
        <v>1</v>
      </c>
      <c r="BJ127" s="3">
        <f>IFERROR(__xludf.DUMMYFUNCTION("""COMPUTED_VALUE"""),1.0)</f>
        <v>1</v>
      </c>
      <c r="BK127" s="3">
        <f>IFERROR(__xludf.DUMMYFUNCTION("""COMPUTED_VALUE"""),1.0)</f>
        <v>1</v>
      </c>
      <c r="BL127" s="3">
        <f>IFERROR(__xludf.DUMMYFUNCTION("""COMPUTED_VALUE"""),1.0)</f>
        <v>1</v>
      </c>
      <c r="BM127" s="3">
        <f>IFERROR(__xludf.DUMMYFUNCTION("""COMPUTED_VALUE"""),1.0)</f>
        <v>1</v>
      </c>
      <c r="BN127" s="3">
        <f>IFERROR(__xludf.DUMMYFUNCTION("""COMPUTED_VALUE"""),1.0)</f>
        <v>1</v>
      </c>
      <c r="BO127" s="3">
        <f>IFERROR(__xludf.DUMMYFUNCTION("""COMPUTED_VALUE"""),1.0)</f>
        <v>1</v>
      </c>
      <c r="BP127" s="3">
        <f>IFERROR(__xludf.DUMMYFUNCTION("""COMPUTED_VALUE"""),1.0)</f>
        <v>1</v>
      </c>
      <c r="BQ127" s="3">
        <f>IFERROR(__xludf.DUMMYFUNCTION("""COMPUTED_VALUE"""),1.0)</f>
        <v>1</v>
      </c>
      <c r="BR127" s="3">
        <f>IFERROR(__xludf.DUMMYFUNCTION("""COMPUTED_VALUE"""),1.0)</f>
        <v>1</v>
      </c>
      <c r="BS127" s="3">
        <f>IFERROR(__xludf.DUMMYFUNCTION("""COMPUTED_VALUE"""),1.0)</f>
        <v>1</v>
      </c>
      <c r="BT127" s="3">
        <f>IFERROR(__xludf.DUMMYFUNCTION("""COMPUTED_VALUE"""),1.0)</f>
        <v>1</v>
      </c>
      <c r="BU127" s="3">
        <f>IFERROR(__xludf.DUMMYFUNCTION("""COMPUTED_VALUE"""),1.0)</f>
        <v>1</v>
      </c>
      <c r="BV127" s="3">
        <f>IFERROR(__xludf.DUMMYFUNCTION("""COMPUTED_VALUE"""),2.0)</f>
        <v>2</v>
      </c>
      <c r="BW127" s="3">
        <f>IFERROR(__xludf.DUMMYFUNCTION("""COMPUTED_VALUE"""),2.0)</f>
        <v>2</v>
      </c>
      <c r="BX127" s="3">
        <f>IFERROR(__xludf.DUMMYFUNCTION("""COMPUTED_VALUE"""),4.0)</f>
        <v>4</v>
      </c>
      <c r="BY127" s="3">
        <f>IFERROR(__xludf.DUMMYFUNCTION("""COMPUTED_VALUE"""),4.0)</f>
        <v>4</v>
      </c>
      <c r="BZ127" s="3">
        <f>IFERROR(__xludf.DUMMYFUNCTION("""COMPUTED_VALUE"""),4.0)</f>
        <v>4</v>
      </c>
      <c r="CA127" s="3">
        <f>IFERROR(__xludf.DUMMYFUNCTION("""COMPUTED_VALUE"""),4.0)</f>
        <v>4</v>
      </c>
      <c r="CB127" s="3">
        <f>IFERROR(__xludf.DUMMYFUNCTION("""COMPUTED_VALUE"""),4.0)</f>
        <v>4</v>
      </c>
    </row>
    <row r="128">
      <c r="A128" s="3" t="str">
        <f>IFERROR(__xludf.DUMMYFUNCTION("""COMPUTED_VALUE"""),"")</f>
        <v/>
      </c>
      <c r="B128" s="3" t="str">
        <f>IFERROR(__xludf.DUMMYFUNCTION("""COMPUTED_VALUE"""),"Haiti")</f>
        <v>Haiti</v>
      </c>
      <c r="C128" s="3">
        <f>IFERROR(__xludf.DUMMYFUNCTION("""COMPUTED_VALUE"""),18.9712)</f>
        <v>18.9712</v>
      </c>
      <c r="D128" s="3">
        <f>IFERROR(__xludf.DUMMYFUNCTION("""COMPUTED_VALUE"""),-72.2852)</f>
        <v>-72.2852</v>
      </c>
      <c r="E128" s="3">
        <f>IFERROR(__xludf.DUMMYFUNCTION("""COMPUTED_VALUE"""),0.0)</f>
        <v>0</v>
      </c>
      <c r="F128" s="3">
        <f>IFERROR(__xludf.DUMMYFUNCTION("""COMPUTED_VALUE"""),0.0)</f>
        <v>0</v>
      </c>
      <c r="G128" s="3">
        <f>IFERROR(__xludf.DUMMYFUNCTION("""COMPUTED_VALUE"""),0.0)</f>
        <v>0</v>
      </c>
      <c r="H128" s="3">
        <f>IFERROR(__xludf.DUMMYFUNCTION("""COMPUTED_VALUE"""),0.0)</f>
        <v>0</v>
      </c>
      <c r="I128" s="3">
        <f>IFERROR(__xludf.DUMMYFUNCTION("""COMPUTED_VALUE"""),0.0)</f>
        <v>0</v>
      </c>
      <c r="J128" s="3">
        <f>IFERROR(__xludf.DUMMYFUNCTION("""COMPUTED_VALUE"""),0.0)</f>
        <v>0</v>
      </c>
      <c r="K128" s="3">
        <f>IFERROR(__xludf.DUMMYFUNCTION("""COMPUTED_VALUE"""),0.0)</f>
        <v>0</v>
      </c>
      <c r="L128" s="3">
        <f>IFERROR(__xludf.DUMMYFUNCTION("""COMPUTED_VALUE"""),0.0)</f>
        <v>0</v>
      </c>
      <c r="M128" s="3">
        <f>IFERROR(__xludf.DUMMYFUNCTION("""COMPUTED_VALUE"""),0.0)</f>
        <v>0</v>
      </c>
      <c r="N128" s="3">
        <f>IFERROR(__xludf.DUMMYFUNCTION("""COMPUTED_VALUE"""),0.0)</f>
        <v>0</v>
      </c>
      <c r="O128" s="3">
        <f>IFERROR(__xludf.DUMMYFUNCTION("""COMPUTED_VALUE"""),0.0)</f>
        <v>0</v>
      </c>
      <c r="P128" s="3">
        <f>IFERROR(__xludf.DUMMYFUNCTION("""COMPUTED_VALUE"""),0.0)</f>
        <v>0</v>
      </c>
      <c r="Q128" s="3">
        <f>IFERROR(__xludf.DUMMYFUNCTION("""COMPUTED_VALUE"""),0.0)</f>
        <v>0</v>
      </c>
      <c r="R128" s="3">
        <f>IFERROR(__xludf.DUMMYFUNCTION("""COMPUTED_VALUE"""),0.0)</f>
        <v>0</v>
      </c>
      <c r="S128" s="3">
        <f>IFERROR(__xludf.DUMMYFUNCTION("""COMPUTED_VALUE"""),0.0)</f>
        <v>0</v>
      </c>
      <c r="T128" s="3">
        <f>IFERROR(__xludf.DUMMYFUNCTION("""COMPUTED_VALUE"""),0.0)</f>
        <v>0</v>
      </c>
      <c r="U128" s="3">
        <f>IFERROR(__xludf.DUMMYFUNCTION("""COMPUTED_VALUE"""),0.0)</f>
        <v>0</v>
      </c>
      <c r="V128" s="3">
        <f>IFERROR(__xludf.DUMMYFUNCTION("""COMPUTED_VALUE"""),0.0)</f>
        <v>0</v>
      </c>
      <c r="W128" s="3">
        <f>IFERROR(__xludf.DUMMYFUNCTION("""COMPUTED_VALUE"""),0.0)</f>
        <v>0</v>
      </c>
      <c r="X128" s="3">
        <f>IFERROR(__xludf.DUMMYFUNCTION("""COMPUTED_VALUE"""),0.0)</f>
        <v>0</v>
      </c>
      <c r="Y128" s="3">
        <f>IFERROR(__xludf.DUMMYFUNCTION("""COMPUTED_VALUE"""),0.0)</f>
        <v>0</v>
      </c>
      <c r="Z128" s="3">
        <f>IFERROR(__xludf.DUMMYFUNCTION("""COMPUTED_VALUE"""),0.0)</f>
        <v>0</v>
      </c>
      <c r="AA128" s="3">
        <f>IFERROR(__xludf.DUMMYFUNCTION("""COMPUTED_VALUE"""),0.0)</f>
        <v>0</v>
      </c>
      <c r="AB128" s="3">
        <f>IFERROR(__xludf.DUMMYFUNCTION("""COMPUTED_VALUE"""),0.0)</f>
        <v>0</v>
      </c>
      <c r="AC128" s="3">
        <f>IFERROR(__xludf.DUMMYFUNCTION("""COMPUTED_VALUE"""),0.0)</f>
        <v>0</v>
      </c>
      <c r="AD128" s="3">
        <f>IFERROR(__xludf.DUMMYFUNCTION("""COMPUTED_VALUE"""),0.0)</f>
        <v>0</v>
      </c>
      <c r="AE128" s="3">
        <f>IFERROR(__xludf.DUMMYFUNCTION("""COMPUTED_VALUE"""),0.0)</f>
        <v>0</v>
      </c>
      <c r="AF128" s="3">
        <f>IFERROR(__xludf.DUMMYFUNCTION("""COMPUTED_VALUE"""),0.0)</f>
        <v>0</v>
      </c>
      <c r="AG128" s="3">
        <f>IFERROR(__xludf.DUMMYFUNCTION("""COMPUTED_VALUE"""),0.0)</f>
        <v>0</v>
      </c>
      <c r="AH128" s="3">
        <f>IFERROR(__xludf.DUMMYFUNCTION("""COMPUTED_VALUE"""),0.0)</f>
        <v>0</v>
      </c>
      <c r="AI128" s="3">
        <f>IFERROR(__xludf.DUMMYFUNCTION("""COMPUTED_VALUE"""),0.0)</f>
        <v>0</v>
      </c>
      <c r="AJ128" s="3">
        <f>IFERROR(__xludf.DUMMYFUNCTION("""COMPUTED_VALUE"""),0.0)</f>
        <v>0</v>
      </c>
      <c r="AK128" s="3">
        <f>IFERROR(__xludf.DUMMYFUNCTION("""COMPUTED_VALUE"""),0.0)</f>
        <v>0</v>
      </c>
      <c r="AL128" s="3">
        <f>IFERROR(__xludf.DUMMYFUNCTION("""COMPUTED_VALUE"""),0.0)</f>
        <v>0</v>
      </c>
      <c r="AM128" s="3">
        <f>IFERROR(__xludf.DUMMYFUNCTION("""COMPUTED_VALUE"""),0.0)</f>
        <v>0</v>
      </c>
      <c r="AN128" s="3">
        <f>IFERROR(__xludf.DUMMYFUNCTION("""COMPUTED_VALUE"""),0.0)</f>
        <v>0</v>
      </c>
      <c r="AO128" s="3">
        <f>IFERROR(__xludf.DUMMYFUNCTION("""COMPUTED_VALUE"""),0.0)</f>
        <v>0</v>
      </c>
      <c r="AP128" s="3">
        <f>IFERROR(__xludf.DUMMYFUNCTION("""COMPUTED_VALUE"""),0.0)</f>
        <v>0</v>
      </c>
      <c r="AQ128" s="3">
        <f>IFERROR(__xludf.DUMMYFUNCTION("""COMPUTED_VALUE"""),0.0)</f>
        <v>0</v>
      </c>
      <c r="AR128" s="3">
        <f>IFERROR(__xludf.DUMMYFUNCTION("""COMPUTED_VALUE"""),0.0)</f>
        <v>0</v>
      </c>
      <c r="AS128" s="3">
        <f>IFERROR(__xludf.DUMMYFUNCTION("""COMPUTED_VALUE"""),0.0)</f>
        <v>0</v>
      </c>
      <c r="AT128" s="3">
        <f>IFERROR(__xludf.DUMMYFUNCTION("""COMPUTED_VALUE"""),0.0)</f>
        <v>0</v>
      </c>
      <c r="AU128" s="3">
        <f>IFERROR(__xludf.DUMMYFUNCTION("""COMPUTED_VALUE"""),0.0)</f>
        <v>0</v>
      </c>
      <c r="AV128" s="3">
        <f>IFERROR(__xludf.DUMMYFUNCTION("""COMPUTED_VALUE"""),0.0)</f>
        <v>0</v>
      </c>
      <c r="AW128" s="3">
        <f>IFERROR(__xludf.DUMMYFUNCTION("""COMPUTED_VALUE"""),0.0)</f>
        <v>0</v>
      </c>
      <c r="AX128" s="3">
        <f>IFERROR(__xludf.DUMMYFUNCTION("""COMPUTED_VALUE"""),0.0)</f>
        <v>0</v>
      </c>
      <c r="AY128" s="3">
        <f>IFERROR(__xludf.DUMMYFUNCTION("""COMPUTED_VALUE"""),0.0)</f>
        <v>0</v>
      </c>
      <c r="AZ128" s="3">
        <f>IFERROR(__xludf.DUMMYFUNCTION("""COMPUTED_VALUE"""),0.0)</f>
        <v>0</v>
      </c>
      <c r="BA128" s="3">
        <f>IFERROR(__xludf.DUMMYFUNCTION("""COMPUTED_VALUE"""),0.0)</f>
        <v>0</v>
      </c>
      <c r="BB128" s="3">
        <f>IFERROR(__xludf.DUMMYFUNCTION("""COMPUTED_VALUE"""),0.0)</f>
        <v>0</v>
      </c>
      <c r="BC128" s="3">
        <f>IFERROR(__xludf.DUMMYFUNCTION("""COMPUTED_VALUE"""),0.0)</f>
        <v>0</v>
      </c>
      <c r="BD128" s="3">
        <f>IFERROR(__xludf.DUMMYFUNCTION("""COMPUTED_VALUE"""),0.0)</f>
        <v>0</v>
      </c>
      <c r="BE128" s="3">
        <f>IFERROR(__xludf.DUMMYFUNCTION("""COMPUTED_VALUE"""),0.0)</f>
        <v>0</v>
      </c>
      <c r="BF128" s="3">
        <f>IFERROR(__xludf.DUMMYFUNCTION("""COMPUTED_VALUE"""),0.0)</f>
        <v>0</v>
      </c>
      <c r="BG128" s="3">
        <f>IFERROR(__xludf.DUMMYFUNCTION("""COMPUTED_VALUE"""),0.0)</f>
        <v>0</v>
      </c>
      <c r="BH128" s="3">
        <f>IFERROR(__xludf.DUMMYFUNCTION("""COMPUTED_VALUE"""),0.0)</f>
        <v>0</v>
      </c>
      <c r="BI128" s="3">
        <f>IFERROR(__xludf.DUMMYFUNCTION("""COMPUTED_VALUE"""),0.0)</f>
        <v>0</v>
      </c>
      <c r="BJ128" s="3">
        <f>IFERROR(__xludf.DUMMYFUNCTION("""COMPUTED_VALUE"""),0.0)</f>
        <v>0</v>
      </c>
      <c r="BK128" s="3">
        <f>IFERROR(__xludf.DUMMYFUNCTION("""COMPUTED_VALUE"""),0.0)</f>
        <v>0</v>
      </c>
      <c r="BL128" s="3">
        <f>IFERROR(__xludf.DUMMYFUNCTION("""COMPUTED_VALUE"""),0.0)</f>
        <v>0</v>
      </c>
      <c r="BM128" s="3">
        <f>IFERROR(__xludf.DUMMYFUNCTION("""COMPUTED_VALUE"""),0.0)</f>
        <v>0</v>
      </c>
      <c r="BN128" s="3">
        <f>IFERROR(__xludf.DUMMYFUNCTION("""COMPUTED_VALUE"""),0.0)</f>
        <v>0</v>
      </c>
      <c r="BO128" s="3">
        <f>IFERROR(__xludf.DUMMYFUNCTION("""COMPUTED_VALUE"""),0.0)</f>
        <v>0</v>
      </c>
      <c r="BP128" s="3">
        <f>IFERROR(__xludf.DUMMYFUNCTION("""COMPUTED_VALUE"""),0.0)</f>
        <v>0</v>
      </c>
      <c r="BQ128" s="3">
        <f>IFERROR(__xludf.DUMMYFUNCTION("""COMPUTED_VALUE"""),0.0)</f>
        <v>0</v>
      </c>
      <c r="BR128" s="3">
        <f>IFERROR(__xludf.DUMMYFUNCTION("""COMPUTED_VALUE"""),0.0)</f>
        <v>0</v>
      </c>
      <c r="BS128" s="3">
        <f>IFERROR(__xludf.DUMMYFUNCTION("""COMPUTED_VALUE"""),0.0)</f>
        <v>0</v>
      </c>
      <c r="BT128" s="3">
        <f>IFERROR(__xludf.DUMMYFUNCTION("""COMPUTED_VALUE"""),0.0)</f>
        <v>0</v>
      </c>
      <c r="BU128" s="3">
        <f>IFERROR(__xludf.DUMMYFUNCTION("""COMPUTED_VALUE"""),0.0)</f>
        <v>0</v>
      </c>
      <c r="BV128" s="3">
        <f>IFERROR(__xludf.DUMMYFUNCTION("""COMPUTED_VALUE"""),0.0)</f>
        <v>0</v>
      </c>
      <c r="BW128" s="3">
        <f>IFERROR(__xludf.DUMMYFUNCTION("""COMPUTED_VALUE"""),0.0)</f>
        <v>0</v>
      </c>
      <c r="BX128" s="3">
        <f>IFERROR(__xludf.DUMMYFUNCTION("""COMPUTED_VALUE"""),0.0)</f>
        <v>0</v>
      </c>
      <c r="BY128" s="3">
        <f>IFERROR(__xludf.DUMMYFUNCTION("""COMPUTED_VALUE"""),0.0)</f>
        <v>0</v>
      </c>
      <c r="BZ128" s="3">
        <f>IFERROR(__xludf.DUMMYFUNCTION("""COMPUTED_VALUE"""),0.0)</f>
        <v>0</v>
      </c>
      <c r="CA128" s="3">
        <f>IFERROR(__xludf.DUMMYFUNCTION("""COMPUTED_VALUE"""),1.0)</f>
        <v>1</v>
      </c>
      <c r="CB128" s="3">
        <f>IFERROR(__xludf.DUMMYFUNCTION("""COMPUTED_VALUE"""),1.0)</f>
        <v>1</v>
      </c>
    </row>
    <row r="129">
      <c r="A129" s="3" t="str">
        <f>IFERROR(__xludf.DUMMYFUNCTION("""COMPUTED_VALUE"""),"")</f>
        <v/>
      </c>
      <c r="B129" s="3" t="str">
        <f>IFERROR(__xludf.DUMMYFUNCTION("""COMPUTED_VALUE"""),"Holy See")</f>
        <v>Holy See</v>
      </c>
      <c r="C129" s="3">
        <f>IFERROR(__xludf.DUMMYFUNCTION("""COMPUTED_VALUE"""),41.9029)</f>
        <v>41.9029</v>
      </c>
      <c r="D129" s="3">
        <f>IFERROR(__xludf.DUMMYFUNCTION("""COMPUTED_VALUE"""),12.4534)</f>
        <v>12.4534</v>
      </c>
      <c r="E129" s="3">
        <f>IFERROR(__xludf.DUMMYFUNCTION("""COMPUTED_VALUE"""),0.0)</f>
        <v>0</v>
      </c>
      <c r="F129" s="3">
        <f>IFERROR(__xludf.DUMMYFUNCTION("""COMPUTED_VALUE"""),0.0)</f>
        <v>0</v>
      </c>
      <c r="G129" s="3">
        <f>IFERROR(__xludf.DUMMYFUNCTION("""COMPUTED_VALUE"""),0.0)</f>
        <v>0</v>
      </c>
      <c r="H129" s="3">
        <f>IFERROR(__xludf.DUMMYFUNCTION("""COMPUTED_VALUE"""),0.0)</f>
        <v>0</v>
      </c>
      <c r="I129" s="3">
        <f>IFERROR(__xludf.DUMMYFUNCTION("""COMPUTED_VALUE"""),0.0)</f>
        <v>0</v>
      </c>
      <c r="J129" s="3">
        <f>IFERROR(__xludf.DUMMYFUNCTION("""COMPUTED_VALUE"""),0.0)</f>
        <v>0</v>
      </c>
      <c r="K129" s="3">
        <f>IFERROR(__xludf.DUMMYFUNCTION("""COMPUTED_VALUE"""),0.0)</f>
        <v>0</v>
      </c>
      <c r="L129" s="3">
        <f>IFERROR(__xludf.DUMMYFUNCTION("""COMPUTED_VALUE"""),0.0)</f>
        <v>0</v>
      </c>
      <c r="M129" s="3">
        <f>IFERROR(__xludf.DUMMYFUNCTION("""COMPUTED_VALUE"""),0.0)</f>
        <v>0</v>
      </c>
      <c r="N129" s="3">
        <f>IFERROR(__xludf.DUMMYFUNCTION("""COMPUTED_VALUE"""),0.0)</f>
        <v>0</v>
      </c>
      <c r="O129" s="3">
        <f>IFERROR(__xludf.DUMMYFUNCTION("""COMPUTED_VALUE"""),0.0)</f>
        <v>0</v>
      </c>
      <c r="P129" s="3">
        <f>IFERROR(__xludf.DUMMYFUNCTION("""COMPUTED_VALUE"""),0.0)</f>
        <v>0</v>
      </c>
      <c r="Q129" s="3">
        <f>IFERROR(__xludf.DUMMYFUNCTION("""COMPUTED_VALUE"""),0.0)</f>
        <v>0</v>
      </c>
      <c r="R129" s="3">
        <f>IFERROR(__xludf.DUMMYFUNCTION("""COMPUTED_VALUE"""),0.0)</f>
        <v>0</v>
      </c>
      <c r="S129" s="3">
        <f>IFERROR(__xludf.DUMMYFUNCTION("""COMPUTED_VALUE"""),0.0)</f>
        <v>0</v>
      </c>
      <c r="T129" s="3">
        <f>IFERROR(__xludf.DUMMYFUNCTION("""COMPUTED_VALUE"""),0.0)</f>
        <v>0</v>
      </c>
      <c r="U129" s="3">
        <f>IFERROR(__xludf.DUMMYFUNCTION("""COMPUTED_VALUE"""),0.0)</f>
        <v>0</v>
      </c>
      <c r="V129" s="3">
        <f>IFERROR(__xludf.DUMMYFUNCTION("""COMPUTED_VALUE"""),0.0)</f>
        <v>0</v>
      </c>
      <c r="W129" s="3">
        <f>IFERROR(__xludf.DUMMYFUNCTION("""COMPUTED_VALUE"""),0.0)</f>
        <v>0</v>
      </c>
      <c r="X129" s="3">
        <f>IFERROR(__xludf.DUMMYFUNCTION("""COMPUTED_VALUE"""),0.0)</f>
        <v>0</v>
      </c>
      <c r="Y129" s="3">
        <f>IFERROR(__xludf.DUMMYFUNCTION("""COMPUTED_VALUE"""),0.0)</f>
        <v>0</v>
      </c>
      <c r="Z129" s="3">
        <f>IFERROR(__xludf.DUMMYFUNCTION("""COMPUTED_VALUE"""),0.0)</f>
        <v>0</v>
      </c>
      <c r="AA129" s="3">
        <f>IFERROR(__xludf.DUMMYFUNCTION("""COMPUTED_VALUE"""),0.0)</f>
        <v>0</v>
      </c>
      <c r="AB129" s="3">
        <f>IFERROR(__xludf.DUMMYFUNCTION("""COMPUTED_VALUE"""),0.0)</f>
        <v>0</v>
      </c>
      <c r="AC129" s="3">
        <f>IFERROR(__xludf.DUMMYFUNCTION("""COMPUTED_VALUE"""),0.0)</f>
        <v>0</v>
      </c>
      <c r="AD129" s="3">
        <f>IFERROR(__xludf.DUMMYFUNCTION("""COMPUTED_VALUE"""),0.0)</f>
        <v>0</v>
      </c>
      <c r="AE129" s="3">
        <f>IFERROR(__xludf.DUMMYFUNCTION("""COMPUTED_VALUE"""),0.0)</f>
        <v>0</v>
      </c>
      <c r="AF129" s="3">
        <f>IFERROR(__xludf.DUMMYFUNCTION("""COMPUTED_VALUE"""),0.0)</f>
        <v>0</v>
      </c>
      <c r="AG129" s="3">
        <f>IFERROR(__xludf.DUMMYFUNCTION("""COMPUTED_VALUE"""),0.0)</f>
        <v>0</v>
      </c>
      <c r="AH129" s="3">
        <f>IFERROR(__xludf.DUMMYFUNCTION("""COMPUTED_VALUE"""),0.0)</f>
        <v>0</v>
      </c>
      <c r="AI129" s="3">
        <f>IFERROR(__xludf.DUMMYFUNCTION("""COMPUTED_VALUE"""),0.0)</f>
        <v>0</v>
      </c>
      <c r="AJ129" s="3">
        <f>IFERROR(__xludf.DUMMYFUNCTION("""COMPUTED_VALUE"""),0.0)</f>
        <v>0</v>
      </c>
      <c r="AK129" s="3">
        <f>IFERROR(__xludf.DUMMYFUNCTION("""COMPUTED_VALUE"""),0.0)</f>
        <v>0</v>
      </c>
      <c r="AL129" s="3">
        <f>IFERROR(__xludf.DUMMYFUNCTION("""COMPUTED_VALUE"""),0.0)</f>
        <v>0</v>
      </c>
      <c r="AM129" s="3">
        <f>IFERROR(__xludf.DUMMYFUNCTION("""COMPUTED_VALUE"""),0.0)</f>
        <v>0</v>
      </c>
      <c r="AN129" s="3">
        <f>IFERROR(__xludf.DUMMYFUNCTION("""COMPUTED_VALUE"""),0.0)</f>
        <v>0</v>
      </c>
      <c r="AO129" s="3">
        <f>IFERROR(__xludf.DUMMYFUNCTION("""COMPUTED_VALUE"""),0.0)</f>
        <v>0</v>
      </c>
      <c r="AP129" s="3">
        <f>IFERROR(__xludf.DUMMYFUNCTION("""COMPUTED_VALUE"""),0.0)</f>
        <v>0</v>
      </c>
      <c r="AQ129" s="3">
        <f>IFERROR(__xludf.DUMMYFUNCTION("""COMPUTED_VALUE"""),0.0)</f>
        <v>0</v>
      </c>
      <c r="AR129" s="3">
        <f>IFERROR(__xludf.DUMMYFUNCTION("""COMPUTED_VALUE"""),0.0)</f>
        <v>0</v>
      </c>
      <c r="AS129" s="3">
        <f>IFERROR(__xludf.DUMMYFUNCTION("""COMPUTED_VALUE"""),0.0)</f>
        <v>0</v>
      </c>
      <c r="AT129" s="3">
        <f>IFERROR(__xludf.DUMMYFUNCTION("""COMPUTED_VALUE"""),0.0)</f>
        <v>0</v>
      </c>
      <c r="AU129" s="3">
        <f>IFERROR(__xludf.DUMMYFUNCTION("""COMPUTED_VALUE"""),0.0)</f>
        <v>0</v>
      </c>
      <c r="AV129" s="3">
        <f>IFERROR(__xludf.DUMMYFUNCTION("""COMPUTED_VALUE"""),0.0)</f>
        <v>0</v>
      </c>
      <c r="AW129" s="3">
        <f>IFERROR(__xludf.DUMMYFUNCTION("""COMPUTED_VALUE"""),0.0)</f>
        <v>0</v>
      </c>
      <c r="AX129" s="3">
        <f>IFERROR(__xludf.DUMMYFUNCTION("""COMPUTED_VALUE"""),0.0)</f>
        <v>0</v>
      </c>
      <c r="AY129" s="3">
        <f>IFERROR(__xludf.DUMMYFUNCTION("""COMPUTED_VALUE"""),0.0)</f>
        <v>0</v>
      </c>
      <c r="AZ129" s="3">
        <f>IFERROR(__xludf.DUMMYFUNCTION("""COMPUTED_VALUE"""),0.0)</f>
        <v>0</v>
      </c>
      <c r="BA129" s="3">
        <f>IFERROR(__xludf.DUMMYFUNCTION("""COMPUTED_VALUE"""),0.0)</f>
        <v>0</v>
      </c>
      <c r="BB129" s="3">
        <f>IFERROR(__xludf.DUMMYFUNCTION("""COMPUTED_VALUE"""),0.0)</f>
        <v>0</v>
      </c>
      <c r="BC129" s="3">
        <f>IFERROR(__xludf.DUMMYFUNCTION("""COMPUTED_VALUE"""),0.0)</f>
        <v>0</v>
      </c>
      <c r="BD129" s="3">
        <f>IFERROR(__xludf.DUMMYFUNCTION("""COMPUTED_VALUE"""),0.0)</f>
        <v>0</v>
      </c>
      <c r="BE129" s="3">
        <f>IFERROR(__xludf.DUMMYFUNCTION("""COMPUTED_VALUE"""),0.0)</f>
        <v>0</v>
      </c>
      <c r="BF129" s="3">
        <f>IFERROR(__xludf.DUMMYFUNCTION("""COMPUTED_VALUE"""),0.0)</f>
        <v>0</v>
      </c>
      <c r="BG129" s="3">
        <f>IFERROR(__xludf.DUMMYFUNCTION("""COMPUTED_VALUE"""),0.0)</f>
        <v>0</v>
      </c>
      <c r="BH129" s="3">
        <f>IFERROR(__xludf.DUMMYFUNCTION("""COMPUTED_VALUE"""),0.0)</f>
        <v>0</v>
      </c>
      <c r="BI129" s="3">
        <f>IFERROR(__xludf.DUMMYFUNCTION("""COMPUTED_VALUE"""),0.0)</f>
        <v>0</v>
      </c>
      <c r="BJ129" s="3">
        <f>IFERROR(__xludf.DUMMYFUNCTION("""COMPUTED_VALUE"""),0.0)</f>
        <v>0</v>
      </c>
      <c r="BK129" s="3">
        <f>IFERROR(__xludf.DUMMYFUNCTION("""COMPUTED_VALUE"""),0.0)</f>
        <v>0</v>
      </c>
      <c r="BL129" s="3">
        <f>IFERROR(__xludf.DUMMYFUNCTION("""COMPUTED_VALUE"""),0.0)</f>
        <v>0</v>
      </c>
      <c r="BM129" s="3">
        <f>IFERROR(__xludf.DUMMYFUNCTION("""COMPUTED_VALUE"""),0.0)</f>
        <v>0</v>
      </c>
      <c r="BN129" s="3">
        <f>IFERROR(__xludf.DUMMYFUNCTION("""COMPUTED_VALUE"""),0.0)</f>
        <v>0</v>
      </c>
      <c r="BO129" s="3">
        <f>IFERROR(__xludf.DUMMYFUNCTION("""COMPUTED_VALUE"""),0.0)</f>
        <v>0</v>
      </c>
      <c r="BP129" s="3">
        <f>IFERROR(__xludf.DUMMYFUNCTION("""COMPUTED_VALUE"""),0.0)</f>
        <v>0</v>
      </c>
      <c r="BQ129" s="3">
        <f>IFERROR(__xludf.DUMMYFUNCTION("""COMPUTED_VALUE"""),0.0)</f>
        <v>0</v>
      </c>
      <c r="BR129" s="3">
        <f>IFERROR(__xludf.DUMMYFUNCTION("""COMPUTED_VALUE"""),0.0)</f>
        <v>0</v>
      </c>
      <c r="BS129" s="3">
        <f>IFERROR(__xludf.DUMMYFUNCTION("""COMPUTED_VALUE"""),0.0)</f>
        <v>0</v>
      </c>
      <c r="BT129" s="3">
        <f>IFERROR(__xludf.DUMMYFUNCTION("""COMPUTED_VALUE"""),0.0)</f>
        <v>0</v>
      </c>
      <c r="BU129" s="3">
        <f>IFERROR(__xludf.DUMMYFUNCTION("""COMPUTED_VALUE"""),0.0)</f>
        <v>0</v>
      </c>
      <c r="BV129" s="3">
        <f>IFERROR(__xludf.DUMMYFUNCTION("""COMPUTED_VALUE"""),0.0)</f>
        <v>0</v>
      </c>
      <c r="BW129" s="3">
        <f>IFERROR(__xludf.DUMMYFUNCTION("""COMPUTED_VALUE"""),0.0)</f>
        <v>0</v>
      </c>
      <c r="BX129" s="3">
        <f>IFERROR(__xludf.DUMMYFUNCTION("""COMPUTED_VALUE"""),0.0)</f>
        <v>0</v>
      </c>
      <c r="BY129" s="3">
        <f>IFERROR(__xludf.DUMMYFUNCTION("""COMPUTED_VALUE"""),0.0)</f>
        <v>0</v>
      </c>
      <c r="BZ129" s="3">
        <f>IFERROR(__xludf.DUMMYFUNCTION("""COMPUTED_VALUE"""),0.0)</f>
        <v>0</v>
      </c>
      <c r="CA129" s="3">
        <f>IFERROR(__xludf.DUMMYFUNCTION("""COMPUTED_VALUE"""),0.0)</f>
        <v>0</v>
      </c>
      <c r="CB129" s="3">
        <f>IFERROR(__xludf.DUMMYFUNCTION("""COMPUTED_VALUE"""),0.0)</f>
        <v>0</v>
      </c>
    </row>
    <row r="130">
      <c r="A130" s="3" t="str">
        <f>IFERROR(__xludf.DUMMYFUNCTION("""COMPUTED_VALUE"""),"")</f>
        <v/>
      </c>
      <c r="B130" s="3" t="str">
        <f>IFERROR(__xludf.DUMMYFUNCTION("""COMPUTED_VALUE"""),"Honduras")</f>
        <v>Honduras</v>
      </c>
      <c r="C130" s="3">
        <f>IFERROR(__xludf.DUMMYFUNCTION("""COMPUTED_VALUE"""),15.2)</f>
        <v>15.2</v>
      </c>
      <c r="D130" s="3">
        <f>IFERROR(__xludf.DUMMYFUNCTION("""COMPUTED_VALUE"""),-86.2419)</f>
        <v>-86.2419</v>
      </c>
      <c r="E130" s="3">
        <f>IFERROR(__xludf.DUMMYFUNCTION("""COMPUTED_VALUE"""),0.0)</f>
        <v>0</v>
      </c>
      <c r="F130" s="3">
        <f>IFERROR(__xludf.DUMMYFUNCTION("""COMPUTED_VALUE"""),0.0)</f>
        <v>0</v>
      </c>
      <c r="G130" s="3">
        <f>IFERROR(__xludf.DUMMYFUNCTION("""COMPUTED_VALUE"""),0.0)</f>
        <v>0</v>
      </c>
      <c r="H130" s="3">
        <f>IFERROR(__xludf.DUMMYFUNCTION("""COMPUTED_VALUE"""),0.0)</f>
        <v>0</v>
      </c>
      <c r="I130" s="3">
        <f>IFERROR(__xludf.DUMMYFUNCTION("""COMPUTED_VALUE"""),0.0)</f>
        <v>0</v>
      </c>
      <c r="J130" s="3">
        <f>IFERROR(__xludf.DUMMYFUNCTION("""COMPUTED_VALUE"""),0.0)</f>
        <v>0</v>
      </c>
      <c r="K130" s="3">
        <f>IFERROR(__xludf.DUMMYFUNCTION("""COMPUTED_VALUE"""),0.0)</f>
        <v>0</v>
      </c>
      <c r="L130" s="3">
        <f>IFERROR(__xludf.DUMMYFUNCTION("""COMPUTED_VALUE"""),0.0)</f>
        <v>0</v>
      </c>
      <c r="M130" s="3">
        <f>IFERROR(__xludf.DUMMYFUNCTION("""COMPUTED_VALUE"""),0.0)</f>
        <v>0</v>
      </c>
      <c r="N130" s="3">
        <f>IFERROR(__xludf.DUMMYFUNCTION("""COMPUTED_VALUE"""),0.0)</f>
        <v>0</v>
      </c>
      <c r="O130" s="3">
        <f>IFERROR(__xludf.DUMMYFUNCTION("""COMPUTED_VALUE"""),0.0)</f>
        <v>0</v>
      </c>
      <c r="P130" s="3">
        <f>IFERROR(__xludf.DUMMYFUNCTION("""COMPUTED_VALUE"""),0.0)</f>
        <v>0</v>
      </c>
      <c r="Q130" s="3">
        <f>IFERROR(__xludf.DUMMYFUNCTION("""COMPUTED_VALUE"""),0.0)</f>
        <v>0</v>
      </c>
      <c r="R130" s="3">
        <f>IFERROR(__xludf.DUMMYFUNCTION("""COMPUTED_VALUE"""),0.0)</f>
        <v>0</v>
      </c>
      <c r="S130" s="3">
        <f>IFERROR(__xludf.DUMMYFUNCTION("""COMPUTED_VALUE"""),0.0)</f>
        <v>0</v>
      </c>
      <c r="T130" s="3">
        <f>IFERROR(__xludf.DUMMYFUNCTION("""COMPUTED_VALUE"""),0.0)</f>
        <v>0</v>
      </c>
      <c r="U130" s="3">
        <f>IFERROR(__xludf.DUMMYFUNCTION("""COMPUTED_VALUE"""),0.0)</f>
        <v>0</v>
      </c>
      <c r="V130" s="3">
        <f>IFERROR(__xludf.DUMMYFUNCTION("""COMPUTED_VALUE"""),0.0)</f>
        <v>0</v>
      </c>
      <c r="W130" s="3">
        <f>IFERROR(__xludf.DUMMYFUNCTION("""COMPUTED_VALUE"""),0.0)</f>
        <v>0</v>
      </c>
      <c r="X130" s="3">
        <f>IFERROR(__xludf.DUMMYFUNCTION("""COMPUTED_VALUE"""),0.0)</f>
        <v>0</v>
      </c>
      <c r="Y130" s="3">
        <f>IFERROR(__xludf.DUMMYFUNCTION("""COMPUTED_VALUE"""),0.0)</f>
        <v>0</v>
      </c>
      <c r="Z130" s="3">
        <f>IFERROR(__xludf.DUMMYFUNCTION("""COMPUTED_VALUE"""),0.0)</f>
        <v>0</v>
      </c>
      <c r="AA130" s="3">
        <f>IFERROR(__xludf.DUMMYFUNCTION("""COMPUTED_VALUE"""),0.0)</f>
        <v>0</v>
      </c>
      <c r="AB130" s="3">
        <f>IFERROR(__xludf.DUMMYFUNCTION("""COMPUTED_VALUE"""),0.0)</f>
        <v>0</v>
      </c>
      <c r="AC130" s="3">
        <f>IFERROR(__xludf.DUMMYFUNCTION("""COMPUTED_VALUE"""),0.0)</f>
        <v>0</v>
      </c>
      <c r="AD130" s="3">
        <f>IFERROR(__xludf.DUMMYFUNCTION("""COMPUTED_VALUE"""),0.0)</f>
        <v>0</v>
      </c>
      <c r="AE130" s="3">
        <f>IFERROR(__xludf.DUMMYFUNCTION("""COMPUTED_VALUE"""),0.0)</f>
        <v>0</v>
      </c>
      <c r="AF130" s="3">
        <f>IFERROR(__xludf.DUMMYFUNCTION("""COMPUTED_VALUE"""),0.0)</f>
        <v>0</v>
      </c>
      <c r="AG130" s="3">
        <f>IFERROR(__xludf.DUMMYFUNCTION("""COMPUTED_VALUE"""),0.0)</f>
        <v>0</v>
      </c>
      <c r="AH130" s="3">
        <f>IFERROR(__xludf.DUMMYFUNCTION("""COMPUTED_VALUE"""),0.0)</f>
        <v>0</v>
      </c>
      <c r="AI130" s="3">
        <f>IFERROR(__xludf.DUMMYFUNCTION("""COMPUTED_VALUE"""),0.0)</f>
        <v>0</v>
      </c>
      <c r="AJ130" s="3">
        <f>IFERROR(__xludf.DUMMYFUNCTION("""COMPUTED_VALUE"""),0.0)</f>
        <v>0</v>
      </c>
      <c r="AK130" s="3">
        <f>IFERROR(__xludf.DUMMYFUNCTION("""COMPUTED_VALUE"""),0.0)</f>
        <v>0</v>
      </c>
      <c r="AL130" s="3">
        <f>IFERROR(__xludf.DUMMYFUNCTION("""COMPUTED_VALUE"""),0.0)</f>
        <v>0</v>
      </c>
      <c r="AM130" s="3">
        <f>IFERROR(__xludf.DUMMYFUNCTION("""COMPUTED_VALUE"""),0.0)</f>
        <v>0</v>
      </c>
      <c r="AN130" s="3">
        <f>IFERROR(__xludf.DUMMYFUNCTION("""COMPUTED_VALUE"""),0.0)</f>
        <v>0</v>
      </c>
      <c r="AO130" s="3">
        <f>IFERROR(__xludf.DUMMYFUNCTION("""COMPUTED_VALUE"""),0.0)</f>
        <v>0</v>
      </c>
      <c r="AP130" s="3">
        <f>IFERROR(__xludf.DUMMYFUNCTION("""COMPUTED_VALUE"""),0.0)</f>
        <v>0</v>
      </c>
      <c r="AQ130" s="3">
        <f>IFERROR(__xludf.DUMMYFUNCTION("""COMPUTED_VALUE"""),0.0)</f>
        <v>0</v>
      </c>
      <c r="AR130" s="3">
        <f>IFERROR(__xludf.DUMMYFUNCTION("""COMPUTED_VALUE"""),0.0)</f>
        <v>0</v>
      </c>
      <c r="AS130" s="3">
        <f>IFERROR(__xludf.DUMMYFUNCTION("""COMPUTED_VALUE"""),0.0)</f>
        <v>0</v>
      </c>
      <c r="AT130" s="3">
        <f>IFERROR(__xludf.DUMMYFUNCTION("""COMPUTED_VALUE"""),0.0)</f>
        <v>0</v>
      </c>
      <c r="AU130" s="3">
        <f>IFERROR(__xludf.DUMMYFUNCTION("""COMPUTED_VALUE"""),0.0)</f>
        <v>0</v>
      </c>
      <c r="AV130" s="3">
        <f>IFERROR(__xludf.DUMMYFUNCTION("""COMPUTED_VALUE"""),0.0)</f>
        <v>0</v>
      </c>
      <c r="AW130" s="3">
        <f>IFERROR(__xludf.DUMMYFUNCTION("""COMPUTED_VALUE"""),0.0)</f>
        <v>0</v>
      </c>
      <c r="AX130" s="3">
        <f>IFERROR(__xludf.DUMMYFUNCTION("""COMPUTED_VALUE"""),0.0)</f>
        <v>0</v>
      </c>
      <c r="AY130" s="3">
        <f>IFERROR(__xludf.DUMMYFUNCTION("""COMPUTED_VALUE"""),0.0)</f>
        <v>0</v>
      </c>
      <c r="AZ130" s="3">
        <f>IFERROR(__xludf.DUMMYFUNCTION("""COMPUTED_VALUE"""),0.0)</f>
        <v>0</v>
      </c>
      <c r="BA130" s="3">
        <f>IFERROR(__xludf.DUMMYFUNCTION("""COMPUTED_VALUE"""),0.0)</f>
        <v>0</v>
      </c>
      <c r="BB130" s="3">
        <f>IFERROR(__xludf.DUMMYFUNCTION("""COMPUTED_VALUE"""),0.0)</f>
        <v>0</v>
      </c>
      <c r="BC130" s="3">
        <f>IFERROR(__xludf.DUMMYFUNCTION("""COMPUTED_VALUE"""),0.0)</f>
        <v>0</v>
      </c>
      <c r="BD130" s="3">
        <f>IFERROR(__xludf.DUMMYFUNCTION("""COMPUTED_VALUE"""),0.0)</f>
        <v>0</v>
      </c>
      <c r="BE130" s="3">
        <f>IFERROR(__xludf.DUMMYFUNCTION("""COMPUTED_VALUE"""),0.0)</f>
        <v>0</v>
      </c>
      <c r="BF130" s="3">
        <f>IFERROR(__xludf.DUMMYFUNCTION("""COMPUTED_VALUE"""),0.0)</f>
        <v>0</v>
      </c>
      <c r="BG130" s="3">
        <f>IFERROR(__xludf.DUMMYFUNCTION("""COMPUTED_VALUE"""),0.0)</f>
        <v>0</v>
      </c>
      <c r="BH130" s="3">
        <f>IFERROR(__xludf.DUMMYFUNCTION("""COMPUTED_VALUE"""),0.0)</f>
        <v>0</v>
      </c>
      <c r="BI130" s="3">
        <f>IFERROR(__xludf.DUMMYFUNCTION("""COMPUTED_VALUE"""),0.0)</f>
        <v>0</v>
      </c>
      <c r="BJ130" s="3">
        <f>IFERROR(__xludf.DUMMYFUNCTION("""COMPUTED_VALUE"""),0.0)</f>
        <v>0</v>
      </c>
      <c r="BK130" s="3">
        <f>IFERROR(__xludf.DUMMYFUNCTION("""COMPUTED_VALUE"""),0.0)</f>
        <v>0</v>
      </c>
      <c r="BL130" s="3">
        <f>IFERROR(__xludf.DUMMYFUNCTION("""COMPUTED_VALUE"""),0.0)</f>
        <v>0</v>
      </c>
      <c r="BM130" s="3">
        <f>IFERROR(__xludf.DUMMYFUNCTION("""COMPUTED_VALUE"""),0.0)</f>
        <v>0</v>
      </c>
      <c r="BN130" s="3">
        <f>IFERROR(__xludf.DUMMYFUNCTION("""COMPUTED_VALUE"""),0.0)</f>
        <v>0</v>
      </c>
      <c r="BO130" s="3">
        <f>IFERROR(__xludf.DUMMYFUNCTION("""COMPUTED_VALUE"""),0.0)</f>
        <v>0</v>
      </c>
      <c r="BP130" s="3">
        <f>IFERROR(__xludf.DUMMYFUNCTION("""COMPUTED_VALUE"""),0.0)</f>
        <v>0</v>
      </c>
      <c r="BQ130" s="3">
        <f>IFERROR(__xludf.DUMMYFUNCTION("""COMPUTED_VALUE"""),1.0)</f>
        <v>1</v>
      </c>
      <c r="BR130" s="3">
        <f>IFERROR(__xludf.DUMMYFUNCTION("""COMPUTED_VALUE"""),1.0)</f>
        <v>1</v>
      </c>
      <c r="BS130" s="3">
        <f>IFERROR(__xludf.DUMMYFUNCTION("""COMPUTED_VALUE"""),1.0)</f>
        <v>1</v>
      </c>
      <c r="BT130" s="3">
        <f>IFERROR(__xludf.DUMMYFUNCTION("""COMPUTED_VALUE"""),3.0)</f>
        <v>3</v>
      </c>
      <c r="BU130" s="3">
        <f>IFERROR(__xludf.DUMMYFUNCTION("""COMPUTED_VALUE"""),7.0)</f>
        <v>7</v>
      </c>
      <c r="BV130" s="3">
        <f>IFERROR(__xludf.DUMMYFUNCTION("""COMPUTED_VALUE"""),7.0)</f>
        <v>7</v>
      </c>
      <c r="BW130" s="3">
        <f>IFERROR(__xludf.DUMMYFUNCTION("""COMPUTED_VALUE"""),10.0)</f>
        <v>10</v>
      </c>
      <c r="BX130" s="3">
        <f>IFERROR(__xludf.DUMMYFUNCTION("""COMPUTED_VALUE"""),14.0)</f>
        <v>14</v>
      </c>
      <c r="BY130" s="3">
        <f>IFERROR(__xludf.DUMMYFUNCTION("""COMPUTED_VALUE"""),15.0)</f>
        <v>15</v>
      </c>
      <c r="BZ130" s="3">
        <f>IFERROR(__xludf.DUMMYFUNCTION("""COMPUTED_VALUE"""),15.0)</f>
        <v>15</v>
      </c>
      <c r="CA130" s="3">
        <f>IFERROR(__xludf.DUMMYFUNCTION("""COMPUTED_VALUE"""),22.0)</f>
        <v>22</v>
      </c>
      <c r="CB130" s="3">
        <f>IFERROR(__xludf.DUMMYFUNCTION("""COMPUTED_VALUE"""),22.0)</f>
        <v>22</v>
      </c>
    </row>
    <row r="131">
      <c r="A131" s="3" t="str">
        <f>IFERROR(__xludf.DUMMYFUNCTION("""COMPUTED_VALUE"""),"")</f>
        <v/>
      </c>
      <c r="B131" s="3" t="str">
        <f>IFERROR(__xludf.DUMMYFUNCTION("""COMPUTED_VALUE"""),"Hungary")</f>
        <v>Hungary</v>
      </c>
      <c r="C131" s="3">
        <f>IFERROR(__xludf.DUMMYFUNCTION("""COMPUTED_VALUE"""),47.1625)</f>
        <v>47.1625</v>
      </c>
      <c r="D131" s="3">
        <f>IFERROR(__xludf.DUMMYFUNCTION("""COMPUTED_VALUE"""),19.5033)</f>
        <v>19.5033</v>
      </c>
      <c r="E131" s="3">
        <f>IFERROR(__xludf.DUMMYFUNCTION("""COMPUTED_VALUE"""),0.0)</f>
        <v>0</v>
      </c>
      <c r="F131" s="3">
        <f>IFERROR(__xludf.DUMMYFUNCTION("""COMPUTED_VALUE"""),0.0)</f>
        <v>0</v>
      </c>
      <c r="G131" s="3">
        <f>IFERROR(__xludf.DUMMYFUNCTION("""COMPUTED_VALUE"""),0.0)</f>
        <v>0</v>
      </c>
      <c r="H131" s="3">
        <f>IFERROR(__xludf.DUMMYFUNCTION("""COMPUTED_VALUE"""),0.0)</f>
        <v>0</v>
      </c>
      <c r="I131" s="3">
        <f>IFERROR(__xludf.DUMMYFUNCTION("""COMPUTED_VALUE"""),0.0)</f>
        <v>0</v>
      </c>
      <c r="J131" s="3">
        <f>IFERROR(__xludf.DUMMYFUNCTION("""COMPUTED_VALUE"""),0.0)</f>
        <v>0</v>
      </c>
      <c r="K131" s="3">
        <f>IFERROR(__xludf.DUMMYFUNCTION("""COMPUTED_VALUE"""),0.0)</f>
        <v>0</v>
      </c>
      <c r="L131" s="3">
        <f>IFERROR(__xludf.DUMMYFUNCTION("""COMPUTED_VALUE"""),0.0)</f>
        <v>0</v>
      </c>
      <c r="M131" s="3">
        <f>IFERROR(__xludf.DUMMYFUNCTION("""COMPUTED_VALUE"""),0.0)</f>
        <v>0</v>
      </c>
      <c r="N131" s="3">
        <f>IFERROR(__xludf.DUMMYFUNCTION("""COMPUTED_VALUE"""),0.0)</f>
        <v>0</v>
      </c>
      <c r="O131" s="3">
        <f>IFERROR(__xludf.DUMMYFUNCTION("""COMPUTED_VALUE"""),0.0)</f>
        <v>0</v>
      </c>
      <c r="P131" s="3">
        <f>IFERROR(__xludf.DUMMYFUNCTION("""COMPUTED_VALUE"""),0.0)</f>
        <v>0</v>
      </c>
      <c r="Q131" s="3">
        <f>IFERROR(__xludf.DUMMYFUNCTION("""COMPUTED_VALUE"""),0.0)</f>
        <v>0</v>
      </c>
      <c r="R131" s="3">
        <f>IFERROR(__xludf.DUMMYFUNCTION("""COMPUTED_VALUE"""),0.0)</f>
        <v>0</v>
      </c>
      <c r="S131" s="3">
        <f>IFERROR(__xludf.DUMMYFUNCTION("""COMPUTED_VALUE"""),0.0)</f>
        <v>0</v>
      </c>
      <c r="T131" s="3">
        <f>IFERROR(__xludf.DUMMYFUNCTION("""COMPUTED_VALUE"""),0.0)</f>
        <v>0</v>
      </c>
      <c r="U131" s="3">
        <f>IFERROR(__xludf.DUMMYFUNCTION("""COMPUTED_VALUE"""),0.0)</f>
        <v>0</v>
      </c>
      <c r="V131" s="3">
        <f>IFERROR(__xludf.DUMMYFUNCTION("""COMPUTED_VALUE"""),0.0)</f>
        <v>0</v>
      </c>
      <c r="W131" s="3">
        <f>IFERROR(__xludf.DUMMYFUNCTION("""COMPUTED_VALUE"""),0.0)</f>
        <v>0</v>
      </c>
      <c r="X131" s="3">
        <f>IFERROR(__xludf.DUMMYFUNCTION("""COMPUTED_VALUE"""),0.0)</f>
        <v>0</v>
      </c>
      <c r="Y131" s="3">
        <f>IFERROR(__xludf.DUMMYFUNCTION("""COMPUTED_VALUE"""),0.0)</f>
        <v>0</v>
      </c>
      <c r="Z131" s="3">
        <f>IFERROR(__xludf.DUMMYFUNCTION("""COMPUTED_VALUE"""),0.0)</f>
        <v>0</v>
      </c>
      <c r="AA131" s="3">
        <f>IFERROR(__xludf.DUMMYFUNCTION("""COMPUTED_VALUE"""),0.0)</f>
        <v>0</v>
      </c>
      <c r="AB131" s="3">
        <f>IFERROR(__xludf.DUMMYFUNCTION("""COMPUTED_VALUE"""),0.0)</f>
        <v>0</v>
      </c>
      <c r="AC131" s="3">
        <f>IFERROR(__xludf.DUMMYFUNCTION("""COMPUTED_VALUE"""),0.0)</f>
        <v>0</v>
      </c>
      <c r="AD131" s="3">
        <f>IFERROR(__xludf.DUMMYFUNCTION("""COMPUTED_VALUE"""),0.0)</f>
        <v>0</v>
      </c>
      <c r="AE131" s="3">
        <f>IFERROR(__xludf.DUMMYFUNCTION("""COMPUTED_VALUE"""),0.0)</f>
        <v>0</v>
      </c>
      <c r="AF131" s="3">
        <f>IFERROR(__xludf.DUMMYFUNCTION("""COMPUTED_VALUE"""),0.0)</f>
        <v>0</v>
      </c>
      <c r="AG131" s="3">
        <f>IFERROR(__xludf.DUMMYFUNCTION("""COMPUTED_VALUE"""),0.0)</f>
        <v>0</v>
      </c>
      <c r="AH131" s="3">
        <f>IFERROR(__xludf.DUMMYFUNCTION("""COMPUTED_VALUE"""),0.0)</f>
        <v>0</v>
      </c>
      <c r="AI131" s="3">
        <f>IFERROR(__xludf.DUMMYFUNCTION("""COMPUTED_VALUE"""),0.0)</f>
        <v>0</v>
      </c>
      <c r="AJ131" s="3">
        <f>IFERROR(__xludf.DUMMYFUNCTION("""COMPUTED_VALUE"""),0.0)</f>
        <v>0</v>
      </c>
      <c r="AK131" s="3">
        <f>IFERROR(__xludf.DUMMYFUNCTION("""COMPUTED_VALUE"""),0.0)</f>
        <v>0</v>
      </c>
      <c r="AL131" s="3">
        <f>IFERROR(__xludf.DUMMYFUNCTION("""COMPUTED_VALUE"""),0.0)</f>
        <v>0</v>
      </c>
      <c r="AM131" s="3">
        <f>IFERROR(__xludf.DUMMYFUNCTION("""COMPUTED_VALUE"""),0.0)</f>
        <v>0</v>
      </c>
      <c r="AN131" s="3">
        <f>IFERROR(__xludf.DUMMYFUNCTION("""COMPUTED_VALUE"""),0.0)</f>
        <v>0</v>
      </c>
      <c r="AO131" s="3">
        <f>IFERROR(__xludf.DUMMYFUNCTION("""COMPUTED_VALUE"""),0.0)</f>
        <v>0</v>
      </c>
      <c r="AP131" s="3">
        <f>IFERROR(__xludf.DUMMYFUNCTION("""COMPUTED_VALUE"""),0.0)</f>
        <v>0</v>
      </c>
      <c r="AQ131" s="3">
        <f>IFERROR(__xludf.DUMMYFUNCTION("""COMPUTED_VALUE"""),0.0)</f>
        <v>0</v>
      </c>
      <c r="AR131" s="3">
        <f>IFERROR(__xludf.DUMMYFUNCTION("""COMPUTED_VALUE"""),0.0)</f>
        <v>0</v>
      </c>
      <c r="AS131" s="3">
        <f>IFERROR(__xludf.DUMMYFUNCTION("""COMPUTED_VALUE"""),0.0)</f>
        <v>0</v>
      </c>
      <c r="AT131" s="3">
        <f>IFERROR(__xludf.DUMMYFUNCTION("""COMPUTED_VALUE"""),0.0)</f>
        <v>0</v>
      </c>
      <c r="AU131" s="3">
        <f>IFERROR(__xludf.DUMMYFUNCTION("""COMPUTED_VALUE"""),0.0)</f>
        <v>0</v>
      </c>
      <c r="AV131" s="3">
        <f>IFERROR(__xludf.DUMMYFUNCTION("""COMPUTED_VALUE"""),0.0)</f>
        <v>0</v>
      </c>
      <c r="AW131" s="3">
        <f>IFERROR(__xludf.DUMMYFUNCTION("""COMPUTED_VALUE"""),0.0)</f>
        <v>0</v>
      </c>
      <c r="AX131" s="3">
        <f>IFERROR(__xludf.DUMMYFUNCTION("""COMPUTED_VALUE"""),0.0)</f>
        <v>0</v>
      </c>
      <c r="AY131" s="3">
        <f>IFERROR(__xludf.DUMMYFUNCTION("""COMPUTED_VALUE"""),0.0)</f>
        <v>0</v>
      </c>
      <c r="AZ131" s="3">
        <f>IFERROR(__xludf.DUMMYFUNCTION("""COMPUTED_VALUE"""),0.0)</f>
        <v>0</v>
      </c>
      <c r="BA131" s="3">
        <f>IFERROR(__xludf.DUMMYFUNCTION("""COMPUTED_VALUE"""),0.0)</f>
        <v>0</v>
      </c>
      <c r="BB131" s="3">
        <f>IFERROR(__xludf.DUMMYFUNCTION("""COMPUTED_VALUE"""),0.0)</f>
        <v>0</v>
      </c>
      <c r="BC131" s="3">
        <f>IFERROR(__xludf.DUMMYFUNCTION("""COMPUTED_VALUE"""),0.0)</f>
        <v>0</v>
      </c>
      <c r="BD131" s="3">
        <f>IFERROR(__xludf.DUMMYFUNCTION("""COMPUTED_VALUE"""),0.0)</f>
        <v>0</v>
      </c>
      <c r="BE131" s="3">
        <f>IFERROR(__xludf.DUMMYFUNCTION("""COMPUTED_VALUE"""),0.0)</f>
        <v>0</v>
      </c>
      <c r="BF131" s="3">
        <f>IFERROR(__xludf.DUMMYFUNCTION("""COMPUTED_VALUE"""),1.0)</f>
        <v>1</v>
      </c>
      <c r="BG131" s="3">
        <f>IFERROR(__xludf.DUMMYFUNCTION("""COMPUTED_VALUE"""),1.0)</f>
        <v>1</v>
      </c>
      <c r="BH131" s="3">
        <f>IFERROR(__xludf.DUMMYFUNCTION("""COMPUTED_VALUE"""),1.0)</f>
        <v>1</v>
      </c>
      <c r="BI131" s="3">
        <f>IFERROR(__xludf.DUMMYFUNCTION("""COMPUTED_VALUE"""),1.0)</f>
        <v>1</v>
      </c>
      <c r="BJ131" s="3">
        <f>IFERROR(__xludf.DUMMYFUNCTION("""COMPUTED_VALUE"""),1.0)</f>
        <v>1</v>
      </c>
      <c r="BK131" s="3">
        <f>IFERROR(__xludf.DUMMYFUNCTION("""COMPUTED_VALUE"""),3.0)</f>
        <v>3</v>
      </c>
      <c r="BL131" s="3">
        <f>IFERROR(__xludf.DUMMYFUNCTION("""COMPUTED_VALUE"""),4.0)</f>
        <v>4</v>
      </c>
      <c r="BM131" s="3">
        <f>IFERROR(__xludf.DUMMYFUNCTION("""COMPUTED_VALUE"""),6.0)</f>
        <v>6</v>
      </c>
      <c r="BN131" s="3">
        <f>IFERROR(__xludf.DUMMYFUNCTION("""COMPUTED_VALUE"""),7.0)</f>
        <v>7</v>
      </c>
      <c r="BO131" s="3">
        <f>IFERROR(__xludf.DUMMYFUNCTION("""COMPUTED_VALUE"""),9.0)</f>
        <v>9</v>
      </c>
      <c r="BP131" s="3">
        <f>IFERROR(__xludf.DUMMYFUNCTION("""COMPUTED_VALUE"""),10.0)</f>
        <v>10</v>
      </c>
      <c r="BQ131" s="3">
        <f>IFERROR(__xludf.DUMMYFUNCTION("""COMPUTED_VALUE"""),10.0)</f>
        <v>10</v>
      </c>
      <c r="BR131" s="3">
        <f>IFERROR(__xludf.DUMMYFUNCTION("""COMPUTED_VALUE"""),10.0)</f>
        <v>10</v>
      </c>
      <c r="BS131" s="3">
        <f>IFERROR(__xludf.DUMMYFUNCTION("""COMPUTED_VALUE"""),11.0)</f>
        <v>11</v>
      </c>
      <c r="BT131" s="3">
        <f>IFERROR(__xludf.DUMMYFUNCTION("""COMPUTED_VALUE"""),13.0)</f>
        <v>13</v>
      </c>
      <c r="BU131" s="3">
        <f>IFERROR(__xludf.DUMMYFUNCTION("""COMPUTED_VALUE"""),15.0)</f>
        <v>15</v>
      </c>
      <c r="BV131" s="3">
        <f>IFERROR(__xludf.DUMMYFUNCTION("""COMPUTED_VALUE"""),16.0)</f>
        <v>16</v>
      </c>
      <c r="BW131" s="3">
        <f>IFERROR(__xludf.DUMMYFUNCTION("""COMPUTED_VALUE"""),20.0)</f>
        <v>20</v>
      </c>
      <c r="BX131" s="3">
        <f>IFERROR(__xludf.DUMMYFUNCTION("""COMPUTED_VALUE"""),21.0)</f>
        <v>21</v>
      </c>
      <c r="BY131" s="3">
        <f>IFERROR(__xludf.DUMMYFUNCTION("""COMPUTED_VALUE"""),26.0)</f>
        <v>26</v>
      </c>
      <c r="BZ131" s="3">
        <f>IFERROR(__xludf.DUMMYFUNCTION("""COMPUTED_VALUE"""),32.0)</f>
        <v>32</v>
      </c>
      <c r="CA131" s="3">
        <f>IFERROR(__xludf.DUMMYFUNCTION("""COMPUTED_VALUE"""),34.0)</f>
        <v>34</v>
      </c>
      <c r="CB131" s="3">
        <f>IFERROR(__xludf.DUMMYFUNCTION("""COMPUTED_VALUE"""),38.0)</f>
        <v>38</v>
      </c>
    </row>
    <row r="132">
      <c r="A132" s="3" t="str">
        <f>IFERROR(__xludf.DUMMYFUNCTION("""COMPUTED_VALUE"""),"")</f>
        <v/>
      </c>
      <c r="B132" s="3" t="str">
        <f>IFERROR(__xludf.DUMMYFUNCTION("""COMPUTED_VALUE"""),"Iceland")</f>
        <v>Iceland</v>
      </c>
      <c r="C132" s="3">
        <f>IFERROR(__xludf.DUMMYFUNCTION("""COMPUTED_VALUE"""),64.9631)</f>
        <v>64.9631</v>
      </c>
      <c r="D132" s="3">
        <f>IFERROR(__xludf.DUMMYFUNCTION("""COMPUTED_VALUE"""),-19.0208)</f>
        <v>-19.0208</v>
      </c>
      <c r="E132" s="3">
        <f>IFERROR(__xludf.DUMMYFUNCTION("""COMPUTED_VALUE"""),0.0)</f>
        <v>0</v>
      </c>
      <c r="F132" s="3">
        <f>IFERROR(__xludf.DUMMYFUNCTION("""COMPUTED_VALUE"""),0.0)</f>
        <v>0</v>
      </c>
      <c r="G132" s="3">
        <f>IFERROR(__xludf.DUMMYFUNCTION("""COMPUTED_VALUE"""),0.0)</f>
        <v>0</v>
      </c>
      <c r="H132" s="3">
        <f>IFERROR(__xludf.DUMMYFUNCTION("""COMPUTED_VALUE"""),0.0)</f>
        <v>0</v>
      </c>
      <c r="I132" s="3">
        <f>IFERROR(__xludf.DUMMYFUNCTION("""COMPUTED_VALUE"""),0.0)</f>
        <v>0</v>
      </c>
      <c r="J132" s="3">
        <f>IFERROR(__xludf.DUMMYFUNCTION("""COMPUTED_VALUE"""),0.0)</f>
        <v>0</v>
      </c>
      <c r="K132" s="3">
        <f>IFERROR(__xludf.DUMMYFUNCTION("""COMPUTED_VALUE"""),0.0)</f>
        <v>0</v>
      </c>
      <c r="L132" s="3">
        <f>IFERROR(__xludf.DUMMYFUNCTION("""COMPUTED_VALUE"""),0.0)</f>
        <v>0</v>
      </c>
      <c r="M132" s="3">
        <f>IFERROR(__xludf.DUMMYFUNCTION("""COMPUTED_VALUE"""),0.0)</f>
        <v>0</v>
      </c>
      <c r="N132" s="3">
        <f>IFERROR(__xludf.DUMMYFUNCTION("""COMPUTED_VALUE"""),0.0)</f>
        <v>0</v>
      </c>
      <c r="O132" s="3">
        <f>IFERROR(__xludf.DUMMYFUNCTION("""COMPUTED_VALUE"""),0.0)</f>
        <v>0</v>
      </c>
      <c r="P132" s="3">
        <f>IFERROR(__xludf.DUMMYFUNCTION("""COMPUTED_VALUE"""),0.0)</f>
        <v>0</v>
      </c>
      <c r="Q132" s="3">
        <f>IFERROR(__xludf.DUMMYFUNCTION("""COMPUTED_VALUE"""),0.0)</f>
        <v>0</v>
      </c>
      <c r="R132" s="3">
        <f>IFERROR(__xludf.DUMMYFUNCTION("""COMPUTED_VALUE"""),0.0)</f>
        <v>0</v>
      </c>
      <c r="S132" s="3">
        <f>IFERROR(__xludf.DUMMYFUNCTION("""COMPUTED_VALUE"""),0.0)</f>
        <v>0</v>
      </c>
      <c r="T132" s="3">
        <f>IFERROR(__xludf.DUMMYFUNCTION("""COMPUTED_VALUE"""),0.0)</f>
        <v>0</v>
      </c>
      <c r="U132" s="3">
        <f>IFERROR(__xludf.DUMMYFUNCTION("""COMPUTED_VALUE"""),0.0)</f>
        <v>0</v>
      </c>
      <c r="V132" s="3">
        <f>IFERROR(__xludf.DUMMYFUNCTION("""COMPUTED_VALUE"""),0.0)</f>
        <v>0</v>
      </c>
      <c r="W132" s="3">
        <f>IFERROR(__xludf.DUMMYFUNCTION("""COMPUTED_VALUE"""),0.0)</f>
        <v>0</v>
      </c>
      <c r="X132" s="3">
        <f>IFERROR(__xludf.DUMMYFUNCTION("""COMPUTED_VALUE"""),0.0)</f>
        <v>0</v>
      </c>
      <c r="Y132" s="3">
        <f>IFERROR(__xludf.DUMMYFUNCTION("""COMPUTED_VALUE"""),0.0)</f>
        <v>0</v>
      </c>
      <c r="Z132" s="3">
        <f>IFERROR(__xludf.DUMMYFUNCTION("""COMPUTED_VALUE"""),0.0)</f>
        <v>0</v>
      </c>
      <c r="AA132" s="3">
        <f>IFERROR(__xludf.DUMMYFUNCTION("""COMPUTED_VALUE"""),0.0)</f>
        <v>0</v>
      </c>
      <c r="AB132" s="3">
        <f>IFERROR(__xludf.DUMMYFUNCTION("""COMPUTED_VALUE"""),0.0)</f>
        <v>0</v>
      </c>
      <c r="AC132" s="3">
        <f>IFERROR(__xludf.DUMMYFUNCTION("""COMPUTED_VALUE"""),0.0)</f>
        <v>0</v>
      </c>
      <c r="AD132" s="3">
        <f>IFERROR(__xludf.DUMMYFUNCTION("""COMPUTED_VALUE"""),0.0)</f>
        <v>0</v>
      </c>
      <c r="AE132" s="3">
        <f>IFERROR(__xludf.DUMMYFUNCTION("""COMPUTED_VALUE"""),0.0)</f>
        <v>0</v>
      </c>
      <c r="AF132" s="3">
        <f>IFERROR(__xludf.DUMMYFUNCTION("""COMPUTED_VALUE"""),0.0)</f>
        <v>0</v>
      </c>
      <c r="AG132" s="3">
        <f>IFERROR(__xludf.DUMMYFUNCTION("""COMPUTED_VALUE"""),0.0)</f>
        <v>0</v>
      </c>
      <c r="AH132" s="3">
        <f>IFERROR(__xludf.DUMMYFUNCTION("""COMPUTED_VALUE"""),0.0)</f>
        <v>0</v>
      </c>
      <c r="AI132" s="3">
        <f>IFERROR(__xludf.DUMMYFUNCTION("""COMPUTED_VALUE"""),0.0)</f>
        <v>0</v>
      </c>
      <c r="AJ132" s="3">
        <f>IFERROR(__xludf.DUMMYFUNCTION("""COMPUTED_VALUE"""),0.0)</f>
        <v>0</v>
      </c>
      <c r="AK132" s="3">
        <f>IFERROR(__xludf.DUMMYFUNCTION("""COMPUTED_VALUE"""),0.0)</f>
        <v>0</v>
      </c>
      <c r="AL132" s="3">
        <f>IFERROR(__xludf.DUMMYFUNCTION("""COMPUTED_VALUE"""),0.0)</f>
        <v>0</v>
      </c>
      <c r="AM132" s="3">
        <f>IFERROR(__xludf.DUMMYFUNCTION("""COMPUTED_VALUE"""),0.0)</f>
        <v>0</v>
      </c>
      <c r="AN132" s="3">
        <f>IFERROR(__xludf.DUMMYFUNCTION("""COMPUTED_VALUE"""),0.0)</f>
        <v>0</v>
      </c>
      <c r="AO132" s="3">
        <f>IFERROR(__xludf.DUMMYFUNCTION("""COMPUTED_VALUE"""),0.0)</f>
        <v>0</v>
      </c>
      <c r="AP132" s="3">
        <f>IFERROR(__xludf.DUMMYFUNCTION("""COMPUTED_VALUE"""),0.0)</f>
        <v>0</v>
      </c>
      <c r="AQ132" s="3">
        <f>IFERROR(__xludf.DUMMYFUNCTION("""COMPUTED_VALUE"""),0.0)</f>
        <v>0</v>
      </c>
      <c r="AR132" s="3">
        <f>IFERROR(__xludf.DUMMYFUNCTION("""COMPUTED_VALUE"""),0.0)</f>
        <v>0</v>
      </c>
      <c r="AS132" s="3">
        <f>IFERROR(__xludf.DUMMYFUNCTION("""COMPUTED_VALUE"""),0.0)</f>
        <v>0</v>
      </c>
      <c r="AT132" s="3">
        <f>IFERROR(__xludf.DUMMYFUNCTION("""COMPUTED_VALUE"""),0.0)</f>
        <v>0</v>
      </c>
      <c r="AU132" s="3">
        <f>IFERROR(__xludf.DUMMYFUNCTION("""COMPUTED_VALUE"""),0.0)</f>
        <v>0</v>
      </c>
      <c r="AV132" s="3">
        <f>IFERROR(__xludf.DUMMYFUNCTION("""COMPUTED_VALUE"""),0.0)</f>
        <v>0</v>
      </c>
      <c r="AW132" s="3">
        <f>IFERROR(__xludf.DUMMYFUNCTION("""COMPUTED_VALUE"""),0.0)</f>
        <v>0</v>
      </c>
      <c r="AX132" s="3">
        <f>IFERROR(__xludf.DUMMYFUNCTION("""COMPUTED_VALUE"""),0.0)</f>
        <v>0</v>
      </c>
      <c r="AY132" s="3">
        <f>IFERROR(__xludf.DUMMYFUNCTION("""COMPUTED_VALUE"""),0.0)</f>
        <v>0</v>
      </c>
      <c r="AZ132" s="3">
        <f>IFERROR(__xludf.DUMMYFUNCTION("""COMPUTED_VALUE"""),0.0)</f>
        <v>0</v>
      </c>
      <c r="BA132" s="3">
        <f>IFERROR(__xludf.DUMMYFUNCTION("""COMPUTED_VALUE"""),0.0)</f>
        <v>0</v>
      </c>
      <c r="BB132" s="3">
        <f>IFERROR(__xludf.DUMMYFUNCTION("""COMPUTED_VALUE"""),0.0)</f>
        <v>0</v>
      </c>
      <c r="BC132" s="3">
        <f>IFERROR(__xludf.DUMMYFUNCTION("""COMPUTED_VALUE"""),0.0)</f>
        <v>0</v>
      </c>
      <c r="BD132" s="3">
        <f>IFERROR(__xludf.DUMMYFUNCTION("""COMPUTED_VALUE"""),0.0)</f>
        <v>0</v>
      </c>
      <c r="BE132" s="3">
        <f>IFERROR(__xludf.DUMMYFUNCTION("""COMPUTED_VALUE"""),0.0)</f>
        <v>0</v>
      </c>
      <c r="BF132" s="3">
        <f>IFERROR(__xludf.DUMMYFUNCTION("""COMPUTED_VALUE"""),5.0)</f>
        <v>5</v>
      </c>
      <c r="BG132" s="3">
        <f>IFERROR(__xludf.DUMMYFUNCTION("""COMPUTED_VALUE"""),0.0)</f>
        <v>0</v>
      </c>
      <c r="BH132" s="3">
        <f>IFERROR(__xludf.DUMMYFUNCTION("""COMPUTED_VALUE"""),1.0)</f>
        <v>1</v>
      </c>
      <c r="BI132" s="3">
        <f>IFERROR(__xludf.DUMMYFUNCTION("""COMPUTED_VALUE"""),1.0)</f>
        <v>1</v>
      </c>
      <c r="BJ132" s="3">
        <f>IFERROR(__xludf.DUMMYFUNCTION("""COMPUTED_VALUE"""),1.0)</f>
        <v>1</v>
      </c>
      <c r="BK132" s="3">
        <f>IFERROR(__xludf.DUMMYFUNCTION("""COMPUTED_VALUE"""),0.0)</f>
        <v>0</v>
      </c>
      <c r="BL132" s="3">
        <f>IFERROR(__xludf.DUMMYFUNCTION("""COMPUTED_VALUE"""),1.0)</f>
        <v>1</v>
      </c>
      <c r="BM132" s="3">
        <f>IFERROR(__xludf.DUMMYFUNCTION("""COMPUTED_VALUE"""),1.0)</f>
        <v>1</v>
      </c>
      <c r="BN132" s="3">
        <f>IFERROR(__xludf.DUMMYFUNCTION("""COMPUTED_VALUE"""),1.0)</f>
        <v>1</v>
      </c>
      <c r="BO132" s="3">
        <f>IFERROR(__xludf.DUMMYFUNCTION("""COMPUTED_VALUE"""),2.0)</f>
        <v>2</v>
      </c>
      <c r="BP132" s="3">
        <f>IFERROR(__xludf.DUMMYFUNCTION("""COMPUTED_VALUE"""),2.0)</f>
        <v>2</v>
      </c>
      <c r="BQ132" s="3">
        <f>IFERROR(__xludf.DUMMYFUNCTION("""COMPUTED_VALUE"""),2.0)</f>
        <v>2</v>
      </c>
      <c r="BR132" s="3">
        <f>IFERROR(__xludf.DUMMYFUNCTION("""COMPUTED_VALUE"""),2.0)</f>
        <v>2</v>
      </c>
      <c r="BS132" s="3">
        <f>IFERROR(__xludf.DUMMYFUNCTION("""COMPUTED_VALUE"""),2.0)</f>
        <v>2</v>
      </c>
      <c r="BT132" s="3">
        <f>IFERROR(__xludf.DUMMYFUNCTION("""COMPUTED_VALUE"""),2.0)</f>
        <v>2</v>
      </c>
      <c r="BU132" s="3">
        <f>IFERROR(__xludf.DUMMYFUNCTION("""COMPUTED_VALUE"""),2.0)</f>
        <v>2</v>
      </c>
      <c r="BV132" s="3">
        <f>IFERROR(__xludf.DUMMYFUNCTION("""COMPUTED_VALUE"""),2.0)</f>
        <v>2</v>
      </c>
      <c r="BW132" s="3">
        <f>IFERROR(__xludf.DUMMYFUNCTION("""COMPUTED_VALUE"""),2.0)</f>
        <v>2</v>
      </c>
      <c r="BX132" s="3">
        <f>IFERROR(__xludf.DUMMYFUNCTION("""COMPUTED_VALUE"""),4.0)</f>
        <v>4</v>
      </c>
      <c r="BY132" s="3">
        <f>IFERROR(__xludf.DUMMYFUNCTION("""COMPUTED_VALUE"""),4.0)</f>
        <v>4</v>
      </c>
      <c r="BZ132" s="3">
        <f>IFERROR(__xludf.DUMMYFUNCTION("""COMPUTED_VALUE"""),4.0)</f>
        <v>4</v>
      </c>
      <c r="CA132" s="3">
        <f>IFERROR(__xludf.DUMMYFUNCTION("""COMPUTED_VALUE"""),4.0)</f>
        <v>4</v>
      </c>
      <c r="CB132" s="3">
        <f>IFERROR(__xludf.DUMMYFUNCTION("""COMPUTED_VALUE"""),6.0)</f>
        <v>6</v>
      </c>
    </row>
    <row r="133">
      <c r="A133" s="3" t="str">
        <f>IFERROR(__xludf.DUMMYFUNCTION("""COMPUTED_VALUE"""),"")</f>
        <v/>
      </c>
      <c r="B133" s="3" t="str">
        <f>IFERROR(__xludf.DUMMYFUNCTION("""COMPUTED_VALUE"""),"India")</f>
        <v>India</v>
      </c>
      <c r="C133" s="3">
        <f>IFERROR(__xludf.DUMMYFUNCTION("""COMPUTED_VALUE"""),21.0)</f>
        <v>21</v>
      </c>
      <c r="D133" s="3">
        <f>IFERROR(__xludf.DUMMYFUNCTION("""COMPUTED_VALUE"""),78.0)</f>
        <v>78</v>
      </c>
      <c r="E133" s="3">
        <f>IFERROR(__xludf.DUMMYFUNCTION("""COMPUTED_VALUE"""),0.0)</f>
        <v>0</v>
      </c>
      <c r="F133" s="3">
        <f>IFERROR(__xludf.DUMMYFUNCTION("""COMPUTED_VALUE"""),0.0)</f>
        <v>0</v>
      </c>
      <c r="G133" s="3">
        <f>IFERROR(__xludf.DUMMYFUNCTION("""COMPUTED_VALUE"""),0.0)</f>
        <v>0</v>
      </c>
      <c r="H133" s="3">
        <f>IFERROR(__xludf.DUMMYFUNCTION("""COMPUTED_VALUE"""),0.0)</f>
        <v>0</v>
      </c>
      <c r="I133" s="3">
        <f>IFERROR(__xludf.DUMMYFUNCTION("""COMPUTED_VALUE"""),0.0)</f>
        <v>0</v>
      </c>
      <c r="J133" s="3">
        <f>IFERROR(__xludf.DUMMYFUNCTION("""COMPUTED_VALUE"""),0.0)</f>
        <v>0</v>
      </c>
      <c r="K133" s="3">
        <f>IFERROR(__xludf.DUMMYFUNCTION("""COMPUTED_VALUE"""),0.0)</f>
        <v>0</v>
      </c>
      <c r="L133" s="3">
        <f>IFERROR(__xludf.DUMMYFUNCTION("""COMPUTED_VALUE"""),0.0)</f>
        <v>0</v>
      </c>
      <c r="M133" s="3">
        <f>IFERROR(__xludf.DUMMYFUNCTION("""COMPUTED_VALUE"""),0.0)</f>
        <v>0</v>
      </c>
      <c r="N133" s="3">
        <f>IFERROR(__xludf.DUMMYFUNCTION("""COMPUTED_VALUE"""),0.0)</f>
        <v>0</v>
      </c>
      <c r="O133" s="3">
        <f>IFERROR(__xludf.DUMMYFUNCTION("""COMPUTED_VALUE"""),0.0)</f>
        <v>0</v>
      </c>
      <c r="P133" s="3">
        <f>IFERROR(__xludf.DUMMYFUNCTION("""COMPUTED_VALUE"""),0.0)</f>
        <v>0</v>
      </c>
      <c r="Q133" s="3">
        <f>IFERROR(__xludf.DUMMYFUNCTION("""COMPUTED_VALUE"""),0.0)</f>
        <v>0</v>
      </c>
      <c r="R133" s="3">
        <f>IFERROR(__xludf.DUMMYFUNCTION("""COMPUTED_VALUE"""),0.0)</f>
        <v>0</v>
      </c>
      <c r="S133" s="3">
        <f>IFERROR(__xludf.DUMMYFUNCTION("""COMPUTED_VALUE"""),0.0)</f>
        <v>0</v>
      </c>
      <c r="T133" s="3">
        <f>IFERROR(__xludf.DUMMYFUNCTION("""COMPUTED_VALUE"""),0.0)</f>
        <v>0</v>
      </c>
      <c r="U133" s="3">
        <f>IFERROR(__xludf.DUMMYFUNCTION("""COMPUTED_VALUE"""),0.0)</f>
        <v>0</v>
      </c>
      <c r="V133" s="3">
        <f>IFERROR(__xludf.DUMMYFUNCTION("""COMPUTED_VALUE"""),0.0)</f>
        <v>0</v>
      </c>
      <c r="W133" s="3">
        <f>IFERROR(__xludf.DUMMYFUNCTION("""COMPUTED_VALUE"""),0.0)</f>
        <v>0</v>
      </c>
      <c r="X133" s="3">
        <f>IFERROR(__xludf.DUMMYFUNCTION("""COMPUTED_VALUE"""),0.0)</f>
        <v>0</v>
      </c>
      <c r="Y133" s="3">
        <f>IFERROR(__xludf.DUMMYFUNCTION("""COMPUTED_VALUE"""),0.0)</f>
        <v>0</v>
      </c>
      <c r="Z133" s="3">
        <f>IFERROR(__xludf.DUMMYFUNCTION("""COMPUTED_VALUE"""),0.0)</f>
        <v>0</v>
      </c>
      <c r="AA133" s="3">
        <f>IFERROR(__xludf.DUMMYFUNCTION("""COMPUTED_VALUE"""),0.0)</f>
        <v>0</v>
      </c>
      <c r="AB133" s="3">
        <f>IFERROR(__xludf.DUMMYFUNCTION("""COMPUTED_VALUE"""),0.0)</f>
        <v>0</v>
      </c>
      <c r="AC133" s="3">
        <f>IFERROR(__xludf.DUMMYFUNCTION("""COMPUTED_VALUE"""),0.0)</f>
        <v>0</v>
      </c>
      <c r="AD133" s="3">
        <f>IFERROR(__xludf.DUMMYFUNCTION("""COMPUTED_VALUE"""),0.0)</f>
        <v>0</v>
      </c>
      <c r="AE133" s="3">
        <f>IFERROR(__xludf.DUMMYFUNCTION("""COMPUTED_VALUE"""),0.0)</f>
        <v>0</v>
      </c>
      <c r="AF133" s="3">
        <f>IFERROR(__xludf.DUMMYFUNCTION("""COMPUTED_VALUE"""),0.0)</f>
        <v>0</v>
      </c>
      <c r="AG133" s="3">
        <f>IFERROR(__xludf.DUMMYFUNCTION("""COMPUTED_VALUE"""),0.0)</f>
        <v>0</v>
      </c>
      <c r="AH133" s="3">
        <f>IFERROR(__xludf.DUMMYFUNCTION("""COMPUTED_VALUE"""),0.0)</f>
        <v>0</v>
      </c>
      <c r="AI133" s="3">
        <f>IFERROR(__xludf.DUMMYFUNCTION("""COMPUTED_VALUE"""),0.0)</f>
        <v>0</v>
      </c>
      <c r="AJ133" s="3">
        <f>IFERROR(__xludf.DUMMYFUNCTION("""COMPUTED_VALUE"""),0.0)</f>
        <v>0</v>
      </c>
      <c r="AK133" s="3">
        <f>IFERROR(__xludf.DUMMYFUNCTION("""COMPUTED_VALUE"""),0.0)</f>
        <v>0</v>
      </c>
      <c r="AL133" s="3">
        <f>IFERROR(__xludf.DUMMYFUNCTION("""COMPUTED_VALUE"""),0.0)</f>
        <v>0</v>
      </c>
      <c r="AM133" s="3">
        <f>IFERROR(__xludf.DUMMYFUNCTION("""COMPUTED_VALUE"""),0.0)</f>
        <v>0</v>
      </c>
      <c r="AN133" s="3">
        <f>IFERROR(__xludf.DUMMYFUNCTION("""COMPUTED_VALUE"""),0.0)</f>
        <v>0</v>
      </c>
      <c r="AO133" s="3">
        <f>IFERROR(__xludf.DUMMYFUNCTION("""COMPUTED_VALUE"""),0.0)</f>
        <v>0</v>
      </c>
      <c r="AP133" s="3">
        <f>IFERROR(__xludf.DUMMYFUNCTION("""COMPUTED_VALUE"""),0.0)</f>
        <v>0</v>
      </c>
      <c r="AQ133" s="3">
        <f>IFERROR(__xludf.DUMMYFUNCTION("""COMPUTED_VALUE"""),0.0)</f>
        <v>0</v>
      </c>
      <c r="AR133" s="3">
        <f>IFERROR(__xludf.DUMMYFUNCTION("""COMPUTED_VALUE"""),0.0)</f>
        <v>0</v>
      </c>
      <c r="AS133" s="3">
        <f>IFERROR(__xludf.DUMMYFUNCTION("""COMPUTED_VALUE"""),0.0)</f>
        <v>0</v>
      </c>
      <c r="AT133" s="3">
        <f>IFERROR(__xludf.DUMMYFUNCTION("""COMPUTED_VALUE"""),0.0)</f>
        <v>0</v>
      </c>
      <c r="AU133" s="3">
        <f>IFERROR(__xludf.DUMMYFUNCTION("""COMPUTED_VALUE"""),0.0)</f>
        <v>0</v>
      </c>
      <c r="AV133" s="3">
        <f>IFERROR(__xludf.DUMMYFUNCTION("""COMPUTED_VALUE"""),0.0)</f>
        <v>0</v>
      </c>
      <c r="AW133" s="3">
        <f>IFERROR(__xludf.DUMMYFUNCTION("""COMPUTED_VALUE"""),0.0)</f>
        <v>0</v>
      </c>
      <c r="AX133" s="3">
        <f>IFERROR(__xludf.DUMMYFUNCTION("""COMPUTED_VALUE"""),0.0)</f>
        <v>0</v>
      </c>
      <c r="AY133" s="3">
        <f>IFERROR(__xludf.DUMMYFUNCTION("""COMPUTED_VALUE"""),0.0)</f>
        <v>0</v>
      </c>
      <c r="AZ133" s="3">
        <f>IFERROR(__xludf.DUMMYFUNCTION("""COMPUTED_VALUE"""),0.0)</f>
        <v>0</v>
      </c>
      <c r="BA133" s="3">
        <f>IFERROR(__xludf.DUMMYFUNCTION("""COMPUTED_VALUE"""),0.0)</f>
        <v>0</v>
      </c>
      <c r="BB133" s="3">
        <f>IFERROR(__xludf.DUMMYFUNCTION("""COMPUTED_VALUE"""),1.0)</f>
        <v>1</v>
      </c>
      <c r="BC133" s="3">
        <f>IFERROR(__xludf.DUMMYFUNCTION("""COMPUTED_VALUE"""),1.0)</f>
        <v>1</v>
      </c>
      <c r="BD133" s="3">
        <f>IFERROR(__xludf.DUMMYFUNCTION("""COMPUTED_VALUE"""),2.0)</f>
        <v>2</v>
      </c>
      <c r="BE133" s="3">
        <f>IFERROR(__xludf.DUMMYFUNCTION("""COMPUTED_VALUE"""),2.0)</f>
        <v>2</v>
      </c>
      <c r="BF133" s="3">
        <f>IFERROR(__xludf.DUMMYFUNCTION("""COMPUTED_VALUE"""),2.0)</f>
        <v>2</v>
      </c>
      <c r="BG133" s="3">
        <f>IFERROR(__xludf.DUMMYFUNCTION("""COMPUTED_VALUE"""),2.0)</f>
        <v>2</v>
      </c>
      <c r="BH133" s="3">
        <f>IFERROR(__xludf.DUMMYFUNCTION("""COMPUTED_VALUE"""),3.0)</f>
        <v>3</v>
      </c>
      <c r="BI133" s="3">
        <f>IFERROR(__xludf.DUMMYFUNCTION("""COMPUTED_VALUE"""),3.0)</f>
        <v>3</v>
      </c>
      <c r="BJ133" s="3">
        <f>IFERROR(__xludf.DUMMYFUNCTION("""COMPUTED_VALUE"""),4.0)</f>
        <v>4</v>
      </c>
      <c r="BK133" s="3">
        <f>IFERROR(__xludf.DUMMYFUNCTION("""COMPUTED_VALUE"""),5.0)</f>
        <v>5</v>
      </c>
      <c r="BL133" s="3">
        <f>IFERROR(__xludf.DUMMYFUNCTION("""COMPUTED_VALUE"""),4.0)</f>
        <v>4</v>
      </c>
      <c r="BM133" s="3">
        <f>IFERROR(__xludf.DUMMYFUNCTION("""COMPUTED_VALUE"""),7.0)</f>
        <v>7</v>
      </c>
      <c r="BN133" s="3">
        <f>IFERROR(__xludf.DUMMYFUNCTION("""COMPUTED_VALUE"""),10.0)</f>
        <v>10</v>
      </c>
      <c r="BO133" s="3">
        <f>IFERROR(__xludf.DUMMYFUNCTION("""COMPUTED_VALUE"""),10.0)</f>
        <v>10</v>
      </c>
      <c r="BP133" s="3">
        <f>IFERROR(__xludf.DUMMYFUNCTION("""COMPUTED_VALUE"""),12.0)</f>
        <v>12</v>
      </c>
      <c r="BQ133" s="3">
        <f>IFERROR(__xludf.DUMMYFUNCTION("""COMPUTED_VALUE"""),20.0)</f>
        <v>20</v>
      </c>
      <c r="BR133" s="3">
        <f>IFERROR(__xludf.DUMMYFUNCTION("""COMPUTED_VALUE"""),20.0)</f>
        <v>20</v>
      </c>
      <c r="BS133" s="3">
        <f>IFERROR(__xludf.DUMMYFUNCTION("""COMPUTED_VALUE"""),24.0)</f>
        <v>24</v>
      </c>
      <c r="BT133" s="3">
        <f>IFERROR(__xludf.DUMMYFUNCTION("""COMPUTED_VALUE"""),27.0)</f>
        <v>27</v>
      </c>
      <c r="BU133" s="3">
        <f>IFERROR(__xludf.DUMMYFUNCTION("""COMPUTED_VALUE"""),32.0)</f>
        <v>32</v>
      </c>
      <c r="BV133" s="3">
        <f>IFERROR(__xludf.DUMMYFUNCTION("""COMPUTED_VALUE"""),35.0)</f>
        <v>35</v>
      </c>
      <c r="BW133" s="3">
        <f>IFERROR(__xludf.DUMMYFUNCTION("""COMPUTED_VALUE"""),58.0)</f>
        <v>58</v>
      </c>
      <c r="BX133" s="3">
        <f>IFERROR(__xludf.DUMMYFUNCTION("""COMPUTED_VALUE"""),72.0)</f>
        <v>72</v>
      </c>
      <c r="BY133" s="3">
        <f>IFERROR(__xludf.DUMMYFUNCTION("""COMPUTED_VALUE"""),72.0)</f>
        <v>72</v>
      </c>
      <c r="BZ133" s="3">
        <f>IFERROR(__xludf.DUMMYFUNCTION("""COMPUTED_VALUE"""),86.0)</f>
        <v>86</v>
      </c>
      <c r="CA133" s="3">
        <f>IFERROR(__xludf.DUMMYFUNCTION("""COMPUTED_VALUE"""),99.0)</f>
        <v>99</v>
      </c>
      <c r="CB133" s="3">
        <f>IFERROR(__xludf.DUMMYFUNCTION("""COMPUTED_VALUE"""),136.0)</f>
        <v>136</v>
      </c>
    </row>
    <row r="134">
      <c r="A134" s="3" t="str">
        <f>IFERROR(__xludf.DUMMYFUNCTION("""COMPUTED_VALUE"""),"")</f>
        <v/>
      </c>
      <c r="B134" s="3" t="str">
        <f>IFERROR(__xludf.DUMMYFUNCTION("""COMPUTED_VALUE"""),"Indonesia")</f>
        <v>Indonesia</v>
      </c>
      <c r="C134" s="3">
        <f>IFERROR(__xludf.DUMMYFUNCTION("""COMPUTED_VALUE"""),-0.7893)</f>
        <v>-0.7893</v>
      </c>
      <c r="D134" s="3">
        <f>IFERROR(__xludf.DUMMYFUNCTION("""COMPUTED_VALUE"""),113.9213)</f>
        <v>113.9213</v>
      </c>
      <c r="E134" s="3">
        <f>IFERROR(__xludf.DUMMYFUNCTION("""COMPUTED_VALUE"""),0.0)</f>
        <v>0</v>
      </c>
      <c r="F134" s="3">
        <f>IFERROR(__xludf.DUMMYFUNCTION("""COMPUTED_VALUE"""),0.0)</f>
        <v>0</v>
      </c>
      <c r="G134" s="3">
        <f>IFERROR(__xludf.DUMMYFUNCTION("""COMPUTED_VALUE"""),0.0)</f>
        <v>0</v>
      </c>
      <c r="H134" s="3">
        <f>IFERROR(__xludf.DUMMYFUNCTION("""COMPUTED_VALUE"""),0.0)</f>
        <v>0</v>
      </c>
      <c r="I134" s="3">
        <f>IFERROR(__xludf.DUMMYFUNCTION("""COMPUTED_VALUE"""),0.0)</f>
        <v>0</v>
      </c>
      <c r="J134" s="3">
        <f>IFERROR(__xludf.DUMMYFUNCTION("""COMPUTED_VALUE"""),0.0)</f>
        <v>0</v>
      </c>
      <c r="K134" s="3">
        <f>IFERROR(__xludf.DUMMYFUNCTION("""COMPUTED_VALUE"""),0.0)</f>
        <v>0</v>
      </c>
      <c r="L134" s="3">
        <f>IFERROR(__xludf.DUMMYFUNCTION("""COMPUTED_VALUE"""),0.0)</f>
        <v>0</v>
      </c>
      <c r="M134" s="3">
        <f>IFERROR(__xludf.DUMMYFUNCTION("""COMPUTED_VALUE"""),0.0)</f>
        <v>0</v>
      </c>
      <c r="N134" s="3">
        <f>IFERROR(__xludf.DUMMYFUNCTION("""COMPUTED_VALUE"""),0.0)</f>
        <v>0</v>
      </c>
      <c r="O134" s="3">
        <f>IFERROR(__xludf.DUMMYFUNCTION("""COMPUTED_VALUE"""),0.0)</f>
        <v>0</v>
      </c>
      <c r="P134" s="3">
        <f>IFERROR(__xludf.DUMMYFUNCTION("""COMPUTED_VALUE"""),0.0)</f>
        <v>0</v>
      </c>
      <c r="Q134" s="3">
        <f>IFERROR(__xludf.DUMMYFUNCTION("""COMPUTED_VALUE"""),0.0)</f>
        <v>0</v>
      </c>
      <c r="R134" s="3">
        <f>IFERROR(__xludf.DUMMYFUNCTION("""COMPUTED_VALUE"""),0.0)</f>
        <v>0</v>
      </c>
      <c r="S134" s="3">
        <f>IFERROR(__xludf.DUMMYFUNCTION("""COMPUTED_VALUE"""),0.0)</f>
        <v>0</v>
      </c>
      <c r="T134" s="3">
        <f>IFERROR(__xludf.DUMMYFUNCTION("""COMPUTED_VALUE"""),0.0)</f>
        <v>0</v>
      </c>
      <c r="U134" s="3">
        <f>IFERROR(__xludf.DUMMYFUNCTION("""COMPUTED_VALUE"""),0.0)</f>
        <v>0</v>
      </c>
      <c r="V134" s="3">
        <f>IFERROR(__xludf.DUMMYFUNCTION("""COMPUTED_VALUE"""),0.0)</f>
        <v>0</v>
      </c>
      <c r="W134" s="3">
        <f>IFERROR(__xludf.DUMMYFUNCTION("""COMPUTED_VALUE"""),0.0)</f>
        <v>0</v>
      </c>
      <c r="X134" s="3">
        <f>IFERROR(__xludf.DUMMYFUNCTION("""COMPUTED_VALUE"""),0.0)</f>
        <v>0</v>
      </c>
      <c r="Y134" s="3">
        <f>IFERROR(__xludf.DUMMYFUNCTION("""COMPUTED_VALUE"""),0.0)</f>
        <v>0</v>
      </c>
      <c r="Z134" s="3">
        <f>IFERROR(__xludf.DUMMYFUNCTION("""COMPUTED_VALUE"""),0.0)</f>
        <v>0</v>
      </c>
      <c r="AA134" s="3">
        <f>IFERROR(__xludf.DUMMYFUNCTION("""COMPUTED_VALUE"""),0.0)</f>
        <v>0</v>
      </c>
      <c r="AB134" s="3">
        <f>IFERROR(__xludf.DUMMYFUNCTION("""COMPUTED_VALUE"""),0.0)</f>
        <v>0</v>
      </c>
      <c r="AC134" s="3">
        <f>IFERROR(__xludf.DUMMYFUNCTION("""COMPUTED_VALUE"""),0.0)</f>
        <v>0</v>
      </c>
      <c r="AD134" s="3">
        <f>IFERROR(__xludf.DUMMYFUNCTION("""COMPUTED_VALUE"""),0.0)</f>
        <v>0</v>
      </c>
      <c r="AE134" s="3">
        <f>IFERROR(__xludf.DUMMYFUNCTION("""COMPUTED_VALUE"""),0.0)</f>
        <v>0</v>
      </c>
      <c r="AF134" s="3">
        <f>IFERROR(__xludf.DUMMYFUNCTION("""COMPUTED_VALUE"""),0.0)</f>
        <v>0</v>
      </c>
      <c r="AG134" s="3">
        <f>IFERROR(__xludf.DUMMYFUNCTION("""COMPUTED_VALUE"""),0.0)</f>
        <v>0</v>
      </c>
      <c r="AH134" s="3">
        <f>IFERROR(__xludf.DUMMYFUNCTION("""COMPUTED_VALUE"""),0.0)</f>
        <v>0</v>
      </c>
      <c r="AI134" s="3">
        <f>IFERROR(__xludf.DUMMYFUNCTION("""COMPUTED_VALUE"""),0.0)</f>
        <v>0</v>
      </c>
      <c r="AJ134" s="3">
        <f>IFERROR(__xludf.DUMMYFUNCTION("""COMPUTED_VALUE"""),0.0)</f>
        <v>0</v>
      </c>
      <c r="AK134" s="3">
        <f>IFERROR(__xludf.DUMMYFUNCTION("""COMPUTED_VALUE"""),0.0)</f>
        <v>0</v>
      </c>
      <c r="AL134" s="3">
        <f>IFERROR(__xludf.DUMMYFUNCTION("""COMPUTED_VALUE"""),0.0)</f>
        <v>0</v>
      </c>
      <c r="AM134" s="3">
        <f>IFERROR(__xludf.DUMMYFUNCTION("""COMPUTED_VALUE"""),0.0)</f>
        <v>0</v>
      </c>
      <c r="AN134" s="3">
        <f>IFERROR(__xludf.DUMMYFUNCTION("""COMPUTED_VALUE"""),0.0)</f>
        <v>0</v>
      </c>
      <c r="AO134" s="3">
        <f>IFERROR(__xludf.DUMMYFUNCTION("""COMPUTED_VALUE"""),0.0)</f>
        <v>0</v>
      </c>
      <c r="AP134" s="3">
        <f>IFERROR(__xludf.DUMMYFUNCTION("""COMPUTED_VALUE"""),0.0)</f>
        <v>0</v>
      </c>
      <c r="AQ134" s="3">
        <f>IFERROR(__xludf.DUMMYFUNCTION("""COMPUTED_VALUE"""),0.0)</f>
        <v>0</v>
      </c>
      <c r="AR134" s="3">
        <f>IFERROR(__xludf.DUMMYFUNCTION("""COMPUTED_VALUE"""),0.0)</f>
        <v>0</v>
      </c>
      <c r="AS134" s="3">
        <f>IFERROR(__xludf.DUMMYFUNCTION("""COMPUTED_VALUE"""),0.0)</f>
        <v>0</v>
      </c>
      <c r="AT134" s="3">
        <f>IFERROR(__xludf.DUMMYFUNCTION("""COMPUTED_VALUE"""),0.0)</f>
        <v>0</v>
      </c>
      <c r="AU134" s="3">
        <f>IFERROR(__xludf.DUMMYFUNCTION("""COMPUTED_VALUE"""),0.0)</f>
        <v>0</v>
      </c>
      <c r="AV134" s="3">
        <f>IFERROR(__xludf.DUMMYFUNCTION("""COMPUTED_VALUE"""),0.0)</f>
        <v>0</v>
      </c>
      <c r="AW134" s="3">
        <f>IFERROR(__xludf.DUMMYFUNCTION("""COMPUTED_VALUE"""),0.0)</f>
        <v>0</v>
      </c>
      <c r="AX134" s="3">
        <f>IFERROR(__xludf.DUMMYFUNCTION("""COMPUTED_VALUE"""),0.0)</f>
        <v>0</v>
      </c>
      <c r="AY134" s="3">
        <f>IFERROR(__xludf.DUMMYFUNCTION("""COMPUTED_VALUE"""),0.0)</f>
        <v>0</v>
      </c>
      <c r="AZ134" s="3">
        <f>IFERROR(__xludf.DUMMYFUNCTION("""COMPUTED_VALUE"""),0.0)</f>
        <v>0</v>
      </c>
      <c r="BA134" s="3">
        <f>IFERROR(__xludf.DUMMYFUNCTION("""COMPUTED_VALUE"""),0.0)</f>
        <v>0</v>
      </c>
      <c r="BB134" s="3">
        <f>IFERROR(__xludf.DUMMYFUNCTION("""COMPUTED_VALUE"""),1.0)</f>
        <v>1</v>
      </c>
      <c r="BC134" s="3">
        <f>IFERROR(__xludf.DUMMYFUNCTION("""COMPUTED_VALUE"""),1.0)</f>
        <v>1</v>
      </c>
      <c r="BD134" s="3">
        <f>IFERROR(__xludf.DUMMYFUNCTION("""COMPUTED_VALUE"""),4.0)</f>
        <v>4</v>
      </c>
      <c r="BE134" s="3">
        <f>IFERROR(__xludf.DUMMYFUNCTION("""COMPUTED_VALUE"""),5.0)</f>
        <v>5</v>
      </c>
      <c r="BF134" s="3">
        <f>IFERROR(__xludf.DUMMYFUNCTION("""COMPUTED_VALUE"""),5.0)</f>
        <v>5</v>
      </c>
      <c r="BG134" s="3">
        <f>IFERROR(__xludf.DUMMYFUNCTION("""COMPUTED_VALUE"""),5.0)</f>
        <v>5</v>
      </c>
      <c r="BH134" s="3">
        <f>IFERROR(__xludf.DUMMYFUNCTION("""COMPUTED_VALUE"""),5.0)</f>
        <v>5</v>
      </c>
      <c r="BI134" s="3">
        <f>IFERROR(__xludf.DUMMYFUNCTION("""COMPUTED_VALUE"""),19.0)</f>
        <v>19</v>
      </c>
      <c r="BJ134" s="3">
        <f>IFERROR(__xludf.DUMMYFUNCTION("""COMPUTED_VALUE"""),25.0)</f>
        <v>25</v>
      </c>
      <c r="BK134" s="3">
        <f>IFERROR(__xludf.DUMMYFUNCTION("""COMPUTED_VALUE"""),32.0)</f>
        <v>32</v>
      </c>
      <c r="BL134" s="3">
        <f>IFERROR(__xludf.DUMMYFUNCTION("""COMPUTED_VALUE"""),38.0)</f>
        <v>38</v>
      </c>
      <c r="BM134" s="3">
        <f>IFERROR(__xludf.DUMMYFUNCTION("""COMPUTED_VALUE"""),48.0)</f>
        <v>48</v>
      </c>
      <c r="BN134" s="3">
        <f>IFERROR(__xludf.DUMMYFUNCTION("""COMPUTED_VALUE"""),49.0)</f>
        <v>49</v>
      </c>
      <c r="BO134" s="3">
        <f>IFERROR(__xludf.DUMMYFUNCTION("""COMPUTED_VALUE"""),55.0)</f>
        <v>55</v>
      </c>
      <c r="BP134" s="3">
        <f>IFERROR(__xludf.DUMMYFUNCTION("""COMPUTED_VALUE"""),58.0)</f>
        <v>58</v>
      </c>
      <c r="BQ134" s="3">
        <f>IFERROR(__xludf.DUMMYFUNCTION("""COMPUTED_VALUE"""),78.0)</f>
        <v>78</v>
      </c>
      <c r="BR134" s="3">
        <f>IFERROR(__xludf.DUMMYFUNCTION("""COMPUTED_VALUE"""),87.0)</f>
        <v>87</v>
      </c>
      <c r="BS134" s="3">
        <f>IFERROR(__xludf.DUMMYFUNCTION("""COMPUTED_VALUE"""),102.0)</f>
        <v>102</v>
      </c>
      <c r="BT134" s="3">
        <f>IFERROR(__xludf.DUMMYFUNCTION("""COMPUTED_VALUE"""),114.0)</f>
        <v>114</v>
      </c>
      <c r="BU134" s="3">
        <f>IFERROR(__xludf.DUMMYFUNCTION("""COMPUTED_VALUE"""),122.0)</f>
        <v>122</v>
      </c>
      <c r="BV134" s="3">
        <f>IFERROR(__xludf.DUMMYFUNCTION("""COMPUTED_VALUE"""),136.0)</f>
        <v>136</v>
      </c>
      <c r="BW134" s="3">
        <f>IFERROR(__xludf.DUMMYFUNCTION("""COMPUTED_VALUE"""),157.0)</f>
        <v>157</v>
      </c>
      <c r="BX134" s="3">
        <f>IFERROR(__xludf.DUMMYFUNCTION("""COMPUTED_VALUE"""),170.0)</f>
        <v>170</v>
      </c>
      <c r="BY134" s="3">
        <f>IFERROR(__xludf.DUMMYFUNCTION("""COMPUTED_VALUE"""),181.0)</f>
        <v>181</v>
      </c>
      <c r="BZ134" s="3">
        <f>IFERROR(__xludf.DUMMYFUNCTION("""COMPUTED_VALUE"""),191.0)</f>
        <v>191</v>
      </c>
      <c r="CA134" s="3">
        <f>IFERROR(__xludf.DUMMYFUNCTION("""COMPUTED_VALUE"""),198.0)</f>
        <v>198</v>
      </c>
      <c r="CB134" s="3">
        <f>IFERROR(__xludf.DUMMYFUNCTION("""COMPUTED_VALUE"""),209.0)</f>
        <v>209</v>
      </c>
    </row>
    <row r="135">
      <c r="A135" s="3" t="str">
        <f>IFERROR(__xludf.DUMMYFUNCTION("""COMPUTED_VALUE"""),"")</f>
        <v/>
      </c>
      <c r="B135" s="3" t="str">
        <f>IFERROR(__xludf.DUMMYFUNCTION("""COMPUTED_VALUE"""),"Iran")</f>
        <v>Iran</v>
      </c>
      <c r="C135" s="3">
        <f>IFERROR(__xludf.DUMMYFUNCTION("""COMPUTED_VALUE"""),32.0)</f>
        <v>32</v>
      </c>
      <c r="D135" s="3">
        <f>IFERROR(__xludf.DUMMYFUNCTION("""COMPUTED_VALUE"""),53.0)</f>
        <v>53</v>
      </c>
      <c r="E135" s="3">
        <f>IFERROR(__xludf.DUMMYFUNCTION("""COMPUTED_VALUE"""),0.0)</f>
        <v>0</v>
      </c>
      <c r="F135" s="3">
        <f>IFERROR(__xludf.DUMMYFUNCTION("""COMPUTED_VALUE"""),0.0)</f>
        <v>0</v>
      </c>
      <c r="G135" s="3">
        <f>IFERROR(__xludf.DUMMYFUNCTION("""COMPUTED_VALUE"""),0.0)</f>
        <v>0</v>
      </c>
      <c r="H135" s="3">
        <f>IFERROR(__xludf.DUMMYFUNCTION("""COMPUTED_VALUE"""),0.0)</f>
        <v>0</v>
      </c>
      <c r="I135" s="3">
        <f>IFERROR(__xludf.DUMMYFUNCTION("""COMPUTED_VALUE"""),0.0)</f>
        <v>0</v>
      </c>
      <c r="J135" s="3">
        <f>IFERROR(__xludf.DUMMYFUNCTION("""COMPUTED_VALUE"""),0.0)</f>
        <v>0</v>
      </c>
      <c r="K135" s="3">
        <f>IFERROR(__xludf.DUMMYFUNCTION("""COMPUTED_VALUE"""),0.0)</f>
        <v>0</v>
      </c>
      <c r="L135" s="3">
        <f>IFERROR(__xludf.DUMMYFUNCTION("""COMPUTED_VALUE"""),0.0)</f>
        <v>0</v>
      </c>
      <c r="M135" s="3">
        <f>IFERROR(__xludf.DUMMYFUNCTION("""COMPUTED_VALUE"""),0.0)</f>
        <v>0</v>
      </c>
      <c r="N135" s="3">
        <f>IFERROR(__xludf.DUMMYFUNCTION("""COMPUTED_VALUE"""),0.0)</f>
        <v>0</v>
      </c>
      <c r="O135" s="3">
        <f>IFERROR(__xludf.DUMMYFUNCTION("""COMPUTED_VALUE"""),0.0)</f>
        <v>0</v>
      </c>
      <c r="P135" s="3">
        <f>IFERROR(__xludf.DUMMYFUNCTION("""COMPUTED_VALUE"""),0.0)</f>
        <v>0</v>
      </c>
      <c r="Q135" s="3">
        <f>IFERROR(__xludf.DUMMYFUNCTION("""COMPUTED_VALUE"""),0.0)</f>
        <v>0</v>
      </c>
      <c r="R135" s="3">
        <f>IFERROR(__xludf.DUMMYFUNCTION("""COMPUTED_VALUE"""),0.0)</f>
        <v>0</v>
      </c>
      <c r="S135" s="3">
        <f>IFERROR(__xludf.DUMMYFUNCTION("""COMPUTED_VALUE"""),0.0)</f>
        <v>0</v>
      </c>
      <c r="T135" s="3">
        <f>IFERROR(__xludf.DUMMYFUNCTION("""COMPUTED_VALUE"""),0.0)</f>
        <v>0</v>
      </c>
      <c r="U135" s="3">
        <f>IFERROR(__xludf.DUMMYFUNCTION("""COMPUTED_VALUE"""),0.0)</f>
        <v>0</v>
      </c>
      <c r="V135" s="3">
        <f>IFERROR(__xludf.DUMMYFUNCTION("""COMPUTED_VALUE"""),0.0)</f>
        <v>0</v>
      </c>
      <c r="W135" s="3">
        <f>IFERROR(__xludf.DUMMYFUNCTION("""COMPUTED_VALUE"""),0.0)</f>
        <v>0</v>
      </c>
      <c r="X135" s="3">
        <f>IFERROR(__xludf.DUMMYFUNCTION("""COMPUTED_VALUE"""),0.0)</f>
        <v>0</v>
      </c>
      <c r="Y135" s="3">
        <f>IFERROR(__xludf.DUMMYFUNCTION("""COMPUTED_VALUE"""),0.0)</f>
        <v>0</v>
      </c>
      <c r="Z135" s="3">
        <f>IFERROR(__xludf.DUMMYFUNCTION("""COMPUTED_VALUE"""),0.0)</f>
        <v>0</v>
      </c>
      <c r="AA135" s="3">
        <f>IFERROR(__xludf.DUMMYFUNCTION("""COMPUTED_VALUE"""),0.0)</f>
        <v>0</v>
      </c>
      <c r="AB135" s="3">
        <f>IFERROR(__xludf.DUMMYFUNCTION("""COMPUTED_VALUE"""),0.0)</f>
        <v>0</v>
      </c>
      <c r="AC135" s="3">
        <f>IFERROR(__xludf.DUMMYFUNCTION("""COMPUTED_VALUE"""),0.0)</f>
        <v>0</v>
      </c>
      <c r="AD135" s="3">
        <f>IFERROR(__xludf.DUMMYFUNCTION("""COMPUTED_VALUE"""),0.0)</f>
        <v>0</v>
      </c>
      <c r="AE135" s="3">
        <f>IFERROR(__xludf.DUMMYFUNCTION("""COMPUTED_VALUE"""),0.0)</f>
        <v>0</v>
      </c>
      <c r="AF135" s="3">
        <f>IFERROR(__xludf.DUMMYFUNCTION("""COMPUTED_VALUE"""),0.0)</f>
        <v>0</v>
      </c>
      <c r="AG135" s="3">
        <f>IFERROR(__xludf.DUMMYFUNCTION("""COMPUTED_VALUE"""),2.0)</f>
        <v>2</v>
      </c>
      <c r="AH135" s="3">
        <f>IFERROR(__xludf.DUMMYFUNCTION("""COMPUTED_VALUE"""),2.0)</f>
        <v>2</v>
      </c>
      <c r="AI135" s="3">
        <f>IFERROR(__xludf.DUMMYFUNCTION("""COMPUTED_VALUE"""),4.0)</f>
        <v>4</v>
      </c>
      <c r="AJ135" s="3">
        <f>IFERROR(__xludf.DUMMYFUNCTION("""COMPUTED_VALUE"""),5.0)</f>
        <v>5</v>
      </c>
      <c r="AK135" s="3">
        <f>IFERROR(__xludf.DUMMYFUNCTION("""COMPUTED_VALUE"""),8.0)</f>
        <v>8</v>
      </c>
      <c r="AL135" s="3">
        <f>IFERROR(__xludf.DUMMYFUNCTION("""COMPUTED_VALUE"""),12.0)</f>
        <v>12</v>
      </c>
      <c r="AM135" s="3">
        <f>IFERROR(__xludf.DUMMYFUNCTION("""COMPUTED_VALUE"""),16.0)</f>
        <v>16</v>
      </c>
      <c r="AN135" s="3">
        <f>IFERROR(__xludf.DUMMYFUNCTION("""COMPUTED_VALUE"""),19.0)</f>
        <v>19</v>
      </c>
      <c r="AO135" s="3">
        <f>IFERROR(__xludf.DUMMYFUNCTION("""COMPUTED_VALUE"""),26.0)</f>
        <v>26</v>
      </c>
      <c r="AP135" s="3">
        <f>IFERROR(__xludf.DUMMYFUNCTION("""COMPUTED_VALUE"""),34.0)</f>
        <v>34</v>
      </c>
      <c r="AQ135" s="3">
        <f>IFERROR(__xludf.DUMMYFUNCTION("""COMPUTED_VALUE"""),43.0)</f>
        <v>43</v>
      </c>
      <c r="AR135" s="3">
        <f>IFERROR(__xludf.DUMMYFUNCTION("""COMPUTED_VALUE"""),54.0)</f>
        <v>54</v>
      </c>
      <c r="AS135" s="3">
        <f>IFERROR(__xludf.DUMMYFUNCTION("""COMPUTED_VALUE"""),66.0)</f>
        <v>66</v>
      </c>
      <c r="AT135" s="3">
        <f>IFERROR(__xludf.DUMMYFUNCTION("""COMPUTED_VALUE"""),77.0)</f>
        <v>77</v>
      </c>
      <c r="AU135" s="3">
        <f>IFERROR(__xludf.DUMMYFUNCTION("""COMPUTED_VALUE"""),92.0)</f>
        <v>92</v>
      </c>
      <c r="AV135" s="3">
        <f>IFERROR(__xludf.DUMMYFUNCTION("""COMPUTED_VALUE"""),107.0)</f>
        <v>107</v>
      </c>
      <c r="AW135" s="3">
        <f>IFERROR(__xludf.DUMMYFUNCTION("""COMPUTED_VALUE"""),124.0)</f>
        <v>124</v>
      </c>
      <c r="AX135" s="3">
        <f>IFERROR(__xludf.DUMMYFUNCTION("""COMPUTED_VALUE"""),145.0)</f>
        <v>145</v>
      </c>
      <c r="AY135" s="3">
        <f>IFERROR(__xludf.DUMMYFUNCTION("""COMPUTED_VALUE"""),194.0)</f>
        <v>194</v>
      </c>
      <c r="AZ135" s="3">
        <f>IFERROR(__xludf.DUMMYFUNCTION("""COMPUTED_VALUE"""),237.0)</f>
        <v>237</v>
      </c>
      <c r="BA135" s="3">
        <f>IFERROR(__xludf.DUMMYFUNCTION("""COMPUTED_VALUE"""),291.0)</f>
        <v>291</v>
      </c>
      <c r="BB135" s="3">
        <f>IFERROR(__xludf.DUMMYFUNCTION("""COMPUTED_VALUE"""),354.0)</f>
        <v>354</v>
      </c>
      <c r="BC135" s="3">
        <f>IFERROR(__xludf.DUMMYFUNCTION("""COMPUTED_VALUE"""),429.0)</f>
        <v>429</v>
      </c>
      <c r="BD135" s="3">
        <f>IFERROR(__xludf.DUMMYFUNCTION("""COMPUTED_VALUE"""),514.0)</f>
        <v>514</v>
      </c>
      <c r="BE135" s="3">
        <f>IFERROR(__xludf.DUMMYFUNCTION("""COMPUTED_VALUE"""),611.0)</f>
        <v>611</v>
      </c>
      <c r="BF135" s="3">
        <f>IFERROR(__xludf.DUMMYFUNCTION("""COMPUTED_VALUE"""),724.0)</f>
        <v>724</v>
      </c>
      <c r="BG135" s="3">
        <f>IFERROR(__xludf.DUMMYFUNCTION("""COMPUTED_VALUE"""),853.0)</f>
        <v>853</v>
      </c>
      <c r="BH135" s="3">
        <f>IFERROR(__xludf.DUMMYFUNCTION("""COMPUTED_VALUE"""),988.0)</f>
        <v>988</v>
      </c>
      <c r="BI135" s="3">
        <f>IFERROR(__xludf.DUMMYFUNCTION("""COMPUTED_VALUE"""),1135.0)</f>
        <v>1135</v>
      </c>
      <c r="BJ135" s="3">
        <f>IFERROR(__xludf.DUMMYFUNCTION("""COMPUTED_VALUE"""),1284.0)</f>
        <v>1284</v>
      </c>
      <c r="BK135" s="3">
        <f>IFERROR(__xludf.DUMMYFUNCTION("""COMPUTED_VALUE"""),1433.0)</f>
        <v>1433</v>
      </c>
      <c r="BL135" s="3">
        <f>IFERROR(__xludf.DUMMYFUNCTION("""COMPUTED_VALUE"""),1556.0)</f>
        <v>1556</v>
      </c>
      <c r="BM135" s="3">
        <f>IFERROR(__xludf.DUMMYFUNCTION("""COMPUTED_VALUE"""),1685.0)</f>
        <v>1685</v>
      </c>
      <c r="BN135" s="3">
        <f>IFERROR(__xludf.DUMMYFUNCTION("""COMPUTED_VALUE"""),1812.0)</f>
        <v>1812</v>
      </c>
      <c r="BO135" s="3">
        <f>IFERROR(__xludf.DUMMYFUNCTION("""COMPUTED_VALUE"""),1934.0)</f>
        <v>1934</v>
      </c>
      <c r="BP135" s="3">
        <f>IFERROR(__xludf.DUMMYFUNCTION("""COMPUTED_VALUE"""),2077.0)</f>
        <v>2077</v>
      </c>
      <c r="BQ135" s="3">
        <f>IFERROR(__xludf.DUMMYFUNCTION("""COMPUTED_VALUE"""),2234.0)</f>
        <v>2234</v>
      </c>
      <c r="BR135" s="3">
        <f>IFERROR(__xludf.DUMMYFUNCTION("""COMPUTED_VALUE"""),2378.0)</f>
        <v>2378</v>
      </c>
      <c r="BS135" s="3">
        <f>IFERROR(__xludf.DUMMYFUNCTION("""COMPUTED_VALUE"""),2517.0)</f>
        <v>2517</v>
      </c>
      <c r="BT135" s="3">
        <f>IFERROR(__xludf.DUMMYFUNCTION("""COMPUTED_VALUE"""),2640.0)</f>
        <v>2640</v>
      </c>
      <c r="BU135" s="3">
        <f>IFERROR(__xludf.DUMMYFUNCTION("""COMPUTED_VALUE"""),2757.0)</f>
        <v>2757</v>
      </c>
      <c r="BV135" s="3">
        <f>IFERROR(__xludf.DUMMYFUNCTION("""COMPUTED_VALUE"""),2898.0)</f>
        <v>2898</v>
      </c>
      <c r="BW135" s="3">
        <f>IFERROR(__xludf.DUMMYFUNCTION("""COMPUTED_VALUE"""),3036.0)</f>
        <v>3036</v>
      </c>
      <c r="BX135" s="3">
        <f>IFERROR(__xludf.DUMMYFUNCTION("""COMPUTED_VALUE"""),3160.0)</f>
        <v>3160</v>
      </c>
      <c r="BY135" s="3">
        <f>IFERROR(__xludf.DUMMYFUNCTION("""COMPUTED_VALUE"""),3294.0)</f>
        <v>3294</v>
      </c>
      <c r="BZ135" s="3">
        <f>IFERROR(__xludf.DUMMYFUNCTION("""COMPUTED_VALUE"""),3452.0)</f>
        <v>3452</v>
      </c>
      <c r="CA135" s="3">
        <f>IFERROR(__xludf.DUMMYFUNCTION("""COMPUTED_VALUE"""),3603.0)</f>
        <v>3603</v>
      </c>
      <c r="CB135" s="3">
        <f>IFERROR(__xludf.DUMMYFUNCTION("""COMPUTED_VALUE"""),3739.0)</f>
        <v>3739</v>
      </c>
    </row>
    <row r="136">
      <c r="A136" s="3" t="str">
        <f>IFERROR(__xludf.DUMMYFUNCTION("""COMPUTED_VALUE"""),"")</f>
        <v/>
      </c>
      <c r="B136" s="3" t="str">
        <f>IFERROR(__xludf.DUMMYFUNCTION("""COMPUTED_VALUE"""),"Iraq")</f>
        <v>Iraq</v>
      </c>
      <c r="C136" s="3">
        <f>IFERROR(__xludf.DUMMYFUNCTION("""COMPUTED_VALUE"""),33.0)</f>
        <v>33</v>
      </c>
      <c r="D136" s="3">
        <f>IFERROR(__xludf.DUMMYFUNCTION("""COMPUTED_VALUE"""),44.0)</f>
        <v>44</v>
      </c>
      <c r="E136" s="3">
        <f>IFERROR(__xludf.DUMMYFUNCTION("""COMPUTED_VALUE"""),0.0)</f>
        <v>0</v>
      </c>
      <c r="F136" s="3">
        <f>IFERROR(__xludf.DUMMYFUNCTION("""COMPUTED_VALUE"""),0.0)</f>
        <v>0</v>
      </c>
      <c r="G136" s="3">
        <f>IFERROR(__xludf.DUMMYFUNCTION("""COMPUTED_VALUE"""),0.0)</f>
        <v>0</v>
      </c>
      <c r="H136" s="3">
        <f>IFERROR(__xludf.DUMMYFUNCTION("""COMPUTED_VALUE"""),0.0)</f>
        <v>0</v>
      </c>
      <c r="I136" s="3">
        <f>IFERROR(__xludf.DUMMYFUNCTION("""COMPUTED_VALUE"""),0.0)</f>
        <v>0</v>
      </c>
      <c r="J136" s="3">
        <f>IFERROR(__xludf.DUMMYFUNCTION("""COMPUTED_VALUE"""),0.0)</f>
        <v>0</v>
      </c>
      <c r="K136" s="3">
        <f>IFERROR(__xludf.DUMMYFUNCTION("""COMPUTED_VALUE"""),0.0)</f>
        <v>0</v>
      </c>
      <c r="L136" s="3">
        <f>IFERROR(__xludf.DUMMYFUNCTION("""COMPUTED_VALUE"""),0.0)</f>
        <v>0</v>
      </c>
      <c r="M136" s="3">
        <f>IFERROR(__xludf.DUMMYFUNCTION("""COMPUTED_VALUE"""),0.0)</f>
        <v>0</v>
      </c>
      <c r="N136" s="3">
        <f>IFERROR(__xludf.DUMMYFUNCTION("""COMPUTED_VALUE"""),0.0)</f>
        <v>0</v>
      </c>
      <c r="O136" s="3">
        <f>IFERROR(__xludf.DUMMYFUNCTION("""COMPUTED_VALUE"""),0.0)</f>
        <v>0</v>
      </c>
      <c r="P136" s="3">
        <f>IFERROR(__xludf.DUMMYFUNCTION("""COMPUTED_VALUE"""),0.0)</f>
        <v>0</v>
      </c>
      <c r="Q136" s="3">
        <f>IFERROR(__xludf.DUMMYFUNCTION("""COMPUTED_VALUE"""),0.0)</f>
        <v>0</v>
      </c>
      <c r="R136" s="3">
        <f>IFERROR(__xludf.DUMMYFUNCTION("""COMPUTED_VALUE"""),0.0)</f>
        <v>0</v>
      </c>
      <c r="S136" s="3">
        <f>IFERROR(__xludf.DUMMYFUNCTION("""COMPUTED_VALUE"""),0.0)</f>
        <v>0</v>
      </c>
      <c r="T136" s="3">
        <f>IFERROR(__xludf.DUMMYFUNCTION("""COMPUTED_VALUE"""),0.0)</f>
        <v>0</v>
      </c>
      <c r="U136" s="3">
        <f>IFERROR(__xludf.DUMMYFUNCTION("""COMPUTED_VALUE"""),0.0)</f>
        <v>0</v>
      </c>
      <c r="V136" s="3">
        <f>IFERROR(__xludf.DUMMYFUNCTION("""COMPUTED_VALUE"""),0.0)</f>
        <v>0</v>
      </c>
      <c r="W136" s="3">
        <f>IFERROR(__xludf.DUMMYFUNCTION("""COMPUTED_VALUE"""),0.0)</f>
        <v>0</v>
      </c>
      <c r="X136" s="3">
        <f>IFERROR(__xludf.DUMMYFUNCTION("""COMPUTED_VALUE"""),0.0)</f>
        <v>0</v>
      </c>
      <c r="Y136" s="3">
        <f>IFERROR(__xludf.DUMMYFUNCTION("""COMPUTED_VALUE"""),0.0)</f>
        <v>0</v>
      </c>
      <c r="Z136" s="3">
        <f>IFERROR(__xludf.DUMMYFUNCTION("""COMPUTED_VALUE"""),0.0)</f>
        <v>0</v>
      </c>
      <c r="AA136" s="3">
        <f>IFERROR(__xludf.DUMMYFUNCTION("""COMPUTED_VALUE"""),0.0)</f>
        <v>0</v>
      </c>
      <c r="AB136" s="3">
        <f>IFERROR(__xludf.DUMMYFUNCTION("""COMPUTED_VALUE"""),0.0)</f>
        <v>0</v>
      </c>
      <c r="AC136" s="3">
        <f>IFERROR(__xludf.DUMMYFUNCTION("""COMPUTED_VALUE"""),0.0)</f>
        <v>0</v>
      </c>
      <c r="AD136" s="3">
        <f>IFERROR(__xludf.DUMMYFUNCTION("""COMPUTED_VALUE"""),0.0)</f>
        <v>0</v>
      </c>
      <c r="AE136" s="3">
        <f>IFERROR(__xludf.DUMMYFUNCTION("""COMPUTED_VALUE"""),0.0)</f>
        <v>0</v>
      </c>
      <c r="AF136" s="3">
        <f>IFERROR(__xludf.DUMMYFUNCTION("""COMPUTED_VALUE"""),0.0)</f>
        <v>0</v>
      </c>
      <c r="AG136" s="3">
        <f>IFERROR(__xludf.DUMMYFUNCTION("""COMPUTED_VALUE"""),0.0)</f>
        <v>0</v>
      </c>
      <c r="AH136" s="3">
        <f>IFERROR(__xludf.DUMMYFUNCTION("""COMPUTED_VALUE"""),0.0)</f>
        <v>0</v>
      </c>
      <c r="AI136" s="3">
        <f>IFERROR(__xludf.DUMMYFUNCTION("""COMPUTED_VALUE"""),0.0)</f>
        <v>0</v>
      </c>
      <c r="AJ136" s="3">
        <f>IFERROR(__xludf.DUMMYFUNCTION("""COMPUTED_VALUE"""),0.0)</f>
        <v>0</v>
      </c>
      <c r="AK136" s="3">
        <f>IFERROR(__xludf.DUMMYFUNCTION("""COMPUTED_VALUE"""),0.0)</f>
        <v>0</v>
      </c>
      <c r="AL136" s="3">
        <f>IFERROR(__xludf.DUMMYFUNCTION("""COMPUTED_VALUE"""),0.0)</f>
        <v>0</v>
      </c>
      <c r="AM136" s="3">
        <f>IFERROR(__xludf.DUMMYFUNCTION("""COMPUTED_VALUE"""),0.0)</f>
        <v>0</v>
      </c>
      <c r="AN136" s="3">
        <f>IFERROR(__xludf.DUMMYFUNCTION("""COMPUTED_VALUE"""),0.0)</f>
        <v>0</v>
      </c>
      <c r="AO136" s="3">
        <f>IFERROR(__xludf.DUMMYFUNCTION("""COMPUTED_VALUE"""),0.0)</f>
        <v>0</v>
      </c>
      <c r="AP136" s="3">
        <f>IFERROR(__xludf.DUMMYFUNCTION("""COMPUTED_VALUE"""),0.0)</f>
        <v>0</v>
      </c>
      <c r="AQ136" s="3">
        <f>IFERROR(__xludf.DUMMYFUNCTION("""COMPUTED_VALUE"""),0.0)</f>
        <v>0</v>
      </c>
      <c r="AR136" s="3">
        <f>IFERROR(__xludf.DUMMYFUNCTION("""COMPUTED_VALUE"""),0.0)</f>
        <v>0</v>
      </c>
      <c r="AS136" s="3">
        <f>IFERROR(__xludf.DUMMYFUNCTION("""COMPUTED_VALUE"""),0.0)</f>
        <v>0</v>
      </c>
      <c r="AT136" s="3">
        <f>IFERROR(__xludf.DUMMYFUNCTION("""COMPUTED_VALUE"""),0.0)</f>
        <v>0</v>
      </c>
      <c r="AU136" s="3">
        <f>IFERROR(__xludf.DUMMYFUNCTION("""COMPUTED_VALUE"""),2.0)</f>
        <v>2</v>
      </c>
      <c r="AV136" s="3">
        <f>IFERROR(__xludf.DUMMYFUNCTION("""COMPUTED_VALUE"""),2.0)</f>
        <v>2</v>
      </c>
      <c r="AW136" s="3">
        <f>IFERROR(__xludf.DUMMYFUNCTION("""COMPUTED_VALUE"""),3.0)</f>
        <v>3</v>
      </c>
      <c r="AX136" s="3">
        <f>IFERROR(__xludf.DUMMYFUNCTION("""COMPUTED_VALUE"""),4.0)</f>
        <v>4</v>
      </c>
      <c r="AY136" s="3">
        <f>IFERROR(__xludf.DUMMYFUNCTION("""COMPUTED_VALUE"""),6.0)</f>
        <v>6</v>
      </c>
      <c r="AZ136" s="3">
        <f>IFERROR(__xludf.DUMMYFUNCTION("""COMPUTED_VALUE"""),6.0)</f>
        <v>6</v>
      </c>
      <c r="BA136" s="3">
        <f>IFERROR(__xludf.DUMMYFUNCTION("""COMPUTED_VALUE"""),7.0)</f>
        <v>7</v>
      </c>
      <c r="BB136" s="3">
        <f>IFERROR(__xludf.DUMMYFUNCTION("""COMPUTED_VALUE"""),7.0)</f>
        <v>7</v>
      </c>
      <c r="BC136" s="3">
        <f>IFERROR(__xludf.DUMMYFUNCTION("""COMPUTED_VALUE"""),8.0)</f>
        <v>8</v>
      </c>
      <c r="BD136" s="3">
        <f>IFERROR(__xludf.DUMMYFUNCTION("""COMPUTED_VALUE"""),9.0)</f>
        <v>9</v>
      </c>
      <c r="BE136" s="3">
        <f>IFERROR(__xludf.DUMMYFUNCTION("""COMPUTED_VALUE"""),10.0)</f>
        <v>10</v>
      </c>
      <c r="BF136" s="3">
        <f>IFERROR(__xludf.DUMMYFUNCTION("""COMPUTED_VALUE"""),10.0)</f>
        <v>10</v>
      </c>
      <c r="BG136" s="3">
        <f>IFERROR(__xludf.DUMMYFUNCTION("""COMPUTED_VALUE"""),10.0)</f>
        <v>10</v>
      </c>
      <c r="BH136" s="3">
        <f>IFERROR(__xludf.DUMMYFUNCTION("""COMPUTED_VALUE"""),11.0)</f>
        <v>11</v>
      </c>
      <c r="BI136" s="3">
        <f>IFERROR(__xludf.DUMMYFUNCTION("""COMPUTED_VALUE"""),12.0)</f>
        <v>12</v>
      </c>
      <c r="BJ136" s="3">
        <f>IFERROR(__xludf.DUMMYFUNCTION("""COMPUTED_VALUE"""),13.0)</f>
        <v>13</v>
      </c>
      <c r="BK136" s="3">
        <f>IFERROR(__xludf.DUMMYFUNCTION("""COMPUTED_VALUE"""),17.0)</f>
        <v>17</v>
      </c>
      <c r="BL136" s="3">
        <f>IFERROR(__xludf.DUMMYFUNCTION("""COMPUTED_VALUE"""),17.0)</f>
        <v>17</v>
      </c>
      <c r="BM136" s="3">
        <f>IFERROR(__xludf.DUMMYFUNCTION("""COMPUTED_VALUE"""),20.0)</f>
        <v>20</v>
      </c>
      <c r="BN136" s="3">
        <f>IFERROR(__xludf.DUMMYFUNCTION("""COMPUTED_VALUE"""),23.0)</f>
        <v>23</v>
      </c>
      <c r="BO136" s="3">
        <f>IFERROR(__xludf.DUMMYFUNCTION("""COMPUTED_VALUE"""),27.0)</f>
        <v>27</v>
      </c>
      <c r="BP136" s="3">
        <f>IFERROR(__xludf.DUMMYFUNCTION("""COMPUTED_VALUE"""),29.0)</f>
        <v>29</v>
      </c>
      <c r="BQ136" s="3">
        <f>IFERROR(__xludf.DUMMYFUNCTION("""COMPUTED_VALUE"""),36.0)</f>
        <v>36</v>
      </c>
      <c r="BR136" s="3">
        <f>IFERROR(__xludf.DUMMYFUNCTION("""COMPUTED_VALUE"""),40.0)</f>
        <v>40</v>
      </c>
      <c r="BS136" s="3">
        <f>IFERROR(__xludf.DUMMYFUNCTION("""COMPUTED_VALUE"""),42.0)</f>
        <v>42</v>
      </c>
      <c r="BT136" s="3">
        <f>IFERROR(__xludf.DUMMYFUNCTION("""COMPUTED_VALUE"""),42.0)</f>
        <v>42</v>
      </c>
      <c r="BU136" s="3">
        <f>IFERROR(__xludf.DUMMYFUNCTION("""COMPUTED_VALUE"""),46.0)</f>
        <v>46</v>
      </c>
      <c r="BV136" s="3">
        <f>IFERROR(__xludf.DUMMYFUNCTION("""COMPUTED_VALUE"""),50.0)</f>
        <v>50</v>
      </c>
      <c r="BW136" s="3">
        <f>IFERROR(__xludf.DUMMYFUNCTION("""COMPUTED_VALUE"""),52.0)</f>
        <v>52</v>
      </c>
      <c r="BX136" s="3">
        <f>IFERROR(__xludf.DUMMYFUNCTION("""COMPUTED_VALUE"""),54.0)</f>
        <v>54</v>
      </c>
      <c r="BY136" s="3">
        <f>IFERROR(__xludf.DUMMYFUNCTION("""COMPUTED_VALUE"""),54.0)</f>
        <v>54</v>
      </c>
      <c r="BZ136" s="3">
        <f>IFERROR(__xludf.DUMMYFUNCTION("""COMPUTED_VALUE"""),56.0)</f>
        <v>56</v>
      </c>
      <c r="CA136" s="3">
        <f>IFERROR(__xludf.DUMMYFUNCTION("""COMPUTED_VALUE"""),61.0)</f>
        <v>61</v>
      </c>
      <c r="CB136" s="3">
        <f>IFERROR(__xludf.DUMMYFUNCTION("""COMPUTED_VALUE"""),64.0)</f>
        <v>64</v>
      </c>
    </row>
    <row r="137">
      <c r="A137" s="3" t="str">
        <f>IFERROR(__xludf.DUMMYFUNCTION("""COMPUTED_VALUE"""),"")</f>
        <v/>
      </c>
      <c r="B137" s="3" t="str">
        <f>IFERROR(__xludf.DUMMYFUNCTION("""COMPUTED_VALUE"""),"Ireland")</f>
        <v>Ireland</v>
      </c>
      <c r="C137" s="3">
        <f>IFERROR(__xludf.DUMMYFUNCTION("""COMPUTED_VALUE"""),53.1424)</f>
        <v>53.1424</v>
      </c>
      <c r="D137" s="3">
        <f>IFERROR(__xludf.DUMMYFUNCTION("""COMPUTED_VALUE"""),-7.6921)</f>
        <v>-7.6921</v>
      </c>
      <c r="E137" s="3">
        <f>IFERROR(__xludf.DUMMYFUNCTION("""COMPUTED_VALUE"""),0.0)</f>
        <v>0</v>
      </c>
      <c r="F137" s="3">
        <f>IFERROR(__xludf.DUMMYFUNCTION("""COMPUTED_VALUE"""),0.0)</f>
        <v>0</v>
      </c>
      <c r="G137" s="3">
        <f>IFERROR(__xludf.DUMMYFUNCTION("""COMPUTED_VALUE"""),0.0)</f>
        <v>0</v>
      </c>
      <c r="H137" s="3">
        <f>IFERROR(__xludf.DUMMYFUNCTION("""COMPUTED_VALUE"""),0.0)</f>
        <v>0</v>
      </c>
      <c r="I137" s="3">
        <f>IFERROR(__xludf.DUMMYFUNCTION("""COMPUTED_VALUE"""),0.0)</f>
        <v>0</v>
      </c>
      <c r="J137" s="3">
        <f>IFERROR(__xludf.DUMMYFUNCTION("""COMPUTED_VALUE"""),0.0)</f>
        <v>0</v>
      </c>
      <c r="K137" s="3">
        <f>IFERROR(__xludf.DUMMYFUNCTION("""COMPUTED_VALUE"""),0.0)</f>
        <v>0</v>
      </c>
      <c r="L137" s="3">
        <f>IFERROR(__xludf.DUMMYFUNCTION("""COMPUTED_VALUE"""),0.0)</f>
        <v>0</v>
      </c>
      <c r="M137" s="3">
        <f>IFERROR(__xludf.DUMMYFUNCTION("""COMPUTED_VALUE"""),0.0)</f>
        <v>0</v>
      </c>
      <c r="N137" s="3">
        <f>IFERROR(__xludf.DUMMYFUNCTION("""COMPUTED_VALUE"""),0.0)</f>
        <v>0</v>
      </c>
      <c r="O137" s="3">
        <f>IFERROR(__xludf.DUMMYFUNCTION("""COMPUTED_VALUE"""),0.0)</f>
        <v>0</v>
      </c>
      <c r="P137" s="3">
        <f>IFERROR(__xludf.DUMMYFUNCTION("""COMPUTED_VALUE"""),0.0)</f>
        <v>0</v>
      </c>
      <c r="Q137" s="3">
        <f>IFERROR(__xludf.DUMMYFUNCTION("""COMPUTED_VALUE"""),0.0)</f>
        <v>0</v>
      </c>
      <c r="R137" s="3">
        <f>IFERROR(__xludf.DUMMYFUNCTION("""COMPUTED_VALUE"""),0.0)</f>
        <v>0</v>
      </c>
      <c r="S137" s="3">
        <f>IFERROR(__xludf.DUMMYFUNCTION("""COMPUTED_VALUE"""),0.0)</f>
        <v>0</v>
      </c>
      <c r="T137" s="3">
        <f>IFERROR(__xludf.DUMMYFUNCTION("""COMPUTED_VALUE"""),0.0)</f>
        <v>0</v>
      </c>
      <c r="U137" s="3">
        <f>IFERROR(__xludf.DUMMYFUNCTION("""COMPUTED_VALUE"""),0.0)</f>
        <v>0</v>
      </c>
      <c r="V137" s="3">
        <f>IFERROR(__xludf.DUMMYFUNCTION("""COMPUTED_VALUE"""),0.0)</f>
        <v>0</v>
      </c>
      <c r="W137" s="3">
        <f>IFERROR(__xludf.DUMMYFUNCTION("""COMPUTED_VALUE"""),0.0)</f>
        <v>0</v>
      </c>
      <c r="X137" s="3">
        <f>IFERROR(__xludf.DUMMYFUNCTION("""COMPUTED_VALUE"""),0.0)</f>
        <v>0</v>
      </c>
      <c r="Y137" s="3">
        <f>IFERROR(__xludf.DUMMYFUNCTION("""COMPUTED_VALUE"""),0.0)</f>
        <v>0</v>
      </c>
      <c r="Z137" s="3">
        <f>IFERROR(__xludf.DUMMYFUNCTION("""COMPUTED_VALUE"""),0.0)</f>
        <v>0</v>
      </c>
      <c r="AA137" s="3">
        <f>IFERROR(__xludf.DUMMYFUNCTION("""COMPUTED_VALUE"""),0.0)</f>
        <v>0</v>
      </c>
      <c r="AB137" s="3">
        <f>IFERROR(__xludf.DUMMYFUNCTION("""COMPUTED_VALUE"""),0.0)</f>
        <v>0</v>
      </c>
      <c r="AC137" s="3">
        <f>IFERROR(__xludf.DUMMYFUNCTION("""COMPUTED_VALUE"""),0.0)</f>
        <v>0</v>
      </c>
      <c r="AD137" s="3">
        <f>IFERROR(__xludf.DUMMYFUNCTION("""COMPUTED_VALUE"""),0.0)</f>
        <v>0</v>
      </c>
      <c r="AE137" s="3">
        <f>IFERROR(__xludf.DUMMYFUNCTION("""COMPUTED_VALUE"""),0.0)</f>
        <v>0</v>
      </c>
      <c r="AF137" s="3">
        <f>IFERROR(__xludf.DUMMYFUNCTION("""COMPUTED_VALUE"""),0.0)</f>
        <v>0</v>
      </c>
      <c r="AG137" s="3">
        <f>IFERROR(__xludf.DUMMYFUNCTION("""COMPUTED_VALUE"""),0.0)</f>
        <v>0</v>
      </c>
      <c r="AH137" s="3">
        <f>IFERROR(__xludf.DUMMYFUNCTION("""COMPUTED_VALUE"""),0.0)</f>
        <v>0</v>
      </c>
      <c r="AI137" s="3">
        <f>IFERROR(__xludf.DUMMYFUNCTION("""COMPUTED_VALUE"""),0.0)</f>
        <v>0</v>
      </c>
      <c r="AJ137" s="3">
        <f>IFERROR(__xludf.DUMMYFUNCTION("""COMPUTED_VALUE"""),0.0)</f>
        <v>0</v>
      </c>
      <c r="AK137" s="3">
        <f>IFERROR(__xludf.DUMMYFUNCTION("""COMPUTED_VALUE"""),0.0)</f>
        <v>0</v>
      </c>
      <c r="AL137" s="3">
        <f>IFERROR(__xludf.DUMMYFUNCTION("""COMPUTED_VALUE"""),0.0)</f>
        <v>0</v>
      </c>
      <c r="AM137" s="3">
        <f>IFERROR(__xludf.DUMMYFUNCTION("""COMPUTED_VALUE"""),0.0)</f>
        <v>0</v>
      </c>
      <c r="AN137" s="3">
        <f>IFERROR(__xludf.DUMMYFUNCTION("""COMPUTED_VALUE"""),0.0)</f>
        <v>0</v>
      </c>
      <c r="AO137" s="3">
        <f>IFERROR(__xludf.DUMMYFUNCTION("""COMPUTED_VALUE"""),0.0)</f>
        <v>0</v>
      </c>
      <c r="AP137" s="3">
        <f>IFERROR(__xludf.DUMMYFUNCTION("""COMPUTED_VALUE"""),0.0)</f>
        <v>0</v>
      </c>
      <c r="AQ137" s="3">
        <f>IFERROR(__xludf.DUMMYFUNCTION("""COMPUTED_VALUE"""),0.0)</f>
        <v>0</v>
      </c>
      <c r="AR137" s="3">
        <f>IFERROR(__xludf.DUMMYFUNCTION("""COMPUTED_VALUE"""),0.0)</f>
        <v>0</v>
      </c>
      <c r="AS137" s="3">
        <f>IFERROR(__xludf.DUMMYFUNCTION("""COMPUTED_VALUE"""),0.0)</f>
        <v>0</v>
      </c>
      <c r="AT137" s="3">
        <f>IFERROR(__xludf.DUMMYFUNCTION("""COMPUTED_VALUE"""),0.0)</f>
        <v>0</v>
      </c>
      <c r="AU137" s="3">
        <f>IFERROR(__xludf.DUMMYFUNCTION("""COMPUTED_VALUE"""),0.0)</f>
        <v>0</v>
      </c>
      <c r="AV137" s="3">
        <f>IFERROR(__xludf.DUMMYFUNCTION("""COMPUTED_VALUE"""),0.0)</f>
        <v>0</v>
      </c>
      <c r="AW137" s="3">
        <f>IFERROR(__xludf.DUMMYFUNCTION("""COMPUTED_VALUE"""),0.0)</f>
        <v>0</v>
      </c>
      <c r="AX137" s="3">
        <f>IFERROR(__xludf.DUMMYFUNCTION("""COMPUTED_VALUE"""),0.0)</f>
        <v>0</v>
      </c>
      <c r="AY137" s="3">
        <f>IFERROR(__xludf.DUMMYFUNCTION("""COMPUTED_VALUE"""),0.0)</f>
        <v>0</v>
      </c>
      <c r="AZ137" s="3">
        <f>IFERROR(__xludf.DUMMYFUNCTION("""COMPUTED_VALUE"""),0.0)</f>
        <v>0</v>
      </c>
      <c r="BA137" s="3">
        <f>IFERROR(__xludf.DUMMYFUNCTION("""COMPUTED_VALUE"""),0.0)</f>
        <v>0</v>
      </c>
      <c r="BB137" s="3">
        <f>IFERROR(__xludf.DUMMYFUNCTION("""COMPUTED_VALUE"""),1.0)</f>
        <v>1</v>
      </c>
      <c r="BC137" s="3">
        <f>IFERROR(__xludf.DUMMYFUNCTION("""COMPUTED_VALUE"""),1.0)</f>
        <v>1</v>
      </c>
      <c r="BD137" s="3">
        <f>IFERROR(__xludf.DUMMYFUNCTION("""COMPUTED_VALUE"""),1.0)</f>
        <v>1</v>
      </c>
      <c r="BE137" s="3">
        <f>IFERROR(__xludf.DUMMYFUNCTION("""COMPUTED_VALUE"""),2.0)</f>
        <v>2</v>
      </c>
      <c r="BF137" s="3">
        <f>IFERROR(__xludf.DUMMYFUNCTION("""COMPUTED_VALUE"""),2.0)</f>
        <v>2</v>
      </c>
      <c r="BG137" s="3">
        <f>IFERROR(__xludf.DUMMYFUNCTION("""COMPUTED_VALUE"""),2.0)</f>
        <v>2</v>
      </c>
      <c r="BH137" s="3">
        <f>IFERROR(__xludf.DUMMYFUNCTION("""COMPUTED_VALUE"""),2.0)</f>
        <v>2</v>
      </c>
      <c r="BI137" s="3">
        <f>IFERROR(__xludf.DUMMYFUNCTION("""COMPUTED_VALUE"""),2.0)</f>
        <v>2</v>
      </c>
      <c r="BJ137" s="3">
        <f>IFERROR(__xludf.DUMMYFUNCTION("""COMPUTED_VALUE"""),3.0)</f>
        <v>3</v>
      </c>
      <c r="BK137" s="3">
        <f>IFERROR(__xludf.DUMMYFUNCTION("""COMPUTED_VALUE"""),3.0)</f>
        <v>3</v>
      </c>
      <c r="BL137" s="3">
        <f>IFERROR(__xludf.DUMMYFUNCTION("""COMPUTED_VALUE"""),3.0)</f>
        <v>3</v>
      </c>
      <c r="BM137" s="3">
        <f>IFERROR(__xludf.DUMMYFUNCTION("""COMPUTED_VALUE"""),4.0)</f>
        <v>4</v>
      </c>
      <c r="BN137" s="3">
        <f>IFERROR(__xludf.DUMMYFUNCTION("""COMPUTED_VALUE"""),6.0)</f>
        <v>6</v>
      </c>
      <c r="BO137" s="3">
        <f>IFERROR(__xludf.DUMMYFUNCTION("""COMPUTED_VALUE"""),7.0)</f>
        <v>7</v>
      </c>
      <c r="BP137" s="3">
        <f>IFERROR(__xludf.DUMMYFUNCTION("""COMPUTED_VALUE"""),9.0)</f>
        <v>9</v>
      </c>
      <c r="BQ137" s="3">
        <f>IFERROR(__xludf.DUMMYFUNCTION("""COMPUTED_VALUE"""),19.0)</f>
        <v>19</v>
      </c>
      <c r="BR137" s="3">
        <f>IFERROR(__xludf.DUMMYFUNCTION("""COMPUTED_VALUE"""),22.0)</f>
        <v>22</v>
      </c>
      <c r="BS137" s="3">
        <f>IFERROR(__xludf.DUMMYFUNCTION("""COMPUTED_VALUE"""),36.0)</f>
        <v>36</v>
      </c>
      <c r="BT137" s="3">
        <f>IFERROR(__xludf.DUMMYFUNCTION("""COMPUTED_VALUE"""),46.0)</f>
        <v>46</v>
      </c>
      <c r="BU137" s="3">
        <f>IFERROR(__xludf.DUMMYFUNCTION("""COMPUTED_VALUE"""),54.0)</f>
        <v>54</v>
      </c>
      <c r="BV137" s="3">
        <f>IFERROR(__xludf.DUMMYFUNCTION("""COMPUTED_VALUE"""),71.0)</f>
        <v>71</v>
      </c>
      <c r="BW137" s="3">
        <f>IFERROR(__xludf.DUMMYFUNCTION("""COMPUTED_VALUE"""),85.0)</f>
        <v>85</v>
      </c>
      <c r="BX137" s="3">
        <f>IFERROR(__xludf.DUMMYFUNCTION("""COMPUTED_VALUE"""),98.0)</f>
        <v>98</v>
      </c>
      <c r="BY137" s="3">
        <f>IFERROR(__xludf.DUMMYFUNCTION("""COMPUTED_VALUE"""),120.0)</f>
        <v>120</v>
      </c>
      <c r="BZ137" s="3">
        <f>IFERROR(__xludf.DUMMYFUNCTION("""COMPUTED_VALUE"""),137.0)</f>
        <v>137</v>
      </c>
      <c r="CA137" s="3">
        <f>IFERROR(__xludf.DUMMYFUNCTION("""COMPUTED_VALUE"""),158.0)</f>
        <v>158</v>
      </c>
      <c r="CB137" s="3">
        <f>IFERROR(__xludf.DUMMYFUNCTION("""COMPUTED_VALUE"""),174.0)</f>
        <v>174</v>
      </c>
    </row>
    <row r="138">
      <c r="A138" s="3" t="str">
        <f>IFERROR(__xludf.DUMMYFUNCTION("""COMPUTED_VALUE"""),"")</f>
        <v/>
      </c>
      <c r="B138" s="3" t="str">
        <f>IFERROR(__xludf.DUMMYFUNCTION("""COMPUTED_VALUE"""),"Israel")</f>
        <v>Israel</v>
      </c>
      <c r="C138" s="3">
        <f>IFERROR(__xludf.DUMMYFUNCTION("""COMPUTED_VALUE"""),31.0)</f>
        <v>31</v>
      </c>
      <c r="D138" s="3">
        <f>IFERROR(__xludf.DUMMYFUNCTION("""COMPUTED_VALUE"""),35.0)</f>
        <v>35</v>
      </c>
      <c r="E138" s="3">
        <f>IFERROR(__xludf.DUMMYFUNCTION("""COMPUTED_VALUE"""),0.0)</f>
        <v>0</v>
      </c>
      <c r="F138" s="3">
        <f>IFERROR(__xludf.DUMMYFUNCTION("""COMPUTED_VALUE"""),0.0)</f>
        <v>0</v>
      </c>
      <c r="G138" s="3">
        <f>IFERROR(__xludf.DUMMYFUNCTION("""COMPUTED_VALUE"""),0.0)</f>
        <v>0</v>
      </c>
      <c r="H138" s="3">
        <f>IFERROR(__xludf.DUMMYFUNCTION("""COMPUTED_VALUE"""),0.0)</f>
        <v>0</v>
      </c>
      <c r="I138" s="3">
        <f>IFERROR(__xludf.DUMMYFUNCTION("""COMPUTED_VALUE"""),0.0)</f>
        <v>0</v>
      </c>
      <c r="J138" s="3">
        <f>IFERROR(__xludf.DUMMYFUNCTION("""COMPUTED_VALUE"""),0.0)</f>
        <v>0</v>
      </c>
      <c r="K138" s="3">
        <f>IFERROR(__xludf.DUMMYFUNCTION("""COMPUTED_VALUE"""),0.0)</f>
        <v>0</v>
      </c>
      <c r="L138" s="3">
        <f>IFERROR(__xludf.DUMMYFUNCTION("""COMPUTED_VALUE"""),0.0)</f>
        <v>0</v>
      </c>
      <c r="M138" s="3">
        <f>IFERROR(__xludf.DUMMYFUNCTION("""COMPUTED_VALUE"""),0.0)</f>
        <v>0</v>
      </c>
      <c r="N138" s="3">
        <f>IFERROR(__xludf.DUMMYFUNCTION("""COMPUTED_VALUE"""),0.0)</f>
        <v>0</v>
      </c>
      <c r="O138" s="3">
        <f>IFERROR(__xludf.DUMMYFUNCTION("""COMPUTED_VALUE"""),0.0)</f>
        <v>0</v>
      </c>
      <c r="P138" s="3">
        <f>IFERROR(__xludf.DUMMYFUNCTION("""COMPUTED_VALUE"""),0.0)</f>
        <v>0</v>
      </c>
      <c r="Q138" s="3">
        <f>IFERROR(__xludf.DUMMYFUNCTION("""COMPUTED_VALUE"""),0.0)</f>
        <v>0</v>
      </c>
      <c r="R138" s="3">
        <f>IFERROR(__xludf.DUMMYFUNCTION("""COMPUTED_VALUE"""),0.0)</f>
        <v>0</v>
      </c>
      <c r="S138" s="3">
        <f>IFERROR(__xludf.DUMMYFUNCTION("""COMPUTED_VALUE"""),0.0)</f>
        <v>0</v>
      </c>
      <c r="T138" s="3">
        <f>IFERROR(__xludf.DUMMYFUNCTION("""COMPUTED_VALUE"""),0.0)</f>
        <v>0</v>
      </c>
      <c r="U138" s="3">
        <f>IFERROR(__xludf.DUMMYFUNCTION("""COMPUTED_VALUE"""),0.0)</f>
        <v>0</v>
      </c>
      <c r="V138" s="3">
        <f>IFERROR(__xludf.DUMMYFUNCTION("""COMPUTED_VALUE"""),0.0)</f>
        <v>0</v>
      </c>
      <c r="W138" s="3">
        <f>IFERROR(__xludf.DUMMYFUNCTION("""COMPUTED_VALUE"""),0.0)</f>
        <v>0</v>
      </c>
      <c r="X138" s="3">
        <f>IFERROR(__xludf.DUMMYFUNCTION("""COMPUTED_VALUE"""),0.0)</f>
        <v>0</v>
      </c>
      <c r="Y138" s="3">
        <f>IFERROR(__xludf.DUMMYFUNCTION("""COMPUTED_VALUE"""),0.0)</f>
        <v>0</v>
      </c>
      <c r="Z138" s="3">
        <f>IFERROR(__xludf.DUMMYFUNCTION("""COMPUTED_VALUE"""),0.0)</f>
        <v>0</v>
      </c>
      <c r="AA138" s="3">
        <f>IFERROR(__xludf.DUMMYFUNCTION("""COMPUTED_VALUE"""),0.0)</f>
        <v>0</v>
      </c>
      <c r="AB138" s="3">
        <f>IFERROR(__xludf.DUMMYFUNCTION("""COMPUTED_VALUE"""),0.0)</f>
        <v>0</v>
      </c>
      <c r="AC138" s="3">
        <f>IFERROR(__xludf.DUMMYFUNCTION("""COMPUTED_VALUE"""),0.0)</f>
        <v>0</v>
      </c>
      <c r="AD138" s="3">
        <f>IFERROR(__xludf.DUMMYFUNCTION("""COMPUTED_VALUE"""),0.0)</f>
        <v>0</v>
      </c>
      <c r="AE138" s="3">
        <f>IFERROR(__xludf.DUMMYFUNCTION("""COMPUTED_VALUE"""),0.0)</f>
        <v>0</v>
      </c>
      <c r="AF138" s="3">
        <f>IFERROR(__xludf.DUMMYFUNCTION("""COMPUTED_VALUE"""),0.0)</f>
        <v>0</v>
      </c>
      <c r="AG138" s="3">
        <f>IFERROR(__xludf.DUMMYFUNCTION("""COMPUTED_VALUE"""),0.0)</f>
        <v>0</v>
      </c>
      <c r="AH138" s="3">
        <f>IFERROR(__xludf.DUMMYFUNCTION("""COMPUTED_VALUE"""),0.0)</f>
        <v>0</v>
      </c>
      <c r="AI138" s="3">
        <f>IFERROR(__xludf.DUMMYFUNCTION("""COMPUTED_VALUE"""),0.0)</f>
        <v>0</v>
      </c>
      <c r="AJ138" s="3">
        <f>IFERROR(__xludf.DUMMYFUNCTION("""COMPUTED_VALUE"""),0.0)</f>
        <v>0</v>
      </c>
      <c r="AK138" s="3">
        <f>IFERROR(__xludf.DUMMYFUNCTION("""COMPUTED_VALUE"""),0.0)</f>
        <v>0</v>
      </c>
      <c r="AL138" s="3">
        <f>IFERROR(__xludf.DUMMYFUNCTION("""COMPUTED_VALUE"""),0.0)</f>
        <v>0</v>
      </c>
      <c r="AM138" s="3">
        <f>IFERROR(__xludf.DUMMYFUNCTION("""COMPUTED_VALUE"""),0.0)</f>
        <v>0</v>
      </c>
      <c r="AN138" s="3">
        <f>IFERROR(__xludf.DUMMYFUNCTION("""COMPUTED_VALUE"""),0.0)</f>
        <v>0</v>
      </c>
      <c r="AO138" s="3">
        <f>IFERROR(__xludf.DUMMYFUNCTION("""COMPUTED_VALUE"""),0.0)</f>
        <v>0</v>
      </c>
      <c r="AP138" s="3">
        <f>IFERROR(__xludf.DUMMYFUNCTION("""COMPUTED_VALUE"""),0.0)</f>
        <v>0</v>
      </c>
      <c r="AQ138" s="3">
        <f>IFERROR(__xludf.DUMMYFUNCTION("""COMPUTED_VALUE"""),0.0)</f>
        <v>0</v>
      </c>
      <c r="AR138" s="3">
        <f>IFERROR(__xludf.DUMMYFUNCTION("""COMPUTED_VALUE"""),0.0)</f>
        <v>0</v>
      </c>
      <c r="AS138" s="3">
        <f>IFERROR(__xludf.DUMMYFUNCTION("""COMPUTED_VALUE"""),0.0)</f>
        <v>0</v>
      </c>
      <c r="AT138" s="3">
        <f>IFERROR(__xludf.DUMMYFUNCTION("""COMPUTED_VALUE"""),0.0)</f>
        <v>0</v>
      </c>
      <c r="AU138" s="3">
        <f>IFERROR(__xludf.DUMMYFUNCTION("""COMPUTED_VALUE"""),0.0)</f>
        <v>0</v>
      </c>
      <c r="AV138" s="3">
        <f>IFERROR(__xludf.DUMMYFUNCTION("""COMPUTED_VALUE"""),0.0)</f>
        <v>0</v>
      </c>
      <c r="AW138" s="3">
        <f>IFERROR(__xludf.DUMMYFUNCTION("""COMPUTED_VALUE"""),0.0)</f>
        <v>0</v>
      </c>
      <c r="AX138" s="3">
        <f>IFERROR(__xludf.DUMMYFUNCTION("""COMPUTED_VALUE"""),0.0)</f>
        <v>0</v>
      </c>
      <c r="AY138" s="3">
        <f>IFERROR(__xludf.DUMMYFUNCTION("""COMPUTED_VALUE"""),0.0)</f>
        <v>0</v>
      </c>
      <c r="AZ138" s="3">
        <f>IFERROR(__xludf.DUMMYFUNCTION("""COMPUTED_VALUE"""),0.0)</f>
        <v>0</v>
      </c>
      <c r="BA138" s="3">
        <f>IFERROR(__xludf.DUMMYFUNCTION("""COMPUTED_VALUE"""),0.0)</f>
        <v>0</v>
      </c>
      <c r="BB138" s="3">
        <f>IFERROR(__xludf.DUMMYFUNCTION("""COMPUTED_VALUE"""),0.0)</f>
        <v>0</v>
      </c>
      <c r="BC138" s="3">
        <f>IFERROR(__xludf.DUMMYFUNCTION("""COMPUTED_VALUE"""),0.0)</f>
        <v>0</v>
      </c>
      <c r="BD138" s="3">
        <f>IFERROR(__xludf.DUMMYFUNCTION("""COMPUTED_VALUE"""),0.0)</f>
        <v>0</v>
      </c>
      <c r="BE138" s="3">
        <f>IFERROR(__xludf.DUMMYFUNCTION("""COMPUTED_VALUE"""),0.0)</f>
        <v>0</v>
      </c>
      <c r="BF138" s="3">
        <f>IFERROR(__xludf.DUMMYFUNCTION("""COMPUTED_VALUE"""),0.0)</f>
        <v>0</v>
      </c>
      <c r="BG138" s="3">
        <f>IFERROR(__xludf.DUMMYFUNCTION("""COMPUTED_VALUE"""),0.0)</f>
        <v>0</v>
      </c>
      <c r="BH138" s="3">
        <f>IFERROR(__xludf.DUMMYFUNCTION("""COMPUTED_VALUE"""),0.0)</f>
        <v>0</v>
      </c>
      <c r="BI138" s="3">
        <f>IFERROR(__xludf.DUMMYFUNCTION("""COMPUTED_VALUE"""),0.0)</f>
        <v>0</v>
      </c>
      <c r="BJ138" s="3">
        <f>IFERROR(__xludf.DUMMYFUNCTION("""COMPUTED_VALUE"""),0.0)</f>
        <v>0</v>
      </c>
      <c r="BK138" s="3">
        <f>IFERROR(__xludf.DUMMYFUNCTION("""COMPUTED_VALUE"""),0.0)</f>
        <v>0</v>
      </c>
      <c r="BL138" s="3">
        <f>IFERROR(__xludf.DUMMYFUNCTION("""COMPUTED_VALUE"""),1.0)</f>
        <v>1</v>
      </c>
      <c r="BM138" s="3">
        <f>IFERROR(__xludf.DUMMYFUNCTION("""COMPUTED_VALUE"""),1.0)</f>
        <v>1</v>
      </c>
      <c r="BN138" s="3">
        <f>IFERROR(__xludf.DUMMYFUNCTION("""COMPUTED_VALUE"""),1.0)</f>
        <v>1</v>
      </c>
      <c r="BO138" s="3">
        <f>IFERROR(__xludf.DUMMYFUNCTION("""COMPUTED_VALUE"""),3.0)</f>
        <v>3</v>
      </c>
      <c r="BP138" s="3">
        <f>IFERROR(__xludf.DUMMYFUNCTION("""COMPUTED_VALUE"""),5.0)</f>
        <v>5</v>
      </c>
      <c r="BQ138" s="3">
        <f>IFERROR(__xludf.DUMMYFUNCTION("""COMPUTED_VALUE"""),8.0)</f>
        <v>8</v>
      </c>
      <c r="BR138" s="3">
        <f>IFERROR(__xludf.DUMMYFUNCTION("""COMPUTED_VALUE"""),12.0)</f>
        <v>12</v>
      </c>
      <c r="BS138" s="3">
        <f>IFERROR(__xludf.DUMMYFUNCTION("""COMPUTED_VALUE"""),12.0)</f>
        <v>12</v>
      </c>
      <c r="BT138" s="3">
        <f>IFERROR(__xludf.DUMMYFUNCTION("""COMPUTED_VALUE"""),15.0)</f>
        <v>15</v>
      </c>
      <c r="BU138" s="3">
        <f>IFERROR(__xludf.DUMMYFUNCTION("""COMPUTED_VALUE"""),16.0)</f>
        <v>16</v>
      </c>
      <c r="BV138" s="3">
        <f>IFERROR(__xludf.DUMMYFUNCTION("""COMPUTED_VALUE"""),20.0)</f>
        <v>20</v>
      </c>
      <c r="BW138" s="3">
        <f>IFERROR(__xludf.DUMMYFUNCTION("""COMPUTED_VALUE"""),26.0)</f>
        <v>26</v>
      </c>
      <c r="BX138" s="3">
        <f>IFERROR(__xludf.DUMMYFUNCTION("""COMPUTED_VALUE"""),36.0)</f>
        <v>36</v>
      </c>
      <c r="BY138" s="3">
        <f>IFERROR(__xludf.DUMMYFUNCTION("""COMPUTED_VALUE"""),40.0)</f>
        <v>40</v>
      </c>
      <c r="BZ138" s="3">
        <f>IFERROR(__xludf.DUMMYFUNCTION("""COMPUTED_VALUE"""),44.0)</f>
        <v>44</v>
      </c>
      <c r="CA138" s="3">
        <f>IFERROR(__xludf.DUMMYFUNCTION("""COMPUTED_VALUE"""),49.0)</f>
        <v>49</v>
      </c>
      <c r="CB138" s="3">
        <f>IFERROR(__xludf.DUMMYFUNCTION("""COMPUTED_VALUE"""),57.0)</f>
        <v>57</v>
      </c>
    </row>
    <row r="139">
      <c r="A139" s="3" t="str">
        <f>IFERROR(__xludf.DUMMYFUNCTION("""COMPUTED_VALUE"""),"")</f>
        <v/>
      </c>
      <c r="B139" s="3" t="str">
        <f>IFERROR(__xludf.DUMMYFUNCTION("""COMPUTED_VALUE"""),"Italy")</f>
        <v>Italy</v>
      </c>
      <c r="C139" s="3">
        <f>IFERROR(__xludf.DUMMYFUNCTION("""COMPUTED_VALUE"""),43.0)</f>
        <v>43</v>
      </c>
      <c r="D139" s="3">
        <f>IFERROR(__xludf.DUMMYFUNCTION("""COMPUTED_VALUE"""),12.0)</f>
        <v>12</v>
      </c>
      <c r="E139" s="3">
        <f>IFERROR(__xludf.DUMMYFUNCTION("""COMPUTED_VALUE"""),0.0)</f>
        <v>0</v>
      </c>
      <c r="F139" s="3">
        <f>IFERROR(__xludf.DUMMYFUNCTION("""COMPUTED_VALUE"""),0.0)</f>
        <v>0</v>
      </c>
      <c r="G139" s="3">
        <f>IFERROR(__xludf.DUMMYFUNCTION("""COMPUTED_VALUE"""),0.0)</f>
        <v>0</v>
      </c>
      <c r="H139" s="3">
        <f>IFERROR(__xludf.DUMMYFUNCTION("""COMPUTED_VALUE"""),0.0)</f>
        <v>0</v>
      </c>
      <c r="I139" s="3">
        <f>IFERROR(__xludf.DUMMYFUNCTION("""COMPUTED_VALUE"""),0.0)</f>
        <v>0</v>
      </c>
      <c r="J139" s="3">
        <f>IFERROR(__xludf.DUMMYFUNCTION("""COMPUTED_VALUE"""),0.0)</f>
        <v>0</v>
      </c>
      <c r="K139" s="3">
        <f>IFERROR(__xludf.DUMMYFUNCTION("""COMPUTED_VALUE"""),0.0)</f>
        <v>0</v>
      </c>
      <c r="L139" s="3">
        <f>IFERROR(__xludf.DUMMYFUNCTION("""COMPUTED_VALUE"""),0.0)</f>
        <v>0</v>
      </c>
      <c r="M139" s="3">
        <f>IFERROR(__xludf.DUMMYFUNCTION("""COMPUTED_VALUE"""),0.0)</f>
        <v>0</v>
      </c>
      <c r="N139" s="3">
        <f>IFERROR(__xludf.DUMMYFUNCTION("""COMPUTED_VALUE"""),0.0)</f>
        <v>0</v>
      </c>
      <c r="O139" s="3">
        <f>IFERROR(__xludf.DUMMYFUNCTION("""COMPUTED_VALUE"""),0.0)</f>
        <v>0</v>
      </c>
      <c r="P139" s="3">
        <f>IFERROR(__xludf.DUMMYFUNCTION("""COMPUTED_VALUE"""),0.0)</f>
        <v>0</v>
      </c>
      <c r="Q139" s="3">
        <f>IFERROR(__xludf.DUMMYFUNCTION("""COMPUTED_VALUE"""),0.0)</f>
        <v>0</v>
      </c>
      <c r="R139" s="3">
        <f>IFERROR(__xludf.DUMMYFUNCTION("""COMPUTED_VALUE"""),0.0)</f>
        <v>0</v>
      </c>
      <c r="S139" s="3">
        <f>IFERROR(__xludf.DUMMYFUNCTION("""COMPUTED_VALUE"""),0.0)</f>
        <v>0</v>
      </c>
      <c r="T139" s="3">
        <f>IFERROR(__xludf.DUMMYFUNCTION("""COMPUTED_VALUE"""),0.0)</f>
        <v>0</v>
      </c>
      <c r="U139" s="3">
        <f>IFERROR(__xludf.DUMMYFUNCTION("""COMPUTED_VALUE"""),0.0)</f>
        <v>0</v>
      </c>
      <c r="V139" s="3">
        <f>IFERROR(__xludf.DUMMYFUNCTION("""COMPUTED_VALUE"""),0.0)</f>
        <v>0</v>
      </c>
      <c r="W139" s="3">
        <f>IFERROR(__xludf.DUMMYFUNCTION("""COMPUTED_VALUE"""),0.0)</f>
        <v>0</v>
      </c>
      <c r="X139" s="3">
        <f>IFERROR(__xludf.DUMMYFUNCTION("""COMPUTED_VALUE"""),0.0)</f>
        <v>0</v>
      </c>
      <c r="Y139" s="3">
        <f>IFERROR(__xludf.DUMMYFUNCTION("""COMPUTED_VALUE"""),0.0)</f>
        <v>0</v>
      </c>
      <c r="Z139" s="3">
        <f>IFERROR(__xludf.DUMMYFUNCTION("""COMPUTED_VALUE"""),0.0)</f>
        <v>0</v>
      </c>
      <c r="AA139" s="3">
        <f>IFERROR(__xludf.DUMMYFUNCTION("""COMPUTED_VALUE"""),0.0)</f>
        <v>0</v>
      </c>
      <c r="AB139" s="3">
        <f>IFERROR(__xludf.DUMMYFUNCTION("""COMPUTED_VALUE"""),0.0)</f>
        <v>0</v>
      </c>
      <c r="AC139" s="3">
        <f>IFERROR(__xludf.DUMMYFUNCTION("""COMPUTED_VALUE"""),0.0)</f>
        <v>0</v>
      </c>
      <c r="AD139" s="3">
        <f>IFERROR(__xludf.DUMMYFUNCTION("""COMPUTED_VALUE"""),0.0)</f>
        <v>0</v>
      </c>
      <c r="AE139" s="3">
        <f>IFERROR(__xludf.DUMMYFUNCTION("""COMPUTED_VALUE"""),0.0)</f>
        <v>0</v>
      </c>
      <c r="AF139" s="3">
        <f>IFERROR(__xludf.DUMMYFUNCTION("""COMPUTED_VALUE"""),0.0)</f>
        <v>0</v>
      </c>
      <c r="AG139" s="3">
        <f>IFERROR(__xludf.DUMMYFUNCTION("""COMPUTED_VALUE"""),0.0)</f>
        <v>0</v>
      </c>
      <c r="AH139" s="3">
        <f>IFERROR(__xludf.DUMMYFUNCTION("""COMPUTED_VALUE"""),0.0)</f>
        <v>0</v>
      </c>
      <c r="AI139" s="3">
        <f>IFERROR(__xludf.DUMMYFUNCTION("""COMPUTED_VALUE"""),1.0)</f>
        <v>1</v>
      </c>
      <c r="AJ139" s="3">
        <f>IFERROR(__xludf.DUMMYFUNCTION("""COMPUTED_VALUE"""),2.0)</f>
        <v>2</v>
      </c>
      <c r="AK139" s="3">
        <f>IFERROR(__xludf.DUMMYFUNCTION("""COMPUTED_VALUE"""),3.0)</f>
        <v>3</v>
      </c>
      <c r="AL139" s="3">
        <f>IFERROR(__xludf.DUMMYFUNCTION("""COMPUTED_VALUE"""),7.0)</f>
        <v>7</v>
      </c>
      <c r="AM139" s="3">
        <f>IFERROR(__xludf.DUMMYFUNCTION("""COMPUTED_VALUE"""),10.0)</f>
        <v>10</v>
      </c>
      <c r="AN139" s="3">
        <f>IFERROR(__xludf.DUMMYFUNCTION("""COMPUTED_VALUE"""),12.0)</f>
        <v>12</v>
      </c>
      <c r="AO139" s="3">
        <f>IFERROR(__xludf.DUMMYFUNCTION("""COMPUTED_VALUE"""),17.0)</f>
        <v>17</v>
      </c>
      <c r="AP139" s="3">
        <f>IFERROR(__xludf.DUMMYFUNCTION("""COMPUTED_VALUE"""),21.0)</f>
        <v>21</v>
      </c>
      <c r="AQ139" s="3">
        <f>IFERROR(__xludf.DUMMYFUNCTION("""COMPUTED_VALUE"""),29.0)</f>
        <v>29</v>
      </c>
      <c r="AR139" s="3">
        <f>IFERROR(__xludf.DUMMYFUNCTION("""COMPUTED_VALUE"""),34.0)</f>
        <v>34</v>
      </c>
      <c r="AS139" s="3">
        <f>IFERROR(__xludf.DUMMYFUNCTION("""COMPUTED_VALUE"""),52.0)</f>
        <v>52</v>
      </c>
      <c r="AT139" s="3">
        <f>IFERROR(__xludf.DUMMYFUNCTION("""COMPUTED_VALUE"""),79.0)</f>
        <v>79</v>
      </c>
      <c r="AU139" s="3">
        <f>IFERROR(__xludf.DUMMYFUNCTION("""COMPUTED_VALUE"""),107.0)</f>
        <v>107</v>
      </c>
      <c r="AV139" s="3">
        <f>IFERROR(__xludf.DUMMYFUNCTION("""COMPUTED_VALUE"""),148.0)</f>
        <v>148</v>
      </c>
      <c r="AW139" s="3">
        <f>IFERROR(__xludf.DUMMYFUNCTION("""COMPUTED_VALUE"""),197.0)</f>
        <v>197</v>
      </c>
      <c r="AX139" s="3">
        <f>IFERROR(__xludf.DUMMYFUNCTION("""COMPUTED_VALUE"""),233.0)</f>
        <v>233</v>
      </c>
      <c r="AY139" s="3">
        <f>IFERROR(__xludf.DUMMYFUNCTION("""COMPUTED_VALUE"""),366.0)</f>
        <v>366</v>
      </c>
      <c r="AZ139" s="3">
        <f>IFERROR(__xludf.DUMMYFUNCTION("""COMPUTED_VALUE"""),463.0)</f>
        <v>463</v>
      </c>
      <c r="BA139" s="3">
        <f>IFERROR(__xludf.DUMMYFUNCTION("""COMPUTED_VALUE"""),631.0)</f>
        <v>631</v>
      </c>
      <c r="BB139" s="3">
        <f>IFERROR(__xludf.DUMMYFUNCTION("""COMPUTED_VALUE"""),827.0)</f>
        <v>827</v>
      </c>
      <c r="BC139" s="3">
        <f>IFERROR(__xludf.DUMMYFUNCTION("""COMPUTED_VALUE"""),827.0)</f>
        <v>827</v>
      </c>
      <c r="BD139" s="3">
        <f>IFERROR(__xludf.DUMMYFUNCTION("""COMPUTED_VALUE"""),1266.0)</f>
        <v>1266</v>
      </c>
      <c r="BE139" s="3">
        <f>IFERROR(__xludf.DUMMYFUNCTION("""COMPUTED_VALUE"""),1441.0)</f>
        <v>1441</v>
      </c>
      <c r="BF139" s="3">
        <f>IFERROR(__xludf.DUMMYFUNCTION("""COMPUTED_VALUE"""),1809.0)</f>
        <v>1809</v>
      </c>
      <c r="BG139" s="3">
        <f>IFERROR(__xludf.DUMMYFUNCTION("""COMPUTED_VALUE"""),2158.0)</f>
        <v>2158</v>
      </c>
      <c r="BH139" s="3">
        <f>IFERROR(__xludf.DUMMYFUNCTION("""COMPUTED_VALUE"""),2503.0)</f>
        <v>2503</v>
      </c>
      <c r="BI139" s="3">
        <f>IFERROR(__xludf.DUMMYFUNCTION("""COMPUTED_VALUE"""),2978.0)</f>
        <v>2978</v>
      </c>
      <c r="BJ139" s="3">
        <f>IFERROR(__xludf.DUMMYFUNCTION("""COMPUTED_VALUE"""),3405.0)</f>
        <v>3405</v>
      </c>
      <c r="BK139" s="3">
        <f>IFERROR(__xludf.DUMMYFUNCTION("""COMPUTED_VALUE"""),4032.0)</f>
        <v>4032</v>
      </c>
      <c r="BL139" s="3">
        <f>IFERROR(__xludf.DUMMYFUNCTION("""COMPUTED_VALUE"""),4825.0)</f>
        <v>4825</v>
      </c>
      <c r="BM139" s="3">
        <f>IFERROR(__xludf.DUMMYFUNCTION("""COMPUTED_VALUE"""),5476.0)</f>
        <v>5476</v>
      </c>
      <c r="BN139" s="3">
        <f>IFERROR(__xludf.DUMMYFUNCTION("""COMPUTED_VALUE"""),6077.0)</f>
        <v>6077</v>
      </c>
      <c r="BO139" s="3">
        <f>IFERROR(__xludf.DUMMYFUNCTION("""COMPUTED_VALUE"""),6820.0)</f>
        <v>6820</v>
      </c>
      <c r="BP139" s="3">
        <f>IFERROR(__xludf.DUMMYFUNCTION("""COMPUTED_VALUE"""),7503.0)</f>
        <v>7503</v>
      </c>
      <c r="BQ139" s="3">
        <f>IFERROR(__xludf.DUMMYFUNCTION("""COMPUTED_VALUE"""),8215.0)</f>
        <v>8215</v>
      </c>
      <c r="BR139" s="3">
        <f>IFERROR(__xludf.DUMMYFUNCTION("""COMPUTED_VALUE"""),9134.0)</f>
        <v>9134</v>
      </c>
      <c r="BS139" s="3">
        <f>IFERROR(__xludf.DUMMYFUNCTION("""COMPUTED_VALUE"""),10023.0)</f>
        <v>10023</v>
      </c>
      <c r="BT139" s="3">
        <f>IFERROR(__xludf.DUMMYFUNCTION("""COMPUTED_VALUE"""),10779.0)</f>
        <v>10779</v>
      </c>
      <c r="BU139" s="3">
        <f>IFERROR(__xludf.DUMMYFUNCTION("""COMPUTED_VALUE"""),11591.0)</f>
        <v>11591</v>
      </c>
      <c r="BV139" s="3">
        <f>IFERROR(__xludf.DUMMYFUNCTION("""COMPUTED_VALUE"""),12428.0)</f>
        <v>12428</v>
      </c>
      <c r="BW139" s="3">
        <f>IFERROR(__xludf.DUMMYFUNCTION("""COMPUTED_VALUE"""),13155.0)</f>
        <v>13155</v>
      </c>
      <c r="BX139" s="3">
        <f>IFERROR(__xludf.DUMMYFUNCTION("""COMPUTED_VALUE"""),13915.0)</f>
        <v>13915</v>
      </c>
      <c r="BY139" s="3">
        <f>IFERROR(__xludf.DUMMYFUNCTION("""COMPUTED_VALUE"""),14681.0)</f>
        <v>14681</v>
      </c>
      <c r="BZ139" s="3">
        <f>IFERROR(__xludf.DUMMYFUNCTION("""COMPUTED_VALUE"""),15362.0)</f>
        <v>15362</v>
      </c>
      <c r="CA139" s="3">
        <f>IFERROR(__xludf.DUMMYFUNCTION("""COMPUTED_VALUE"""),15887.0)</f>
        <v>15887</v>
      </c>
      <c r="CB139" s="3">
        <f>IFERROR(__xludf.DUMMYFUNCTION("""COMPUTED_VALUE"""),16523.0)</f>
        <v>16523</v>
      </c>
    </row>
    <row r="140">
      <c r="A140" s="3" t="str">
        <f>IFERROR(__xludf.DUMMYFUNCTION("""COMPUTED_VALUE"""),"")</f>
        <v/>
      </c>
      <c r="B140" s="3" t="str">
        <f>IFERROR(__xludf.DUMMYFUNCTION("""COMPUTED_VALUE"""),"Jamaica")</f>
        <v>Jamaica</v>
      </c>
      <c r="C140" s="3">
        <f>IFERROR(__xludf.DUMMYFUNCTION("""COMPUTED_VALUE"""),18.1096)</f>
        <v>18.1096</v>
      </c>
      <c r="D140" s="3">
        <f>IFERROR(__xludf.DUMMYFUNCTION("""COMPUTED_VALUE"""),-77.2975)</f>
        <v>-77.2975</v>
      </c>
      <c r="E140" s="3">
        <f>IFERROR(__xludf.DUMMYFUNCTION("""COMPUTED_VALUE"""),0.0)</f>
        <v>0</v>
      </c>
      <c r="F140" s="3">
        <f>IFERROR(__xludf.DUMMYFUNCTION("""COMPUTED_VALUE"""),0.0)</f>
        <v>0</v>
      </c>
      <c r="G140" s="3">
        <f>IFERROR(__xludf.DUMMYFUNCTION("""COMPUTED_VALUE"""),0.0)</f>
        <v>0</v>
      </c>
      <c r="H140" s="3">
        <f>IFERROR(__xludf.DUMMYFUNCTION("""COMPUTED_VALUE"""),0.0)</f>
        <v>0</v>
      </c>
      <c r="I140" s="3">
        <f>IFERROR(__xludf.DUMMYFUNCTION("""COMPUTED_VALUE"""),0.0)</f>
        <v>0</v>
      </c>
      <c r="J140" s="3">
        <f>IFERROR(__xludf.DUMMYFUNCTION("""COMPUTED_VALUE"""),0.0)</f>
        <v>0</v>
      </c>
      <c r="K140" s="3">
        <f>IFERROR(__xludf.DUMMYFUNCTION("""COMPUTED_VALUE"""),0.0)</f>
        <v>0</v>
      </c>
      <c r="L140" s="3">
        <f>IFERROR(__xludf.DUMMYFUNCTION("""COMPUTED_VALUE"""),0.0)</f>
        <v>0</v>
      </c>
      <c r="M140" s="3">
        <f>IFERROR(__xludf.DUMMYFUNCTION("""COMPUTED_VALUE"""),0.0)</f>
        <v>0</v>
      </c>
      <c r="N140" s="3">
        <f>IFERROR(__xludf.DUMMYFUNCTION("""COMPUTED_VALUE"""),0.0)</f>
        <v>0</v>
      </c>
      <c r="O140" s="3">
        <f>IFERROR(__xludf.DUMMYFUNCTION("""COMPUTED_VALUE"""),0.0)</f>
        <v>0</v>
      </c>
      <c r="P140" s="3">
        <f>IFERROR(__xludf.DUMMYFUNCTION("""COMPUTED_VALUE"""),0.0)</f>
        <v>0</v>
      </c>
      <c r="Q140" s="3">
        <f>IFERROR(__xludf.DUMMYFUNCTION("""COMPUTED_VALUE"""),0.0)</f>
        <v>0</v>
      </c>
      <c r="R140" s="3">
        <f>IFERROR(__xludf.DUMMYFUNCTION("""COMPUTED_VALUE"""),0.0)</f>
        <v>0</v>
      </c>
      <c r="S140" s="3">
        <f>IFERROR(__xludf.DUMMYFUNCTION("""COMPUTED_VALUE"""),0.0)</f>
        <v>0</v>
      </c>
      <c r="T140" s="3">
        <f>IFERROR(__xludf.DUMMYFUNCTION("""COMPUTED_VALUE"""),0.0)</f>
        <v>0</v>
      </c>
      <c r="U140" s="3">
        <f>IFERROR(__xludf.DUMMYFUNCTION("""COMPUTED_VALUE"""),0.0)</f>
        <v>0</v>
      </c>
      <c r="V140" s="3">
        <f>IFERROR(__xludf.DUMMYFUNCTION("""COMPUTED_VALUE"""),0.0)</f>
        <v>0</v>
      </c>
      <c r="W140" s="3">
        <f>IFERROR(__xludf.DUMMYFUNCTION("""COMPUTED_VALUE"""),0.0)</f>
        <v>0</v>
      </c>
      <c r="X140" s="3">
        <f>IFERROR(__xludf.DUMMYFUNCTION("""COMPUTED_VALUE"""),0.0)</f>
        <v>0</v>
      </c>
      <c r="Y140" s="3">
        <f>IFERROR(__xludf.DUMMYFUNCTION("""COMPUTED_VALUE"""),0.0)</f>
        <v>0</v>
      </c>
      <c r="Z140" s="3">
        <f>IFERROR(__xludf.DUMMYFUNCTION("""COMPUTED_VALUE"""),0.0)</f>
        <v>0</v>
      </c>
      <c r="AA140" s="3">
        <f>IFERROR(__xludf.DUMMYFUNCTION("""COMPUTED_VALUE"""),0.0)</f>
        <v>0</v>
      </c>
      <c r="AB140" s="3">
        <f>IFERROR(__xludf.DUMMYFUNCTION("""COMPUTED_VALUE"""),0.0)</f>
        <v>0</v>
      </c>
      <c r="AC140" s="3">
        <f>IFERROR(__xludf.DUMMYFUNCTION("""COMPUTED_VALUE"""),0.0)</f>
        <v>0</v>
      </c>
      <c r="AD140" s="3">
        <f>IFERROR(__xludf.DUMMYFUNCTION("""COMPUTED_VALUE"""),0.0)</f>
        <v>0</v>
      </c>
      <c r="AE140" s="3">
        <f>IFERROR(__xludf.DUMMYFUNCTION("""COMPUTED_VALUE"""),0.0)</f>
        <v>0</v>
      </c>
      <c r="AF140" s="3">
        <f>IFERROR(__xludf.DUMMYFUNCTION("""COMPUTED_VALUE"""),0.0)</f>
        <v>0</v>
      </c>
      <c r="AG140" s="3">
        <f>IFERROR(__xludf.DUMMYFUNCTION("""COMPUTED_VALUE"""),0.0)</f>
        <v>0</v>
      </c>
      <c r="AH140" s="3">
        <f>IFERROR(__xludf.DUMMYFUNCTION("""COMPUTED_VALUE"""),0.0)</f>
        <v>0</v>
      </c>
      <c r="AI140" s="3">
        <f>IFERROR(__xludf.DUMMYFUNCTION("""COMPUTED_VALUE"""),0.0)</f>
        <v>0</v>
      </c>
      <c r="AJ140" s="3">
        <f>IFERROR(__xludf.DUMMYFUNCTION("""COMPUTED_VALUE"""),0.0)</f>
        <v>0</v>
      </c>
      <c r="AK140" s="3">
        <f>IFERROR(__xludf.DUMMYFUNCTION("""COMPUTED_VALUE"""),0.0)</f>
        <v>0</v>
      </c>
      <c r="AL140" s="3">
        <f>IFERROR(__xludf.DUMMYFUNCTION("""COMPUTED_VALUE"""),0.0)</f>
        <v>0</v>
      </c>
      <c r="AM140" s="3">
        <f>IFERROR(__xludf.DUMMYFUNCTION("""COMPUTED_VALUE"""),0.0)</f>
        <v>0</v>
      </c>
      <c r="AN140" s="3">
        <f>IFERROR(__xludf.DUMMYFUNCTION("""COMPUTED_VALUE"""),0.0)</f>
        <v>0</v>
      </c>
      <c r="AO140" s="3">
        <f>IFERROR(__xludf.DUMMYFUNCTION("""COMPUTED_VALUE"""),0.0)</f>
        <v>0</v>
      </c>
      <c r="AP140" s="3">
        <f>IFERROR(__xludf.DUMMYFUNCTION("""COMPUTED_VALUE"""),0.0)</f>
        <v>0</v>
      </c>
      <c r="AQ140" s="3">
        <f>IFERROR(__xludf.DUMMYFUNCTION("""COMPUTED_VALUE"""),0.0)</f>
        <v>0</v>
      </c>
      <c r="AR140" s="3">
        <f>IFERROR(__xludf.DUMMYFUNCTION("""COMPUTED_VALUE"""),0.0)</f>
        <v>0</v>
      </c>
      <c r="AS140" s="3">
        <f>IFERROR(__xludf.DUMMYFUNCTION("""COMPUTED_VALUE"""),0.0)</f>
        <v>0</v>
      </c>
      <c r="AT140" s="3">
        <f>IFERROR(__xludf.DUMMYFUNCTION("""COMPUTED_VALUE"""),0.0)</f>
        <v>0</v>
      </c>
      <c r="AU140" s="3">
        <f>IFERROR(__xludf.DUMMYFUNCTION("""COMPUTED_VALUE"""),0.0)</f>
        <v>0</v>
      </c>
      <c r="AV140" s="3">
        <f>IFERROR(__xludf.DUMMYFUNCTION("""COMPUTED_VALUE"""),0.0)</f>
        <v>0</v>
      </c>
      <c r="AW140" s="3">
        <f>IFERROR(__xludf.DUMMYFUNCTION("""COMPUTED_VALUE"""),0.0)</f>
        <v>0</v>
      </c>
      <c r="AX140" s="3">
        <f>IFERROR(__xludf.DUMMYFUNCTION("""COMPUTED_VALUE"""),0.0)</f>
        <v>0</v>
      </c>
      <c r="AY140" s="3">
        <f>IFERROR(__xludf.DUMMYFUNCTION("""COMPUTED_VALUE"""),0.0)</f>
        <v>0</v>
      </c>
      <c r="AZ140" s="3">
        <f>IFERROR(__xludf.DUMMYFUNCTION("""COMPUTED_VALUE"""),0.0)</f>
        <v>0</v>
      </c>
      <c r="BA140" s="3">
        <f>IFERROR(__xludf.DUMMYFUNCTION("""COMPUTED_VALUE"""),0.0)</f>
        <v>0</v>
      </c>
      <c r="BB140" s="3">
        <f>IFERROR(__xludf.DUMMYFUNCTION("""COMPUTED_VALUE"""),0.0)</f>
        <v>0</v>
      </c>
      <c r="BC140" s="3">
        <f>IFERROR(__xludf.DUMMYFUNCTION("""COMPUTED_VALUE"""),0.0)</f>
        <v>0</v>
      </c>
      <c r="BD140" s="3">
        <f>IFERROR(__xludf.DUMMYFUNCTION("""COMPUTED_VALUE"""),0.0)</f>
        <v>0</v>
      </c>
      <c r="BE140" s="3">
        <f>IFERROR(__xludf.DUMMYFUNCTION("""COMPUTED_VALUE"""),0.0)</f>
        <v>0</v>
      </c>
      <c r="BF140" s="3">
        <f>IFERROR(__xludf.DUMMYFUNCTION("""COMPUTED_VALUE"""),0.0)</f>
        <v>0</v>
      </c>
      <c r="BG140" s="3">
        <f>IFERROR(__xludf.DUMMYFUNCTION("""COMPUTED_VALUE"""),0.0)</f>
        <v>0</v>
      </c>
      <c r="BH140" s="3">
        <f>IFERROR(__xludf.DUMMYFUNCTION("""COMPUTED_VALUE"""),0.0)</f>
        <v>0</v>
      </c>
      <c r="BI140" s="3">
        <f>IFERROR(__xludf.DUMMYFUNCTION("""COMPUTED_VALUE"""),0.0)</f>
        <v>0</v>
      </c>
      <c r="BJ140" s="3">
        <f>IFERROR(__xludf.DUMMYFUNCTION("""COMPUTED_VALUE"""),1.0)</f>
        <v>1</v>
      </c>
      <c r="BK140" s="3">
        <f>IFERROR(__xludf.DUMMYFUNCTION("""COMPUTED_VALUE"""),1.0)</f>
        <v>1</v>
      </c>
      <c r="BL140" s="3">
        <f>IFERROR(__xludf.DUMMYFUNCTION("""COMPUTED_VALUE"""),1.0)</f>
        <v>1</v>
      </c>
      <c r="BM140" s="3">
        <f>IFERROR(__xludf.DUMMYFUNCTION("""COMPUTED_VALUE"""),1.0)</f>
        <v>1</v>
      </c>
      <c r="BN140" s="3">
        <f>IFERROR(__xludf.DUMMYFUNCTION("""COMPUTED_VALUE"""),1.0)</f>
        <v>1</v>
      </c>
      <c r="BO140" s="3">
        <f>IFERROR(__xludf.DUMMYFUNCTION("""COMPUTED_VALUE"""),1.0)</f>
        <v>1</v>
      </c>
      <c r="BP140" s="3">
        <f>IFERROR(__xludf.DUMMYFUNCTION("""COMPUTED_VALUE"""),1.0)</f>
        <v>1</v>
      </c>
      <c r="BQ140" s="3">
        <f>IFERROR(__xludf.DUMMYFUNCTION("""COMPUTED_VALUE"""),1.0)</f>
        <v>1</v>
      </c>
      <c r="BR140" s="3">
        <f>IFERROR(__xludf.DUMMYFUNCTION("""COMPUTED_VALUE"""),1.0)</f>
        <v>1</v>
      </c>
      <c r="BS140" s="3">
        <f>IFERROR(__xludf.DUMMYFUNCTION("""COMPUTED_VALUE"""),1.0)</f>
        <v>1</v>
      </c>
      <c r="BT140" s="3">
        <f>IFERROR(__xludf.DUMMYFUNCTION("""COMPUTED_VALUE"""),1.0)</f>
        <v>1</v>
      </c>
      <c r="BU140" s="3">
        <f>IFERROR(__xludf.DUMMYFUNCTION("""COMPUTED_VALUE"""),1.0)</f>
        <v>1</v>
      </c>
      <c r="BV140" s="3">
        <f>IFERROR(__xludf.DUMMYFUNCTION("""COMPUTED_VALUE"""),1.0)</f>
        <v>1</v>
      </c>
      <c r="BW140" s="3">
        <f>IFERROR(__xludf.DUMMYFUNCTION("""COMPUTED_VALUE"""),3.0)</f>
        <v>3</v>
      </c>
      <c r="BX140" s="3">
        <f>IFERROR(__xludf.DUMMYFUNCTION("""COMPUTED_VALUE"""),3.0)</f>
        <v>3</v>
      </c>
      <c r="BY140" s="3">
        <f>IFERROR(__xludf.DUMMYFUNCTION("""COMPUTED_VALUE"""),3.0)</f>
        <v>3</v>
      </c>
      <c r="BZ140" s="3">
        <f>IFERROR(__xludf.DUMMYFUNCTION("""COMPUTED_VALUE"""),3.0)</f>
        <v>3</v>
      </c>
      <c r="CA140" s="3">
        <f>IFERROR(__xludf.DUMMYFUNCTION("""COMPUTED_VALUE"""),3.0)</f>
        <v>3</v>
      </c>
      <c r="CB140" s="3">
        <f>IFERROR(__xludf.DUMMYFUNCTION("""COMPUTED_VALUE"""),3.0)</f>
        <v>3</v>
      </c>
    </row>
    <row r="141">
      <c r="A141" s="3" t="str">
        <f>IFERROR(__xludf.DUMMYFUNCTION("""COMPUTED_VALUE"""),"")</f>
        <v/>
      </c>
      <c r="B141" s="3" t="str">
        <f>IFERROR(__xludf.DUMMYFUNCTION("""COMPUTED_VALUE"""),"Japan")</f>
        <v>Japan</v>
      </c>
      <c r="C141" s="3">
        <f>IFERROR(__xludf.DUMMYFUNCTION("""COMPUTED_VALUE"""),36.0)</f>
        <v>36</v>
      </c>
      <c r="D141" s="3">
        <f>IFERROR(__xludf.DUMMYFUNCTION("""COMPUTED_VALUE"""),138.0)</f>
        <v>138</v>
      </c>
      <c r="E141" s="3">
        <f>IFERROR(__xludf.DUMMYFUNCTION("""COMPUTED_VALUE"""),0.0)</f>
        <v>0</v>
      </c>
      <c r="F141" s="3">
        <f>IFERROR(__xludf.DUMMYFUNCTION("""COMPUTED_VALUE"""),0.0)</f>
        <v>0</v>
      </c>
      <c r="G141" s="3">
        <f>IFERROR(__xludf.DUMMYFUNCTION("""COMPUTED_VALUE"""),0.0)</f>
        <v>0</v>
      </c>
      <c r="H141" s="3">
        <f>IFERROR(__xludf.DUMMYFUNCTION("""COMPUTED_VALUE"""),0.0)</f>
        <v>0</v>
      </c>
      <c r="I141" s="3">
        <f>IFERROR(__xludf.DUMMYFUNCTION("""COMPUTED_VALUE"""),0.0)</f>
        <v>0</v>
      </c>
      <c r="J141" s="3">
        <f>IFERROR(__xludf.DUMMYFUNCTION("""COMPUTED_VALUE"""),0.0)</f>
        <v>0</v>
      </c>
      <c r="K141" s="3">
        <f>IFERROR(__xludf.DUMMYFUNCTION("""COMPUTED_VALUE"""),0.0)</f>
        <v>0</v>
      </c>
      <c r="L141" s="3">
        <f>IFERROR(__xludf.DUMMYFUNCTION("""COMPUTED_VALUE"""),0.0)</f>
        <v>0</v>
      </c>
      <c r="M141" s="3">
        <f>IFERROR(__xludf.DUMMYFUNCTION("""COMPUTED_VALUE"""),0.0)</f>
        <v>0</v>
      </c>
      <c r="N141" s="3">
        <f>IFERROR(__xludf.DUMMYFUNCTION("""COMPUTED_VALUE"""),0.0)</f>
        <v>0</v>
      </c>
      <c r="O141" s="3">
        <f>IFERROR(__xludf.DUMMYFUNCTION("""COMPUTED_VALUE"""),0.0)</f>
        <v>0</v>
      </c>
      <c r="P141" s="3">
        <f>IFERROR(__xludf.DUMMYFUNCTION("""COMPUTED_VALUE"""),0.0)</f>
        <v>0</v>
      </c>
      <c r="Q141" s="3">
        <f>IFERROR(__xludf.DUMMYFUNCTION("""COMPUTED_VALUE"""),0.0)</f>
        <v>0</v>
      </c>
      <c r="R141" s="3">
        <f>IFERROR(__xludf.DUMMYFUNCTION("""COMPUTED_VALUE"""),0.0)</f>
        <v>0</v>
      </c>
      <c r="S141" s="3">
        <f>IFERROR(__xludf.DUMMYFUNCTION("""COMPUTED_VALUE"""),0.0)</f>
        <v>0</v>
      </c>
      <c r="T141" s="3">
        <f>IFERROR(__xludf.DUMMYFUNCTION("""COMPUTED_VALUE"""),0.0)</f>
        <v>0</v>
      </c>
      <c r="U141" s="3">
        <f>IFERROR(__xludf.DUMMYFUNCTION("""COMPUTED_VALUE"""),0.0)</f>
        <v>0</v>
      </c>
      <c r="V141" s="3">
        <f>IFERROR(__xludf.DUMMYFUNCTION("""COMPUTED_VALUE"""),0.0)</f>
        <v>0</v>
      </c>
      <c r="W141" s="3">
        <f>IFERROR(__xludf.DUMMYFUNCTION("""COMPUTED_VALUE"""),0.0)</f>
        <v>0</v>
      </c>
      <c r="X141" s="3">
        <f>IFERROR(__xludf.DUMMYFUNCTION("""COMPUTED_VALUE"""),0.0)</f>
        <v>0</v>
      </c>
      <c r="Y141" s="3">
        <f>IFERROR(__xludf.DUMMYFUNCTION("""COMPUTED_VALUE"""),0.0)</f>
        <v>0</v>
      </c>
      <c r="Z141" s="3">
        <f>IFERROR(__xludf.DUMMYFUNCTION("""COMPUTED_VALUE"""),0.0)</f>
        <v>0</v>
      </c>
      <c r="AA141" s="3">
        <f>IFERROR(__xludf.DUMMYFUNCTION("""COMPUTED_VALUE"""),1.0)</f>
        <v>1</v>
      </c>
      <c r="AB141" s="3">
        <f>IFERROR(__xludf.DUMMYFUNCTION("""COMPUTED_VALUE"""),1.0)</f>
        <v>1</v>
      </c>
      <c r="AC141" s="3">
        <f>IFERROR(__xludf.DUMMYFUNCTION("""COMPUTED_VALUE"""),1.0)</f>
        <v>1</v>
      </c>
      <c r="AD141" s="3">
        <f>IFERROR(__xludf.DUMMYFUNCTION("""COMPUTED_VALUE"""),1.0)</f>
        <v>1</v>
      </c>
      <c r="AE141" s="3">
        <f>IFERROR(__xludf.DUMMYFUNCTION("""COMPUTED_VALUE"""),1.0)</f>
        <v>1</v>
      </c>
      <c r="AF141" s="3">
        <f>IFERROR(__xludf.DUMMYFUNCTION("""COMPUTED_VALUE"""),1.0)</f>
        <v>1</v>
      </c>
      <c r="AG141" s="3">
        <f>IFERROR(__xludf.DUMMYFUNCTION("""COMPUTED_VALUE"""),1.0)</f>
        <v>1</v>
      </c>
      <c r="AH141" s="3">
        <f>IFERROR(__xludf.DUMMYFUNCTION("""COMPUTED_VALUE"""),1.0)</f>
        <v>1</v>
      </c>
      <c r="AI141" s="3">
        <f>IFERROR(__xludf.DUMMYFUNCTION("""COMPUTED_VALUE"""),1.0)</f>
        <v>1</v>
      </c>
      <c r="AJ141" s="3">
        <f>IFERROR(__xludf.DUMMYFUNCTION("""COMPUTED_VALUE"""),1.0)</f>
        <v>1</v>
      </c>
      <c r="AK141" s="3">
        <f>IFERROR(__xludf.DUMMYFUNCTION("""COMPUTED_VALUE"""),1.0)</f>
        <v>1</v>
      </c>
      <c r="AL141" s="3">
        <f>IFERROR(__xludf.DUMMYFUNCTION("""COMPUTED_VALUE"""),1.0)</f>
        <v>1</v>
      </c>
      <c r="AM141" s="3">
        <f>IFERROR(__xludf.DUMMYFUNCTION("""COMPUTED_VALUE"""),1.0)</f>
        <v>1</v>
      </c>
      <c r="AN141" s="3">
        <f>IFERROR(__xludf.DUMMYFUNCTION("""COMPUTED_VALUE"""),2.0)</f>
        <v>2</v>
      </c>
      <c r="AO141" s="3">
        <f>IFERROR(__xludf.DUMMYFUNCTION("""COMPUTED_VALUE"""),4.0)</f>
        <v>4</v>
      </c>
      <c r="AP141" s="3">
        <f>IFERROR(__xludf.DUMMYFUNCTION("""COMPUTED_VALUE"""),4.0)</f>
        <v>4</v>
      </c>
      <c r="AQ141" s="3">
        <f>IFERROR(__xludf.DUMMYFUNCTION("""COMPUTED_VALUE"""),5.0)</f>
        <v>5</v>
      </c>
      <c r="AR141" s="3">
        <f>IFERROR(__xludf.DUMMYFUNCTION("""COMPUTED_VALUE"""),6.0)</f>
        <v>6</v>
      </c>
      <c r="AS141" s="3">
        <f>IFERROR(__xludf.DUMMYFUNCTION("""COMPUTED_VALUE"""),6.0)</f>
        <v>6</v>
      </c>
      <c r="AT141" s="3">
        <f>IFERROR(__xludf.DUMMYFUNCTION("""COMPUTED_VALUE"""),6.0)</f>
        <v>6</v>
      </c>
      <c r="AU141" s="3">
        <f>IFERROR(__xludf.DUMMYFUNCTION("""COMPUTED_VALUE"""),6.0)</f>
        <v>6</v>
      </c>
      <c r="AV141" s="3">
        <f>IFERROR(__xludf.DUMMYFUNCTION("""COMPUTED_VALUE"""),6.0)</f>
        <v>6</v>
      </c>
      <c r="AW141" s="3">
        <f>IFERROR(__xludf.DUMMYFUNCTION("""COMPUTED_VALUE"""),6.0)</f>
        <v>6</v>
      </c>
      <c r="AX141" s="3">
        <f>IFERROR(__xludf.DUMMYFUNCTION("""COMPUTED_VALUE"""),6.0)</f>
        <v>6</v>
      </c>
      <c r="AY141" s="3">
        <f>IFERROR(__xludf.DUMMYFUNCTION("""COMPUTED_VALUE"""),6.0)</f>
        <v>6</v>
      </c>
      <c r="AZ141" s="3">
        <f>IFERROR(__xludf.DUMMYFUNCTION("""COMPUTED_VALUE"""),10.0)</f>
        <v>10</v>
      </c>
      <c r="BA141" s="3">
        <f>IFERROR(__xludf.DUMMYFUNCTION("""COMPUTED_VALUE"""),10.0)</f>
        <v>10</v>
      </c>
      <c r="BB141" s="3">
        <f>IFERROR(__xludf.DUMMYFUNCTION("""COMPUTED_VALUE"""),15.0)</f>
        <v>15</v>
      </c>
      <c r="BC141" s="3">
        <f>IFERROR(__xludf.DUMMYFUNCTION("""COMPUTED_VALUE"""),16.0)</f>
        <v>16</v>
      </c>
      <c r="BD141" s="3">
        <f>IFERROR(__xludf.DUMMYFUNCTION("""COMPUTED_VALUE"""),19.0)</f>
        <v>19</v>
      </c>
      <c r="BE141" s="3">
        <f>IFERROR(__xludf.DUMMYFUNCTION("""COMPUTED_VALUE"""),22.0)</f>
        <v>22</v>
      </c>
      <c r="BF141" s="3">
        <f>IFERROR(__xludf.DUMMYFUNCTION("""COMPUTED_VALUE"""),22.0)</f>
        <v>22</v>
      </c>
      <c r="BG141" s="3">
        <f>IFERROR(__xludf.DUMMYFUNCTION("""COMPUTED_VALUE"""),27.0)</f>
        <v>27</v>
      </c>
      <c r="BH141" s="3">
        <f>IFERROR(__xludf.DUMMYFUNCTION("""COMPUTED_VALUE"""),29.0)</f>
        <v>29</v>
      </c>
      <c r="BI141" s="3">
        <f>IFERROR(__xludf.DUMMYFUNCTION("""COMPUTED_VALUE"""),29.0)</f>
        <v>29</v>
      </c>
      <c r="BJ141" s="3">
        <f>IFERROR(__xludf.DUMMYFUNCTION("""COMPUTED_VALUE"""),29.0)</f>
        <v>29</v>
      </c>
      <c r="BK141" s="3">
        <f>IFERROR(__xludf.DUMMYFUNCTION("""COMPUTED_VALUE"""),33.0)</f>
        <v>33</v>
      </c>
      <c r="BL141" s="3">
        <f>IFERROR(__xludf.DUMMYFUNCTION("""COMPUTED_VALUE"""),35.0)</f>
        <v>35</v>
      </c>
      <c r="BM141" s="3">
        <f>IFERROR(__xludf.DUMMYFUNCTION("""COMPUTED_VALUE"""),41.0)</f>
        <v>41</v>
      </c>
      <c r="BN141" s="3">
        <f>IFERROR(__xludf.DUMMYFUNCTION("""COMPUTED_VALUE"""),42.0)</f>
        <v>42</v>
      </c>
      <c r="BO141" s="3">
        <f>IFERROR(__xludf.DUMMYFUNCTION("""COMPUTED_VALUE"""),43.0)</f>
        <v>43</v>
      </c>
      <c r="BP141" s="3">
        <f>IFERROR(__xludf.DUMMYFUNCTION("""COMPUTED_VALUE"""),45.0)</f>
        <v>45</v>
      </c>
      <c r="BQ141" s="3">
        <f>IFERROR(__xludf.DUMMYFUNCTION("""COMPUTED_VALUE"""),47.0)</f>
        <v>47</v>
      </c>
      <c r="BR141" s="3">
        <f>IFERROR(__xludf.DUMMYFUNCTION("""COMPUTED_VALUE"""),49.0)</f>
        <v>49</v>
      </c>
      <c r="BS141" s="3">
        <f>IFERROR(__xludf.DUMMYFUNCTION("""COMPUTED_VALUE"""),52.0)</f>
        <v>52</v>
      </c>
      <c r="BT141" s="3">
        <f>IFERROR(__xludf.DUMMYFUNCTION("""COMPUTED_VALUE"""),54.0)</f>
        <v>54</v>
      </c>
      <c r="BU141" s="3">
        <f>IFERROR(__xludf.DUMMYFUNCTION("""COMPUTED_VALUE"""),54.0)</f>
        <v>54</v>
      </c>
      <c r="BV141" s="3">
        <f>IFERROR(__xludf.DUMMYFUNCTION("""COMPUTED_VALUE"""),56.0)</f>
        <v>56</v>
      </c>
      <c r="BW141" s="3">
        <f>IFERROR(__xludf.DUMMYFUNCTION("""COMPUTED_VALUE"""),57.0)</f>
        <v>57</v>
      </c>
      <c r="BX141" s="3">
        <f>IFERROR(__xludf.DUMMYFUNCTION("""COMPUTED_VALUE"""),62.0)</f>
        <v>62</v>
      </c>
      <c r="BY141" s="3">
        <f>IFERROR(__xludf.DUMMYFUNCTION("""COMPUTED_VALUE"""),63.0)</f>
        <v>63</v>
      </c>
      <c r="BZ141" s="3">
        <f>IFERROR(__xludf.DUMMYFUNCTION("""COMPUTED_VALUE"""),77.0)</f>
        <v>77</v>
      </c>
      <c r="CA141" s="3">
        <f>IFERROR(__xludf.DUMMYFUNCTION("""COMPUTED_VALUE"""),77.0)</f>
        <v>77</v>
      </c>
      <c r="CB141" s="3">
        <f>IFERROR(__xludf.DUMMYFUNCTION("""COMPUTED_VALUE"""),85.0)</f>
        <v>85</v>
      </c>
    </row>
    <row r="142">
      <c r="A142" s="3" t="str">
        <f>IFERROR(__xludf.DUMMYFUNCTION("""COMPUTED_VALUE"""),"")</f>
        <v/>
      </c>
      <c r="B142" s="3" t="str">
        <f>IFERROR(__xludf.DUMMYFUNCTION("""COMPUTED_VALUE"""),"Jordan")</f>
        <v>Jordan</v>
      </c>
      <c r="C142" s="3">
        <f>IFERROR(__xludf.DUMMYFUNCTION("""COMPUTED_VALUE"""),31.24)</f>
        <v>31.24</v>
      </c>
      <c r="D142" s="3">
        <f>IFERROR(__xludf.DUMMYFUNCTION("""COMPUTED_VALUE"""),36.51)</f>
        <v>36.51</v>
      </c>
      <c r="E142" s="3">
        <f>IFERROR(__xludf.DUMMYFUNCTION("""COMPUTED_VALUE"""),0.0)</f>
        <v>0</v>
      </c>
      <c r="F142" s="3">
        <f>IFERROR(__xludf.DUMMYFUNCTION("""COMPUTED_VALUE"""),0.0)</f>
        <v>0</v>
      </c>
      <c r="G142" s="3">
        <f>IFERROR(__xludf.DUMMYFUNCTION("""COMPUTED_VALUE"""),0.0)</f>
        <v>0</v>
      </c>
      <c r="H142" s="3">
        <f>IFERROR(__xludf.DUMMYFUNCTION("""COMPUTED_VALUE"""),0.0)</f>
        <v>0</v>
      </c>
      <c r="I142" s="3">
        <f>IFERROR(__xludf.DUMMYFUNCTION("""COMPUTED_VALUE"""),0.0)</f>
        <v>0</v>
      </c>
      <c r="J142" s="3">
        <f>IFERROR(__xludf.DUMMYFUNCTION("""COMPUTED_VALUE"""),0.0)</f>
        <v>0</v>
      </c>
      <c r="K142" s="3">
        <f>IFERROR(__xludf.DUMMYFUNCTION("""COMPUTED_VALUE"""),0.0)</f>
        <v>0</v>
      </c>
      <c r="L142" s="3">
        <f>IFERROR(__xludf.DUMMYFUNCTION("""COMPUTED_VALUE"""),0.0)</f>
        <v>0</v>
      </c>
      <c r="M142" s="3">
        <f>IFERROR(__xludf.DUMMYFUNCTION("""COMPUTED_VALUE"""),0.0)</f>
        <v>0</v>
      </c>
      <c r="N142" s="3">
        <f>IFERROR(__xludf.DUMMYFUNCTION("""COMPUTED_VALUE"""),0.0)</f>
        <v>0</v>
      </c>
      <c r="O142" s="3">
        <f>IFERROR(__xludf.DUMMYFUNCTION("""COMPUTED_VALUE"""),0.0)</f>
        <v>0</v>
      </c>
      <c r="P142" s="3">
        <f>IFERROR(__xludf.DUMMYFUNCTION("""COMPUTED_VALUE"""),0.0)</f>
        <v>0</v>
      </c>
      <c r="Q142" s="3">
        <f>IFERROR(__xludf.DUMMYFUNCTION("""COMPUTED_VALUE"""),0.0)</f>
        <v>0</v>
      </c>
      <c r="R142" s="3">
        <f>IFERROR(__xludf.DUMMYFUNCTION("""COMPUTED_VALUE"""),0.0)</f>
        <v>0</v>
      </c>
      <c r="S142" s="3">
        <f>IFERROR(__xludf.DUMMYFUNCTION("""COMPUTED_VALUE"""),0.0)</f>
        <v>0</v>
      </c>
      <c r="T142" s="3">
        <f>IFERROR(__xludf.DUMMYFUNCTION("""COMPUTED_VALUE"""),0.0)</f>
        <v>0</v>
      </c>
      <c r="U142" s="3">
        <f>IFERROR(__xludf.DUMMYFUNCTION("""COMPUTED_VALUE"""),0.0)</f>
        <v>0</v>
      </c>
      <c r="V142" s="3">
        <f>IFERROR(__xludf.DUMMYFUNCTION("""COMPUTED_VALUE"""),0.0)</f>
        <v>0</v>
      </c>
      <c r="W142" s="3">
        <f>IFERROR(__xludf.DUMMYFUNCTION("""COMPUTED_VALUE"""),0.0)</f>
        <v>0</v>
      </c>
      <c r="X142" s="3">
        <f>IFERROR(__xludf.DUMMYFUNCTION("""COMPUTED_VALUE"""),0.0)</f>
        <v>0</v>
      </c>
      <c r="Y142" s="3">
        <f>IFERROR(__xludf.DUMMYFUNCTION("""COMPUTED_VALUE"""),0.0)</f>
        <v>0</v>
      </c>
      <c r="Z142" s="3">
        <f>IFERROR(__xludf.DUMMYFUNCTION("""COMPUTED_VALUE"""),0.0)</f>
        <v>0</v>
      </c>
      <c r="AA142" s="3">
        <f>IFERROR(__xludf.DUMMYFUNCTION("""COMPUTED_VALUE"""),0.0)</f>
        <v>0</v>
      </c>
      <c r="AB142" s="3">
        <f>IFERROR(__xludf.DUMMYFUNCTION("""COMPUTED_VALUE"""),0.0)</f>
        <v>0</v>
      </c>
      <c r="AC142" s="3">
        <f>IFERROR(__xludf.DUMMYFUNCTION("""COMPUTED_VALUE"""),0.0)</f>
        <v>0</v>
      </c>
      <c r="AD142" s="3">
        <f>IFERROR(__xludf.DUMMYFUNCTION("""COMPUTED_VALUE"""),0.0)</f>
        <v>0</v>
      </c>
      <c r="AE142" s="3">
        <f>IFERROR(__xludf.DUMMYFUNCTION("""COMPUTED_VALUE"""),0.0)</f>
        <v>0</v>
      </c>
      <c r="AF142" s="3">
        <f>IFERROR(__xludf.DUMMYFUNCTION("""COMPUTED_VALUE"""),0.0)</f>
        <v>0</v>
      </c>
      <c r="AG142" s="3">
        <f>IFERROR(__xludf.DUMMYFUNCTION("""COMPUTED_VALUE"""),0.0)</f>
        <v>0</v>
      </c>
      <c r="AH142" s="3">
        <f>IFERROR(__xludf.DUMMYFUNCTION("""COMPUTED_VALUE"""),0.0)</f>
        <v>0</v>
      </c>
      <c r="AI142" s="3">
        <f>IFERROR(__xludf.DUMMYFUNCTION("""COMPUTED_VALUE"""),0.0)</f>
        <v>0</v>
      </c>
      <c r="AJ142" s="3">
        <f>IFERROR(__xludf.DUMMYFUNCTION("""COMPUTED_VALUE"""),0.0)</f>
        <v>0</v>
      </c>
      <c r="AK142" s="3">
        <f>IFERROR(__xludf.DUMMYFUNCTION("""COMPUTED_VALUE"""),0.0)</f>
        <v>0</v>
      </c>
      <c r="AL142" s="3">
        <f>IFERROR(__xludf.DUMMYFUNCTION("""COMPUTED_VALUE"""),0.0)</f>
        <v>0</v>
      </c>
      <c r="AM142" s="3">
        <f>IFERROR(__xludf.DUMMYFUNCTION("""COMPUTED_VALUE"""),0.0)</f>
        <v>0</v>
      </c>
      <c r="AN142" s="3">
        <f>IFERROR(__xludf.DUMMYFUNCTION("""COMPUTED_VALUE"""),0.0)</f>
        <v>0</v>
      </c>
      <c r="AO142" s="3">
        <f>IFERROR(__xludf.DUMMYFUNCTION("""COMPUTED_VALUE"""),0.0)</f>
        <v>0</v>
      </c>
      <c r="AP142" s="3">
        <f>IFERROR(__xludf.DUMMYFUNCTION("""COMPUTED_VALUE"""),0.0)</f>
        <v>0</v>
      </c>
      <c r="AQ142" s="3">
        <f>IFERROR(__xludf.DUMMYFUNCTION("""COMPUTED_VALUE"""),0.0)</f>
        <v>0</v>
      </c>
      <c r="AR142" s="3">
        <f>IFERROR(__xludf.DUMMYFUNCTION("""COMPUTED_VALUE"""),0.0)</f>
        <v>0</v>
      </c>
      <c r="AS142" s="3">
        <f>IFERROR(__xludf.DUMMYFUNCTION("""COMPUTED_VALUE"""),0.0)</f>
        <v>0</v>
      </c>
      <c r="AT142" s="3">
        <f>IFERROR(__xludf.DUMMYFUNCTION("""COMPUTED_VALUE"""),0.0)</f>
        <v>0</v>
      </c>
      <c r="AU142" s="3">
        <f>IFERROR(__xludf.DUMMYFUNCTION("""COMPUTED_VALUE"""),0.0)</f>
        <v>0</v>
      </c>
      <c r="AV142" s="3">
        <f>IFERROR(__xludf.DUMMYFUNCTION("""COMPUTED_VALUE"""),0.0)</f>
        <v>0</v>
      </c>
      <c r="AW142" s="3">
        <f>IFERROR(__xludf.DUMMYFUNCTION("""COMPUTED_VALUE"""),0.0)</f>
        <v>0</v>
      </c>
      <c r="AX142" s="3">
        <f>IFERROR(__xludf.DUMMYFUNCTION("""COMPUTED_VALUE"""),0.0)</f>
        <v>0</v>
      </c>
      <c r="AY142" s="3">
        <f>IFERROR(__xludf.DUMMYFUNCTION("""COMPUTED_VALUE"""),0.0)</f>
        <v>0</v>
      </c>
      <c r="AZ142" s="3">
        <f>IFERROR(__xludf.DUMMYFUNCTION("""COMPUTED_VALUE"""),0.0)</f>
        <v>0</v>
      </c>
      <c r="BA142" s="3">
        <f>IFERROR(__xludf.DUMMYFUNCTION("""COMPUTED_VALUE"""),0.0)</f>
        <v>0</v>
      </c>
      <c r="BB142" s="3">
        <f>IFERROR(__xludf.DUMMYFUNCTION("""COMPUTED_VALUE"""),0.0)</f>
        <v>0</v>
      </c>
      <c r="BC142" s="3">
        <f>IFERROR(__xludf.DUMMYFUNCTION("""COMPUTED_VALUE"""),0.0)</f>
        <v>0</v>
      </c>
      <c r="BD142" s="3">
        <f>IFERROR(__xludf.DUMMYFUNCTION("""COMPUTED_VALUE"""),0.0)</f>
        <v>0</v>
      </c>
      <c r="BE142" s="3">
        <f>IFERROR(__xludf.DUMMYFUNCTION("""COMPUTED_VALUE"""),0.0)</f>
        <v>0</v>
      </c>
      <c r="BF142" s="3">
        <f>IFERROR(__xludf.DUMMYFUNCTION("""COMPUTED_VALUE"""),0.0)</f>
        <v>0</v>
      </c>
      <c r="BG142" s="3">
        <f>IFERROR(__xludf.DUMMYFUNCTION("""COMPUTED_VALUE"""),0.0)</f>
        <v>0</v>
      </c>
      <c r="BH142" s="3">
        <f>IFERROR(__xludf.DUMMYFUNCTION("""COMPUTED_VALUE"""),0.0)</f>
        <v>0</v>
      </c>
      <c r="BI142" s="3">
        <f>IFERROR(__xludf.DUMMYFUNCTION("""COMPUTED_VALUE"""),0.0)</f>
        <v>0</v>
      </c>
      <c r="BJ142" s="3">
        <f>IFERROR(__xludf.DUMMYFUNCTION("""COMPUTED_VALUE"""),0.0)</f>
        <v>0</v>
      </c>
      <c r="BK142" s="3">
        <f>IFERROR(__xludf.DUMMYFUNCTION("""COMPUTED_VALUE"""),0.0)</f>
        <v>0</v>
      </c>
      <c r="BL142" s="3">
        <f>IFERROR(__xludf.DUMMYFUNCTION("""COMPUTED_VALUE"""),0.0)</f>
        <v>0</v>
      </c>
      <c r="BM142" s="3">
        <f>IFERROR(__xludf.DUMMYFUNCTION("""COMPUTED_VALUE"""),0.0)</f>
        <v>0</v>
      </c>
      <c r="BN142" s="3">
        <f>IFERROR(__xludf.DUMMYFUNCTION("""COMPUTED_VALUE"""),0.0)</f>
        <v>0</v>
      </c>
      <c r="BO142" s="3">
        <f>IFERROR(__xludf.DUMMYFUNCTION("""COMPUTED_VALUE"""),0.0)</f>
        <v>0</v>
      </c>
      <c r="BP142" s="3">
        <f>IFERROR(__xludf.DUMMYFUNCTION("""COMPUTED_VALUE"""),0.0)</f>
        <v>0</v>
      </c>
      <c r="BQ142" s="3">
        <f>IFERROR(__xludf.DUMMYFUNCTION("""COMPUTED_VALUE"""),0.0)</f>
        <v>0</v>
      </c>
      <c r="BR142" s="3">
        <f>IFERROR(__xludf.DUMMYFUNCTION("""COMPUTED_VALUE"""),1.0)</f>
        <v>1</v>
      </c>
      <c r="BS142" s="3">
        <f>IFERROR(__xludf.DUMMYFUNCTION("""COMPUTED_VALUE"""),1.0)</f>
        <v>1</v>
      </c>
      <c r="BT142" s="3">
        <f>IFERROR(__xludf.DUMMYFUNCTION("""COMPUTED_VALUE"""),3.0)</f>
        <v>3</v>
      </c>
      <c r="BU142" s="3">
        <f>IFERROR(__xludf.DUMMYFUNCTION("""COMPUTED_VALUE"""),5.0)</f>
        <v>5</v>
      </c>
      <c r="BV142" s="3">
        <f>IFERROR(__xludf.DUMMYFUNCTION("""COMPUTED_VALUE"""),5.0)</f>
        <v>5</v>
      </c>
      <c r="BW142" s="3">
        <f>IFERROR(__xludf.DUMMYFUNCTION("""COMPUTED_VALUE"""),5.0)</f>
        <v>5</v>
      </c>
      <c r="BX142" s="3">
        <f>IFERROR(__xludf.DUMMYFUNCTION("""COMPUTED_VALUE"""),5.0)</f>
        <v>5</v>
      </c>
      <c r="BY142" s="3">
        <f>IFERROR(__xludf.DUMMYFUNCTION("""COMPUTED_VALUE"""),5.0)</f>
        <v>5</v>
      </c>
      <c r="BZ142" s="3">
        <f>IFERROR(__xludf.DUMMYFUNCTION("""COMPUTED_VALUE"""),5.0)</f>
        <v>5</v>
      </c>
      <c r="CA142" s="3">
        <f>IFERROR(__xludf.DUMMYFUNCTION("""COMPUTED_VALUE"""),5.0)</f>
        <v>5</v>
      </c>
      <c r="CB142" s="3">
        <f>IFERROR(__xludf.DUMMYFUNCTION("""COMPUTED_VALUE"""),6.0)</f>
        <v>6</v>
      </c>
    </row>
    <row r="143">
      <c r="A143" s="3" t="str">
        <f>IFERROR(__xludf.DUMMYFUNCTION("""COMPUTED_VALUE"""),"")</f>
        <v/>
      </c>
      <c r="B143" s="3" t="str">
        <f>IFERROR(__xludf.DUMMYFUNCTION("""COMPUTED_VALUE"""),"Kazakhstan")</f>
        <v>Kazakhstan</v>
      </c>
      <c r="C143" s="3">
        <f>IFERROR(__xludf.DUMMYFUNCTION("""COMPUTED_VALUE"""),48.0196)</f>
        <v>48.0196</v>
      </c>
      <c r="D143" s="3">
        <f>IFERROR(__xludf.DUMMYFUNCTION("""COMPUTED_VALUE"""),66.9237)</f>
        <v>66.9237</v>
      </c>
      <c r="E143" s="3">
        <f>IFERROR(__xludf.DUMMYFUNCTION("""COMPUTED_VALUE"""),0.0)</f>
        <v>0</v>
      </c>
      <c r="F143" s="3">
        <f>IFERROR(__xludf.DUMMYFUNCTION("""COMPUTED_VALUE"""),0.0)</f>
        <v>0</v>
      </c>
      <c r="G143" s="3">
        <f>IFERROR(__xludf.DUMMYFUNCTION("""COMPUTED_VALUE"""),0.0)</f>
        <v>0</v>
      </c>
      <c r="H143" s="3">
        <f>IFERROR(__xludf.DUMMYFUNCTION("""COMPUTED_VALUE"""),0.0)</f>
        <v>0</v>
      </c>
      <c r="I143" s="3">
        <f>IFERROR(__xludf.DUMMYFUNCTION("""COMPUTED_VALUE"""),0.0)</f>
        <v>0</v>
      </c>
      <c r="J143" s="3">
        <f>IFERROR(__xludf.DUMMYFUNCTION("""COMPUTED_VALUE"""),0.0)</f>
        <v>0</v>
      </c>
      <c r="K143" s="3">
        <f>IFERROR(__xludf.DUMMYFUNCTION("""COMPUTED_VALUE"""),0.0)</f>
        <v>0</v>
      </c>
      <c r="L143" s="3">
        <f>IFERROR(__xludf.DUMMYFUNCTION("""COMPUTED_VALUE"""),0.0)</f>
        <v>0</v>
      </c>
      <c r="M143" s="3">
        <f>IFERROR(__xludf.DUMMYFUNCTION("""COMPUTED_VALUE"""),0.0)</f>
        <v>0</v>
      </c>
      <c r="N143" s="3">
        <f>IFERROR(__xludf.DUMMYFUNCTION("""COMPUTED_VALUE"""),0.0)</f>
        <v>0</v>
      </c>
      <c r="O143" s="3">
        <f>IFERROR(__xludf.DUMMYFUNCTION("""COMPUTED_VALUE"""),0.0)</f>
        <v>0</v>
      </c>
      <c r="P143" s="3">
        <f>IFERROR(__xludf.DUMMYFUNCTION("""COMPUTED_VALUE"""),0.0)</f>
        <v>0</v>
      </c>
      <c r="Q143" s="3">
        <f>IFERROR(__xludf.DUMMYFUNCTION("""COMPUTED_VALUE"""),0.0)</f>
        <v>0</v>
      </c>
      <c r="R143" s="3">
        <f>IFERROR(__xludf.DUMMYFUNCTION("""COMPUTED_VALUE"""),0.0)</f>
        <v>0</v>
      </c>
      <c r="S143" s="3">
        <f>IFERROR(__xludf.DUMMYFUNCTION("""COMPUTED_VALUE"""),0.0)</f>
        <v>0</v>
      </c>
      <c r="T143" s="3">
        <f>IFERROR(__xludf.DUMMYFUNCTION("""COMPUTED_VALUE"""),0.0)</f>
        <v>0</v>
      </c>
      <c r="U143" s="3">
        <f>IFERROR(__xludf.DUMMYFUNCTION("""COMPUTED_VALUE"""),0.0)</f>
        <v>0</v>
      </c>
      <c r="V143" s="3">
        <f>IFERROR(__xludf.DUMMYFUNCTION("""COMPUTED_VALUE"""),0.0)</f>
        <v>0</v>
      </c>
      <c r="W143" s="3">
        <f>IFERROR(__xludf.DUMMYFUNCTION("""COMPUTED_VALUE"""),0.0)</f>
        <v>0</v>
      </c>
      <c r="X143" s="3">
        <f>IFERROR(__xludf.DUMMYFUNCTION("""COMPUTED_VALUE"""),0.0)</f>
        <v>0</v>
      </c>
      <c r="Y143" s="3">
        <f>IFERROR(__xludf.DUMMYFUNCTION("""COMPUTED_VALUE"""),0.0)</f>
        <v>0</v>
      </c>
      <c r="Z143" s="3">
        <f>IFERROR(__xludf.DUMMYFUNCTION("""COMPUTED_VALUE"""),0.0)</f>
        <v>0</v>
      </c>
      <c r="AA143" s="3">
        <f>IFERROR(__xludf.DUMMYFUNCTION("""COMPUTED_VALUE"""),0.0)</f>
        <v>0</v>
      </c>
      <c r="AB143" s="3">
        <f>IFERROR(__xludf.DUMMYFUNCTION("""COMPUTED_VALUE"""),0.0)</f>
        <v>0</v>
      </c>
      <c r="AC143" s="3">
        <f>IFERROR(__xludf.DUMMYFUNCTION("""COMPUTED_VALUE"""),0.0)</f>
        <v>0</v>
      </c>
      <c r="AD143" s="3">
        <f>IFERROR(__xludf.DUMMYFUNCTION("""COMPUTED_VALUE"""),0.0)</f>
        <v>0</v>
      </c>
      <c r="AE143" s="3">
        <f>IFERROR(__xludf.DUMMYFUNCTION("""COMPUTED_VALUE"""),0.0)</f>
        <v>0</v>
      </c>
      <c r="AF143" s="3">
        <f>IFERROR(__xludf.DUMMYFUNCTION("""COMPUTED_VALUE"""),0.0)</f>
        <v>0</v>
      </c>
      <c r="AG143" s="3">
        <f>IFERROR(__xludf.DUMMYFUNCTION("""COMPUTED_VALUE"""),0.0)</f>
        <v>0</v>
      </c>
      <c r="AH143" s="3">
        <f>IFERROR(__xludf.DUMMYFUNCTION("""COMPUTED_VALUE"""),0.0)</f>
        <v>0</v>
      </c>
      <c r="AI143" s="3">
        <f>IFERROR(__xludf.DUMMYFUNCTION("""COMPUTED_VALUE"""),0.0)</f>
        <v>0</v>
      </c>
      <c r="AJ143" s="3">
        <f>IFERROR(__xludf.DUMMYFUNCTION("""COMPUTED_VALUE"""),0.0)</f>
        <v>0</v>
      </c>
      <c r="AK143" s="3">
        <f>IFERROR(__xludf.DUMMYFUNCTION("""COMPUTED_VALUE"""),0.0)</f>
        <v>0</v>
      </c>
      <c r="AL143" s="3">
        <f>IFERROR(__xludf.DUMMYFUNCTION("""COMPUTED_VALUE"""),0.0)</f>
        <v>0</v>
      </c>
      <c r="AM143" s="3">
        <f>IFERROR(__xludf.DUMMYFUNCTION("""COMPUTED_VALUE"""),0.0)</f>
        <v>0</v>
      </c>
      <c r="AN143" s="3">
        <f>IFERROR(__xludf.DUMMYFUNCTION("""COMPUTED_VALUE"""),0.0)</f>
        <v>0</v>
      </c>
      <c r="AO143" s="3">
        <f>IFERROR(__xludf.DUMMYFUNCTION("""COMPUTED_VALUE"""),0.0)</f>
        <v>0</v>
      </c>
      <c r="AP143" s="3">
        <f>IFERROR(__xludf.DUMMYFUNCTION("""COMPUTED_VALUE"""),0.0)</f>
        <v>0</v>
      </c>
      <c r="AQ143" s="3">
        <f>IFERROR(__xludf.DUMMYFUNCTION("""COMPUTED_VALUE"""),0.0)</f>
        <v>0</v>
      </c>
      <c r="AR143" s="3">
        <f>IFERROR(__xludf.DUMMYFUNCTION("""COMPUTED_VALUE"""),0.0)</f>
        <v>0</v>
      </c>
      <c r="AS143" s="3">
        <f>IFERROR(__xludf.DUMMYFUNCTION("""COMPUTED_VALUE"""),0.0)</f>
        <v>0</v>
      </c>
      <c r="AT143" s="3">
        <f>IFERROR(__xludf.DUMMYFUNCTION("""COMPUTED_VALUE"""),0.0)</f>
        <v>0</v>
      </c>
      <c r="AU143" s="3">
        <f>IFERROR(__xludf.DUMMYFUNCTION("""COMPUTED_VALUE"""),0.0)</f>
        <v>0</v>
      </c>
      <c r="AV143" s="3">
        <f>IFERROR(__xludf.DUMMYFUNCTION("""COMPUTED_VALUE"""),0.0)</f>
        <v>0</v>
      </c>
      <c r="AW143" s="3">
        <f>IFERROR(__xludf.DUMMYFUNCTION("""COMPUTED_VALUE"""),0.0)</f>
        <v>0</v>
      </c>
      <c r="AX143" s="3">
        <f>IFERROR(__xludf.DUMMYFUNCTION("""COMPUTED_VALUE"""),0.0)</f>
        <v>0</v>
      </c>
      <c r="AY143" s="3">
        <f>IFERROR(__xludf.DUMMYFUNCTION("""COMPUTED_VALUE"""),0.0)</f>
        <v>0</v>
      </c>
      <c r="AZ143" s="3">
        <f>IFERROR(__xludf.DUMMYFUNCTION("""COMPUTED_VALUE"""),0.0)</f>
        <v>0</v>
      </c>
      <c r="BA143" s="3">
        <f>IFERROR(__xludf.DUMMYFUNCTION("""COMPUTED_VALUE"""),0.0)</f>
        <v>0</v>
      </c>
      <c r="BB143" s="3">
        <f>IFERROR(__xludf.DUMMYFUNCTION("""COMPUTED_VALUE"""),0.0)</f>
        <v>0</v>
      </c>
      <c r="BC143" s="3">
        <f>IFERROR(__xludf.DUMMYFUNCTION("""COMPUTED_VALUE"""),0.0)</f>
        <v>0</v>
      </c>
      <c r="BD143" s="3">
        <f>IFERROR(__xludf.DUMMYFUNCTION("""COMPUTED_VALUE"""),0.0)</f>
        <v>0</v>
      </c>
      <c r="BE143" s="3">
        <f>IFERROR(__xludf.DUMMYFUNCTION("""COMPUTED_VALUE"""),0.0)</f>
        <v>0</v>
      </c>
      <c r="BF143" s="3">
        <f>IFERROR(__xludf.DUMMYFUNCTION("""COMPUTED_VALUE"""),0.0)</f>
        <v>0</v>
      </c>
      <c r="BG143" s="3">
        <f>IFERROR(__xludf.DUMMYFUNCTION("""COMPUTED_VALUE"""),0.0)</f>
        <v>0</v>
      </c>
      <c r="BH143" s="3">
        <f>IFERROR(__xludf.DUMMYFUNCTION("""COMPUTED_VALUE"""),0.0)</f>
        <v>0</v>
      </c>
      <c r="BI143" s="3">
        <f>IFERROR(__xludf.DUMMYFUNCTION("""COMPUTED_VALUE"""),0.0)</f>
        <v>0</v>
      </c>
      <c r="BJ143" s="3">
        <f>IFERROR(__xludf.DUMMYFUNCTION("""COMPUTED_VALUE"""),0.0)</f>
        <v>0</v>
      </c>
      <c r="BK143" s="3">
        <f>IFERROR(__xludf.DUMMYFUNCTION("""COMPUTED_VALUE"""),3.0)</f>
        <v>3</v>
      </c>
      <c r="BL143" s="3">
        <f>IFERROR(__xludf.DUMMYFUNCTION("""COMPUTED_VALUE"""),0.0)</f>
        <v>0</v>
      </c>
      <c r="BM143" s="3">
        <f>IFERROR(__xludf.DUMMYFUNCTION("""COMPUTED_VALUE"""),0.0)</f>
        <v>0</v>
      </c>
      <c r="BN143" s="3">
        <f>IFERROR(__xludf.DUMMYFUNCTION("""COMPUTED_VALUE"""),0.0)</f>
        <v>0</v>
      </c>
      <c r="BO143" s="3">
        <f>IFERROR(__xludf.DUMMYFUNCTION("""COMPUTED_VALUE"""),0.0)</f>
        <v>0</v>
      </c>
      <c r="BP143" s="3">
        <f>IFERROR(__xludf.DUMMYFUNCTION("""COMPUTED_VALUE"""),0.0)</f>
        <v>0</v>
      </c>
      <c r="BQ143" s="3">
        <f>IFERROR(__xludf.DUMMYFUNCTION("""COMPUTED_VALUE"""),1.0)</f>
        <v>1</v>
      </c>
      <c r="BR143" s="3">
        <f>IFERROR(__xludf.DUMMYFUNCTION("""COMPUTED_VALUE"""),1.0)</f>
        <v>1</v>
      </c>
      <c r="BS143" s="3">
        <f>IFERROR(__xludf.DUMMYFUNCTION("""COMPUTED_VALUE"""),1.0)</f>
        <v>1</v>
      </c>
      <c r="BT143" s="3">
        <f>IFERROR(__xludf.DUMMYFUNCTION("""COMPUTED_VALUE"""),1.0)</f>
        <v>1</v>
      </c>
      <c r="BU143" s="3">
        <f>IFERROR(__xludf.DUMMYFUNCTION("""COMPUTED_VALUE"""),1.0)</f>
        <v>1</v>
      </c>
      <c r="BV143" s="3">
        <f>IFERROR(__xludf.DUMMYFUNCTION("""COMPUTED_VALUE"""),2.0)</f>
        <v>2</v>
      </c>
      <c r="BW143" s="3">
        <f>IFERROR(__xludf.DUMMYFUNCTION("""COMPUTED_VALUE"""),3.0)</f>
        <v>3</v>
      </c>
      <c r="BX143" s="3">
        <f>IFERROR(__xludf.DUMMYFUNCTION("""COMPUTED_VALUE"""),3.0)</f>
        <v>3</v>
      </c>
      <c r="BY143" s="3">
        <f>IFERROR(__xludf.DUMMYFUNCTION("""COMPUTED_VALUE"""),6.0)</f>
        <v>6</v>
      </c>
      <c r="BZ143" s="3">
        <f>IFERROR(__xludf.DUMMYFUNCTION("""COMPUTED_VALUE"""),5.0)</f>
        <v>5</v>
      </c>
      <c r="CA143" s="3">
        <f>IFERROR(__xludf.DUMMYFUNCTION("""COMPUTED_VALUE"""),6.0)</f>
        <v>6</v>
      </c>
      <c r="CB143" s="3">
        <f>IFERROR(__xludf.DUMMYFUNCTION("""COMPUTED_VALUE"""),6.0)</f>
        <v>6</v>
      </c>
    </row>
    <row r="144">
      <c r="A144" s="3" t="str">
        <f>IFERROR(__xludf.DUMMYFUNCTION("""COMPUTED_VALUE"""),"")</f>
        <v/>
      </c>
      <c r="B144" s="3" t="str">
        <f>IFERROR(__xludf.DUMMYFUNCTION("""COMPUTED_VALUE"""),"Kenya")</f>
        <v>Kenya</v>
      </c>
      <c r="C144" s="3">
        <f>IFERROR(__xludf.DUMMYFUNCTION("""COMPUTED_VALUE"""),-0.0236)</f>
        <v>-0.0236</v>
      </c>
      <c r="D144" s="3">
        <f>IFERROR(__xludf.DUMMYFUNCTION("""COMPUTED_VALUE"""),37.9062)</f>
        <v>37.9062</v>
      </c>
      <c r="E144" s="3">
        <f>IFERROR(__xludf.DUMMYFUNCTION("""COMPUTED_VALUE"""),0.0)</f>
        <v>0</v>
      </c>
      <c r="F144" s="3">
        <f>IFERROR(__xludf.DUMMYFUNCTION("""COMPUTED_VALUE"""),0.0)</f>
        <v>0</v>
      </c>
      <c r="G144" s="3">
        <f>IFERROR(__xludf.DUMMYFUNCTION("""COMPUTED_VALUE"""),0.0)</f>
        <v>0</v>
      </c>
      <c r="H144" s="3">
        <f>IFERROR(__xludf.DUMMYFUNCTION("""COMPUTED_VALUE"""),0.0)</f>
        <v>0</v>
      </c>
      <c r="I144" s="3">
        <f>IFERROR(__xludf.DUMMYFUNCTION("""COMPUTED_VALUE"""),0.0)</f>
        <v>0</v>
      </c>
      <c r="J144" s="3">
        <f>IFERROR(__xludf.DUMMYFUNCTION("""COMPUTED_VALUE"""),0.0)</f>
        <v>0</v>
      </c>
      <c r="K144" s="3">
        <f>IFERROR(__xludf.DUMMYFUNCTION("""COMPUTED_VALUE"""),0.0)</f>
        <v>0</v>
      </c>
      <c r="L144" s="3">
        <f>IFERROR(__xludf.DUMMYFUNCTION("""COMPUTED_VALUE"""),0.0)</f>
        <v>0</v>
      </c>
      <c r="M144" s="3">
        <f>IFERROR(__xludf.DUMMYFUNCTION("""COMPUTED_VALUE"""),0.0)</f>
        <v>0</v>
      </c>
      <c r="N144" s="3">
        <f>IFERROR(__xludf.DUMMYFUNCTION("""COMPUTED_VALUE"""),0.0)</f>
        <v>0</v>
      </c>
      <c r="O144" s="3">
        <f>IFERROR(__xludf.DUMMYFUNCTION("""COMPUTED_VALUE"""),0.0)</f>
        <v>0</v>
      </c>
      <c r="P144" s="3">
        <f>IFERROR(__xludf.DUMMYFUNCTION("""COMPUTED_VALUE"""),0.0)</f>
        <v>0</v>
      </c>
      <c r="Q144" s="3">
        <f>IFERROR(__xludf.DUMMYFUNCTION("""COMPUTED_VALUE"""),0.0)</f>
        <v>0</v>
      </c>
      <c r="R144" s="3">
        <f>IFERROR(__xludf.DUMMYFUNCTION("""COMPUTED_VALUE"""),0.0)</f>
        <v>0</v>
      </c>
      <c r="S144" s="3">
        <f>IFERROR(__xludf.DUMMYFUNCTION("""COMPUTED_VALUE"""),0.0)</f>
        <v>0</v>
      </c>
      <c r="T144" s="3">
        <f>IFERROR(__xludf.DUMMYFUNCTION("""COMPUTED_VALUE"""),0.0)</f>
        <v>0</v>
      </c>
      <c r="U144" s="3">
        <f>IFERROR(__xludf.DUMMYFUNCTION("""COMPUTED_VALUE"""),0.0)</f>
        <v>0</v>
      </c>
      <c r="V144" s="3">
        <f>IFERROR(__xludf.DUMMYFUNCTION("""COMPUTED_VALUE"""),0.0)</f>
        <v>0</v>
      </c>
      <c r="W144" s="3">
        <f>IFERROR(__xludf.DUMMYFUNCTION("""COMPUTED_VALUE"""),0.0)</f>
        <v>0</v>
      </c>
      <c r="X144" s="3">
        <f>IFERROR(__xludf.DUMMYFUNCTION("""COMPUTED_VALUE"""),0.0)</f>
        <v>0</v>
      </c>
      <c r="Y144" s="3">
        <f>IFERROR(__xludf.DUMMYFUNCTION("""COMPUTED_VALUE"""),0.0)</f>
        <v>0</v>
      </c>
      <c r="Z144" s="3">
        <f>IFERROR(__xludf.DUMMYFUNCTION("""COMPUTED_VALUE"""),0.0)</f>
        <v>0</v>
      </c>
      <c r="AA144" s="3">
        <f>IFERROR(__xludf.DUMMYFUNCTION("""COMPUTED_VALUE"""),0.0)</f>
        <v>0</v>
      </c>
      <c r="AB144" s="3">
        <f>IFERROR(__xludf.DUMMYFUNCTION("""COMPUTED_VALUE"""),0.0)</f>
        <v>0</v>
      </c>
      <c r="AC144" s="3">
        <f>IFERROR(__xludf.DUMMYFUNCTION("""COMPUTED_VALUE"""),0.0)</f>
        <v>0</v>
      </c>
      <c r="AD144" s="3">
        <f>IFERROR(__xludf.DUMMYFUNCTION("""COMPUTED_VALUE"""),0.0)</f>
        <v>0</v>
      </c>
      <c r="AE144" s="3">
        <f>IFERROR(__xludf.DUMMYFUNCTION("""COMPUTED_VALUE"""),0.0)</f>
        <v>0</v>
      </c>
      <c r="AF144" s="3">
        <f>IFERROR(__xludf.DUMMYFUNCTION("""COMPUTED_VALUE"""),0.0)</f>
        <v>0</v>
      </c>
      <c r="AG144" s="3">
        <f>IFERROR(__xludf.DUMMYFUNCTION("""COMPUTED_VALUE"""),0.0)</f>
        <v>0</v>
      </c>
      <c r="AH144" s="3">
        <f>IFERROR(__xludf.DUMMYFUNCTION("""COMPUTED_VALUE"""),0.0)</f>
        <v>0</v>
      </c>
      <c r="AI144" s="3">
        <f>IFERROR(__xludf.DUMMYFUNCTION("""COMPUTED_VALUE"""),0.0)</f>
        <v>0</v>
      </c>
      <c r="AJ144" s="3">
        <f>IFERROR(__xludf.DUMMYFUNCTION("""COMPUTED_VALUE"""),0.0)</f>
        <v>0</v>
      </c>
      <c r="AK144" s="3">
        <f>IFERROR(__xludf.DUMMYFUNCTION("""COMPUTED_VALUE"""),0.0)</f>
        <v>0</v>
      </c>
      <c r="AL144" s="3">
        <f>IFERROR(__xludf.DUMMYFUNCTION("""COMPUTED_VALUE"""),0.0)</f>
        <v>0</v>
      </c>
      <c r="AM144" s="3">
        <f>IFERROR(__xludf.DUMMYFUNCTION("""COMPUTED_VALUE"""),0.0)</f>
        <v>0</v>
      </c>
      <c r="AN144" s="3">
        <f>IFERROR(__xludf.DUMMYFUNCTION("""COMPUTED_VALUE"""),0.0)</f>
        <v>0</v>
      </c>
      <c r="AO144" s="3">
        <f>IFERROR(__xludf.DUMMYFUNCTION("""COMPUTED_VALUE"""),0.0)</f>
        <v>0</v>
      </c>
      <c r="AP144" s="3">
        <f>IFERROR(__xludf.DUMMYFUNCTION("""COMPUTED_VALUE"""),0.0)</f>
        <v>0</v>
      </c>
      <c r="AQ144" s="3">
        <f>IFERROR(__xludf.DUMMYFUNCTION("""COMPUTED_VALUE"""),0.0)</f>
        <v>0</v>
      </c>
      <c r="AR144" s="3">
        <f>IFERROR(__xludf.DUMMYFUNCTION("""COMPUTED_VALUE"""),0.0)</f>
        <v>0</v>
      </c>
      <c r="AS144" s="3">
        <f>IFERROR(__xludf.DUMMYFUNCTION("""COMPUTED_VALUE"""),0.0)</f>
        <v>0</v>
      </c>
      <c r="AT144" s="3">
        <f>IFERROR(__xludf.DUMMYFUNCTION("""COMPUTED_VALUE"""),0.0)</f>
        <v>0</v>
      </c>
      <c r="AU144" s="3">
        <f>IFERROR(__xludf.DUMMYFUNCTION("""COMPUTED_VALUE"""),0.0)</f>
        <v>0</v>
      </c>
      <c r="AV144" s="3">
        <f>IFERROR(__xludf.DUMMYFUNCTION("""COMPUTED_VALUE"""),0.0)</f>
        <v>0</v>
      </c>
      <c r="AW144" s="3">
        <f>IFERROR(__xludf.DUMMYFUNCTION("""COMPUTED_VALUE"""),0.0)</f>
        <v>0</v>
      </c>
      <c r="AX144" s="3">
        <f>IFERROR(__xludf.DUMMYFUNCTION("""COMPUTED_VALUE"""),0.0)</f>
        <v>0</v>
      </c>
      <c r="AY144" s="3">
        <f>IFERROR(__xludf.DUMMYFUNCTION("""COMPUTED_VALUE"""),0.0)</f>
        <v>0</v>
      </c>
      <c r="AZ144" s="3">
        <f>IFERROR(__xludf.DUMMYFUNCTION("""COMPUTED_VALUE"""),0.0)</f>
        <v>0</v>
      </c>
      <c r="BA144" s="3">
        <f>IFERROR(__xludf.DUMMYFUNCTION("""COMPUTED_VALUE"""),0.0)</f>
        <v>0</v>
      </c>
      <c r="BB144" s="3">
        <f>IFERROR(__xludf.DUMMYFUNCTION("""COMPUTED_VALUE"""),0.0)</f>
        <v>0</v>
      </c>
      <c r="BC144" s="3">
        <f>IFERROR(__xludf.DUMMYFUNCTION("""COMPUTED_VALUE"""),0.0)</f>
        <v>0</v>
      </c>
      <c r="BD144" s="3">
        <f>IFERROR(__xludf.DUMMYFUNCTION("""COMPUTED_VALUE"""),0.0)</f>
        <v>0</v>
      </c>
      <c r="BE144" s="3">
        <f>IFERROR(__xludf.DUMMYFUNCTION("""COMPUTED_VALUE"""),0.0)</f>
        <v>0</v>
      </c>
      <c r="BF144" s="3">
        <f>IFERROR(__xludf.DUMMYFUNCTION("""COMPUTED_VALUE"""),0.0)</f>
        <v>0</v>
      </c>
      <c r="BG144" s="3">
        <f>IFERROR(__xludf.DUMMYFUNCTION("""COMPUTED_VALUE"""),0.0)</f>
        <v>0</v>
      </c>
      <c r="BH144" s="3">
        <f>IFERROR(__xludf.DUMMYFUNCTION("""COMPUTED_VALUE"""),0.0)</f>
        <v>0</v>
      </c>
      <c r="BI144" s="3">
        <f>IFERROR(__xludf.DUMMYFUNCTION("""COMPUTED_VALUE"""),0.0)</f>
        <v>0</v>
      </c>
      <c r="BJ144" s="3">
        <f>IFERROR(__xludf.DUMMYFUNCTION("""COMPUTED_VALUE"""),0.0)</f>
        <v>0</v>
      </c>
      <c r="BK144" s="3">
        <f>IFERROR(__xludf.DUMMYFUNCTION("""COMPUTED_VALUE"""),0.0)</f>
        <v>0</v>
      </c>
      <c r="BL144" s="3">
        <f>IFERROR(__xludf.DUMMYFUNCTION("""COMPUTED_VALUE"""),0.0)</f>
        <v>0</v>
      </c>
      <c r="BM144" s="3">
        <f>IFERROR(__xludf.DUMMYFUNCTION("""COMPUTED_VALUE"""),0.0)</f>
        <v>0</v>
      </c>
      <c r="BN144" s="3">
        <f>IFERROR(__xludf.DUMMYFUNCTION("""COMPUTED_VALUE"""),0.0)</f>
        <v>0</v>
      </c>
      <c r="BO144" s="3">
        <f>IFERROR(__xludf.DUMMYFUNCTION("""COMPUTED_VALUE"""),0.0)</f>
        <v>0</v>
      </c>
      <c r="BP144" s="3">
        <f>IFERROR(__xludf.DUMMYFUNCTION("""COMPUTED_VALUE"""),0.0)</f>
        <v>0</v>
      </c>
      <c r="BQ144" s="3">
        <f>IFERROR(__xludf.DUMMYFUNCTION("""COMPUTED_VALUE"""),1.0)</f>
        <v>1</v>
      </c>
      <c r="BR144" s="3">
        <f>IFERROR(__xludf.DUMMYFUNCTION("""COMPUTED_VALUE"""),1.0)</f>
        <v>1</v>
      </c>
      <c r="BS144" s="3">
        <f>IFERROR(__xludf.DUMMYFUNCTION("""COMPUTED_VALUE"""),1.0)</f>
        <v>1</v>
      </c>
      <c r="BT144" s="3">
        <f>IFERROR(__xludf.DUMMYFUNCTION("""COMPUTED_VALUE"""),1.0)</f>
        <v>1</v>
      </c>
      <c r="BU144" s="3">
        <f>IFERROR(__xludf.DUMMYFUNCTION("""COMPUTED_VALUE"""),1.0)</f>
        <v>1</v>
      </c>
      <c r="BV144" s="3">
        <f>IFERROR(__xludf.DUMMYFUNCTION("""COMPUTED_VALUE"""),1.0)</f>
        <v>1</v>
      </c>
      <c r="BW144" s="3">
        <f>IFERROR(__xludf.DUMMYFUNCTION("""COMPUTED_VALUE"""),1.0)</f>
        <v>1</v>
      </c>
      <c r="BX144" s="3">
        <f>IFERROR(__xludf.DUMMYFUNCTION("""COMPUTED_VALUE"""),3.0)</f>
        <v>3</v>
      </c>
      <c r="BY144" s="3">
        <f>IFERROR(__xludf.DUMMYFUNCTION("""COMPUTED_VALUE"""),4.0)</f>
        <v>4</v>
      </c>
      <c r="BZ144" s="3">
        <f>IFERROR(__xludf.DUMMYFUNCTION("""COMPUTED_VALUE"""),4.0)</f>
        <v>4</v>
      </c>
      <c r="CA144" s="3">
        <f>IFERROR(__xludf.DUMMYFUNCTION("""COMPUTED_VALUE"""),4.0)</f>
        <v>4</v>
      </c>
      <c r="CB144" s="3">
        <f>IFERROR(__xludf.DUMMYFUNCTION("""COMPUTED_VALUE"""),6.0)</f>
        <v>6</v>
      </c>
    </row>
    <row r="145">
      <c r="A145" s="3" t="str">
        <f>IFERROR(__xludf.DUMMYFUNCTION("""COMPUTED_VALUE"""),"")</f>
        <v/>
      </c>
      <c r="B145" s="3" t="str">
        <f>IFERROR(__xludf.DUMMYFUNCTION("""COMPUTED_VALUE"""),"Korea, South")</f>
        <v>Korea, South</v>
      </c>
      <c r="C145" s="3">
        <f>IFERROR(__xludf.DUMMYFUNCTION("""COMPUTED_VALUE"""),36.0)</f>
        <v>36</v>
      </c>
      <c r="D145" s="3">
        <f>IFERROR(__xludf.DUMMYFUNCTION("""COMPUTED_VALUE"""),128.0)</f>
        <v>128</v>
      </c>
      <c r="E145" s="3">
        <f>IFERROR(__xludf.DUMMYFUNCTION("""COMPUTED_VALUE"""),0.0)</f>
        <v>0</v>
      </c>
      <c r="F145" s="3">
        <f>IFERROR(__xludf.DUMMYFUNCTION("""COMPUTED_VALUE"""),0.0)</f>
        <v>0</v>
      </c>
      <c r="G145" s="3">
        <f>IFERROR(__xludf.DUMMYFUNCTION("""COMPUTED_VALUE"""),0.0)</f>
        <v>0</v>
      </c>
      <c r="H145" s="3">
        <f>IFERROR(__xludf.DUMMYFUNCTION("""COMPUTED_VALUE"""),0.0)</f>
        <v>0</v>
      </c>
      <c r="I145" s="3">
        <f>IFERROR(__xludf.DUMMYFUNCTION("""COMPUTED_VALUE"""),0.0)</f>
        <v>0</v>
      </c>
      <c r="J145" s="3">
        <f>IFERROR(__xludf.DUMMYFUNCTION("""COMPUTED_VALUE"""),0.0)</f>
        <v>0</v>
      </c>
      <c r="K145" s="3">
        <f>IFERROR(__xludf.DUMMYFUNCTION("""COMPUTED_VALUE"""),0.0)</f>
        <v>0</v>
      </c>
      <c r="L145" s="3">
        <f>IFERROR(__xludf.DUMMYFUNCTION("""COMPUTED_VALUE"""),0.0)</f>
        <v>0</v>
      </c>
      <c r="M145" s="3">
        <f>IFERROR(__xludf.DUMMYFUNCTION("""COMPUTED_VALUE"""),0.0)</f>
        <v>0</v>
      </c>
      <c r="N145" s="3">
        <f>IFERROR(__xludf.DUMMYFUNCTION("""COMPUTED_VALUE"""),0.0)</f>
        <v>0</v>
      </c>
      <c r="O145" s="3">
        <f>IFERROR(__xludf.DUMMYFUNCTION("""COMPUTED_VALUE"""),0.0)</f>
        <v>0</v>
      </c>
      <c r="P145" s="3">
        <f>IFERROR(__xludf.DUMMYFUNCTION("""COMPUTED_VALUE"""),0.0)</f>
        <v>0</v>
      </c>
      <c r="Q145" s="3">
        <f>IFERROR(__xludf.DUMMYFUNCTION("""COMPUTED_VALUE"""),0.0)</f>
        <v>0</v>
      </c>
      <c r="R145" s="3">
        <f>IFERROR(__xludf.DUMMYFUNCTION("""COMPUTED_VALUE"""),0.0)</f>
        <v>0</v>
      </c>
      <c r="S145" s="3">
        <f>IFERROR(__xludf.DUMMYFUNCTION("""COMPUTED_VALUE"""),0.0)</f>
        <v>0</v>
      </c>
      <c r="T145" s="3">
        <f>IFERROR(__xludf.DUMMYFUNCTION("""COMPUTED_VALUE"""),0.0)</f>
        <v>0</v>
      </c>
      <c r="U145" s="3">
        <f>IFERROR(__xludf.DUMMYFUNCTION("""COMPUTED_VALUE"""),0.0)</f>
        <v>0</v>
      </c>
      <c r="V145" s="3">
        <f>IFERROR(__xludf.DUMMYFUNCTION("""COMPUTED_VALUE"""),0.0)</f>
        <v>0</v>
      </c>
      <c r="W145" s="3">
        <f>IFERROR(__xludf.DUMMYFUNCTION("""COMPUTED_VALUE"""),0.0)</f>
        <v>0</v>
      </c>
      <c r="X145" s="3">
        <f>IFERROR(__xludf.DUMMYFUNCTION("""COMPUTED_VALUE"""),0.0)</f>
        <v>0</v>
      </c>
      <c r="Y145" s="3">
        <f>IFERROR(__xludf.DUMMYFUNCTION("""COMPUTED_VALUE"""),0.0)</f>
        <v>0</v>
      </c>
      <c r="Z145" s="3">
        <f>IFERROR(__xludf.DUMMYFUNCTION("""COMPUTED_VALUE"""),0.0)</f>
        <v>0</v>
      </c>
      <c r="AA145" s="3">
        <f>IFERROR(__xludf.DUMMYFUNCTION("""COMPUTED_VALUE"""),0.0)</f>
        <v>0</v>
      </c>
      <c r="AB145" s="3">
        <f>IFERROR(__xludf.DUMMYFUNCTION("""COMPUTED_VALUE"""),0.0)</f>
        <v>0</v>
      </c>
      <c r="AC145" s="3">
        <f>IFERROR(__xludf.DUMMYFUNCTION("""COMPUTED_VALUE"""),0.0)</f>
        <v>0</v>
      </c>
      <c r="AD145" s="3">
        <f>IFERROR(__xludf.DUMMYFUNCTION("""COMPUTED_VALUE"""),0.0)</f>
        <v>0</v>
      </c>
      <c r="AE145" s="3">
        <f>IFERROR(__xludf.DUMMYFUNCTION("""COMPUTED_VALUE"""),0.0)</f>
        <v>0</v>
      </c>
      <c r="AF145" s="3">
        <f>IFERROR(__xludf.DUMMYFUNCTION("""COMPUTED_VALUE"""),0.0)</f>
        <v>0</v>
      </c>
      <c r="AG145" s="3">
        <f>IFERROR(__xludf.DUMMYFUNCTION("""COMPUTED_VALUE"""),0.0)</f>
        <v>0</v>
      </c>
      <c r="AH145" s="3">
        <f>IFERROR(__xludf.DUMMYFUNCTION("""COMPUTED_VALUE"""),1.0)</f>
        <v>1</v>
      </c>
      <c r="AI145" s="3">
        <f>IFERROR(__xludf.DUMMYFUNCTION("""COMPUTED_VALUE"""),2.0)</f>
        <v>2</v>
      </c>
      <c r="AJ145" s="3">
        <f>IFERROR(__xludf.DUMMYFUNCTION("""COMPUTED_VALUE"""),2.0)</f>
        <v>2</v>
      </c>
      <c r="AK145" s="3">
        <f>IFERROR(__xludf.DUMMYFUNCTION("""COMPUTED_VALUE"""),6.0)</f>
        <v>6</v>
      </c>
      <c r="AL145" s="3">
        <f>IFERROR(__xludf.DUMMYFUNCTION("""COMPUTED_VALUE"""),8.0)</f>
        <v>8</v>
      </c>
      <c r="AM145" s="3">
        <f>IFERROR(__xludf.DUMMYFUNCTION("""COMPUTED_VALUE"""),10.0)</f>
        <v>10</v>
      </c>
      <c r="AN145" s="3">
        <f>IFERROR(__xludf.DUMMYFUNCTION("""COMPUTED_VALUE"""),12.0)</f>
        <v>12</v>
      </c>
      <c r="AO145" s="3">
        <f>IFERROR(__xludf.DUMMYFUNCTION("""COMPUTED_VALUE"""),13.0)</f>
        <v>13</v>
      </c>
      <c r="AP145" s="3">
        <f>IFERROR(__xludf.DUMMYFUNCTION("""COMPUTED_VALUE"""),13.0)</f>
        <v>13</v>
      </c>
      <c r="AQ145" s="3">
        <f>IFERROR(__xludf.DUMMYFUNCTION("""COMPUTED_VALUE"""),16.0)</f>
        <v>16</v>
      </c>
      <c r="AR145" s="3">
        <f>IFERROR(__xludf.DUMMYFUNCTION("""COMPUTED_VALUE"""),17.0)</f>
        <v>17</v>
      </c>
      <c r="AS145" s="3">
        <f>IFERROR(__xludf.DUMMYFUNCTION("""COMPUTED_VALUE"""),28.0)</f>
        <v>28</v>
      </c>
      <c r="AT145" s="3">
        <f>IFERROR(__xludf.DUMMYFUNCTION("""COMPUTED_VALUE"""),28.0)</f>
        <v>28</v>
      </c>
      <c r="AU145" s="3">
        <f>IFERROR(__xludf.DUMMYFUNCTION("""COMPUTED_VALUE"""),35.0)</f>
        <v>35</v>
      </c>
      <c r="AV145" s="3">
        <f>IFERROR(__xludf.DUMMYFUNCTION("""COMPUTED_VALUE"""),35.0)</f>
        <v>35</v>
      </c>
      <c r="AW145" s="3">
        <f>IFERROR(__xludf.DUMMYFUNCTION("""COMPUTED_VALUE"""),42.0)</f>
        <v>42</v>
      </c>
      <c r="AX145" s="3">
        <f>IFERROR(__xludf.DUMMYFUNCTION("""COMPUTED_VALUE"""),44.0)</f>
        <v>44</v>
      </c>
      <c r="AY145" s="3">
        <f>IFERROR(__xludf.DUMMYFUNCTION("""COMPUTED_VALUE"""),50.0)</f>
        <v>50</v>
      </c>
      <c r="AZ145" s="3">
        <f>IFERROR(__xludf.DUMMYFUNCTION("""COMPUTED_VALUE"""),53.0)</f>
        <v>53</v>
      </c>
      <c r="BA145" s="3">
        <f>IFERROR(__xludf.DUMMYFUNCTION("""COMPUTED_VALUE"""),54.0)</f>
        <v>54</v>
      </c>
      <c r="BB145" s="3">
        <f>IFERROR(__xludf.DUMMYFUNCTION("""COMPUTED_VALUE"""),60.0)</f>
        <v>60</v>
      </c>
      <c r="BC145" s="3">
        <f>IFERROR(__xludf.DUMMYFUNCTION("""COMPUTED_VALUE"""),66.0)</f>
        <v>66</v>
      </c>
      <c r="BD145" s="3">
        <f>IFERROR(__xludf.DUMMYFUNCTION("""COMPUTED_VALUE"""),66.0)</f>
        <v>66</v>
      </c>
      <c r="BE145" s="3">
        <f>IFERROR(__xludf.DUMMYFUNCTION("""COMPUTED_VALUE"""),72.0)</f>
        <v>72</v>
      </c>
      <c r="BF145" s="3">
        <f>IFERROR(__xludf.DUMMYFUNCTION("""COMPUTED_VALUE"""),75.0)</f>
        <v>75</v>
      </c>
      <c r="BG145" s="3">
        <f>IFERROR(__xludf.DUMMYFUNCTION("""COMPUTED_VALUE"""),75.0)</f>
        <v>75</v>
      </c>
      <c r="BH145" s="3">
        <f>IFERROR(__xludf.DUMMYFUNCTION("""COMPUTED_VALUE"""),81.0)</f>
        <v>81</v>
      </c>
      <c r="BI145" s="3">
        <f>IFERROR(__xludf.DUMMYFUNCTION("""COMPUTED_VALUE"""),84.0)</f>
        <v>84</v>
      </c>
      <c r="BJ145" s="3">
        <f>IFERROR(__xludf.DUMMYFUNCTION("""COMPUTED_VALUE"""),91.0)</f>
        <v>91</v>
      </c>
      <c r="BK145" s="3">
        <f>IFERROR(__xludf.DUMMYFUNCTION("""COMPUTED_VALUE"""),94.0)</f>
        <v>94</v>
      </c>
      <c r="BL145" s="3">
        <f>IFERROR(__xludf.DUMMYFUNCTION("""COMPUTED_VALUE"""),102.0)</f>
        <v>102</v>
      </c>
      <c r="BM145" s="3">
        <f>IFERROR(__xludf.DUMMYFUNCTION("""COMPUTED_VALUE"""),111.0)</f>
        <v>111</v>
      </c>
      <c r="BN145" s="3">
        <f>IFERROR(__xludf.DUMMYFUNCTION("""COMPUTED_VALUE"""),111.0)</f>
        <v>111</v>
      </c>
      <c r="BO145" s="3">
        <f>IFERROR(__xludf.DUMMYFUNCTION("""COMPUTED_VALUE"""),120.0)</f>
        <v>120</v>
      </c>
      <c r="BP145" s="3">
        <f>IFERROR(__xludf.DUMMYFUNCTION("""COMPUTED_VALUE"""),126.0)</f>
        <v>126</v>
      </c>
      <c r="BQ145" s="3">
        <f>IFERROR(__xludf.DUMMYFUNCTION("""COMPUTED_VALUE"""),131.0)</f>
        <v>131</v>
      </c>
      <c r="BR145" s="3">
        <f>IFERROR(__xludf.DUMMYFUNCTION("""COMPUTED_VALUE"""),139.0)</f>
        <v>139</v>
      </c>
      <c r="BS145" s="3">
        <f>IFERROR(__xludf.DUMMYFUNCTION("""COMPUTED_VALUE"""),144.0)</f>
        <v>144</v>
      </c>
      <c r="BT145" s="3">
        <f>IFERROR(__xludf.DUMMYFUNCTION("""COMPUTED_VALUE"""),152.0)</f>
        <v>152</v>
      </c>
      <c r="BU145" s="3">
        <f>IFERROR(__xludf.DUMMYFUNCTION("""COMPUTED_VALUE"""),158.0)</f>
        <v>158</v>
      </c>
      <c r="BV145" s="3">
        <f>IFERROR(__xludf.DUMMYFUNCTION("""COMPUTED_VALUE"""),162.0)</f>
        <v>162</v>
      </c>
      <c r="BW145" s="3">
        <f>IFERROR(__xludf.DUMMYFUNCTION("""COMPUTED_VALUE"""),165.0)</f>
        <v>165</v>
      </c>
      <c r="BX145" s="3">
        <f>IFERROR(__xludf.DUMMYFUNCTION("""COMPUTED_VALUE"""),169.0)</f>
        <v>169</v>
      </c>
      <c r="BY145" s="3">
        <f>IFERROR(__xludf.DUMMYFUNCTION("""COMPUTED_VALUE"""),174.0)</f>
        <v>174</v>
      </c>
      <c r="BZ145" s="3">
        <f>IFERROR(__xludf.DUMMYFUNCTION("""COMPUTED_VALUE"""),177.0)</f>
        <v>177</v>
      </c>
      <c r="CA145" s="3">
        <f>IFERROR(__xludf.DUMMYFUNCTION("""COMPUTED_VALUE"""),183.0)</f>
        <v>183</v>
      </c>
      <c r="CB145" s="3">
        <f>IFERROR(__xludf.DUMMYFUNCTION("""COMPUTED_VALUE"""),186.0)</f>
        <v>186</v>
      </c>
    </row>
    <row r="146">
      <c r="A146" s="3" t="str">
        <f>IFERROR(__xludf.DUMMYFUNCTION("""COMPUTED_VALUE"""),"")</f>
        <v/>
      </c>
      <c r="B146" s="3" t="str">
        <f>IFERROR(__xludf.DUMMYFUNCTION("""COMPUTED_VALUE"""),"Kuwait")</f>
        <v>Kuwait</v>
      </c>
      <c r="C146" s="3">
        <f>IFERROR(__xludf.DUMMYFUNCTION("""COMPUTED_VALUE"""),29.5)</f>
        <v>29.5</v>
      </c>
      <c r="D146" s="3">
        <f>IFERROR(__xludf.DUMMYFUNCTION("""COMPUTED_VALUE"""),47.75)</f>
        <v>47.75</v>
      </c>
      <c r="E146" s="3">
        <f>IFERROR(__xludf.DUMMYFUNCTION("""COMPUTED_VALUE"""),0.0)</f>
        <v>0</v>
      </c>
      <c r="F146" s="3">
        <f>IFERROR(__xludf.DUMMYFUNCTION("""COMPUTED_VALUE"""),0.0)</f>
        <v>0</v>
      </c>
      <c r="G146" s="3">
        <f>IFERROR(__xludf.DUMMYFUNCTION("""COMPUTED_VALUE"""),0.0)</f>
        <v>0</v>
      </c>
      <c r="H146" s="3">
        <f>IFERROR(__xludf.DUMMYFUNCTION("""COMPUTED_VALUE"""),0.0)</f>
        <v>0</v>
      </c>
      <c r="I146" s="3">
        <f>IFERROR(__xludf.DUMMYFUNCTION("""COMPUTED_VALUE"""),0.0)</f>
        <v>0</v>
      </c>
      <c r="J146" s="3">
        <f>IFERROR(__xludf.DUMMYFUNCTION("""COMPUTED_VALUE"""),0.0)</f>
        <v>0</v>
      </c>
      <c r="K146" s="3">
        <f>IFERROR(__xludf.DUMMYFUNCTION("""COMPUTED_VALUE"""),0.0)</f>
        <v>0</v>
      </c>
      <c r="L146" s="3">
        <f>IFERROR(__xludf.DUMMYFUNCTION("""COMPUTED_VALUE"""),0.0)</f>
        <v>0</v>
      </c>
      <c r="M146" s="3">
        <f>IFERROR(__xludf.DUMMYFUNCTION("""COMPUTED_VALUE"""),0.0)</f>
        <v>0</v>
      </c>
      <c r="N146" s="3">
        <f>IFERROR(__xludf.DUMMYFUNCTION("""COMPUTED_VALUE"""),0.0)</f>
        <v>0</v>
      </c>
      <c r="O146" s="3">
        <f>IFERROR(__xludf.DUMMYFUNCTION("""COMPUTED_VALUE"""),0.0)</f>
        <v>0</v>
      </c>
      <c r="P146" s="3">
        <f>IFERROR(__xludf.DUMMYFUNCTION("""COMPUTED_VALUE"""),0.0)</f>
        <v>0</v>
      </c>
      <c r="Q146" s="3">
        <f>IFERROR(__xludf.DUMMYFUNCTION("""COMPUTED_VALUE"""),0.0)</f>
        <v>0</v>
      </c>
      <c r="R146" s="3">
        <f>IFERROR(__xludf.DUMMYFUNCTION("""COMPUTED_VALUE"""),0.0)</f>
        <v>0</v>
      </c>
      <c r="S146" s="3">
        <f>IFERROR(__xludf.DUMMYFUNCTION("""COMPUTED_VALUE"""),0.0)</f>
        <v>0</v>
      </c>
      <c r="T146" s="3">
        <f>IFERROR(__xludf.DUMMYFUNCTION("""COMPUTED_VALUE"""),0.0)</f>
        <v>0</v>
      </c>
      <c r="U146" s="3">
        <f>IFERROR(__xludf.DUMMYFUNCTION("""COMPUTED_VALUE"""),0.0)</f>
        <v>0</v>
      </c>
      <c r="V146" s="3">
        <f>IFERROR(__xludf.DUMMYFUNCTION("""COMPUTED_VALUE"""),0.0)</f>
        <v>0</v>
      </c>
      <c r="W146" s="3">
        <f>IFERROR(__xludf.DUMMYFUNCTION("""COMPUTED_VALUE"""),0.0)</f>
        <v>0</v>
      </c>
      <c r="X146" s="3">
        <f>IFERROR(__xludf.DUMMYFUNCTION("""COMPUTED_VALUE"""),0.0)</f>
        <v>0</v>
      </c>
      <c r="Y146" s="3">
        <f>IFERROR(__xludf.DUMMYFUNCTION("""COMPUTED_VALUE"""),0.0)</f>
        <v>0</v>
      </c>
      <c r="Z146" s="3">
        <f>IFERROR(__xludf.DUMMYFUNCTION("""COMPUTED_VALUE"""),0.0)</f>
        <v>0</v>
      </c>
      <c r="AA146" s="3">
        <f>IFERROR(__xludf.DUMMYFUNCTION("""COMPUTED_VALUE"""),0.0)</f>
        <v>0</v>
      </c>
      <c r="AB146" s="3">
        <f>IFERROR(__xludf.DUMMYFUNCTION("""COMPUTED_VALUE"""),0.0)</f>
        <v>0</v>
      </c>
      <c r="AC146" s="3">
        <f>IFERROR(__xludf.DUMMYFUNCTION("""COMPUTED_VALUE"""),0.0)</f>
        <v>0</v>
      </c>
      <c r="AD146" s="3">
        <f>IFERROR(__xludf.DUMMYFUNCTION("""COMPUTED_VALUE"""),0.0)</f>
        <v>0</v>
      </c>
      <c r="AE146" s="3">
        <f>IFERROR(__xludf.DUMMYFUNCTION("""COMPUTED_VALUE"""),0.0)</f>
        <v>0</v>
      </c>
      <c r="AF146" s="3">
        <f>IFERROR(__xludf.DUMMYFUNCTION("""COMPUTED_VALUE"""),0.0)</f>
        <v>0</v>
      </c>
      <c r="AG146" s="3">
        <f>IFERROR(__xludf.DUMMYFUNCTION("""COMPUTED_VALUE"""),0.0)</f>
        <v>0</v>
      </c>
      <c r="AH146" s="3">
        <f>IFERROR(__xludf.DUMMYFUNCTION("""COMPUTED_VALUE"""),0.0)</f>
        <v>0</v>
      </c>
      <c r="AI146" s="3">
        <f>IFERROR(__xludf.DUMMYFUNCTION("""COMPUTED_VALUE"""),0.0)</f>
        <v>0</v>
      </c>
      <c r="AJ146" s="3">
        <f>IFERROR(__xludf.DUMMYFUNCTION("""COMPUTED_VALUE"""),0.0)</f>
        <v>0</v>
      </c>
      <c r="AK146" s="3">
        <f>IFERROR(__xludf.DUMMYFUNCTION("""COMPUTED_VALUE"""),0.0)</f>
        <v>0</v>
      </c>
      <c r="AL146" s="3">
        <f>IFERROR(__xludf.DUMMYFUNCTION("""COMPUTED_VALUE"""),0.0)</f>
        <v>0</v>
      </c>
      <c r="AM146" s="3">
        <f>IFERROR(__xludf.DUMMYFUNCTION("""COMPUTED_VALUE"""),0.0)</f>
        <v>0</v>
      </c>
      <c r="AN146" s="3">
        <f>IFERROR(__xludf.DUMMYFUNCTION("""COMPUTED_VALUE"""),0.0)</f>
        <v>0</v>
      </c>
      <c r="AO146" s="3">
        <f>IFERROR(__xludf.DUMMYFUNCTION("""COMPUTED_VALUE"""),0.0)</f>
        <v>0</v>
      </c>
      <c r="AP146" s="3">
        <f>IFERROR(__xludf.DUMMYFUNCTION("""COMPUTED_VALUE"""),0.0)</f>
        <v>0</v>
      </c>
      <c r="AQ146" s="3">
        <f>IFERROR(__xludf.DUMMYFUNCTION("""COMPUTED_VALUE"""),0.0)</f>
        <v>0</v>
      </c>
      <c r="AR146" s="3">
        <f>IFERROR(__xludf.DUMMYFUNCTION("""COMPUTED_VALUE"""),0.0)</f>
        <v>0</v>
      </c>
      <c r="AS146" s="3">
        <f>IFERROR(__xludf.DUMMYFUNCTION("""COMPUTED_VALUE"""),0.0)</f>
        <v>0</v>
      </c>
      <c r="AT146" s="3">
        <f>IFERROR(__xludf.DUMMYFUNCTION("""COMPUTED_VALUE"""),0.0)</f>
        <v>0</v>
      </c>
      <c r="AU146" s="3">
        <f>IFERROR(__xludf.DUMMYFUNCTION("""COMPUTED_VALUE"""),0.0)</f>
        <v>0</v>
      </c>
      <c r="AV146" s="3">
        <f>IFERROR(__xludf.DUMMYFUNCTION("""COMPUTED_VALUE"""),0.0)</f>
        <v>0</v>
      </c>
      <c r="AW146" s="3">
        <f>IFERROR(__xludf.DUMMYFUNCTION("""COMPUTED_VALUE"""),0.0)</f>
        <v>0</v>
      </c>
      <c r="AX146" s="3">
        <f>IFERROR(__xludf.DUMMYFUNCTION("""COMPUTED_VALUE"""),0.0)</f>
        <v>0</v>
      </c>
      <c r="AY146" s="3">
        <f>IFERROR(__xludf.DUMMYFUNCTION("""COMPUTED_VALUE"""),0.0)</f>
        <v>0</v>
      </c>
      <c r="AZ146" s="3">
        <f>IFERROR(__xludf.DUMMYFUNCTION("""COMPUTED_VALUE"""),0.0)</f>
        <v>0</v>
      </c>
      <c r="BA146" s="3">
        <f>IFERROR(__xludf.DUMMYFUNCTION("""COMPUTED_VALUE"""),0.0)</f>
        <v>0</v>
      </c>
      <c r="BB146" s="3">
        <f>IFERROR(__xludf.DUMMYFUNCTION("""COMPUTED_VALUE"""),0.0)</f>
        <v>0</v>
      </c>
      <c r="BC146" s="3">
        <f>IFERROR(__xludf.DUMMYFUNCTION("""COMPUTED_VALUE"""),0.0)</f>
        <v>0</v>
      </c>
      <c r="BD146" s="3">
        <f>IFERROR(__xludf.DUMMYFUNCTION("""COMPUTED_VALUE"""),0.0)</f>
        <v>0</v>
      </c>
      <c r="BE146" s="3">
        <f>IFERROR(__xludf.DUMMYFUNCTION("""COMPUTED_VALUE"""),0.0)</f>
        <v>0</v>
      </c>
      <c r="BF146" s="3">
        <f>IFERROR(__xludf.DUMMYFUNCTION("""COMPUTED_VALUE"""),0.0)</f>
        <v>0</v>
      </c>
      <c r="BG146" s="3">
        <f>IFERROR(__xludf.DUMMYFUNCTION("""COMPUTED_VALUE"""),0.0)</f>
        <v>0</v>
      </c>
      <c r="BH146" s="3">
        <f>IFERROR(__xludf.DUMMYFUNCTION("""COMPUTED_VALUE"""),0.0)</f>
        <v>0</v>
      </c>
      <c r="BI146" s="3">
        <f>IFERROR(__xludf.DUMMYFUNCTION("""COMPUTED_VALUE"""),0.0)</f>
        <v>0</v>
      </c>
      <c r="BJ146" s="3">
        <f>IFERROR(__xludf.DUMMYFUNCTION("""COMPUTED_VALUE"""),0.0)</f>
        <v>0</v>
      </c>
      <c r="BK146" s="3">
        <f>IFERROR(__xludf.DUMMYFUNCTION("""COMPUTED_VALUE"""),0.0)</f>
        <v>0</v>
      </c>
      <c r="BL146" s="3">
        <f>IFERROR(__xludf.DUMMYFUNCTION("""COMPUTED_VALUE"""),0.0)</f>
        <v>0</v>
      </c>
      <c r="BM146" s="3">
        <f>IFERROR(__xludf.DUMMYFUNCTION("""COMPUTED_VALUE"""),0.0)</f>
        <v>0</v>
      </c>
      <c r="BN146" s="3">
        <f>IFERROR(__xludf.DUMMYFUNCTION("""COMPUTED_VALUE"""),0.0)</f>
        <v>0</v>
      </c>
      <c r="BO146" s="3">
        <f>IFERROR(__xludf.DUMMYFUNCTION("""COMPUTED_VALUE"""),0.0)</f>
        <v>0</v>
      </c>
      <c r="BP146" s="3">
        <f>IFERROR(__xludf.DUMMYFUNCTION("""COMPUTED_VALUE"""),0.0)</f>
        <v>0</v>
      </c>
      <c r="BQ146" s="3">
        <f>IFERROR(__xludf.DUMMYFUNCTION("""COMPUTED_VALUE"""),0.0)</f>
        <v>0</v>
      </c>
      <c r="BR146" s="3">
        <f>IFERROR(__xludf.DUMMYFUNCTION("""COMPUTED_VALUE"""),0.0)</f>
        <v>0</v>
      </c>
      <c r="BS146" s="3">
        <f>IFERROR(__xludf.DUMMYFUNCTION("""COMPUTED_VALUE"""),0.0)</f>
        <v>0</v>
      </c>
      <c r="BT146" s="3">
        <f>IFERROR(__xludf.DUMMYFUNCTION("""COMPUTED_VALUE"""),0.0)</f>
        <v>0</v>
      </c>
      <c r="BU146" s="3">
        <f>IFERROR(__xludf.DUMMYFUNCTION("""COMPUTED_VALUE"""),0.0)</f>
        <v>0</v>
      </c>
      <c r="BV146" s="3">
        <f>IFERROR(__xludf.DUMMYFUNCTION("""COMPUTED_VALUE"""),0.0)</f>
        <v>0</v>
      </c>
      <c r="BW146" s="3">
        <f>IFERROR(__xludf.DUMMYFUNCTION("""COMPUTED_VALUE"""),0.0)</f>
        <v>0</v>
      </c>
      <c r="BX146" s="3">
        <f>IFERROR(__xludf.DUMMYFUNCTION("""COMPUTED_VALUE"""),0.0)</f>
        <v>0</v>
      </c>
      <c r="BY146" s="3">
        <f>IFERROR(__xludf.DUMMYFUNCTION("""COMPUTED_VALUE"""),0.0)</f>
        <v>0</v>
      </c>
      <c r="BZ146" s="3">
        <f>IFERROR(__xludf.DUMMYFUNCTION("""COMPUTED_VALUE"""),1.0)</f>
        <v>1</v>
      </c>
      <c r="CA146" s="3">
        <f>IFERROR(__xludf.DUMMYFUNCTION("""COMPUTED_VALUE"""),1.0)</f>
        <v>1</v>
      </c>
      <c r="CB146" s="3">
        <f>IFERROR(__xludf.DUMMYFUNCTION("""COMPUTED_VALUE"""),1.0)</f>
        <v>1</v>
      </c>
    </row>
    <row r="147">
      <c r="A147" s="3" t="str">
        <f>IFERROR(__xludf.DUMMYFUNCTION("""COMPUTED_VALUE"""),"")</f>
        <v/>
      </c>
      <c r="B147" s="3" t="str">
        <f>IFERROR(__xludf.DUMMYFUNCTION("""COMPUTED_VALUE"""),"Kyrgyzstan")</f>
        <v>Kyrgyzstan</v>
      </c>
      <c r="C147" s="3">
        <f>IFERROR(__xludf.DUMMYFUNCTION("""COMPUTED_VALUE"""),41.2044)</f>
        <v>41.2044</v>
      </c>
      <c r="D147" s="3">
        <f>IFERROR(__xludf.DUMMYFUNCTION("""COMPUTED_VALUE"""),74.7661)</f>
        <v>74.7661</v>
      </c>
      <c r="E147" s="3">
        <f>IFERROR(__xludf.DUMMYFUNCTION("""COMPUTED_VALUE"""),0.0)</f>
        <v>0</v>
      </c>
      <c r="F147" s="3">
        <f>IFERROR(__xludf.DUMMYFUNCTION("""COMPUTED_VALUE"""),0.0)</f>
        <v>0</v>
      </c>
      <c r="G147" s="3">
        <f>IFERROR(__xludf.DUMMYFUNCTION("""COMPUTED_VALUE"""),0.0)</f>
        <v>0</v>
      </c>
      <c r="H147" s="3">
        <f>IFERROR(__xludf.DUMMYFUNCTION("""COMPUTED_VALUE"""),0.0)</f>
        <v>0</v>
      </c>
      <c r="I147" s="3">
        <f>IFERROR(__xludf.DUMMYFUNCTION("""COMPUTED_VALUE"""),0.0)</f>
        <v>0</v>
      </c>
      <c r="J147" s="3">
        <f>IFERROR(__xludf.DUMMYFUNCTION("""COMPUTED_VALUE"""),0.0)</f>
        <v>0</v>
      </c>
      <c r="K147" s="3">
        <f>IFERROR(__xludf.DUMMYFUNCTION("""COMPUTED_VALUE"""),0.0)</f>
        <v>0</v>
      </c>
      <c r="L147" s="3">
        <f>IFERROR(__xludf.DUMMYFUNCTION("""COMPUTED_VALUE"""),0.0)</f>
        <v>0</v>
      </c>
      <c r="M147" s="3">
        <f>IFERROR(__xludf.DUMMYFUNCTION("""COMPUTED_VALUE"""),0.0)</f>
        <v>0</v>
      </c>
      <c r="N147" s="3">
        <f>IFERROR(__xludf.DUMMYFUNCTION("""COMPUTED_VALUE"""),0.0)</f>
        <v>0</v>
      </c>
      <c r="O147" s="3">
        <f>IFERROR(__xludf.DUMMYFUNCTION("""COMPUTED_VALUE"""),0.0)</f>
        <v>0</v>
      </c>
      <c r="P147" s="3">
        <f>IFERROR(__xludf.DUMMYFUNCTION("""COMPUTED_VALUE"""),0.0)</f>
        <v>0</v>
      </c>
      <c r="Q147" s="3">
        <f>IFERROR(__xludf.DUMMYFUNCTION("""COMPUTED_VALUE"""),0.0)</f>
        <v>0</v>
      </c>
      <c r="R147" s="3">
        <f>IFERROR(__xludf.DUMMYFUNCTION("""COMPUTED_VALUE"""),0.0)</f>
        <v>0</v>
      </c>
      <c r="S147" s="3">
        <f>IFERROR(__xludf.DUMMYFUNCTION("""COMPUTED_VALUE"""),0.0)</f>
        <v>0</v>
      </c>
      <c r="T147" s="3">
        <f>IFERROR(__xludf.DUMMYFUNCTION("""COMPUTED_VALUE"""),0.0)</f>
        <v>0</v>
      </c>
      <c r="U147" s="3">
        <f>IFERROR(__xludf.DUMMYFUNCTION("""COMPUTED_VALUE"""),0.0)</f>
        <v>0</v>
      </c>
      <c r="V147" s="3">
        <f>IFERROR(__xludf.DUMMYFUNCTION("""COMPUTED_VALUE"""),0.0)</f>
        <v>0</v>
      </c>
      <c r="W147" s="3">
        <f>IFERROR(__xludf.DUMMYFUNCTION("""COMPUTED_VALUE"""),0.0)</f>
        <v>0</v>
      </c>
      <c r="X147" s="3">
        <f>IFERROR(__xludf.DUMMYFUNCTION("""COMPUTED_VALUE"""),0.0)</f>
        <v>0</v>
      </c>
      <c r="Y147" s="3">
        <f>IFERROR(__xludf.DUMMYFUNCTION("""COMPUTED_VALUE"""),0.0)</f>
        <v>0</v>
      </c>
      <c r="Z147" s="3">
        <f>IFERROR(__xludf.DUMMYFUNCTION("""COMPUTED_VALUE"""),0.0)</f>
        <v>0</v>
      </c>
      <c r="AA147" s="3">
        <f>IFERROR(__xludf.DUMMYFUNCTION("""COMPUTED_VALUE"""),0.0)</f>
        <v>0</v>
      </c>
      <c r="AB147" s="3">
        <f>IFERROR(__xludf.DUMMYFUNCTION("""COMPUTED_VALUE"""),0.0)</f>
        <v>0</v>
      </c>
      <c r="AC147" s="3">
        <f>IFERROR(__xludf.DUMMYFUNCTION("""COMPUTED_VALUE"""),0.0)</f>
        <v>0</v>
      </c>
      <c r="AD147" s="3">
        <f>IFERROR(__xludf.DUMMYFUNCTION("""COMPUTED_VALUE"""),0.0)</f>
        <v>0</v>
      </c>
      <c r="AE147" s="3">
        <f>IFERROR(__xludf.DUMMYFUNCTION("""COMPUTED_VALUE"""),0.0)</f>
        <v>0</v>
      </c>
      <c r="AF147" s="3">
        <f>IFERROR(__xludf.DUMMYFUNCTION("""COMPUTED_VALUE"""),0.0)</f>
        <v>0</v>
      </c>
      <c r="AG147" s="3">
        <f>IFERROR(__xludf.DUMMYFUNCTION("""COMPUTED_VALUE"""),0.0)</f>
        <v>0</v>
      </c>
      <c r="AH147" s="3">
        <f>IFERROR(__xludf.DUMMYFUNCTION("""COMPUTED_VALUE"""),0.0)</f>
        <v>0</v>
      </c>
      <c r="AI147" s="3">
        <f>IFERROR(__xludf.DUMMYFUNCTION("""COMPUTED_VALUE"""),0.0)</f>
        <v>0</v>
      </c>
      <c r="AJ147" s="3">
        <f>IFERROR(__xludf.DUMMYFUNCTION("""COMPUTED_VALUE"""),0.0)</f>
        <v>0</v>
      </c>
      <c r="AK147" s="3">
        <f>IFERROR(__xludf.DUMMYFUNCTION("""COMPUTED_VALUE"""),0.0)</f>
        <v>0</v>
      </c>
      <c r="AL147" s="3">
        <f>IFERROR(__xludf.DUMMYFUNCTION("""COMPUTED_VALUE"""),0.0)</f>
        <v>0</v>
      </c>
      <c r="AM147" s="3">
        <f>IFERROR(__xludf.DUMMYFUNCTION("""COMPUTED_VALUE"""),0.0)</f>
        <v>0</v>
      </c>
      <c r="AN147" s="3">
        <f>IFERROR(__xludf.DUMMYFUNCTION("""COMPUTED_VALUE"""),0.0)</f>
        <v>0</v>
      </c>
      <c r="AO147" s="3">
        <f>IFERROR(__xludf.DUMMYFUNCTION("""COMPUTED_VALUE"""),0.0)</f>
        <v>0</v>
      </c>
      <c r="AP147" s="3">
        <f>IFERROR(__xludf.DUMMYFUNCTION("""COMPUTED_VALUE"""),0.0)</f>
        <v>0</v>
      </c>
      <c r="AQ147" s="3">
        <f>IFERROR(__xludf.DUMMYFUNCTION("""COMPUTED_VALUE"""),0.0)</f>
        <v>0</v>
      </c>
      <c r="AR147" s="3">
        <f>IFERROR(__xludf.DUMMYFUNCTION("""COMPUTED_VALUE"""),0.0)</f>
        <v>0</v>
      </c>
      <c r="AS147" s="3">
        <f>IFERROR(__xludf.DUMMYFUNCTION("""COMPUTED_VALUE"""),0.0)</f>
        <v>0</v>
      </c>
      <c r="AT147" s="3">
        <f>IFERROR(__xludf.DUMMYFUNCTION("""COMPUTED_VALUE"""),0.0)</f>
        <v>0</v>
      </c>
      <c r="AU147" s="3">
        <f>IFERROR(__xludf.DUMMYFUNCTION("""COMPUTED_VALUE"""),0.0)</f>
        <v>0</v>
      </c>
      <c r="AV147" s="3">
        <f>IFERROR(__xludf.DUMMYFUNCTION("""COMPUTED_VALUE"""),0.0)</f>
        <v>0</v>
      </c>
      <c r="AW147" s="3">
        <f>IFERROR(__xludf.DUMMYFUNCTION("""COMPUTED_VALUE"""),0.0)</f>
        <v>0</v>
      </c>
      <c r="AX147" s="3">
        <f>IFERROR(__xludf.DUMMYFUNCTION("""COMPUTED_VALUE"""),0.0)</f>
        <v>0</v>
      </c>
      <c r="AY147" s="3">
        <f>IFERROR(__xludf.DUMMYFUNCTION("""COMPUTED_VALUE"""),0.0)</f>
        <v>0</v>
      </c>
      <c r="AZ147" s="3">
        <f>IFERROR(__xludf.DUMMYFUNCTION("""COMPUTED_VALUE"""),0.0)</f>
        <v>0</v>
      </c>
      <c r="BA147" s="3">
        <f>IFERROR(__xludf.DUMMYFUNCTION("""COMPUTED_VALUE"""),0.0)</f>
        <v>0</v>
      </c>
      <c r="BB147" s="3">
        <f>IFERROR(__xludf.DUMMYFUNCTION("""COMPUTED_VALUE"""),0.0)</f>
        <v>0</v>
      </c>
      <c r="BC147" s="3">
        <f>IFERROR(__xludf.DUMMYFUNCTION("""COMPUTED_VALUE"""),0.0)</f>
        <v>0</v>
      </c>
      <c r="BD147" s="3">
        <f>IFERROR(__xludf.DUMMYFUNCTION("""COMPUTED_VALUE"""),0.0)</f>
        <v>0</v>
      </c>
      <c r="BE147" s="3">
        <f>IFERROR(__xludf.DUMMYFUNCTION("""COMPUTED_VALUE"""),0.0)</f>
        <v>0</v>
      </c>
      <c r="BF147" s="3">
        <f>IFERROR(__xludf.DUMMYFUNCTION("""COMPUTED_VALUE"""),0.0)</f>
        <v>0</v>
      </c>
      <c r="BG147" s="3">
        <f>IFERROR(__xludf.DUMMYFUNCTION("""COMPUTED_VALUE"""),0.0)</f>
        <v>0</v>
      </c>
      <c r="BH147" s="3">
        <f>IFERROR(__xludf.DUMMYFUNCTION("""COMPUTED_VALUE"""),0.0)</f>
        <v>0</v>
      </c>
      <c r="BI147" s="3">
        <f>IFERROR(__xludf.DUMMYFUNCTION("""COMPUTED_VALUE"""),0.0)</f>
        <v>0</v>
      </c>
      <c r="BJ147" s="3">
        <f>IFERROR(__xludf.DUMMYFUNCTION("""COMPUTED_VALUE"""),0.0)</f>
        <v>0</v>
      </c>
      <c r="BK147" s="3">
        <f>IFERROR(__xludf.DUMMYFUNCTION("""COMPUTED_VALUE"""),0.0)</f>
        <v>0</v>
      </c>
      <c r="BL147" s="3">
        <f>IFERROR(__xludf.DUMMYFUNCTION("""COMPUTED_VALUE"""),0.0)</f>
        <v>0</v>
      </c>
      <c r="BM147" s="3">
        <f>IFERROR(__xludf.DUMMYFUNCTION("""COMPUTED_VALUE"""),0.0)</f>
        <v>0</v>
      </c>
      <c r="BN147" s="3">
        <f>IFERROR(__xludf.DUMMYFUNCTION("""COMPUTED_VALUE"""),0.0)</f>
        <v>0</v>
      </c>
      <c r="BO147" s="3">
        <f>IFERROR(__xludf.DUMMYFUNCTION("""COMPUTED_VALUE"""),0.0)</f>
        <v>0</v>
      </c>
      <c r="BP147" s="3">
        <f>IFERROR(__xludf.DUMMYFUNCTION("""COMPUTED_VALUE"""),0.0)</f>
        <v>0</v>
      </c>
      <c r="BQ147" s="3">
        <f>IFERROR(__xludf.DUMMYFUNCTION("""COMPUTED_VALUE"""),0.0)</f>
        <v>0</v>
      </c>
      <c r="BR147" s="3">
        <f>IFERROR(__xludf.DUMMYFUNCTION("""COMPUTED_VALUE"""),0.0)</f>
        <v>0</v>
      </c>
      <c r="BS147" s="3">
        <f>IFERROR(__xludf.DUMMYFUNCTION("""COMPUTED_VALUE"""),0.0)</f>
        <v>0</v>
      </c>
      <c r="BT147" s="3">
        <f>IFERROR(__xludf.DUMMYFUNCTION("""COMPUTED_VALUE"""),0.0)</f>
        <v>0</v>
      </c>
      <c r="BU147" s="3">
        <f>IFERROR(__xludf.DUMMYFUNCTION("""COMPUTED_VALUE"""),0.0)</f>
        <v>0</v>
      </c>
      <c r="BV147" s="3">
        <f>IFERROR(__xludf.DUMMYFUNCTION("""COMPUTED_VALUE"""),0.0)</f>
        <v>0</v>
      </c>
      <c r="BW147" s="3">
        <f>IFERROR(__xludf.DUMMYFUNCTION("""COMPUTED_VALUE"""),0.0)</f>
        <v>0</v>
      </c>
      <c r="BX147" s="3">
        <f>IFERROR(__xludf.DUMMYFUNCTION("""COMPUTED_VALUE"""),0.0)</f>
        <v>0</v>
      </c>
      <c r="BY147" s="3">
        <f>IFERROR(__xludf.DUMMYFUNCTION("""COMPUTED_VALUE"""),1.0)</f>
        <v>1</v>
      </c>
      <c r="BZ147" s="3">
        <f>IFERROR(__xludf.DUMMYFUNCTION("""COMPUTED_VALUE"""),1.0)</f>
        <v>1</v>
      </c>
      <c r="CA147" s="3">
        <f>IFERROR(__xludf.DUMMYFUNCTION("""COMPUTED_VALUE"""),1.0)</f>
        <v>1</v>
      </c>
      <c r="CB147" s="3">
        <f>IFERROR(__xludf.DUMMYFUNCTION("""COMPUTED_VALUE"""),4.0)</f>
        <v>4</v>
      </c>
    </row>
    <row r="148">
      <c r="A148" s="3" t="str">
        <f>IFERROR(__xludf.DUMMYFUNCTION("""COMPUTED_VALUE"""),"")</f>
        <v/>
      </c>
      <c r="B148" s="3" t="str">
        <f>IFERROR(__xludf.DUMMYFUNCTION("""COMPUTED_VALUE"""),"Latvia")</f>
        <v>Latvia</v>
      </c>
      <c r="C148" s="3">
        <f>IFERROR(__xludf.DUMMYFUNCTION("""COMPUTED_VALUE"""),56.8796)</f>
        <v>56.8796</v>
      </c>
      <c r="D148" s="3">
        <f>IFERROR(__xludf.DUMMYFUNCTION("""COMPUTED_VALUE"""),24.6032)</f>
        <v>24.6032</v>
      </c>
      <c r="E148" s="3">
        <f>IFERROR(__xludf.DUMMYFUNCTION("""COMPUTED_VALUE"""),0.0)</f>
        <v>0</v>
      </c>
      <c r="F148" s="3">
        <f>IFERROR(__xludf.DUMMYFUNCTION("""COMPUTED_VALUE"""),0.0)</f>
        <v>0</v>
      </c>
      <c r="G148" s="3">
        <f>IFERROR(__xludf.DUMMYFUNCTION("""COMPUTED_VALUE"""),0.0)</f>
        <v>0</v>
      </c>
      <c r="H148" s="3">
        <f>IFERROR(__xludf.DUMMYFUNCTION("""COMPUTED_VALUE"""),0.0)</f>
        <v>0</v>
      </c>
      <c r="I148" s="3">
        <f>IFERROR(__xludf.DUMMYFUNCTION("""COMPUTED_VALUE"""),0.0)</f>
        <v>0</v>
      </c>
      <c r="J148" s="3">
        <f>IFERROR(__xludf.DUMMYFUNCTION("""COMPUTED_VALUE"""),0.0)</f>
        <v>0</v>
      </c>
      <c r="K148" s="3">
        <f>IFERROR(__xludf.DUMMYFUNCTION("""COMPUTED_VALUE"""),0.0)</f>
        <v>0</v>
      </c>
      <c r="L148" s="3">
        <f>IFERROR(__xludf.DUMMYFUNCTION("""COMPUTED_VALUE"""),0.0)</f>
        <v>0</v>
      </c>
      <c r="M148" s="3">
        <f>IFERROR(__xludf.DUMMYFUNCTION("""COMPUTED_VALUE"""),0.0)</f>
        <v>0</v>
      </c>
      <c r="N148" s="3">
        <f>IFERROR(__xludf.DUMMYFUNCTION("""COMPUTED_VALUE"""),0.0)</f>
        <v>0</v>
      </c>
      <c r="O148" s="3">
        <f>IFERROR(__xludf.DUMMYFUNCTION("""COMPUTED_VALUE"""),0.0)</f>
        <v>0</v>
      </c>
      <c r="P148" s="3">
        <f>IFERROR(__xludf.DUMMYFUNCTION("""COMPUTED_VALUE"""),0.0)</f>
        <v>0</v>
      </c>
      <c r="Q148" s="3">
        <f>IFERROR(__xludf.DUMMYFUNCTION("""COMPUTED_VALUE"""),0.0)</f>
        <v>0</v>
      </c>
      <c r="R148" s="3">
        <f>IFERROR(__xludf.DUMMYFUNCTION("""COMPUTED_VALUE"""),0.0)</f>
        <v>0</v>
      </c>
      <c r="S148" s="3">
        <f>IFERROR(__xludf.DUMMYFUNCTION("""COMPUTED_VALUE"""),0.0)</f>
        <v>0</v>
      </c>
      <c r="T148" s="3">
        <f>IFERROR(__xludf.DUMMYFUNCTION("""COMPUTED_VALUE"""),0.0)</f>
        <v>0</v>
      </c>
      <c r="U148" s="3">
        <f>IFERROR(__xludf.DUMMYFUNCTION("""COMPUTED_VALUE"""),0.0)</f>
        <v>0</v>
      </c>
      <c r="V148" s="3">
        <f>IFERROR(__xludf.DUMMYFUNCTION("""COMPUTED_VALUE"""),0.0)</f>
        <v>0</v>
      </c>
      <c r="W148" s="3">
        <f>IFERROR(__xludf.DUMMYFUNCTION("""COMPUTED_VALUE"""),0.0)</f>
        <v>0</v>
      </c>
      <c r="X148" s="3">
        <f>IFERROR(__xludf.DUMMYFUNCTION("""COMPUTED_VALUE"""),0.0)</f>
        <v>0</v>
      </c>
      <c r="Y148" s="3">
        <f>IFERROR(__xludf.DUMMYFUNCTION("""COMPUTED_VALUE"""),0.0)</f>
        <v>0</v>
      </c>
      <c r="Z148" s="3">
        <f>IFERROR(__xludf.DUMMYFUNCTION("""COMPUTED_VALUE"""),0.0)</f>
        <v>0</v>
      </c>
      <c r="AA148" s="3">
        <f>IFERROR(__xludf.DUMMYFUNCTION("""COMPUTED_VALUE"""),0.0)</f>
        <v>0</v>
      </c>
      <c r="AB148" s="3">
        <f>IFERROR(__xludf.DUMMYFUNCTION("""COMPUTED_VALUE"""),0.0)</f>
        <v>0</v>
      </c>
      <c r="AC148" s="3">
        <f>IFERROR(__xludf.DUMMYFUNCTION("""COMPUTED_VALUE"""),0.0)</f>
        <v>0</v>
      </c>
      <c r="AD148" s="3">
        <f>IFERROR(__xludf.DUMMYFUNCTION("""COMPUTED_VALUE"""),0.0)</f>
        <v>0</v>
      </c>
      <c r="AE148" s="3">
        <f>IFERROR(__xludf.DUMMYFUNCTION("""COMPUTED_VALUE"""),0.0)</f>
        <v>0</v>
      </c>
      <c r="AF148" s="3">
        <f>IFERROR(__xludf.DUMMYFUNCTION("""COMPUTED_VALUE"""),0.0)</f>
        <v>0</v>
      </c>
      <c r="AG148" s="3">
        <f>IFERROR(__xludf.DUMMYFUNCTION("""COMPUTED_VALUE"""),0.0)</f>
        <v>0</v>
      </c>
      <c r="AH148" s="3">
        <f>IFERROR(__xludf.DUMMYFUNCTION("""COMPUTED_VALUE"""),0.0)</f>
        <v>0</v>
      </c>
      <c r="AI148" s="3">
        <f>IFERROR(__xludf.DUMMYFUNCTION("""COMPUTED_VALUE"""),0.0)</f>
        <v>0</v>
      </c>
      <c r="AJ148" s="3">
        <f>IFERROR(__xludf.DUMMYFUNCTION("""COMPUTED_VALUE"""),0.0)</f>
        <v>0</v>
      </c>
      <c r="AK148" s="3">
        <f>IFERROR(__xludf.DUMMYFUNCTION("""COMPUTED_VALUE"""),0.0)</f>
        <v>0</v>
      </c>
      <c r="AL148" s="3">
        <f>IFERROR(__xludf.DUMMYFUNCTION("""COMPUTED_VALUE"""),0.0)</f>
        <v>0</v>
      </c>
      <c r="AM148" s="3">
        <f>IFERROR(__xludf.DUMMYFUNCTION("""COMPUTED_VALUE"""),0.0)</f>
        <v>0</v>
      </c>
      <c r="AN148" s="3">
        <f>IFERROR(__xludf.DUMMYFUNCTION("""COMPUTED_VALUE"""),0.0)</f>
        <v>0</v>
      </c>
      <c r="AO148" s="3">
        <f>IFERROR(__xludf.DUMMYFUNCTION("""COMPUTED_VALUE"""),0.0)</f>
        <v>0</v>
      </c>
      <c r="AP148" s="3">
        <f>IFERROR(__xludf.DUMMYFUNCTION("""COMPUTED_VALUE"""),0.0)</f>
        <v>0</v>
      </c>
      <c r="AQ148" s="3">
        <f>IFERROR(__xludf.DUMMYFUNCTION("""COMPUTED_VALUE"""),0.0)</f>
        <v>0</v>
      </c>
      <c r="AR148" s="3">
        <f>IFERROR(__xludf.DUMMYFUNCTION("""COMPUTED_VALUE"""),0.0)</f>
        <v>0</v>
      </c>
      <c r="AS148" s="3">
        <f>IFERROR(__xludf.DUMMYFUNCTION("""COMPUTED_VALUE"""),0.0)</f>
        <v>0</v>
      </c>
      <c r="AT148" s="3">
        <f>IFERROR(__xludf.DUMMYFUNCTION("""COMPUTED_VALUE"""),0.0)</f>
        <v>0</v>
      </c>
      <c r="AU148" s="3">
        <f>IFERROR(__xludf.DUMMYFUNCTION("""COMPUTED_VALUE"""),0.0)</f>
        <v>0</v>
      </c>
      <c r="AV148" s="3">
        <f>IFERROR(__xludf.DUMMYFUNCTION("""COMPUTED_VALUE"""),0.0)</f>
        <v>0</v>
      </c>
      <c r="AW148" s="3">
        <f>IFERROR(__xludf.DUMMYFUNCTION("""COMPUTED_VALUE"""),0.0)</f>
        <v>0</v>
      </c>
      <c r="AX148" s="3">
        <f>IFERROR(__xludf.DUMMYFUNCTION("""COMPUTED_VALUE"""),0.0)</f>
        <v>0</v>
      </c>
      <c r="AY148" s="3">
        <f>IFERROR(__xludf.DUMMYFUNCTION("""COMPUTED_VALUE"""),0.0)</f>
        <v>0</v>
      </c>
      <c r="AZ148" s="3">
        <f>IFERROR(__xludf.DUMMYFUNCTION("""COMPUTED_VALUE"""),0.0)</f>
        <v>0</v>
      </c>
      <c r="BA148" s="3">
        <f>IFERROR(__xludf.DUMMYFUNCTION("""COMPUTED_VALUE"""),0.0)</f>
        <v>0</v>
      </c>
      <c r="BB148" s="3">
        <f>IFERROR(__xludf.DUMMYFUNCTION("""COMPUTED_VALUE"""),0.0)</f>
        <v>0</v>
      </c>
      <c r="BC148" s="3">
        <f>IFERROR(__xludf.DUMMYFUNCTION("""COMPUTED_VALUE"""),0.0)</f>
        <v>0</v>
      </c>
      <c r="BD148" s="3">
        <f>IFERROR(__xludf.DUMMYFUNCTION("""COMPUTED_VALUE"""),0.0)</f>
        <v>0</v>
      </c>
      <c r="BE148" s="3">
        <f>IFERROR(__xludf.DUMMYFUNCTION("""COMPUTED_VALUE"""),0.0)</f>
        <v>0</v>
      </c>
      <c r="BF148" s="3">
        <f>IFERROR(__xludf.DUMMYFUNCTION("""COMPUTED_VALUE"""),0.0)</f>
        <v>0</v>
      </c>
      <c r="BG148" s="3">
        <f>IFERROR(__xludf.DUMMYFUNCTION("""COMPUTED_VALUE"""),0.0)</f>
        <v>0</v>
      </c>
      <c r="BH148" s="3">
        <f>IFERROR(__xludf.DUMMYFUNCTION("""COMPUTED_VALUE"""),0.0)</f>
        <v>0</v>
      </c>
      <c r="BI148" s="3">
        <f>IFERROR(__xludf.DUMMYFUNCTION("""COMPUTED_VALUE"""),0.0)</f>
        <v>0</v>
      </c>
      <c r="BJ148" s="3">
        <f>IFERROR(__xludf.DUMMYFUNCTION("""COMPUTED_VALUE"""),0.0)</f>
        <v>0</v>
      </c>
      <c r="BK148" s="3">
        <f>IFERROR(__xludf.DUMMYFUNCTION("""COMPUTED_VALUE"""),0.0)</f>
        <v>0</v>
      </c>
      <c r="BL148" s="3">
        <f>IFERROR(__xludf.DUMMYFUNCTION("""COMPUTED_VALUE"""),0.0)</f>
        <v>0</v>
      </c>
      <c r="BM148" s="3">
        <f>IFERROR(__xludf.DUMMYFUNCTION("""COMPUTED_VALUE"""),0.0)</f>
        <v>0</v>
      </c>
      <c r="BN148" s="3">
        <f>IFERROR(__xludf.DUMMYFUNCTION("""COMPUTED_VALUE"""),0.0)</f>
        <v>0</v>
      </c>
      <c r="BO148" s="3">
        <f>IFERROR(__xludf.DUMMYFUNCTION("""COMPUTED_VALUE"""),0.0)</f>
        <v>0</v>
      </c>
      <c r="BP148" s="3">
        <f>IFERROR(__xludf.DUMMYFUNCTION("""COMPUTED_VALUE"""),0.0)</f>
        <v>0</v>
      </c>
      <c r="BQ148" s="3">
        <f>IFERROR(__xludf.DUMMYFUNCTION("""COMPUTED_VALUE"""),0.0)</f>
        <v>0</v>
      </c>
      <c r="BR148" s="3">
        <f>IFERROR(__xludf.DUMMYFUNCTION("""COMPUTED_VALUE"""),0.0)</f>
        <v>0</v>
      </c>
      <c r="BS148" s="3">
        <f>IFERROR(__xludf.DUMMYFUNCTION("""COMPUTED_VALUE"""),0.0)</f>
        <v>0</v>
      </c>
      <c r="BT148" s="3">
        <f>IFERROR(__xludf.DUMMYFUNCTION("""COMPUTED_VALUE"""),0.0)</f>
        <v>0</v>
      </c>
      <c r="BU148" s="3">
        <f>IFERROR(__xludf.DUMMYFUNCTION("""COMPUTED_VALUE"""),0.0)</f>
        <v>0</v>
      </c>
      <c r="BV148" s="3">
        <f>IFERROR(__xludf.DUMMYFUNCTION("""COMPUTED_VALUE"""),0.0)</f>
        <v>0</v>
      </c>
      <c r="BW148" s="3">
        <f>IFERROR(__xludf.DUMMYFUNCTION("""COMPUTED_VALUE"""),0.0)</f>
        <v>0</v>
      </c>
      <c r="BX148" s="3">
        <f>IFERROR(__xludf.DUMMYFUNCTION("""COMPUTED_VALUE"""),0.0)</f>
        <v>0</v>
      </c>
      <c r="BY148" s="3">
        <f>IFERROR(__xludf.DUMMYFUNCTION("""COMPUTED_VALUE"""),1.0)</f>
        <v>1</v>
      </c>
      <c r="BZ148" s="3">
        <f>IFERROR(__xludf.DUMMYFUNCTION("""COMPUTED_VALUE"""),1.0)</f>
        <v>1</v>
      </c>
      <c r="CA148" s="3">
        <f>IFERROR(__xludf.DUMMYFUNCTION("""COMPUTED_VALUE"""),1.0)</f>
        <v>1</v>
      </c>
      <c r="CB148" s="3">
        <f>IFERROR(__xludf.DUMMYFUNCTION("""COMPUTED_VALUE"""),1.0)</f>
        <v>1</v>
      </c>
    </row>
    <row r="149">
      <c r="A149" s="3" t="str">
        <f>IFERROR(__xludf.DUMMYFUNCTION("""COMPUTED_VALUE"""),"")</f>
        <v/>
      </c>
      <c r="B149" s="3" t="str">
        <f>IFERROR(__xludf.DUMMYFUNCTION("""COMPUTED_VALUE"""),"Lebanon")</f>
        <v>Lebanon</v>
      </c>
      <c r="C149" s="3">
        <f>IFERROR(__xludf.DUMMYFUNCTION("""COMPUTED_VALUE"""),33.8547)</f>
        <v>33.8547</v>
      </c>
      <c r="D149" s="3">
        <f>IFERROR(__xludf.DUMMYFUNCTION("""COMPUTED_VALUE"""),35.8623)</f>
        <v>35.8623</v>
      </c>
      <c r="E149" s="3">
        <f>IFERROR(__xludf.DUMMYFUNCTION("""COMPUTED_VALUE"""),0.0)</f>
        <v>0</v>
      </c>
      <c r="F149" s="3">
        <f>IFERROR(__xludf.DUMMYFUNCTION("""COMPUTED_VALUE"""),0.0)</f>
        <v>0</v>
      </c>
      <c r="G149" s="3">
        <f>IFERROR(__xludf.DUMMYFUNCTION("""COMPUTED_VALUE"""),0.0)</f>
        <v>0</v>
      </c>
      <c r="H149" s="3">
        <f>IFERROR(__xludf.DUMMYFUNCTION("""COMPUTED_VALUE"""),0.0)</f>
        <v>0</v>
      </c>
      <c r="I149" s="3">
        <f>IFERROR(__xludf.DUMMYFUNCTION("""COMPUTED_VALUE"""),0.0)</f>
        <v>0</v>
      </c>
      <c r="J149" s="3">
        <f>IFERROR(__xludf.DUMMYFUNCTION("""COMPUTED_VALUE"""),0.0)</f>
        <v>0</v>
      </c>
      <c r="K149" s="3">
        <f>IFERROR(__xludf.DUMMYFUNCTION("""COMPUTED_VALUE"""),0.0)</f>
        <v>0</v>
      </c>
      <c r="L149" s="3">
        <f>IFERROR(__xludf.DUMMYFUNCTION("""COMPUTED_VALUE"""),0.0)</f>
        <v>0</v>
      </c>
      <c r="M149" s="3">
        <f>IFERROR(__xludf.DUMMYFUNCTION("""COMPUTED_VALUE"""),0.0)</f>
        <v>0</v>
      </c>
      <c r="N149" s="3">
        <f>IFERROR(__xludf.DUMMYFUNCTION("""COMPUTED_VALUE"""),0.0)</f>
        <v>0</v>
      </c>
      <c r="O149" s="3">
        <f>IFERROR(__xludf.DUMMYFUNCTION("""COMPUTED_VALUE"""),0.0)</f>
        <v>0</v>
      </c>
      <c r="P149" s="3">
        <f>IFERROR(__xludf.DUMMYFUNCTION("""COMPUTED_VALUE"""),0.0)</f>
        <v>0</v>
      </c>
      <c r="Q149" s="3">
        <f>IFERROR(__xludf.DUMMYFUNCTION("""COMPUTED_VALUE"""),0.0)</f>
        <v>0</v>
      </c>
      <c r="R149" s="3">
        <f>IFERROR(__xludf.DUMMYFUNCTION("""COMPUTED_VALUE"""),0.0)</f>
        <v>0</v>
      </c>
      <c r="S149" s="3">
        <f>IFERROR(__xludf.DUMMYFUNCTION("""COMPUTED_VALUE"""),0.0)</f>
        <v>0</v>
      </c>
      <c r="T149" s="3">
        <f>IFERROR(__xludf.DUMMYFUNCTION("""COMPUTED_VALUE"""),0.0)</f>
        <v>0</v>
      </c>
      <c r="U149" s="3">
        <f>IFERROR(__xludf.DUMMYFUNCTION("""COMPUTED_VALUE"""),0.0)</f>
        <v>0</v>
      </c>
      <c r="V149" s="3">
        <f>IFERROR(__xludf.DUMMYFUNCTION("""COMPUTED_VALUE"""),0.0)</f>
        <v>0</v>
      </c>
      <c r="W149" s="3">
        <f>IFERROR(__xludf.DUMMYFUNCTION("""COMPUTED_VALUE"""),0.0)</f>
        <v>0</v>
      </c>
      <c r="X149" s="3">
        <f>IFERROR(__xludf.DUMMYFUNCTION("""COMPUTED_VALUE"""),0.0)</f>
        <v>0</v>
      </c>
      <c r="Y149" s="3">
        <f>IFERROR(__xludf.DUMMYFUNCTION("""COMPUTED_VALUE"""),0.0)</f>
        <v>0</v>
      </c>
      <c r="Z149" s="3">
        <f>IFERROR(__xludf.DUMMYFUNCTION("""COMPUTED_VALUE"""),0.0)</f>
        <v>0</v>
      </c>
      <c r="AA149" s="3">
        <f>IFERROR(__xludf.DUMMYFUNCTION("""COMPUTED_VALUE"""),0.0)</f>
        <v>0</v>
      </c>
      <c r="AB149" s="3">
        <f>IFERROR(__xludf.DUMMYFUNCTION("""COMPUTED_VALUE"""),0.0)</f>
        <v>0</v>
      </c>
      <c r="AC149" s="3">
        <f>IFERROR(__xludf.DUMMYFUNCTION("""COMPUTED_VALUE"""),0.0)</f>
        <v>0</v>
      </c>
      <c r="AD149" s="3">
        <f>IFERROR(__xludf.DUMMYFUNCTION("""COMPUTED_VALUE"""),0.0)</f>
        <v>0</v>
      </c>
      <c r="AE149" s="3">
        <f>IFERROR(__xludf.DUMMYFUNCTION("""COMPUTED_VALUE"""),0.0)</f>
        <v>0</v>
      </c>
      <c r="AF149" s="3">
        <f>IFERROR(__xludf.DUMMYFUNCTION("""COMPUTED_VALUE"""),0.0)</f>
        <v>0</v>
      </c>
      <c r="AG149" s="3">
        <f>IFERROR(__xludf.DUMMYFUNCTION("""COMPUTED_VALUE"""),0.0)</f>
        <v>0</v>
      </c>
      <c r="AH149" s="3">
        <f>IFERROR(__xludf.DUMMYFUNCTION("""COMPUTED_VALUE"""),0.0)</f>
        <v>0</v>
      </c>
      <c r="AI149" s="3">
        <f>IFERROR(__xludf.DUMMYFUNCTION("""COMPUTED_VALUE"""),0.0)</f>
        <v>0</v>
      </c>
      <c r="AJ149" s="3">
        <f>IFERROR(__xludf.DUMMYFUNCTION("""COMPUTED_VALUE"""),0.0)</f>
        <v>0</v>
      </c>
      <c r="AK149" s="3">
        <f>IFERROR(__xludf.DUMMYFUNCTION("""COMPUTED_VALUE"""),0.0)</f>
        <v>0</v>
      </c>
      <c r="AL149" s="3">
        <f>IFERROR(__xludf.DUMMYFUNCTION("""COMPUTED_VALUE"""),0.0)</f>
        <v>0</v>
      </c>
      <c r="AM149" s="3">
        <f>IFERROR(__xludf.DUMMYFUNCTION("""COMPUTED_VALUE"""),0.0)</f>
        <v>0</v>
      </c>
      <c r="AN149" s="3">
        <f>IFERROR(__xludf.DUMMYFUNCTION("""COMPUTED_VALUE"""),0.0)</f>
        <v>0</v>
      </c>
      <c r="AO149" s="3">
        <f>IFERROR(__xludf.DUMMYFUNCTION("""COMPUTED_VALUE"""),0.0)</f>
        <v>0</v>
      </c>
      <c r="AP149" s="3">
        <f>IFERROR(__xludf.DUMMYFUNCTION("""COMPUTED_VALUE"""),0.0)</f>
        <v>0</v>
      </c>
      <c r="AQ149" s="3">
        <f>IFERROR(__xludf.DUMMYFUNCTION("""COMPUTED_VALUE"""),0.0)</f>
        <v>0</v>
      </c>
      <c r="AR149" s="3">
        <f>IFERROR(__xludf.DUMMYFUNCTION("""COMPUTED_VALUE"""),0.0)</f>
        <v>0</v>
      </c>
      <c r="AS149" s="3">
        <f>IFERROR(__xludf.DUMMYFUNCTION("""COMPUTED_VALUE"""),0.0)</f>
        <v>0</v>
      </c>
      <c r="AT149" s="3">
        <f>IFERROR(__xludf.DUMMYFUNCTION("""COMPUTED_VALUE"""),0.0)</f>
        <v>0</v>
      </c>
      <c r="AU149" s="3">
        <f>IFERROR(__xludf.DUMMYFUNCTION("""COMPUTED_VALUE"""),0.0)</f>
        <v>0</v>
      </c>
      <c r="AV149" s="3">
        <f>IFERROR(__xludf.DUMMYFUNCTION("""COMPUTED_VALUE"""),0.0)</f>
        <v>0</v>
      </c>
      <c r="AW149" s="3">
        <f>IFERROR(__xludf.DUMMYFUNCTION("""COMPUTED_VALUE"""),0.0)</f>
        <v>0</v>
      </c>
      <c r="AX149" s="3">
        <f>IFERROR(__xludf.DUMMYFUNCTION("""COMPUTED_VALUE"""),0.0)</f>
        <v>0</v>
      </c>
      <c r="AY149" s="3">
        <f>IFERROR(__xludf.DUMMYFUNCTION("""COMPUTED_VALUE"""),0.0)</f>
        <v>0</v>
      </c>
      <c r="AZ149" s="3">
        <f>IFERROR(__xludf.DUMMYFUNCTION("""COMPUTED_VALUE"""),0.0)</f>
        <v>0</v>
      </c>
      <c r="BA149" s="3">
        <f>IFERROR(__xludf.DUMMYFUNCTION("""COMPUTED_VALUE"""),1.0)</f>
        <v>1</v>
      </c>
      <c r="BB149" s="3">
        <f>IFERROR(__xludf.DUMMYFUNCTION("""COMPUTED_VALUE"""),3.0)</f>
        <v>3</v>
      </c>
      <c r="BC149" s="3">
        <f>IFERROR(__xludf.DUMMYFUNCTION("""COMPUTED_VALUE"""),3.0)</f>
        <v>3</v>
      </c>
      <c r="BD149" s="3">
        <f>IFERROR(__xludf.DUMMYFUNCTION("""COMPUTED_VALUE"""),3.0)</f>
        <v>3</v>
      </c>
      <c r="BE149" s="3">
        <f>IFERROR(__xludf.DUMMYFUNCTION("""COMPUTED_VALUE"""),3.0)</f>
        <v>3</v>
      </c>
      <c r="BF149" s="3">
        <f>IFERROR(__xludf.DUMMYFUNCTION("""COMPUTED_VALUE"""),3.0)</f>
        <v>3</v>
      </c>
      <c r="BG149" s="3">
        <f>IFERROR(__xludf.DUMMYFUNCTION("""COMPUTED_VALUE"""),3.0)</f>
        <v>3</v>
      </c>
      <c r="BH149" s="3">
        <f>IFERROR(__xludf.DUMMYFUNCTION("""COMPUTED_VALUE"""),3.0)</f>
        <v>3</v>
      </c>
      <c r="BI149" s="3">
        <f>IFERROR(__xludf.DUMMYFUNCTION("""COMPUTED_VALUE"""),3.0)</f>
        <v>3</v>
      </c>
      <c r="BJ149" s="3">
        <f>IFERROR(__xludf.DUMMYFUNCTION("""COMPUTED_VALUE"""),4.0)</f>
        <v>4</v>
      </c>
      <c r="BK149" s="3">
        <f>IFERROR(__xludf.DUMMYFUNCTION("""COMPUTED_VALUE"""),4.0)</f>
        <v>4</v>
      </c>
      <c r="BL149" s="3">
        <f>IFERROR(__xludf.DUMMYFUNCTION("""COMPUTED_VALUE"""),4.0)</f>
        <v>4</v>
      </c>
      <c r="BM149" s="3">
        <f>IFERROR(__xludf.DUMMYFUNCTION("""COMPUTED_VALUE"""),4.0)</f>
        <v>4</v>
      </c>
      <c r="BN149" s="3">
        <f>IFERROR(__xludf.DUMMYFUNCTION("""COMPUTED_VALUE"""),4.0)</f>
        <v>4</v>
      </c>
      <c r="BO149" s="3">
        <f>IFERROR(__xludf.DUMMYFUNCTION("""COMPUTED_VALUE"""),4.0)</f>
        <v>4</v>
      </c>
      <c r="BP149" s="3">
        <f>IFERROR(__xludf.DUMMYFUNCTION("""COMPUTED_VALUE"""),6.0)</f>
        <v>6</v>
      </c>
      <c r="BQ149" s="3">
        <f>IFERROR(__xludf.DUMMYFUNCTION("""COMPUTED_VALUE"""),6.0)</f>
        <v>6</v>
      </c>
      <c r="BR149" s="3">
        <f>IFERROR(__xludf.DUMMYFUNCTION("""COMPUTED_VALUE"""),8.0)</f>
        <v>8</v>
      </c>
      <c r="BS149" s="3">
        <f>IFERROR(__xludf.DUMMYFUNCTION("""COMPUTED_VALUE"""),8.0)</f>
        <v>8</v>
      </c>
      <c r="BT149" s="3">
        <f>IFERROR(__xludf.DUMMYFUNCTION("""COMPUTED_VALUE"""),10.0)</f>
        <v>10</v>
      </c>
      <c r="BU149" s="3">
        <f>IFERROR(__xludf.DUMMYFUNCTION("""COMPUTED_VALUE"""),11.0)</f>
        <v>11</v>
      </c>
      <c r="BV149" s="3">
        <f>IFERROR(__xludf.DUMMYFUNCTION("""COMPUTED_VALUE"""),12.0)</f>
        <v>12</v>
      </c>
      <c r="BW149" s="3">
        <f>IFERROR(__xludf.DUMMYFUNCTION("""COMPUTED_VALUE"""),14.0)</f>
        <v>14</v>
      </c>
      <c r="BX149" s="3">
        <f>IFERROR(__xludf.DUMMYFUNCTION("""COMPUTED_VALUE"""),16.0)</f>
        <v>16</v>
      </c>
      <c r="BY149" s="3">
        <f>IFERROR(__xludf.DUMMYFUNCTION("""COMPUTED_VALUE"""),17.0)</f>
        <v>17</v>
      </c>
      <c r="BZ149" s="3">
        <f>IFERROR(__xludf.DUMMYFUNCTION("""COMPUTED_VALUE"""),17.0)</f>
        <v>17</v>
      </c>
      <c r="CA149" s="3">
        <f>IFERROR(__xludf.DUMMYFUNCTION("""COMPUTED_VALUE"""),18.0)</f>
        <v>18</v>
      </c>
      <c r="CB149" s="3">
        <f>IFERROR(__xludf.DUMMYFUNCTION("""COMPUTED_VALUE"""),19.0)</f>
        <v>19</v>
      </c>
    </row>
    <row r="150">
      <c r="A150" s="3" t="str">
        <f>IFERROR(__xludf.DUMMYFUNCTION("""COMPUTED_VALUE"""),"")</f>
        <v/>
      </c>
      <c r="B150" s="3" t="str">
        <f>IFERROR(__xludf.DUMMYFUNCTION("""COMPUTED_VALUE"""),"Liberia")</f>
        <v>Liberia</v>
      </c>
      <c r="C150" s="3">
        <f>IFERROR(__xludf.DUMMYFUNCTION("""COMPUTED_VALUE"""),6.4281)</f>
        <v>6.4281</v>
      </c>
      <c r="D150" s="3">
        <f>IFERROR(__xludf.DUMMYFUNCTION("""COMPUTED_VALUE"""),-9.4295)</f>
        <v>-9.4295</v>
      </c>
      <c r="E150" s="3">
        <f>IFERROR(__xludf.DUMMYFUNCTION("""COMPUTED_VALUE"""),0.0)</f>
        <v>0</v>
      </c>
      <c r="F150" s="3">
        <f>IFERROR(__xludf.DUMMYFUNCTION("""COMPUTED_VALUE"""),0.0)</f>
        <v>0</v>
      </c>
      <c r="G150" s="3">
        <f>IFERROR(__xludf.DUMMYFUNCTION("""COMPUTED_VALUE"""),0.0)</f>
        <v>0</v>
      </c>
      <c r="H150" s="3">
        <f>IFERROR(__xludf.DUMMYFUNCTION("""COMPUTED_VALUE"""),0.0)</f>
        <v>0</v>
      </c>
      <c r="I150" s="3">
        <f>IFERROR(__xludf.DUMMYFUNCTION("""COMPUTED_VALUE"""),0.0)</f>
        <v>0</v>
      </c>
      <c r="J150" s="3">
        <f>IFERROR(__xludf.DUMMYFUNCTION("""COMPUTED_VALUE"""),0.0)</f>
        <v>0</v>
      </c>
      <c r="K150" s="3">
        <f>IFERROR(__xludf.DUMMYFUNCTION("""COMPUTED_VALUE"""),0.0)</f>
        <v>0</v>
      </c>
      <c r="L150" s="3">
        <f>IFERROR(__xludf.DUMMYFUNCTION("""COMPUTED_VALUE"""),0.0)</f>
        <v>0</v>
      </c>
      <c r="M150" s="3">
        <f>IFERROR(__xludf.DUMMYFUNCTION("""COMPUTED_VALUE"""),0.0)</f>
        <v>0</v>
      </c>
      <c r="N150" s="3">
        <f>IFERROR(__xludf.DUMMYFUNCTION("""COMPUTED_VALUE"""),0.0)</f>
        <v>0</v>
      </c>
      <c r="O150" s="3">
        <f>IFERROR(__xludf.DUMMYFUNCTION("""COMPUTED_VALUE"""),0.0)</f>
        <v>0</v>
      </c>
      <c r="P150" s="3">
        <f>IFERROR(__xludf.DUMMYFUNCTION("""COMPUTED_VALUE"""),0.0)</f>
        <v>0</v>
      </c>
      <c r="Q150" s="3">
        <f>IFERROR(__xludf.DUMMYFUNCTION("""COMPUTED_VALUE"""),0.0)</f>
        <v>0</v>
      </c>
      <c r="R150" s="3">
        <f>IFERROR(__xludf.DUMMYFUNCTION("""COMPUTED_VALUE"""),0.0)</f>
        <v>0</v>
      </c>
      <c r="S150" s="3">
        <f>IFERROR(__xludf.DUMMYFUNCTION("""COMPUTED_VALUE"""),0.0)</f>
        <v>0</v>
      </c>
      <c r="T150" s="3">
        <f>IFERROR(__xludf.DUMMYFUNCTION("""COMPUTED_VALUE"""),0.0)</f>
        <v>0</v>
      </c>
      <c r="U150" s="3">
        <f>IFERROR(__xludf.DUMMYFUNCTION("""COMPUTED_VALUE"""),0.0)</f>
        <v>0</v>
      </c>
      <c r="V150" s="3">
        <f>IFERROR(__xludf.DUMMYFUNCTION("""COMPUTED_VALUE"""),0.0)</f>
        <v>0</v>
      </c>
      <c r="W150" s="3">
        <f>IFERROR(__xludf.DUMMYFUNCTION("""COMPUTED_VALUE"""),0.0)</f>
        <v>0</v>
      </c>
      <c r="X150" s="3">
        <f>IFERROR(__xludf.DUMMYFUNCTION("""COMPUTED_VALUE"""),0.0)</f>
        <v>0</v>
      </c>
      <c r="Y150" s="3">
        <f>IFERROR(__xludf.DUMMYFUNCTION("""COMPUTED_VALUE"""),0.0)</f>
        <v>0</v>
      </c>
      <c r="Z150" s="3">
        <f>IFERROR(__xludf.DUMMYFUNCTION("""COMPUTED_VALUE"""),0.0)</f>
        <v>0</v>
      </c>
      <c r="AA150" s="3">
        <f>IFERROR(__xludf.DUMMYFUNCTION("""COMPUTED_VALUE"""),0.0)</f>
        <v>0</v>
      </c>
      <c r="AB150" s="3">
        <f>IFERROR(__xludf.DUMMYFUNCTION("""COMPUTED_VALUE"""),0.0)</f>
        <v>0</v>
      </c>
      <c r="AC150" s="3">
        <f>IFERROR(__xludf.DUMMYFUNCTION("""COMPUTED_VALUE"""),0.0)</f>
        <v>0</v>
      </c>
      <c r="AD150" s="3">
        <f>IFERROR(__xludf.DUMMYFUNCTION("""COMPUTED_VALUE"""),0.0)</f>
        <v>0</v>
      </c>
      <c r="AE150" s="3">
        <f>IFERROR(__xludf.DUMMYFUNCTION("""COMPUTED_VALUE"""),0.0)</f>
        <v>0</v>
      </c>
      <c r="AF150" s="3">
        <f>IFERROR(__xludf.DUMMYFUNCTION("""COMPUTED_VALUE"""),0.0)</f>
        <v>0</v>
      </c>
      <c r="AG150" s="3">
        <f>IFERROR(__xludf.DUMMYFUNCTION("""COMPUTED_VALUE"""),0.0)</f>
        <v>0</v>
      </c>
      <c r="AH150" s="3">
        <f>IFERROR(__xludf.DUMMYFUNCTION("""COMPUTED_VALUE"""),0.0)</f>
        <v>0</v>
      </c>
      <c r="AI150" s="3">
        <f>IFERROR(__xludf.DUMMYFUNCTION("""COMPUTED_VALUE"""),0.0)</f>
        <v>0</v>
      </c>
      <c r="AJ150" s="3">
        <f>IFERROR(__xludf.DUMMYFUNCTION("""COMPUTED_VALUE"""),0.0)</f>
        <v>0</v>
      </c>
      <c r="AK150" s="3">
        <f>IFERROR(__xludf.DUMMYFUNCTION("""COMPUTED_VALUE"""),0.0)</f>
        <v>0</v>
      </c>
      <c r="AL150" s="3">
        <f>IFERROR(__xludf.DUMMYFUNCTION("""COMPUTED_VALUE"""),0.0)</f>
        <v>0</v>
      </c>
      <c r="AM150" s="3">
        <f>IFERROR(__xludf.DUMMYFUNCTION("""COMPUTED_VALUE"""),0.0)</f>
        <v>0</v>
      </c>
      <c r="AN150" s="3">
        <f>IFERROR(__xludf.DUMMYFUNCTION("""COMPUTED_VALUE"""),0.0)</f>
        <v>0</v>
      </c>
      <c r="AO150" s="3">
        <f>IFERROR(__xludf.DUMMYFUNCTION("""COMPUTED_VALUE"""),0.0)</f>
        <v>0</v>
      </c>
      <c r="AP150" s="3">
        <f>IFERROR(__xludf.DUMMYFUNCTION("""COMPUTED_VALUE"""),0.0)</f>
        <v>0</v>
      </c>
      <c r="AQ150" s="3">
        <f>IFERROR(__xludf.DUMMYFUNCTION("""COMPUTED_VALUE"""),0.0)</f>
        <v>0</v>
      </c>
      <c r="AR150" s="3">
        <f>IFERROR(__xludf.DUMMYFUNCTION("""COMPUTED_VALUE"""),0.0)</f>
        <v>0</v>
      </c>
      <c r="AS150" s="3">
        <f>IFERROR(__xludf.DUMMYFUNCTION("""COMPUTED_VALUE"""),0.0)</f>
        <v>0</v>
      </c>
      <c r="AT150" s="3">
        <f>IFERROR(__xludf.DUMMYFUNCTION("""COMPUTED_VALUE"""),0.0)</f>
        <v>0</v>
      </c>
      <c r="AU150" s="3">
        <f>IFERROR(__xludf.DUMMYFUNCTION("""COMPUTED_VALUE"""),0.0)</f>
        <v>0</v>
      </c>
      <c r="AV150" s="3">
        <f>IFERROR(__xludf.DUMMYFUNCTION("""COMPUTED_VALUE"""),0.0)</f>
        <v>0</v>
      </c>
      <c r="AW150" s="3">
        <f>IFERROR(__xludf.DUMMYFUNCTION("""COMPUTED_VALUE"""),0.0)</f>
        <v>0</v>
      </c>
      <c r="AX150" s="3">
        <f>IFERROR(__xludf.DUMMYFUNCTION("""COMPUTED_VALUE"""),0.0)</f>
        <v>0</v>
      </c>
      <c r="AY150" s="3">
        <f>IFERROR(__xludf.DUMMYFUNCTION("""COMPUTED_VALUE"""),0.0)</f>
        <v>0</v>
      </c>
      <c r="AZ150" s="3">
        <f>IFERROR(__xludf.DUMMYFUNCTION("""COMPUTED_VALUE"""),0.0)</f>
        <v>0</v>
      </c>
      <c r="BA150" s="3">
        <f>IFERROR(__xludf.DUMMYFUNCTION("""COMPUTED_VALUE"""),0.0)</f>
        <v>0</v>
      </c>
      <c r="BB150" s="3">
        <f>IFERROR(__xludf.DUMMYFUNCTION("""COMPUTED_VALUE"""),0.0)</f>
        <v>0</v>
      </c>
      <c r="BC150" s="3">
        <f>IFERROR(__xludf.DUMMYFUNCTION("""COMPUTED_VALUE"""),0.0)</f>
        <v>0</v>
      </c>
      <c r="BD150" s="3">
        <f>IFERROR(__xludf.DUMMYFUNCTION("""COMPUTED_VALUE"""),0.0)</f>
        <v>0</v>
      </c>
      <c r="BE150" s="3">
        <f>IFERROR(__xludf.DUMMYFUNCTION("""COMPUTED_VALUE"""),0.0)</f>
        <v>0</v>
      </c>
      <c r="BF150" s="3">
        <f>IFERROR(__xludf.DUMMYFUNCTION("""COMPUTED_VALUE"""),0.0)</f>
        <v>0</v>
      </c>
      <c r="BG150" s="3">
        <f>IFERROR(__xludf.DUMMYFUNCTION("""COMPUTED_VALUE"""),0.0)</f>
        <v>0</v>
      </c>
      <c r="BH150" s="3">
        <f>IFERROR(__xludf.DUMMYFUNCTION("""COMPUTED_VALUE"""),0.0)</f>
        <v>0</v>
      </c>
      <c r="BI150" s="3">
        <f>IFERROR(__xludf.DUMMYFUNCTION("""COMPUTED_VALUE"""),0.0)</f>
        <v>0</v>
      </c>
      <c r="BJ150" s="3">
        <f>IFERROR(__xludf.DUMMYFUNCTION("""COMPUTED_VALUE"""),0.0)</f>
        <v>0</v>
      </c>
      <c r="BK150" s="3">
        <f>IFERROR(__xludf.DUMMYFUNCTION("""COMPUTED_VALUE"""),0.0)</f>
        <v>0</v>
      </c>
      <c r="BL150" s="3">
        <f>IFERROR(__xludf.DUMMYFUNCTION("""COMPUTED_VALUE"""),0.0)</f>
        <v>0</v>
      </c>
      <c r="BM150" s="3">
        <f>IFERROR(__xludf.DUMMYFUNCTION("""COMPUTED_VALUE"""),0.0)</f>
        <v>0</v>
      </c>
      <c r="BN150" s="3">
        <f>IFERROR(__xludf.DUMMYFUNCTION("""COMPUTED_VALUE"""),0.0)</f>
        <v>0</v>
      </c>
      <c r="BO150" s="3">
        <f>IFERROR(__xludf.DUMMYFUNCTION("""COMPUTED_VALUE"""),0.0)</f>
        <v>0</v>
      </c>
      <c r="BP150" s="3">
        <f>IFERROR(__xludf.DUMMYFUNCTION("""COMPUTED_VALUE"""),0.0)</f>
        <v>0</v>
      </c>
      <c r="BQ150" s="3">
        <f>IFERROR(__xludf.DUMMYFUNCTION("""COMPUTED_VALUE"""),0.0)</f>
        <v>0</v>
      </c>
      <c r="BR150" s="3">
        <f>IFERROR(__xludf.DUMMYFUNCTION("""COMPUTED_VALUE"""),0.0)</f>
        <v>0</v>
      </c>
      <c r="BS150" s="3">
        <f>IFERROR(__xludf.DUMMYFUNCTION("""COMPUTED_VALUE"""),0.0)</f>
        <v>0</v>
      </c>
      <c r="BT150" s="3">
        <f>IFERROR(__xludf.DUMMYFUNCTION("""COMPUTED_VALUE"""),0.0)</f>
        <v>0</v>
      </c>
      <c r="BU150" s="3">
        <f>IFERROR(__xludf.DUMMYFUNCTION("""COMPUTED_VALUE"""),0.0)</f>
        <v>0</v>
      </c>
      <c r="BV150" s="3">
        <f>IFERROR(__xludf.DUMMYFUNCTION("""COMPUTED_VALUE"""),0.0)</f>
        <v>0</v>
      </c>
      <c r="BW150" s="3">
        <f>IFERROR(__xludf.DUMMYFUNCTION("""COMPUTED_VALUE"""),0.0)</f>
        <v>0</v>
      </c>
      <c r="BX150" s="3">
        <f>IFERROR(__xludf.DUMMYFUNCTION("""COMPUTED_VALUE"""),0.0)</f>
        <v>0</v>
      </c>
      <c r="BY150" s="3">
        <f>IFERROR(__xludf.DUMMYFUNCTION("""COMPUTED_VALUE"""),0.0)</f>
        <v>0</v>
      </c>
      <c r="BZ150" s="3">
        <f>IFERROR(__xludf.DUMMYFUNCTION("""COMPUTED_VALUE"""),1.0)</f>
        <v>1</v>
      </c>
      <c r="CA150" s="3">
        <f>IFERROR(__xludf.DUMMYFUNCTION("""COMPUTED_VALUE"""),3.0)</f>
        <v>3</v>
      </c>
      <c r="CB150" s="3">
        <f>IFERROR(__xludf.DUMMYFUNCTION("""COMPUTED_VALUE"""),3.0)</f>
        <v>3</v>
      </c>
    </row>
    <row r="151">
      <c r="A151" s="3" t="str">
        <f>IFERROR(__xludf.DUMMYFUNCTION("""COMPUTED_VALUE"""),"")</f>
        <v/>
      </c>
      <c r="B151" s="3" t="str">
        <f>IFERROR(__xludf.DUMMYFUNCTION("""COMPUTED_VALUE"""),"Liechtenstein")</f>
        <v>Liechtenstein</v>
      </c>
      <c r="C151" s="3">
        <f>IFERROR(__xludf.DUMMYFUNCTION("""COMPUTED_VALUE"""),47.14)</f>
        <v>47.14</v>
      </c>
      <c r="D151" s="3">
        <f>IFERROR(__xludf.DUMMYFUNCTION("""COMPUTED_VALUE"""),9.55)</f>
        <v>9.55</v>
      </c>
      <c r="E151" s="3">
        <f>IFERROR(__xludf.DUMMYFUNCTION("""COMPUTED_VALUE"""),0.0)</f>
        <v>0</v>
      </c>
      <c r="F151" s="3">
        <f>IFERROR(__xludf.DUMMYFUNCTION("""COMPUTED_VALUE"""),0.0)</f>
        <v>0</v>
      </c>
      <c r="G151" s="3">
        <f>IFERROR(__xludf.DUMMYFUNCTION("""COMPUTED_VALUE"""),0.0)</f>
        <v>0</v>
      </c>
      <c r="H151" s="3">
        <f>IFERROR(__xludf.DUMMYFUNCTION("""COMPUTED_VALUE"""),0.0)</f>
        <v>0</v>
      </c>
      <c r="I151" s="3">
        <f>IFERROR(__xludf.DUMMYFUNCTION("""COMPUTED_VALUE"""),0.0)</f>
        <v>0</v>
      </c>
      <c r="J151" s="3">
        <f>IFERROR(__xludf.DUMMYFUNCTION("""COMPUTED_VALUE"""),0.0)</f>
        <v>0</v>
      </c>
      <c r="K151" s="3">
        <f>IFERROR(__xludf.DUMMYFUNCTION("""COMPUTED_VALUE"""),0.0)</f>
        <v>0</v>
      </c>
      <c r="L151" s="3">
        <f>IFERROR(__xludf.DUMMYFUNCTION("""COMPUTED_VALUE"""),0.0)</f>
        <v>0</v>
      </c>
      <c r="M151" s="3">
        <f>IFERROR(__xludf.DUMMYFUNCTION("""COMPUTED_VALUE"""),0.0)</f>
        <v>0</v>
      </c>
      <c r="N151" s="3">
        <f>IFERROR(__xludf.DUMMYFUNCTION("""COMPUTED_VALUE"""),0.0)</f>
        <v>0</v>
      </c>
      <c r="O151" s="3">
        <f>IFERROR(__xludf.DUMMYFUNCTION("""COMPUTED_VALUE"""),0.0)</f>
        <v>0</v>
      </c>
      <c r="P151" s="3">
        <f>IFERROR(__xludf.DUMMYFUNCTION("""COMPUTED_VALUE"""),0.0)</f>
        <v>0</v>
      </c>
      <c r="Q151" s="3">
        <f>IFERROR(__xludf.DUMMYFUNCTION("""COMPUTED_VALUE"""),0.0)</f>
        <v>0</v>
      </c>
      <c r="R151" s="3">
        <f>IFERROR(__xludf.DUMMYFUNCTION("""COMPUTED_VALUE"""),0.0)</f>
        <v>0</v>
      </c>
      <c r="S151" s="3">
        <f>IFERROR(__xludf.DUMMYFUNCTION("""COMPUTED_VALUE"""),0.0)</f>
        <v>0</v>
      </c>
      <c r="T151" s="3">
        <f>IFERROR(__xludf.DUMMYFUNCTION("""COMPUTED_VALUE"""),0.0)</f>
        <v>0</v>
      </c>
      <c r="U151" s="3">
        <f>IFERROR(__xludf.DUMMYFUNCTION("""COMPUTED_VALUE"""),0.0)</f>
        <v>0</v>
      </c>
      <c r="V151" s="3">
        <f>IFERROR(__xludf.DUMMYFUNCTION("""COMPUTED_VALUE"""),0.0)</f>
        <v>0</v>
      </c>
      <c r="W151" s="3">
        <f>IFERROR(__xludf.DUMMYFUNCTION("""COMPUTED_VALUE"""),0.0)</f>
        <v>0</v>
      </c>
      <c r="X151" s="3">
        <f>IFERROR(__xludf.DUMMYFUNCTION("""COMPUTED_VALUE"""),0.0)</f>
        <v>0</v>
      </c>
      <c r="Y151" s="3">
        <f>IFERROR(__xludf.DUMMYFUNCTION("""COMPUTED_VALUE"""),0.0)</f>
        <v>0</v>
      </c>
      <c r="Z151" s="3">
        <f>IFERROR(__xludf.DUMMYFUNCTION("""COMPUTED_VALUE"""),0.0)</f>
        <v>0</v>
      </c>
      <c r="AA151" s="3">
        <f>IFERROR(__xludf.DUMMYFUNCTION("""COMPUTED_VALUE"""),0.0)</f>
        <v>0</v>
      </c>
      <c r="AB151" s="3">
        <f>IFERROR(__xludf.DUMMYFUNCTION("""COMPUTED_VALUE"""),0.0)</f>
        <v>0</v>
      </c>
      <c r="AC151" s="3">
        <f>IFERROR(__xludf.DUMMYFUNCTION("""COMPUTED_VALUE"""),0.0)</f>
        <v>0</v>
      </c>
      <c r="AD151" s="3">
        <f>IFERROR(__xludf.DUMMYFUNCTION("""COMPUTED_VALUE"""),0.0)</f>
        <v>0</v>
      </c>
      <c r="AE151" s="3">
        <f>IFERROR(__xludf.DUMMYFUNCTION("""COMPUTED_VALUE"""),0.0)</f>
        <v>0</v>
      </c>
      <c r="AF151" s="3">
        <f>IFERROR(__xludf.DUMMYFUNCTION("""COMPUTED_VALUE"""),0.0)</f>
        <v>0</v>
      </c>
      <c r="AG151" s="3">
        <f>IFERROR(__xludf.DUMMYFUNCTION("""COMPUTED_VALUE"""),0.0)</f>
        <v>0</v>
      </c>
      <c r="AH151" s="3">
        <f>IFERROR(__xludf.DUMMYFUNCTION("""COMPUTED_VALUE"""),0.0)</f>
        <v>0</v>
      </c>
      <c r="AI151" s="3">
        <f>IFERROR(__xludf.DUMMYFUNCTION("""COMPUTED_VALUE"""),0.0)</f>
        <v>0</v>
      </c>
      <c r="AJ151" s="3">
        <f>IFERROR(__xludf.DUMMYFUNCTION("""COMPUTED_VALUE"""),0.0)</f>
        <v>0</v>
      </c>
      <c r="AK151" s="3">
        <f>IFERROR(__xludf.DUMMYFUNCTION("""COMPUTED_VALUE"""),0.0)</f>
        <v>0</v>
      </c>
      <c r="AL151" s="3">
        <f>IFERROR(__xludf.DUMMYFUNCTION("""COMPUTED_VALUE"""),0.0)</f>
        <v>0</v>
      </c>
      <c r="AM151" s="3">
        <f>IFERROR(__xludf.DUMMYFUNCTION("""COMPUTED_VALUE"""),0.0)</f>
        <v>0</v>
      </c>
      <c r="AN151" s="3">
        <f>IFERROR(__xludf.DUMMYFUNCTION("""COMPUTED_VALUE"""),0.0)</f>
        <v>0</v>
      </c>
      <c r="AO151" s="3">
        <f>IFERROR(__xludf.DUMMYFUNCTION("""COMPUTED_VALUE"""),0.0)</f>
        <v>0</v>
      </c>
      <c r="AP151" s="3">
        <f>IFERROR(__xludf.DUMMYFUNCTION("""COMPUTED_VALUE"""),0.0)</f>
        <v>0</v>
      </c>
      <c r="AQ151" s="3">
        <f>IFERROR(__xludf.DUMMYFUNCTION("""COMPUTED_VALUE"""),0.0)</f>
        <v>0</v>
      </c>
      <c r="AR151" s="3">
        <f>IFERROR(__xludf.DUMMYFUNCTION("""COMPUTED_VALUE"""),0.0)</f>
        <v>0</v>
      </c>
      <c r="AS151" s="3">
        <f>IFERROR(__xludf.DUMMYFUNCTION("""COMPUTED_VALUE"""),0.0)</f>
        <v>0</v>
      </c>
      <c r="AT151" s="3">
        <f>IFERROR(__xludf.DUMMYFUNCTION("""COMPUTED_VALUE"""),0.0)</f>
        <v>0</v>
      </c>
      <c r="AU151" s="3">
        <f>IFERROR(__xludf.DUMMYFUNCTION("""COMPUTED_VALUE"""),0.0)</f>
        <v>0</v>
      </c>
      <c r="AV151" s="3">
        <f>IFERROR(__xludf.DUMMYFUNCTION("""COMPUTED_VALUE"""),0.0)</f>
        <v>0</v>
      </c>
      <c r="AW151" s="3">
        <f>IFERROR(__xludf.DUMMYFUNCTION("""COMPUTED_VALUE"""),0.0)</f>
        <v>0</v>
      </c>
      <c r="AX151" s="3">
        <f>IFERROR(__xludf.DUMMYFUNCTION("""COMPUTED_VALUE"""),0.0)</f>
        <v>0</v>
      </c>
      <c r="AY151" s="3">
        <f>IFERROR(__xludf.DUMMYFUNCTION("""COMPUTED_VALUE"""),0.0)</f>
        <v>0</v>
      </c>
      <c r="AZ151" s="3">
        <f>IFERROR(__xludf.DUMMYFUNCTION("""COMPUTED_VALUE"""),0.0)</f>
        <v>0</v>
      </c>
      <c r="BA151" s="3">
        <f>IFERROR(__xludf.DUMMYFUNCTION("""COMPUTED_VALUE"""),0.0)</f>
        <v>0</v>
      </c>
      <c r="BB151" s="3">
        <f>IFERROR(__xludf.DUMMYFUNCTION("""COMPUTED_VALUE"""),0.0)</f>
        <v>0</v>
      </c>
      <c r="BC151" s="3">
        <f>IFERROR(__xludf.DUMMYFUNCTION("""COMPUTED_VALUE"""),0.0)</f>
        <v>0</v>
      </c>
      <c r="BD151" s="3">
        <f>IFERROR(__xludf.DUMMYFUNCTION("""COMPUTED_VALUE"""),0.0)</f>
        <v>0</v>
      </c>
      <c r="BE151" s="3">
        <f>IFERROR(__xludf.DUMMYFUNCTION("""COMPUTED_VALUE"""),0.0)</f>
        <v>0</v>
      </c>
      <c r="BF151" s="3">
        <f>IFERROR(__xludf.DUMMYFUNCTION("""COMPUTED_VALUE"""),0.0)</f>
        <v>0</v>
      </c>
      <c r="BG151" s="3">
        <f>IFERROR(__xludf.DUMMYFUNCTION("""COMPUTED_VALUE"""),0.0)</f>
        <v>0</v>
      </c>
      <c r="BH151" s="3">
        <f>IFERROR(__xludf.DUMMYFUNCTION("""COMPUTED_VALUE"""),0.0)</f>
        <v>0</v>
      </c>
      <c r="BI151" s="3">
        <f>IFERROR(__xludf.DUMMYFUNCTION("""COMPUTED_VALUE"""),0.0)</f>
        <v>0</v>
      </c>
      <c r="BJ151" s="3">
        <f>IFERROR(__xludf.DUMMYFUNCTION("""COMPUTED_VALUE"""),0.0)</f>
        <v>0</v>
      </c>
      <c r="BK151" s="3">
        <f>IFERROR(__xludf.DUMMYFUNCTION("""COMPUTED_VALUE"""),0.0)</f>
        <v>0</v>
      </c>
      <c r="BL151" s="3">
        <f>IFERROR(__xludf.DUMMYFUNCTION("""COMPUTED_VALUE"""),0.0)</f>
        <v>0</v>
      </c>
      <c r="BM151" s="3">
        <f>IFERROR(__xludf.DUMMYFUNCTION("""COMPUTED_VALUE"""),0.0)</f>
        <v>0</v>
      </c>
      <c r="BN151" s="3">
        <f>IFERROR(__xludf.DUMMYFUNCTION("""COMPUTED_VALUE"""),0.0)</f>
        <v>0</v>
      </c>
      <c r="BO151" s="3">
        <f>IFERROR(__xludf.DUMMYFUNCTION("""COMPUTED_VALUE"""),0.0)</f>
        <v>0</v>
      </c>
      <c r="BP151" s="3">
        <f>IFERROR(__xludf.DUMMYFUNCTION("""COMPUTED_VALUE"""),0.0)</f>
        <v>0</v>
      </c>
      <c r="BQ151" s="3">
        <f>IFERROR(__xludf.DUMMYFUNCTION("""COMPUTED_VALUE"""),0.0)</f>
        <v>0</v>
      </c>
      <c r="BR151" s="3">
        <f>IFERROR(__xludf.DUMMYFUNCTION("""COMPUTED_VALUE"""),0.0)</f>
        <v>0</v>
      </c>
      <c r="BS151" s="3">
        <f>IFERROR(__xludf.DUMMYFUNCTION("""COMPUTED_VALUE"""),0.0)</f>
        <v>0</v>
      </c>
      <c r="BT151" s="3">
        <f>IFERROR(__xludf.DUMMYFUNCTION("""COMPUTED_VALUE"""),0.0)</f>
        <v>0</v>
      </c>
      <c r="BU151" s="3">
        <f>IFERROR(__xludf.DUMMYFUNCTION("""COMPUTED_VALUE"""),0.0)</f>
        <v>0</v>
      </c>
      <c r="BV151" s="3">
        <f>IFERROR(__xludf.DUMMYFUNCTION("""COMPUTED_VALUE"""),0.0)</f>
        <v>0</v>
      </c>
      <c r="BW151" s="3">
        <f>IFERROR(__xludf.DUMMYFUNCTION("""COMPUTED_VALUE"""),0.0)</f>
        <v>0</v>
      </c>
      <c r="BX151" s="3">
        <f>IFERROR(__xludf.DUMMYFUNCTION("""COMPUTED_VALUE"""),0.0)</f>
        <v>0</v>
      </c>
      <c r="BY151" s="3">
        <f>IFERROR(__xludf.DUMMYFUNCTION("""COMPUTED_VALUE"""),0.0)</f>
        <v>0</v>
      </c>
      <c r="BZ151" s="3">
        <f>IFERROR(__xludf.DUMMYFUNCTION("""COMPUTED_VALUE"""),1.0)</f>
        <v>1</v>
      </c>
      <c r="CA151" s="3">
        <f>IFERROR(__xludf.DUMMYFUNCTION("""COMPUTED_VALUE"""),1.0)</f>
        <v>1</v>
      </c>
      <c r="CB151" s="3">
        <f>IFERROR(__xludf.DUMMYFUNCTION("""COMPUTED_VALUE"""),1.0)</f>
        <v>1</v>
      </c>
    </row>
    <row r="152">
      <c r="A152" s="3" t="str">
        <f>IFERROR(__xludf.DUMMYFUNCTION("""COMPUTED_VALUE"""),"")</f>
        <v/>
      </c>
      <c r="B152" s="3" t="str">
        <f>IFERROR(__xludf.DUMMYFUNCTION("""COMPUTED_VALUE"""),"Lithuania")</f>
        <v>Lithuania</v>
      </c>
      <c r="C152" s="3">
        <f>IFERROR(__xludf.DUMMYFUNCTION("""COMPUTED_VALUE"""),55.1694)</f>
        <v>55.1694</v>
      </c>
      <c r="D152" s="3">
        <f>IFERROR(__xludf.DUMMYFUNCTION("""COMPUTED_VALUE"""),23.8813)</f>
        <v>23.8813</v>
      </c>
      <c r="E152" s="3">
        <f>IFERROR(__xludf.DUMMYFUNCTION("""COMPUTED_VALUE"""),0.0)</f>
        <v>0</v>
      </c>
      <c r="F152" s="3">
        <f>IFERROR(__xludf.DUMMYFUNCTION("""COMPUTED_VALUE"""),0.0)</f>
        <v>0</v>
      </c>
      <c r="G152" s="3">
        <f>IFERROR(__xludf.DUMMYFUNCTION("""COMPUTED_VALUE"""),0.0)</f>
        <v>0</v>
      </c>
      <c r="H152" s="3">
        <f>IFERROR(__xludf.DUMMYFUNCTION("""COMPUTED_VALUE"""),0.0)</f>
        <v>0</v>
      </c>
      <c r="I152" s="3">
        <f>IFERROR(__xludf.DUMMYFUNCTION("""COMPUTED_VALUE"""),0.0)</f>
        <v>0</v>
      </c>
      <c r="J152" s="3">
        <f>IFERROR(__xludf.DUMMYFUNCTION("""COMPUTED_VALUE"""),0.0)</f>
        <v>0</v>
      </c>
      <c r="K152" s="3">
        <f>IFERROR(__xludf.DUMMYFUNCTION("""COMPUTED_VALUE"""),0.0)</f>
        <v>0</v>
      </c>
      <c r="L152" s="3">
        <f>IFERROR(__xludf.DUMMYFUNCTION("""COMPUTED_VALUE"""),0.0)</f>
        <v>0</v>
      </c>
      <c r="M152" s="3">
        <f>IFERROR(__xludf.DUMMYFUNCTION("""COMPUTED_VALUE"""),0.0)</f>
        <v>0</v>
      </c>
      <c r="N152" s="3">
        <f>IFERROR(__xludf.DUMMYFUNCTION("""COMPUTED_VALUE"""),0.0)</f>
        <v>0</v>
      </c>
      <c r="O152" s="3">
        <f>IFERROR(__xludf.DUMMYFUNCTION("""COMPUTED_VALUE"""),0.0)</f>
        <v>0</v>
      </c>
      <c r="P152" s="3">
        <f>IFERROR(__xludf.DUMMYFUNCTION("""COMPUTED_VALUE"""),0.0)</f>
        <v>0</v>
      </c>
      <c r="Q152" s="3">
        <f>IFERROR(__xludf.DUMMYFUNCTION("""COMPUTED_VALUE"""),0.0)</f>
        <v>0</v>
      </c>
      <c r="R152" s="3">
        <f>IFERROR(__xludf.DUMMYFUNCTION("""COMPUTED_VALUE"""),0.0)</f>
        <v>0</v>
      </c>
      <c r="S152" s="3">
        <f>IFERROR(__xludf.DUMMYFUNCTION("""COMPUTED_VALUE"""),0.0)</f>
        <v>0</v>
      </c>
      <c r="T152" s="3">
        <f>IFERROR(__xludf.DUMMYFUNCTION("""COMPUTED_VALUE"""),0.0)</f>
        <v>0</v>
      </c>
      <c r="U152" s="3">
        <f>IFERROR(__xludf.DUMMYFUNCTION("""COMPUTED_VALUE"""),0.0)</f>
        <v>0</v>
      </c>
      <c r="V152" s="3">
        <f>IFERROR(__xludf.DUMMYFUNCTION("""COMPUTED_VALUE"""),0.0)</f>
        <v>0</v>
      </c>
      <c r="W152" s="3">
        <f>IFERROR(__xludf.DUMMYFUNCTION("""COMPUTED_VALUE"""),0.0)</f>
        <v>0</v>
      </c>
      <c r="X152" s="3">
        <f>IFERROR(__xludf.DUMMYFUNCTION("""COMPUTED_VALUE"""),0.0)</f>
        <v>0</v>
      </c>
      <c r="Y152" s="3">
        <f>IFERROR(__xludf.DUMMYFUNCTION("""COMPUTED_VALUE"""),0.0)</f>
        <v>0</v>
      </c>
      <c r="Z152" s="3">
        <f>IFERROR(__xludf.DUMMYFUNCTION("""COMPUTED_VALUE"""),0.0)</f>
        <v>0</v>
      </c>
      <c r="AA152" s="3">
        <f>IFERROR(__xludf.DUMMYFUNCTION("""COMPUTED_VALUE"""),0.0)</f>
        <v>0</v>
      </c>
      <c r="AB152" s="3">
        <f>IFERROR(__xludf.DUMMYFUNCTION("""COMPUTED_VALUE"""),0.0)</f>
        <v>0</v>
      </c>
      <c r="AC152" s="3">
        <f>IFERROR(__xludf.DUMMYFUNCTION("""COMPUTED_VALUE"""),0.0)</f>
        <v>0</v>
      </c>
      <c r="AD152" s="3">
        <f>IFERROR(__xludf.DUMMYFUNCTION("""COMPUTED_VALUE"""),0.0)</f>
        <v>0</v>
      </c>
      <c r="AE152" s="3">
        <f>IFERROR(__xludf.DUMMYFUNCTION("""COMPUTED_VALUE"""),0.0)</f>
        <v>0</v>
      </c>
      <c r="AF152" s="3">
        <f>IFERROR(__xludf.DUMMYFUNCTION("""COMPUTED_VALUE"""),0.0)</f>
        <v>0</v>
      </c>
      <c r="AG152" s="3">
        <f>IFERROR(__xludf.DUMMYFUNCTION("""COMPUTED_VALUE"""),0.0)</f>
        <v>0</v>
      </c>
      <c r="AH152" s="3">
        <f>IFERROR(__xludf.DUMMYFUNCTION("""COMPUTED_VALUE"""),0.0)</f>
        <v>0</v>
      </c>
      <c r="AI152" s="3">
        <f>IFERROR(__xludf.DUMMYFUNCTION("""COMPUTED_VALUE"""),0.0)</f>
        <v>0</v>
      </c>
      <c r="AJ152" s="3">
        <f>IFERROR(__xludf.DUMMYFUNCTION("""COMPUTED_VALUE"""),0.0)</f>
        <v>0</v>
      </c>
      <c r="AK152" s="3">
        <f>IFERROR(__xludf.DUMMYFUNCTION("""COMPUTED_VALUE"""),0.0)</f>
        <v>0</v>
      </c>
      <c r="AL152" s="3">
        <f>IFERROR(__xludf.DUMMYFUNCTION("""COMPUTED_VALUE"""),0.0)</f>
        <v>0</v>
      </c>
      <c r="AM152" s="3">
        <f>IFERROR(__xludf.DUMMYFUNCTION("""COMPUTED_VALUE"""),0.0)</f>
        <v>0</v>
      </c>
      <c r="AN152" s="3">
        <f>IFERROR(__xludf.DUMMYFUNCTION("""COMPUTED_VALUE"""),0.0)</f>
        <v>0</v>
      </c>
      <c r="AO152" s="3">
        <f>IFERROR(__xludf.DUMMYFUNCTION("""COMPUTED_VALUE"""),0.0)</f>
        <v>0</v>
      </c>
      <c r="AP152" s="3">
        <f>IFERROR(__xludf.DUMMYFUNCTION("""COMPUTED_VALUE"""),0.0)</f>
        <v>0</v>
      </c>
      <c r="AQ152" s="3">
        <f>IFERROR(__xludf.DUMMYFUNCTION("""COMPUTED_VALUE"""),0.0)</f>
        <v>0</v>
      </c>
      <c r="AR152" s="3">
        <f>IFERROR(__xludf.DUMMYFUNCTION("""COMPUTED_VALUE"""),0.0)</f>
        <v>0</v>
      </c>
      <c r="AS152" s="3">
        <f>IFERROR(__xludf.DUMMYFUNCTION("""COMPUTED_VALUE"""),0.0)</f>
        <v>0</v>
      </c>
      <c r="AT152" s="3">
        <f>IFERROR(__xludf.DUMMYFUNCTION("""COMPUTED_VALUE"""),0.0)</f>
        <v>0</v>
      </c>
      <c r="AU152" s="3">
        <f>IFERROR(__xludf.DUMMYFUNCTION("""COMPUTED_VALUE"""),0.0)</f>
        <v>0</v>
      </c>
      <c r="AV152" s="3">
        <f>IFERROR(__xludf.DUMMYFUNCTION("""COMPUTED_VALUE"""),0.0)</f>
        <v>0</v>
      </c>
      <c r="AW152" s="3">
        <f>IFERROR(__xludf.DUMMYFUNCTION("""COMPUTED_VALUE"""),0.0)</f>
        <v>0</v>
      </c>
      <c r="AX152" s="3">
        <f>IFERROR(__xludf.DUMMYFUNCTION("""COMPUTED_VALUE"""),0.0)</f>
        <v>0</v>
      </c>
      <c r="AY152" s="3">
        <f>IFERROR(__xludf.DUMMYFUNCTION("""COMPUTED_VALUE"""),0.0)</f>
        <v>0</v>
      </c>
      <c r="AZ152" s="3">
        <f>IFERROR(__xludf.DUMMYFUNCTION("""COMPUTED_VALUE"""),0.0)</f>
        <v>0</v>
      </c>
      <c r="BA152" s="3">
        <f>IFERROR(__xludf.DUMMYFUNCTION("""COMPUTED_VALUE"""),0.0)</f>
        <v>0</v>
      </c>
      <c r="BB152" s="3">
        <f>IFERROR(__xludf.DUMMYFUNCTION("""COMPUTED_VALUE"""),0.0)</f>
        <v>0</v>
      </c>
      <c r="BC152" s="3">
        <f>IFERROR(__xludf.DUMMYFUNCTION("""COMPUTED_VALUE"""),0.0)</f>
        <v>0</v>
      </c>
      <c r="BD152" s="3">
        <f>IFERROR(__xludf.DUMMYFUNCTION("""COMPUTED_VALUE"""),0.0)</f>
        <v>0</v>
      </c>
      <c r="BE152" s="3">
        <f>IFERROR(__xludf.DUMMYFUNCTION("""COMPUTED_VALUE"""),0.0)</f>
        <v>0</v>
      </c>
      <c r="BF152" s="3">
        <f>IFERROR(__xludf.DUMMYFUNCTION("""COMPUTED_VALUE"""),0.0)</f>
        <v>0</v>
      </c>
      <c r="BG152" s="3">
        <f>IFERROR(__xludf.DUMMYFUNCTION("""COMPUTED_VALUE"""),0.0)</f>
        <v>0</v>
      </c>
      <c r="BH152" s="3">
        <f>IFERROR(__xludf.DUMMYFUNCTION("""COMPUTED_VALUE"""),0.0)</f>
        <v>0</v>
      </c>
      <c r="BI152" s="3">
        <f>IFERROR(__xludf.DUMMYFUNCTION("""COMPUTED_VALUE"""),0.0)</f>
        <v>0</v>
      </c>
      <c r="BJ152" s="3">
        <f>IFERROR(__xludf.DUMMYFUNCTION("""COMPUTED_VALUE"""),0.0)</f>
        <v>0</v>
      </c>
      <c r="BK152" s="3">
        <f>IFERROR(__xludf.DUMMYFUNCTION("""COMPUTED_VALUE"""),0.0)</f>
        <v>0</v>
      </c>
      <c r="BL152" s="3">
        <f>IFERROR(__xludf.DUMMYFUNCTION("""COMPUTED_VALUE"""),1.0)</f>
        <v>1</v>
      </c>
      <c r="BM152" s="3">
        <f>IFERROR(__xludf.DUMMYFUNCTION("""COMPUTED_VALUE"""),1.0)</f>
        <v>1</v>
      </c>
      <c r="BN152" s="3">
        <f>IFERROR(__xludf.DUMMYFUNCTION("""COMPUTED_VALUE"""),1.0)</f>
        <v>1</v>
      </c>
      <c r="BO152" s="3">
        <f>IFERROR(__xludf.DUMMYFUNCTION("""COMPUTED_VALUE"""),2.0)</f>
        <v>2</v>
      </c>
      <c r="BP152" s="3">
        <f>IFERROR(__xludf.DUMMYFUNCTION("""COMPUTED_VALUE"""),4.0)</f>
        <v>4</v>
      </c>
      <c r="BQ152" s="3">
        <f>IFERROR(__xludf.DUMMYFUNCTION("""COMPUTED_VALUE"""),4.0)</f>
        <v>4</v>
      </c>
      <c r="BR152" s="3">
        <f>IFERROR(__xludf.DUMMYFUNCTION("""COMPUTED_VALUE"""),5.0)</f>
        <v>5</v>
      </c>
      <c r="BS152" s="3">
        <f>IFERROR(__xludf.DUMMYFUNCTION("""COMPUTED_VALUE"""),7.0)</f>
        <v>7</v>
      </c>
      <c r="BT152" s="3">
        <f>IFERROR(__xludf.DUMMYFUNCTION("""COMPUTED_VALUE"""),7.0)</f>
        <v>7</v>
      </c>
      <c r="BU152" s="3">
        <f>IFERROR(__xludf.DUMMYFUNCTION("""COMPUTED_VALUE"""),7.0)</f>
        <v>7</v>
      </c>
      <c r="BV152" s="3">
        <f>IFERROR(__xludf.DUMMYFUNCTION("""COMPUTED_VALUE"""),8.0)</f>
        <v>8</v>
      </c>
      <c r="BW152" s="3">
        <f>IFERROR(__xludf.DUMMYFUNCTION("""COMPUTED_VALUE"""),8.0)</f>
        <v>8</v>
      </c>
      <c r="BX152" s="3">
        <f>IFERROR(__xludf.DUMMYFUNCTION("""COMPUTED_VALUE"""),9.0)</f>
        <v>9</v>
      </c>
      <c r="BY152" s="3">
        <f>IFERROR(__xludf.DUMMYFUNCTION("""COMPUTED_VALUE"""),9.0)</f>
        <v>9</v>
      </c>
      <c r="BZ152" s="3">
        <f>IFERROR(__xludf.DUMMYFUNCTION("""COMPUTED_VALUE"""),11.0)</f>
        <v>11</v>
      </c>
      <c r="CA152" s="3">
        <f>IFERROR(__xludf.DUMMYFUNCTION("""COMPUTED_VALUE"""),13.0)</f>
        <v>13</v>
      </c>
      <c r="CB152" s="3">
        <f>IFERROR(__xludf.DUMMYFUNCTION("""COMPUTED_VALUE"""),15.0)</f>
        <v>15</v>
      </c>
    </row>
    <row r="153">
      <c r="A153" s="3" t="str">
        <f>IFERROR(__xludf.DUMMYFUNCTION("""COMPUTED_VALUE"""),"")</f>
        <v/>
      </c>
      <c r="B153" s="3" t="str">
        <f>IFERROR(__xludf.DUMMYFUNCTION("""COMPUTED_VALUE"""),"Luxembourg")</f>
        <v>Luxembourg</v>
      </c>
      <c r="C153" s="3">
        <f>IFERROR(__xludf.DUMMYFUNCTION("""COMPUTED_VALUE"""),49.8153)</f>
        <v>49.8153</v>
      </c>
      <c r="D153" s="3">
        <f>IFERROR(__xludf.DUMMYFUNCTION("""COMPUTED_VALUE"""),6.1296)</f>
        <v>6.1296</v>
      </c>
      <c r="E153" s="3">
        <f>IFERROR(__xludf.DUMMYFUNCTION("""COMPUTED_VALUE"""),0.0)</f>
        <v>0</v>
      </c>
      <c r="F153" s="3">
        <f>IFERROR(__xludf.DUMMYFUNCTION("""COMPUTED_VALUE"""),0.0)</f>
        <v>0</v>
      </c>
      <c r="G153" s="3">
        <f>IFERROR(__xludf.DUMMYFUNCTION("""COMPUTED_VALUE"""),0.0)</f>
        <v>0</v>
      </c>
      <c r="H153" s="3">
        <f>IFERROR(__xludf.DUMMYFUNCTION("""COMPUTED_VALUE"""),0.0)</f>
        <v>0</v>
      </c>
      <c r="I153" s="3">
        <f>IFERROR(__xludf.DUMMYFUNCTION("""COMPUTED_VALUE"""),0.0)</f>
        <v>0</v>
      </c>
      <c r="J153" s="3">
        <f>IFERROR(__xludf.DUMMYFUNCTION("""COMPUTED_VALUE"""),0.0)</f>
        <v>0</v>
      </c>
      <c r="K153" s="3">
        <f>IFERROR(__xludf.DUMMYFUNCTION("""COMPUTED_VALUE"""),0.0)</f>
        <v>0</v>
      </c>
      <c r="L153" s="3">
        <f>IFERROR(__xludf.DUMMYFUNCTION("""COMPUTED_VALUE"""),0.0)</f>
        <v>0</v>
      </c>
      <c r="M153" s="3">
        <f>IFERROR(__xludf.DUMMYFUNCTION("""COMPUTED_VALUE"""),0.0)</f>
        <v>0</v>
      </c>
      <c r="N153" s="3">
        <f>IFERROR(__xludf.DUMMYFUNCTION("""COMPUTED_VALUE"""),0.0)</f>
        <v>0</v>
      </c>
      <c r="O153" s="3">
        <f>IFERROR(__xludf.DUMMYFUNCTION("""COMPUTED_VALUE"""),0.0)</f>
        <v>0</v>
      </c>
      <c r="P153" s="3">
        <f>IFERROR(__xludf.DUMMYFUNCTION("""COMPUTED_VALUE"""),0.0)</f>
        <v>0</v>
      </c>
      <c r="Q153" s="3">
        <f>IFERROR(__xludf.DUMMYFUNCTION("""COMPUTED_VALUE"""),0.0)</f>
        <v>0</v>
      </c>
      <c r="R153" s="3">
        <f>IFERROR(__xludf.DUMMYFUNCTION("""COMPUTED_VALUE"""),0.0)</f>
        <v>0</v>
      </c>
      <c r="S153" s="3">
        <f>IFERROR(__xludf.DUMMYFUNCTION("""COMPUTED_VALUE"""),0.0)</f>
        <v>0</v>
      </c>
      <c r="T153" s="3">
        <f>IFERROR(__xludf.DUMMYFUNCTION("""COMPUTED_VALUE"""),0.0)</f>
        <v>0</v>
      </c>
      <c r="U153" s="3">
        <f>IFERROR(__xludf.DUMMYFUNCTION("""COMPUTED_VALUE"""),0.0)</f>
        <v>0</v>
      </c>
      <c r="V153" s="3">
        <f>IFERROR(__xludf.DUMMYFUNCTION("""COMPUTED_VALUE"""),0.0)</f>
        <v>0</v>
      </c>
      <c r="W153" s="3">
        <f>IFERROR(__xludf.DUMMYFUNCTION("""COMPUTED_VALUE"""),0.0)</f>
        <v>0</v>
      </c>
      <c r="X153" s="3">
        <f>IFERROR(__xludf.DUMMYFUNCTION("""COMPUTED_VALUE"""),0.0)</f>
        <v>0</v>
      </c>
      <c r="Y153" s="3">
        <f>IFERROR(__xludf.DUMMYFUNCTION("""COMPUTED_VALUE"""),0.0)</f>
        <v>0</v>
      </c>
      <c r="Z153" s="3">
        <f>IFERROR(__xludf.DUMMYFUNCTION("""COMPUTED_VALUE"""),0.0)</f>
        <v>0</v>
      </c>
      <c r="AA153" s="3">
        <f>IFERROR(__xludf.DUMMYFUNCTION("""COMPUTED_VALUE"""),0.0)</f>
        <v>0</v>
      </c>
      <c r="AB153" s="3">
        <f>IFERROR(__xludf.DUMMYFUNCTION("""COMPUTED_VALUE"""),0.0)</f>
        <v>0</v>
      </c>
      <c r="AC153" s="3">
        <f>IFERROR(__xludf.DUMMYFUNCTION("""COMPUTED_VALUE"""),0.0)</f>
        <v>0</v>
      </c>
      <c r="AD153" s="3">
        <f>IFERROR(__xludf.DUMMYFUNCTION("""COMPUTED_VALUE"""),0.0)</f>
        <v>0</v>
      </c>
      <c r="AE153" s="3">
        <f>IFERROR(__xludf.DUMMYFUNCTION("""COMPUTED_VALUE"""),0.0)</f>
        <v>0</v>
      </c>
      <c r="AF153" s="3">
        <f>IFERROR(__xludf.DUMMYFUNCTION("""COMPUTED_VALUE"""),0.0)</f>
        <v>0</v>
      </c>
      <c r="AG153" s="3">
        <f>IFERROR(__xludf.DUMMYFUNCTION("""COMPUTED_VALUE"""),0.0)</f>
        <v>0</v>
      </c>
      <c r="AH153" s="3">
        <f>IFERROR(__xludf.DUMMYFUNCTION("""COMPUTED_VALUE"""),0.0)</f>
        <v>0</v>
      </c>
      <c r="AI153" s="3">
        <f>IFERROR(__xludf.DUMMYFUNCTION("""COMPUTED_VALUE"""),0.0)</f>
        <v>0</v>
      </c>
      <c r="AJ153" s="3">
        <f>IFERROR(__xludf.DUMMYFUNCTION("""COMPUTED_VALUE"""),0.0)</f>
        <v>0</v>
      </c>
      <c r="AK153" s="3">
        <f>IFERROR(__xludf.DUMMYFUNCTION("""COMPUTED_VALUE"""),0.0)</f>
        <v>0</v>
      </c>
      <c r="AL153" s="3">
        <f>IFERROR(__xludf.DUMMYFUNCTION("""COMPUTED_VALUE"""),0.0)</f>
        <v>0</v>
      </c>
      <c r="AM153" s="3">
        <f>IFERROR(__xludf.DUMMYFUNCTION("""COMPUTED_VALUE"""),0.0)</f>
        <v>0</v>
      </c>
      <c r="AN153" s="3">
        <f>IFERROR(__xludf.DUMMYFUNCTION("""COMPUTED_VALUE"""),0.0)</f>
        <v>0</v>
      </c>
      <c r="AO153" s="3">
        <f>IFERROR(__xludf.DUMMYFUNCTION("""COMPUTED_VALUE"""),0.0)</f>
        <v>0</v>
      </c>
      <c r="AP153" s="3">
        <f>IFERROR(__xludf.DUMMYFUNCTION("""COMPUTED_VALUE"""),0.0)</f>
        <v>0</v>
      </c>
      <c r="AQ153" s="3">
        <f>IFERROR(__xludf.DUMMYFUNCTION("""COMPUTED_VALUE"""),0.0)</f>
        <v>0</v>
      </c>
      <c r="AR153" s="3">
        <f>IFERROR(__xludf.DUMMYFUNCTION("""COMPUTED_VALUE"""),0.0)</f>
        <v>0</v>
      </c>
      <c r="AS153" s="3">
        <f>IFERROR(__xludf.DUMMYFUNCTION("""COMPUTED_VALUE"""),0.0)</f>
        <v>0</v>
      </c>
      <c r="AT153" s="3">
        <f>IFERROR(__xludf.DUMMYFUNCTION("""COMPUTED_VALUE"""),0.0)</f>
        <v>0</v>
      </c>
      <c r="AU153" s="3">
        <f>IFERROR(__xludf.DUMMYFUNCTION("""COMPUTED_VALUE"""),0.0)</f>
        <v>0</v>
      </c>
      <c r="AV153" s="3">
        <f>IFERROR(__xludf.DUMMYFUNCTION("""COMPUTED_VALUE"""),0.0)</f>
        <v>0</v>
      </c>
      <c r="AW153" s="3">
        <f>IFERROR(__xludf.DUMMYFUNCTION("""COMPUTED_VALUE"""),0.0)</f>
        <v>0</v>
      </c>
      <c r="AX153" s="3">
        <f>IFERROR(__xludf.DUMMYFUNCTION("""COMPUTED_VALUE"""),0.0)</f>
        <v>0</v>
      </c>
      <c r="AY153" s="3">
        <f>IFERROR(__xludf.DUMMYFUNCTION("""COMPUTED_VALUE"""),0.0)</f>
        <v>0</v>
      </c>
      <c r="AZ153" s="3">
        <f>IFERROR(__xludf.DUMMYFUNCTION("""COMPUTED_VALUE"""),0.0)</f>
        <v>0</v>
      </c>
      <c r="BA153" s="3">
        <f>IFERROR(__xludf.DUMMYFUNCTION("""COMPUTED_VALUE"""),0.0)</f>
        <v>0</v>
      </c>
      <c r="BB153" s="3">
        <f>IFERROR(__xludf.DUMMYFUNCTION("""COMPUTED_VALUE"""),0.0)</f>
        <v>0</v>
      </c>
      <c r="BC153" s="3">
        <f>IFERROR(__xludf.DUMMYFUNCTION("""COMPUTED_VALUE"""),0.0)</f>
        <v>0</v>
      </c>
      <c r="BD153" s="3">
        <f>IFERROR(__xludf.DUMMYFUNCTION("""COMPUTED_VALUE"""),0.0)</f>
        <v>0</v>
      </c>
      <c r="BE153" s="3">
        <f>IFERROR(__xludf.DUMMYFUNCTION("""COMPUTED_VALUE"""),1.0)</f>
        <v>1</v>
      </c>
      <c r="BF153" s="3">
        <f>IFERROR(__xludf.DUMMYFUNCTION("""COMPUTED_VALUE"""),1.0)</f>
        <v>1</v>
      </c>
      <c r="BG153" s="3">
        <f>IFERROR(__xludf.DUMMYFUNCTION("""COMPUTED_VALUE"""),1.0)</f>
        <v>1</v>
      </c>
      <c r="BH153" s="3">
        <f>IFERROR(__xludf.DUMMYFUNCTION("""COMPUTED_VALUE"""),1.0)</f>
        <v>1</v>
      </c>
      <c r="BI153" s="3">
        <f>IFERROR(__xludf.DUMMYFUNCTION("""COMPUTED_VALUE"""),2.0)</f>
        <v>2</v>
      </c>
      <c r="BJ153" s="3">
        <f>IFERROR(__xludf.DUMMYFUNCTION("""COMPUTED_VALUE"""),4.0)</f>
        <v>4</v>
      </c>
      <c r="BK153" s="3">
        <f>IFERROR(__xludf.DUMMYFUNCTION("""COMPUTED_VALUE"""),4.0)</f>
        <v>4</v>
      </c>
      <c r="BL153" s="3">
        <f>IFERROR(__xludf.DUMMYFUNCTION("""COMPUTED_VALUE"""),8.0)</f>
        <v>8</v>
      </c>
      <c r="BM153" s="3">
        <f>IFERROR(__xludf.DUMMYFUNCTION("""COMPUTED_VALUE"""),8.0)</f>
        <v>8</v>
      </c>
      <c r="BN153" s="3">
        <f>IFERROR(__xludf.DUMMYFUNCTION("""COMPUTED_VALUE"""),8.0)</f>
        <v>8</v>
      </c>
      <c r="BO153" s="3">
        <f>IFERROR(__xludf.DUMMYFUNCTION("""COMPUTED_VALUE"""),8.0)</f>
        <v>8</v>
      </c>
      <c r="BP153" s="3">
        <f>IFERROR(__xludf.DUMMYFUNCTION("""COMPUTED_VALUE"""),8.0)</f>
        <v>8</v>
      </c>
      <c r="BQ153" s="3">
        <f>IFERROR(__xludf.DUMMYFUNCTION("""COMPUTED_VALUE"""),9.0)</f>
        <v>9</v>
      </c>
      <c r="BR153" s="3">
        <f>IFERROR(__xludf.DUMMYFUNCTION("""COMPUTED_VALUE"""),15.0)</f>
        <v>15</v>
      </c>
      <c r="BS153" s="3">
        <f>IFERROR(__xludf.DUMMYFUNCTION("""COMPUTED_VALUE"""),18.0)</f>
        <v>18</v>
      </c>
      <c r="BT153" s="3">
        <f>IFERROR(__xludf.DUMMYFUNCTION("""COMPUTED_VALUE"""),21.0)</f>
        <v>21</v>
      </c>
      <c r="BU153" s="3">
        <f>IFERROR(__xludf.DUMMYFUNCTION("""COMPUTED_VALUE"""),22.0)</f>
        <v>22</v>
      </c>
      <c r="BV153" s="3">
        <f>IFERROR(__xludf.DUMMYFUNCTION("""COMPUTED_VALUE"""),23.0)</f>
        <v>23</v>
      </c>
      <c r="BW153" s="3">
        <f>IFERROR(__xludf.DUMMYFUNCTION("""COMPUTED_VALUE"""),29.0)</f>
        <v>29</v>
      </c>
      <c r="BX153" s="3">
        <f>IFERROR(__xludf.DUMMYFUNCTION("""COMPUTED_VALUE"""),30.0)</f>
        <v>30</v>
      </c>
      <c r="BY153" s="3">
        <f>IFERROR(__xludf.DUMMYFUNCTION("""COMPUTED_VALUE"""),31.0)</f>
        <v>31</v>
      </c>
      <c r="BZ153" s="3">
        <f>IFERROR(__xludf.DUMMYFUNCTION("""COMPUTED_VALUE"""),31.0)</f>
        <v>31</v>
      </c>
      <c r="CA153" s="3">
        <f>IFERROR(__xludf.DUMMYFUNCTION("""COMPUTED_VALUE"""),36.0)</f>
        <v>36</v>
      </c>
      <c r="CB153" s="3">
        <f>IFERROR(__xludf.DUMMYFUNCTION("""COMPUTED_VALUE"""),41.0)</f>
        <v>41</v>
      </c>
    </row>
    <row r="154">
      <c r="A154" s="3" t="str">
        <f>IFERROR(__xludf.DUMMYFUNCTION("""COMPUTED_VALUE"""),"")</f>
        <v/>
      </c>
      <c r="B154" s="3" t="str">
        <f>IFERROR(__xludf.DUMMYFUNCTION("""COMPUTED_VALUE"""),"Madagascar")</f>
        <v>Madagascar</v>
      </c>
      <c r="C154" s="3">
        <f>IFERROR(__xludf.DUMMYFUNCTION("""COMPUTED_VALUE"""),-18.7669)</f>
        <v>-18.7669</v>
      </c>
      <c r="D154" s="3">
        <f>IFERROR(__xludf.DUMMYFUNCTION("""COMPUTED_VALUE"""),46.8691)</f>
        <v>46.8691</v>
      </c>
      <c r="E154" s="3">
        <f>IFERROR(__xludf.DUMMYFUNCTION("""COMPUTED_VALUE"""),0.0)</f>
        <v>0</v>
      </c>
      <c r="F154" s="3">
        <f>IFERROR(__xludf.DUMMYFUNCTION("""COMPUTED_VALUE"""),0.0)</f>
        <v>0</v>
      </c>
      <c r="G154" s="3">
        <f>IFERROR(__xludf.DUMMYFUNCTION("""COMPUTED_VALUE"""),0.0)</f>
        <v>0</v>
      </c>
      <c r="H154" s="3">
        <f>IFERROR(__xludf.DUMMYFUNCTION("""COMPUTED_VALUE"""),0.0)</f>
        <v>0</v>
      </c>
      <c r="I154" s="3">
        <f>IFERROR(__xludf.DUMMYFUNCTION("""COMPUTED_VALUE"""),0.0)</f>
        <v>0</v>
      </c>
      <c r="J154" s="3">
        <f>IFERROR(__xludf.DUMMYFUNCTION("""COMPUTED_VALUE"""),0.0)</f>
        <v>0</v>
      </c>
      <c r="K154" s="3">
        <f>IFERROR(__xludf.DUMMYFUNCTION("""COMPUTED_VALUE"""),0.0)</f>
        <v>0</v>
      </c>
      <c r="L154" s="3">
        <f>IFERROR(__xludf.DUMMYFUNCTION("""COMPUTED_VALUE"""),0.0)</f>
        <v>0</v>
      </c>
      <c r="M154" s="3">
        <f>IFERROR(__xludf.DUMMYFUNCTION("""COMPUTED_VALUE"""),0.0)</f>
        <v>0</v>
      </c>
      <c r="N154" s="3">
        <f>IFERROR(__xludf.DUMMYFUNCTION("""COMPUTED_VALUE"""),0.0)</f>
        <v>0</v>
      </c>
      <c r="O154" s="3">
        <f>IFERROR(__xludf.DUMMYFUNCTION("""COMPUTED_VALUE"""),0.0)</f>
        <v>0</v>
      </c>
      <c r="P154" s="3">
        <f>IFERROR(__xludf.DUMMYFUNCTION("""COMPUTED_VALUE"""),0.0)</f>
        <v>0</v>
      </c>
      <c r="Q154" s="3">
        <f>IFERROR(__xludf.DUMMYFUNCTION("""COMPUTED_VALUE"""),0.0)</f>
        <v>0</v>
      </c>
      <c r="R154" s="3">
        <f>IFERROR(__xludf.DUMMYFUNCTION("""COMPUTED_VALUE"""),0.0)</f>
        <v>0</v>
      </c>
      <c r="S154" s="3">
        <f>IFERROR(__xludf.DUMMYFUNCTION("""COMPUTED_VALUE"""),0.0)</f>
        <v>0</v>
      </c>
      <c r="T154" s="3">
        <f>IFERROR(__xludf.DUMMYFUNCTION("""COMPUTED_VALUE"""),0.0)</f>
        <v>0</v>
      </c>
      <c r="U154" s="3">
        <f>IFERROR(__xludf.DUMMYFUNCTION("""COMPUTED_VALUE"""),0.0)</f>
        <v>0</v>
      </c>
      <c r="V154" s="3">
        <f>IFERROR(__xludf.DUMMYFUNCTION("""COMPUTED_VALUE"""),0.0)</f>
        <v>0</v>
      </c>
      <c r="W154" s="3">
        <f>IFERROR(__xludf.DUMMYFUNCTION("""COMPUTED_VALUE"""),0.0)</f>
        <v>0</v>
      </c>
      <c r="X154" s="3">
        <f>IFERROR(__xludf.DUMMYFUNCTION("""COMPUTED_VALUE"""),0.0)</f>
        <v>0</v>
      </c>
      <c r="Y154" s="3">
        <f>IFERROR(__xludf.DUMMYFUNCTION("""COMPUTED_VALUE"""),0.0)</f>
        <v>0</v>
      </c>
      <c r="Z154" s="3">
        <f>IFERROR(__xludf.DUMMYFUNCTION("""COMPUTED_VALUE"""),0.0)</f>
        <v>0</v>
      </c>
      <c r="AA154" s="3">
        <f>IFERROR(__xludf.DUMMYFUNCTION("""COMPUTED_VALUE"""),0.0)</f>
        <v>0</v>
      </c>
      <c r="AB154" s="3">
        <f>IFERROR(__xludf.DUMMYFUNCTION("""COMPUTED_VALUE"""),0.0)</f>
        <v>0</v>
      </c>
      <c r="AC154" s="3">
        <f>IFERROR(__xludf.DUMMYFUNCTION("""COMPUTED_VALUE"""),0.0)</f>
        <v>0</v>
      </c>
      <c r="AD154" s="3">
        <f>IFERROR(__xludf.DUMMYFUNCTION("""COMPUTED_VALUE"""),0.0)</f>
        <v>0</v>
      </c>
      <c r="AE154" s="3">
        <f>IFERROR(__xludf.DUMMYFUNCTION("""COMPUTED_VALUE"""),0.0)</f>
        <v>0</v>
      </c>
      <c r="AF154" s="3">
        <f>IFERROR(__xludf.DUMMYFUNCTION("""COMPUTED_VALUE"""),0.0)</f>
        <v>0</v>
      </c>
      <c r="AG154" s="3">
        <f>IFERROR(__xludf.DUMMYFUNCTION("""COMPUTED_VALUE"""),0.0)</f>
        <v>0</v>
      </c>
      <c r="AH154" s="3">
        <f>IFERROR(__xludf.DUMMYFUNCTION("""COMPUTED_VALUE"""),0.0)</f>
        <v>0</v>
      </c>
      <c r="AI154" s="3">
        <f>IFERROR(__xludf.DUMMYFUNCTION("""COMPUTED_VALUE"""),0.0)</f>
        <v>0</v>
      </c>
      <c r="AJ154" s="3">
        <f>IFERROR(__xludf.DUMMYFUNCTION("""COMPUTED_VALUE"""),0.0)</f>
        <v>0</v>
      </c>
      <c r="AK154" s="3">
        <f>IFERROR(__xludf.DUMMYFUNCTION("""COMPUTED_VALUE"""),0.0)</f>
        <v>0</v>
      </c>
      <c r="AL154" s="3">
        <f>IFERROR(__xludf.DUMMYFUNCTION("""COMPUTED_VALUE"""),0.0)</f>
        <v>0</v>
      </c>
      <c r="AM154" s="3">
        <f>IFERROR(__xludf.DUMMYFUNCTION("""COMPUTED_VALUE"""),0.0)</f>
        <v>0</v>
      </c>
      <c r="AN154" s="3">
        <f>IFERROR(__xludf.DUMMYFUNCTION("""COMPUTED_VALUE"""),0.0)</f>
        <v>0</v>
      </c>
      <c r="AO154" s="3">
        <f>IFERROR(__xludf.DUMMYFUNCTION("""COMPUTED_VALUE"""),0.0)</f>
        <v>0</v>
      </c>
      <c r="AP154" s="3">
        <f>IFERROR(__xludf.DUMMYFUNCTION("""COMPUTED_VALUE"""),0.0)</f>
        <v>0</v>
      </c>
      <c r="AQ154" s="3">
        <f>IFERROR(__xludf.DUMMYFUNCTION("""COMPUTED_VALUE"""),0.0)</f>
        <v>0</v>
      </c>
      <c r="AR154" s="3">
        <f>IFERROR(__xludf.DUMMYFUNCTION("""COMPUTED_VALUE"""),0.0)</f>
        <v>0</v>
      </c>
      <c r="AS154" s="3">
        <f>IFERROR(__xludf.DUMMYFUNCTION("""COMPUTED_VALUE"""),0.0)</f>
        <v>0</v>
      </c>
      <c r="AT154" s="3">
        <f>IFERROR(__xludf.DUMMYFUNCTION("""COMPUTED_VALUE"""),0.0)</f>
        <v>0</v>
      </c>
      <c r="AU154" s="3">
        <f>IFERROR(__xludf.DUMMYFUNCTION("""COMPUTED_VALUE"""),0.0)</f>
        <v>0</v>
      </c>
      <c r="AV154" s="3">
        <f>IFERROR(__xludf.DUMMYFUNCTION("""COMPUTED_VALUE"""),0.0)</f>
        <v>0</v>
      </c>
      <c r="AW154" s="3">
        <f>IFERROR(__xludf.DUMMYFUNCTION("""COMPUTED_VALUE"""),0.0)</f>
        <v>0</v>
      </c>
      <c r="AX154" s="3">
        <f>IFERROR(__xludf.DUMMYFUNCTION("""COMPUTED_VALUE"""),0.0)</f>
        <v>0</v>
      </c>
      <c r="AY154" s="3">
        <f>IFERROR(__xludf.DUMMYFUNCTION("""COMPUTED_VALUE"""),0.0)</f>
        <v>0</v>
      </c>
      <c r="AZ154" s="3">
        <f>IFERROR(__xludf.DUMMYFUNCTION("""COMPUTED_VALUE"""),0.0)</f>
        <v>0</v>
      </c>
      <c r="BA154" s="3">
        <f>IFERROR(__xludf.DUMMYFUNCTION("""COMPUTED_VALUE"""),0.0)</f>
        <v>0</v>
      </c>
      <c r="BB154" s="3">
        <f>IFERROR(__xludf.DUMMYFUNCTION("""COMPUTED_VALUE"""),0.0)</f>
        <v>0</v>
      </c>
      <c r="BC154" s="3">
        <f>IFERROR(__xludf.DUMMYFUNCTION("""COMPUTED_VALUE"""),0.0)</f>
        <v>0</v>
      </c>
      <c r="BD154" s="3">
        <f>IFERROR(__xludf.DUMMYFUNCTION("""COMPUTED_VALUE"""),0.0)</f>
        <v>0</v>
      </c>
      <c r="BE154" s="3">
        <f>IFERROR(__xludf.DUMMYFUNCTION("""COMPUTED_VALUE"""),0.0)</f>
        <v>0</v>
      </c>
      <c r="BF154" s="3">
        <f>IFERROR(__xludf.DUMMYFUNCTION("""COMPUTED_VALUE"""),0.0)</f>
        <v>0</v>
      </c>
      <c r="BG154" s="3">
        <f>IFERROR(__xludf.DUMMYFUNCTION("""COMPUTED_VALUE"""),0.0)</f>
        <v>0</v>
      </c>
      <c r="BH154" s="3">
        <f>IFERROR(__xludf.DUMMYFUNCTION("""COMPUTED_VALUE"""),0.0)</f>
        <v>0</v>
      </c>
      <c r="BI154" s="3">
        <f>IFERROR(__xludf.DUMMYFUNCTION("""COMPUTED_VALUE"""),0.0)</f>
        <v>0</v>
      </c>
      <c r="BJ154" s="3">
        <f>IFERROR(__xludf.DUMMYFUNCTION("""COMPUTED_VALUE"""),0.0)</f>
        <v>0</v>
      </c>
      <c r="BK154" s="3">
        <f>IFERROR(__xludf.DUMMYFUNCTION("""COMPUTED_VALUE"""),0.0)</f>
        <v>0</v>
      </c>
      <c r="BL154" s="3">
        <f>IFERROR(__xludf.DUMMYFUNCTION("""COMPUTED_VALUE"""),0.0)</f>
        <v>0</v>
      </c>
      <c r="BM154" s="3">
        <f>IFERROR(__xludf.DUMMYFUNCTION("""COMPUTED_VALUE"""),0.0)</f>
        <v>0</v>
      </c>
      <c r="BN154" s="3">
        <f>IFERROR(__xludf.DUMMYFUNCTION("""COMPUTED_VALUE"""),0.0)</f>
        <v>0</v>
      </c>
      <c r="BO154" s="3">
        <f>IFERROR(__xludf.DUMMYFUNCTION("""COMPUTED_VALUE"""),0.0)</f>
        <v>0</v>
      </c>
      <c r="BP154" s="3">
        <f>IFERROR(__xludf.DUMMYFUNCTION("""COMPUTED_VALUE"""),0.0)</f>
        <v>0</v>
      </c>
      <c r="BQ154" s="3">
        <f>IFERROR(__xludf.DUMMYFUNCTION("""COMPUTED_VALUE"""),0.0)</f>
        <v>0</v>
      </c>
      <c r="BR154" s="3">
        <f>IFERROR(__xludf.DUMMYFUNCTION("""COMPUTED_VALUE"""),0.0)</f>
        <v>0</v>
      </c>
      <c r="BS154" s="3">
        <f>IFERROR(__xludf.DUMMYFUNCTION("""COMPUTED_VALUE"""),0.0)</f>
        <v>0</v>
      </c>
      <c r="BT154" s="3">
        <f>IFERROR(__xludf.DUMMYFUNCTION("""COMPUTED_VALUE"""),0.0)</f>
        <v>0</v>
      </c>
      <c r="BU154" s="3">
        <f>IFERROR(__xludf.DUMMYFUNCTION("""COMPUTED_VALUE"""),0.0)</f>
        <v>0</v>
      </c>
      <c r="BV154" s="3">
        <f>IFERROR(__xludf.DUMMYFUNCTION("""COMPUTED_VALUE"""),0.0)</f>
        <v>0</v>
      </c>
      <c r="BW154" s="3">
        <f>IFERROR(__xludf.DUMMYFUNCTION("""COMPUTED_VALUE"""),0.0)</f>
        <v>0</v>
      </c>
      <c r="BX154" s="3">
        <f>IFERROR(__xludf.DUMMYFUNCTION("""COMPUTED_VALUE"""),0.0)</f>
        <v>0</v>
      </c>
      <c r="BY154" s="3">
        <f>IFERROR(__xludf.DUMMYFUNCTION("""COMPUTED_VALUE"""),0.0)</f>
        <v>0</v>
      </c>
      <c r="BZ154" s="3">
        <f>IFERROR(__xludf.DUMMYFUNCTION("""COMPUTED_VALUE"""),0.0)</f>
        <v>0</v>
      </c>
      <c r="CA154" s="3">
        <f>IFERROR(__xludf.DUMMYFUNCTION("""COMPUTED_VALUE"""),0.0)</f>
        <v>0</v>
      </c>
      <c r="CB154" s="3">
        <f>IFERROR(__xludf.DUMMYFUNCTION("""COMPUTED_VALUE"""),0.0)</f>
        <v>0</v>
      </c>
    </row>
    <row r="155">
      <c r="A155" s="3" t="str">
        <f>IFERROR(__xludf.DUMMYFUNCTION("""COMPUTED_VALUE"""),"")</f>
        <v/>
      </c>
      <c r="B155" s="3" t="str">
        <f>IFERROR(__xludf.DUMMYFUNCTION("""COMPUTED_VALUE"""),"Malaysia")</f>
        <v>Malaysia</v>
      </c>
      <c r="C155" s="3">
        <f>IFERROR(__xludf.DUMMYFUNCTION("""COMPUTED_VALUE"""),2.5)</f>
        <v>2.5</v>
      </c>
      <c r="D155" s="3">
        <f>IFERROR(__xludf.DUMMYFUNCTION("""COMPUTED_VALUE"""),112.5)</f>
        <v>112.5</v>
      </c>
      <c r="E155" s="3">
        <f>IFERROR(__xludf.DUMMYFUNCTION("""COMPUTED_VALUE"""),0.0)</f>
        <v>0</v>
      </c>
      <c r="F155" s="3">
        <f>IFERROR(__xludf.DUMMYFUNCTION("""COMPUTED_VALUE"""),0.0)</f>
        <v>0</v>
      </c>
      <c r="G155" s="3">
        <f>IFERROR(__xludf.DUMMYFUNCTION("""COMPUTED_VALUE"""),0.0)</f>
        <v>0</v>
      </c>
      <c r="H155" s="3">
        <f>IFERROR(__xludf.DUMMYFUNCTION("""COMPUTED_VALUE"""),0.0)</f>
        <v>0</v>
      </c>
      <c r="I155" s="3">
        <f>IFERROR(__xludf.DUMMYFUNCTION("""COMPUTED_VALUE"""),0.0)</f>
        <v>0</v>
      </c>
      <c r="J155" s="3">
        <f>IFERROR(__xludf.DUMMYFUNCTION("""COMPUTED_VALUE"""),0.0)</f>
        <v>0</v>
      </c>
      <c r="K155" s="3">
        <f>IFERROR(__xludf.DUMMYFUNCTION("""COMPUTED_VALUE"""),0.0)</f>
        <v>0</v>
      </c>
      <c r="L155" s="3">
        <f>IFERROR(__xludf.DUMMYFUNCTION("""COMPUTED_VALUE"""),0.0)</f>
        <v>0</v>
      </c>
      <c r="M155" s="3">
        <f>IFERROR(__xludf.DUMMYFUNCTION("""COMPUTED_VALUE"""),0.0)</f>
        <v>0</v>
      </c>
      <c r="N155" s="3">
        <f>IFERROR(__xludf.DUMMYFUNCTION("""COMPUTED_VALUE"""),0.0)</f>
        <v>0</v>
      </c>
      <c r="O155" s="3">
        <f>IFERROR(__xludf.DUMMYFUNCTION("""COMPUTED_VALUE"""),0.0)</f>
        <v>0</v>
      </c>
      <c r="P155" s="3">
        <f>IFERROR(__xludf.DUMMYFUNCTION("""COMPUTED_VALUE"""),0.0)</f>
        <v>0</v>
      </c>
      <c r="Q155" s="3">
        <f>IFERROR(__xludf.DUMMYFUNCTION("""COMPUTED_VALUE"""),0.0)</f>
        <v>0</v>
      </c>
      <c r="R155" s="3">
        <f>IFERROR(__xludf.DUMMYFUNCTION("""COMPUTED_VALUE"""),0.0)</f>
        <v>0</v>
      </c>
      <c r="S155" s="3">
        <f>IFERROR(__xludf.DUMMYFUNCTION("""COMPUTED_VALUE"""),0.0)</f>
        <v>0</v>
      </c>
      <c r="T155" s="3">
        <f>IFERROR(__xludf.DUMMYFUNCTION("""COMPUTED_VALUE"""),0.0)</f>
        <v>0</v>
      </c>
      <c r="U155" s="3">
        <f>IFERROR(__xludf.DUMMYFUNCTION("""COMPUTED_VALUE"""),0.0)</f>
        <v>0</v>
      </c>
      <c r="V155" s="3">
        <f>IFERROR(__xludf.DUMMYFUNCTION("""COMPUTED_VALUE"""),0.0)</f>
        <v>0</v>
      </c>
      <c r="W155" s="3">
        <f>IFERROR(__xludf.DUMMYFUNCTION("""COMPUTED_VALUE"""),0.0)</f>
        <v>0</v>
      </c>
      <c r="X155" s="3">
        <f>IFERROR(__xludf.DUMMYFUNCTION("""COMPUTED_VALUE"""),0.0)</f>
        <v>0</v>
      </c>
      <c r="Y155" s="3">
        <f>IFERROR(__xludf.DUMMYFUNCTION("""COMPUTED_VALUE"""),0.0)</f>
        <v>0</v>
      </c>
      <c r="Z155" s="3">
        <f>IFERROR(__xludf.DUMMYFUNCTION("""COMPUTED_VALUE"""),0.0)</f>
        <v>0</v>
      </c>
      <c r="AA155" s="3">
        <f>IFERROR(__xludf.DUMMYFUNCTION("""COMPUTED_VALUE"""),0.0)</f>
        <v>0</v>
      </c>
      <c r="AB155" s="3">
        <f>IFERROR(__xludf.DUMMYFUNCTION("""COMPUTED_VALUE"""),0.0)</f>
        <v>0</v>
      </c>
      <c r="AC155" s="3">
        <f>IFERROR(__xludf.DUMMYFUNCTION("""COMPUTED_VALUE"""),0.0)</f>
        <v>0</v>
      </c>
      <c r="AD155" s="3">
        <f>IFERROR(__xludf.DUMMYFUNCTION("""COMPUTED_VALUE"""),0.0)</f>
        <v>0</v>
      </c>
      <c r="AE155" s="3">
        <f>IFERROR(__xludf.DUMMYFUNCTION("""COMPUTED_VALUE"""),0.0)</f>
        <v>0</v>
      </c>
      <c r="AF155" s="3">
        <f>IFERROR(__xludf.DUMMYFUNCTION("""COMPUTED_VALUE"""),0.0)</f>
        <v>0</v>
      </c>
      <c r="AG155" s="3">
        <f>IFERROR(__xludf.DUMMYFUNCTION("""COMPUTED_VALUE"""),0.0)</f>
        <v>0</v>
      </c>
      <c r="AH155" s="3">
        <f>IFERROR(__xludf.DUMMYFUNCTION("""COMPUTED_VALUE"""),0.0)</f>
        <v>0</v>
      </c>
      <c r="AI155" s="3">
        <f>IFERROR(__xludf.DUMMYFUNCTION("""COMPUTED_VALUE"""),0.0)</f>
        <v>0</v>
      </c>
      <c r="AJ155" s="3">
        <f>IFERROR(__xludf.DUMMYFUNCTION("""COMPUTED_VALUE"""),0.0)</f>
        <v>0</v>
      </c>
      <c r="AK155" s="3">
        <f>IFERROR(__xludf.DUMMYFUNCTION("""COMPUTED_VALUE"""),0.0)</f>
        <v>0</v>
      </c>
      <c r="AL155" s="3">
        <f>IFERROR(__xludf.DUMMYFUNCTION("""COMPUTED_VALUE"""),0.0)</f>
        <v>0</v>
      </c>
      <c r="AM155" s="3">
        <f>IFERROR(__xludf.DUMMYFUNCTION("""COMPUTED_VALUE"""),0.0)</f>
        <v>0</v>
      </c>
      <c r="AN155" s="3">
        <f>IFERROR(__xludf.DUMMYFUNCTION("""COMPUTED_VALUE"""),0.0)</f>
        <v>0</v>
      </c>
      <c r="AO155" s="3">
        <f>IFERROR(__xludf.DUMMYFUNCTION("""COMPUTED_VALUE"""),0.0)</f>
        <v>0</v>
      </c>
      <c r="AP155" s="3">
        <f>IFERROR(__xludf.DUMMYFUNCTION("""COMPUTED_VALUE"""),0.0)</f>
        <v>0</v>
      </c>
      <c r="AQ155" s="3">
        <f>IFERROR(__xludf.DUMMYFUNCTION("""COMPUTED_VALUE"""),0.0)</f>
        <v>0</v>
      </c>
      <c r="AR155" s="3">
        <f>IFERROR(__xludf.DUMMYFUNCTION("""COMPUTED_VALUE"""),0.0)</f>
        <v>0</v>
      </c>
      <c r="AS155" s="3">
        <f>IFERROR(__xludf.DUMMYFUNCTION("""COMPUTED_VALUE"""),0.0)</f>
        <v>0</v>
      </c>
      <c r="AT155" s="3">
        <f>IFERROR(__xludf.DUMMYFUNCTION("""COMPUTED_VALUE"""),0.0)</f>
        <v>0</v>
      </c>
      <c r="AU155" s="3">
        <f>IFERROR(__xludf.DUMMYFUNCTION("""COMPUTED_VALUE"""),0.0)</f>
        <v>0</v>
      </c>
      <c r="AV155" s="3">
        <f>IFERROR(__xludf.DUMMYFUNCTION("""COMPUTED_VALUE"""),0.0)</f>
        <v>0</v>
      </c>
      <c r="AW155" s="3">
        <f>IFERROR(__xludf.DUMMYFUNCTION("""COMPUTED_VALUE"""),0.0)</f>
        <v>0</v>
      </c>
      <c r="AX155" s="3">
        <f>IFERROR(__xludf.DUMMYFUNCTION("""COMPUTED_VALUE"""),0.0)</f>
        <v>0</v>
      </c>
      <c r="AY155" s="3">
        <f>IFERROR(__xludf.DUMMYFUNCTION("""COMPUTED_VALUE"""),0.0)</f>
        <v>0</v>
      </c>
      <c r="AZ155" s="3">
        <f>IFERROR(__xludf.DUMMYFUNCTION("""COMPUTED_VALUE"""),0.0)</f>
        <v>0</v>
      </c>
      <c r="BA155" s="3">
        <f>IFERROR(__xludf.DUMMYFUNCTION("""COMPUTED_VALUE"""),0.0)</f>
        <v>0</v>
      </c>
      <c r="BB155" s="3">
        <f>IFERROR(__xludf.DUMMYFUNCTION("""COMPUTED_VALUE"""),0.0)</f>
        <v>0</v>
      </c>
      <c r="BC155" s="3">
        <f>IFERROR(__xludf.DUMMYFUNCTION("""COMPUTED_VALUE"""),0.0)</f>
        <v>0</v>
      </c>
      <c r="BD155" s="3">
        <f>IFERROR(__xludf.DUMMYFUNCTION("""COMPUTED_VALUE"""),0.0)</f>
        <v>0</v>
      </c>
      <c r="BE155" s="3">
        <f>IFERROR(__xludf.DUMMYFUNCTION("""COMPUTED_VALUE"""),0.0)</f>
        <v>0</v>
      </c>
      <c r="BF155" s="3">
        <f>IFERROR(__xludf.DUMMYFUNCTION("""COMPUTED_VALUE"""),0.0)</f>
        <v>0</v>
      </c>
      <c r="BG155" s="3">
        <f>IFERROR(__xludf.DUMMYFUNCTION("""COMPUTED_VALUE"""),0.0)</f>
        <v>0</v>
      </c>
      <c r="BH155" s="3">
        <f>IFERROR(__xludf.DUMMYFUNCTION("""COMPUTED_VALUE"""),2.0)</f>
        <v>2</v>
      </c>
      <c r="BI155" s="3">
        <f>IFERROR(__xludf.DUMMYFUNCTION("""COMPUTED_VALUE"""),2.0)</f>
        <v>2</v>
      </c>
      <c r="BJ155" s="3">
        <f>IFERROR(__xludf.DUMMYFUNCTION("""COMPUTED_VALUE"""),2.0)</f>
        <v>2</v>
      </c>
      <c r="BK155" s="3">
        <f>IFERROR(__xludf.DUMMYFUNCTION("""COMPUTED_VALUE"""),3.0)</f>
        <v>3</v>
      </c>
      <c r="BL155" s="3">
        <f>IFERROR(__xludf.DUMMYFUNCTION("""COMPUTED_VALUE"""),4.0)</f>
        <v>4</v>
      </c>
      <c r="BM155" s="3">
        <f>IFERROR(__xludf.DUMMYFUNCTION("""COMPUTED_VALUE"""),10.0)</f>
        <v>10</v>
      </c>
      <c r="BN155" s="3">
        <f>IFERROR(__xludf.DUMMYFUNCTION("""COMPUTED_VALUE"""),14.0)</f>
        <v>14</v>
      </c>
      <c r="BO155" s="3">
        <f>IFERROR(__xludf.DUMMYFUNCTION("""COMPUTED_VALUE"""),16.0)</f>
        <v>16</v>
      </c>
      <c r="BP155" s="3">
        <f>IFERROR(__xludf.DUMMYFUNCTION("""COMPUTED_VALUE"""),20.0)</f>
        <v>20</v>
      </c>
      <c r="BQ155" s="3">
        <f>IFERROR(__xludf.DUMMYFUNCTION("""COMPUTED_VALUE"""),23.0)</f>
        <v>23</v>
      </c>
      <c r="BR155" s="3">
        <f>IFERROR(__xludf.DUMMYFUNCTION("""COMPUTED_VALUE"""),26.0)</f>
        <v>26</v>
      </c>
      <c r="BS155" s="3">
        <f>IFERROR(__xludf.DUMMYFUNCTION("""COMPUTED_VALUE"""),27.0)</f>
        <v>27</v>
      </c>
      <c r="BT155" s="3">
        <f>IFERROR(__xludf.DUMMYFUNCTION("""COMPUTED_VALUE"""),35.0)</f>
        <v>35</v>
      </c>
      <c r="BU155" s="3">
        <f>IFERROR(__xludf.DUMMYFUNCTION("""COMPUTED_VALUE"""),37.0)</f>
        <v>37</v>
      </c>
      <c r="BV155" s="3">
        <f>IFERROR(__xludf.DUMMYFUNCTION("""COMPUTED_VALUE"""),43.0)</f>
        <v>43</v>
      </c>
      <c r="BW155" s="3">
        <f>IFERROR(__xludf.DUMMYFUNCTION("""COMPUTED_VALUE"""),45.0)</f>
        <v>45</v>
      </c>
      <c r="BX155" s="3">
        <f>IFERROR(__xludf.DUMMYFUNCTION("""COMPUTED_VALUE"""),50.0)</f>
        <v>50</v>
      </c>
      <c r="BY155" s="3">
        <f>IFERROR(__xludf.DUMMYFUNCTION("""COMPUTED_VALUE"""),53.0)</f>
        <v>53</v>
      </c>
      <c r="BZ155" s="3">
        <f>IFERROR(__xludf.DUMMYFUNCTION("""COMPUTED_VALUE"""),57.0)</f>
        <v>57</v>
      </c>
      <c r="CA155" s="3">
        <f>IFERROR(__xludf.DUMMYFUNCTION("""COMPUTED_VALUE"""),61.0)</f>
        <v>61</v>
      </c>
      <c r="CB155" s="3">
        <f>IFERROR(__xludf.DUMMYFUNCTION("""COMPUTED_VALUE"""),62.0)</f>
        <v>62</v>
      </c>
    </row>
    <row r="156">
      <c r="A156" s="3" t="str">
        <f>IFERROR(__xludf.DUMMYFUNCTION("""COMPUTED_VALUE"""),"")</f>
        <v/>
      </c>
      <c r="B156" s="3" t="str">
        <f>IFERROR(__xludf.DUMMYFUNCTION("""COMPUTED_VALUE"""),"Maldives")</f>
        <v>Maldives</v>
      </c>
      <c r="C156" s="3">
        <f>IFERROR(__xludf.DUMMYFUNCTION("""COMPUTED_VALUE"""),3.2028)</f>
        <v>3.2028</v>
      </c>
      <c r="D156" s="3">
        <f>IFERROR(__xludf.DUMMYFUNCTION("""COMPUTED_VALUE"""),73.2207)</f>
        <v>73.2207</v>
      </c>
      <c r="E156" s="3">
        <f>IFERROR(__xludf.DUMMYFUNCTION("""COMPUTED_VALUE"""),0.0)</f>
        <v>0</v>
      </c>
      <c r="F156" s="3">
        <f>IFERROR(__xludf.DUMMYFUNCTION("""COMPUTED_VALUE"""),0.0)</f>
        <v>0</v>
      </c>
      <c r="G156" s="3">
        <f>IFERROR(__xludf.DUMMYFUNCTION("""COMPUTED_VALUE"""),0.0)</f>
        <v>0</v>
      </c>
      <c r="H156" s="3">
        <f>IFERROR(__xludf.DUMMYFUNCTION("""COMPUTED_VALUE"""),0.0)</f>
        <v>0</v>
      </c>
      <c r="I156" s="3">
        <f>IFERROR(__xludf.DUMMYFUNCTION("""COMPUTED_VALUE"""),0.0)</f>
        <v>0</v>
      </c>
      <c r="J156" s="3">
        <f>IFERROR(__xludf.DUMMYFUNCTION("""COMPUTED_VALUE"""),0.0)</f>
        <v>0</v>
      </c>
      <c r="K156" s="3">
        <f>IFERROR(__xludf.DUMMYFUNCTION("""COMPUTED_VALUE"""),0.0)</f>
        <v>0</v>
      </c>
      <c r="L156" s="3">
        <f>IFERROR(__xludf.DUMMYFUNCTION("""COMPUTED_VALUE"""),0.0)</f>
        <v>0</v>
      </c>
      <c r="M156" s="3">
        <f>IFERROR(__xludf.DUMMYFUNCTION("""COMPUTED_VALUE"""),0.0)</f>
        <v>0</v>
      </c>
      <c r="N156" s="3">
        <f>IFERROR(__xludf.DUMMYFUNCTION("""COMPUTED_VALUE"""),0.0)</f>
        <v>0</v>
      </c>
      <c r="O156" s="3">
        <f>IFERROR(__xludf.DUMMYFUNCTION("""COMPUTED_VALUE"""),0.0)</f>
        <v>0</v>
      </c>
      <c r="P156" s="3">
        <f>IFERROR(__xludf.DUMMYFUNCTION("""COMPUTED_VALUE"""),0.0)</f>
        <v>0</v>
      </c>
      <c r="Q156" s="3">
        <f>IFERROR(__xludf.DUMMYFUNCTION("""COMPUTED_VALUE"""),0.0)</f>
        <v>0</v>
      </c>
      <c r="R156" s="3">
        <f>IFERROR(__xludf.DUMMYFUNCTION("""COMPUTED_VALUE"""),0.0)</f>
        <v>0</v>
      </c>
      <c r="S156" s="3">
        <f>IFERROR(__xludf.DUMMYFUNCTION("""COMPUTED_VALUE"""),0.0)</f>
        <v>0</v>
      </c>
      <c r="T156" s="3">
        <f>IFERROR(__xludf.DUMMYFUNCTION("""COMPUTED_VALUE"""),0.0)</f>
        <v>0</v>
      </c>
      <c r="U156" s="3">
        <f>IFERROR(__xludf.DUMMYFUNCTION("""COMPUTED_VALUE"""),0.0)</f>
        <v>0</v>
      </c>
      <c r="V156" s="3">
        <f>IFERROR(__xludf.DUMMYFUNCTION("""COMPUTED_VALUE"""),0.0)</f>
        <v>0</v>
      </c>
      <c r="W156" s="3">
        <f>IFERROR(__xludf.DUMMYFUNCTION("""COMPUTED_VALUE"""),0.0)</f>
        <v>0</v>
      </c>
      <c r="X156" s="3">
        <f>IFERROR(__xludf.DUMMYFUNCTION("""COMPUTED_VALUE"""),0.0)</f>
        <v>0</v>
      </c>
      <c r="Y156" s="3">
        <f>IFERROR(__xludf.DUMMYFUNCTION("""COMPUTED_VALUE"""),0.0)</f>
        <v>0</v>
      </c>
      <c r="Z156" s="3">
        <f>IFERROR(__xludf.DUMMYFUNCTION("""COMPUTED_VALUE"""),0.0)</f>
        <v>0</v>
      </c>
      <c r="AA156" s="3">
        <f>IFERROR(__xludf.DUMMYFUNCTION("""COMPUTED_VALUE"""),0.0)</f>
        <v>0</v>
      </c>
      <c r="AB156" s="3">
        <f>IFERROR(__xludf.DUMMYFUNCTION("""COMPUTED_VALUE"""),0.0)</f>
        <v>0</v>
      </c>
      <c r="AC156" s="3">
        <f>IFERROR(__xludf.DUMMYFUNCTION("""COMPUTED_VALUE"""),0.0)</f>
        <v>0</v>
      </c>
      <c r="AD156" s="3">
        <f>IFERROR(__xludf.DUMMYFUNCTION("""COMPUTED_VALUE"""),0.0)</f>
        <v>0</v>
      </c>
      <c r="AE156" s="3">
        <f>IFERROR(__xludf.DUMMYFUNCTION("""COMPUTED_VALUE"""),0.0)</f>
        <v>0</v>
      </c>
      <c r="AF156" s="3">
        <f>IFERROR(__xludf.DUMMYFUNCTION("""COMPUTED_VALUE"""),0.0)</f>
        <v>0</v>
      </c>
      <c r="AG156" s="3">
        <f>IFERROR(__xludf.DUMMYFUNCTION("""COMPUTED_VALUE"""),0.0)</f>
        <v>0</v>
      </c>
      <c r="AH156" s="3">
        <f>IFERROR(__xludf.DUMMYFUNCTION("""COMPUTED_VALUE"""),0.0)</f>
        <v>0</v>
      </c>
      <c r="AI156" s="3">
        <f>IFERROR(__xludf.DUMMYFUNCTION("""COMPUTED_VALUE"""),0.0)</f>
        <v>0</v>
      </c>
      <c r="AJ156" s="3">
        <f>IFERROR(__xludf.DUMMYFUNCTION("""COMPUTED_VALUE"""),0.0)</f>
        <v>0</v>
      </c>
      <c r="AK156" s="3">
        <f>IFERROR(__xludf.DUMMYFUNCTION("""COMPUTED_VALUE"""),0.0)</f>
        <v>0</v>
      </c>
      <c r="AL156" s="3">
        <f>IFERROR(__xludf.DUMMYFUNCTION("""COMPUTED_VALUE"""),0.0)</f>
        <v>0</v>
      </c>
      <c r="AM156" s="3">
        <f>IFERROR(__xludf.DUMMYFUNCTION("""COMPUTED_VALUE"""),0.0)</f>
        <v>0</v>
      </c>
      <c r="AN156" s="3">
        <f>IFERROR(__xludf.DUMMYFUNCTION("""COMPUTED_VALUE"""),0.0)</f>
        <v>0</v>
      </c>
      <c r="AO156" s="3">
        <f>IFERROR(__xludf.DUMMYFUNCTION("""COMPUTED_VALUE"""),0.0)</f>
        <v>0</v>
      </c>
      <c r="AP156" s="3">
        <f>IFERROR(__xludf.DUMMYFUNCTION("""COMPUTED_VALUE"""),0.0)</f>
        <v>0</v>
      </c>
      <c r="AQ156" s="3">
        <f>IFERROR(__xludf.DUMMYFUNCTION("""COMPUTED_VALUE"""),0.0)</f>
        <v>0</v>
      </c>
      <c r="AR156" s="3">
        <f>IFERROR(__xludf.DUMMYFUNCTION("""COMPUTED_VALUE"""),0.0)</f>
        <v>0</v>
      </c>
      <c r="AS156" s="3">
        <f>IFERROR(__xludf.DUMMYFUNCTION("""COMPUTED_VALUE"""),0.0)</f>
        <v>0</v>
      </c>
      <c r="AT156" s="3">
        <f>IFERROR(__xludf.DUMMYFUNCTION("""COMPUTED_VALUE"""),0.0)</f>
        <v>0</v>
      </c>
      <c r="AU156" s="3">
        <f>IFERROR(__xludf.DUMMYFUNCTION("""COMPUTED_VALUE"""),0.0)</f>
        <v>0</v>
      </c>
      <c r="AV156" s="3">
        <f>IFERROR(__xludf.DUMMYFUNCTION("""COMPUTED_VALUE"""),0.0)</f>
        <v>0</v>
      </c>
      <c r="AW156" s="3">
        <f>IFERROR(__xludf.DUMMYFUNCTION("""COMPUTED_VALUE"""),0.0)</f>
        <v>0</v>
      </c>
      <c r="AX156" s="3">
        <f>IFERROR(__xludf.DUMMYFUNCTION("""COMPUTED_VALUE"""),0.0)</f>
        <v>0</v>
      </c>
      <c r="AY156" s="3">
        <f>IFERROR(__xludf.DUMMYFUNCTION("""COMPUTED_VALUE"""),0.0)</f>
        <v>0</v>
      </c>
      <c r="AZ156" s="3">
        <f>IFERROR(__xludf.DUMMYFUNCTION("""COMPUTED_VALUE"""),0.0)</f>
        <v>0</v>
      </c>
      <c r="BA156" s="3">
        <f>IFERROR(__xludf.DUMMYFUNCTION("""COMPUTED_VALUE"""),0.0)</f>
        <v>0</v>
      </c>
      <c r="BB156" s="3">
        <f>IFERROR(__xludf.DUMMYFUNCTION("""COMPUTED_VALUE"""),0.0)</f>
        <v>0</v>
      </c>
      <c r="BC156" s="3">
        <f>IFERROR(__xludf.DUMMYFUNCTION("""COMPUTED_VALUE"""),0.0)</f>
        <v>0</v>
      </c>
      <c r="BD156" s="3">
        <f>IFERROR(__xludf.DUMMYFUNCTION("""COMPUTED_VALUE"""),0.0)</f>
        <v>0</v>
      </c>
      <c r="BE156" s="3">
        <f>IFERROR(__xludf.DUMMYFUNCTION("""COMPUTED_VALUE"""),0.0)</f>
        <v>0</v>
      </c>
      <c r="BF156" s="3">
        <f>IFERROR(__xludf.DUMMYFUNCTION("""COMPUTED_VALUE"""),0.0)</f>
        <v>0</v>
      </c>
      <c r="BG156" s="3">
        <f>IFERROR(__xludf.DUMMYFUNCTION("""COMPUTED_VALUE"""),0.0)</f>
        <v>0</v>
      </c>
      <c r="BH156" s="3">
        <f>IFERROR(__xludf.DUMMYFUNCTION("""COMPUTED_VALUE"""),0.0)</f>
        <v>0</v>
      </c>
      <c r="BI156" s="3">
        <f>IFERROR(__xludf.DUMMYFUNCTION("""COMPUTED_VALUE"""),0.0)</f>
        <v>0</v>
      </c>
      <c r="BJ156" s="3">
        <f>IFERROR(__xludf.DUMMYFUNCTION("""COMPUTED_VALUE"""),0.0)</f>
        <v>0</v>
      </c>
      <c r="BK156" s="3">
        <f>IFERROR(__xludf.DUMMYFUNCTION("""COMPUTED_VALUE"""),0.0)</f>
        <v>0</v>
      </c>
      <c r="BL156" s="3">
        <f>IFERROR(__xludf.DUMMYFUNCTION("""COMPUTED_VALUE"""),0.0)</f>
        <v>0</v>
      </c>
      <c r="BM156" s="3">
        <f>IFERROR(__xludf.DUMMYFUNCTION("""COMPUTED_VALUE"""),0.0)</f>
        <v>0</v>
      </c>
      <c r="BN156" s="3">
        <f>IFERROR(__xludf.DUMMYFUNCTION("""COMPUTED_VALUE"""),0.0)</f>
        <v>0</v>
      </c>
      <c r="BO156" s="3">
        <f>IFERROR(__xludf.DUMMYFUNCTION("""COMPUTED_VALUE"""),0.0)</f>
        <v>0</v>
      </c>
      <c r="BP156" s="3">
        <f>IFERROR(__xludf.DUMMYFUNCTION("""COMPUTED_VALUE"""),0.0)</f>
        <v>0</v>
      </c>
      <c r="BQ156" s="3">
        <f>IFERROR(__xludf.DUMMYFUNCTION("""COMPUTED_VALUE"""),0.0)</f>
        <v>0</v>
      </c>
      <c r="BR156" s="3">
        <f>IFERROR(__xludf.DUMMYFUNCTION("""COMPUTED_VALUE"""),0.0)</f>
        <v>0</v>
      </c>
      <c r="BS156" s="3">
        <f>IFERROR(__xludf.DUMMYFUNCTION("""COMPUTED_VALUE"""),0.0)</f>
        <v>0</v>
      </c>
      <c r="BT156" s="3">
        <f>IFERROR(__xludf.DUMMYFUNCTION("""COMPUTED_VALUE"""),0.0)</f>
        <v>0</v>
      </c>
      <c r="BU156" s="3">
        <f>IFERROR(__xludf.DUMMYFUNCTION("""COMPUTED_VALUE"""),0.0)</f>
        <v>0</v>
      </c>
      <c r="BV156" s="3">
        <f>IFERROR(__xludf.DUMMYFUNCTION("""COMPUTED_VALUE"""),0.0)</f>
        <v>0</v>
      </c>
      <c r="BW156" s="3">
        <f>IFERROR(__xludf.DUMMYFUNCTION("""COMPUTED_VALUE"""),0.0)</f>
        <v>0</v>
      </c>
      <c r="BX156" s="3">
        <f>IFERROR(__xludf.DUMMYFUNCTION("""COMPUTED_VALUE"""),0.0)</f>
        <v>0</v>
      </c>
      <c r="BY156" s="3">
        <f>IFERROR(__xludf.DUMMYFUNCTION("""COMPUTED_VALUE"""),0.0)</f>
        <v>0</v>
      </c>
      <c r="BZ156" s="3">
        <f>IFERROR(__xludf.DUMMYFUNCTION("""COMPUTED_VALUE"""),0.0)</f>
        <v>0</v>
      </c>
      <c r="CA156" s="3">
        <f>IFERROR(__xludf.DUMMYFUNCTION("""COMPUTED_VALUE"""),0.0)</f>
        <v>0</v>
      </c>
      <c r="CB156" s="3">
        <f>IFERROR(__xludf.DUMMYFUNCTION("""COMPUTED_VALUE"""),0.0)</f>
        <v>0</v>
      </c>
    </row>
    <row r="157">
      <c r="A157" s="3" t="str">
        <f>IFERROR(__xludf.DUMMYFUNCTION("""COMPUTED_VALUE"""),"")</f>
        <v/>
      </c>
      <c r="B157" s="3" t="str">
        <f>IFERROR(__xludf.DUMMYFUNCTION("""COMPUTED_VALUE"""),"Malta")</f>
        <v>Malta</v>
      </c>
      <c r="C157" s="3">
        <f>IFERROR(__xludf.DUMMYFUNCTION("""COMPUTED_VALUE"""),35.9375)</f>
        <v>35.9375</v>
      </c>
      <c r="D157" s="3">
        <f>IFERROR(__xludf.DUMMYFUNCTION("""COMPUTED_VALUE"""),14.3754)</f>
        <v>14.3754</v>
      </c>
      <c r="E157" s="3">
        <f>IFERROR(__xludf.DUMMYFUNCTION("""COMPUTED_VALUE"""),0.0)</f>
        <v>0</v>
      </c>
      <c r="F157" s="3">
        <f>IFERROR(__xludf.DUMMYFUNCTION("""COMPUTED_VALUE"""),0.0)</f>
        <v>0</v>
      </c>
      <c r="G157" s="3">
        <f>IFERROR(__xludf.DUMMYFUNCTION("""COMPUTED_VALUE"""),0.0)</f>
        <v>0</v>
      </c>
      <c r="H157" s="3">
        <f>IFERROR(__xludf.DUMMYFUNCTION("""COMPUTED_VALUE"""),0.0)</f>
        <v>0</v>
      </c>
      <c r="I157" s="3">
        <f>IFERROR(__xludf.DUMMYFUNCTION("""COMPUTED_VALUE"""),0.0)</f>
        <v>0</v>
      </c>
      <c r="J157" s="3">
        <f>IFERROR(__xludf.DUMMYFUNCTION("""COMPUTED_VALUE"""),0.0)</f>
        <v>0</v>
      </c>
      <c r="K157" s="3">
        <f>IFERROR(__xludf.DUMMYFUNCTION("""COMPUTED_VALUE"""),0.0)</f>
        <v>0</v>
      </c>
      <c r="L157" s="3">
        <f>IFERROR(__xludf.DUMMYFUNCTION("""COMPUTED_VALUE"""),0.0)</f>
        <v>0</v>
      </c>
      <c r="M157" s="3">
        <f>IFERROR(__xludf.DUMMYFUNCTION("""COMPUTED_VALUE"""),0.0)</f>
        <v>0</v>
      </c>
      <c r="N157" s="3">
        <f>IFERROR(__xludf.DUMMYFUNCTION("""COMPUTED_VALUE"""),0.0)</f>
        <v>0</v>
      </c>
      <c r="O157" s="3">
        <f>IFERROR(__xludf.DUMMYFUNCTION("""COMPUTED_VALUE"""),0.0)</f>
        <v>0</v>
      </c>
      <c r="P157" s="3">
        <f>IFERROR(__xludf.DUMMYFUNCTION("""COMPUTED_VALUE"""),0.0)</f>
        <v>0</v>
      </c>
      <c r="Q157" s="3">
        <f>IFERROR(__xludf.DUMMYFUNCTION("""COMPUTED_VALUE"""),0.0)</f>
        <v>0</v>
      </c>
      <c r="R157" s="3">
        <f>IFERROR(__xludf.DUMMYFUNCTION("""COMPUTED_VALUE"""),0.0)</f>
        <v>0</v>
      </c>
      <c r="S157" s="3">
        <f>IFERROR(__xludf.DUMMYFUNCTION("""COMPUTED_VALUE"""),0.0)</f>
        <v>0</v>
      </c>
      <c r="T157" s="3">
        <f>IFERROR(__xludf.DUMMYFUNCTION("""COMPUTED_VALUE"""),0.0)</f>
        <v>0</v>
      </c>
      <c r="U157" s="3">
        <f>IFERROR(__xludf.DUMMYFUNCTION("""COMPUTED_VALUE"""),0.0)</f>
        <v>0</v>
      </c>
      <c r="V157" s="3">
        <f>IFERROR(__xludf.DUMMYFUNCTION("""COMPUTED_VALUE"""),0.0)</f>
        <v>0</v>
      </c>
      <c r="W157" s="3">
        <f>IFERROR(__xludf.DUMMYFUNCTION("""COMPUTED_VALUE"""),0.0)</f>
        <v>0</v>
      </c>
      <c r="X157" s="3">
        <f>IFERROR(__xludf.DUMMYFUNCTION("""COMPUTED_VALUE"""),0.0)</f>
        <v>0</v>
      </c>
      <c r="Y157" s="3">
        <f>IFERROR(__xludf.DUMMYFUNCTION("""COMPUTED_VALUE"""),0.0)</f>
        <v>0</v>
      </c>
      <c r="Z157" s="3">
        <f>IFERROR(__xludf.DUMMYFUNCTION("""COMPUTED_VALUE"""),0.0)</f>
        <v>0</v>
      </c>
      <c r="AA157" s="3">
        <f>IFERROR(__xludf.DUMMYFUNCTION("""COMPUTED_VALUE"""),0.0)</f>
        <v>0</v>
      </c>
      <c r="AB157" s="3">
        <f>IFERROR(__xludf.DUMMYFUNCTION("""COMPUTED_VALUE"""),0.0)</f>
        <v>0</v>
      </c>
      <c r="AC157" s="3">
        <f>IFERROR(__xludf.DUMMYFUNCTION("""COMPUTED_VALUE"""),0.0)</f>
        <v>0</v>
      </c>
      <c r="AD157" s="3">
        <f>IFERROR(__xludf.DUMMYFUNCTION("""COMPUTED_VALUE"""),0.0)</f>
        <v>0</v>
      </c>
      <c r="AE157" s="3">
        <f>IFERROR(__xludf.DUMMYFUNCTION("""COMPUTED_VALUE"""),0.0)</f>
        <v>0</v>
      </c>
      <c r="AF157" s="3">
        <f>IFERROR(__xludf.DUMMYFUNCTION("""COMPUTED_VALUE"""),0.0)</f>
        <v>0</v>
      </c>
      <c r="AG157" s="3">
        <f>IFERROR(__xludf.DUMMYFUNCTION("""COMPUTED_VALUE"""),0.0)</f>
        <v>0</v>
      </c>
      <c r="AH157" s="3">
        <f>IFERROR(__xludf.DUMMYFUNCTION("""COMPUTED_VALUE"""),0.0)</f>
        <v>0</v>
      </c>
      <c r="AI157" s="3">
        <f>IFERROR(__xludf.DUMMYFUNCTION("""COMPUTED_VALUE"""),0.0)</f>
        <v>0</v>
      </c>
      <c r="AJ157" s="3">
        <f>IFERROR(__xludf.DUMMYFUNCTION("""COMPUTED_VALUE"""),0.0)</f>
        <v>0</v>
      </c>
      <c r="AK157" s="3">
        <f>IFERROR(__xludf.DUMMYFUNCTION("""COMPUTED_VALUE"""),0.0)</f>
        <v>0</v>
      </c>
      <c r="AL157" s="3">
        <f>IFERROR(__xludf.DUMMYFUNCTION("""COMPUTED_VALUE"""),0.0)</f>
        <v>0</v>
      </c>
      <c r="AM157" s="3">
        <f>IFERROR(__xludf.DUMMYFUNCTION("""COMPUTED_VALUE"""),0.0)</f>
        <v>0</v>
      </c>
      <c r="AN157" s="3">
        <f>IFERROR(__xludf.DUMMYFUNCTION("""COMPUTED_VALUE"""),0.0)</f>
        <v>0</v>
      </c>
      <c r="AO157" s="3">
        <f>IFERROR(__xludf.DUMMYFUNCTION("""COMPUTED_VALUE"""),0.0)</f>
        <v>0</v>
      </c>
      <c r="AP157" s="3">
        <f>IFERROR(__xludf.DUMMYFUNCTION("""COMPUTED_VALUE"""),0.0)</f>
        <v>0</v>
      </c>
      <c r="AQ157" s="3">
        <f>IFERROR(__xludf.DUMMYFUNCTION("""COMPUTED_VALUE"""),0.0)</f>
        <v>0</v>
      </c>
      <c r="AR157" s="3">
        <f>IFERROR(__xludf.DUMMYFUNCTION("""COMPUTED_VALUE"""),0.0)</f>
        <v>0</v>
      </c>
      <c r="AS157" s="3">
        <f>IFERROR(__xludf.DUMMYFUNCTION("""COMPUTED_VALUE"""),0.0)</f>
        <v>0</v>
      </c>
      <c r="AT157" s="3">
        <f>IFERROR(__xludf.DUMMYFUNCTION("""COMPUTED_VALUE"""),0.0)</f>
        <v>0</v>
      </c>
      <c r="AU157" s="3">
        <f>IFERROR(__xludf.DUMMYFUNCTION("""COMPUTED_VALUE"""),0.0)</f>
        <v>0</v>
      </c>
      <c r="AV157" s="3">
        <f>IFERROR(__xludf.DUMMYFUNCTION("""COMPUTED_VALUE"""),0.0)</f>
        <v>0</v>
      </c>
      <c r="AW157" s="3">
        <f>IFERROR(__xludf.DUMMYFUNCTION("""COMPUTED_VALUE"""),0.0)</f>
        <v>0</v>
      </c>
      <c r="AX157" s="3">
        <f>IFERROR(__xludf.DUMMYFUNCTION("""COMPUTED_VALUE"""),0.0)</f>
        <v>0</v>
      </c>
      <c r="AY157" s="3">
        <f>IFERROR(__xludf.DUMMYFUNCTION("""COMPUTED_VALUE"""),0.0)</f>
        <v>0</v>
      </c>
      <c r="AZ157" s="3">
        <f>IFERROR(__xludf.DUMMYFUNCTION("""COMPUTED_VALUE"""),0.0)</f>
        <v>0</v>
      </c>
      <c r="BA157" s="3">
        <f>IFERROR(__xludf.DUMMYFUNCTION("""COMPUTED_VALUE"""),0.0)</f>
        <v>0</v>
      </c>
      <c r="BB157" s="3">
        <f>IFERROR(__xludf.DUMMYFUNCTION("""COMPUTED_VALUE"""),0.0)</f>
        <v>0</v>
      </c>
      <c r="BC157" s="3">
        <f>IFERROR(__xludf.DUMMYFUNCTION("""COMPUTED_VALUE"""),0.0)</f>
        <v>0</v>
      </c>
      <c r="BD157" s="3">
        <f>IFERROR(__xludf.DUMMYFUNCTION("""COMPUTED_VALUE"""),0.0)</f>
        <v>0</v>
      </c>
      <c r="BE157" s="3">
        <f>IFERROR(__xludf.DUMMYFUNCTION("""COMPUTED_VALUE"""),0.0)</f>
        <v>0</v>
      </c>
      <c r="BF157" s="3">
        <f>IFERROR(__xludf.DUMMYFUNCTION("""COMPUTED_VALUE"""),0.0)</f>
        <v>0</v>
      </c>
      <c r="BG157" s="3">
        <f>IFERROR(__xludf.DUMMYFUNCTION("""COMPUTED_VALUE"""),0.0)</f>
        <v>0</v>
      </c>
      <c r="BH157" s="3">
        <f>IFERROR(__xludf.DUMMYFUNCTION("""COMPUTED_VALUE"""),0.0)</f>
        <v>0</v>
      </c>
      <c r="BI157" s="3">
        <f>IFERROR(__xludf.DUMMYFUNCTION("""COMPUTED_VALUE"""),0.0)</f>
        <v>0</v>
      </c>
      <c r="BJ157" s="3">
        <f>IFERROR(__xludf.DUMMYFUNCTION("""COMPUTED_VALUE"""),0.0)</f>
        <v>0</v>
      </c>
      <c r="BK157" s="3">
        <f>IFERROR(__xludf.DUMMYFUNCTION("""COMPUTED_VALUE"""),0.0)</f>
        <v>0</v>
      </c>
      <c r="BL157" s="3">
        <f>IFERROR(__xludf.DUMMYFUNCTION("""COMPUTED_VALUE"""),0.0)</f>
        <v>0</v>
      </c>
      <c r="BM157" s="3">
        <f>IFERROR(__xludf.DUMMYFUNCTION("""COMPUTED_VALUE"""),0.0)</f>
        <v>0</v>
      </c>
      <c r="BN157" s="3">
        <f>IFERROR(__xludf.DUMMYFUNCTION("""COMPUTED_VALUE"""),0.0)</f>
        <v>0</v>
      </c>
      <c r="BO157" s="3">
        <f>IFERROR(__xludf.DUMMYFUNCTION("""COMPUTED_VALUE"""),0.0)</f>
        <v>0</v>
      </c>
      <c r="BP157" s="3">
        <f>IFERROR(__xludf.DUMMYFUNCTION("""COMPUTED_VALUE"""),0.0)</f>
        <v>0</v>
      </c>
      <c r="BQ157" s="3">
        <f>IFERROR(__xludf.DUMMYFUNCTION("""COMPUTED_VALUE"""),0.0)</f>
        <v>0</v>
      </c>
      <c r="BR157" s="3">
        <f>IFERROR(__xludf.DUMMYFUNCTION("""COMPUTED_VALUE"""),0.0)</f>
        <v>0</v>
      </c>
      <c r="BS157" s="3">
        <f>IFERROR(__xludf.DUMMYFUNCTION("""COMPUTED_VALUE"""),0.0)</f>
        <v>0</v>
      </c>
      <c r="BT157" s="3">
        <f>IFERROR(__xludf.DUMMYFUNCTION("""COMPUTED_VALUE"""),0.0)</f>
        <v>0</v>
      </c>
      <c r="BU157" s="3">
        <f>IFERROR(__xludf.DUMMYFUNCTION("""COMPUTED_VALUE"""),0.0)</f>
        <v>0</v>
      </c>
      <c r="BV157" s="3">
        <f>IFERROR(__xludf.DUMMYFUNCTION("""COMPUTED_VALUE"""),0.0)</f>
        <v>0</v>
      </c>
      <c r="BW157" s="3">
        <f>IFERROR(__xludf.DUMMYFUNCTION("""COMPUTED_VALUE"""),0.0)</f>
        <v>0</v>
      </c>
      <c r="BX157" s="3">
        <f>IFERROR(__xludf.DUMMYFUNCTION("""COMPUTED_VALUE"""),0.0)</f>
        <v>0</v>
      </c>
      <c r="BY157" s="3">
        <f>IFERROR(__xludf.DUMMYFUNCTION("""COMPUTED_VALUE"""),0.0)</f>
        <v>0</v>
      </c>
      <c r="BZ157" s="3">
        <f>IFERROR(__xludf.DUMMYFUNCTION("""COMPUTED_VALUE"""),0.0)</f>
        <v>0</v>
      </c>
      <c r="CA157" s="3">
        <f>IFERROR(__xludf.DUMMYFUNCTION("""COMPUTED_VALUE"""),0.0)</f>
        <v>0</v>
      </c>
      <c r="CB157" s="3">
        <f>IFERROR(__xludf.DUMMYFUNCTION("""COMPUTED_VALUE"""),0.0)</f>
        <v>0</v>
      </c>
    </row>
    <row r="158">
      <c r="A158" s="3" t="str">
        <f>IFERROR(__xludf.DUMMYFUNCTION("""COMPUTED_VALUE"""),"")</f>
        <v/>
      </c>
      <c r="B158" s="3" t="str">
        <f>IFERROR(__xludf.DUMMYFUNCTION("""COMPUTED_VALUE"""),"Mauritania")</f>
        <v>Mauritania</v>
      </c>
      <c r="C158" s="3">
        <f>IFERROR(__xludf.DUMMYFUNCTION("""COMPUTED_VALUE"""),21.0079)</f>
        <v>21.0079</v>
      </c>
      <c r="D158" s="3">
        <f>IFERROR(__xludf.DUMMYFUNCTION("""COMPUTED_VALUE"""),10.9408)</f>
        <v>10.9408</v>
      </c>
      <c r="E158" s="3">
        <f>IFERROR(__xludf.DUMMYFUNCTION("""COMPUTED_VALUE"""),0.0)</f>
        <v>0</v>
      </c>
      <c r="F158" s="3">
        <f>IFERROR(__xludf.DUMMYFUNCTION("""COMPUTED_VALUE"""),0.0)</f>
        <v>0</v>
      </c>
      <c r="G158" s="3">
        <f>IFERROR(__xludf.DUMMYFUNCTION("""COMPUTED_VALUE"""),0.0)</f>
        <v>0</v>
      </c>
      <c r="H158" s="3">
        <f>IFERROR(__xludf.DUMMYFUNCTION("""COMPUTED_VALUE"""),0.0)</f>
        <v>0</v>
      </c>
      <c r="I158" s="3">
        <f>IFERROR(__xludf.DUMMYFUNCTION("""COMPUTED_VALUE"""),0.0)</f>
        <v>0</v>
      </c>
      <c r="J158" s="3">
        <f>IFERROR(__xludf.DUMMYFUNCTION("""COMPUTED_VALUE"""),0.0)</f>
        <v>0</v>
      </c>
      <c r="K158" s="3">
        <f>IFERROR(__xludf.DUMMYFUNCTION("""COMPUTED_VALUE"""),0.0)</f>
        <v>0</v>
      </c>
      <c r="L158" s="3">
        <f>IFERROR(__xludf.DUMMYFUNCTION("""COMPUTED_VALUE"""),0.0)</f>
        <v>0</v>
      </c>
      <c r="M158" s="3">
        <f>IFERROR(__xludf.DUMMYFUNCTION("""COMPUTED_VALUE"""),0.0)</f>
        <v>0</v>
      </c>
      <c r="N158" s="3">
        <f>IFERROR(__xludf.DUMMYFUNCTION("""COMPUTED_VALUE"""),0.0)</f>
        <v>0</v>
      </c>
      <c r="O158" s="3">
        <f>IFERROR(__xludf.DUMMYFUNCTION("""COMPUTED_VALUE"""),0.0)</f>
        <v>0</v>
      </c>
      <c r="P158" s="3">
        <f>IFERROR(__xludf.DUMMYFUNCTION("""COMPUTED_VALUE"""),0.0)</f>
        <v>0</v>
      </c>
      <c r="Q158" s="3">
        <f>IFERROR(__xludf.DUMMYFUNCTION("""COMPUTED_VALUE"""),0.0)</f>
        <v>0</v>
      </c>
      <c r="R158" s="3">
        <f>IFERROR(__xludf.DUMMYFUNCTION("""COMPUTED_VALUE"""),0.0)</f>
        <v>0</v>
      </c>
      <c r="S158" s="3">
        <f>IFERROR(__xludf.DUMMYFUNCTION("""COMPUTED_VALUE"""),0.0)</f>
        <v>0</v>
      </c>
      <c r="T158" s="3">
        <f>IFERROR(__xludf.DUMMYFUNCTION("""COMPUTED_VALUE"""),0.0)</f>
        <v>0</v>
      </c>
      <c r="U158" s="3">
        <f>IFERROR(__xludf.DUMMYFUNCTION("""COMPUTED_VALUE"""),0.0)</f>
        <v>0</v>
      </c>
      <c r="V158" s="3">
        <f>IFERROR(__xludf.DUMMYFUNCTION("""COMPUTED_VALUE"""),0.0)</f>
        <v>0</v>
      </c>
      <c r="W158" s="3">
        <f>IFERROR(__xludf.DUMMYFUNCTION("""COMPUTED_VALUE"""),0.0)</f>
        <v>0</v>
      </c>
      <c r="X158" s="3">
        <f>IFERROR(__xludf.DUMMYFUNCTION("""COMPUTED_VALUE"""),0.0)</f>
        <v>0</v>
      </c>
      <c r="Y158" s="3">
        <f>IFERROR(__xludf.DUMMYFUNCTION("""COMPUTED_VALUE"""),0.0)</f>
        <v>0</v>
      </c>
      <c r="Z158" s="3">
        <f>IFERROR(__xludf.DUMMYFUNCTION("""COMPUTED_VALUE"""),0.0)</f>
        <v>0</v>
      </c>
      <c r="AA158" s="3">
        <f>IFERROR(__xludf.DUMMYFUNCTION("""COMPUTED_VALUE"""),0.0)</f>
        <v>0</v>
      </c>
      <c r="AB158" s="3">
        <f>IFERROR(__xludf.DUMMYFUNCTION("""COMPUTED_VALUE"""),0.0)</f>
        <v>0</v>
      </c>
      <c r="AC158" s="3">
        <f>IFERROR(__xludf.DUMMYFUNCTION("""COMPUTED_VALUE"""),0.0)</f>
        <v>0</v>
      </c>
      <c r="AD158" s="3">
        <f>IFERROR(__xludf.DUMMYFUNCTION("""COMPUTED_VALUE"""),0.0)</f>
        <v>0</v>
      </c>
      <c r="AE158" s="3">
        <f>IFERROR(__xludf.DUMMYFUNCTION("""COMPUTED_VALUE"""),0.0)</f>
        <v>0</v>
      </c>
      <c r="AF158" s="3">
        <f>IFERROR(__xludf.DUMMYFUNCTION("""COMPUTED_VALUE"""),0.0)</f>
        <v>0</v>
      </c>
      <c r="AG158" s="3">
        <f>IFERROR(__xludf.DUMMYFUNCTION("""COMPUTED_VALUE"""),0.0)</f>
        <v>0</v>
      </c>
      <c r="AH158" s="3">
        <f>IFERROR(__xludf.DUMMYFUNCTION("""COMPUTED_VALUE"""),0.0)</f>
        <v>0</v>
      </c>
      <c r="AI158" s="3">
        <f>IFERROR(__xludf.DUMMYFUNCTION("""COMPUTED_VALUE"""),0.0)</f>
        <v>0</v>
      </c>
      <c r="AJ158" s="3">
        <f>IFERROR(__xludf.DUMMYFUNCTION("""COMPUTED_VALUE"""),0.0)</f>
        <v>0</v>
      </c>
      <c r="AK158" s="3">
        <f>IFERROR(__xludf.DUMMYFUNCTION("""COMPUTED_VALUE"""),0.0)</f>
        <v>0</v>
      </c>
      <c r="AL158" s="3">
        <f>IFERROR(__xludf.DUMMYFUNCTION("""COMPUTED_VALUE"""),0.0)</f>
        <v>0</v>
      </c>
      <c r="AM158" s="3">
        <f>IFERROR(__xludf.DUMMYFUNCTION("""COMPUTED_VALUE"""),0.0)</f>
        <v>0</v>
      </c>
      <c r="AN158" s="3">
        <f>IFERROR(__xludf.DUMMYFUNCTION("""COMPUTED_VALUE"""),0.0)</f>
        <v>0</v>
      </c>
      <c r="AO158" s="3">
        <f>IFERROR(__xludf.DUMMYFUNCTION("""COMPUTED_VALUE"""),0.0)</f>
        <v>0</v>
      </c>
      <c r="AP158" s="3">
        <f>IFERROR(__xludf.DUMMYFUNCTION("""COMPUTED_VALUE"""),0.0)</f>
        <v>0</v>
      </c>
      <c r="AQ158" s="3">
        <f>IFERROR(__xludf.DUMMYFUNCTION("""COMPUTED_VALUE"""),0.0)</f>
        <v>0</v>
      </c>
      <c r="AR158" s="3">
        <f>IFERROR(__xludf.DUMMYFUNCTION("""COMPUTED_VALUE"""),0.0)</f>
        <v>0</v>
      </c>
      <c r="AS158" s="3">
        <f>IFERROR(__xludf.DUMMYFUNCTION("""COMPUTED_VALUE"""),0.0)</f>
        <v>0</v>
      </c>
      <c r="AT158" s="3">
        <f>IFERROR(__xludf.DUMMYFUNCTION("""COMPUTED_VALUE"""),0.0)</f>
        <v>0</v>
      </c>
      <c r="AU158" s="3">
        <f>IFERROR(__xludf.DUMMYFUNCTION("""COMPUTED_VALUE"""),0.0)</f>
        <v>0</v>
      </c>
      <c r="AV158" s="3">
        <f>IFERROR(__xludf.DUMMYFUNCTION("""COMPUTED_VALUE"""),0.0)</f>
        <v>0</v>
      </c>
      <c r="AW158" s="3">
        <f>IFERROR(__xludf.DUMMYFUNCTION("""COMPUTED_VALUE"""),0.0)</f>
        <v>0</v>
      </c>
      <c r="AX158" s="3">
        <f>IFERROR(__xludf.DUMMYFUNCTION("""COMPUTED_VALUE"""),0.0)</f>
        <v>0</v>
      </c>
      <c r="AY158" s="3">
        <f>IFERROR(__xludf.DUMMYFUNCTION("""COMPUTED_VALUE"""),0.0)</f>
        <v>0</v>
      </c>
      <c r="AZ158" s="3">
        <f>IFERROR(__xludf.DUMMYFUNCTION("""COMPUTED_VALUE"""),0.0)</f>
        <v>0</v>
      </c>
      <c r="BA158" s="3">
        <f>IFERROR(__xludf.DUMMYFUNCTION("""COMPUTED_VALUE"""),0.0)</f>
        <v>0</v>
      </c>
      <c r="BB158" s="3">
        <f>IFERROR(__xludf.DUMMYFUNCTION("""COMPUTED_VALUE"""),0.0)</f>
        <v>0</v>
      </c>
      <c r="BC158" s="3">
        <f>IFERROR(__xludf.DUMMYFUNCTION("""COMPUTED_VALUE"""),0.0)</f>
        <v>0</v>
      </c>
      <c r="BD158" s="3">
        <f>IFERROR(__xludf.DUMMYFUNCTION("""COMPUTED_VALUE"""),0.0)</f>
        <v>0</v>
      </c>
      <c r="BE158" s="3">
        <f>IFERROR(__xludf.DUMMYFUNCTION("""COMPUTED_VALUE"""),0.0)</f>
        <v>0</v>
      </c>
      <c r="BF158" s="3">
        <f>IFERROR(__xludf.DUMMYFUNCTION("""COMPUTED_VALUE"""),0.0)</f>
        <v>0</v>
      </c>
      <c r="BG158" s="3">
        <f>IFERROR(__xludf.DUMMYFUNCTION("""COMPUTED_VALUE"""),0.0)</f>
        <v>0</v>
      </c>
      <c r="BH158" s="3">
        <f>IFERROR(__xludf.DUMMYFUNCTION("""COMPUTED_VALUE"""),0.0)</f>
        <v>0</v>
      </c>
      <c r="BI158" s="3">
        <f>IFERROR(__xludf.DUMMYFUNCTION("""COMPUTED_VALUE"""),0.0)</f>
        <v>0</v>
      </c>
      <c r="BJ158" s="3">
        <f>IFERROR(__xludf.DUMMYFUNCTION("""COMPUTED_VALUE"""),0.0)</f>
        <v>0</v>
      </c>
      <c r="BK158" s="3">
        <f>IFERROR(__xludf.DUMMYFUNCTION("""COMPUTED_VALUE"""),0.0)</f>
        <v>0</v>
      </c>
      <c r="BL158" s="3">
        <f>IFERROR(__xludf.DUMMYFUNCTION("""COMPUTED_VALUE"""),0.0)</f>
        <v>0</v>
      </c>
      <c r="BM158" s="3">
        <f>IFERROR(__xludf.DUMMYFUNCTION("""COMPUTED_VALUE"""),0.0)</f>
        <v>0</v>
      </c>
      <c r="BN158" s="3">
        <f>IFERROR(__xludf.DUMMYFUNCTION("""COMPUTED_VALUE"""),0.0)</f>
        <v>0</v>
      </c>
      <c r="BO158" s="3">
        <f>IFERROR(__xludf.DUMMYFUNCTION("""COMPUTED_VALUE"""),0.0)</f>
        <v>0</v>
      </c>
      <c r="BP158" s="3">
        <f>IFERROR(__xludf.DUMMYFUNCTION("""COMPUTED_VALUE"""),0.0)</f>
        <v>0</v>
      </c>
      <c r="BQ158" s="3">
        <f>IFERROR(__xludf.DUMMYFUNCTION("""COMPUTED_VALUE"""),0.0)</f>
        <v>0</v>
      </c>
      <c r="BR158" s="3">
        <f>IFERROR(__xludf.DUMMYFUNCTION("""COMPUTED_VALUE"""),0.0)</f>
        <v>0</v>
      </c>
      <c r="BS158" s="3">
        <f>IFERROR(__xludf.DUMMYFUNCTION("""COMPUTED_VALUE"""),0.0)</f>
        <v>0</v>
      </c>
      <c r="BT158" s="3">
        <f>IFERROR(__xludf.DUMMYFUNCTION("""COMPUTED_VALUE"""),0.0)</f>
        <v>0</v>
      </c>
      <c r="BU158" s="3">
        <f>IFERROR(__xludf.DUMMYFUNCTION("""COMPUTED_VALUE"""),1.0)</f>
        <v>1</v>
      </c>
      <c r="BV158" s="3">
        <f>IFERROR(__xludf.DUMMYFUNCTION("""COMPUTED_VALUE"""),1.0)</f>
        <v>1</v>
      </c>
      <c r="BW158" s="3">
        <f>IFERROR(__xludf.DUMMYFUNCTION("""COMPUTED_VALUE"""),1.0)</f>
        <v>1</v>
      </c>
      <c r="BX158" s="3">
        <f>IFERROR(__xludf.DUMMYFUNCTION("""COMPUTED_VALUE"""),1.0)</f>
        <v>1</v>
      </c>
      <c r="BY158" s="3">
        <f>IFERROR(__xludf.DUMMYFUNCTION("""COMPUTED_VALUE"""),1.0)</f>
        <v>1</v>
      </c>
      <c r="BZ158" s="3">
        <f>IFERROR(__xludf.DUMMYFUNCTION("""COMPUTED_VALUE"""),1.0)</f>
        <v>1</v>
      </c>
      <c r="CA158" s="3">
        <f>IFERROR(__xludf.DUMMYFUNCTION("""COMPUTED_VALUE"""),1.0)</f>
        <v>1</v>
      </c>
      <c r="CB158" s="3">
        <f>IFERROR(__xludf.DUMMYFUNCTION("""COMPUTED_VALUE"""),1.0)</f>
        <v>1</v>
      </c>
    </row>
    <row r="159">
      <c r="A159" s="3" t="str">
        <f>IFERROR(__xludf.DUMMYFUNCTION("""COMPUTED_VALUE"""),"")</f>
        <v/>
      </c>
      <c r="B159" s="3" t="str">
        <f>IFERROR(__xludf.DUMMYFUNCTION("""COMPUTED_VALUE"""),"Mauritius")</f>
        <v>Mauritius</v>
      </c>
      <c r="C159" s="3">
        <f>IFERROR(__xludf.DUMMYFUNCTION("""COMPUTED_VALUE"""),-20.2)</f>
        <v>-20.2</v>
      </c>
      <c r="D159" s="3">
        <f>IFERROR(__xludf.DUMMYFUNCTION("""COMPUTED_VALUE"""),57.5)</f>
        <v>57.5</v>
      </c>
      <c r="E159" s="3">
        <f>IFERROR(__xludf.DUMMYFUNCTION("""COMPUTED_VALUE"""),0.0)</f>
        <v>0</v>
      </c>
      <c r="F159" s="3">
        <f>IFERROR(__xludf.DUMMYFUNCTION("""COMPUTED_VALUE"""),0.0)</f>
        <v>0</v>
      </c>
      <c r="G159" s="3">
        <f>IFERROR(__xludf.DUMMYFUNCTION("""COMPUTED_VALUE"""),0.0)</f>
        <v>0</v>
      </c>
      <c r="H159" s="3">
        <f>IFERROR(__xludf.DUMMYFUNCTION("""COMPUTED_VALUE"""),0.0)</f>
        <v>0</v>
      </c>
      <c r="I159" s="3">
        <f>IFERROR(__xludf.DUMMYFUNCTION("""COMPUTED_VALUE"""),0.0)</f>
        <v>0</v>
      </c>
      <c r="J159" s="3">
        <f>IFERROR(__xludf.DUMMYFUNCTION("""COMPUTED_VALUE"""),0.0)</f>
        <v>0</v>
      </c>
      <c r="K159" s="3">
        <f>IFERROR(__xludf.DUMMYFUNCTION("""COMPUTED_VALUE"""),0.0)</f>
        <v>0</v>
      </c>
      <c r="L159" s="3">
        <f>IFERROR(__xludf.DUMMYFUNCTION("""COMPUTED_VALUE"""),0.0)</f>
        <v>0</v>
      </c>
      <c r="M159" s="3">
        <f>IFERROR(__xludf.DUMMYFUNCTION("""COMPUTED_VALUE"""),0.0)</f>
        <v>0</v>
      </c>
      <c r="N159" s="3">
        <f>IFERROR(__xludf.DUMMYFUNCTION("""COMPUTED_VALUE"""),0.0)</f>
        <v>0</v>
      </c>
      <c r="O159" s="3">
        <f>IFERROR(__xludf.DUMMYFUNCTION("""COMPUTED_VALUE"""),0.0)</f>
        <v>0</v>
      </c>
      <c r="P159" s="3">
        <f>IFERROR(__xludf.DUMMYFUNCTION("""COMPUTED_VALUE"""),0.0)</f>
        <v>0</v>
      </c>
      <c r="Q159" s="3">
        <f>IFERROR(__xludf.DUMMYFUNCTION("""COMPUTED_VALUE"""),0.0)</f>
        <v>0</v>
      </c>
      <c r="R159" s="3">
        <f>IFERROR(__xludf.DUMMYFUNCTION("""COMPUTED_VALUE"""),0.0)</f>
        <v>0</v>
      </c>
      <c r="S159" s="3">
        <f>IFERROR(__xludf.DUMMYFUNCTION("""COMPUTED_VALUE"""),0.0)</f>
        <v>0</v>
      </c>
      <c r="T159" s="3">
        <f>IFERROR(__xludf.DUMMYFUNCTION("""COMPUTED_VALUE"""),0.0)</f>
        <v>0</v>
      </c>
      <c r="U159" s="3">
        <f>IFERROR(__xludf.DUMMYFUNCTION("""COMPUTED_VALUE"""),0.0)</f>
        <v>0</v>
      </c>
      <c r="V159" s="3">
        <f>IFERROR(__xludf.DUMMYFUNCTION("""COMPUTED_VALUE"""),0.0)</f>
        <v>0</v>
      </c>
      <c r="W159" s="3">
        <f>IFERROR(__xludf.DUMMYFUNCTION("""COMPUTED_VALUE"""),0.0)</f>
        <v>0</v>
      </c>
      <c r="X159" s="3">
        <f>IFERROR(__xludf.DUMMYFUNCTION("""COMPUTED_VALUE"""),0.0)</f>
        <v>0</v>
      </c>
      <c r="Y159" s="3">
        <f>IFERROR(__xludf.DUMMYFUNCTION("""COMPUTED_VALUE"""),0.0)</f>
        <v>0</v>
      </c>
      <c r="Z159" s="3">
        <f>IFERROR(__xludf.DUMMYFUNCTION("""COMPUTED_VALUE"""),0.0)</f>
        <v>0</v>
      </c>
      <c r="AA159" s="3">
        <f>IFERROR(__xludf.DUMMYFUNCTION("""COMPUTED_VALUE"""),0.0)</f>
        <v>0</v>
      </c>
      <c r="AB159" s="3">
        <f>IFERROR(__xludf.DUMMYFUNCTION("""COMPUTED_VALUE"""),0.0)</f>
        <v>0</v>
      </c>
      <c r="AC159" s="3">
        <f>IFERROR(__xludf.DUMMYFUNCTION("""COMPUTED_VALUE"""),0.0)</f>
        <v>0</v>
      </c>
      <c r="AD159" s="3">
        <f>IFERROR(__xludf.DUMMYFUNCTION("""COMPUTED_VALUE"""),0.0)</f>
        <v>0</v>
      </c>
      <c r="AE159" s="3">
        <f>IFERROR(__xludf.DUMMYFUNCTION("""COMPUTED_VALUE"""),0.0)</f>
        <v>0</v>
      </c>
      <c r="AF159" s="3">
        <f>IFERROR(__xludf.DUMMYFUNCTION("""COMPUTED_VALUE"""),0.0)</f>
        <v>0</v>
      </c>
      <c r="AG159" s="3">
        <f>IFERROR(__xludf.DUMMYFUNCTION("""COMPUTED_VALUE"""),0.0)</f>
        <v>0</v>
      </c>
      <c r="AH159" s="3">
        <f>IFERROR(__xludf.DUMMYFUNCTION("""COMPUTED_VALUE"""),0.0)</f>
        <v>0</v>
      </c>
      <c r="AI159" s="3">
        <f>IFERROR(__xludf.DUMMYFUNCTION("""COMPUTED_VALUE"""),0.0)</f>
        <v>0</v>
      </c>
      <c r="AJ159" s="3">
        <f>IFERROR(__xludf.DUMMYFUNCTION("""COMPUTED_VALUE"""),0.0)</f>
        <v>0</v>
      </c>
      <c r="AK159" s="3">
        <f>IFERROR(__xludf.DUMMYFUNCTION("""COMPUTED_VALUE"""),0.0)</f>
        <v>0</v>
      </c>
      <c r="AL159" s="3">
        <f>IFERROR(__xludf.DUMMYFUNCTION("""COMPUTED_VALUE"""),0.0)</f>
        <v>0</v>
      </c>
      <c r="AM159" s="3">
        <f>IFERROR(__xludf.DUMMYFUNCTION("""COMPUTED_VALUE"""),0.0)</f>
        <v>0</v>
      </c>
      <c r="AN159" s="3">
        <f>IFERROR(__xludf.DUMMYFUNCTION("""COMPUTED_VALUE"""),0.0)</f>
        <v>0</v>
      </c>
      <c r="AO159" s="3">
        <f>IFERROR(__xludf.DUMMYFUNCTION("""COMPUTED_VALUE"""),0.0)</f>
        <v>0</v>
      </c>
      <c r="AP159" s="3">
        <f>IFERROR(__xludf.DUMMYFUNCTION("""COMPUTED_VALUE"""),0.0)</f>
        <v>0</v>
      </c>
      <c r="AQ159" s="3">
        <f>IFERROR(__xludf.DUMMYFUNCTION("""COMPUTED_VALUE"""),0.0)</f>
        <v>0</v>
      </c>
      <c r="AR159" s="3">
        <f>IFERROR(__xludf.DUMMYFUNCTION("""COMPUTED_VALUE"""),0.0)</f>
        <v>0</v>
      </c>
      <c r="AS159" s="3">
        <f>IFERROR(__xludf.DUMMYFUNCTION("""COMPUTED_VALUE"""),0.0)</f>
        <v>0</v>
      </c>
      <c r="AT159" s="3">
        <f>IFERROR(__xludf.DUMMYFUNCTION("""COMPUTED_VALUE"""),0.0)</f>
        <v>0</v>
      </c>
      <c r="AU159" s="3">
        <f>IFERROR(__xludf.DUMMYFUNCTION("""COMPUTED_VALUE"""),0.0)</f>
        <v>0</v>
      </c>
      <c r="AV159" s="3">
        <f>IFERROR(__xludf.DUMMYFUNCTION("""COMPUTED_VALUE"""),0.0)</f>
        <v>0</v>
      </c>
      <c r="AW159" s="3">
        <f>IFERROR(__xludf.DUMMYFUNCTION("""COMPUTED_VALUE"""),0.0)</f>
        <v>0</v>
      </c>
      <c r="AX159" s="3">
        <f>IFERROR(__xludf.DUMMYFUNCTION("""COMPUTED_VALUE"""),0.0)</f>
        <v>0</v>
      </c>
      <c r="AY159" s="3">
        <f>IFERROR(__xludf.DUMMYFUNCTION("""COMPUTED_VALUE"""),0.0)</f>
        <v>0</v>
      </c>
      <c r="AZ159" s="3">
        <f>IFERROR(__xludf.DUMMYFUNCTION("""COMPUTED_VALUE"""),0.0)</f>
        <v>0</v>
      </c>
      <c r="BA159" s="3">
        <f>IFERROR(__xludf.DUMMYFUNCTION("""COMPUTED_VALUE"""),0.0)</f>
        <v>0</v>
      </c>
      <c r="BB159" s="3">
        <f>IFERROR(__xludf.DUMMYFUNCTION("""COMPUTED_VALUE"""),0.0)</f>
        <v>0</v>
      </c>
      <c r="BC159" s="3">
        <f>IFERROR(__xludf.DUMMYFUNCTION("""COMPUTED_VALUE"""),0.0)</f>
        <v>0</v>
      </c>
      <c r="BD159" s="3">
        <f>IFERROR(__xludf.DUMMYFUNCTION("""COMPUTED_VALUE"""),0.0)</f>
        <v>0</v>
      </c>
      <c r="BE159" s="3">
        <f>IFERROR(__xludf.DUMMYFUNCTION("""COMPUTED_VALUE"""),0.0)</f>
        <v>0</v>
      </c>
      <c r="BF159" s="3">
        <f>IFERROR(__xludf.DUMMYFUNCTION("""COMPUTED_VALUE"""),0.0)</f>
        <v>0</v>
      </c>
      <c r="BG159" s="3">
        <f>IFERROR(__xludf.DUMMYFUNCTION("""COMPUTED_VALUE"""),0.0)</f>
        <v>0</v>
      </c>
      <c r="BH159" s="3">
        <f>IFERROR(__xludf.DUMMYFUNCTION("""COMPUTED_VALUE"""),0.0)</f>
        <v>0</v>
      </c>
      <c r="BI159" s="3">
        <f>IFERROR(__xludf.DUMMYFUNCTION("""COMPUTED_VALUE"""),0.0)</f>
        <v>0</v>
      </c>
      <c r="BJ159" s="3">
        <f>IFERROR(__xludf.DUMMYFUNCTION("""COMPUTED_VALUE"""),0.0)</f>
        <v>0</v>
      </c>
      <c r="BK159" s="3">
        <f>IFERROR(__xludf.DUMMYFUNCTION("""COMPUTED_VALUE"""),0.0)</f>
        <v>0</v>
      </c>
      <c r="BL159" s="3">
        <f>IFERROR(__xludf.DUMMYFUNCTION("""COMPUTED_VALUE"""),1.0)</f>
        <v>1</v>
      </c>
      <c r="BM159" s="3">
        <f>IFERROR(__xludf.DUMMYFUNCTION("""COMPUTED_VALUE"""),2.0)</f>
        <v>2</v>
      </c>
      <c r="BN159" s="3">
        <f>IFERROR(__xludf.DUMMYFUNCTION("""COMPUTED_VALUE"""),2.0)</f>
        <v>2</v>
      </c>
      <c r="BO159" s="3">
        <f>IFERROR(__xludf.DUMMYFUNCTION("""COMPUTED_VALUE"""),2.0)</f>
        <v>2</v>
      </c>
      <c r="BP159" s="3">
        <f>IFERROR(__xludf.DUMMYFUNCTION("""COMPUTED_VALUE"""),2.0)</f>
        <v>2</v>
      </c>
      <c r="BQ159" s="3">
        <f>IFERROR(__xludf.DUMMYFUNCTION("""COMPUTED_VALUE"""),2.0)</f>
        <v>2</v>
      </c>
      <c r="BR159" s="3">
        <f>IFERROR(__xludf.DUMMYFUNCTION("""COMPUTED_VALUE"""),2.0)</f>
        <v>2</v>
      </c>
      <c r="BS159" s="3">
        <f>IFERROR(__xludf.DUMMYFUNCTION("""COMPUTED_VALUE"""),2.0)</f>
        <v>2</v>
      </c>
      <c r="BT159" s="3">
        <f>IFERROR(__xludf.DUMMYFUNCTION("""COMPUTED_VALUE"""),3.0)</f>
        <v>3</v>
      </c>
      <c r="BU159" s="3">
        <f>IFERROR(__xludf.DUMMYFUNCTION("""COMPUTED_VALUE"""),3.0)</f>
        <v>3</v>
      </c>
      <c r="BV159" s="3">
        <f>IFERROR(__xludf.DUMMYFUNCTION("""COMPUTED_VALUE"""),5.0)</f>
        <v>5</v>
      </c>
      <c r="BW159" s="3">
        <f>IFERROR(__xludf.DUMMYFUNCTION("""COMPUTED_VALUE"""),6.0)</f>
        <v>6</v>
      </c>
      <c r="BX159" s="3">
        <f>IFERROR(__xludf.DUMMYFUNCTION("""COMPUTED_VALUE"""),7.0)</f>
        <v>7</v>
      </c>
      <c r="BY159" s="3">
        <f>IFERROR(__xludf.DUMMYFUNCTION("""COMPUTED_VALUE"""),7.0)</f>
        <v>7</v>
      </c>
      <c r="BZ159" s="3">
        <f>IFERROR(__xludf.DUMMYFUNCTION("""COMPUTED_VALUE"""),7.0)</f>
        <v>7</v>
      </c>
      <c r="CA159" s="3">
        <f>IFERROR(__xludf.DUMMYFUNCTION("""COMPUTED_VALUE"""),7.0)</f>
        <v>7</v>
      </c>
      <c r="CB159" s="3">
        <f>IFERROR(__xludf.DUMMYFUNCTION("""COMPUTED_VALUE"""),7.0)</f>
        <v>7</v>
      </c>
    </row>
    <row r="160">
      <c r="A160" s="3" t="str">
        <f>IFERROR(__xludf.DUMMYFUNCTION("""COMPUTED_VALUE"""),"")</f>
        <v/>
      </c>
      <c r="B160" s="3" t="str">
        <f>IFERROR(__xludf.DUMMYFUNCTION("""COMPUTED_VALUE"""),"Mexico")</f>
        <v>Mexico</v>
      </c>
      <c r="C160" s="3">
        <f>IFERROR(__xludf.DUMMYFUNCTION("""COMPUTED_VALUE"""),23.6345)</f>
        <v>23.6345</v>
      </c>
      <c r="D160" s="3">
        <f>IFERROR(__xludf.DUMMYFUNCTION("""COMPUTED_VALUE"""),-102.5528)</f>
        <v>-102.5528</v>
      </c>
      <c r="E160" s="3">
        <f>IFERROR(__xludf.DUMMYFUNCTION("""COMPUTED_VALUE"""),0.0)</f>
        <v>0</v>
      </c>
      <c r="F160" s="3">
        <f>IFERROR(__xludf.DUMMYFUNCTION("""COMPUTED_VALUE"""),0.0)</f>
        <v>0</v>
      </c>
      <c r="G160" s="3">
        <f>IFERROR(__xludf.DUMMYFUNCTION("""COMPUTED_VALUE"""),0.0)</f>
        <v>0</v>
      </c>
      <c r="H160" s="3">
        <f>IFERROR(__xludf.DUMMYFUNCTION("""COMPUTED_VALUE"""),0.0)</f>
        <v>0</v>
      </c>
      <c r="I160" s="3">
        <f>IFERROR(__xludf.DUMMYFUNCTION("""COMPUTED_VALUE"""),0.0)</f>
        <v>0</v>
      </c>
      <c r="J160" s="3">
        <f>IFERROR(__xludf.DUMMYFUNCTION("""COMPUTED_VALUE"""),0.0)</f>
        <v>0</v>
      </c>
      <c r="K160" s="3">
        <f>IFERROR(__xludf.DUMMYFUNCTION("""COMPUTED_VALUE"""),0.0)</f>
        <v>0</v>
      </c>
      <c r="L160" s="3">
        <f>IFERROR(__xludf.DUMMYFUNCTION("""COMPUTED_VALUE"""),0.0)</f>
        <v>0</v>
      </c>
      <c r="M160" s="3">
        <f>IFERROR(__xludf.DUMMYFUNCTION("""COMPUTED_VALUE"""),0.0)</f>
        <v>0</v>
      </c>
      <c r="N160" s="3">
        <f>IFERROR(__xludf.DUMMYFUNCTION("""COMPUTED_VALUE"""),0.0)</f>
        <v>0</v>
      </c>
      <c r="O160" s="3">
        <f>IFERROR(__xludf.DUMMYFUNCTION("""COMPUTED_VALUE"""),0.0)</f>
        <v>0</v>
      </c>
      <c r="P160" s="3">
        <f>IFERROR(__xludf.DUMMYFUNCTION("""COMPUTED_VALUE"""),0.0)</f>
        <v>0</v>
      </c>
      <c r="Q160" s="3">
        <f>IFERROR(__xludf.DUMMYFUNCTION("""COMPUTED_VALUE"""),0.0)</f>
        <v>0</v>
      </c>
      <c r="R160" s="3">
        <f>IFERROR(__xludf.DUMMYFUNCTION("""COMPUTED_VALUE"""),0.0)</f>
        <v>0</v>
      </c>
      <c r="S160" s="3">
        <f>IFERROR(__xludf.DUMMYFUNCTION("""COMPUTED_VALUE"""),0.0)</f>
        <v>0</v>
      </c>
      <c r="T160" s="3">
        <f>IFERROR(__xludf.DUMMYFUNCTION("""COMPUTED_VALUE"""),0.0)</f>
        <v>0</v>
      </c>
      <c r="U160" s="3">
        <f>IFERROR(__xludf.DUMMYFUNCTION("""COMPUTED_VALUE"""),0.0)</f>
        <v>0</v>
      </c>
      <c r="V160" s="3">
        <f>IFERROR(__xludf.DUMMYFUNCTION("""COMPUTED_VALUE"""),0.0)</f>
        <v>0</v>
      </c>
      <c r="W160" s="3">
        <f>IFERROR(__xludf.DUMMYFUNCTION("""COMPUTED_VALUE"""),0.0)</f>
        <v>0</v>
      </c>
      <c r="X160" s="3">
        <f>IFERROR(__xludf.DUMMYFUNCTION("""COMPUTED_VALUE"""),0.0)</f>
        <v>0</v>
      </c>
      <c r="Y160" s="3">
        <f>IFERROR(__xludf.DUMMYFUNCTION("""COMPUTED_VALUE"""),0.0)</f>
        <v>0</v>
      </c>
      <c r="Z160" s="3">
        <f>IFERROR(__xludf.DUMMYFUNCTION("""COMPUTED_VALUE"""),0.0)</f>
        <v>0</v>
      </c>
      <c r="AA160" s="3">
        <f>IFERROR(__xludf.DUMMYFUNCTION("""COMPUTED_VALUE"""),0.0)</f>
        <v>0</v>
      </c>
      <c r="AB160" s="3">
        <f>IFERROR(__xludf.DUMMYFUNCTION("""COMPUTED_VALUE"""),0.0)</f>
        <v>0</v>
      </c>
      <c r="AC160" s="3">
        <f>IFERROR(__xludf.DUMMYFUNCTION("""COMPUTED_VALUE"""),0.0)</f>
        <v>0</v>
      </c>
      <c r="AD160" s="3">
        <f>IFERROR(__xludf.DUMMYFUNCTION("""COMPUTED_VALUE"""),0.0)</f>
        <v>0</v>
      </c>
      <c r="AE160" s="3">
        <f>IFERROR(__xludf.DUMMYFUNCTION("""COMPUTED_VALUE"""),0.0)</f>
        <v>0</v>
      </c>
      <c r="AF160" s="3">
        <f>IFERROR(__xludf.DUMMYFUNCTION("""COMPUTED_VALUE"""),0.0)</f>
        <v>0</v>
      </c>
      <c r="AG160" s="3">
        <f>IFERROR(__xludf.DUMMYFUNCTION("""COMPUTED_VALUE"""),0.0)</f>
        <v>0</v>
      </c>
      <c r="AH160" s="3">
        <f>IFERROR(__xludf.DUMMYFUNCTION("""COMPUTED_VALUE"""),0.0)</f>
        <v>0</v>
      </c>
      <c r="AI160" s="3">
        <f>IFERROR(__xludf.DUMMYFUNCTION("""COMPUTED_VALUE"""),0.0)</f>
        <v>0</v>
      </c>
      <c r="AJ160" s="3">
        <f>IFERROR(__xludf.DUMMYFUNCTION("""COMPUTED_VALUE"""),0.0)</f>
        <v>0</v>
      </c>
      <c r="AK160" s="3">
        <f>IFERROR(__xludf.DUMMYFUNCTION("""COMPUTED_VALUE"""),0.0)</f>
        <v>0</v>
      </c>
      <c r="AL160" s="3">
        <f>IFERROR(__xludf.DUMMYFUNCTION("""COMPUTED_VALUE"""),0.0)</f>
        <v>0</v>
      </c>
      <c r="AM160" s="3">
        <f>IFERROR(__xludf.DUMMYFUNCTION("""COMPUTED_VALUE"""),0.0)</f>
        <v>0</v>
      </c>
      <c r="AN160" s="3">
        <f>IFERROR(__xludf.DUMMYFUNCTION("""COMPUTED_VALUE"""),0.0)</f>
        <v>0</v>
      </c>
      <c r="AO160" s="3">
        <f>IFERROR(__xludf.DUMMYFUNCTION("""COMPUTED_VALUE"""),0.0)</f>
        <v>0</v>
      </c>
      <c r="AP160" s="3">
        <f>IFERROR(__xludf.DUMMYFUNCTION("""COMPUTED_VALUE"""),0.0)</f>
        <v>0</v>
      </c>
      <c r="AQ160" s="3">
        <f>IFERROR(__xludf.DUMMYFUNCTION("""COMPUTED_VALUE"""),0.0)</f>
        <v>0</v>
      </c>
      <c r="AR160" s="3">
        <f>IFERROR(__xludf.DUMMYFUNCTION("""COMPUTED_VALUE"""),0.0)</f>
        <v>0</v>
      </c>
      <c r="AS160" s="3">
        <f>IFERROR(__xludf.DUMMYFUNCTION("""COMPUTED_VALUE"""),0.0)</f>
        <v>0</v>
      </c>
      <c r="AT160" s="3">
        <f>IFERROR(__xludf.DUMMYFUNCTION("""COMPUTED_VALUE"""),0.0)</f>
        <v>0</v>
      </c>
      <c r="AU160" s="3">
        <f>IFERROR(__xludf.DUMMYFUNCTION("""COMPUTED_VALUE"""),0.0)</f>
        <v>0</v>
      </c>
      <c r="AV160" s="3">
        <f>IFERROR(__xludf.DUMMYFUNCTION("""COMPUTED_VALUE"""),0.0)</f>
        <v>0</v>
      </c>
      <c r="AW160" s="3">
        <f>IFERROR(__xludf.DUMMYFUNCTION("""COMPUTED_VALUE"""),0.0)</f>
        <v>0</v>
      </c>
      <c r="AX160" s="3">
        <f>IFERROR(__xludf.DUMMYFUNCTION("""COMPUTED_VALUE"""),0.0)</f>
        <v>0</v>
      </c>
      <c r="AY160" s="3">
        <f>IFERROR(__xludf.DUMMYFUNCTION("""COMPUTED_VALUE"""),0.0)</f>
        <v>0</v>
      </c>
      <c r="AZ160" s="3">
        <f>IFERROR(__xludf.DUMMYFUNCTION("""COMPUTED_VALUE"""),0.0)</f>
        <v>0</v>
      </c>
      <c r="BA160" s="3">
        <f>IFERROR(__xludf.DUMMYFUNCTION("""COMPUTED_VALUE"""),0.0)</f>
        <v>0</v>
      </c>
      <c r="BB160" s="3">
        <f>IFERROR(__xludf.DUMMYFUNCTION("""COMPUTED_VALUE"""),0.0)</f>
        <v>0</v>
      </c>
      <c r="BC160" s="3">
        <f>IFERROR(__xludf.DUMMYFUNCTION("""COMPUTED_VALUE"""),0.0)</f>
        <v>0</v>
      </c>
      <c r="BD160" s="3">
        <f>IFERROR(__xludf.DUMMYFUNCTION("""COMPUTED_VALUE"""),0.0)</f>
        <v>0</v>
      </c>
      <c r="BE160" s="3">
        <f>IFERROR(__xludf.DUMMYFUNCTION("""COMPUTED_VALUE"""),0.0)</f>
        <v>0</v>
      </c>
      <c r="BF160" s="3">
        <f>IFERROR(__xludf.DUMMYFUNCTION("""COMPUTED_VALUE"""),0.0)</f>
        <v>0</v>
      </c>
      <c r="BG160" s="3">
        <f>IFERROR(__xludf.DUMMYFUNCTION("""COMPUTED_VALUE"""),0.0)</f>
        <v>0</v>
      </c>
      <c r="BH160" s="3">
        <f>IFERROR(__xludf.DUMMYFUNCTION("""COMPUTED_VALUE"""),0.0)</f>
        <v>0</v>
      </c>
      <c r="BI160" s="3">
        <f>IFERROR(__xludf.DUMMYFUNCTION("""COMPUTED_VALUE"""),0.0)</f>
        <v>0</v>
      </c>
      <c r="BJ160" s="3">
        <f>IFERROR(__xludf.DUMMYFUNCTION("""COMPUTED_VALUE"""),1.0)</f>
        <v>1</v>
      </c>
      <c r="BK160" s="3">
        <f>IFERROR(__xludf.DUMMYFUNCTION("""COMPUTED_VALUE"""),1.0)</f>
        <v>1</v>
      </c>
      <c r="BL160" s="3">
        <f>IFERROR(__xludf.DUMMYFUNCTION("""COMPUTED_VALUE"""),2.0)</f>
        <v>2</v>
      </c>
      <c r="BM160" s="3">
        <f>IFERROR(__xludf.DUMMYFUNCTION("""COMPUTED_VALUE"""),2.0)</f>
        <v>2</v>
      </c>
      <c r="BN160" s="3">
        <f>IFERROR(__xludf.DUMMYFUNCTION("""COMPUTED_VALUE"""),3.0)</f>
        <v>3</v>
      </c>
      <c r="BO160" s="3">
        <f>IFERROR(__xludf.DUMMYFUNCTION("""COMPUTED_VALUE"""),4.0)</f>
        <v>4</v>
      </c>
      <c r="BP160" s="3">
        <f>IFERROR(__xludf.DUMMYFUNCTION("""COMPUTED_VALUE"""),5.0)</f>
        <v>5</v>
      </c>
      <c r="BQ160" s="3">
        <f>IFERROR(__xludf.DUMMYFUNCTION("""COMPUTED_VALUE"""),6.0)</f>
        <v>6</v>
      </c>
      <c r="BR160" s="3">
        <f>IFERROR(__xludf.DUMMYFUNCTION("""COMPUTED_VALUE"""),8.0)</f>
        <v>8</v>
      </c>
      <c r="BS160" s="3">
        <f>IFERROR(__xludf.DUMMYFUNCTION("""COMPUTED_VALUE"""),12.0)</f>
        <v>12</v>
      </c>
      <c r="BT160" s="3">
        <f>IFERROR(__xludf.DUMMYFUNCTION("""COMPUTED_VALUE"""),16.0)</f>
        <v>16</v>
      </c>
      <c r="BU160" s="3">
        <f>IFERROR(__xludf.DUMMYFUNCTION("""COMPUTED_VALUE"""),20.0)</f>
        <v>20</v>
      </c>
      <c r="BV160" s="3">
        <f>IFERROR(__xludf.DUMMYFUNCTION("""COMPUTED_VALUE"""),28.0)</f>
        <v>28</v>
      </c>
      <c r="BW160" s="3">
        <f>IFERROR(__xludf.DUMMYFUNCTION("""COMPUTED_VALUE"""),29.0)</f>
        <v>29</v>
      </c>
      <c r="BX160" s="3">
        <f>IFERROR(__xludf.DUMMYFUNCTION("""COMPUTED_VALUE"""),37.0)</f>
        <v>37</v>
      </c>
      <c r="BY160" s="3">
        <f>IFERROR(__xludf.DUMMYFUNCTION("""COMPUTED_VALUE"""),50.0)</f>
        <v>50</v>
      </c>
      <c r="BZ160" s="3">
        <f>IFERROR(__xludf.DUMMYFUNCTION("""COMPUTED_VALUE"""),60.0)</f>
        <v>60</v>
      </c>
      <c r="CA160" s="3">
        <f>IFERROR(__xludf.DUMMYFUNCTION("""COMPUTED_VALUE"""),79.0)</f>
        <v>79</v>
      </c>
      <c r="CB160" s="3">
        <f>IFERROR(__xludf.DUMMYFUNCTION("""COMPUTED_VALUE"""),94.0)</f>
        <v>94</v>
      </c>
    </row>
    <row r="161">
      <c r="A161" s="3" t="str">
        <f>IFERROR(__xludf.DUMMYFUNCTION("""COMPUTED_VALUE"""),"")</f>
        <v/>
      </c>
      <c r="B161" s="3" t="str">
        <f>IFERROR(__xludf.DUMMYFUNCTION("""COMPUTED_VALUE"""),"Moldova")</f>
        <v>Moldova</v>
      </c>
      <c r="C161" s="3">
        <f>IFERROR(__xludf.DUMMYFUNCTION("""COMPUTED_VALUE"""),47.4116)</f>
        <v>47.4116</v>
      </c>
      <c r="D161" s="3">
        <f>IFERROR(__xludf.DUMMYFUNCTION("""COMPUTED_VALUE"""),28.3699)</f>
        <v>28.3699</v>
      </c>
      <c r="E161" s="3">
        <f>IFERROR(__xludf.DUMMYFUNCTION("""COMPUTED_VALUE"""),0.0)</f>
        <v>0</v>
      </c>
      <c r="F161" s="3">
        <f>IFERROR(__xludf.DUMMYFUNCTION("""COMPUTED_VALUE"""),0.0)</f>
        <v>0</v>
      </c>
      <c r="G161" s="3">
        <f>IFERROR(__xludf.DUMMYFUNCTION("""COMPUTED_VALUE"""),0.0)</f>
        <v>0</v>
      </c>
      <c r="H161" s="3">
        <f>IFERROR(__xludf.DUMMYFUNCTION("""COMPUTED_VALUE"""),0.0)</f>
        <v>0</v>
      </c>
      <c r="I161" s="3">
        <f>IFERROR(__xludf.DUMMYFUNCTION("""COMPUTED_VALUE"""),0.0)</f>
        <v>0</v>
      </c>
      <c r="J161" s="3">
        <f>IFERROR(__xludf.DUMMYFUNCTION("""COMPUTED_VALUE"""),0.0)</f>
        <v>0</v>
      </c>
      <c r="K161" s="3">
        <f>IFERROR(__xludf.DUMMYFUNCTION("""COMPUTED_VALUE"""),0.0)</f>
        <v>0</v>
      </c>
      <c r="L161" s="3">
        <f>IFERROR(__xludf.DUMMYFUNCTION("""COMPUTED_VALUE"""),0.0)</f>
        <v>0</v>
      </c>
      <c r="M161" s="3">
        <f>IFERROR(__xludf.DUMMYFUNCTION("""COMPUTED_VALUE"""),0.0)</f>
        <v>0</v>
      </c>
      <c r="N161" s="3">
        <f>IFERROR(__xludf.DUMMYFUNCTION("""COMPUTED_VALUE"""),0.0)</f>
        <v>0</v>
      </c>
      <c r="O161" s="3">
        <f>IFERROR(__xludf.DUMMYFUNCTION("""COMPUTED_VALUE"""),0.0)</f>
        <v>0</v>
      </c>
      <c r="P161" s="3">
        <f>IFERROR(__xludf.DUMMYFUNCTION("""COMPUTED_VALUE"""),0.0)</f>
        <v>0</v>
      </c>
      <c r="Q161" s="3">
        <f>IFERROR(__xludf.DUMMYFUNCTION("""COMPUTED_VALUE"""),0.0)</f>
        <v>0</v>
      </c>
      <c r="R161" s="3">
        <f>IFERROR(__xludf.DUMMYFUNCTION("""COMPUTED_VALUE"""),0.0)</f>
        <v>0</v>
      </c>
      <c r="S161" s="3">
        <f>IFERROR(__xludf.DUMMYFUNCTION("""COMPUTED_VALUE"""),0.0)</f>
        <v>0</v>
      </c>
      <c r="T161" s="3">
        <f>IFERROR(__xludf.DUMMYFUNCTION("""COMPUTED_VALUE"""),0.0)</f>
        <v>0</v>
      </c>
      <c r="U161" s="3">
        <f>IFERROR(__xludf.DUMMYFUNCTION("""COMPUTED_VALUE"""),0.0)</f>
        <v>0</v>
      </c>
      <c r="V161" s="3">
        <f>IFERROR(__xludf.DUMMYFUNCTION("""COMPUTED_VALUE"""),0.0)</f>
        <v>0</v>
      </c>
      <c r="W161" s="3">
        <f>IFERROR(__xludf.DUMMYFUNCTION("""COMPUTED_VALUE"""),0.0)</f>
        <v>0</v>
      </c>
      <c r="X161" s="3">
        <f>IFERROR(__xludf.DUMMYFUNCTION("""COMPUTED_VALUE"""),0.0)</f>
        <v>0</v>
      </c>
      <c r="Y161" s="3">
        <f>IFERROR(__xludf.DUMMYFUNCTION("""COMPUTED_VALUE"""),0.0)</f>
        <v>0</v>
      </c>
      <c r="Z161" s="3">
        <f>IFERROR(__xludf.DUMMYFUNCTION("""COMPUTED_VALUE"""),0.0)</f>
        <v>0</v>
      </c>
      <c r="AA161" s="3">
        <f>IFERROR(__xludf.DUMMYFUNCTION("""COMPUTED_VALUE"""),0.0)</f>
        <v>0</v>
      </c>
      <c r="AB161" s="3">
        <f>IFERROR(__xludf.DUMMYFUNCTION("""COMPUTED_VALUE"""),0.0)</f>
        <v>0</v>
      </c>
      <c r="AC161" s="3">
        <f>IFERROR(__xludf.DUMMYFUNCTION("""COMPUTED_VALUE"""),0.0)</f>
        <v>0</v>
      </c>
      <c r="AD161" s="3">
        <f>IFERROR(__xludf.DUMMYFUNCTION("""COMPUTED_VALUE"""),0.0)</f>
        <v>0</v>
      </c>
      <c r="AE161" s="3">
        <f>IFERROR(__xludf.DUMMYFUNCTION("""COMPUTED_VALUE"""),0.0)</f>
        <v>0</v>
      </c>
      <c r="AF161" s="3">
        <f>IFERROR(__xludf.DUMMYFUNCTION("""COMPUTED_VALUE"""),0.0)</f>
        <v>0</v>
      </c>
      <c r="AG161" s="3">
        <f>IFERROR(__xludf.DUMMYFUNCTION("""COMPUTED_VALUE"""),0.0)</f>
        <v>0</v>
      </c>
      <c r="AH161" s="3">
        <f>IFERROR(__xludf.DUMMYFUNCTION("""COMPUTED_VALUE"""),0.0)</f>
        <v>0</v>
      </c>
      <c r="AI161" s="3">
        <f>IFERROR(__xludf.DUMMYFUNCTION("""COMPUTED_VALUE"""),0.0)</f>
        <v>0</v>
      </c>
      <c r="AJ161" s="3">
        <f>IFERROR(__xludf.DUMMYFUNCTION("""COMPUTED_VALUE"""),0.0)</f>
        <v>0</v>
      </c>
      <c r="AK161" s="3">
        <f>IFERROR(__xludf.DUMMYFUNCTION("""COMPUTED_VALUE"""),0.0)</f>
        <v>0</v>
      </c>
      <c r="AL161" s="3">
        <f>IFERROR(__xludf.DUMMYFUNCTION("""COMPUTED_VALUE"""),0.0)</f>
        <v>0</v>
      </c>
      <c r="AM161" s="3">
        <f>IFERROR(__xludf.DUMMYFUNCTION("""COMPUTED_VALUE"""),0.0)</f>
        <v>0</v>
      </c>
      <c r="AN161" s="3">
        <f>IFERROR(__xludf.DUMMYFUNCTION("""COMPUTED_VALUE"""),0.0)</f>
        <v>0</v>
      </c>
      <c r="AO161" s="3">
        <f>IFERROR(__xludf.DUMMYFUNCTION("""COMPUTED_VALUE"""),0.0)</f>
        <v>0</v>
      </c>
      <c r="AP161" s="3">
        <f>IFERROR(__xludf.DUMMYFUNCTION("""COMPUTED_VALUE"""),0.0)</f>
        <v>0</v>
      </c>
      <c r="AQ161" s="3">
        <f>IFERROR(__xludf.DUMMYFUNCTION("""COMPUTED_VALUE"""),0.0)</f>
        <v>0</v>
      </c>
      <c r="AR161" s="3">
        <f>IFERROR(__xludf.DUMMYFUNCTION("""COMPUTED_VALUE"""),0.0)</f>
        <v>0</v>
      </c>
      <c r="AS161" s="3">
        <f>IFERROR(__xludf.DUMMYFUNCTION("""COMPUTED_VALUE"""),0.0)</f>
        <v>0</v>
      </c>
      <c r="AT161" s="3">
        <f>IFERROR(__xludf.DUMMYFUNCTION("""COMPUTED_VALUE"""),0.0)</f>
        <v>0</v>
      </c>
      <c r="AU161" s="3">
        <f>IFERROR(__xludf.DUMMYFUNCTION("""COMPUTED_VALUE"""),0.0)</f>
        <v>0</v>
      </c>
      <c r="AV161" s="3">
        <f>IFERROR(__xludf.DUMMYFUNCTION("""COMPUTED_VALUE"""),0.0)</f>
        <v>0</v>
      </c>
      <c r="AW161" s="3">
        <f>IFERROR(__xludf.DUMMYFUNCTION("""COMPUTED_VALUE"""),0.0)</f>
        <v>0</v>
      </c>
      <c r="AX161" s="3">
        <f>IFERROR(__xludf.DUMMYFUNCTION("""COMPUTED_VALUE"""),0.0)</f>
        <v>0</v>
      </c>
      <c r="AY161" s="3">
        <f>IFERROR(__xludf.DUMMYFUNCTION("""COMPUTED_VALUE"""),0.0)</f>
        <v>0</v>
      </c>
      <c r="AZ161" s="3">
        <f>IFERROR(__xludf.DUMMYFUNCTION("""COMPUTED_VALUE"""),0.0)</f>
        <v>0</v>
      </c>
      <c r="BA161" s="3">
        <f>IFERROR(__xludf.DUMMYFUNCTION("""COMPUTED_VALUE"""),0.0)</f>
        <v>0</v>
      </c>
      <c r="BB161" s="3">
        <f>IFERROR(__xludf.DUMMYFUNCTION("""COMPUTED_VALUE"""),0.0)</f>
        <v>0</v>
      </c>
      <c r="BC161" s="3">
        <f>IFERROR(__xludf.DUMMYFUNCTION("""COMPUTED_VALUE"""),0.0)</f>
        <v>0</v>
      </c>
      <c r="BD161" s="3">
        <f>IFERROR(__xludf.DUMMYFUNCTION("""COMPUTED_VALUE"""),0.0)</f>
        <v>0</v>
      </c>
      <c r="BE161" s="3">
        <f>IFERROR(__xludf.DUMMYFUNCTION("""COMPUTED_VALUE"""),0.0)</f>
        <v>0</v>
      </c>
      <c r="BF161" s="3">
        <f>IFERROR(__xludf.DUMMYFUNCTION("""COMPUTED_VALUE"""),0.0)</f>
        <v>0</v>
      </c>
      <c r="BG161" s="3">
        <f>IFERROR(__xludf.DUMMYFUNCTION("""COMPUTED_VALUE"""),0.0)</f>
        <v>0</v>
      </c>
      <c r="BH161" s="3">
        <f>IFERROR(__xludf.DUMMYFUNCTION("""COMPUTED_VALUE"""),0.0)</f>
        <v>0</v>
      </c>
      <c r="BI161" s="3">
        <f>IFERROR(__xludf.DUMMYFUNCTION("""COMPUTED_VALUE"""),1.0)</f>
        <v>1</v>
      </c>
      <c r="BJ161" s="3">
        <f>IFERROR(__xludf.DUMMYFUNCTION("""COMPUTED_VALUE"""),1.0)</f>
        <v>1</v>
      </c>
      <c r="BK161" s="3">
        <f>IFERROR(__xludf.DUMMYFUNCTION("""COMPUTED_VALUE"""),1.0)</f>
        <v>1</v>
      </c>
      <c r="BL161" s="3">
        <f>IFERROR(__xludf.DUMMYFUNCTION("""COMPUTED_VALUE"""),1.0)</f>
        <v>1</v>
      </c>
      <c r="BM161" s="3">
        <f>IFERROR(__xludf.DUMMYFUNCTION("""COMPUTED_VALUE"""),1.0)</f>
        <v>1</v>
      </c>
      <c r="BN161" s="3">
        <f>IFERROR(__xludf.DUMMYFUNCTION("""COMPUTED_VALUE"""),1.0)</f>
        <v>1</v>
      </c>
      <c r="BO161" s="3">
        <f>IFERROR(__xludf.DUMMYFUNCTION("""COMPUTED_VALUE"""),1.0)</f>
        <v>1</v>
      </c>
      <c r="BP161" s="3">
        <f>IFERROR(__xludf.DUMMYFUNCTION("""COMPUTED_VALUE"""),1.0)</f>
        <v>1</v>
      </c>
      <c r="BQ161" s="3">
        <f>IFERROR(__xludf.DUMMYFUNCTION("""COMPUTED_VALUE"""),1.0)</f>
        <v>1</v>
      </c>
      <c r="BR161" s="3">
        <f>IFERROR(__xludf.DUMMYFUNCTION("""COMPUTED_VALUE"""),2.0)</f>
        <v>2</v>
      </c>
      <c r="BS161" s="3">
        <f>IFERROR(__xludf.DUMMYFUNCTION("""COMPUTED_VALUE"""),2.0)</f>
        <v>2</v>
      </c>
      <c r="BT161" s="3">
        <f>IFERROR(__xludf.DUMMYFUNCTION("""COMPUTED_VALUE"""),2.0)</f>
        <v>2</v>
      </c>
      <c r="BU161" s="3">
        <f>IFERROR(__xludf.DUMMYFUNCTION("""COMPUTED_VALUE"""),2.0)</f>
        <v>2</v>
      </c>
      <c r="BV161" s="3">
        <f>IFERROR(__xludf.DUMMYFUNCTION("""COMPUTED_VALUE"""),4.0)</f>
        <v>4</v>
      </c>
      <c r="BW161" s="3">
        <f>IFERROR(__xludf.DUMMYFUNCTION("""COMPUTED_VALUE"""),5.0)</f>
        <v>5</v>
      </c>
      <c r="BX161" s="3">
        <f>IFERROR(__xludf.DUMMYFUNCTION("""COMPUTED_VALUE"""),6.0)</f>
        <v>6</v>
      </c>
      <c r="BY161" s="3">
        <f>IFERROR(__xludf.DUMMYFUNCTION("""COMPUTED_VALUE"""),8.0)</f>
        <v>8</v>
      </c>
      <c r="BZ161" s="3">
        <f>IFERROR(__xludf.DUMMYFUNCTION("""COMPUTED_VALUE"""),12.0)</f>
        <v>12</v>
      </c>
      <c r="CA161" s="3">
        <f>IFERROR(__xludf.DUMMYFUNCTION("""COMPUTED_VALUE"""),15.0)</f>
        <v>15</v>
      </c>
      <c r="CB161" s="3">
        <f>IFERROR(__xludf.DUMMYFUNCTION("""COMPUTED_VALUE"""),19.0)</f>
        <v>19</v>
      </c>
    </row>
    <row r="162">
      <c r="A162" s="3" t="str">
        <f>IFERROR(__xludf.DUMMYFUNCTION("""COMPUTED_VALUE"""),"")</f>
        <v/>
      </c>
      <c r="B162" s="3" t="str">
        <f>IFERROR(__xludf.DUMMYFUNCTION("""COMPUTED_VALUE"""),"Monaco")</f>
        <v>Monaco</v>
      </c>
      <c r="C162" s="3">
        <f>IFERROR(__xludf.DUMMYFUNCTION("""COMPUTED_VALUE"""),43.7333)</f>
        <v>43.7333</v>
      </c>
      <c r="D162" s="3">
        <f>IFERROR(__xludf.DUMMYFUNCTION("""COMPUTED_VALUE"""),7.4167)</f>
        <v>7.4167</v>
      </c>
      <c r="E162" s="3">
        <f>IFERROR(__xludf.DUMMYFUNCTION("""COMPUTED_VALUE"""),0.0)</f>
        <v>0</v>
      </c>
      <c r="F162" s="3">
        <f>IFERROR(__xludf.DUMMYFUNCTION("""COMPUTED_VALUE"""),0.0)</f>
        <v>0</v>
      </c>
      <c r="G162" s="3">
        <f>IFERROR(__xludf.DUMMYFUNCTION("""COMPUTED_VALUE"""),0.0)</f>
        <v>0</v>
      </c>
      <c r="H162" s="3">
        <f>IFERROR(__xludf.DUMMYFUNCTION("""COMPUTED_VALUE"""),0.0)</f>
        <v>0</v>
      </c>
      <c r="I162" s="3">
        <f>IFERROR(__xludf.DUMMYFUNCTION("""COMPUTED_VALUE"""),0.0)</f>
        <v>0</v>
      </c>
      <c r="J162" s="3">
        <f>IFERROR(__xludf.DUMMYFUNCTION("""COMPUTED_VALUE"""),0.0)</f>
        <v>0</v>
      </c>
      <c r="K162" s="3">
        <f>IFERROR(__xludf.DUMMYFUNCTION("""COMPUTED_VALUE"""),0.0)</f>
        <v>0</v>
      </c>
      <c r="L162" s="3">
        <f>IFERROR(__xludf.DUMMYFUNCTION("""COMPUTED_VALUE"""),0.0)</f>
        <v>0</v>
      </c>
      <c r="M162" s="3">
        <f>IFERROR(__xludf.DUMMYFUNCTION("""COMPUTED_VALUE"""),0.0)</f>
        <v>0</v>
      </c>
      <c r="N162" s="3">
        <f>IFERROR(__xludf.DUMMYFUNCTION("""COMPUTED_VALUE"""),0.0)</f>
        <v>0</v>
      </c>
      <c r="O162" s="3">
        <f>IFERROR(__xludf.DUMMYFUNCTION("""COMPUTED_VALUE"""),0.0)</f>
        <v>0</v>
      </c>
      <c r="P162" s="3">
        <f>IFERROR(__xludf.DUMMYFUNCTION("""COMPUTED_VALUE"""),0.0)</f>
        <v>0</v>
      </c>
      <c r="Q162" s="3">
        <f>IFERROR(__xludf.DUMMYFUNCTION("""COMPUTED_VALUE"""),0.0)</f>
        <v>0</v>
      </c>
      <c r="R162" s="3">
        <f>IFERROR(__xludf.DUMMYFUNCTION("""COMPUTED_VALUE"""),0.0)</f>
        <v>0</v>
      </c>
      <c r="S162" s="3">
        <f>IFERROR(__xludf.DUMMYFUNCTION("""COMPUTED_VALUE"""),0.0)</f>
        <v>0</v>
      </c>
      <c r="T162" s="3">
        <f>IFERROR(__xludf.DUMMYFUNCTION("""COMPUTED_VALUE"""),0.0)</f>
        <v>0</v>
      </c>
      <c r="U162" s="3">
        <f>IFERROR(__xludf.DUMMYFUNCTION("""COMPUTED_VALUE"""),0.0)</f>
        <v>0</v>
      </c>
      <c r="V162" s="3">
        <f>IFERROR(__xludf.DUMMYFUNCTION("""COMPUTED_VALUE"""),0.0)</f>
        <v>0</v>
      </c>
      <c r="W162" s="3">
        <f>IFERROR(__xludf.DUMMYFUNCTION("""COMPUTED_VALUE"""),0.0)</f>
        <v>0</v>
      </c>
      <c r="X162" s="3">
        <f>IFERROR(__xludf.DUMMYFUNCTION("""COMPUTED_VALUE"""),0.0)</f>
        <v>0</v>
      </c>
      <c r="Y162" s="3">
        <f>IFERROR(__xludf.DUMMYFUNCTION("""COMPUTED_VALUE"""),0.0)</f>
        <v>0</v>
      </c>
      <c r="Z162" s="3">
        <f>IFERROR(__xludf.DUMMYFUNCTION("""COMPUTED_VALUE"""),0.0)</f>
        <v>0</v>
      </c>
      <c r="AA162" s="3">
        <f>IFERROR(__xludf.DUMMYFUNCTION("""COMPUTED_VALUE"""),0.0)</f>
        <v>0</v>
      </c>
      <c r="AB162" s="3">
        <f>IFERROR(__xludf.DUMMYFUNCTION("""COMPUTED_VALUE"""),0.0)</f>
        <v>0</v>
      </c>
      <c r="AC162" s="3">
        <f>IFERROR(__xludf.DUMMYFUNCTION("""COMPUTED_VALUE"""),0.0)</f>
        <v>0</v>
      </c>
      <c r="AD162" s="3">
        <f>IFERROR(__xludf.DUMMYFUNCTION("""COMPUTED_VALUE"""),0.0)</f>
        <v>0</v>
      </c>
      <c r="AE162" s="3">
        <f>IFERROR(__xludf.DUMMYFUNCTION("""COMPUTED_VALUE"""),0.0)</f>
        <v>0</v>
      </c>
      <c r="AF162" s="3">
        <f>IFERROR(__xludf.DUMMYFUNCTION("""COMPUTED_VALUE"""),0.0)</f>
        <v>0</v>
      </c>
      <c r="AG162" s="3">
        <f>IFERROR(__xludf.DUMMYFUNCTION("""COMPUTED_VALUE"""),0.0)</f>
        <v>0</v>
      </c>
      <c r="AH162" s="3">
        <f>IFERROR(__xludf.DUMMYFUNCTION("""COMPUTED_VALUE"""),0.0)</f>
        <v>0</v>
      </c>
      <c r="AI162" s="3">
        <f>IFERROR(__xludf.DUMMYFUNCTION("""COMPUTED_VALUE"""),0.0)</f>
        <v>0</v>
      </c>
      <c r="AJ162" s="3">
        <f>IFERROR(__xludf.DUMMYFUNCTION("""COMPUTED_VALUE"""),0.0)</f>
        <v>0</v>
      </c>
      <c r="AK162" s="3">
        <f>IFERROR(__xludf.DUMMYFUNCTION("""COMPUTED_VALUE"""),0.0)</f>
        <v>0</v>
      </c>
      <c r="AL162" s="3">
        <f>IFERROR(__xludf.DUMMYFUNCTION("""COMPUTED_VALUE"""),0.0)</f>
        <v>0</v>
      </c>
      <c r="AM162" s="3">
        <f>IFERROR(__xludf.DUMMYFUNCTION("""COMPUTED_VALUE"""),0.0)</f>
        <v>0</v>
      </c>
      <c r="AN162" s="3">
        <f>IFERROR(__xludf.DUMMYFUNCTION("""COMPUTED_VALUE"""),0.0)</f>
        <v>0</v>
      </c>
      <c r="AO162" s="3">
        <f>IFERROR(__xludf.DUMMYFUNCTION("""COMPUTED_VALUE"""),0.0)</f>
        <v>0</v>
      </c>
      <c r="AP162" s="3">
        <f>IFERROR(__xludf.DUMMYFUNCTION("""COMPUTED_VALUE"""),0.0)</f>
        <v>0</v>
      </c>
      <c r="AQ162" s="3">
        <f>IFERROR(__xludf.DUMMYFUNCTION("""COMPUTED_VALUE"""),0.0)</f>
        <v>0</v>
      </c>
      <c r="AR162" s="3">
        <f>IFERROR(__xludf.DUMMYFUNCTION("""COMPUTED_VALUE"""),0.0)</f>
        <v>0</v>
      </c>
      <c r="AS162" s="3">
        <f>IFERROR(__xludf.DUMMYFUNCTION("""COMPUTED_VALUE"""),0.0)</f>
        <v>0</v>
      </c>
      <c r="AT162" s="3">
        <f>IFERROR(__xludf.DUMMYFUNCTION("""COMPUTED_VALUE"""),0.0)</f>
        <v>0</v>
      </c>
      <c r="AU162" s="3">
        <f>IFERROR(__xludf.DUMMYFUNCTION("""COMPUTED_VALUE"""),0.0)</f>
        <v>0</v>
      </c>
      <c r="AV162" s="3">
        <f>IFERROR(__xludf.DUMMYFUNCTION("""COMPUTED_VALUE"""),0.0)</f>
        <v>0</v>
      </c>
      <c r="AW162" s="3">
        <f>IFERROR(__xludf.DUMMYFUNCTION("""COMPUTED_VALUE"""),0.0)</f>
        <v>0</v>
      </c>
      <c r="AX162" s="3">
        <f>IFERROR(__xludf.DUMMYFUNCTION("""COMPUTED_VALUE"""),0.0)</f>
        <v>0</v>
      </c>
      <c r="AY162" s="3">
        <f>IFERROR(__xludf.DUMMYFUNCTION("""COMPUTED_VALUE"""),0.0)</f>
        <v>0</v>
      </c>
      <c r="AZ162" s="3">
        <f>IFERROR(__xludf.DUMMYFUNCTION("""COMPUTED_VALUE"""),0.0)</f>
        <v>0</v>
      </c>
      <c r="BA162" s="3">
        <f>IFERROR(__xludf.DUMMYFUNCTION("""COMPUTED_VALUE"""),0.0)</f>
        <v>0</v>
      </c>
      <c r="BB162" s="3">
        <f>IFERROR(__xludf.DUMMYFUNCTION("""COMPUTED_VALUE"""),0.0)</f>
        <v>0</v>
      </c>
      <c r="BC162" s="3">
        <f>IFERROR(__xludf.DUMMYFUNCTION("""COMPUTED_VALUE"""),0.0)</f>
        <v>0</v>
      </c>
      <c r="BD162" s="3">
        <f>IFERROR(__xludf.DUMMYFUNCTION("""COMPUTED_VALUE"""),0.0)</f>
        <v>0</v>
      </c>
      <c r="BE162" s="3">
        <f>IFERROR(__xludf.DUMMYFUNCTION("""COMPUTED_VALUE"""),0.0)</f>
        <v>0</v>
      </c>
      <c r="BF162" s="3">
        <f>IFERROR(__xludf.DUMMYFUNCTION("""COMPUTED_VALUE"""),0.0)</f>
        <v>0</v>
      </c>
      <c r="BG162" s="3">
        <f>IFERROR(__xludf.DUMMYFUNCTION("""COMPUTED_VALUE"""),0.0)</f>
        <v>0</v>
      </c>
      <c r="BH162" s="3">
        <f>IFERROR(__xludf.DUMMYFUNCTION("""COMPUTED_VALUE"""),0.0)</f>
        <v>0</v>
      </c>
      <c r="BI162" s="3">
        <f>IFERROR(__xludf.DUMMYFUNCTION("""COMPUTED_VALUE"""),0.0)</f>
        <v>0</v>
      </c>
      <c r="BJ162" s="3">
        <f>IFERROR(__xludf.DUMMYFUNCTION("""COMPUTED_VALUE"""),0.0)</f>
        <v>0</v>
      </c>
      <c r="BK162" s="3">
        <f>IFERROR(__xludf.DUMMYFUNCTION("""COMPUTED_VALUE"""),0.0)</f>
        <v>0</v>
      </c>
      <c r="BL162" s="3">
        <f>IFERROR(__xludf.DUMMYFUNCTION("""COMPUTED_VALUE"""),0.0)</f>
        <v>0</v>
      </c>
      <c r="BM162" s="3">
        <f>IFERROR(__xludf.DUMMYFUNCTION("""COMPUTED_VALUE"""),0.0)</f>
        <v>0</v>
      </c>
      <c r="BN162" s="3">
        <f>IFERROR(__xludf.DUMMYFUNCTION("""COMPUTED_VALUE"""),0.0)</f>
        <v>0</v>
      </c>
      <c r="BO162" s="3">
        <f>IFERROR(__xludf.DUMMYFUNCTION("""COMPUTED_VALUE"""),0.0)</f>
        <v>0</v>
      </c>
      <c r="BP162" s="3">
        <f>IFERROR(__xludf.DUMMYFUNCTION("""COMPUTED_VALUE"""),0.0)</f>
        <v>0</v>
      </c>
      <c r="BQ162" s="3">
        <f>IFERROR(__xludf.DUMMYFUNCTION("""COMPUTED_VALUE"""),0.0)</f>
        <v>0</v>
      </c>
      <c r="BR162" s="3">
        <f>IFERROR(__xludf.DUMMYFUNCTION("""COMPUTED_VALUE"""),0.0)</f>
        <v>0</v>
      </c>
      <c r="BS162" s="3">
        <f>IFERROR(__xludf.DUMMYFUNCTION("""COMPUTED_VALUE"""),0.0)</f>
        <v>0</v>
      </c>
      <c r="BT162" s="3">
        <f>IFERROR(__xludf.DUMMYFUNCTION("""COMPUTED_VALUE"""),1.0)</f>
        <v>1</v>
      </c>
      <c r="BU162" s="3">
        <f>IFERROR(__xludf.DUMMYFUNCTION("""COMPUTED_VALUE"""),1.0)</f>
        <v>1</v>
      </c>
      <c r="BV162" s="3">
        <f>IFERROR(__xludf.DUMMYFUNCTION("""COMPUTED_VALUE"""),1.0)</f>
        <v>1</v>
      </c>
      <c r="BW162" s="3">
        <f>IFERROR(__xludf.DUMMYFUNCTION("""COMPUTED_VALUE"""),1.0)</f>
        <v>1</v>
      </c>
      <c r="BX162" s="3">
        <f>IFERROR(__xludf.DUMMYFUNCTION("""COMPUTED_VALUE"""),1.0)</f>
        <v>1</v>
      </c>
      <c r="BY162" s="3">
        <f>IFERROR(__xludf.DUMMYFUNCTION("""COMPUTED_VALUE"""),1.0)</f>
        <v>1</v>
      </c>
      <c r="BZ162" s="3">
        <f>IFERROR(__xludf.DUMMYFUNCTION("""COMPUTED_VALUE"""),1.0)</f>
        <v>1</v>
      </c>
      <c r="CA162" s="3">
        <f>IFERROR(__xludf.DUMMYFUNCTION("""COMPUTED_VALUE"""),1.0)</f>
        <v>1</v>
      </c>
      <c r="CB162" s="3">
        <f>IFERROR(__xludf.DUMMYFUNCTION("""COMPUTED_VALUE"""),1.0)</f>
        <v>1</v>
      </c>
    </row>
    <row r="163">
      <c r="A163" s="3" t="str">
        <f>IFERROR(__xludf.DUMMYFUNCTION("""COMPUTED_VALUE"""),"")</f>
        <v/>
      </c>
      <c r="B163" s="3" t="str">
        <f>IFERROR(__xludf.DUMMYFUNCTION("""COMPUTED_VALUE"""),"Mongolia")</f>
        <v>Mongolia</v>
      </c>
      <c r="C163" s="3">
        <f>IFERROR(__xludf.DUMMYFUNCTION("""COMPUTED_VALUE"""),46.8625)</f>
        <v>46.8625</v>
      </c>
      <c r="D163" s="3">
        <f>IFERROR(__xludf.DUMMYFUNCTION("""COMPUTED_VALUE"""),103.8467)</f>
        <v>103.8467</v>
      </c>
      <c r="E163" s="3">
        <f>IFERROR(__xludf.DUMMYFUNCTION("""COMPUTED_VALUE"""),0.0)</f>
        <v>0</v>
      </c>
      <c r="F163" s="3">
        <f>IFERROR(__xludf.DUMMYFUNCTION("""COMPUTED_VALUE"""),0.0)</f>
        <v>0</v>
      </c>
      <c r="G163" s="3">
        <f>IFERROR(__xludf.DUMMYFUNCTION("""COMPUTED_VALUE"""),0.0)</f>
        <v>0</v>
      </c>
      <c r="H163" s="3">
        <f>IFERROR(__xludf.DUMMYFUNCTION("""COMPUTED_VALUE"""),0.0)</f>
        <v>0</v>
      </c>
      <c r="I163" s="3">
        <f>IFERROR(__xludf.DUMMYFUNCTION("""COMPUTED_VALUE"""),0.0)</f>
        <v>0</v>
      </c>
      <c r="J163" s="3">
        <f>IFERROR(__xludf.DUMMYFUNCTION("""COMPUTED_VALUE"""),0.0)</f>
        <v>0</v>
      </c>
      <c r="K163" s="3">
        <f>IFERROR(__xludf.DUMMYFUNCTION("""COMPUTED_VALUE"""),0.0)</f>
        <v>0</v>
      </c>
      <c r="L163" s="3">
        <f>IFERROR(__xludf.DUMMYFUNCTION("""COMPUTED_VALUE"""),0.0)</f>
        <v>0</v>
      </c>
      <c r="M163" s="3">
        <f>IFERROR(__xludf.DUMMYFUNCTION("""COMPUTED_VALUE"""),0.0)</f>
        <v>0</v>
      </c>
      <c r="N163" s="3">
        <f>IFERROR(__xludf.DUMMYFUNCTION("""COMPUTED_VALUE"""),0.0)</f>
        <v>0</v>
      </c>
      <c r="O163" s="3">
        <f>IFERROR(__xludf.DUMMYFUNCTION("""COMPUTED_VALUE"""),0.0)</f>
        <v>0</v>
      </c>
      <c r="P163" s="3">
        <f>IFERROR(__xludf.DUMMYFUNCTION("""COMPUTED_VALUE"""),0.0)</f>
        <v>0</v>
      </c>
      <c r="Q163" s="3">
        <f>IFERROR(__xludf.DUMMYFUNCTION("""COMPUTED_VALUE"""),0.0)</f>
        <v>0</v>
      </c>
      <c r="R163" s="3">
        <f>IFERROR(__xludf.DUMMYFUNCTION("""COMPUTED_VALUE"""),0.0)</f>
        <v>0</v>
      </c>
      <c r="S163" s="3">
        <f>IFERROR(__xludf.DUMMYFUNCTION("""COMPUTED_VALUE"""),0.0)</f>
        <v>0</v>
      </c>
      <c r="T163" s="3">
        <f>IFERROR(__xludf.DUMMYFUNCTION("""COMPUTED_VALUE"""),0.0)</f>
        <v>0</v>
      </c>
      <c r="U163" s="3">
        <f>IFERROR(__xludf.DUMMYFUNCTION("""COMPUTED_VALUE"""),0.0)</f>
        <v>0</v>
      </c>
      <c r="V163" s="3">
        <f>IFERROR(__xludf.DUMMYFUNCTION("""COMPUTED_VALUE"""),0.0)</f>
        <v>0</v>
      </c>
      <c r="W163" s="3">
        <f>IFERROR(__xludf.DUMMYFUNCTION("""COMPUTED_VALUE"""),0.0)</f>
        <v>0</v>
      </c>
      <c r="X163" s="3">
        <f>IFERROR(__xludf.DUMMYFUNCTION("""COMPUTED_VALUE"""),0.0)</f>
        <v>0</v>
      </c>
      <c r="Y163" s="3">
        <f>IFERROR(__xludf.DUMMYFUNCTION("""COMPUTED_VALUE"""),0.0)</f>
        <v>0</v>
      </c>
      <c r="Z163" s="3">
        <f>IFERROR(__xludf.DUMMYFUNCTION("""COMPUTED_VALUE"""),0.0)</f>
        <v>0</v>
      </c>
      <c r="AA163" s="3">
        <f>IFERROR(__xludf.DUMMYFUNCTION("""COMPUTED_VALUE"""),0.0)</f>
        <v>0</v>
      </c>
      <c r="AB163" s="3">
        <f>IFERROR(__xludf.DUMMYFUNCTION("""COMPUTED_VALUE"""),0.0)</f>
        <v>0</v>
      </c>
      <c r="AC163" s="3">
        <f>IFERROR(__xludf.DUMMYFUNCTION("""COMPUTED_VALUE"""),0.0)</f>
        <v>0</v>
      </c>
      <c r="AD163" s="3">
        <f>IFERROR(__xludf.DUMMYFUNCTION("""COMPUTED_VALUE"""),0.0)</f>
        <v>0</v>
      </c>
      <c r="AE163" s="3">
        <f>IFERROR(__xludf.DUMMYFUNCTION("""COMPUTED_VALUE"""),0.0)</f>
        <v>0</v>
      </c>
      <c r="AF163" s="3">
        <f>IFERROR(__xludf.DUMMYFUNCTION("""COMPUTED_VALUE"""),0.0)</f>
        <v>0</v>
      </c>
      <c r="AG163" s="3">
        <f>IFERROR(__xludf.DUMMYFUNCTION("""COMPUTED_VALUE"""),0.0)</f>
        <v>0</v>
      </c>
      <c r="AH163" s="3">
        <f>IFERROR(__xludf.DUMMYFUNCTION("""COMPUTED_VALUE"""),0.0)</f>
        <v>0</v>
      </c>
      <c r="AI163" s="3">
        <f>IFERROR(__xludf.DUMMYFUNCTION("""COMPUTED_VALUE"""),0.0)</f>
        <v>0</v>
      </c>
      <c r="AJ163" s="3">
        <f>IFERROR(__xludf.DUMMYFUNCTION("""COMPUTED_VALUE"""),0.0)</f>
        <v>0</v>
      </c>
      <c r="AK163" s="3">
        <f>IFERROR(__xludf.DUMMYFUNCTION("""COMPUTED_VALUE"""),0.0)</f>
        <v>0</v>
      </c>
      <c r="AL163" s="3">
        <f>IFERROR(__xludf.DUMMYFUNCTION("""COMPUTED_VALUE"""),0.0)</f>
        <v>0</v>
      </c>
      <c r="AM163" s="3">
        <f>IFERROR(__xludf.DUMMYFUNCTION("""COMPUTED_VALUE"""),0.0)</f>
        <v>0</v>
      </c>
      <c r="AN163" s="3">
        <f>IFERROR(__xludf.DUMMYFUNCTION("""COMPUTED_VALUE"""),0.0)</f>
        <v>0</v>
      </c>
      <c r="AO163" s="3">
        <f>IFERROR(__xludf.DUMMYFUNCTION("""COMPUTED_VALUE"""),0.0)</f>
        <v>0</v>
      </c>
      <c r="AP163" s="3">
        <f>IFERROR(__xludf.DUMMYFUNCTION("""COMPUTED_VALUE"""),0.0)</f>
        <v>0</v>
      </c>
      <c r="AQ163" s="3">
        <f>IFERROR(__xludf.DUMMYFUNCTION("""COMPUTED_VALUE"""),0.0)</f>
        <v>0</v>
      </c>
      <c r="AR163" s="3">
        <f>IFERROR(__xludf.DUMMYFUNCTION("""COMPUTED_VALUE"""),0.0)</f>
        <v>0</v>
      </c>
      <c r="AS163" s="3">
        <f>IFERROR(__xludf.DUMMYFUNCTION("""COMPUTED_VALUE"""),0.0)</f>
        <v>0</v>
      </c>
      <c r="AT163" s="3">
        <f>IFERROR(__xludf.DUMMYFUNCTION("""COMPUTED_VALUE"""),0.0)</f>
        <v>0</v>
      </c>
      <c r="AU163" s="3">
        <f>IFERROR(__xludf.DUMMYFUNCTION("""COMPUTED_VALUE"""),0.0)</f>
        <v>0</v>
      </c>
      <c r="AV163" s="3">
        <f>IFERROR(__xludf.DUMMYFUNCTION("""COMPUTED_VALUE"""),0.0)</f>
        <v>0</v>
      </c>
      <c r="AW163" s="3">
        <f>IFERROR(__xludf.DUMMYFUNCTION("""COMPUTED_VALUE"""),0.0)</f>
        <v>0</v>
      </c>
      <c r="AX163" s="3">
        <f>IFERROR(__xludf.DUMMYFUNCTION("""COMPUTED_VALUE"""),0.0)</f>
        <v>0</v>
      </c>
      <c r="AY163" s="3">
        <f>IFERROR(__xludf.DUMMYFUNCTION("""COMPUTED_VALUE"""),0.0)</f>
        <v>0</v>
      </c>
      <c r="AZ163" s="3">
        <f>IFERROR(__xludf.DUMMYFUNCTION("""COMPUTED_VALUE"""),0.0)</f>
        <v>0</v>
      </c>
      <c r="BA163" s="3">
        <f>IFERROR(__xludf.DUMMYFUNCTION("""COMPUTED_VALUE"""),0.0)</f>
        <v>0</v>
      </c>
      <c r="BB163" s="3">
        <f>IFERROR(__xludf.DUMMYFUNCTION("""COMPUTED_VALUE"""),0.0)</f>
        <v>0</v>
      </c>
      <c r="BC163" s="3">
        <f>IFERROR(__xludf.DUMMYFUNCTION("""COMPUTED_VALUE"""),0.0)</f>
        <v>0</v>
      </c>
      <c r="BD163" s="3">
        <f>IFERROR(__xludf.DUMMYFUNCTION("""COMPUTED_VALUE"""),0.0)</f>
        <v>0</v>
      </c>
      <c r="BE163" s="3">
        <f>IFERROR(__xludf.DUMMYFUNCTION("""COMPUTED_VALUE"""),0.0)</f>
        <v>0</v>
      </c>
      <c r="BF163" s="3">
        <f>IFERROR(__xludf.DUMMYFUNCTION("""COMPUTED_VALUE"""),0.0)</f>
        <v>0</v>
      </c>
      <c r="BG163" s="3">
        <f>IFERROR(__xludf.DUMMYFUNCTION("""COMPUTED_VALUE"""),0.0)</f>
        <v>0</v>
      </c>
      <c r="BH163" s="3">
        <f>IFERROR(__xludf.DUMMYFUNCTION("""COMPUTED_VALUE"""),0.0)</f>
        <v>0</v>
      </c>
      <c r="BI163" s="3">
        <f>IFERROR(__xludf.DUMMYFUNCTION("""COMPUTED_VALUE"""),0.0)</f>
        <v>0</v>
      </c>
      <c r="BJ163" s="3">
        <f>IFERROR(__xludf.DUMMYFUNCTION("""COMPUTED_VALUE"""),0.0)</f>
        <v>0</v>
      </c>
      <c r="BK163" s="3">
        <f>IFERROR(__xludf.DUMMYFUNCTION("""COMPUTED_VALUE"""),0.0)</f>
        <v>0</v>
      </c>
      <c r="BL163" s="3">
        <f>IFERROR(__xludf.DUMMYFUNCTION("""COMPUTED_VALUE"""),0.0)</f>
        <v>0</v>
      </c>
      <c r="BM163" s="3">
        <f>IFERROR(__xludf.DUMMYFUNCTION("""COMPUTED_VALUE"""),0.0)</f>
        <v>0</v>
      </c>
      <c r="BN163" s="3">
        <f>IFERROR(__xludf.DUMMYFUNCTION("""COMPUTED_VALUE"""),0.0)</f>
        <v>0</v>
      </c>
      <c r="BO163" s="3">
        <f>IFERROR(__xludf.DUMMYFUNCTION("""COMPUTED_VALUE"""),0.0)</f>
        <v>0</v>
      </c>
      <c r="BP163" s="3">
        <f>IFERROR(__xludf.DUMMYFUNCTION("""COMPUTED_VALUE"""),0.0)</f>
        <v>0</v>
      </c>
      <c r="BQ163" s="3">
        <f>IFERROR(__xludf.DUMMYFUNCTION("""COMPUTED_VALUE"""),0.0)</f>
        <v>0</v>
      </c>
      <c r="BR163" s="3">
        <f>IFERROR(__xludf.DUMMYFUNCTION("""COMPUTED_VALUE"""),0.0)</f>
        <v>0</v>
      </c>
      <c r="BS163" s="3">
        <f>IFERROR(__xludf.DUMMYFUNCTION("""COMPUTED_VALUE"""),0.0)</f>
        <v>0</v>
      </c>
      <c r="BT163" s="3">
        <f>IFERROR(__xludf.DUMMYFUNCTION("""COMPUTED_VALUE"""),0.0)</f>
        <v>0</v>
      </c>
      <c r="BU163" s="3">
        <f>IFERROR(__xludf.DUMMYFUNCTION("""COMPUTED_VALUE"""),0.0)</f>
        <v>0</v>
      </c>
      <c r="BV163" s="3">
        <f>IFERROR(__xludf.DUMMYFUNCTION("""COMPUTED_VALUE"""),0.0)</f>
        <v>0</v>
      </c>
      <c r="BW163" s="3">
        <f>IFERROR(__xludf.DUMMYFUNCTION("""COMPUTED_VALUE"""),0.0)</f>
        <v>0</v>
      </c>
      <c r="BX163" s="3">
        <f>IFERROR(__xludf.DUMMYFUNCTION("""COMPUTED_VALUE"""),0.0)</f>
        <v>0</v>
      </c>
      <c r="BY163" s="3">
        <f>IFERROR(__xludf.DUMMYFUNCTION("""COMPUTED_VALUE"""),0.0)</f>
        <v>0</v>
      </c>
      <c r="BZ163" s="3">
        <f>IFERROR(__xludf.DUMMYFUNCTION("""COMPUTED_VALUE"""),0.0)</f>
        <v>0</v>
      </c>
      <c r="CA163" s="3">
        <f>IFERROR(__xludf.DUMMYFUNCTION("""COMPUTED_VALUE"""),0.0)</f>
        <v>0</v>
      </c>
      <c r="CB163" s="3">
        <f>IFERROR(__xludf.DUMMYFUNCTION("""COMPUTED_VALUE"""),0.0)</f>
        <v>0</v>
      </c>
    </row>
    <row r="164">
      <c r="A164" s="3" t="str">
        <f>IFERROR(__xludf.DUMMYFUNCTION("""COMPUTED_VALUE"""),"")</f>
        <v/>
      </c>
      <c r="B164" s="3" t="str">
        <f>IFERROR(__xludf.DUMMYFUNCTION("""COMPUTED_VALUE"""),"Montenegro")</f>
        <v>Montenegro</v>
      </c>
      <c r="C164" s="3">
        <f>IFERROR(__xludf.DUMMYFUNCTION("""COMPUTED_VALUE"""),42.5)</f>
        <v>42.5</v>
      </c>
      <c r="D164" s="3">
        <f>IFERROR(__xludf.DUMMYFUNCTION("""COMPUTED_VALUE"""),19.3)</f>
        <v>19.3</v>
      </c>
      <c r="E164" s="3">
        <f>IFERROR(__xludf.DUMMYFUNCTION("""COMPUTED_VALUE"""),0.0)</f>
        <v>0</v>
      </c>
      <c r="F164" s="3">
        <f>IFERROR(__xludf.DUMMYFUNCTION("""COMPUTED_VALUE"""),0.0)</f>
        <v>0</v>
      </c>
      <c r="G164" s="3">
        <f>IFERROR(__xludf.DUMMYFUNCTION("""COMPUTED_VALUE"""),0.0)</f>
        <v>0</v>
      </c>
      <c r="H164" s="3">
        <f>IFERROR(__xludf.DUMMYFUNCTION("""COMPUTED_VALUE"""),0.0)</f>
        <v>0</v>
      </c>
      <c r="I164" s="3">
        <f>IFERROR(__xludf.DUMMYFUNCTION("""COMPUTED_VALUE"""),0.0)</f>
        <v>0</v>
      </c>
      <c r="J164" s="3">
        <f>IFERROR(__xludf.DUMMYFUNCTION("""COMPUTED_VALUE"""),0.0)</f>
        <v>0</v>
      </c>
      <c r="K164" s="3">
        <f>IFERROR(__xludf.DUMMYFUNCTION("""COMPUTED_VALUE"""),0.0)</f>
        <v>0</v>
      </c>
      <c r="L164" s="3">
        <f>IFERROR(__xludf.DUMMYFUNCTION("""COMPUTED_VALUE"""),0.0)</f>
        <v>0</v>
      </c>
      <c r="M164" s="3">
        <f>IFERROR(__xludf.DUMMYFUNCTION("""COMPUTED_VALUE"""),0.0)</f>
        <v>0</v>
      </c>
      <c r="N164" s="3">
        <f>IFERROR(__xludf.DUMMYFUNCTION("""COMPUTED_VALUE"""),0.0)</f>
        <v>0</v>
      </c>
      <c r="O164" s="3">
        <f>IFERROR(__xludf.DUMMYFUNCTION("""COMPUTED_VALUE"""),0.0)</f>
        <v>0</v>
      </c>
      <c r="P164" s="3">
        <f>IFERROR(__xludf.DUMMYFUNCTION("""COMPUTED_VALUE"""),0.0)</f>
        <v>0</v>
      </c>
      <c r="Q164" s="3">
        <f>IFERROR(__xludf.DUMMYFUNCTION("""COMPUTED_VALUE"""),0.0)</f>
        <v>0</v>
      </c>
      <c r="R164" s="3">
        <f>IFERROR(__xludf.DUMMYFUNCTION("""COMPUTED_VALUE"""),0.0)</f>
        <v>0</v>
      </c>
      <c r="S164" s="3">
        <f>IFERROR(__xludf.DUMMYFUNCTION("""COMPUTED_VALUE"""),0.0)</f>
        <v>0</v>
      </c>
      <c r="T164" s="3">
        <f>IFERROR(__xludf.DUMMYFUNCTION("""COMPUTED_VALUE"""),0.0)</f>
        <v>0</v>
      </c>
      <c r="U164" s="3">
        <f>IFERROR(__xludf.DUMMYFUNCTION("""COMPUTED_VALUE"""),0.0)</f>
        <v>0</v>
      </c>
      <c r="V164" s="3">
        <f>IFERROR(__xludf.DUMMYFUNCTION("""COMPUTED_VALUE"""),0.0)</f>
        <v>0</v>
      </c>
      <c r="W164" s="3">
        <f>IFERROR(__xludf.DUMMYFUNCTION("""COMPUTED_VALUE"""),0.0)</f>
        <v>0</v>
      </c>
      <c r="X164" s="3">
        <f>IFERROR(__xludf.DUMMYFUNCTION("""COMPUTED_VALUE"""),0.0)</f>
        <v>0</v>
      </c>
      <c r="Y164" s="3">
        <f>IFERROR(__xludf.DUMMYFUNCTION("""COMPUTED_VALUE"""),0.0)</f>
        <v>0</v>
      </c>
      <c r="Z164" s="3">
        <f>IFERROR(__xludf.DUMMYFUNCTION("""COMPUTED_VALUE"""),0.0)</f>
        <v>0</v>
      </c>
      <c r="AA164" s="3">
        <f>IFERROR(__xludf.DUMMYFUNCTION("""COMPUTED_VALUE"""),0.0)</f>
        <v>0</v>
      </c>
      <c r="AB164" s="3">
        <f>IFERROR(__xludf.DUMMYFUNCTION("""COMPUTED_VALUE"""),0.0)</f>
        <v>0</v>
      </c>
      <c r="AC164" s="3">
        <f>IFERROR(__xludf.DUMMYFUNCTION("""COMPUTED_VALUE"""),0.0)</f>
        <v>0</v>
      </c>
      <c r="AD164" s="3">
        <f>IFERROR(__xludf.DUMMYFUNCTION("""COMPUTED_VALUE"""),0.0)</f>
        <v>0</v>
      </c>
      <c r="AE164" s="3">
        <f>IFERROR(__xludf.DUMMYFUNCTION("""COMPUTED_VALUE"""),0.0)</f>
        <v>0</v>
      </c>
      <c r="AF164" s="3">
        <f>IFERROR(__xludf.DUMMYFUNCTION("""COMPUTED_VALUE"""),0.0)</f>
        <v>0</v>
      </c>
      <c r="AG164" s="3">
        <f>IFERROR(__xludf.DUMMYFUNCTION("""COMPUTED_VALUE"""),0.0)</f>
        <v>0</v>
      </c>
      <c r="AH164" s="3">
        <f>IFERROR(__xludf.DUMMYFUNCTION("""COMPUTED_VALUE"""),0.0)</f>
        <v>0</v>
      </c>
      <c r="AI164" s="3">
        <f>IFERROR(__xludf.DUMMYFUNCTION("""COMPUTED_VALUE"""),0.0)</f>
        <v>0</v>
      </c>
      <c r="AJ164" s="3">
        <f>IFERROR(__xludf.DUMMYFUNCTION("""COMPUTED_VALUE"""),0.0)</f>
        <v>0</v>
      </c>
      <c r="AK164" s="3">
        <f>IFERROR(__xludf.DUMMYFUNCTION("""COMPUTED_VALUE"""),0.0)</f>
        <v>0</v>
      </c>
      <c r="AL164" s="3">
        <f>IFERROR(__xludf.DUMMYFUNCTION("""COMPUTED_VALUE"""),0.0)</f>
        <v>0</v>
      </c>
      <c r="AM164" s="3">
        <f>IFERROR(__xludf.DUMMYFUNCTION("""COMPUTED_VALUE"""),0.0)</f>
        <v>0</v>
      </c>
      <c r="AN164" s="3">
        <f>IFERROR(__xludf.DUMMYFUNCTION("""COMPUTED_VALUE"""),0.0)</f>
        <v>0</v>
      </c>
      <c r="AO164" s="3">
        <f>IFERROR(__xludf.DUMMYFUNCTION("""COMPUTED_VALUE"""),0.0)</f>
        <v>0</v>
      </c>
      <c r="AP164" s="3">
        <f>IFERROR(__xludf.DUMMYFUNCTION("""COMPUTED_VALUE"""),0.0)</f>
        <v>0</v>
      </c>
      <c r="AQ164" s="3">
        <f>IFERROR(__xludf.DUMMYFUNCTION("""COMPUTED_VALUE"""),0.0)</f>
        <v>0</v>
      </c>
      <c r="AR164" s="3">
        <f>IFERROR(__xludf.DUMMYFUNCTION("""COMPUTED_VALUE"""),0.0)</f>
        <v>0</v>
      </c>
      <c r="AS164" s="3">
        <f>IFERROR(__xludf.DUMMYFUNCTION("""COMPUTED_VALUE"""),0.0)</f>
        <v>0</v>
      </c>
      <c r="AT164" s="3">
        <f>IFERROR(__xludf.DUMMYFUNCTION("""COMPUTED_VALUE"""),0.0)</f>
        <v>0</v>
      </c>
      <c r="AU164" s="3">
        <f>IFERROR(__xludf.DUMMYFUNCTION("""COMPUTED_VALUE"""),0.0)</f>
        <v>0</v>
      </c>
      <c r="AV164" s="3">
        <f>IFERROR(__xludf.DUMMYFUNCTION("""COMPUTED_VALUE"""),0.0)</f>
        <v>0</v>
      </c>
      <c r="AW164" s="3">
        <f>IFERROR(__xludf.DUMMYFUNCTION("""COMPUTED_VALUE"""),0.0)</f>
        <v>0</v>
      </c>
      <c r="AX164" s="3">
        <f>IFERROR(__xludf.DUMMYFUNCTION("""COMPUTED_VALUE"""),0.0)</f>
        <v>0</v>
      </c>
      <c r="AY164" s="3">
        <f>IFERROR(__xludf.DUMMYFUNCTION("""COMPUTED_VALUE"""),0.0)</f>
        <v>0</v>
      </c>
      <c r="AZ164" s="3">
        <f>IFERROR(__xludf.DUMMYFUNCTION("""COMPUTED_VALUE"""),0.0)</f>
        <v>0</v>
      </c>
      <c r="BA164" s="3">
        <f>IFERROR(__xludf.DUMMYFUNCTION("""COMPUTED_VALUE"""),0.0)</f>
        <v>0</v>
      </c>
      <c r="BB164" s="3">
        <f>IFERROR(__xludf.DUMMYFUNCTION("""COMPUTED_VALUE"""),0.0)</f>
        <v>0</v>
      </c>
      <c r="BC164" s="3">
        <f>IFERROR(__xludf.DUMMYFUNCTION("""COMPUTED_VALUE"""),0.0)</f>
        <v>0</v>
      </c>
      <c r="BD164" s="3">
        <f>IFERROR(__xludf.DUMMYFUNCTION("""COMPUTED_VALUE"""),0.0)</f>
        <v>0</v>
      </c>
      <c r="BE164" s="3">
        <f>IFERROR(__xludf.DUMMYFUNCTION("""COMPUTED_VALUE"""),0.0)</f>
        <v>0</v>
      </c>
      <c r="BF164" s="3">
        <f>IFERROR(__xludf.DUMMYFUNCTION("""COMPUTED_VALUE"""),0.0)</f>
        <v>0</v>
      </c>
      <c r="BG164" s="3">
        <f>IFERROR(__xludf.DUMMYFUNCTION("""COMPUTED_VALUE"""),0.0)</f>
        <v>0</v>
      </c>
      <c r="BH164" s="3">
        <f>IFERROR(__xludf.DUMMYFUNCTION("""COMPUTED_VALUE"""),0.0)</f>
        <v>0</v>
      </c>
      <c r="BI164" s="3">
        <f>IFERROR(__xludf.DUMMYFUNCTION("""COMPUTED_VALUE"""),0.0)</f>
        <v>0</v>
      </c>
      <c r="BJ164" s="3">
        <f>IFERROR(__xludf.DUMMYFUNCTION("""COMPUTED_VALUE"""),0.0)</f>
        <v>0</v>
      </c>
      <c r="BK164" s="3">
        <f>IFERROR(__xludf.DUMMYFUNCTION("""COMPUTED_VALUE"""),0.0)</f>
        <v>0</v>
      </c>
      <c r="BL164" s="3">
        <f>IFERROR(__xludf.DUMMYFUNCTION("""COMPUTED_VALUE"""),0.0)</f>
        <v>0</v>
      </c>
      <c r="BM164" s="3">
        <f>IFERROR(__xludf.DUMMYFUNCTION("""COMPUTED_VALUE"""),0.0)</f>
        <v>0</v>
      </c>
      <c r="BN164" s="3">
        <f>IFERROR(__xludf.DUMMYFUNCTION("""COMPUTED_VALUE"""),1.0)</f>
        <v>1</v>
      </c>
      <c r="BO164" s="3">
        <f>IFERROR(__xludf.DUMMYFUNCTION("""COMPUTED_VALUE"""),1.0)</f>
        <v>1</v>
      </c>
      <c r="BP164" s="3">
        <f>IFERROR(__xludf.DUMMYFUNCTION("""COMPUTED_VALUE"""),1.0)</f>
        <v>1</v>
      </c>
      <c r="BQ164" s="3">
        <f>IFERROR(__xludf.DUMMYFUNCTION("""COMPUTED_VALUE"""),1.0)</f>
        <v>1</v>
      </c>
      <c r="BR164" s="3">
        <f>IFERROR(__xludf.DUMMYFUNCTION("""COMPUTED_VALUE"""),1.0)</f>
        <v>1</v>
      </c>
      <c r="BS164" s="3">
        <f>IFERROR(__xludf.DUMMYFUNCTION("""COMPUTED_VALUE"""),1.0)</f>
        <v>1</v>
      </c>
      <c r="BT164" s="3">
        <f>IFERROR(__xludf.DUMMYFUNCTION("""COMPUTED_VALUE"""),1.0)</f>
        <v>1</v>
      </c>
      <c r="BU164" s="3">
        <f>IFERROR(__xludf.DUMMYFUNCTION("""COMPUTED_VALUE"""),1.0)</f>
        <v>1</v>
      </c>
      <c r="BV164" s="3">
        <f>IFERROR(__xludf.DUMMYFUNCTION("""COMPUTED_VALUE"""),2.0)</f>
        <v>2</v>
      </c>
      <c r="BW164" s="3">
        <f>IFERROR(__xludf.DUMMYFUNCTION("""COMPUTED_VALUE"""),2.0)</f>
        <v>2</v>
      </c>
      <c r="BX164" s="3">
        <f>IFERROR(__xludf.DUMMYFUNCTION("""COMPUTED_VALUE"""),2.0)</f>
        <v>2</v>
      </c>
      <c r="BY164" s="3">
        <f>IFERROR(__xludf.DUMMYFUNCTION("""COMPUTED_VALUE"""),2.0)</f>
        <v>2</v>
      </c>
      <c r="BZ164" s="3">
        <f>IFERROR(__xludf.DUMMYFUNCTION("""COMPUTED_VALUE"""),2.0)</f>
        <v>2</v>
      </c>
      <c r="CA164" s="3">
        <f>IFERROR(__xludf.DUMMYFUNCTION("""COMPUTED_VALUE"""),2.0)</f>
        <v>2</v>
      </c>
      <c r="CB164" s="3">
        <f>IFERROR(__xludf.DUMMYFUNCTION("""COMPUTED_VALUE"""),2.0)</f>
        <v>2</v>
      </c>
    </row>
    <row r="165">
      <c r="A165" s="3" t="str">
        <f>IFERROR(__xludf.DUMMYFUNCTION("""COMPUTED_VALUE"""),"")</f>
        <v/>
      </c>
      <c r="B165" s="3" t="str">
        <f>IFERROR(__xludf.DUMMYFUNCTION("""COMPUTED_VALUE"""),"Morocco")</f>
        <v>Morocco</v>
      </c>
      <c r="C165" s="3">
        <f>IFERROR(__xludf.DUMMYFUNCTION("""COMPUTED_VALUE"""),31.7917)</f>
        <v>31.7917</v>
      </c>
      <c r="D165" s="3">
        <f>IFERROR(__xludf.DUMMYFUNCTION("""COMPUTED_VALUE"""),-7.0926)</f>
        <v>-7.0926</v>
      </c>
      <c r="E165" s="3">
        <f>IFERROR(__xludf.DUMMYFUNCTION("""COMPUTED_VALUE"""),0.0)</f>
        <v>0</v>
      </c>
      <c r="F165" s="3">
        <f>IFERROR(__xludf.DUMMYFUNCTION("""COMPUTED_VALUE"""),0.0)</f>
        <v>0</v>
      </c>
      <c r="G165" s="3">
        <f>IFERROR(__xludf.DUMMYFUNCTION("""COMPUTED_VALUE"""),0.0)</f>
        <v>0</v>
      </c>
      <c r="H165" s="3">
        <f>IFERROR(__xludf.DUMMYFUNCTION("""COMPUTED_VALUE"""),0.0)</f>
        <v>0</v>
      </c>
      <c r="I165" s="3">
        <f>IFERROR(__xludf.DUMMYFUNCTION("""COMPUTED_VALUE"""),0.0)</f>
        <v>0</v>
      </c>
      <c r="J165" s="3">
        <f>IFERROR(__xludf.DUMMYFUNCTION("""COMPUTED_VALUE"""),0.0)</f>
        <v>0</v>
      </c>
      <c r="K165" s="3">
        <f>IFERROR(__xludf.DUMMYFUNCTION("""COMPUTED_VALUE"""),0.0)</f>
        <v>0</v>
      </c>
      <c r="L165" s="3">
        <f>IFERROR(__xludf.DUMMYFUNCTION("""COMPUTED_VALUE"""),0.0)</f>
        <v>0</v>
      </c>
      <c r="M165" s="3">
        <f>IFERROR(__xludf.DUMMYFUNCTION("""COMPUTED_VALUE"""),0.0)</f>
        <v>0</v>
      </c>
      <c r="N165" s="3">
        <f>IFERROR(__xludf.DUMMYFUNCTION("""COMPUTED_VALUE"""),0.0)</f>
        <v>0</v>
      </c>
      <c r="O165" s="3">
        <f>IFERROR(__xludf.DUMMYFUNCTION("""COMPUTED_VALUE"""),0.0)</f>
        <v>0</v>
      </c>
      <c r="P165" s="3">
        <f>IFERROR(__xludf.DUMMYFUNCTION("""COMPUTED_VALUE"""),0.0)</f>
        <v>0</v>
      </c>
      <c r="Q165" s="3">
        <f>IFERROR(__xludf.DUMMYFUNCTION("""COMPUTED_VALUE"""),0.0)</f>
        <v>0</v>
      </c>
      <c r="R165" s="3">
        <f>IFERROR(__xludf.DUMMYFUNCTION("""COMPUTED_VALUE"""),0.0)</f>
        <v>0</v>
      </c>
      <c r="S165" s="3">
        <f>IFERROR(__xludf.DUMMYFUNCTION("""COMPUTED_VALUE"""),0.0)</f>
        <v>0</v>
      </c>
      <c r="T165" s="3">
        <f>IFERROR(__xludf.DUMMYFUNCTION("""COMPUTED_VALUE"""),0.0)</f>
        <v>0</v>
      </c>
      <c r="U165" s="3">
        <f>IFERROR(__xludf.DUMMYFUNCTION("""COMPUTED_VALUE"""),0.0)</f>
        <v>0</v>
      </c>
      <c r="V165" s="3">
        <f>IFERROR(__xludf.DUMMYFUNCTION("""COMPUTED_VALUE"""),0.0)</f>
        <v>0</v>
      </c>
      <c r="W165" s="3">
        <f>IFERROR(__xludf.DUMMYFUNCTION("""COMPUTED_VALUE"""),0.0)</f>
        <v>0</v>
      </c>
      <c r="X165" s="3">
        <f>IFERROR(__xludf.DUMMYFUNCTION("""COMPUTED_VALUE"""),0.0)</f>
        <v>0</v>
      </c>
      <c r="Y165" s="3">
        <f>IFERROR(__xludf.DUMMYFUNCTION("""COMPUTED_VALUE"""),0.0)</f>
        <v>0</v>
      </c>
      <c r="Z165" s="3">
        <f>IFERROR(__xludf.DUMMYFUNCTION("""COMPUTED_VALUE"""),0.0)</f>
        <v>0</v>
      </c>
      <c r="AA165" s="3">
        <f>IFERROR(__xludf.DUMMYFUNCTION("""COMPUTED_VALUE"""),0.0)</f>
        <v>0</v>
      </c>
      <c r="AB165" s="3">
        <f>IFERROR(__xludf.DUMMYFUNCTION("""COMPUTED_VALUE"""),0.0)</f>
        <v>0</v>
      </c>
      <c r="AC165" s="3">
        <f>IFERROR(__xludf.DUMMYFUNCTION("""COMPUTED_VALUE"""),0.0)</f>
        <v>0</v>
      </c>
      <c r="AD165" s="3">
        <f>IFERROR(__xludf.DUMMYFUNCTION("""COMPUTED_VALUE"""),0.0)</f>
        <v>0</v>
      </c>
      <c r="AE165" s="3">
        <f>IFERROR(__xludf.DUMMYFUNCTION("""COMPUTED_VALUE"""),0.0)</f>
        <v>0</v>
      </c>
      <c r="AF165" s="3">
        <f>IFERROR(__xludf.DUMMYFUNCTION("""COMPUTED_VALUE"""),0.0)</f>
        <v>0</v>
      </c>
      <c r="AG165" s="3">
        <f>IFERROR(__xludf.DUMMYFUNCTION("""COMPUTED_VALUE"""),0.0)</f>
        <v>0</v>
      </c>
      <c r="AH165" s="3">
        <f>IFERROR(__xludf.DUMMYFUNCTION("""COMPUTED_VALUE"""),0.0)</f>
        <v>0</v>
      </c>
      <c r="AI165" s="3">
        <f>IFERROR(__xludf.DUMMYFUNCTION("""COMPUTED_VALUE"""),0.0)</f>
        <v>0</v>
      </c>
      <c r="AJ165" s="3">
        <f>IFERROR(__xludf.DUMMYFUNCTION("""COMPUTED_VALUE"""),0.0)</f>
        <v>0</v>
      </c>
      <c r="AK165" s="3">
        <f>IFERROR(__xludf.DUMMYFUNCTION("""COMPUTED_VALUE"""),0.0)</f>
        <v>0</v>
      </c>
      <c r="AL165" s="3">
        <f>IFERROR(__xludf.DUMMYFUNCTION("""COMPUTED_VALUE"""),0.0)</f>
        <v>0</v>
      </c>
      <c r="AM165" s="3">
        <f>IFERROR(__xludf.DUMMYFUNCTION("""COMPUTED_VALUE"""),0.0)</f>
        <v>0</v>
      </c>
      <c r="AN165" s="3">
        <f>IFERROR(__xludf.DUMMYFUNCTION("""COMPUTED_VALUE"""),0.0)</f>
        <v>0</v>
      </c>
      <c r="AO165" s="3">
        <f>IFERROR(__xludf.DUMMYFUNCTION("""COMPUTED_VALUE"""),0.0)</f>
        <v>0</v>
      </c>
      <c r="AP165" s="3">
        <f>IFERROR(__xludf.DUMMYFUNCTION("""COMPUTED_VALUE"""),0.0)</f>
        <v>0</v>
      </c>
      <c r="AQ165" s="3">
        <f>IFERROR(__xludf.DUMMYFUNCTION("""COMPUTED_VALUE"""),0.0)</f>
        <v>0</v>
      </c>
      <c r="AR165" s="3">
        <f>IFERROR(__xludf.DUMMYFUNCTION("""COMPUTED_VALUE"""),0.0)</f>
        <v>0</v>
      </c>
      <c r="AS165" s="3">
        <f>IFERROR(__xludf.DUMMYFUNCTION("""COMPUTED_VALUE"""),0.0)</f>
        <v>0</v>
      </c>
      <c r="AT165" s="3">
        <f>IFERROR(__xludf.DUMMYFUNCTION("""COMPUTED_VALUE"""),0.0)</f>
        <v>0</v>
      </c>
      <c r="AU165" s="3">
        <f>IFERROR(__xludf.DUMMYFUNCTION("""COMPUTED_VALUE"""),0.0)</f>
        <v>0</v>
      </c>
      <c r="AV165" s="3">
        <f>IFERROR(__xludf.DUMMYFUNCTION("""COMPUTED_VALUE"""),0.0)</f>
        <v>0</v>
      </c>
      <c r="AW165" s="3">
        <f>IFERROR(__xludf.DUMMYFUNCTION("""COMPUTED_VALUE"""),0.0)</f>
        <v>0</v>
      </c>
      <c r="AX165" s="3">
        <f>IFERROR(__xludf.DUMMYFUNCTION("""COMPUTED_VALUE"""),0.0)</f>
        <v>0</v>
      </c>
      <c r="AY165" s="3">
        <f>IFERROR(__xludf.DUMMYFUNCTION("""COMPUTED_VALUE"""),0.0)</f>
        <v>0</v>
      </c>
      <c r="AZ165" s="3">
        <f>IFERROR(__xludf.DUMMYFUNCTION("""COMPUTED_VALUE"""),0.0)</f>
        <v>0</v>
      </c>
      <c r="BA165" s="3">
        <f>IFERROR(__xludf.DUMMYFUNCTION("""COMPUTED_VALUE"""),1.0)</f>
        <v>1</v>
      </c>
      <c r="BB165" s="3">
        <f>IFERROR(__xludf.DUMMYFUNCTION("""COMPUTED_VALUE"""),1.0)</f>
        <v>1</v>
      </c>
      <c r="BC165" s="3">
        <f>IFERROR(__xludf.DUMMYFUNCTION("""COMPUTED_VALUE"""),1.0)</f>
        <v>1</v>
      </c>
      <c r="BD165" s="3">
        <f>IFERROR(__xludf.DUMMYFUNCTION("""COMPUTED_VALUE"""),1.0)</f>
        <v>1</v>
      </c>
      <c r="BE165" s="3">
        <f>IFERROR(__xludf.DUMMYFUNCTION("""COMPUTED_VALUE"""),1.0)</f>
        <v>1</v>
      </c>
      <c r="BF165" s="3">
        <f>IFERROR(__xludf.DUMMYFUNCTION("""COMPUTED_VALUE"""),1.0)</f>
        <v>1</v>
      </c>
      <c r="BG165" s="3">
        <f>IFERROR(__xludf.DUMMYFUNCTION("""COMPUTED_VALUE"""),1.0)</f>
        <v>1</v>
      </c>
      <c r="BH165" s="3">
        <f>IFERROR(__xludf.DUMMYFUNCTION("""COMPUTED_VALUE"""),2.0)</f>
        <v>2</v>
      </c>
      <c r="BI165" s="3">
        <f>IFERROR(__xludf.DUMMYFUNCTION("""COMPUTED_VALUE"""),2.0)</f>
        <v>2</v>
      </c>
      <c r="BJ165" s="3">
        <f>IFERROR(__xludf.DUMMYFUNCTION("""COMPUTED_VALUE"""),2.0)</f>
        <v>2</v>
      </c>
      <c r="BK165" s="3">
        <f>IFERROR(__xludf.DUMMYFUNCTION("""COMPUTED_VALUE"""),3.0)</f>
        <v>3</v>
      </c>
      <c r="BL165" s="3">
        <f>IFERROR(__xludf.DUMMYFUNCTION("""COMPUTED_VALUE"""),3.0)</f>
        <v>3</v>
      </c>
      <c r="BM165" s="3">
        <f>IFERROR(__xludf.DUMMYFUNCTION("""COMPUTED_VALUE"""),4.0)</f>
        <v>4</v>
      </c>
      <c r="BN165" s="3">
        <f>IFERROR(__xludf.DUMMYFUNCTION("""COMPUTED_VALUE"""),4.0)</f>
        <v>4</v>
      </c>
      <c r="BO165" s="3">
        <f>IFERROR(__xludf.DUMMYFUNCTION("""COMPUTED_VALUE"""),5.0)</f>
        <v>5</v>
      </c>
      <c r="BP165" s="3">
        <f>IFERROR(__xludf.DUMMYFUNCTION("""COMPUTED_VALUE"""),6.0)</f>
        <v>6</v>
      </c>
      <c r="BQ165" s="3">
        <f>IFERROR(__xludf.DUMMYFUNCTION("""COMPUTED_VALUE"""),11.0)</f>
        <v>11</v>
      </c>
      <c r="BR165" s="3">
        <f>IFERROR(__xludf.DUMMYFUNCTION("""COMPUTED_VALUE"""),23.0)</f>
        <v>23</v>
      </c>
      <c r="BS165" s="3">
        <f>IFERROR(__xludf.DUMMYFUNCTION("""COMPUTED_VALUE"""),25.0)</f>
        <v>25</v>
      </c>
      <c r="BT165" s="3">
        <f>IFERROR(__xludf.DUMMYFUNCTION("""COMPUTED_VALUE"""),26.0)</f>
        <v>26</v>
      </c>
      <c r="BU165" s="3">
        <f>IFERROR(__xludf.DUMMYFUNCTION("""COMPUTED_VALUE"""),33.0)</f>
        <v>33</v>
      </c>
      <c r="BV165" s="3">
        <f>IFERROR(__xludf.DUMMYFUNCTION("""COMPUTED_VALUE"""),36.0)</f>
        <v>36</v>
      </c>
      <c r="BW165" s="3">
        <f>IFERROR(__xludf.DUMMYFUNCTION("""COMPUTED_VALUE"""),39.0)</f>
        <v>39</v>
      </c>
      <c r="BX165" s="3">
        <f>IFERROR(__xludf.DUMMYFUNCTION("""COMPUTED_VALUE"""),44.0)</f>
        <v>44</v>
      </c>
      <c r="BY165" s="3">
        <f>IFERROR(__xludf.DUMMYFUNCTION("""COMPUTED_VALUE"""),48.0)</f>
        <v>48</v>
      </c>
      <c r="BZ165" s="3">
        <f>IFERROR(__xludf.DUMMYFUNCTION("""COMPUTED_VALUE"""),59.0)</f>
        <v>59</v>
      </c>
      <c r="CA165" s="3">
        <f>IFERROR(__xludf.DUMMYFUNCTION("""COMPUTED_VALUE"""),70.0)</f>
        <v>70</v>
      </c>
      <c r="CB165" s="3">
        <f>IFERROR(__xludf.DUMMYFUNCTION("""COMPUTED_VALUE"""),80.0)</f>
        <v>80</v>
      </c>
    </row>
    <row r="166">
      <c r="A166" s="3" t="str">
        <f>IFERROR(__xludf.DUMMYFUNCTION("""COMPUTED_VALUE"""),"")</f>
        <v/>
      </c>
      <c r="B166" s="3" t="str">
        <f>IFERROR(__xludf.DUMMYFUNCTION("""COMPUTED_VALUE"""),"Namibia")</f>
        <v>Namibia</v>
      </c>
      <c r="C166" s="3">
        <f>IFERROR(__xludf.DUMMYFUNCTION("""COMPUTED_VALUE"""),-22.9576)</f>
        <v>-22.9576</v>
      </c>
      <c r="D166" s="3">
        <f>IFERROR(__xludf.DUMMYFUNCTION("""COMPUTED_VALUE"""),18.4904)</f>
        <v>18.4904</v>
      </c>
      <c r="E166" s="3">
        <f>IFERROR(__xludf.DUMMYFUNCTION("""COMPUTED_VALUE"""),0.0)</f>
        <v>0</v>
      </c>
      <c r="F166" s="3">
        <f>IFERROR(__xludf.DUMMYFUNCTION("""COMPUTED_VALUE"""),0.0)</f>
        <v>0</v>
      </c>
      <c r="G166" s="3">
        <f>IFERROR(__xludf.DUMMYFUNCTION("""COMPUTED_VALUE"""),0.0)</f>
        <v>0</v>
      </c>
      <c r="H166" s="3">
        <f>IFERROR(__xludf.DUMMYFUNCTION("""COMPUTED_VALUE"""),0.0)</f>
        <v>0</v>
      </c>
      <c r="I166" s="3">
        <f>IFERROR(__xludf.DUMMYFUNCTION("""COMPUTED_VALUE"""),0.0)</f>
        <v>0</v>
      </c>
      <c r="J166" s="3">
        <f>IFERROR(__xludf.DUMMYFUNCTION("""COMPUTED_VALUE"""),0.0)</f>
        <v>0</v>
      </c>
      <c r="K166" s="3">
        <f>IFERROR(__xludf.DUMMYFUNCTION("""COMPUTED_VALUE"""),0.0)</f>
        <v>0</v>
      </c>
      <c r="L166" s="3">
        <f>IFERROR(__xludf.DUMMYFUNCTION("""COMPUTED_VALUE"""),0.0)</f>
        <v>0</v>
      </c>
      <c r="M166" s="3">
        <f>IFERROR(__xludf.DUMMYFUNCTION("""COMPUTED_VALUE"""),0.0)</f>
        <v>0</v>
      </c>
      <c r="N166" s="3">
        <f>IFERROR(__xludf.DUMMYFUNCTION("""COMPUTED_VALUE"""),0.0)</f>
        <v>0</v>
      </c>
      <c r="O166" s="3">
        <f>IFERROR(__xludf.DUMMYFUNCTION("""COMPUTED_VALUE"""),0.0)</f>
        <v>0</v>
      </c>
      <c r="P166" s="3">
        <f>IFERROR(__xludf.DUMMYFUNCTION("""COMPUTED_VALUE"""),0.0)</f>
        <v>0</v>
      </c>
      <c r="Q166" s="3">
        <f>IFERROR(__xludf.DUMMYFUNCTION("""COMPUTED_VALUE"""),0.0)</f>
        <v>0</v>
      </c>
      <c r="R166" s="3">
        <f>IFERROR(__xludf.DUMMYFUNCTION("""COMPUTED_VALUE"""),0.0)</f>
        <v>0</v>
      </c>
      <c r="S166" s="3">
        <f>IFERROR(__xludf.DUMMYFUNCTION("""COMPUTED_VALUE"""),0.0)</f>
        <v>0</v>
      </c>
      <c r="T166" s="3">
        <f>IFERROR(__xludf.DUMMYFUNCTION("""COMPUTED_VALUE"""),0.0)</f>
        <v>0</v>
      </c>
      <c r="U166" s="3">
        <f>IFERROR(__xludf.DUMMYFUNCTION("""COMPUTED_VALUE"""),0.0)</f>
        <v>0</v>
      </c>
      <c r="V166" s="3">
        <f>IFERROR(__xludf.DUMMYFUNCTION("""COMPUTED_VALUE"""),0.0)</f>
        <v>0</v>
      </c>
      <c r="W166" s="3">
        <f>IFERROR(__xludf.DUMMYFUNCTION("""COMPUTED_VALUE"""),0.0)</f>
        <v>0</v>
      </c>
      <c r="X166" s="3">
        <f>IFERROR(__xludf.DUMMYFUNCTION("""COMPUTED_VALUE"""),0.0)</f>
        <v>0</v>
      </c>
      <c r="Y166" s="3">
        <f>IFERROR(__xludf.DUMMYFUNCTION("""COMPUTED_VALUE"""),0.0)</f>
        <v>0</v>
      </c>
      <c r="Z166" s="3">
        <f>IFERROR(__xludf.DUMMYFUNCTION("""COMPUTED_VALUE"""),0.0)</f>
        <v>0</v>
      </c>
      <c r="AA166" s="3">
        <f>IFERROR(__xludf.DUMMYFUNCTION("""COMPUTED_VALUE"""),0.0)</f>
        <v>0</v>
      </c>
      <c r="AB166" s="3">
        <f>IFERROR(__xludf.DUMMYFUNCTION("""COMPUTED_VALUE"""),0.0)</f>
        <v>0</v>
      </c>
      <c r="AC166" s="3">
        <f>IFERROR(__xludf.DUMMYFUNCTION("""COMPUTED_VALUE"""),0.0)</f>
        <v>0</v>
      </c>
      <c r="AD166" s="3">
        <f>IFERROR(__xludf.DUMMYFUNCTION("""COMPUTED_VALUE"""),0.0)</f>
        <v>0</v>
      </c>
      <c r="AE166" s="3">
        <f>IFERROR(__xludf.DUMMYFUNCTION("""COMPUTED_VALUE"""),0.0)</f>
        <v>0</v>
      </c>
      <c r="AF166" s="3">
        <f>IFERROR(__xludf.DUMMYFUNCTION("""COMPUTED_VALUE"""),0.0)</f>
        <v>0</v>
      </c>
      <c r="AG166" s="3">
        <f>IFERROR(__xludf.DUMMYFUNCTION("""COMPUTED_VALUE"""),0.0)</f>
        <v>0</v>
      </c>
      <c r="AH166" s="3">
        <f>IFERROR(__xludf.DUMMYFUNCTION("""COMPUTED_VALUE"""),0.0)</f>
        <v>0</v>
      </c>
      <c r="AI166" s="3">
        <f>IFERROR(__xludf.DUMMYFUNCTION("""COMPUTED_VALUE"""),0.0)</f>
        <v>0</v>
      </c>
      <c r="AJ166" s="3">
        <f>IFERROR(__xludf.DUMMYFUNCTION("""COMPUTED_VALUE"""),0.0)</f>
        <v>0</v>
      </c>
      <c r="AK166" s="3">
        <f>IFERROR(__xludf.DUMMYFUNCTION("""COMPUTED_VALUE"""),0.0)</f>
        <v>0</v>
      </c>
      <c r="AL166" s="3">
        <f>IFERROR(__xludf.DUMMYFUNCTION("""COMPUTED_VALUE"""),0.0)</f>
        <v>0</v>
      </c>
      <c r="AM166" s="3">
        <f>IFERROR(__xludf.DUMMYFUNCTION("""COMPUTED_VALUE"""),0.0)</f>
        <v>0</v>
      </c>
      <c r="AN166" s="3">
        <f>IFERROR(__xludf.DUMMYFUNCTION("""COMPUTED_VALUE"""),0.0)</f>
        <v>0</v>
      </c>
      <c r="AO166" s="3">
        <f>IFERROR(__xludf.DUMMYFUNCTION("""COMPUTED_VALUE"""),0.0)</f>
        <v>0</v>
      </c>
      <c r="AP166" s="3">
        <f>IFERROR(__xludf.DUMMYFUNCTION("""COMPUTED_VALUE"""),0.0)</f>
        <v>0</v>
      </c>
      <c r="AQ166" s="3">
        <f>IFERROR(__xludf.DUMMYFUNCTION("""COMPUTED_VALUE"""),0.0)</f>
        <v>0</v>
      </c>
      <c r="AR166" s="3">
        <f>IFERROR(__xludf.DUMMYFUNCTION("""COMPUTED_VALUE"""),0.0)</f>
        <v>0</v>
      </c>
      <c r="AS166" s="3">
        <f>IFERROR(__xludf.DUMMYFUNCTION("""COMPUTED_VALUE"""),0.0)</f>
        <v>0</v>
      </c>
      <c r="AT166" s="3">
        <f>IFERROR(__xludf.DUMMYFUNCTION("""COMPUTED_VALUE"""),0.0)</f>
        <v>0</v>
      </c>
      <c r="AU166" s="3">
        <f>IFERROR(__xludf.DUMMYFUNCTION("""COMPUTED_VALUE"""),0.0)</f>
        <v>0</v>
      </c>
      <c r="AV166" s="3">
        <f>IFERROR(__xludf.DUMMYFUNCTION("""COMPUTED_VALUE"""),0.0)</f>
        <v>0</v>
      </c>
      <c r="AW166" s="3">
        <f>IFERROR(__xludf.DUMMYFUNCTION("""COMPUTED_VALUE"""),0.0)</f>
        <v>0</v>
      </c>
      <c r="AX166" s="3">
        <f>IFERROR(__xludf.DUMMYFUNCTION("""COMPUTED_VALUE"""),0.0)</f>
        <v>0</v>
      </c>
      <c r="AY166" s="3">
        <f>IFERROR(__xludf.DUMMYFUNCTION("""COMPUTED_VALUE"""),0.0)</f>
        <v>0</v>
      </c>
      <c r="AZ166" s="3">
        <f>IFERROR(__xludf.DUMMYFUNCTION("""COMPUTED_VALUE"""),0.0)</f>
        <v>0</v>
      </c>
      <c r="BA166" s="3">
        <f>IFERROR(__xludf.DUMMYFUNCTION("""COMPUTED_VALUE"""),0.0)</f>
        <v>0</v>
      </c>
      <c r="BB166" s="3">
        <f>IFERROR(__xludf.DUMMYFUNCTION("""COMPUTED_VALUE"""),0.0)</f>
        <v>0</v>
      </c>
      <c r="BC166" s="3">
        <f>IFERROR(__xludf.DUMMYFUNCTION("""COMPUTED_VALUE"""),0.0)</f>
        <v>0</v>
      </c>
      <c r="BD166" s="3">
        <f>IFERROR(__xludf.DUMMYFUNCTION("""COMPUTED_VALUE"""),0.0)</f>
        <v>0</v>
      </c>
      <c r="BE166" s="3">
        <f>IFERROR(__xludf.DUMMYFUNCTION("""COMPUTED_VALUE"""),0.0)</f>
        <v>0</v>
      </c>
      <c r="BF166" s="3">
        <f>IFERROR(__xludf.DUMMYFUNCTION("""COMPUTED_VALUE"""),0.0)</f>
        <v>0</v>
      </c>
      <c r="BG166" s="3">
        <f>IFERROR(__xludf.DUMMYFUNCTION("""COMPUTED_VALUE"""),0.0)</f>
        <v>0</v>
      </c>
      <c r="BH166" s="3">
        <f>IFERROR(__xludf.DUMMYFUNCTION("""COMPUTED_VALUE"""),0.0)</f>
        <v>0</v>
      </c>
      <c r="BI166" s="3">
        <f>IFERROR(__xludf.DUMMYFUNCTION("""COMPUTED_VALUE"""),0.0)</f>
        <v>0</v>
      </c>
      <c r="BJ166" s="3">
        <f>IFERROR(__xludf.DUMMYFUNCTION("""COMPUTED_VALUE"""),0.0)</f>
        <v>0</v>
      </c>
      <c r="BK166" s="3">
        <f>IFERROR(__xludf.DUMMYFUNCTION("""COMPUTED_VALUE"""),0.0)</f>
        <v>0</v>
      </c>
      <c r="BL166" s="3">
        <f>IFERROR(__xludf.DUMMYFUNCTION("""COMPUTED_VALUE"""),0.0)</f>
        <v>0</v>
      </c>
      <c r="BM166" s="3">
        <f>IFERROR(__xludf.DUMMYFUNCTION("""COMPUTED_VALUE"""),0.0)</f>
        <v>0</v>
      </c>
      <c r="BN166" s="3">
        <f>IFERROR(__xludf.DUMMYFUNCTION("""COMPUTED_VALUE"""),0.0)</f>
        <v>0</v>
      </c>
      <c r="BO166" s="3">
        <f>IFERROR(__xludf.DUMMYFUNCTION("""COMPUTED_VALUE"""),0.0)</f>
        <v>0</v>
      </c>
      <c r="BP166" s="3">
        <f>IFERROR(__xludf.DUMMYFUNCTION("""COMPUTED_VALUE"""),0.0)</f>
        <v>0</v>
      </c>
      <c r="BQ166" s="3">
        <f>IFERROR(__xludf.DUMMYFUNCTION("""COMPUTED_VALUE"""),0.0)</f>
        <v>0</v>
      </c>
      <c r="BR166" s="3">
        <f>IFERROR(__xludf.DUMMYFUNCTION("""COMPUTED_VALUE"""),0.0)</f>
        <v>0</v>
      </c>
      <c r="BS166" s="3">
        <f>IFERROR(__xludf.DUMMYFUNCTION("""COMPUTED_VALUE"""),0.0)</f>
        <v>0</v>
      </c>
      <c r="BT166" s="3">
        <f>IFERROR(__xludf.DUMMYFUNCTION("""COMPUTED_VALUE"""),0.0)</f>
        <v>0</v>
      </c>
      <c r="BU166" s="3">
        <f>IFERROR(__xludf.DUMMYFUNCTION("""COMPUTED_VALUE"""),0.0)</f>
        <v>0</v>
      </c>
      <c r="BV166" s="3">
        <f>IFERROR(__xludf.DUMMYFUNCTION("""COMPUTED_VALUE"""),0.0)</f>
        <v>0</v>
      </c>
      <c r="BW166" s="3">
        <f>IFERROR(__xludf.DUMMYFUNCTION("""COMPUTED_VALUE"""),0.0)</f>
        <v>0</v>
      </c>
      <c r="BX166" s="3">
        <f>IFERROR(__xludf.DUMMYFUNCTION("""COMPUTED_VALUE"""),0.0)</f>
        <v>0</v>
      </c>
      <c r="BY166" s="3">
        <f>IFERROR(__xludf.DUMMYFUNCTION("""COMPUTED_VALUE"""),0.0)</f>
        <v>0</v>
      </c>
      <c r="BZ166" s="3">
        <f>IFERROR(__xludf.DUMMYFUNCTION("""COMPUTED_VALUE"""),0.0)</f>
        <v>0</v>
      </c>
      <c r="CA166" s="3">
        <f>IFERROR(__xludf.DUMMYFUNCTION("""COMPUTED_VALUE"""),0.0)</f>
        <v>0</v>
      </c>
      <c r="CB166" s="3">
        <f>IFERROR(__xludf.DUMMYFUNCTION("""COMPUTED_VALUE"""),0.0)</f>
        <v>0</v>
      </c>
    </row>
    <row r="167">
      <c r="A167" s="3" t="str">
        <f>IFERROR(__xludf.DUMMYFUNCTION("""COMPUTED_VALUE"""),"")</f>
        <v/>
      </c>
      <c r="B167" s="3" t="str">
        <f>IFERROR(__xludf.DUMMYFUNCTION("""COMPUTED_VALUE"""),"Nepal")</f>
        <v>Nepal</v>
      </c>
      <c r="C167" s="3">
        <f>IFERROR(__xludf.DUMMYFUNCTION("""COMPUTED_VALUE"""),28.1667)</f>
        <v>28.1667</v>
      </c>
      <c r="D167" s="3">
        <f>IFERROR(__xludf.DUMMYFUNCTION("""COMPUTED_VALUE"""),84.25)</f>
        <v>84.25</v>
      </c>
      <c r="E167" s="3">
        <f>IFERROR(__xludf.DUMMYFUNCTION("""COMPUTED_VALUE"""),0.0)</f>
        <v>0</v>
      </c>
      <c r="F167" s="3">
        <f>IFERROR(__xludf.DUMMYFUNCTION("""COMPUTED_VALUE"""),0.0)</f>
        <v>0</v>
      </c>
      <c r="G167" s="3">
        <f>IFERROR(__xludf.DUMMYFUNCTION("""COMPUTED_VALUE"""),0.0)</f>
        <v>0</v>
      </c>
      <c r="H167" s="3">
        <f>IFERROR(__xludf.DUMMYFUNCTION("""COMPUTED_VALUE"""),0.0)</f>
        <v>0</v>
      </c>
      <c r="I167" s="3">
        <f>IFERROR(__xludf.DUMMYFUNCTION("""COMPUTED_VALUE"""),0.0)</f>
        <v>0</v>
      </c>
      <c r="J167" s="3">
        <f>IFERROR(__xludf.DUMMYFUNCTION("""COMPUTED_VALUE"""),0.0)</f>
        <v>0</v>
      </c>
      <c r="K167" s="3">
        <f>IFERROR(__xludf.DUMMYFUNCTION("""COMPUTED_VALUE"""),0.0)</f>
        <v>0</v>
      </c>
      <c r="L167" s="3">
        <f>IFERROR(__xludf.DUMMYFUNCTION("""COMPUTED_VALUE"""),0.0)</f>
        <v>0</v>
      </c>
      <c r="M167" s="3">
        <f>IFERROR(__xludf.DUMMYFUNCTION("""COMPUTED_VALUE"""),0.0)</f>
        <v>0</v>
      </c>
      <c r="N167" s="3">
        <f>IFERROR(__xludf.DUMMYFUNCTION("""COMPUTED_VALUE"""),0.0)</f>
        <v>0</v>
      </c>
      <c r="O167" s="3">
        <f>IFERROR(__xludf.DUMMYFUNCTION("""COMPUTED_VALUE"""),0.0)</f>
        <v>0</v>
      </c>
      <c r="P167" s="3">
        <f>IFERROR(__xludf.DUMMYFUNCTION("""COMPUTED_VALUE"""),0.0)</f>
        <v>0</v>
      </c>
      <c r="Q167" s="3">
        <f>IFERROR(__xludf.DUMMYFUNCTION("""COMPUTED_VALUE"""),0.0)</f>
        <v>0</v>
      </c>
      <c r="R167" s="3">
        <f>IFERROR(__xludf.DUMMYFUNCTION("""COMPUTED_VALUE"""),0.0)</f>
        <v>0</v>
      </c>
      <c r="S167" s="3">
        <f>IFERROR(__xludf.DUMMYFUNCTION("""COMPUTED_VALUE"""),0.0)</f>
        <v>0</v>
      </c>
      <c r="T167" s="3">
        <f>IFERROR(__xludf.DUMMYFUNCTION("""COMPUTED_VALUE"""),0.0)</f>
        <v>0</v>
      </c>
      <c r="U167" s="3">
        <f>IFERROR(__xludf.DUMMYFUNCTION("""COMPUTED_VALUE"""),0.0)</f>
        <v>0</v>
      </c>
      <c r="V167" s="3">
        <f>IFERROR(__xludf.DUMMYFUNCTION("""COMPUTED_VALUE"""),0.0)</f>
        <v>0</v>
      </c>
      <c r="W167" s="3">
        <f>IFERROR(__xludf.DUMMYFUNCTION("""COMPUTED_VALUE"""),0.0)</f>
        <v>0</v>
      </c>
      <c r="X167" s="3">
        <f>IFERROR(__xludf.DUMMYFUNCTION("""COMPUTED_VALUE"""),0.0)</f>
        <v>0</v>
      </c>
      <c r="Y167" s="3">
        <f>IFERROR(__xludf.DUMMYFUNCTION("""COMPUTED_VALUE"""),0.0)</f>
        <v>0</v>
      </c>
      <c r="Z167" s="3">
        <f>IFERROR(__xludf.DUMMYFUNCTION("""COMPUTED_VALUE"""),0.0)</f>
        <v>0</v>
      </c>
      <c r="AA167" s="3">
        <f>IFERROR(__xludf.DUMMYFUNCTION("""COMPUTED_VALUE"""),0.0)</f>
        <v>0</v>
      </c>
      <c r="AB167" s="3">
        <f>IFERROR(__xludf.DUMMYFUNCTION("""COMPUTED_VALUE"""),0.0)</f>
        <v>0</v>
      </c>
      <c r="AC167" s="3">
        <f>IFERROR(__xludf.DUMMYFUNCTION("""COMPUTED_VALUE"""),0.0)</f>
        <v>0</v>
      </c>
      <c r="AD167" s="3">
        <f>IFERROR(__xludf.DUMMYFUNCTION("""COMPUTED_VALUE"""),0.0)</f>
        <v>0</v>
      </c>
      <c r="AE167" s="3">
        <f>IFERROR(__xludf.DUMMYFUNCTION("""COMPUTED_VALUE"""),0.0)</f>
        <v>0</v>
      </c>
      <c r="AF167" s="3">
        <f>IFERROR(__xludf.DUMMYFUNCTION("""COMPUTED_VALUE"""),0.0)</f>
        <v>0</v>
      </c>
      <c r="AG167" s="3">
        <f>IFERROR(__xludf.DUMMYFUNCTION("""COMPUTED_VALUE"""),0.0)</f>
        <v>0</v>
      </c>
      <c r="AH167" s="3">
        <f>IFERROR(__xludf.DUMMYFUNCTION("""COMPUTED_VALUE"""),0.0)</f>
        <v>0</v>
      </c>
      <c r="AI167" s="3">
        <f>IFERROR(__xludf.DUMMYFUNCTION("""COMPUTED_VALUE"""),0.0)</f>
        <v>0</v>
      </c>
      <c r="AJ167" s="3">
        <f>IFERROR(__xludf.DUMMYFUNCTION("""COMPUTED_VALUE"""),0.0)</f>
        <v>0</v>
      </c>
      <c r="AK167" s="3">
        <f>IFERROR(__xludf.DUMMYFUNCTION("""COMPUTED_VALUE"""),0.0)</f>
        <v>0</v>
      </c>
      <c r="AL167" s="3">
        <f>IFERROR(__xludf.DUMMYFUNCTION("""COMPUTED_VALUE"""),0.0)</f>
        <v>0</v>
      </c>
      <c r="AM167" s="3">
        <f>IFERROR(__xludf.DUMMYFUNCTION("""COMPUTED_VALUE"""),0.0)</f>
        <v>0</v>
      </c>
      <c r="AN167" s="3">
        <f>IFERROR(__xludf.DUMMYFUNCTION("""COMPUTED_VALUE"""),0.0)</f>
        <v>0</v>
      </c>
      <c r="AO167" s="3">
        <f>IFERROR(__xludf.DUMMYFUNCTION("""COMPUTED_VALUE"""),0.0)</f>
        <v>0</v>
      </c>
      <c r="AP167" s="3">
        <f>IFERROR(__xludf.DUMMYFUNCTION("""COMPUTED_VALUE"""),0.0)</f>
        <v>0</v>
      </c>
      <c r="AQ167" s="3">
        <f>IFERROR(__xludf.DUMMYFUNCTION("""COMPUTED_VALUE"""),0.0)</f>
        <v>0</v>
      </c>
      <c r="AR167" s="3">
        <f>IFERROR(__xludf.DUMMYFUNCTION("""COMPUTED_VALUE"""),0.0)</f>
        <v>0</v>
      </c>
      <c r="AS167" s="3">
        <f>IFERROR(__xludf.DUMMYFUNCTION("""COMPUTED_VALUE"""),0.0)</f>
        <v>0</v>
      </c>
      <c r="AT167" s="3">
        <f>IFERROR(__xludf.DUMMYFUNCTION("""COMPUTED_VALUE"""),0.0)</f>
        <v>0</v>
      </c>
      <c r="AU167" s="3">
        <f>IFERROR(__xludf.DUMMYFUNCTION("""COMPUTED_VALUE"""),0.0)</f>
        <v>0</v>
      </c>
      <c r="AV167" s="3">
        <f>IFERROR(__xludf.DUMMYFUNCTION("""COMPUTED_VALUE"""),0.0)</f>
        <v>0</v>
      </c>
      <c r="AW167" s="3">
        <f>IFERROR(__xludf.DUMMYFUNCTION("""COMPUTED_VALUE"""),0.0)</f>
        <v>0</v>
      </c>
      <c r="AX167" s="3">
        <f>IFERROR(__xludf.DUMMYFUNCTION("""COMPUTED_VALUE"""),0.0)</f>
        <v>0</v>
      </c>
      <c r="AY167" s="3">
        <f>IFERROR(__xludf.DUMMYFUNCTION("""COMPUTED_VALUE"""),0.0)</f>
        <v>0</v>
      </c>
      <c r="AZ167" s="3">
        <f>IFERROR(__xludf.DUMMYFUNCTION("""COMPUTED_VALUE"""),0.0)</f>
        <v>0</v>
      </c>
      <c r="BA167" s="3">
        <f>IFERROR(__xludf.DUMMYFUNCTION("""COMPUTED_VALUE"""),0.0)</f>
        <v>0</v>
      </c>
      <c r="BB167" s="3">
        <f>IFERROR(__xludf.DUMMYFUNCTION("""COMPUTED_VALUE"""),0.0)</f>
        <v>0</v>
      </c>
      <c r="BC167" s="3">
        <f>IFERROR(__xludf.DUMMYFUNCTION("""COMPUTED_VALUE"""),0.0)</f>
        <v>0</v>
      </c>
      <c r="BD167" s="3">
        <f>IFERROR(__xludf.DUMMYFUNCTION("""COMPUTED_VALUE"""),0.0)</f>
        <v>0</v>
      </c>
      <c r="BE167" s="3">
        <f>IFERROR(__xludf.DUMMYFUNCTION("""COMPUTED_VALUE"""),0.0)</f>
        <v>0</v>
      </c>
      <c r="BF167" s="3">
        <f>IFERROR(__xludf.DUMMYFUNCTION("""COMPUTED_VALUE"""),0.0)</f>
        <v>0</v>
      </c>
      <c r="BG167" s="3">
        <f>IFERROR(__xludf.DUMMYFUNCTION("""COMPUTED_VALUE"""),0.0)</f>
        <v>0</v>
      </c>
      <c r="BH167" s="3">
        <f>IFERROR(__xludf.DUMMYFUNCTION("""COMPUTED_VALUE"""),0.0)</f>
        <v>0</v>
      </c>
      <c r="BI167" s="3">
        <f>IFERROR(__xludf.DUMMYFUNCTION("""COMPUTED_VALUE"""),0.0)</f>
        <v>0</v>
      </c>
      <c r="BJ167" s="3">
        <f>IFERROR(__xludf.DUMMYFUNCTION("""COMPUTED_VALUE"""),0.0)</f>
        <v>0</v>
      </c>
      <c r="BK167" s="3">
        <f>IFERROR(__xludf.DUMMYFUNCTION("""COMPUTED_VALUE"""),0.0)</f>
        <v>0</v>
      </c>
      <c r="BL167" s="3">
        <f>IFERROR(__xludf.DUMMYFUNCTION("""COMPUTED_VALUE"""),0.0)</f>
        <v>0</v>
      </c>
      <c r="BM167" s="3">
        <f>IFERROR(__xludf.DUMMYFUNCTION("""COMPUTED_VALUE"""),0.0)</f>
        <v>0</v>
      </c>
      <c r="BN167" s="3">
        <f>IFERROR(__xludf.DUMMYFUNCTION("""COMPUTED_VALUE"""),0.0)</f>
        <v>0</v>
      </c>
      <c r="BO167" s="3">
        <f>IFERROR(__xludf.DUMMYFUNCTION("""COMPUTED_VALUE"""),0.0)</f>
        <v>0</v>
      </c>
      <c r="BP167" s="3">
        <f>IFERROR(__xludf.DUMMYFUNCTION("""COMPUTED_VALUE"""),0.0)</f>
        <v>0</v>
      </c>
      <c r="BQ167" s="3">
        <f>IFERROR(__xludf.DUMMYFUNCTION("""COMPUTED_VALUE"""),0.0)</f>
        <v>0</v>
      </c>
      <c r="BR167" s="3">
        <f>IFERROR(__xludf.DUMMYFUNCTION("""COMPUTED_VALUE"""),0.0)</f>
        <v>0</v>
      </c>
      <c r="BS167" s="3">
        <f>IFERROR(__xludf.DUMMYFUNCTION("""COMPUTED_VALUE"""),0.0)</f>
        <v>0</v>
      </c>
      <c r="BT167" s="3">
        <f>IFERROR(__xludf.DUMMYFUNCTION("""COMPUTED_VALUE"""),0.0)</f>
        <v>0</v>
      </c>
      <c r="BU167" s="3">
        <f>IFERROR(__xludf.DUMMYFUNCTION("""COMPUTED_VALUE"""),0.0)</f>
        <v>0</v>
      </c>
      <c r="BV167" s="3">
        <f>IFERROR(__xludf.DUMMYFUNCTION("""COMPUTED_VALUE"""),0.0)</f>
        <v>0</v>
      </c>
      <c r="BW167" s="3">
        <f>IFERROR(__xludf.DUMMYFUNCTION("""COMPUTED_VALUE"""),0.0)</f>
        <v>0</v>
      </c>
      <c r="BX167" s="3">
        <f>IFERROR(__xludf.DUMMYFUNCTION("""COMPUTED_VALUE"""),0.0)</f>
        <v>0</v>
      </c>
      <c r="BY167" s="3">
        <f>IFERROR(__xludf.DUMMYFUNCTION("""COMPUTED_VALUE"""),0.0)</f>
        <v>0</v>
      </c>
      <c r="BZ167" s="3">
        <f>IFERROR(__xludf.DUMMYFUNCTION("""COMPUTED_VALUE"""),0.0)</f>
        <v>0</v>
      </c>
      <c r="CA167" s="3">
        <f>IFERROR(__xludf.DUMMYFUNCTION("""COMPUTED_VALUE"""),0.0)</f>
        <v>0</v>
      </c>
      <c r="CB167" s="3">
        <f>IFERROR(__xludf.DUMMYFUNCTION("""COMPUTED_VALUE"""),0.0)</f>
        <v>0</v>
      </c>
    </row>
    <row r="168">
      <c r="A168" s="3" t="str">
        <f>IFERROR(__xludf.DUMMYFUNCTION("""COMPUTED_VALUE"""),"Aruba")</f>
        <v>Aruba</v>
      </c>
      <c r="B168" s="3" t="str">
        <f>IFERROR(__xludf.DUMMYFUNCTION("""COMPUTED_VALUE"""),"Netherlands")</f>
        <v>Netherlands</v>
      </c>
      <c r="C168" s="3">
        <f>IFERROR(__xludf.DUMMYFUNCTION("""COMPUTED_VALUE"""),12.5186)</f>
        <v>12.5186</v>
      </c>
      <c r="D168" s="3">
        <f>IFERROR(__xludf.DUMMYFUNCTION("""COMPUTED_VALUE"""),-70.0358)</f>
        <v>-70.0358</v>
      </c>
      <c r="E168" s="3">
        <f>IFERROR(__xludf.DUMMYFUNCTION("""COMPUTED_VALUE"""),0.0)</f>
        <v>0</v>
      </c>
      <c r="F168" s="3">
        <f>IFERROR(__xludf.DUMMYFUNCTION("""COMPUTED_VALUE"""),0.0)</f>
        <v>0</v>
      </c>
      <c r="G168" s="3">
        <f>IFERROR(__xludf.DUMMYFUNCTION("""COMPUTED_VALUE"""),0.0)</f>
        <v>0</v>
      </c>
      <c r="H168" s="3">
        <f>IFERROR(__xludf.DUMMYFUNCTION("""COMPUTED_VALUE"""),0.0)</f>
        <v>0</v>
      </c>
      <c r="I168" s="3">
        <f>IFERROR(__xludf.DUMMYFUNCTION("""COMPUTED_VALUE"""),0.0)</f>
        <v>0</v>
      </c>
      <c r="J168" s="3">
        <f>IFERROR(__xludf.DUMMYFUNCTION("""COMPUTED_VALUE"""),0.0)</f>
        <v>0</v>
      </c>
      <c r="K168" s="3">
        <f>IFERROR(__xludf.DUMMYFUNCTION("""COMPUTED_VALUE"""),0.0)</f>
        <v>0</v>
      </c>
      <c r="L168" s="3">
        <f>IFERROR(__xludf.DUMMYFUNCTION("""COMPUTED_VALUE"""),0.0)</f>
        <v>0</v>
      </c>
      <c r="M168" s="3">
        <f>IFERROR(__xludf.DUMMYFUNCTION("""COMPUTED_VALUE"""),0.0)</f>
        <v>0</v>
      </c>
      <c r="N168" s="3">
        <f>IFERROR(__xludf.DUMMYFUNCTION("""COMPUTED_VALUE"""),0.0)</f>
        <v>0</v>
      </c>
      <c r="O168" s="3">
        <f>IFERROR(__xludf.DUMMYFUNCTION("""COMPUTED_VALUE"""),0.0)</f>
        <v>0</v>
      </c>
      <c r="P168" s="3">
        <f>IFERROR(__xludf.DUMMYFUNCTION("""COMPUTED_VALUE"""),0.0)</f>
        <v>0</v>
      </c>
      <c r="Q168" s="3">
        <f>IFERROR(__xludf.DUMMYFUNCTION("""COMPUTED_VALUE"""),0.0)</f>
        <v>0</v>
      </c>
      <c r="R168" s="3">
        <f>IFERROR(__xludf.DUMMYFUNCTION("""COMPUTED_VALUE"""),0.0)</f>
        <v>0</v>
      </c>
      <c r="S168" s="3">
        <f>IFERROR(__xludf.DUMMYFUNCTION("""COMPUTED_VALUE"""),0.0)</f>
        <v>0</v>
      </c>
      <c r="T168" s="3">
        <f>IFERROR(__xludf.DUMMYFUNCTION("""COMPUTED_VALUE"""),0.0)</f>
        <v>0</v>
      </c>
      <c r="U168" s="3">
        <f>IFERROR(__xludf.DUMMYFUNCTION("""COMPUTED_VALUE"""),0.0)</f>
        <v>0</v>
      </c>
      <c r="V168" s="3">
        <f>IFERROR(__xludf.DUMMYFUNCTION("""COMPUTED_VALUE"""),0.0)</f>
        <v>0</v>
      </c>
      <c r="W168" s="3">
        <f>IFERROR(__xludf.DUMMYFUNCTION("""COMPUTED_VALUE"""),0.0)</f>
        <v>0</v>
      </c>
      <c r="X168" s="3">
        <f>IFERROR(__xludf.DUMMYFUNCTION("""COMPUTED_VALUE"""),0.0)</f>
        <v>0</v>
      </c>
      <c r="Y168" s="3">
        <f>IFERROR(__xludf.DUMMYFUNCTION("""COMPUTED_VALUE"""),0.0)</f>
        <v>0</v>
      </c>
      <c r="Z168" s="3">
        <f>IFERROR(__xludf.DUMMYFUNCTION("""COMPUTED_VALUE"""),0.0)</f>
        <v>0</v>
      </c>
      <c r="AA168" s="3">
        <f>IFERROR(__xludf.DUMMYFUNCTION("""COMPUTED_VALUE"""),0.0)</f>
        <v>0</v>
      </c>
      <c r="AB168" s="3">
        <f>IFERROR(__xludf.DUMMYFUNCTION("""COMPUTED_VALUE"""),0.0)</f>
        <v>0</v>
      </c>
      <c r="AC168" s="3">
        <f>IFERROR(__xludf.DUMMYFUNCTION("""COMPUTED_VALUE"""),0.0)</f>
        <v>0</v>
      </c>
      <c r="AD168" s="3">
        <f>IFERROR(__xludf.DUMMYFUNCTION("""COMPUTED_VALUE"""),0.0)</f>
        <v>0</v>
      </c>
      <c r="AE168" s="3">
        <f>IFERROR(__xludf.DUMMYFUNCTION("""COMPUTED_VALUE"""),0.0)</f>
        <v>0</v>
      </c>
      <c r="AF168" s="3">
        <f>IFERROR(__xludf.DUMMYFUNCTION("""COMPUTED_VALUE"""),0.0)</f>
        <v>0</v>
      </c>
      <c r="AG168" s="3">
        <f>IFERROR(__xludf.DUMMYFUNCTION("""COMPUTED_VALUE"""),0.0)</f>
        <v>0</v>
      </c>
      <c r="AH168" s="3">
        <f>IFERROR(__xludf.DUMMYFUNCTION("""COMPUTED_VALUE"""),0.0)</f>
        <v>0</v>
      </c>
      <c r="AI168" s="3">
        <f>IFERROR(__xludf.DUMMYFUNCTION("""COMPUTED_VALUE"""),0.0)</f>
        <v>0</v>
      </c>
      <c r="AJ168" s="3">
        <f>IFERROR(__xludf.DUMMYFUNCTION("""COMPUTED_VALUE"""),0.0)</f>
        <v>0</v>
      </c>
      <c r="AK168" s="3">
        <f>IFERROR(__xludf.DUMMYFUNCTION("""COMPUTED_VALUE"""),0.0)</f>
        <v>0</v>
      </c>
      <c r="AL168" s="3">
        <f>IFERROR(__xludf.DUMMYFUNCTION("""COMPUTED_VALUE"""),0.0)</f>
        <v>0</v>
      </c>
      <c r="AM168" s="3">
        <f>IFERROR(__xludf.DUMMYFUNCTION("""COMPUTED_VALUE"""),0.0)</f>
        <v>0</v>
      </c>
      <c r="AN168" s="3">
        <f>IFERROR(__xludf.DUMMYFUNCTION("""COMPUTED_VALUE"""),0.0)</f>
        <v>0</v>
      </c>
      <c r="AO168" s="3">
        <f>IFERROR(__xludf.DUMMYFUNCTION("""COMPUTED_VALUE"""),0.0)</f>
        <v>0</v>
      </c>
      <c r="AP168" s="3">
        <f>IFERROR(__xludf.DUMMYFUNCTION("""COMPUTED_VALUE"""),0.0)</f>
        <v>0</v>
      </c>
      <c r="AQ168" s="3">
        <f>IFERROR(__xludf.DUMMYFUNCTION("""COMPUTED_VALUE"""),0.0)</f>
        <v>0</v>
      </c>
      <c r="AR168" s="3">
        <f>IFERROR(__xludf.DUMMYFUNCTION("""COMPUTED_VALUE"""),0.0)</f>
        <v>0</v>
      </c>
      <c r="AS168" s="3">
        <f>IFERROR(__xludf.DUMMYFUNCTION("""COMPUTED_VALUE"""),0.0)</f>
        <v>0</v>
      </c>
      <c r="AT168" s="3">
        <f>IFERROR(__xludf.DUMMYFUNCTION("""COMPUTED_VALUE"""),0.0)</f>
        <v>0</v>
      </c>
      <c r="AU168" s="3">
        <f>IFERROR(__xludf.DUMMYFUNCTION("""COMPUTED_VALUE"""),0.0)</f>
        <v>0</v>
      </c>
      <c r="AV168" s="3">
        <f>IFERROR(__xludf.DUMMYFUNCTION("""COMPUTED_VALUE"""),0.0)</f>
        <v>0</v>
      </c>
      <c r="AW168" s="3">
        <f>IFERROR(__xludf.DUMMYFUNCTION("""COMPUTED_VALUE"""),0.0)</f>
        <v>0</v>
      </c>
      <c r="AX168" s="3">
        <f>IFERROR(__xludf.DUMMYFUNCTION("""COMPUTED_VALUE"""),0.0)</f>
        <v>0</v>
      </c>
      <c r="AY168" s="3">
        <f>IFERROR(__xludf.DUMMYFUNCTION("""COMPUTED_VALUE"""),0.0)</f>
        <v>0</v>
      </c>
      <c r="AZ168" s="3">
        <f>IFERROR(__xludf.DUMMYFUNCTION("""COMPUTED_VALUE"""),0.0)</f>
        <v>0</v>
      </c>
      <c r="BA168" s="3">
        <f>IFERROR(__xludf.DUMMYFUNCTION("""COMPUTED_VALUE"""),0.0)</f>
        <v>0</v>
      </c>
      <c r="BB168" s="3">
        <f>IFERROR(__xludf.DUMMYFUNCTION("""COMPUTED_VALUE"""),0.0)</f>
        <v>0</v>
      </c>
      <c r="BC168" s="3">
        <f>IFERROR(__xludf.DUMMYFUNCTION("""COMPUTED_VALUE"""),0.0)</f>
        <v>0</v>
      </c>
      <c r="BD168" s="3">
        <f>IFERROR(__xludf.DUMMYFUNCTION("""COMPUTED_VALUE"""),0.0)</f>
        <v>0</v>
      </c>
      <c r="BE168" s="3">
        <f>IFERROR(__xludf.DUMMYFUNCTION("""COMPUTED_VALUE"""),0.0)</f>
        <v>0</v>
      </c>
      <c r="BF168" s="3">
        <f>IFERROR(__xludf.DUMMYFUNCTION("""COMPUTED_VALUE"""),0.0)</f>
        <v>0</v>
      </c>
      <c r="BG168" s="3">
        <f>IFERROR(__xludf.DUMMYFUNCTION("""COMPUTED_VALUE"""),0.0)</f>
        <v>0</v>
      </c>
      <c r="BH168" s="3">
        <f>IFERROR(__xludf.DUMMYFUNCTION("""COMPUTED_VALUE"""),0.0)</f>
        <v>0</v>
      </c>
      <c r="BI168" s="3">
        <f>IFERROR(__xludf.DUMMYFUNCTION("""COMPUTED_VALUE"""),0.0)</f>
        <v>0</v>
      </c>
      <c r="BJ168" s="3">
        <f>IFERROR(__xludf.DUMMYFUNCTION("""COMPUTED_VALUE"""),0.0)</f>
        <v>0</v>
      </c>
      <c r="BK168" s="3">
        <f>IFERROR(__xludf.DUMMYFUNCTION("""COMPUTED_VALUE"""),0.0)</f>
        <v>0</v>
      </c>
      <c r="BL168" s="3">
        <f>IFERROR(__xludf.DUMMYFUNCTION("""COMPUTED_VALUE"""),0.0)</f>
        <v>0</v>
      </c>
      <c r="BM168" s="3">
        <f>IFERROR(__xludf.DUMMYFUNCTION("""COMPUTED_VALUE"""),0.0)</f>
        <v>0</v>
      </c>
      <c r="BN168" s="3">
        <f>IFERROR(__xludf.DUMMYFUNCTION("""COMPUTED_VALUE"""),0.0)</f>
        <v>0</v>
      </c>
      <c r="BO168" s="3">
        <f>IFERROR(__xludf.DUMMYFUNCTION("""COMPUTED_VALUE"""),0.0)</f>
        <v>0</v>
      </c>
      <c r="BP168" s="3">
        <f>IFERROR(__xludf.DUMMYFUNCTION("""COMPUTED_VALUE"""),0.0)</f>
        <v>0</v>
      </c>
      <c r="BQ168" s="3">
        <f>IFERROR(__xludf.DUMMYFUNCTION("""COMPUTED_VALUE"""),0.0)</f>
        <v>0</v>
      </c>
      <c r="BR168" s="3">
        <f>IFERROR(__xludf.DUMMYFUNCTION("""COMPUTED_VALUE"""),0.0)</f>
        <v>0</v>
      </c>
      <c r="BS168" s="3">
        <f>IFERROR(__xludf.DUMMYFUNCTION("""COMPUTED_VALUE"""),0.0)</f>
        <v>0</v>
      </c>
      <c r="BT168" s="3">
        <f>IFERROR(__xludf.DUMMYFUNCTION("""COMPUTED_VALUE"""),0.0)</f>
        <v>0</v>
      </c>
      <c r="BU168" s="3">
        <f>IFERROR(__xludf.DUMMYFUNCTION("""COMPUTED_VALUE"""),0.0)</f>
        <v>0</v>
      </c>
      <c r="BV168" s="3">
        <f>IFERROR(__xludf.DUMMYFUNCTION("""COMPUTED_VALUE"""),0.0)</f>
        <v>0</v>
      </c>
      <c r="BW168" s="3">
        <f>IFERROR(__xludf.DUMMYFUNCTION("""COMPUTED_VALUE"""),0.0)</f>
        <v>0</v>
      </c>
      <c r="BX168" s="3">
        <f>IFERROR(__xludf.DUMMYFUNCTION("""COMPUTED_VALUE"""),0.0)</f>
        <v>0</v>
      </c>
      <c r="BY168" s="3">
        <f>IFERROR(__xludf.DUMMYFUNCTION("""COMPUTED_VALUE"""),0.0)</f>
        <v>0</v>
      </c>
      <c r="BZ168" s="3">
        <f>IFERROR(__xludf.DUMMYFUNCTION("""COMPUTED_VALUE"""),0.0)</f>
        <v>0</v>
      </c>
      <c r="CA168" s="3">
        <f>IFERROR(__xludf.DUMMYFUNCTION("""COMPUTED_VALUE"""),0.0)</f>
        <v>0</v>
      </c>
      <c r="CB168" s="3">
        <f>IFERROR(__xludf.DUMMYFUNCTION("""COMPUTED_VALUE"""),0.0)</f>
        <v>0</v>
      </c>
    </row>
    <row r="169">
      <c r="A169" s="3" t="str">
        <f>IFERROR(__xludf.DUMMYFUNCTION("""COMPUTED_VALUE"""),"Curacao")</f>
        <v>Curacao</v>
      </c>
      <c r="B169" s="3" t="str">
        <f>IFERROR(__xludf.DUMMYFUNCTION("""COMPUTED_VALUE"""),"Netherlands")</f>
        <v>Netherlands</v>
      </c>
      <c r="C169" s="3">
        <f>IFERROR(__xludf.DUMMYFUNCTION("""COMPUTED_VALUE"""),12.1696)</f>
        <v>12.1696</v>
      </c>
      <c r="D169" s="3">
        <f>IFERROR(__xludf.DUMMYFUNCTION("""COMPUTED_VALUE"""),-68.99)</f>
        <v>-68.99</v>
      </c>
      <c r="E169" s="3">
        <f>IFERROR(__xludf.DUMMYFUNCTION("""COMPUTED_VALUE"""),0.0)</f>
        <v>0</v>
      </c>
      <c r="F169" s="3">
        <f>IFERROR(__xludf.DUMMYFUNCTION("""COMPUTED_VALUE"""),0.0)</f>
        <v>0</v>
      </c>
      <c r="G169" s="3">
        <f>IFERROR(__xludf.DUMMYFUNCTION("""COMPUTED_VALUE"""),0.0)</f>
        <v>0</v>
      </c>
      <c r="H169" s="3">
        <f>IFERROR(__xludf.DUMMYFUNCTION("""COMPUTED_VALUE"""),0.0)</f>
        <v>0</v>
      </c>
      <c r="I169" s="3">
        <f>IFERROR(__xludf.DUMMYFUNCTION("""COMPUTED_VALUE"""),0.0)</f>
        <v>0</v>
      </c>
      <c r="J169" s="3">
        <f>IFERROR(__xludf.DUMMYFUNCTION("""COMPUTED_VALUE"""),0.0)</f>
        <v>0</v>
      </c>
      <c r="K169" s="3">
        <f>IFERROR(__xludf.DUMMYFUNCTION("""COMPUTED_VALUE"""),0.0)</f>
        <v>0</v>
      </c>
      <c r="L169" s="3">
        <f>IFERROR(__xludf.DUMMYFUNCTION("""COMPUTED_VALUE"""),0.0)</f>
        <v>0</v>
      </c>
      <c r="M169" s="3">
        <f>IFERROR(__xludf.DUMMYFUNCTION("""COMPUTED_VALUE"""),0.0)</f>
        <v>0</v>
      </c>
      <c r="N169" s="3">
        <f>IFERROR(__xludf.DUMMYFUNCTION("""COMPUTED_VALUE"""),0.0)</f>
        <v>0</v>
      </c>
      <c r="O169" s="3">
        <f>IFERROR(__xludf.DUMMYFUNCTION("""COMPUTED_VALUE"""),0.0)</f>
        <v>0</v>
      </c>
      <c r="P169" s="3">
        <f>IFERROR(__xludf.DUMMYFUNCTION("""COMPUTED_VALUE"""),0.0)</f>
        <v>0</v>
      </c>
      <c r="Q169" s="3">
        <f>IFERROR(__xludf.DUMMYFUNCTION("""COMPUTED_VALUE"""),0.0)</f>
        <v>0</v>
      </c>
      <c r="R169" s="3">
        <f>IFERROR(__xludf.DUMMYFUNCTION("""COMPUTED_VALUE"""),0.0)</f>
        <v>0</v>
      </c>
      <c r="S169" s="3">
        <f>IFERROR(__xludf.DUMMYFUNCTION("""COMPUTED_VALUE"""),0.0)</f>
        <v>0</v>
      </c>
      <c r="T169" s="3">
        <f>IFERROR(__xludf.DUMMYFUNCTION("""COMPUTED_VALUE"""),0.0)</f>
        <v>0</v>
      </c>
      <c r="U169" s="3">
        <f>IFERROR(__xludf.DUMMYFUNCTION("""COMPUTED_VALUE"""),0.0)</f>
        <v>0</v>
      </c>
      <c r="V169" s="3">
        <f>IFERROR(__xludf.DUMMYFUNCTION("""COMPUTED_VALUE"""),0.0)</f>
        <v>0</v>
      </c>
      <c r="W169" s="3">
        <f>IFERROR(__xludf.DUMMYFUNCTION("""COMPUTED_VALUE"""),0.0)</f>
        <v>0</v>
      </c>
      <c r="X169" s="3">
        <f>IFERROR(__xludf.DUMMYFUNCTION("""COMPUTED_VALUE"""),0.0)</f>
        <v>0</v>
      </c>
      <c r="Y169" s="3">
        <f>IFERROR(__xludf.DUMMYFUNCTION("""COMPUTED_VALUE"""),0.0)</f>
        <v>0</v>
      </c>
      <c r="Z169" s="3">
        <f>IFERROR(__xludf.DUMMYFUNCTION("""COMPUTED_VALUE"""),0.0)</f>
        <v>0</v>
      </c>
      <c r="AA169" s="3">
        <f>IFERROR(__xludf.DUMMYFUNCTION("""COMPUTED_VALUE"""),0.0)</f>
        <v>0</v>
      </c>
      <c r="AB169" s="3">
        <f>IFERROR(__xludf.DUMMYFUNCTION("""COMPUTED_VALUE"""),0.0)</f>
        <v>0</v>
      </c>
      <c r="AC169" s="3">
        <f>IFERROR(__xludf.DUMMYFUNCTION("""COMPUTED_VALUE"""),0.0)</f>
        <v>0</v>
      </c>
      <c r="AD169" s="3">
        <f>IFERROR(__xludf.DUMMYFUNCTION("""COMPUTED_VALUE"""),0.0)</f>
        <v>0</v>
      </c>
      <c r="AE169" s="3">
        <f>IFERROR(__xludf.DUMMYFUNCTION("""COMPUTED_VALUE"""),0.0)</f>
        <v>0</v>
      </c>
      <c r="AF169" s="3">
        <f>IFERROR(__xludf.DUMMYFUNCTION("""COMPUTED_VALUE"""),0.0)</f>
        <v>0</v>
      </c>
      <c r="AG169" s="3">
        <f>IFERROR(__xludf.DUMMYFUNCTION("""COMPUTED_VALUE"""),0.0)</f>
        <v>0</v>
      </c>
      <c r="AH169" s="3">
        <f>IFERROR(__xludf.DUMMYFUNCTION("""COMPUTED_VALUE"""),0.0)</f>
        <v>0</v>
      </c>
      <c r="AI169" s="3">
        <f>IFERROR(__xludf.DUMMYFUNCTION("""COMPUTED_VALUE"""),0.0)</f>
        <v>0</v>
      </c>
      <c r="AJ169" s="3">
        <f>IFERROR(__xludf.DUMMYFUNCTION("""COMPUTED_VALUE"""),0.0)</f>
        <v>0</v>
      </c>
      <c r="AK169" s="3">
        <f>IFERROR(__xludf.DUMMYFUNCTION("""COMPUTED_VALUE"""),0.0)</f>
        <v>0</v>
      </c>
      <c r="AL169" s="3">
        <f>IFERROR(__xludf.DUMMYFUNCTION("""COMPUTED_VALUE"""),0.0)</f>
        <v>0</v>
      </c>
      <c r="AM169" s="3">
        <f>IFERROR(__xludf.DUMMYFUNCTION("""COMPUTED_VALUE"""),0.0)</f>
        <v>0</v>
      </c>
      <c r="AN169" s="3">
        <f>IFERROR(__xludf.DUMMYFUNCTION("""COMPUTED_VALUE"""),0.0)</f>
        <v>0</v>
      </c>
      <c r="AO169" s="3">
        <f>IFERROR(__xludf.DUMMYFUNCTION("""COMPUTED_VALUE"""),0.0)</f>
        <v>0</v>
      </c>
      <c r="AP169" s="3">
        <f>IFERROR(__xludf.DUMMYFUNCTION("""COMPUTED_VALUE"""),0.0)</f>
        <v>0</v>
      </c>
      <c r="AQ169" s="3">
        <f>IFERROR(__xludf.DUMMYFUNCTION("""COMPUTED_VALUE"""),0.0)</f>
        <v>0</v>
      </c>
      <c r="AR169" s="3">
        <f>IFERROR(__xludf.DUMMYFUNCTION("""COMPUTED_VALUE"""),0.0)</f>
        <v>0</v>
      </c>
      <c r="AS169" s="3">
        <f>IFERROR(__xludf.DUMMYFUNCTION("""COMPUTED_VALUE"""),0.0)</f>
        <v>0</v>
      </c>
      <c r="AT169" s="3">
        <f>IFERROR(__xludf.DUMMYFUNCTION("""COMPUTED_VALUE"""),0.0)</f>
        <v>0</v>
      </c>
      <c r="AU169" s="3">
        <f>IFERROR(__xludf.DUMMYFUNCTION("""COMPUTED_VALUE"""),0.0)</f>
        <v>0</v>
      </c>
      <c r="AV169" s="3">
        <f>IFERROR(__xludf.DUMMYFUNCTION("""COMPUTED_VALUE"""),0.0)</f>
        <v>0</v>
      </c>
      <c r="AW169" s="3">
        <f>IFERROR(__xludf.DUMMYFUNCTION("""COMPUTED_VALUE"""),0.0)</f>
        <v>0</v>
      </c>
      <c r="AX169" s="3">
        <f>IFERROR(__xludf.DUMMYFUNCTION("""COMPUTED_VALUE"""),0.0)</f>
        <v>0</v>
      </c>
      <c r="AY169" s="3">
        <f>IFERROR(__xludf.DUMMYFUNCTION("""COMPUTED_VALUE"""),0.0)</f>
        <v>0</v>
      </c>
      <c r="AZ169" s="3">
        <f>IFERROR(__xludf.DUMMYFUNCTION("""COMPUTED_VALUE"""),0.0)</f>
        <v>0</v>
      </c>
      <c r="BA169" s="3">
        <f>IFERROR(__xludf.DUMMYFUNCTION("""COMPUTED_VALUE"""),0.0)</f>
        <v>0</v>
      </c>
      <c r="BB169" s="3">
        <f>IFERROR(__xludf.DUMMYFUNCTION("""COMPUTED_VALUE"""),0.0)</f>
        <v>0</v>
      </c>
      <c r="BC169" s="3">
        <f>IFERROR(__xludf.DUMMYFUNCTION("""COMPUTED_VALUE"""),0.0)</f>
        <v>0</v>
      </c>
      <c r="BD169" s="3">
        <f>IFERROR(__xludf.DUMMYFUNCTION("""COMPUTED_VALUE"""),0.0)</f>
        <v>0</v>
      </c>
      <c r="BE169" s="3">
        <f>IFERROR(__xludf.DUMMYFUNCTION("""COMPUTED_VALUE"""),0.0)</f>
        <v>0</v>
      </c>
      <c r="BF169" s="3">
        <f>IFERROR(__xludf.DUMMYFUNCTION("""COMPUTED_VALUE"""),0.0)</f>
        <v>0</v>
      </c>
      <c r="BG169" s="3">
        <f>IFERROR(__xludf.DUMMYFUNCTION("""COMPUTED_VALUE"""),0.0)</f>
        <v>0</v>
      </c>
      <c r="BH169" s="3">
        <f>IFERROR(__xludf.DUMMYFUNCTION("""COMPUTED_VALUE"""),0.0)</f>
        <v>0</v>
      </c>
      <c r="BI169" s="3">
        <f>IFERROR(__xludf.DUMMYFUNCTION("""COMPUTED_VALUE"""),0.0)</f>
        <v>0</v>
      </c>
      <c r="BJ169" s="3">
        <f>IFERROR(__xludf.DUMMYFUNCTION("""COMPUTED_VALUE"""),1.0)</f>
        <v>1</v>
      </c>
      <c r="BK169" s="3">
        <f>IFERROR(__xludf.DUMMYFUNCTION("""COMPUTED_VALUE"""),1.0)</f>
        <v>1</v>
      </c>
      <c r="BL169" s="3">
        <f>IFERROR(__xludf.DUMMYFUNCTION("""COMPUTED_VALUE"""),1.0)</f>
        <v>1</v>
      </c>
      <c r="BM169" s="3">
        <f>IFERROR(__xludf.DUMMYFUNCTION("""COMPUTED_VALUE"""),1.0)</f>
        <v>1</v>
      </c>
      <c r="BN169" s="3">
        <f>IFERROR(__xludf.DUMMYFUNCTION("""COMPUTED_VALUE"""),1.0)</f>
        <v>1</v>
      </c>
      <c r="BO169" s="3">
        <f>IFERROR(__xludf.DUMMYFUNCTION("""COMPUTED_VALUE"""),1.0)</f>
        <v>1</v>
      </c>
      <c r="BP169" s="3">
        <f>IFERROR(__xludf.DUMMYFUNCTION("""COMPUTED_VALUE"""),1.0)</f>
        <v>1</v>
      </c>
      <c r="BQ169" s="3">
        <f>IFERROR(__xludf.DUMMYFUNCTION("""COMPUTED_VALUE"""),1.0)</f>
        <v>1</v>
      </c>
      <c r="BR169" s="3">
        <f>IFERROR(__xludf.DUMMYFUNCTION("""COMPUTED_VALUE"""),1.0)</f>
        <v>1</v>
      </c>
      <c r="BS169" s="3">
        <f>IFERROR(__xludf.DUMMYFUNCTION("""COMPUTED_VALUE"""),1.0)</f>
        <v>1</v>
      </c>
      <c r="BT169" s="3">
        <f>IFERROR(__xludf.DUMMYFUNCTION("""COMPUTED_VALUE"""),1.0)</f>
        <v>1</v>
      </c>
      <c r="BU169" s="3">
        <f>IFERROR(__xludf.DUMMYFUNCTION("""COMPUTED_VALUE"""),1.0)</f>
        <v>1</v>
      </c>
      <c r="BV169" s="3">
        <f>IFERROR(__xludf.DUMMYFUNCTION("""COMPUTED_VALUE"""),1.0)</f>
        <v>1</v>
      </c>
      <c r="BW169" s="3">
        <f>IFERROR(__xludf.DUMMYFUNCTION("""COMPUTED_VALUE"""),1.0)</f>
        <v>1</v>
      </c>
      <c r="BX169" s="3">
        <f>IFERROR(__xludf.DUMMYFUNCTION("""COMPUTED_VALUE"""),1.0)</f>
        <v>1</v>
      </c>
      <c r="BY169" s="3">
        <f>IFERROR(__xludf.DUMMYFUNCTION("""COMPUTED_VALUE"""),1.0)</f>
        <v>1</v>
      </c>
      <c r="BZ169" s="3">
        <f>IFERROR(__xludf.DUMMYFUNCTION("""COMPUTED_VALUE"""),1.0)</f>
        <v>1</v>
      </c>
      <c r="CA169" s="3">
        <f>IFERROR(__xludf.DUMMYFUNCTION("""COMPUTED_VALUE"""),1.0)</f>
        <v>1</v>
      </c>
      <c r="CB169" s="3">
        <f>IFERROR(__xludf.DUMMYFUNCTION("""COMPUTED_VALUE"""),1.0)</f>
        <v>1</v>
      </c>
    </row>
    <row r="170">
      <c r="A170" s="3" t="str">
        <f>IFERROR(__xludf.DUMMYFUNCTION("""COMPUTED_VALUE"""),"Sint Maarten")</f>
        <v>Sint Maarten</v>
      </c>
      <c r="B170" s="3" t="str">
        <f>IFERROR(__xludf.DUMMYFUNCTION("""COMPUTED_VALUE"""),"Netherlands")</f>
        <v>Netherlands</v>
      </c>
      <c r="C170" s="3">
        <f>IFERROR(__xludf.DUMMYFUNCTION("""COMPUTED_VALUE"""),18.0425)</f>
        <v>18.0425</v>
      </c>
      <c r="D170" s="3">
        <f>IFERROR(__xludf.DUMMYFUNCTION("""COMPUTED_VALUE"""),-63.0548)</f>
        <v>-63.0548</v>
      </c>
      <c r="E170" s="3">
        <f>IFERROR(__xludf.DUMMYFUNCTION("""COMPUTED_VALUE"""),0.0)</f>
        <v>0</v>
      </c>
      <c r="F170" s="3">
        <f>IFERROR(__xludf.DUMMYFUNCTION("""COMPUTED_VALUE"""),0.0)</f>
        <v>0</v>
      </c>
      <c r="G170" s="3">
        <f>IFERROR(__xludf.DUMMYFUNCTION("""COMPUTED_VALUE"""),0.0)</f>
        <v>0</v>
      </c>
      <c r="H170" s="3">
        <f>IFERROR(__xludf.DUMMYFUNCTION("""COMPUTED_VALUE"""),0.0)</f>
        <v>0</v>
      </c>
      <c r="I170" s="3">
        <f>IFERROR(__xludf.DUMMYFUNCTION("""COMPUTED_VALUE"""),0.0)</f>
        <v>0</v>
      </c>
      <c r="J170" s="3">
        <f>IFERROR(__xludf.DUMMYFUNCTION("""COMPUTED_VALUE"""),0.0)</f>
        <v>0</v>
      </c>
      <c r="K170" s="3">
        <f>IFERROR(__xludf.DUMMYFUNCTION("""COMPUTED_VALUE"""),0.0)</f>
        <v>0</v>
      </c>
      <c r="L170" s="3">
        <f>IFERROR(__xludf.DUMMYFUNCTION("""COMPUTED_VALUE"""),0.0)</f>
        <v>0</v>
      </c>
      <c r="M170" s="3">
        <f>IFERROR(__xludf.DUMMYFUNCTION("""COMPUTED_VALUE"""),0.0)</f>
        <v>0</v>
      </c>
      <c r="N170" s="3">
        <f>IFERROR(__xludf.DUMMYFUNCTION("""COMPUTED_VALUE"""),0.0)</f>
        <v>0</v>
      </c>
      <c r="O170" s="3">
        <f>IFERROR(__xludf.DUMMYFUNCTION("""COMPUTED_VALUE"""),0.0)</f>
        <v>0</v>
      </c>
      <c r="P170" s="3">
        <f>IFERROR(__xludf.DUMMYFUNCTION("""COMPUTED_VALUE"""),0.0)</f>
        <v>0</v>
      </c>
      <c r="Q170" s="3">
        <f>IFERROR(__xludf.DUMMYFUNCTION("""COMPUTED_VALUE"""),0.0)</f>
        <v>0</v>
      </c>
      <c r="R170" s="3">
        <f>IFERROR(__xludf.DUMMYFUNCTION("""COMPUTED_VALUE"""),0.0)</f>
        <v>0</v>
      </c>
      <c r="S170" s="3">
        <f>IFERROR(__xludf.DUMMYFUNCTION("""COMPUTED_VALUE"""),0.0)</f>
        <v>0</v>
      </c>
      <c r="T170" s="3">
        <f>IFERROR(__xludf.DUMMYFUNCTION("""COMPUTED_VALUE"""),0.0)</f>
        <v>0</v>
      </c>
      <c r="U170" s="3">
        <f>IFERROR(__xludf.DUMMYFUNCTION("""COMPUTED_VALUE"""),0.0)</f>
        <v>0</v>
      </c>
      <c r="V170" s="3">
        <f>IFERROR(__xludf.DUMMYFUNCTION("""COMPUTED_VALUE"""),0.0)</f>
        <v>0</v>
      </c>
      <c r="W170" s="3">
        <f>IFERROR(__xludf.DUMMYFUNCTION("""COMPUTED_VALUE"""),0.0)</f>
        <v>0</v>
      </c>
      <c r="X170" s="3">
        <f>IFERROR(__xludf.DUMMYFUNCTION("""COMPUTED_VALUE"""),0.0)</f>
        <v>0</v>
      </c>
      <c r="Y170" s="3">
        <f>IFERROR(__xludf.DUMMYFUNCTION("""COMPUTED_VALUE"""),0.0)</f>
        <v>0</v>
      </c>
      <c r="Z170" s="3">
        <f>IFERROR(__xludf.DUMMYFUNCTION("""COMPUTED_VALUE"""),0.0)</f>
        <v>0</v>
      </c>
      <c r="AA170" s="3">
        <f>IFERROR(__xludf.DUMMYFUNCTION("""COMPUTED_VALUE"""),0.0)</f>
        <v>0</v>
      </c>
      <c r="AB170" s="3">
        <f>IFERROR(__xludf.DUMMYFUNCTION("""COMPUTED_VALUE"""),0.0)</f>
        <v>0</v>
      </c>
      <c r="AC170" s="3">
        <f>IFERROR(__xludf.DUMMYFUNCTION("""COMPUTED_VALUE"""),0.0)</f>
        <v>0</v>
      </c>
      <c r="AD170" s="3">
        <f>IFERROR(__xludf.DUMMYFUNCTION("""COMPUTED_VALUE"""),0.0)</f>
        <v>0</v>
      </c>
      <c r="AE170" s="3">
        <f>IFERROR(__xludf.DUMMYFUNCTION("""COMPUTED_VALUE"""),0.0)</f>
        <v>0</v>
      </c>
      <c r="AF170" s="3">
        <f>IFERROR(__xludf.DUMMYFUNCTION("""COMPUTED_VALUE"""),0.0)</f>
        <v>0</v>
      </c>
      <c r="AG170" s="3">
        <f>IFERROR(__xludf.DUMMYFUNCTION("""COMPUTED_VALUE"""),0.0)</f>
        <v>0</v>
      </c>
      <c r="AH170" s="3">
        <f>IFERROR(__xludf.DUMMYFUNCTION("""COMPUTED_VALUE"""),0.0)</f>
        <v>0</v>
      </c>
      <c r="AI170" s="3">
        <f>IFERROR(__xludf.DUMMYFUNCTION("""COMPUTED_VALUE"""),0.0)</f>
        <v>0</v>
      </c>
      <c r="AJ170" s="3">
        <f>IFERROR(__xludf.DUMMYFUNCTION("""COMPUTED_VALUE"""),0.0)</f>
        <v>0</v>
      </c>
      <c r="AK170" s="3">
        <f>IFERROR(__xludf.DUMMYFUNCTION("""COMPUTED_VALUE"""),0.0)</f>
        <v>0</v>
      </c>
      <c r="AL170" s="3">
        <f>IFERROR(__xludf.DUMMYFUNCTION("""COMPUTED_VALUE"""),0.0)</f>
        <v>0</v>
      </c>
      <c r="AM170" s="3">
        <f>IFERROR(__xludf.DUMMYFUNCTION("""COMPUTED_VALUE"""),0.0)</f>
        <v>0</v>
      </c>
      <c r="AN170" s="3">
        <f>IFERROR(__xludf.DUMMYFUNCTION("""COMPUTED_VALUE"""),0.0)</f>
        <v>0</v>
      </c>
      <c r="AO170" s="3">
        <f>IFERROR(__xludf.DUMMYFUNCTION("""COMPUTED_VALUE"""),0.0)</f>
        <v>0</v>
      </c>
      <c r="AP170" s="3">
        <f>IFERROR(__xludf.DUMMYFUNCTION("""COMPUTED_VALUE"""),0.0)</f>
        <v>0</v>
      </c>
      <c r="AQ170" s="3">
        <f>IFERROR(__xludf.DUMMYFUNCTION("""COMPUTED_VALUE"""),0.0)</f>
        <v>0</v>
      </c>
      <c r="AR170" s="3">
        <f>IFERROR(__xludf.DUMMYFUNCTION("""COMPUTED_VALUE"""),0.0)</f>
        <v>0</v>
      </c>
      <c r="AS170" s="3">
        <f>IFERROR(__xludf.DUMMYFUNCTION("""COMPUTED_VALUE"""),0.0)</f>
        <v>0</v>
      </c>
      <c r="AT170" s="3">
        <f>IFERROR(__xludf.DUMMYFUNCTION("""COMPUTED_VALUE"""),0.0)</f>
        <v>0</v>
      </c>
      <c r="AU170" s="3">
        <f>IFERROR(__xludf.DUMMYFUNCTION("""COMPUTED_VALUE"""),0.0)</f>
        <v>0</v>
      </c>
      <c r="AV170" s="3">
        <f>IFERROR(__xludf.DUMMYFUNCTION("""COMPUTED_VALUE"""),0.0)</f>
        <v>0</v>
      </c>
      <c r="AW170" s="3">
        <f>IFERROR(__xludf.DUMMYFUNCTION("""COMPUTED_VALUE"""),0.0)</f>
        <v>0</v>
      </c>
      <c r="AX170" s="3">
        <f>IFERROR(__xludf.DUMMYFUNCTION("""COMPUTED_VALUE"""),0.0)</f>
        <v>0</v>
      </c>
      <c r="AY170" s="3">
        <f>IFERROR(__xludf.DUMMYFUNCTION("""COMPUTED_VALUE"""),0.0)</f>
        <v>0</v>
      </c>
      <c r="AZ170" s="3">
        <f>IFERROR(__xludf.DUMMYFUNCTION("""COMPUTED_VALUE"""),0.0)</f>
        <v>0</v>
      </c>
      <c r="BA170" s="3">
        <f>IFERROR(__xludf.DUMMYFUNCTION("""COMPUTED_VALUE"""),0.0)</f>
        <v>0</v>
      </c>
      <c r="BB170" s="3">
        <f>IFERROR(__xludf.DUMMYFUNCTION("""COMPUTED_VALUE"""),0.0)</f>
        <v>0</v>
      </c>
      <c r="BC170" s="3">
        <f>IFERROR(__xludf.DUMMYFUNCTION("""COMPUTED_VALUE"""),0.0)</f>
        <v>0</v>
      </c>
      <c r="BD170" s="3">
        <f>IFERROR(__xludf.DUMMYFUNCTION("""COMPUTED_VALUE"""),0.0)</f>
        <v>0</v>
      </c>
      <c r="BE170" s="3">
        <f>IFERROR(__xludf.DUMMYFUNCTION("""COMPUTED_VALUE"""),0.0)</f>
        <v>0</v>
      </c>
      <c r="BF170" s="3">
        <f>IFERROR(__xludf.DUMMYFUNCTION("""COMPUTED_VALUE"""),0.0)</f>
        <v>0</v>
      </c>
      <c r="BG170" s="3">
        <f>IFERROR(__xludf.DUMMYFUNCTION("""COMPUTED_VALUE"""),0.0)</f>
        <v>0</v>
      </c>
      <c r="BH170" s="3">
        <f>IFERROR(__xludf.DUMMYFUNCTION("""COMPUTED_VALUE"""),0.0)</f>
        <v>0</v>
      </c>
      <c r="BI170" s="3">
        <f>IFERROR(__xludf.DUMMYFUNCTION("""COMPUTED_VALUE"""),0.0)</f>
        <v>0</v>
      </c>
      <c r="BJ170" s="3">
        <f>IFERROR(__xludf.DUMMYFUNCTION("""COMPUTED_VALUE"""),0.0)</f>
        <v>0</v>
      </c>
      <c r="BK170" s="3">
        <f>IFERROR(__xludf.DUMMYFUNCTION("""COMPUTED_VALUE"""),0.0)</f>
        <v>0</v>
      </c>
      <c r="BL170" s="3">
        <f>IFERROR(__xludf.DUMMYFUNCTION("""COMPUTED_VALUE"""),0.0)</f>
        <v>0</v>
      </c>
      <c r="BM170" s="3">
        <f>IFERROR(__xludf.DUMMYFUNCTION("""COMPUTED_VALUE"""),0.0)</f>
        <v>0</v>
      </c>
      <c r="BN170" s="3">
        <f>IFERROR(__xludf.DUMMYFUNCTION("""COMPUTED_VALUE"""),0.0)</f>
        <v>0</v>
      </c>
      <c r="BO170" s="3">
        <f>IFERROR(__xludf.DUMMYFUNCTION("""COMPUTED_VALUE"""),0.0)</f>
        <v>0</v>
      </c>
      <c r="BP170" s="3">
        <f>IFERROR(__xludf.DUMMYFUNCTION("""COMPUTED_VALUE"""),0.0)</f>
        <v>0</v>
      </c>
      <c r="BQ170" s="3">
        <f>IFERROR(__xludf.DUMMYFUNCTION("""COMPUTED_VALUE"""),0.0)</f>
        <v>0</v>
      </c>
      <c r="BR170" s="3">
        <f>IFERROR(__xludf.DUMMYFUNCTION("""COMPUTED_VALUE"""),0.0)</f>
        <v>0</v>
      </c>
      <c r="BS170" s="3">
        <f>IFERROR(__xludf.DUMMYFUNCTION("""COMPUTED_VALUE"""),0.0)</f>
        <v>0</v>
      </c>
      <c r="BT170" s="3">
        <f>IFERROR(__xludf.DUMMYFUNCTION("""COMPUTED_VALUE"""),0.0)</f>
        <v>0</v>
      </c>
      <c r="BU170" s="3">
        <f>IFERROR(__xludf.DUMMYFUNCTION("""COMPUTED_VALUE"""),0.0)</f>
        <v>0</v>
      </c>
      <c r="BV170" s="3">
        <f>IFERROR(__xludf.DUMMYFUNCTION("""COMPUTED_VALUE"""),0.0)</f>
        <v>0</v>
      </c>
      <c r="BW170" s="3">
        <f>IFERROR(__xludf.DUMMYFUNCTION("""COMPUTED_VALUE"""),1.0)</f>
        <v>1</v>
      </c>
      <c r="BX170" s="3">
        <f>IFERROR(__xludf.DUMMYFUNCTION("""COMPUTED_VALUE"""),1.0)</f>
        <v>1</v>
      </c>
      <c r="BY170" s="3">
        <f>IFERROR(__xludf.DUMMYFUNCTION("""COMPUTED_VALUE"""),2.0)</f>
        <v>2</v>
      </c>
      <c r="BZ170" s="3">
        <f>IFERROR(__xludf.DUMMYFUNCTION("""COMPUTED_VALUE"""),4.0)</f>
        <v>4</v>
      </c>
      <c r="CA170" s="3">
        <f>IFERROR(__xludf.DUMMYFUNCTION("""COMPUTED_VALUE"""),4.0)</f>
        <v>4</v>
      </c>
      <c r="CB170" s="3">
        <f>IFERROR(__xludf.DUMMYFUNCTION("""COMPUTED_VALUE"""),6.0)</f>
        <v>6</v>
      </c>
    </row>
    <row r="171">
      <c r="A171" s="3" t="str">
        <f>IFERROR(__xludf.DUMMYFUNCTION("""COMPUTED_VALUE"""),"")</f>
        <v/>
      </c>
      <c r="B171" s="3" t="str">
        <f>IFERROR(__xludf.DUMMYFUNCTION("""COMPUTED_VALUE"""),"Netherlands")</f>
        <v>Netherlands</v>
      </c>
      <c r="C171" s="3">
        <f>IFERROR(__xludf.DUMMYFUNCTION("""COMPUTED_VALUE"""),52.1326)</f>
        <v>52.1326</v>
      </c>
      <c r="D171" s="3">
        <f>IFERROR(__xludf.DUMMYFUNCTION("""COMPUTED_VALUE"""),5.2913)</f>
        <v>5.2913</v>
      </c>
      <c r="E171" s="3">
        <f>IFERROR(__xludf.DUMMYFUNCTION("""COMPUTED_VALUE"""),0.0)</f>
        <v>0</v>
      </c>
      <c r="F171" s="3">
        <f>IFERROR(__xludf.DUMMYFUNCTION("""COMPUTED_VALUE"""),0.0)</f>
        <v>0</v>
      </c>
      <c r="G171" s="3">
        <f>IFERROR(__xludf.DUMMYFUNCTION("""COMPUTED_VALUE"""),0.0)</f>
        <v>0</v>
      </c>
      <c r="H171" s="3">
        <f>IFERROR(__xludf.DUMMYFUNCTION("""COMPUTED_VALUE"""),0.0)</f>
        <v>0</v>
      </c>
      <c r="I171" s="3">
        <f>IFERROR(__xludf.DUMMYFUNCTION("""COMPUTED_VALUE"""),0.0)</f>
        <v>0</v>
      </c>
      <c r="J171" s="3">
        <f>IFERROR(__xludf.DUMMYFUNCTION("""COMPUTED_VALUE"""),0.0)</f>
        <v>0</v>
      </c>
      <c r="K171" s="3">
        <f>IFERROR(__xludf.DUMMYFUNCTION("""COMPUTED_VALUE"""),0.0)</f>
        <v>0</v>
      </c>
      <c r="L171" s="3">
        <f>IFERROR(__xludf.DUMMYFUNCTION("""COMPUTED_VALUE"""),0.0)</f>
        <v>0</v>
      </c>
      <c r="M171" s="3">
        <f>IFERROR(__xludf.DUMMYFUNCTION("""COMPUTED_VALUE"""),0.0)</f>
        <v>0</v>
      </c>
      <c r="N171" s="3">
        <f>IFERROR(__xludf.DUMMYFUNCTION("""COMPUTED_VALUE"""),0.0)</f>
        <v>0</v>
      </c>
      <c r="O171" s="3">
        <f>IFERROR(__xludf.DUMMYFUNCTION("""COMPUTED_VALUE"""),0.0)</f>
        <v>0</v>
      </c>
      <c r="P171" s="3">
        <f>IFERROR(__xludf.DUMMYFUNCTION("""COMPUTED_VALUE"""),0.0)</f>
        <v>0</v>
      </c>
      <c r="Q171" s="3">
        <f>IFERROR(__xludf.DUMMYFUNCTION("""COMPUTED_VALUE"""),0.0)</f>
        <v>0</v>
      </c>
      <c r="R171" s="3">
        <f>IFERROR(__xludf.DUMMYFUNCTION("""COMPUTED_VALUE"""),0.0)</f>
        <v>0</v>
      </c>
      <c r="S171" s="3">
        <f>IFERROR(__xludf.DUMMYFUNCTION("""COMPUTED_VALUE"""),0.0)</f>
        <v>0</v>
      </c>
      <c r="T171" s="3">
        <f>IFERROR(__xludf.DUMMYFUNCTION("""COMPUTED_VALUE"""),0.0)</f>
        <v>0</v>
      </c>
      <c r="U171" s="3">
        <f>IFERROR(__xludf.DUMMYFUNCTION("""COMPUTED_VALUE"""),0.0)</f>
        <v>0</v>
      </c>
      <c r="V171" s="3">
        <f>IFERROR(__xludf.DUMMYFUNCTION("""COMPUTED_VALUE"""),0.0)</f>
        <v>0</v>
      </c>
      <c r="W171" s="3">
        <f>IFERROR(__xludf.DUMMYFUNCTION("""COMPUTED_VALUE"""),0.0)</f>
        <v>0</v>
      </c>
      <c r="X171" s="3">
        <f>IFERROR(__xludf.DUMMYFUNCTION("""COMPUTED_VALUE"""),0.0)</f>
        <v>0</v>
      </c>
      <c r="Y171" s="3">
        <f>IFERROR(__xludf.DUMMYFUNCTION("""COMPUTED_VALUE"""),0.0)</f>
        <v>0</v>
      </c>
      <c r="Z171" s="3">
        <f>IFERROR(__xludf.DUMMYFUNCTION("""COMPUTED_VALUE"""),0.0)</f>
        <v>0</v>
      </c>
      <c r="AA171" s="3">
        <f>IFERROR(__xludf.DUMMYFUNCTION("""COMPUTED_VALUE"""),0.0)</f>
        <v>0</v>
      </c>
      <c r="AB171" s="3">
        <f>IFERROR(__xludf.DUMMYFUNCTION("""COMPUTED_VALUE"""),0.0)</f>
        <v>0</v>
      </c>
      <c r="AC171" s="3">
        <f>IFERROR(__xludf.DUMMYFUNCTION("""COMPUTED_VALUE"""),0.0)</f>
        <v>0</v>
      </c>
      <c r="AD171" s="3">
        <f>IFERROR(__xludf.DUMMYFUNCTION("""COMPUTED_VALUE"""),0.0)</f>
        <v>0</v>
      </c>
      <c r="AE171" s="3">
        <f>IFERROR(__xludf.DUMMYFUNCTION("""COMPUTED_VALUE"""),0.0)</f>
        <v>0</v>
      </c>
      <c r="AF171" s="3">
        <f>IFERROR(__xludf.DUMMYFUNCTION("""COMPUTED_VALUE"""),0.0)</f>
        <v>0</v>
      </c>
      <c r="AG171" s="3">
        <f>IFERROR(__xludf.DUMMYFUNCTION("""COMPUTED_VALUE"""),0.0)</f>
        <v>0</v>
      </c>
      <c r="AH171" s="3">
        <f>IFERROR(__xludf.DUMMYFUNCTION("""COMPUTED_VALUE"""),0.0)</f>
        <v>0</v>
      </c>
      <c r="AI171" s="3">
        <f>IFERROR(__xludf.DUMMYFUNCTION("""COMPUTED_VALUE"""),0.0)</f>
        <v>0</v>
      </c>
      <c r="AJ171" s="3">
        <f>IFERROR(__xludf.DUMMYFUNCTION("""COMPUTED_VALUE"""),0.0)</f>
        <v>0</v>
      </c>
      <c r="AK171" s="3">
        <f>IFERROR(__xludf.DUMMYFUNCTION("""COMPUTED_VALUE"""),0.0)</f>
        <v>0</v>
      </c>
      <c r="AL171" s="3">
        <f>IFERROR(__xludf.DUMMYFUNCTION("""COMPUTED_VALUE"""),0.0)</f>
        <v>0</v>
      </c>
      <c r="AM171" s="3">
        <f>IFERROR(__xludf.DUMMYFUNCTION("""COMPUTED_VALUE"""),0.0)</f>
        <v>0</v>
      </c>
      <c r="AN171" s="3">
        <f>IFERROR(__xludf.DUMMYFUNCTION("""COMPUTED_VALUE"""),0.0)</f>
        <v>0</v>
      </c>
      <c r="AO171" s="3">
        <f>IFERROR(__xludf.DUMMYFUNCTION("""COMPUTED_VALUE"""),0.0)</f>
        <v>0</v>
      </c>
      <c r="AP171" s="3">
        <f>IFERROR(__xludf.DUMMYFUNCTION("""COMPUTED_VALUE"""),0.0)</f>
        <v>0</v>
      </c>
      <c r="AQ171" s="3">
        <f>IFERROR(__xludf.DUMMYFUNCTION("""COMPUTED_VALUE"""),0.0)</f>
        <v>0</v>
      </c>
      <c r="AR171" s="3">
        <f>IFERROR(__xludf.DUMMYFUNCTION("""COMPUTED_VALUE"""),0.0)</f>
        <v>0</v>
      </c>
      <c r="AS171" s="3">
        <f>IFERROR(__xludf.DUMMYFUNCTION("""COMPUTED_VALUE"""),0.0)</f>
        <v>0</v>
      </c>
      <c r="AT171" s="3">
        <f>IFERROR(__xludf.DUMMYFUNCTION("""COMPUTED_VALUE"""),0.0)</f>
        <v>0</v>
      </c>
      <c r="AU171" s="3">
        <f>IFERROR(__xludf.DUMMYFUNCTION("""COMPUTED_VALUE"""),0.0)</f>
        <v>0</v>
      </c>
      <c r="AV171" s="3">
        <f>IFERROR(__xludf.DUMMYFUNCTION("""COMPUTED_VALUE"""),0.0)</f>
        <v>0</v>
      </c>
      <c r="AW171" s="3">
        <f>IFERROR(__xludf.DUMMYFUNCTION("""COMPUTED_VALUE"""),1.0)</f>
        <v>1</v>
      </c>
      <c r="AX171" s="3">
        <f>IFERROR(__xludf.DUMMYFUNCTION("""COMPUTED_VALUE"""),1.0)</f>
        <v>1</v>
      </c>
      <c r="AY171" s="3">
        <f>IFERROR(__xludf.DUMMYFUNCTION("""COMPUTED_VALUE"""),3.0)</f>
        <v>3</v>
      </c>
      <c r="AZ171" s="3">
        <f>IFERROR(__xludf.DUMMYFUNCTION("""COMPUTED_VALUE"""),3.0)</f>
        <v>3</v>
      </c>
      <c r="BA171" s="3">
        <f>IFERROR(__xludf.DUMMYFUNCTION("""COMPUTED_VALUE"""),4.0)</f>
        <v>4</v>
      </c>
      <c r="BB171" s="3">
        <f>IFERROR(__xludf.DUMMYFUNCTION("""COMPUTED_VALUE"""),5.0)</f>
        <v>5</v>
      </c>
      <c r="BC171" s="3">
        <f>IFERROR(__xludf.DUMMYFUNCTION("""COMPUTED_VALUE"""),5.0)</f>
        <v>5</v>
      </c>
      <c r="BD171" s="3">
        <f>IFERROR(__xludf.DUMMYFUNCTION("""COMPUTED_VALUE"""),10.0)</f>
        <v>10</v>
      </c>
      <c r="BE171" s="3">
        <f>IFERROR(__xludf.DUMMYFUNCTION("""COMPUTED_VALUE"""),12.0)</f>
        <v>12</v>
      </c>
      <c r="BF171" s="3">
        <f>IFERROR(__xludf.DUMMYFUNCTION("""COMPUTED_VALUE"""),20.0)</f>
        <v>20</v>
      </c>
      <c r="BG171" s="3">
        <f>IFERROR(__xludf.DUMMYFUNCTION("""COMPUTED_VALUE"""),24.0)</f>
        <v>24</v>
      </c>
      <c r="BH171" s="3">
        <f>IFERROR(__xludf.DUMMYFUNCTION("""COMPUTED_VALUE"""),43.0)</f>
        <v>43</v>
      </c>
      <c r="BI171" s="3">
        <f>IFERROR(__xludf.DUMMYFUNCTION("""COMPUTED_VALUE"""),58.0)</f>
        <v>58</v>
      </c>
      <c r="BJ171" s="3">
        <f>IFERROR(__xludf.DUMMYFUNCTION("""COMPUTED_VALUE"""),76.0)</f>
        <v>76</v>
      </c>
      <c r="BK171" s="3">
        <f>IFERROR(__xludf.DUMMYFUNCTION("""COMPUTED_VALUE"""),106.0)</f>
        <v>106</v>
      </c>
      <c r="BL171" s="3">
        <f>IFERROR(__xludf.DUMMYFUNCTION("""COMPUTED_VALUE"""),136.0)</f>
        <v>136</v>
      </c>
      <c r="BM171" s="3">
        <f>IFERROR(__xludf.DUMMYFUNCTION("""COMPUTED_VALUE"""),179.0)</f>
        <v>179</v>
      </c>
      <c r="BN171" s="3">
        <f>IFERROR(__xludf.DUMMYFUNCTION("""COMPUTED_VALUE"""),213.0)</f>
        <v>213</v>
      </c>
      <c r="BO171" s="3">
        <f>IFERROR(__xludf.DUMMYFUNCTION("""COMPUTED_VALUE"""),276.0)</f>
        <v>276</v>
      </c>
      <c r="BP171" s="3">
        <f>IFERROR(__xludf.DUMMYFUNCTION("""COMPUTED_VALUE"""),356.0)</f>
        <v>356</v>
      </c>
      <c r="BQ171" s="3">
        <f>IFERROR(__xludf.DUMMYFUNCTION("""COMPUTED_VALUE"""),434.0)</f>
        <v>434</v>
      </c>
      <c r="BR171" s="3">
        <f>IFERROR(__xludf.DUMMYFUNCTION("""COMPUTED_VALUE"""),546.0)</f>
        <v>546</v>
      </c>
      <c r="BS171" s="3">
        <f>IFERROR(__xludf.DUMMYFUNCTION("""COMPUTED_VALUE"""),639.0)</f>
        <v>639</v>
      </c>
      <c r="BT171" s="3">
        <f>IFERROR(__xludf.DUMMYFUNCTION("""COMPUTED_VALUE"""),771.0)</f>
        <v>771</v>
      </c>
      <c r="BU171" s="3">
        <f>IFERROR(__xludf.DUMMYFUNCTION("""COMPUTED_VALUE"""),864.0)</f>
        <v>864</v>
      </c>
      <c r="BV171" s="3">
        <f>IFERROR(__xludf.DUMMYFUNCTION("""COMPUTED_VALUE"""),1039.0)</f>
        <v>1039</v>
      </c>
      <c r="BW171" s="3">
        <f>IFERROR(__xludf.DUMMYFUNCTION("""COMPUTED_VALUE"""),1173.0)</f>
        <v>1173</v>
      </c>
      <c r="BX171" s="3">
        <f>IFERROR(__xludf.DUMMYFUNCTION("""COMPUTED_VALUE"""),1339.0)</f>
        <v>1339</v>
      </c>
      <c r="BY171" s="3">
        <f>IFERROR(__xludf.DUMMYFUNCTION("""COMPUTED_VALUE"""),1487.0)</f>
        <v>1487</v>
      </c>
      <c r="BZ171" s="3">
        <f>IFERROR(__xludf.DUMMYFUNCTION("""COMPUTED_VALUE"""),1651.0)</f>
        <v>1651</v>
      </c>
      <c r="CA171" s="3">
        <f>IFERROR(__xludf.DUMMYFUNCTION("""COMPUTED_VALUE"""),1766.0)</f>
        <v>1766</v>
      </c>
      <c r="CB171" s="3">
        <f>IFERROR(__xludf.DUMMYFUNCTION("""COMPUTED_VALUE"""),1867.0)</f>
        <v>1867</v>
      </c>
    </row>
    <row r="172">
      <c r="A172" s="3" t="str">
        <f>IFERROR(__xludf.DUMMYFUNCTION("""COMPUTED_VALUE"""),"")</f>
        <v/>
      </c>
      <c r="B172" s="3" t="str">
        <f>IFERROR(__xludf.DUMMYFUNCTION("""COMPUTED_VALUE"""),"New Zealand")</f>
        <v>New Zealand</v>
      </c>
      <c r="C172" s="3">
        <f>IFERROR(__xludf.DUMMYFUNCTION("""COMPUTED_VALUE"""),-40.9006)</f>
        <v>-40.9006</v>
      </c>
      <c r="D172" s="3">
        <f>IFERROR(__xludf.DUMMYFUNCTION("""COMPUTED_VALUE"""),174.886)</f>
        <v>174.886</v>
      </c>
      <c r="E172" s="3">
        <f>IFERROR(__xludf.DUMMYFUNCTION("""COMPUTED_VALUE"""),0.0)</f>
        <v>0</v>
      </c>
      <c r="F172" s="3">
        <f>IFERROR(__xludf.DUMMYFUNCTION("""COMPUTED_VALUE"""),0.0)</f>
        <v>0</v>
      </c>
      <c r="G172" s="3">
        <f>IFERROR(__xludf.DUMMYFUNCTION("""COMPUTED_VALUE"""),0.0)</f>
        <v>0</v>
      </c>
      <c r="H172" s="3">
        <f>IFERROR(__xludf.DUMMYFUNCTION("""COMPUTED_VALUE"""),0.0)</f>
        <v>0</v>
      </c>
      <c r="I172" s="3">
        <f>IFERROR(__xludf.DUMMYFUNCTION("""COMPUTED_VALUE"""),0.0)</f>
        <v>0</v>
      </c>
      <c r="J172" s="3">
        <f>IFERROR(__xludf.DUMMYFUNCTION("""COMPUTED_VALUE"""),0.0)</f>
        <v>0</v>
      </c>
      <c r="K172" s="3">
        <f>IFERROR(__xludf.DUMMYFUNCTION("""COMPUTED_VALUE"""),0.0)</f>
        <v>0</v>
      </c>
      <c r="L172" s="3">
        <f>IFERROR(__xludf.DUMMYFUNCTION("""COMPUTED_VALUE"""),0.0)</f>
        <v>0</v>
      </c>
      <c r="M172" s="3">
        <f>IFERROR(__xludf.DUMMYFUNCTION("""COMPUTED_VALUE"""),0.0)</f>
        <v>0</v>
      </c>
      <c r="N172" s="3">
        <f>IFERROR(__xludf.DUMMYFUNCTION("""COMPUTED_VALUE"""),0.0)</f>
        <v>0</v>
      </c>
      <c r="O172" s="3">
        <f>IFERROR(__xludf.DUMMYFUNCTION("""COMPUTED_VALUE"""),0.0)</f>
        <v>0</v>
      </c>
      <c r="P172" s="3">
        <f>IFERROR(__xludf.DUMMYFUNCTION("""COMPUTED_VALUE"""),0.0)</f>
        <v>0</v>
      </c>
      <c r="Q172" s="3">
        <f>IFERROR(__xludf.DUMMYFUNCTION("""COMPUTED_VALUE"""),0.0)</f>
        <v>0</v>
      </c>
      <c r="R172" s="3">
        <f>IFERROR(__xludf.DUMMYFUNCTION("""COMPUTED_VALUE"""),0.0)</f>
        <v>0</v>
      </c>
      <c r="S172" s="3">
        <f>IFERROR(__xludf.DUMMYFUNCTION("""COMPUTED_VALUE"""),0.0)</f>
        <v>0</v>
      </c>
      <c r="T172" s="3">
        <f>IFERROR(__xludf.DUMMYFUNCTION("""COMPUTED_VALUE"""),0.0)</f>
        <v>0</v>
      </c>
      <c r="U172" s="3">
        <f>IFERROR(__xludf.DUMMYFUNCTION("""COMPUTED_VALUE"""),0.0)</f>
        <v>0</v>
      </c>
      <c r="V172" s="3">
        <f>IFERROR(__xludf.DUMMYFUNCTION("""COMPUTED_VALUE"""),0.0)</f>
        <v>0</v>
      </c>
      <c r="W172" s="3">
        <f>IFERROR(__xludf.DUMMYFUNCTION("""COMPUTED_VALUE"""),0.0)</f>
        <v>0</v>
      </c>
      <c r="X172" s="3">
        <f>IFERROR(__xludf.DUMMYFUNCTION("""COMPUTED_VALUE"""),0.0)</f>
        <v>0</v>
      </c>
      <c r="Y172" s="3">
        <f>IFERROR(__xludf.DUMMYFUNCTION("""COMPUTED_VALUE"""),0.0)</f>
        <v>0</v>
      </c>
      <c r="Z172" s="3">
        <f>IFERROR(__xludf.DUMMYFUNCTION("""COMPUTED_VALUE"""),0.0)</f>
        <v>0</v>
      </c>
      <c r="AA172" s="3">
        <f>IFERROR(__xludf.DUMMYFUNCTION("""COMPUTED_VALUE"""),0.0)</f>
        <v>0</v>
      </c>
      <c r="AB172" s="3">
        <f>IFERROR(__xludf.DUMMYFUNCTION("""COMPUTED_VALUE"""),0.0)</f>
        <v>0</v>
      </c>
      <c r="AC172" s="3">
        <f>IFERROR(__xludf.DUMMYFUNCTION("""COMPUTED_VALUE"""),0.0)</f>
        <v>0</v>
      </c>
      <c r="AD172" s="3">
        <f>IFERROR(__xludf.DUMMYFUNCTION("""COMPUTED_VALUE"""),0.0)</f>
        <v>0</v>
      </c>
      <c r="AE172" s="3">
        <f>IFERROR(__xludf.DUMMYFUNCTION("""COMPUTED_VALUE"""),0.0)</f>
        <v>0</v>
      </c>
      <c r="AF172" s="3">
        <f>IFERROR(__xludf.DUMMYFUNCTION("""COMPUTED_VALUE"""),0.0)</f>
        <v>0</v>
      </c>
      <c r="AG172" s="3">
        <f>IFERROR(__xludf.DUMMYFUNCTION("""COMPUTED_VALUE"""),0.0)</f>
        <v>0</v>
      </c>
      <c r="AH172" s="3">
        <f>IFERROR(__xludf.DUMMYFUNCTION("""COMPUTED_VALUE"""),0.0)</f>
        <v>0</v>
      </c>
      <c r="AI172" s="3">
        <f>IFERROR(__xludf.DUMMYFUNCTION("""COMPUTED_VALUE"""),0.0)</f>
        <v>0</v>
      </c>
      <c r="AJ172" s="3">
        <f>IFERROR(__xludf.DUMMYFUNCTION("""COMPUTED_VALUE"""),0.0)</f>
        <v>0</v>
      </c>
      <c r="AK172" s="3">
        <f>IFERROR(__xludf.DUMMYFUNCTION("""COMPUTED_VALUE"""),0.0)</f>
        <v>0</v>
      </c>
      <c r="AL172" s="3">
        <f>IFERROR(__xludf.DUMMYFUNCTION("""COMPUTED_VALUE"""),0.0)</f>
        <v>0</v>
      </c>
      <c r="AM172" s="3">
        <f>IFERROR(__xludf.DUMMYFUNCTION("""COMPUTED_VALUE"""),0.0)</f>
        <v>0</v>
      </c>
      <c r="AN172" s="3">
        <f>IFERROR(__xludf.DUMMYFUNCTION("""COMPUTED_VALUE"""),0.0)</f>
        <v>0</v>
      </c>
      <c r="AO172" s="3">
        <f>IFERROR(__xludf.DUMMYFUNCTION("""COMPUTED_VALUE"""),0.0)</f>
        <v>0</v>
      </c>
      <c r="AP172" s="3">
        <f>IFERROR(__xludf.DUMMYFUNCTION("""COMPUTED_VALUE"""),0.0)</f>
        <v>0</v>
      </c>
      <c r="AQ172" s="3">
        <f>IFERROR(__xludf.DUMMYFUNCTION("""COMPUTED_VALUE"""),0.0)</f>
        <v>0</v>
      </c>
      <c r="AR172" s="3">
        <f>IFERROR(__xludf.DUMMYFUNCTION("""COMPUTED_VALUE"""),0.0)</f>
        <v>0</v>
      </c>
      <c r="AS172" s="3">
        <f>IFERROR(__xludf.DUMMYFUNCTION("""COMPUTED_VALUE"""),0.0)</f>
        <v>0</v>
      </c>
      <c r="AT172" s="3">
        <f>IFERROR(__xludf.DUMMYFUNCTION("""COMPUTED_VALUE"""),0.0)</f>
        <v>0</v>
      </c>
      <c r="AU172" s="3">
        <f>IFERROR(__xludf.DUMMYFUNCTION("""COMPUTED_VALUE"""),0.0)</f>
        <v>0</v>
      </c>
      <c r="AV172" s="3">
        <f>IFERROR(__xludf.DUMMYFUNCTION("""COMPUTED_VALUE"""),0.0)</f>
        <v>0</v>
      </c>
      <c r="AW172" s="3">
        <f>IFERROR(__xludf.DUMMYFUNCTION("""COMPUTED_VALUE"""),0.0)</f>
        <v>0</v>
      </c>
      <c r="AX172" s="3">
        <f>IFERROR(__xludf.DUMMYFUNCTION("""COMPUTED_VALUE"""),0.0)</f>
        <v>0</v>
      </c>
      <c r="AY172" s="3">
        <f>IFERROR(__xludf.DUMMYFUNCTION("""COMPUTED_VALUE"""),0.0)</f>
        <v>0</v>
      </c>
      <c r="AZ172" s="3">
        <f>IFERROR(__xludf.DUMMYFUNCTION("""COMPUTED_VALUE"""),0.0)</f>
        <v>0</v>
      </c>
      <c r="BA172" s="3">
        <f>IFERROR(__xludf.DUMMYFUNCTION("""COMPUTED_VALUE"""),0.0)</f>
        <v>0</v>
      </c>
      <c r="BB172" s="3">
        <f>IFERROR(__xludf.DUMMYFUNCTION("""COMPUTED_VALUE"""),0.0)</f>
        <v>0</v>
      </c>
      <c r="BC172" s="3">
        <f>IFERROR(__xludf.DUMMYFUNCTION("""COMPUTED_VALUE"""),0.0)</f>
        <v>0</v>
      </c>
      <c r="BD172" s="3">
        <f>IFERROR(__xludf.DUMMYFUNCTION("""COMPUTED_VALUE"""),0.0)</f>
        <v>0</v>
      </c>
      <c r="BE172" s="3">
        <f>IFERROR(__xludf.DUMMYFUNCTION("""COMPUTED_VALUE"""),0.0)</f>
        <v>0</v>
      </c>
      <c r="BF172" s="3">
        <f>IFERROR(__xludf.DUMMYFUNCTION("""COMPUTED_VALUE"""),0.0)</f>
        <v>0</v>
      </c>
      <c r="BG172" s="3">
        <f>IFERROR(__xludf.DUMMYFUNCTION("""COMPUTED_VALUE"""),0.0)</f>
        <v>0</v>
      </c>
      <c r="BH172" s="3">
        <f>IFERROR(__xludf.DUMMYFUNCTION("""COMPUTED_VALUE"""),0.0)</f>
        <v>0</v>
      </c>
      <c r="BI172" s="3">
        <f>IFERROR(__xludf.DUMMYFUNCTION("""COMPUTED_VALUE"""),0.0)</f>
        <v>0</v>
      </c>
      <c r="BJ172" s="3">
        <f>IFERROR(__xludf.DUMMYFUNCTION("""COMPUTED_VALUE"""),0.0)</f>
        <v>0</v>
      </c>
      <c r="BK172" s="3">
        <f>IFERROR(__xludf.DUMMYFUNCTION("""COMPUTED_VALUE"""),0.0)</f>
        <v>0</v>
      </c>
      <c r="BL172" s="3">
        <f>IFERROR(__xludf.DUMMYFUNCTION("""COMPUTED_VALUE"""),0.0)</f>
        <v>0</v>
      </c>
      <c r="BM172" s="3">
        <f>IFERROR(__xludf.DUMMYFUNCTION("""COMPUTED_VALUE"""),0.0)</f>
        <v>0</v>
      </c>
      <c r="BN172" s="3">
        <f>IFERROR(__xludf.DUMMYFUNCTION("""COMPUTED_VALUE"""),0.0)</f>
        <v>0</v>
      </c>
      <c r="BO172" s="3">
        <f>IFERROR(__xludf.DUMMYFUNCTION("""COMPUTED_VALUE"""),0.0)</f>
        <v>0</v>
      </c>
      <c r="BP172" s="3">
        <f>IFERROR(__xludf.DUMMYFUNCTION("""COMPUTED_VALUE"""),0.0)</f>
        <v>0</v>
      </c>
      <c r="BQ172" s="3">
        <f>IFERROR(__xludf.DUMMYFUNCTION("""COMPUTED_VALUE"""),0.0)</f>
        <v>0</v>
      </c>
      <c r="BR172" s="3">
        <f>IFERROR(__xludf.DUMMYFUNCTION("""COMPUTED_VALUE"""),0.0)</f>
        <v>0</v>
      </c>
      <c r="BS172" s="3">
        <f>IFERROR(__xludf.DUMMYFUNCTION("""COMPUTED_VALUE"""),0.0)</f>
        <v>0</v>
      </c>
      <c r="BT172" s="3">
        <f>IFERROR(__xludf.DUMMYFUNCTION("""COMPUTED_VALUE"""),1.0)</f>
        <v>1</v>
      </c>
      <c r="BU172" s="3">
        <f>IFERROR(__xludf.DUMMYFUNCTION("""COMPUTED_VALUE"""),1.0)</f>
        <v>1</v>
      </c>
      <c r="BV172" s="3">
        <f>IFERROR(__xludf.DUMMYFUNCTION("""COMPUTED_VALUE"""),1.0)</f>
        <v>1</v>
      </c>
      <c r="BW172" s="3">
        <f>IFERROR(__xludf.DUMMYFUNCTION("""COMPUTED_VALUE"""),1.0)</f>
        <v>1</v>
      </c>
      <c r="BX172" s="3">
        <f>IFERROR(__xludf.DUMMYFUNCTION("""COMPUTED_VALUE"""),1.0)</f>
        <v>1</v>
      </c>
      <c r="BY172" s="3">
        <f>IFERROR(__xludf.DUMMYFUNCTION("""COMPUTED_VALUE"""),1.0)</f>
        <v>1</v>
      </c>
      <c r="BZ172" s="3">
        <f>IFERROR(__xludf.DUMMYFUNCTION("""COMPUTED_VALUE"""),1.0)</f>
        <v>1</v>
      </c>
      <c r="CA172" s="3">
        <f>IFERROR(__xludf.DUMMYFUNCTION("""COMPUTED_VALUE"""),1.0)</f>
        <v>1</v>
      </c>
      <c r="CB172" s="3">
        <f>IFERROR(__xludf.DUMMYFUNCTION("""COMPUTED_VALUE"""),1.0)</f>
        <v>1</v>
      </c>
    </row>
    <row r="173">
      <c r="A173" s="3" t="str">
        <f>IFERROR(__xludf.DUMMYFUNCTION("""COMPUTED_VALUE"""),"")</f>
        <v/>
      </c>
      <c r="B173" s="3" t="str">
        <f>IFERROR(__xludf.DUMMYFUNCTION("""COMPUTED_VALUE"""),"Nicaragua")</f>
        <v>Nicaragua</v>
      </c>
      <c r="C173" s="3">
        <f>IFERROR(__xludf.DUMMYFUNCTION("""COMPUTED_VALUE"""),12.8654)</f>
        <v>12.8654</v>
      </c>
      <c r="D173" s="3">
        <f>IFERROR(__xludf.DUMMYFUNCTION("""COMPUTED_VALUE"""),-85.2072)</f>
        <v>-85.2072</v>
      </c>
      <c r="E173" s="3">
        <f>IFERROR(__xludf.DUMMYFUNCTION("""COMPUTED_VALUE"""),0.0)</f>
        <v>0</v>
      </c>
      <c r="F173" s="3">
        <f>IFERROR(__xludf.DUMMYFUNCTION("""COMPUTED_VALUE"""),0.0)</f>
        <v>0</v>
      </c>
      <c r="G173" s="3">
        <f>IFERROR(__xludf.DUMMYFUNCTION("""COMPUTED_VALUE"""),0.0)</f>
        <v>0</v>
      </c>
      <c r="H173" s="3">
        <f>IFERROR(__xludf.DUMMYFUNCTION("""COMPUTED_VALUE"""),0.0)</f>
        <v>0</v>
      </c>
      <c r="I173" s="3">
        <f>IFERROR(__xludf.DUMMYFUNCTION("""COMPUTED_VALUE"""),0.0)</f>
        <v>0</v>
      </c>
      <c r="J173" s="3">
        <f>IFERROR(__xludf.DUMMYFUNCTION("""COMPUTED_VALUE"""),0.0)</f>
        <v>0</v>
      </c>
      <c r="K173" s="3">
        <f>IFERROR(__xludf.DUMMYFUNCTION("""COMPUTED_VALUE"""),0.0)</f>
        <v>0</v>
      </c>
      <c r="L173" s="3">
        <f>IFERROR(__xludf.DUMMYFUNCTION("""COMPUTED_VALUE"""),0.0)</f>
        <v>0</v>
      </c>
      <c r="M173" s="3">
        <f>IFERROR(__xludf.DUMMYFUNCTION("""COMPUTED_VALUE"""),0.0)</f>
        <v>0</v>
      </c>
      <c r="N173" s="3">
        <f>IFERROR(__xludf.DUMMYFUNCTION("""COMPUTED_VALUE"""),0.0)</f>
        <v>0</v>
      </c>
      <c r="O173" s="3">
        <f>IFERROR(__xludf.DUMMYFUNCTION("""COMPUTED_VALUE"""),0.0)</f>
        <v>0</v>
      </c>
      <c r="P173" s="3">
        <f>IFERROR(__xludf.DUMMYFUNCTION("""COMPUTED_VALUE"""),0.0)</f>
        <v>0</v>
      </c>
      <c r="Q173" s="3">
        <f>IFERROR(__xludf.DUMMYFUNCTION("""COMPUTED_VALUE"""),0.0)</f>
        <v>0</v>
      </c>
      <c r="R173" s="3">
        <f>IFERROR(__xludf.DUMMYFUNCTION("""COMPUTED_VALUE"""),0.0)</f>
        <v>0</v>
      </c>
      <c r="S173" s="3">
        <f>IFERROR(__xludf.DUMMYFUNCTION("""COMPUTED_VALUE"""),0.0)</f>
        <v>0</v>
      </c>
      <c r="T173" s="3">
        <f>IFERROR(__xludf.DUMMYFUNCTION("""COMPUTED_VALUE"""),0.0)</f>
        <v>0</v>
      </c>
      <c r="U173" s="3">
        <f>IFERROR(__xludf.DUMMYFUNCTION("""COMPUTED_VALUE"""),0.0)</f>
        <v>0</v>
      </c>
      <c r="V173" s="3">
        <f>IFERROR(__xludf.DUMMYFUNCTION("""COMPUTED_VALUE"""),0.0)</f>
        <v>0</v>
      </c>
      <c r="W173" s="3">
        <f>IFERROR(__xludf.DUMMYFUNCTION("""COMPUTED_VALUE"""),0.0)</f>
        <v>0</v>
      </c>
      <c r="X173" s="3">
        <f>IFERROR(__xludf.DUMMYFUNCTION("""COMPUTED_VALUE"""),0.0)</f>
        <v>0</v>
      </c>
      <c r="Y173" s="3">
        <f>IFERROR(__xludf.DUMMYFUNCTION("""COMPUTED_VALUE"""),0.0)</f>
        <v>0</v>
      </c>
      <c r="Z173" s="3">
        <f>IFERROR(__xludf.DUMMYFUNCTION("""COMPUTED_VALUE"""),0.0)</f>
        <v>0</v>
      </c>
      <c r="AA173" s="3">
        <f>IFERROR(__xludf.DUMMYFUNCTION("""COMPUTED_VALUE"""),0.0)</f>
        <v>0</v>
      </c>
      <c r="AB173" s="3">
        <f>IFERROR(__xludf.DUMMYFUNCTION("""COMPUTED_VALUE"""),0.0)</f>
        <v>0</v>
      </c>
      <c r="AC173" s="3">
        <f>IFERROR(__xludf.DUMMYFUNCTION("""COMPUTED_VALUE"""),0.0)</f>
        <v>0</v>
      </c>
      <c r="AD173" s="3">
        <f>IFERROR(__xludf.DUMMYFUNCTION("""COMPUTED_VALUE"""),0.0)</f>
        <v>0</v>
      </c>
      <c r="AE173" s="3">
        <f>IFERROR(__xludf.DUMMYFUNCTION("""COMPUTED_VALUE"""),0.0)</f>
        <v>0</v>
      </c>
      <c r="AF173" s="3">
        <f>IFERROR(__xludf.DUMMYFUNCTION("""COMPUTED_VALUE"""),0.0)</f>
        <v>0</v>
      </c>
      <c r="AG173" s="3">
        <f>IFERROR(__xludf.DUMMYFUNCTION("""COMPUTED_VALUE"""),0.0)</f>
        <v>0</v>
      </c>
      <c r="AH173" s="3">
        <f>IFERROR(__xludf.DUMMYFUNCTION("""COMPUTED_VALUE"""),0.0)</f>
        <v>0</v>
      </c>
      <c r="AI173" s="3">
        <f>IFERROR(__xludf.DUMMYFUNCTION("""COMPUTED_VALUE"""),0.0)</f>
        <v>0</v>
      </c>
      <c r="AJ173" s="3">
        <f>IFERROR(__xludf.DUMMYFUNCTION("""COMPUTED_VALUE"""),0.0)</f>
        <v>0</v>
      </c>
      <c r="AK173" s="3">
        <f>IFERROR(__xludf.DUMMYFUNCTION("""COMPUTED_VALUE"""),0.0)</f>
        <v>0</v>
      </c>
      <c r="AL173" s="3">
        <f>IFERROR(__xludf.DUMMYFUNCTION("""COMPUTED_VALUE"""),0.0)</f>
        <v>0</v>
      </c>
      <c r="AM173" s="3">
        <f>IFERROR(__xludf.DUMMYFUNCTION("""COMPUTED_VALUE"""),0.0)</f>
        <v>0</v>
      </c>
      <c r="AN173" s="3">
        <f>IFERROR(__xludf.DUMMYFUNCTION("""COMPUTED_VALUE"""),0.0)</f>
        <v>0</v>
      </c>
      <c r="AO173" s="3">
        <f>IFERROR(__xludf.DUMMYFUNCTION("""COMPUTED_VALUE"""),0.0)</f>
        <v>0</v>
      </c>
      <c r="AP173" s="3">
        <f>IFERROR(__xludf.DUMMYFUNCTION("""COMPUTED_VALUE"""),0.0)</f>
        <v>0</v>
      </c>
      <c r="AQ173" s="3">
        <f>IFERROR(__xludf.DUMMYFUNCTION("""COMPUTED_VALUE"""),0.0)</f>
        <v>0</v>
      </c>
      <c r="AR173" s="3">
        <f>IFERROR(__xludf.DUMMYFUNCTION("""COMPUTED_VALUE"""),0.0)</f>
        <v>0</v>
      </c>
      <c r="AS173" s="3">
        <f>IFERROR(__xludf.DUMMYFUNCTION("""COMPUTED_VALUE"""),0.0)</f>
        <v>0</v>
      </c>
      <c r="AT173" s="3">
        <f>IFERROR(__xludf.DUMMYFUNCTION("""COMPUTED_VALUE"""),0.0)</f>
        <v>0</v>
      </c>
      <c r="AU173" s="3">
        <f>IFERROR(__xludf.DUMMYFUNCTION("""COMPUTED_VALUE"""),0.0)</f>
        <v>0</v>
      </c>
      <c r="AV173" s="3">
        <f>IFERROR(__xludf.DUMMYFUNCTION("""COMPUTED_VALUE"""),0.0)</f>
        <v>0</v>
      </c>
      <c r="AW173" s="3">
        <f>IFERROR(__xludf.DUMMYFUNCTION("""COMPUTED_VALUE"""),0.0)</f>
        <v>0</v>
      </c>
      <c r="AX173" s="3">
        <f>IFERROR(__xludf.DUMMYFUNCTION("""COMPUTED_VALUE"""),0.0)</f>
        <v>0</v>
      </c>
      <c r="AY173" s="3">
        <f>IFERROR(__xludf.DUMMYFUNCTION("""COMPUTED_VALUE"""),0.0)</f>
        <v>0</v>
      </c>
      <c r="AZ173" s="3">
        <f>IFERROR(__xludf.DUMMYFUNCTION("""COMPUTED_VALUE"""),0.0)</f>
        <v>0</v>
      </c>
      <c r="BA173" s="3">
        <f>IFERROR(__xludf.DUMMYFUNCTION("""COMPUTED_VALUE"""),0.0)</f>
        <v>0</v>
      </c>
      <c r="BB173" s="3">
        <f>IFERROR(__xludf.DUMMYFUNCTION("""COMPUTED_VALUE"""),0.0)</f>
        <v>0</v>
      </c>
      <c r="BC173" s="3">
        <f>IFERROR(__xludf.DUMMYFUNCTION("""COMPUTED_VALUE"""),0.0)</f>
        <v>0</v>
      </c>
      <c r="BD173" s="3">
        <f>IFERROR(__xludf.DUMMYFUNCTION("""COMPUTED_VALUE"""),0.0)</f>
        <v>0</v>
      </c>
      <c r="BE173" s="3">
        <f>IFERROR(__xludf.DUMMYFUNCTION("""COMPUTED_VALUE"""),0.0)</f>
        <v>0</v>
      </c>
      <c r="BF173" s="3">
        <f>IFERROR(__xludf.DUMMYFUNCTION("""COMPUTED_VALUE"""),0.0)</f>
        <v>0</v>
      </c>
      <c r="BG173" s="3">
        <f>IFERROR(__xludf.DUMMYFUNCTION("""COMPUTED_VALUE"""),0.0)</f>
        <v>0</v>
      </c>
      <c r="BH173" s="3">
        <f>IFERROR(__xludf.DUMMYFUNCTION("""COMPUTED_VALUE"""),0.0)</f>
        <v>0</v>
      </c>
      <c r="BI173" s="3">
        <f>IFERROR(__xludf.DUMMYFUNCTION("""COMPUTED_VALUE"""),0.0)</f>
        <v>0</v>
      </c>
      <c r="BJ173" s="3">
        <f>IFERROR(__xludf.DUMMYFUNCTION("""COMPUTED_VALUE"""),0.0)</f>
        <v>0</v>
      </c>
      <c r="BK173" s="3">
        <f>IFERROR(__xludf.DUMMYFUNCTION("""COMPUTED_VALUE"""),0.0)</f>
        <v>0</v>
      </c>
      <c r="BL173" s="3">
        <f>IFERROR(__xludf.DUMMYFUNCTION("""COMPUTED_VALUE"""),0.0)</f>
        <v>0</v>
      </c>
      <c r="BM173" s="3">
        <f>IFERROR(__xludf.DUMMYFUNCTION("""COMPUTED_VALUE"""),0.0)</f>
        <v>0</v>
      </c>
      <c r="BN173" s="3">
        <f>IFERROR(__xludf.DUMMYFUNCTION("""COMPUTED_VALUE"""),0.0)</f>
        <v>0</v>
      </c>
      <c r="BO173" s="3">
        <f>IFERROR(__xludf.DUMMYFUNCTION("""COMPUTED_VALUE"""),0.0)</f>
        <v>0</v>
      </c>
      <c r="BP173" s="3">
        <f>IFERROR(__xludf.DUMMYFUNCTION("""COMPUTED_VALUE"""),0.0)</f>
        <v>0</v>
      </c>
      <c r="BQ173" s="3">
        <f>IFERROR(__xludf.DUMMYFUNCTION("""COMPUTED_VALUE"""),0.0)</f>
        <v>0</v>
      </c>
      <c r="BR173" s="3">
        <f>IFERROR(__xludf.DUMMYFUNCTION("""COMPUTED_VALUE"""),1.0)</f>
        <v>1</v>
      </c>
      <c r="BS173" s="3">
        <f>IFERROR(__xludf.DUMMYFUNCTION("""COMPUTED_VALUE"""),1.0)</f>
        <v>1</v>
      </c>
      <c r="BT173" s="3">
        <f>IFERROR(__xludf.DUMMYFUNCTION("""COMPUTED_VALUE"""),1.0)</f>
        <v>1</v>
      </c>
      <c r="BU173" s="3">
        <f>IFERROR(__xludf.DUMMYFUNCTION("""COMPUTED_VALUE"""),1.0)</f>
        <v>1</v>
      </c>
      <c r="BV173" s="3">
        <f>IFERROR(__xludf.DUMMYFUNCTION("""COMPUTED_VALUE"""),1.0)</f>
        <v>1</v>
      </c>
      <c r="BW173" s="3">
        <f>IFERROR(__xludf.DUMMYFUNCTION("""COMPUTED_VALUE"""),1.0)</f>
        <v>1</v>
      </c>
      <c r="BX173" s="3">
        <f>IFERROR(__xludf.DUMMYFUNCTION("""COMPUTED_VALUE"""),1.0)</f>
        <v>1</v>
      </c>
      <c r="BY173" s="3">
        <f>IFERROR(__xludf.DUMMYFUNCTION("""COMPUTED_VALUE"""),1.0)</f>
        <v>1</v>
      </c>
      <c r="BZ173" s="3">
        <f>IFERROR(__xludf.DUMMYFUNCTION("""COMPUTED_VALUE"""),1.0)</f>
        <v>1</v>
      </c>
      <c r="CA173" s="3">
        <f>IFERROR(__xludf.DUMMYFUNCTION("""COMPUTED_VALUE"""),1.0)</f>
        <v>1</v>
      </c>
      <c r="CB173" s="3">
        <f>IFERROR(__xludf.DUMMYFUNCTION("""COMPUTED_VALUE"""),1.0)</f>
        <v>1</v>
      </c>
    </row>
    <row r="174">
      <c r="A174" s="3" t="str">
        <f>IFERROR(__xludf.DUMMYFUNCTION("""COMPUTED_VALUE"""),"")</f>
        <v/>
      </c>
      <c r="B174" s="3" t="str">
        <f>IFERROR(__xludf.DUMMYFUNCTION("""COMPUTED_VALUE"""),"Niger")</f>
        <v>Niger</v>
      </c>
      <c r="C174" s="3">
        <f>IFERROR(__xludf.DUMMYFUNCTION("""COMPUTED_VALUE"""),17.6078)</f>
        <v>17.6078</v>
      </c>
      <c r="D174" s="3">
        <f>IFERROR(__xludf.DUMMYFUNCTION("""COMPUTED_VALUE"""),8.0817)</f>
        <v>8.0817</v>
      </c>
      <c r="E174" s="3">
        <f>IFERROR(__xludf.DUMMYFUNCTION("""COMPUTED_VALUE"""),0.0)</f>
        <v>0</v>
      </c>
      <c r="F174" s="3">
        <f>IFERROR(__xludf.DUMMYFUNCTION("""COMPUTED_VALUE"""),0.0)</f>
        <v>0</v>
      </c>
      <c r="G174" s="3">
        <f>IFERROR(__xludf.DUMMYFUNCTION("""COMPUTED_VALUE"""),0.0)</f>
        <v>0</v>
      </c>
      <c r="H174" s="3">
        <f>IFERROR(__xludf.DUMMYFUNCTION("""COMPUTED_VALUE"""),0.0)</f>
        <v>0</v>
      </c>
      <c r="I174" s="3">
        <f>IFERROR(__xludf.DUMMYFUNCTION("""COMPUTED_VALUE"""),0.0)</f>
        <v>0</v>
      </c>
      <c r="J174" s="3">
        <f>IFERROR(__xludf.DUMMYFUNCTION("""COMPUTED_VALUE"""),0.0)</f>
        <v>0</v>
      </c>
      <c r="K174" s="3">
        <f>IFERROR(__xludf.DUMMYFUNCTION("""COMPUTED_VALUE"""),0.0)</f>
        <v>0</v>
      </c>
      <c r="L174" s="3">
        <f>IFERROR(__xludf.DUMMYFUNCTION("""COMPUTED_VALUE"""),0.0)</f>
        <v>0</v>
      </c>
      <c r="M174" s="3">
        <f>IFERROR(__xludf.DUMMYFUNCTION("""COMPUTED_VALUE"""),0.0)</f>
        <v>0</v>
      </c>
      <c r="N174" s="3">
        <f>IFERROR(__xludf.DUMMYFUNCTION("""COMPUTED_VALUE"""),0.0)</f>
        <v>0</v>
      </c>
      <c r="O174" s="3">
        <f>IFERROR(__xludf.DUMMYFUNCTION("""COMPUTED_VALUE"""),0.0)</f>
        <v>0</v>
      </c>
      <c r="P174" s="3">
        <f>IFERROR(__xludf.DUMMYFUNCTION("""COMPUTED_VALUE"""),0.0)</f>
        <v>0</v>
      </c>
      <c r="Q174" s="3">
        <f>IFERROR(__xludf.DUMMYFUNCTION("""COMPUTED_VALUE"""),0.0)</f>
        <v>0</v>
      </c>
      <c r="R174" s="3">
        <f>IFERROR(__xludf.DUMMYFUNCTION("""COMPUTED_VALUE"""),0.0)</f>
        <v>0</v>
      </c>
      <c r="S174" s="3">
        <f>IFERROR(__xludf.DUMMYFUNCTION("""COMPUTED_VALUE"""),0.0)</f>
        <v>0</v>
      </c>
      <c r="T174" s="3">
        <f>IFERROR(__xludf.DUMMYFUNCTION("""COMPUTED_VALUE"""),0.0)</f>
        <v>0</v>
      </c>
      <c r="U174" s="3">
        <f>IFERROR(__xludf.DUMMYFUNCTION("""COMPUTED_VALUE"""),0.0)</f>
        <v>0</v>
      </c>
      <c r="V174" s="3">
        <f>IFERROR(__xludf.DUMMYFUNCTION("""COMPUTED_VALUE"""),0.0)</f>
        <v>0</v>
      </c>
      <c r="W174" s="3">
        <f>IFERROR(__xludf.DUMMYFUNCTION("""COMPUTED_VALUE"""),0.0)</f>
        <v>0</v>
      </c>
      <c r="X174" s="3">
        <f>IFERROR(__xludf.DUMMYFUNCTION("""COMPUTED_VALUE"""),0.0)</f>
        <v>0</v>
      </c>
      <c r="Y174" s="3">
        <f>IFERROR(__xludf.DUMMYFUNCTION("""COMPUTED_VALUE"""),0.0)</f>
        <v>0</v>
      </c>
      <c r="Z174" s="3">
        <f>IFERROR(__xludf.DUMMYFUNCTION("""COMPUTED_VALUE"""),0.0)</f>
        <v>0</v>
      </c>
      <c r="AA174" s="3">
        <f>IFERROR(__xludf.DUMMYFUNCTION("""COMPUTED_VALUE"""),0.0)</f>
        <v>0</v>
      </c>
      <c r="AB174" s="3">
        <f>IFERROR(__xludf.DUMMYFUNCTION("""COMPUTED_VALUE"""),0.0)</f>
        <v>0</v>
      </c>
      <c r="AC174" s="3">
        <f>IFERROR(__xludf.DUMMYFUNCTION("""COMPUTED_VALUE"""),0.0)</f>
        <v>0</v>
      </c>
      <c r="AD174" s="3">
        <f>IFERROR(__xludf.DUMMYFUNCTION("""COMPUTED_VALUE"""),0.0)</f>
        <v>0</v>
      </c>
      <c r="AE174" s="3">
        <f>IFERROR(__xludf.DUMMYFUNCTION("""COMPUTED_VALUE"""),0.0)</f>
        <v>0</v>
      </c>
      <c r="AF174" s="3">
        <f>IFERROR(__xludf.DUMMYFUNCTION("""COMPUTED_VALUE"""),0.0)</f>
        <v>0</v>
      </c>
      <c r="AG174" s="3">
        <f>IFERROR(__xludf.DUMMYFUNCTION("""COMPUTED_VALUE"""),0.0)</f>
        <v>0</v>
      </c>
      <c r="AH174" s="3">
        <f>IFERROR(__xludf.DUMMYFUNCTION("""COMPUTED_VALUE"""),0.0)</f>
        <v>0</v>
      </c>
      <c r="AI174" s="3">
        <f>IFERROR(__xludf.DUMMYFUNCTION("""COMPUTED_VALUE"""),0.0)</f>
        <v>0</v>
      </c>
      <c r="AJ174" s="3">
        <f>IFERROR(__xludf.DUMMYFUNCTION("""COMPUTED_VALUE"""),0.0)</f>
        <v>0</v>
      </c>
      <c r="AK174" s="3">
        <f>IFERROR(__xludf.DUMMYFUNCTION("""COMPUTED_VALUE"""),0.0)</f>
        <v>0</v>
      </c>
      <c r="AL174" s="3">
        <f>IFERROR(__xludf.DUMMYFUNCTION("""COMPUTED_VALUE"""),0.0)</f>
        <v>0</v>
      </c>
      <c r="AM174" s="3">
        <f>IFERROR(__xludf.DUMMYFUNCTION("""COMPUTED_VALUE"""),0.0)</f>
        <v>0</v>
      </c>
      <c r="AN174" s="3">
        <f>IFERROR(__xludf.DUMMYFUNCTION("""COMPUTED_VALUE"""),0.0)</f>
        <v>0</v>
      </c>
      <c r="AO174" s="3">
        <f>IFERROR(__xludf.DUMMYFUNCTION("""COMPUTED_VALUE"""),0.0)</f>
        <v>0</v>
      </c>
      <c r="AP174" s="3">
        <f>IFERROR(__xludf.DUMMYFUNCTION("""COMPUTED_VALUE"""),0.0)</f>
        <v>0</v>
      </c>
      <c r="AQ174" s="3">
        <f>IFERROR(__xludf.DUMMYFUNCTION("""COMPUTED_VALUE"""),0.0)</f>
        <v>0</v>
      </c>
      <c r="AR174" s="3">
        <f>IFERROR(__xludf.DUMMYFUNCTION("""COMPUTED_VALUE"""),0.0)</f>
        <v>0</v>
      </c>
      <c r="AS174" s="3">
        <f>IFERROR(__xludf.DUMMYFUNCTION("""COMPUTED_VALUE"""),0.0)</f>
        <v>0</v>
      </c>
      <c r="AT174" s="3">
        <f>IFERROR(__xludf.DUMMYFUNCTION("""COMPUTED_VALUE"""),0.0)</f>
        <v>0</v>
      </c>
      <c r="AU174" s="3">
        <f>IFERROR(__xludf.DUMMYFUNCTION("""COMPUTED_VALUE"""),0.0)</f>
        <v>0</v>
      </c>
      <c r="AV174" s="3">
        <f>IFERROR(__xludf.DUMMYFUNCTION("""COMPUTED_VALUE"""),0.0)</f>
        <v>0</v>
      </c>
      <c r="AW174" s="3">
        <f>IFERROR(__xludf.DUMMYFUNCTION("""COMPUTED_VALUE"""),0.0)</f>
        <v>0</v>
      </c>
      <c r="AX174" s="3">
        <f>IFERROR(__xludf.DUMMYFUNCTION("""COMPUTED_VALUE"""),0.0)</f>
        <v>0</v>
      </c>
      <c r="AY174" s="3">
        <f>IFERROR(__xludf.DUMMYFUNCTION("""COMPUTED_VALUE"""),0.0)</f>
        <v>0</v>
      </c>
      <c r="AZ174" s="3">
        <f>IFERROR(__xludf.DUMMYFUNCTION("""COMPUTED_VALUE"""),0.0)</f>
        <v>0</v>
      </c>
      <c r="BA174" s="3">
        <f>IFERROR(__xludf.DUMMYFUNCTION("""COMPUTED_VALUE"""),0.0)</f>
        <v>0</v>
      </c>
      <c r="BB174" s="3">
        <f>IFERROR(__xludf.DUMMYFUNCTION("""COMPUTED_VALUE"""),0.0)</f>
        <v>0</v>
      </c>
      <c r="BC174" s="3">
        <f>IFERROR(__xludf.DUMMYFUNCTION("""COMPUTED_VALUE"""),0.0)</f>
        <v>0</v>
      </c>
      <c r="BD174" s="3">
        <f>IFERROR(__xludf.DUMMYFUNCTION("""COMPUTED_VALUE"""),0.0)</f>
        <v>0</v>
      </c>
      <c r="BE174" s="3">
        <f>IFERROR(__xludf.DUMMYFUNCTION("""COMPUTED_VALUE"""),0.0)</f>
        <v>0</v>
      </c>
      <c r="BF174" s="3">
        <f>IFERROR(__xludf.DUMMYFUNCTION("""COMPUTED_VALUE"""),0.0)</f>
        <v>0</v>
      </c>
      <c r="BG174" s="3">
        <f>IFERROR(__xludf.DUMMYFUNCTION("""COMPUTED_VALUE"""),0.0)</f>
        <v>0</v>
      </c>
      <c r="BH174" s="3">
        <f>IFERROR(__xludf.DUMMYFUNCTION("""COMPUTED_VALUE"""),0.0)</f>
        <v>0</v>
      </c>
      <c r="BI174" s="3">
        <f>IFERROR(__xludf.DUMMYFUNCTION("""COMPUTED_VALUE"""),0.0)</f>
        <v>0</v>
      </c>
      <c r="BJ174" s="3">
        <f>IFERROR(__xludf.DUMMYFUNCTION("""COMPUTED_VALUE"""),0.0)</f>
        <v>0</v>
      </c>
      <c r="BK174" s="3">
        <f>IFERROR(__xludf.DUMMYFUNCTION("""COMPUTED_VALUE"""),0.0)</f>
        <v>0</v>
      </c>
      <c r="BL174" s="3">
        <f>IFERROR(__xludf.DUMMYFUNCTION("""COMPUTED_VALUE"""),0.0)</f>
        <v>0</v>
      </c>
      <c r="BM174" s="3">
        <f>IFERROR(__xludf.DUMMYFUNCTION("""COMPUTED_VALUE"""),0.0)</f>
        <v>0</v>
      </c>
      <c r="BN174" s="3">
        <f>IFERROR(__xludf.DUMMYFUNCTION("""COMPUTED_VALUE"""),0.0)</f>
        <v>0</v>
      </c>
      <c r="BO174" s="3">
        <f>IFERROR(__xludf.DUMMYFUNCTION("""COMPUTED_VALUE"""),0.0)</f>
        <v>0</v>
      </c>
      <c r="BP174" s="3">
        <f>IFERROR(__xludf.DUMMYFUNCTION("""COMPUTED_VALUE"""),1.0)</f>
        <v>1</v>
      </c>
      <c r="BQ174" s="3">
        <f>IFERROR(__xludf.DUMMYFUNCTION("""COMPUTED_VALUE"""),1.0)</f>
        <v>1</v>
      </c>
      <c r="BR174" s="3">
        <f>IFERROR(__xludf.DUMMYFUNCTION("""COMPUTED_VALUE"""),1.0)</f>
        <v>1</v>
      </c>
      <c r="BS174" s="3">
        <f>IFERROR(__xludf.DUMMYFUNCTION("""COMPUTED_VALUE"""),1.0)</f>
        <v>1</v>
      </c>
      <c r="BT174" s="3">
        <f>IFERROR(__xludf.DUMMYFUNCTION("""COMPUTED_VALUE"""),1.0)</f>
        <v>1</v>
      </c>
      <c r="BU174" s="3">
        <f>IFERROR(__xludf.DUMMYFUNCTION("""COMPUTED_VALUE"""),3.0)</f>
        <v>3</v>
      </c>
      <c r="BV174" s="3">
        <f>IFERROR(__xludf.DUMMYFUNCTION("""COMPUTED_VALUE"""),3.0)</f>
        <v>3</v>
      </c>
      <c r="BW174" s="3">
        <f>IFERROR(__xludf.DUMMYFUNCTION("""COMPUTED_VALUE"""),5.0)</f>
        <v>5</v>
      </c>
      <c r="BX174" s="3">
        <f>IFERROR(__xludf.DUMMYFUNCTION("""COMPUTED_VALUE"""),5.0)</f>
        <v>5</v>
      </c>
      <c r="BY174" s="3">
        <f>IFERROR(__xludf.DUMMYFUNCTION("""COMPUTED_VALUE"""),5.0)</f>
        <v>5</v>
      </c>
      <c r="BZ174" s="3">
        <f>IFERROR(__xludf.DUMMYFUNCTION("""COMPUTED_VALUE"""),8.0)</f>
        <v>8</v>
      </c>
      <c r="CA174" s="3">
        <f>IFERROR(__xludf.DUMMYFUNCTION("""COMPUTED_VALUE"""),10.0)</f>
        <v>10</v>
      </c>
      <c r="CB174" s="3">
        <f>IFERROR(__xludf.DUMMYFUNCTION("""COMPUTED_VALUE"""),10.0)</f>
        <v>10</v>
      </c>
    </row>
    <row r="175">
      <c r="A175" s="3" t="str">
        <f>IFERROR(__xludf.DUMMYFUNCTION("""COMPUTED_VALUE"""),"")</f>
        <v/>
      </c>
      <c r="B175" s="3" t="str">
        <f>IFERROR(__xludf.DUMMYFUNCTION("""COMPUTED_VALUE"""),"Nigeria")</f>
        <v>Nigeria</v>
      </c>
      <c r="C175" s="3">
        <f>IFERROR(__xludf.DUMMYFUNCTION("""COMPUTED_VALUE"""),9.082)</f>
        <v>9.082</v>
      </c>
      <c r="D175" s="3">
        <f>IFERROR(__xludf.DUMMYFUNCTION("""COMPUTED_VALUE"""),8.6753)</f>
        <v>8.6753</v>
      </c>
      <c r="E175" s="3">
        <f>IFERROR(__xludf.DUMMYFUNCTION("""COMPUTED_VALUE"""),0.0)</f>
        <v>0</v>
      </c>
      <c r="F175" s="3">
        <f>IFERROR(__xludf.DUMMYFUNCTION("""COMPUTED_VALUE"""),0.0)</f>
        <v>0</v>
      </c>
      <c r="G175" s="3">
        <f>IFERROR(__xludf.DUMMYFUNCTION("""COMPUTED_VALUE"""),0.0)</f>
        <v>0</v>
      </c>
      <c r="H175" s="3">
        <f>IFERROR(__xludf.DUMMYFUNCTION("""COMPUTED_VALUE"""),0.0)</f>
        <v>0</v>
      </c>
      <c r="I175" s="3">
        <f>IFERROR(__xludf.DUMMYFUNCTION("""COMPUTED_VALUE"""),0.0)</f>
        <v>0</v>
      </c>
      <c r="J175" s="3">
        <f>IFERROR(__xludf.DUMMYFUNCTION("""COMPUTED_VALUE"""),0.0)</f>
        <v>0</v>
      </c>
      <c r="K175" s="3">
        <f>IFERROR(__xludf.DUMMYFUNCTION("""COMPUTED_VALUE"""),0.0)</f>
        <v>0</v>
      </c>
      <c r="L175" s="3">
        <f>IFERROR(__xludf.DUMMYFUNCTION("""COMPUTED_VALUE"""),0.0)</f>
        <v>0</v>
      </c>
      <c r="M175" s="3">
        <f>IFERROR(__xludf.DUMMYFUNCTION("""COMPUTED_VALUE"""),0.0)</f>
        <v>0</v>
      </c>
      <c r="N175" s="3">
        <f>IFERROR(__xludf.DUMMYFUNCTION("""COMPUTED_VALUE"""),0.0)</f>
        <v>0</v>
      </c>
      <c r="O175" s="3">
        <f>IFERROR(__xludf.DUMMYFUNCTION("""COMPUTED_VALUE"""),0.0)</f>
        <v>0</v>
      </c>
      <c r="P175" s="3">
        <f>IFERROR(__xludf.DUMMYFUNCTION("""COMPUTED_VALUE"""),0.0)</f>
        <v>0</v>
      </c>
      <c r="Q175" s="3">
        <f>IFERROR(__xludf.DUMMYFUNCTION("""COMPUTED_VALUE"""),0.0)</f>
        <v>0</v>
      </c>
      <c r="R175" s="3">
        <f>IFERROR(__xludf.DUMMYFUNCTION("""COMPUTED_VALUE"""),0.0)</f>
        <v>0</v>
      </c>
      <c r="S175" s="3">
        <f>IFERROR(__xludf.DUMMYFUNCTION("""COMPUTED_VALUE"""),0.0)</f>
        <v>0</v>
      </c>
      <c r="T175" s="3">
        <f>IFERROR(__xludf.DUMMYFUNCTION("""COMPUTED_VALUE"""),0.0)</f>
        <v>0</v>
      </c>
      <c r="U175" s="3">
        <f>IFERROR(__xludf.DUMMYFUNCTION("""COMPUTED_VALUE"""),0.0)</f>
        <v>0</v>
      </c>
      <c r="V175" s="3">
        <f>IFERROR(__xludf.DUMMYFUNCTION("""COMPUTED_VALUE"""),0.0)</f>
        <v>0</v>
      </c>
      <c r="W175" s="3">
        <f>IFERROR(__xludf.DUMMYFUNCTION("""COMPUTED_VALUE"""),0.0)</f>
        <v>0</v>
      </c>
      <c r="X175" s="3">
        <f>IFERROR(__xludf.DUMMYFUNCTION("""COMPUTED_VALUE"""),0.0)</f>
        <v>0</v>
      </c>
      <c r="Y175" s="3">
        <f>IFERROR(__xludf.DUMMYFUNCTION("""COMPUTED_VALUE"""),0.0)</f>
        <v>0</v>
      </c>
      <c r="Z175" s="3">
        <f>IFERROR(__xludf.DUMMYFUNCTION("""COMPUTED_VALUE"""),0.0)</f>
        <v>0</v>
      </c>
      <c r="AA175" s="3">
        <f>IFERROR(__xludf.DUMMYFUNCTION("""COMPUTED_VALUE"""),0.0)</f>
        <v>0</v>
      </c>
      <c r="AB175" s="3">
        <f>IFERROR(__xludf.DUMMYFUNCTION("""COMPUTED_VALUE"""),0.0)</f>
        <v>0</v>
      </c>
      <c r="AC175" s="3">
        <f>IFERROR(__xludf.DUMMYFUNCTION("""COMPUTED_VALUE"""),0.0)</f>
        <v>0</v>
      </c>
      <c r="AD175" s="3">
        <f>IFERROR(__xludf.DUMMYFUNCTION("""COMPUTED_VALUE"""),0.0)</f>
        <v>0</v>
      </c>
      <c r="AE175" s="3">
        <f>IFERROR(__xludf.DUMMYFUNCTION("""COMPUTED_VALUE"""),0.0)</f>
        <v>0</v>
      </c>
      <c r="AF175" s="3">
        <f>IFERROR(__xludf.DUMMYFUNCTION("""COMPUTED_VALUE"""),0.0)</f>
        <v>0</v>
      </c>
      <c r="AG175" s="3">
        <f>IFERROR(__xludf.DUMMYFUNCTION("""COMPUTED_VALUE"""),0.0)</f>
        <v>0</v>
      </c>
      <c r="AH175" s="3">
        <f>IFERROR(__xludf.DUMMYFUNCTION("""COMPUTED_VALUE"""),0.0)</f>
        <v>0</v>
      </c>
      <c r="AI175" s="3">
        <f>IFERROR(__xludf.DUMMYFUNCTION("""COMPUTED_VALUE"""),0.0)</f>
        <v>0</v>
      </c>
      <c r="AJ175" s="3">
        <f>IFERROR(__xludf.DUMMYFUNCTION("""COMPUTED_VALUE"""),0.0)</f>
        <v>0</v>
      </c>
      <c r="AK175" s="3">
        <f>IFERROR(__xludf.DUMMYFUNCTION("""COMPUTED_VALUE"""),0.0)</f>
        <v>0</v>
      </c>
      <c r="AL175" s="3">
        <f>IFERROR(__xludf.DUMMYFUNCTION("""COMPUTED_VALUE"""),0.0)</f>
        <v>0</v>
      </c>
      <c r="AM175" s="3">
        <f>IFERROR(__xludf.DUMMYFUNCTION("""COMPUTED_VALUE"""),0.0)</f>
        <v>0</v>
      </c>
      <c r="AN175" s="3">
        <f>IFERROR(__xludf.DUMMYFUNCTION("""COMPUTED_VALUE"""),0.0)</f>
        <v>0</v>
      </c>
      <c r="AO175" s="3">
        <f>IFERROR(__xludf.DUMMYFUNCTION("""COMPUTED_VALUE"""),0.0)</f>
        <v>0</v>
      </c>
      <c r="AP175" s="3">
        <f>IFERROR(__xludf.DUMMYFUNCTION("""COMPUTED_VALUE"""),0.0)</f>
        <v>0</v>
      </c>
      <c r="AQ175" s="3">
        <f>IFERROR(__xludf.DUMMYFUNCTION("""COMPUTED_VALUE"""),0.0)</f>
        <v>0</v>
      </c>
      <c r="AR175" s="3">
        <f>IFERROR(__xludf.DUMMYFUNCTION("""COMPUTED_VALUE"""),0.0)</f>
        <v>0</v>
      </c>
      <c r="AS175" s="3">
        <f>IFERROR(__xludf.DUMMYFUNCTION("""COMPUTED_VALUE"""),0.0)</f>
        <v>0</v>
      </c>
      <c r="AT175" s="3">
        <f>IFERROR(__xludf.DUMMYFUNCTION("""COMPUTED_VALUE"""),0.0)</f>
        <v>0</v>
      </c>
      <c r="AU175" s="3">
        <f>IFERROR(__xludf.DUMMYFUNCTION("""COMPUTED_VALUE"""),0.0)</f>
        <v>0</v>
      </c>
      <c r="AV175" s="3">
        <f>IFERROR(__xludf.DUMMYFUNCTION("""COMPUTED_VALUE"""),0.0)</f>
        <v>0</v>
      </c>
      <c r="AW175" s="3">
        <f>IFERROR(__xludf.DUMMYFUNCTION("""COMPUTED_VALUE"""),0.0)</f>
        <v>0</v>
      </c>
      <c r="AX175" s="3">
        <f>IFERROR(__xludf.DUMMYFUNCTION("""COMPUTED_VALUE"""),0.0)</f>
        <v>0</v>
      </c>
      <c r="AY175" s="3">
        <f>IFERROR(__xludf.DUMMYFUNCTION("""COMPUTED_VALUE"""),0.0)</f>
        <v>0</v>
      </c>
      <c r="AZ175" s="3">
        <f>IFERROR(__xludf.DUMMYFUNCTION("""COMPUTED_VALUE"""),0.0)</f>
        <v>0</v>
      </c>
      <c r="BA175" s="3">
        <f>IFERROR(__xludf.DUMMYFUNCTION("""COMPUTED_VALUE"""),0.0)</f>
        <v>0</v>
      </c>
      <c r="BB175" s="3">
        <f>IFERROR(__xludf.DUMMYFUNCTION("""COMPUTED_VALUE"""),0.0)</f>
        <v>0</v>
      </c>
      <c r="BC175" s="3">
        <f>IFERROR(__xludf.DUMMYFUNCTION("""COMPUTED_VALUE"""),0.0)</f>
        <v>0</v>
      </c>
      <c r="BD175" s="3">
        <f>IFERROR(__xludf.DUMMYFUNCTION("""COMPUTED_VALUE"""),0.0)</f>
        <v>0</v>
      </c>
      <c r="BE175" s="3">
        <f>IFERROR(__xludf.DUMMYFUNCTION("""COMPUTED_VALUE"""),0.0)</f>
        <v>0</v>
      </c>
      <c r="BF175" s="3">
        <f>IFERROR(__xludf.DUMMYFUNCTION("""COMPUTED_VALUE"""),0.0)</f>
        <v>0</v>
      </c>
      <c r="BG175" s="3">
        <f>IFERROR(__xludf.DUMMYFUNCTION("""COMPUTED_VALUE"""),0.0)</f>
        <v>0</v>
      </c>
      <c r="BH175" s="3">
        <f>IFERROR(__xludf.DUMMYFUNCTION("""COMPUTED_VALUE"""),0.0)</f>
        <v>0</v>
      </c>
      <c r="BI175" s="3">
        <f>IFERROR(__xludf.DUMMYFUNCTION("""COMPUTED_VALUE"""),0.0)</f>
        <v>0</v>
      </c>
      <c r="BJ175" s="3">
        <f>IFERROR(__xludf.DUMMYFUNCTION("""COMPUTED_VALUE"""),0.0)</f>
        <v>0</v>
      </c>
      <c r="BK175" s="3">
        <f>IFERROR(__xludf.DUMMYFUNCTION("""COMPUTED_VALUE"""),0.0)</f>
        <v>0</v>
      </c>
      <c r="BL175" s="3">
        <f>IFERROR(__xludf.DUMMYFUNCTION("""COMPUTED_VALUE"""),0.0)</f>
        <v>0</v>
      </c>
      <c r="BM175" s="3">
        <f>IFERROR(__xludf.DUMMYFUNCTION("""COMPUTED_VALUE"""),0.0)</f>
        <v>0</v>
      </c>
      <c r="BN175" s="3">
        <f>IFERROR(__xludf.DUMMYFUNCTION("""COMPUTED_VALUE"""),1.0)</f>
        <v>1</v>
      </c>
      <c r="BO175" s="3">
        <f>IFERROR(__xludf.DUMMYFUNCTION("""COMPUTED_VALUE"""),1.0)</f>
        <v>1</v>
      </c>
      <c r="BP175" s="3">
        <f>IFERROR(__xludf.DUMMYFUNCTION("""COMPUTED_VALUE"""),1.0)</f>
        <v>1</v>
      </c>
      <c r="BQ175" s="3">
        <f>IFERROR(__xludf.DUMMYFUNCTION("""COMPUTED_VALUE"""),1.0)</f>
        <v>1</v>
      </c>
      <c r="BR175" s="3">
        <f>IFERROR(__xludf.DUMMYFUNCTION("""COMPUTED_VALUE"""),1.0)</f>
        <v>1</v>
      </c>
      <c r="BS175" s="3">
        <f>IFERROR(__xludf.DUMMYFUNCTION("""COMPUTED_VALUE"""),1.0)</f>
        <v>1</v>
      </c>
      <c r="BT175" s="3">
        <f>IFERROR(__xludf.DUMMYFUNCTION("""COMPUTED_VALUE"""),1.0)</f>
        <v>1</v>
      </c>
      <c r="BU175" s="3">
        <f>IFERROR(__xludf.DUMMYFUNCTION("""COMPUTED_VALUE"""),2.0)</f>
        <v>2</v>
      </c>
      <c r="BV175" s="3">
        <f>IFERROR(__xludf.DUMMYFUNCTION("""COMPUTED_VALUE"""),2.0)</f>
        <v>2</v>
      </c>
      <c r="BW175" s="3">
        <f>IFERROR(__xludf.DUMMYFUNCTION("""COMPUTED_VALUE"""),2.0)</f>
        <v>2</v>
      </c>
      <c r="BX175" s="3">
        <f>IFERROR(__xludf.DUMMYFUNCTION("""COMPUTED_VALUE"""),2.0)</f>
        <v>2</v>
      </c>
      <c r="BY175" s="3">
        <f>IFERROR(__xludf.DUMMYFUNCTION("""COMPUTED_VALUE"""),4.0)</f>
        <v>4</v>
      </c>
      <c r="BZ175" s="3">
        <f>IFERROR(__xludf.DUMMYFUNCTION("""COMPUTED_VALUE"""),4.0)</f>
        <v>4</v>
      </c>
      <c r="CA175" s="3">
        <f>IFERROR(__xludf.DUMMYFUNCTION("""COMPUTED_VALUE"""),5.0)</f>
        <v>5</v>
      </c>
      <c r="CB175" s="3">
        <f>IFERROR(__xludf.DUMMYFUNCTION("""COMPUTED_VALUE"""),5.0)</f>
        <v>5</v>
      </c>
    </row>
    <row r="176">
      <c r="A176" s="3" t="str">
        <f>IFERROR(__xludf.DUMMYFUNCTION("""COMPUTED_VALUE"""),"")</f>
        <v/>
      </c>
      <c r="B176" s="3" t="str">
        <f>IFERROR(__xludf.DUMMYFUNCTION("""COMPUTED_VALUE"""),"North Macedonia")</f>
        <v>North Macedonia</v>
      </c>
      <c r="C176" s="3">
        <f>IFERROR(__xludf.DUMMYFUNCTION("""COMPUTED_VALUE"""),41.6086)</f>
        <v>41.6086</v>
      </c>
      <c r="D176" s="3">
        <f>IFERROR(__xludf.DUMMYFUNCTION("""COMPUTED_VALUE"""),21.7453)</f>
        <v>21.7453</v>
      </c>
      <c r="E176" s="3">
        <f>IFERROR(__xludf.DUMMYFUNCTION("""COMPUTED_VALUE"""),0.0)</f>
        <v>0</v>
      </c>
      <c r="F176" s="3">
        <f>IFERROR(__xludf.DUMMYFUNCTION("""COMPUTED_VALUE"""),0.0)</f>
        <v>0</v>
      </c>
      <c r="G176" s="3">
        <f>IFERROR(__xludf.DUMMYFUNCTION("""COMPUTED_VALUE"""),0.0)</f>
        <v>0</v>
      </c>
      <c r="H176" s="3">
        <f>IFERROR(__xludf.DUMMYFUNCTION("""COMPUTED_VALUE"""),0.0)</f>
        <v>0</v>
      </c>
      <c r="I176" s="3">
        <f>IFERROR(__xludf.DUMMYFUNCTION("""COMPUTED_VALUE"""),0.0)</f>
        <v>0</v>
      </c>
      <c r="J176" s="3">
        <f>IFERROR(__xludf.DUMMYFUNCTION("""COMPUTED_VALUE"""),0.0)</f>
        <v>0</v>
      </c>
      <c r="K176" s="3">
        <f>IFERROR(__xludf.DUMMYFUNCTION("""COMPUTED_VALUE"""),0.0)</f>
        <v>0</v>
      </c>
      <c r="L176" s="3">
        <f>IFERROR(__xludf.DUMMYFUNCTION("""COMPUTED_VALUE"""),0.0)</f>
        <v>0</v>
      </c>
      <c r="M176" s="3">
        <f>IFERROR(__xludf.DUMMYFUNCTION("""COMPUTED_VALUE"""),0.0)</f>
        <v>0</v>
      </c>
      <c r="N176" s="3">
        <f>IFERROR(__xludf.DUMMYFUNCTION("""COMPUTED_VALUE"""),0.0)</f>
        <v>0</v>
      </c>
      <c r="O176" s="3">
        <f>IFERROR(__xludf.DUMMYFUNCTION("""COMPUTED_VALUE"""),0.0)</f>
        <v>0</v>
      </c>
      <c r="P176" s="3">
        <f>IFERROR(__xludf.DUMMYFUNCTION("""COMPUTED_VALUE"""),0.0)</f>
        <v>0</v>
      </c>
      <c r="Q176" s="3">
        <f>IFERROR(__xludf.DUMMYFUNCTION("""COMPUTED_VALUE"""),0.0)</f>
        <v>0</v>
      </c>
      <c r="R176" s="3">
        <f>IFERROR(__xludf.DUMMYFUNCTION("""COMPUTED_VALUE"""),0.0)</f>
        <v>0</v>
      </c>
      <c r="S176" s="3">
        <f>IFERROR(__xludf.DUMMYFUNCTION("""COMPUTED_VALUE"""),0.0)</f>
        <v>0</v>
      </c>
      <c r="T176" s="3">
        <f>IFERROR(__xludf.DUMMYFUNCTION("""COMPUTED_VALUE"""),0.0)</f>
        <v>0</v>
      </c>
      <c r="U176" s="3">
        <f>IFERROR(__xludf.DUMMYFUNCTION("""COMPUTED_VALUE"""),0.0)</f>
        <v>0</v>
      </c>
      <c r="V176" s="3">
        <f>IFERROR(__xludf.DUMMYFUNCTION("""COMPUTED_VALUE"""),0.0)</f>
        <v>0</v>
      </c>
      <c r="W176" s="3">
        <f>IFERROR(__xludf.DUMMYFUNCTION("""COMPUTED_VALUE"""),0.0)</f>
        <v>0</v>
      </c>
      <c r="X176" s="3">
        <f>IFERROR(__xludf.DUMMYFUNCTION("""COMPUTED_VALUE"""),0.0)</f>
        <v>0</v>
      </c>
      <c r="Y176" s="3">
        <f>IFERROR(__xludf.DUMMYFUNCTION("""COMPUTED_VALUE"""),0.0)</f>
        <v>0</v>
      </c>
      <c r="Z176" s="3">
        <f>IFERROR(__xludf.DUMMYFUNCTION("""COMPUTED_VALUE"""),0.0)</f>
        <v>0</v>
      </c>
      <c r="AA176" s="3">
        <f>IFERROR(__xludf.DUMMYFUNCTION("""COMPUTED_VALUE"""),0.0)</f>
        <v>0</v>
      </c>
      <c r="AB176" s="3">
        <f>IFERROR(__xludf.DUMMYFUNCTION("""COMPUTED_VALUE"""),0.0)</f>
        <v>0</v>
      </c>
      <c r="AC176" s="3">
        <f>IFERROR(__xludf.DUMMYFUNCTION("""COMPUTED_VALUE"""),0.0)</f>
        <v>0</v>
      </c>
      <c r="AD176" s="3">
        <f>IFERROR(__xludf.DUMMYFUNCTION("""COMPUTED_VALUE"""),0.0)</f>
        <v>0</v>
      </c>
      <c r="AE176" s="3">
        <f>IFERROR(__xludf.DUMMYFUNCTION("""COMPUTED_VALUE"""),0.0)</f>
        <v>0</v>
      </c>
      <c r="AF176" s="3">
        <f>IFERROR(__xludf.DUMMYFUNCTION("""COMPUTED_VALUE"""),0.0)</f>
        <v>0</v>
      </c>
      <c r="AG176" s="3">
        <f>IFERROR(__xludf.DUMMYFUNCTION("""COMPUTED_VALUE"""),0.0)</f>
        <v>0</v>
      </c>
      <c r="AH176" s="3">
        <f>IFERROR(__xludf.DUMMYFUNCTION("""COMPUTED_VALUE"""),0.0)</f>
        <v>0</v>
      </c>
      <c r="AI176" s="3">
        <f>IFERROR(__xludf.DUMMYFUNCTION("""COMPUTED_VALUE"""),0.0)</f>
        <v>0</v>
      </c>
      <c r="AJ176" s="3">
        <f>IFERROR(__xludf.DUMMYFUNCTION("""COMPUTED_VALUE"""),0.0)</f>
        <v>0</v>
      </c>
      <c r="AK176" s="3">
        <f>IFERROR(__xludf.DUMMYFUNCTION("""COMPUTED_VALUE"""),0.0)</f>
        <v>0</v>
      </c>
      <c r="AL176" s="3">
        <f>IFERROR(__xludf.DUMMYFUNCTION("""COMPUTED_VALUE"""),0.0)</f>
        <v>0</v>
      </c>
      <c r="AM176" s="3">
        <f>IFERROR(__xludf.DUMMYFUNCTION("""COMPUTED_VALUE"""),0.0)</f>
        <v>0</v>
      </c>
      <c r="AN176" s="3">
        <f>IFERROR(__xludf.DUMMYFUNCTION("""COMPUTED_VALUE"""),0.0)</f>
        <v>0</v>
      </c>
      <c r="AO176" s="3">
        <f>IFERROR(__xludf.DUMMYFUNCTION("""COMPUTED_VALUE"""),0.0)</f>
        <v>0</v>
      </c>
      <c r="AP176" s="3">
        <f>IFERROR(__xludf.DUMMYFUNCTION("""COMPUTED_VALUE"""),0.0)</f>
        <v>0</v>
      </c>
      <c r="AQ176" s="3">
        <f>IFERROR(__xludf.DUMMYFUNCTION("""COMPUTED_VALUE"""),0.0)</f>
        <v>0</v>
      </c>
      <c r="AR176" s="3">
        <f>IFERROR(__xludf.DUMMYFUNCTION("""COMPUTED_VALUE"""),0.0)</f>
        <v>0</v>
      </c>
      <c r="AS176" s="3">
        <f>IFERROR(__xludf.DUMMYFUNCTION("""COMPUTED_VALUE"""),0.0)</f>
        <v>0</v>
      </c>
      <c r="AT176" s="3">
        <f>IFERROR(__xludf.DUMMYFUNCTION("""COMPUTED_VALUE"""),0.0)</f>
        <v>0</v>
      </c>
      <c r="AU176" s="3">
        <f>IFERROR(__xludf.DUMMYFUNCTION("""COMPUTED_VALUE"""),0.0)</f>
        <v>0</v>
      </c>
      <c r="AV176" s="3">
        <f>IFERROR(__xludf.DUMMYFUNCTION("""COMPUTED_VALUE"""),0.0)</f>
        <v>0</v>
      </c>
      <c r="AW176" s="3">
        <f>IFERROR(__xludf.DUMMYFUNCTION("""COMPUTED_VALUE"""),0.0)</f>
        <v>0</v>
      </c>
      <c r="AX176" s="3">
        <f>IFERROR(__xludf.DUMMYFUNCTION("""COMPUTED_VALUE"""),0.0)</f>
        <v>0</v>
      </c>
      <c r="AY176" s="3">
        <f>IFERROR(__xludf.DUMMYFUNCTION("""COMPUTED_VALUE"""),0.0)</f>
        <v>0</v>
      </c>
      <c r="AZ176" s="3">
        <f>IFERROR(__xludf.DUMMYFUNCTION("""COMPUTED_VALUE"""),0.0)</f>
        <v>0</v>
      </c>
      <c r="BA176" s="3">
        <f>IFERROR(__xludf.DUMMYFUNCTION("""COMPUTED_VALUE"""),0.0)</f>
        <v>0</v>
      </c>
      <c r="BB176" s="3">
        <f>IFERROR(__xludf.DUMMYFUNCTION("""COMPUTED_VALUE"""),0.0)</f>
        <v>0</v>
      </c>
      <c r="BC176" s="3">
        <f>IFERROR(__xludf.DUMMYFUNCTION("""COMPUTED_VALUE"""),0.0)</f>
        <v>0</v>
      </c>
      <c r="BD176" s="3">
        <f>IFERROR(__xludf.DUMMYFUNCTION("""COMPUTED_VALUE"""),0.0)</f>
        <v>0</v>
      </c>
      <c r="BE176" s="3">
        <f>IFERROR(__xludf.DUMMYFUNCTION("""COMPUTED_VALUE"""),0.0)</f>
        <v>0</v>
      </c>
      <c r="BF176" s="3">
        <f>IFERROR(__xludf.DUMMYFUNCTION("""COMPUTED_VALUE"""),0.0)</f>
        <v>0</v>
      </c>
      <c r="BG176" s="3">
        <f>IFERROR(__xludf.DUMMYFUNCTION("""COMPUTED_VALUE"""),0.0)</f>
        <v>0</v>
      </c>
      <c r="BH176" s="3">
        <f>IFERROR(__xludf.DUMMYFUNCTION("""COMPUTED_VALUE"""),0.0)</f>
        <v>0</v>
      </c>
      <c r="BI176" s="3">
        <f>IFERROR(__xludf.DUMMYFUNCTION("""COMPUTED_VALUE"""),0.0)</f>
        <v>0</v>
      </c>
      <c r="BJ176" s="3">
        <f>IFERROR(__xludf.DUMMYFUNCTION("""COMPUTED_VALUE"""),0.0)</f>
        <v>0</v>
      </c>
      <c r="BK176" s="3">
        <f>IFERROR(__xludf.DUMMYFUNCTION("""COMPUTED_VALUE"""),0.0)</f>
        <v>0</v>
      </c>
      <c r="BL176" s="3">
        <f>IFERROR(__xludf.DUMMYFUNCTION("""COMPUTED_VALUE"""),0.0)</f>
        <v>0</v>
      </c>
      <c r="BM176" s="3">
        <f>IFERROR(__xludf.DUMMYFUNCTION("""COMPUTED_VALUE"""),1.0)</f>
        <v>1</v>
      </c>
      <c r="BN176" s="3">
        <f>IFERROR(__xludf.DUMMYFUNCTION("""COMPUTED_VALUE"""),2.0)</f>
        <v>2</v>
      </c>
      <c r="BO176" s="3">
        <f>IFERROR(__xludf.DUMMYFUNCTION("""COMPUTED_VALUE"""),2.0)</f>
        <v>2</v>
      </c>
      <c r="BP176" s="3">
        <f>IFERROR(__xludf.DUMMYFUNCTION("""COMPUTED_VALUE"""),3.0)</f>
        <v>3</v>
      </c>
      <c r="BQ176" s="3">
        <f>IFERROR(__xludf.DUMMYFUNCTION("""COMPUTED_VALUE"""),3.0)</f>
        <v>3</v>
      </c>
      <c r="BR176" s="3">
        <f>IFERROR(__xludf.DUMMYFUNCTION("""COMPUTED_VALUE"""),3.0)</f>
        <v>3</v>
      </c>
      <c r="BS176" s="3">
        <f>IFERROR(__xludf.DUMMYFUNCTION("""COMPUTED_VALUE"""),4.0)</f>
        <v>4</v>
      </c>
      <c r="BT176" s="3">
        <f>IFERROR(__xludf.DUMMYFUNCTION("""COMPUTED_VALUE"""),6.0)</f>
        <v>6</v>
      </c>
      <c r="BU176" s="3">
        <f>IFERROR(__xludf.DUMMYFUNCTION("""COMPUTED_VALUE"""),7.0)</f>
        <v>7</v>
      </c>
      <c r="BV176" s="3">
        <f>IFERROR(__xludf.DUMMYFUNCTION("""COMPUTED_VALUE"""),9.0)</f>
        <v>9</v>
      </c>
      <c r="BW176" s="3">
        <f>IFERROR(__xludf.DUMMYFUNCTION("""COMPUTED_VALUE"""),11.0)</f>
        <v>11</v>
      </c>
      <c r="BX176" s="3">
        <f>IFERROR(__xludf.DUMMYFUNCTION("""COMPUTED_VALUE"""),11.0)</f>
        <v>11</v>
      </c>
      <c r="BY176" s="3">
        <f>IFERROR(__xludf.DUMMYFUNCTION("""COMPUTED_VALUE"""),12.0)</f>
        <v>12</v>
      </c>
      <c r="BZ176" s="3">
        <f>IFERROR(__xludf.DUMMYFUNCTION("""COMPUTED_VALUE"""),17.0)</f>
        <v>17</v>
      </c>
      <c r="CA176" s="3">
        <f>IFERROR(__xludf.DUMMYFUNCTION("""COMPUTED_VALUE"""),18.0)</f>
        <v>18</v>
      </c>
      <c r="CB176" s="3">
        <f>IFERROR(__xludf.DUMMYFUNCTION("""COMPUTED_VALUE"""),23.0)</f>
        <v>23</v>
      </c>
    </row>
    <row r="177">
      <c r="A177" s="3" t="str">
        <f>IFERROR(__xludf.DUMMYFUNCTION("""COMPUTED_VALUE"""),"")</f>
        <v/>
      </c>
      <c r="B177" s="3" t="str">
        <f>IFERROR(__xludf.DUMMYFUNCTION("""COMPUTED_VALUE"""),"Norway")</f>
        <v>Norway</v>
      </c>
      <c r="C177" s="3">
        <f>IFERROR(__xludf.DUMMYFUNCTION("""COMPUTED_VALUE"""),60.472)</f>
        <v>60.472</v>
      </c>
      <c r="D177" s="3">
        <f>IFERROR(__xludf.DUMMYFUNCTION("""COMPUTED_VALUE"""),8.4689)</f>
        <v>8.4689</v>
      </c>
      <c r="E177" s="3">
        <f>IFERROR(__xludf.DUMMYFUNCTION("""COMPUTED_VALUE"""),0.0)</f>
        <v>0</v>
      </c>
      <c r="F177" s="3">
        <f>IFERROR(__xludf.DUMMYFUNCTION("""COMPUTED_VALUE"""),0.0)</f>
        <v>0</v>
      </c>
      <c r="G177" s="3">
        <f>IFERROR(__xludf.DUMMYFUNCTION("""COMPUTED_VALUE"""),0.0)</f>
        <v>0</v>
      </c>
      <c r="H177" s="3">
        <f>IFERROR(__xludf.DUMMYFUNCTION("""COMPUTED_VALUE"""),0.0)</f>
        <v>0</v>
      </c>
      <c r="I177" s="3">
        <f>IFERROR(__xludf.DUMMYFUNCTION("""COMPUTED_VALUE"""),0.0)</f>
        <v>0</v>
      </c>
      <c r="J177" s="3">
        <f>IFERROR(__xludf.DUMMYFUNCTION("""COMPUTED_VALUE"""),0.0)</f>
        <v>0</v>
      </c>
      <c r="K177" s="3">
        <f>IFERROR(__xludf.DUMMYFUNCTION("""COMPUTED_VALUE"""),0.0)</f>
        <v>0</v>
      </c>
      <c r="L177" s="3">
        <f>IFERROR(__xludf.DUMMYFUNCTION("""COMPUTED_VALUE"""),0.0)</f>
        <v>0</v>
      </c>
      <c r="M177" s="3">
        <f>IFERROR(__xludf.DUMMYFUNCTION("""COMPUTED_VALUE"""),0.0)</f>
        <v>0</v>
      </c>
      <c r="N177" s="3">
        <f>IFERROR(__xludf.DUMMYFUNCTION("""COMPUTED_VALUE"""),0.0)</f>
        <v>0</v>
      </c>
      <c r="O177" s="3">
        <f>IFERROR(__xludf.DUMMYFUNCTION("""COMPUTED_VALUE"""),0.0)</f>
        <v>0</v>
      </c>
      <c r="P177" s="3">
        <f>IFERROR(__xludf.DUMMYFUNCTION("""COMPUTED_VALUE"""),0.0)</f>
        <v>0</v>
      </c>
      <c r="Q177" s="3">
        <f>IFERROR(__xludf.DUMMYFUNCTION("""COMPUTED_VALUE"""),0.0)</f>
        <v>0</v>
      </c>
      <c r="R177" s="3">
        <f>IFERROR(__xludf.DUMMYFUNCTION("""COMPUTED_VALUE"""),0.0)</f>
        <v>0</v>
      </c>
      <c r="S177" s="3">
        <f>IFERROR(__xludf.DUMMYFUNCTION("""COMPUTED_VALUE"""),0.0)</f>
        <v>0</v>
      </c>
      <c r="T177" s="3">
        <f>IFERROR(__xludf.DUMMYFUNCTION("""COMPUTED_VALUE"""),0.0)</f>
        <v>0</v>
      </c>
      <c r="U177" s="3">
        <f>IFERROR(__xludf.DUMMYFUNCTION("""COMPUTED_VALUE"""),0.0)</f>
        <v>0</v>
      </c>
      <c r="V177" s="3">
        <f>IFERROR(__xludf.DUMMYFUNCTION("""COMPUTED_VALUE"""),0.0)</f>
        <v>0</v>
      </c>
      <c r="W177" s="3">
        <f>IFERROR(__xludf.DUMMYFUNCTION("""COMPUTED_VALUE"""),0.0)</f>
        <v>0</v>
      </c>
      <c r="X177" s="3">
        <f>IFERROR(__xludf.DUMMYFUNCTION("""COMPUTED_VALUE"""),0.0)</f>
        <v>0</v>
      </c>
      <c r="Y177" s="3">
        <f>IFERROR(__xludf.DUMMYFUNCTION("""COMPUTED_VALUE"""),0.0)</f>
        <v>0</v>
      </c>
      <c r="Z177" s="3">
        <f>IFERROR(__xludf.DUMMYFUNCTION("""COMPUTED_VALUE"""),0.0)</f>
        <v>0</v>
      </c>
      <c r="AA177" s="3">
        <f>IFERROR(__xludf.DUMMYFUNCTION("""COMPUTED_VALUE"""),0.0)</f>
        <v>0</v>
      </c>
      <c r="AB177" s="3">
        <f>IFERROR(__xludf.DUMMYFUNCTION("""COMPUTED_VALUE"""),0.0)</f>
        <v>0</v>
      </c>
      <c r="AC177" s="3">
        <f>IFERROR(__xludf.DUMMYFUNCTION("""COMPUTED_VALUE"""),0.0)</f>
        <v>0</v>
      </c>
      <c r="AD177" s="3">
        <f>IFERROR(__xludf.DUMMYFUNCTION("""COMPUTED_VALUE"""),0.0)</f>
        <v>0</v>
      </c>
      <c r="AE177" s="3">
        <f>IFERROR(__xludf.DUMMYFUNCTION("""COMPUTED_VALUE"""),0.0)</f>
        <v>0</v>
      </c>
      <c r="AF177" s="3">
        <f>IFERROR(__xludf.DUMMYFUNCTION("""COMPUTED_VALUE"""),0.0)</f>
        <v>0</v>
      </c>
      <c r="AG177" s="3">
        <f>IFERROR(__xludf.DUMMYFUNCTION("""COMPUTED_VALUE"""),0.0)</f>
        <v>0</v>
      </c>
      <c r="AH177" s="3">
        <f>IFERROR(__xludf.DUMMYFUNCTION("""COMPUTED_VALUE"""),0.0)</f>
        <v>0</v>
      </c>
      <c r="AI177" s="3">
        <f>IFERROR(__xludf.DUMMYFUNCTION("""COMPUTED_VALUE"""),0.0)</f>
        <v>0</v>
      </c>
      <c r="AJ177" s="3">
        <f>IFERROR(__xludf.DUMMYFUNCTION("""COMPUTED_VALUE"""),0.0)</f>
        <v>0</v>
      </c>
      <c r="AK177" s="3">
        <f>IFERROR(__xludf.DUMMYFUNCTION("""COMPUTED_VALUE"""),0.0)</f>
        <v>0</v>
      </c>
      <c r="AL177" s="3">
        <f>IFERROR(__xludf.DUMMYFUNCTION("""COMPUTED_VALUE"""),0.0)</f>
        <v>0</v>
      </c>
      <c r="AM177" s="3">
        <f>IFERROR(__xludf.DUMMYFUNCTION("""COMPUTED_VALUE"""),0.0)</f>
        <v>0</v>
      </c>
      <c r="AN177" s="3">
        <f>IFERROR(__xludf.DUMMYFUNCTION("""COMPUTED_VALUE"""),0.0)</f>
        <v>0</v>
      </c>
      <c r="AO177" s="3">
        <f>IFERROR(__xludf.DUMMYFUNCTION("""COMPUTED_VALUE"""),0.0)</f>
        <v>0</v>
      </c>
      <c r="AP177" s="3">
        <f>IFERROR(__xludf.DUMMYFUNCTION("""COMPUTED_VALUE"""),0.0)</f>
        <v>0</v>
      </c>
      <c r="AQ177" s="3">
        <f>IFERROR(__xludf.DUMMYFUNCTION("""COMPUTED_VALUE"""),0.0)</f>
        <v>0</v>
      </c>
      <c r="AR177" s="3">
        <f>IFERROR(__xludf.DUMMYFUNCTION("""COMPUTED_VALUE"""),0.0)</f>
        <v>0</v>
      </c>
      <c r="AS177" s="3">
        <f>IFERROR(__xludf.DUMMYFUNCTION("""COMPUTED_VALUE"""),0.0)</f>
        <v>0</v>
      </c>
      <c r="AT177" s="3">
        <f>IFERROR(__xludf.DUMMYFUNCTION("""COMPUTED_VALUE"""),0.0)</f>
        <v>0</v>
      </c>
      <c r="AU177" s="3">
        <f>IFERROR(__xludf.DUMMYFUNCTION("""COMPUTED_VALUE"""),0.0)</f>
        <v>0</v>
      </c>
      <c r="AV177" s="3">
        <f>IFERROR(__xludf.DUMMYFUNCTION("""COMPUTED_VALUE"""),0.0)</f>
        <v>0</v>
      </c>
      <c r="AW177" s="3">
        <f>IFERROR(__xludf.DUMMYFUNCTION("""COMPUTED_VALUE"""),0.0)</f>
        <v>0</v>
      </c>
      <c r="AX177" s="3">
        <f>IFERROR(__xludf.DUMMYFUNCTION("""COMPUTED_VALUE"""),0.0)</f>
        <v>0</v>
      </c>
      <c r="AY177" s="3">
        <f>IFERROR(__xludf.DUMMYFUNCTION("""COMPUTED_VALUE"""),0.0)</f>
        <v>0</v>
      </c>
      <c r="AZ177" s="3">
        <f>IFERROR(__xludf.DUMMYFUNCTION("""COMPUTED_VALUE"""),0.0)</f>
        <v>0</v>
      </c>
      <c r="BA177" s="3">
        <f>IFERROR(__xludf.DUMMYFUNCTION("""COMPUTED_VALUE"""),0.0)</f>
        <v>0</v>
      </c>
      <c r="BB177" s="3">
        <f>IFERROR(__xludf.DUMMYFUNCTION("""COMPUTED_VALUE"""),0.0)</f>
        <v>0</v>
      </c>
      <c r="BC177" s="3">
        <f>IFERROR(__xludf.DUMMYFUNCTION("""COMPUTED_VALUE"""),0.0)</f>
        <v>0</v>
      </c>
      <c r="BD177" s="3">
        <f>IFERROR(__xludf.DUMMYFUNCTION("""COMPUTED_VALUE"""),0.0)</f>
        <v>0</v>
      </c>
      <c r="BE177" s="3">
        <f>IFERROR(__xludf.DUMMYFUNCTION("""COMPUTED_VALUE"""),3.0)</f>
        <v>3</v>
      </c>
      <c r="BF177" s="3">
        <f>IFERROR(__xludf.DUMMYFUNCTION("""COMPUTED_VALUE"""),3.0)</f>
        <v>3</v>
      </c>
      <c r="BG177" s="3">
        <f>IFERROR(__xludf.DUMMYFUNCTION("""COMPUTED_VALUE"""),3.0)</f>
        <v>3</v>
      </c>
      <c r="BH177" s="3">
        <f>IFERROR(__xludf.DUMMYFUNCTION("""COMPUTED_VALUE"""),3.0)</f>
        <v>3</v>
      </c>
      <c r="BI177" s="3">
        <f>IFERROR(__xludf.DUMMYFUNCTION("""COMPUTED_VALUE"""),6.0)</f>
        <v>6</v>
      </c>
      <c r="BJ177" s="3">
        <f>IFERROR(__xludf.DUMMYFUNCTION("""COMPUTED_VALUE"""),7.0)</f>
        <v>7</v>
      </c>
      <c r="BK177" s="3">
        <f>IFERROR(__xludf.DUMMYFUNCTION("""COMPUTED_VALUE"""),7.0)</f>
        <v>7</v>
      </c>
      <c r="BL177" s="3">
        <f>IFERROR(__xludf.DUMMYFUNCTION("""COMPUTED_VALUE"""),7.0)</f>
        <v>7</v>
      </c>
      <c r="BM177" s="3">
        <f>IFERROR(__xludf.DUMMYFUNCTION("""COMPUTED_VALUE"""),7.0)</f>
        <v>7</v>
      </c>
      <c r="BN177" s="3">
        <f>IFERROR(__xludf.DUMMYFUNCTION("""COMPUTED_VALUE"""),10.0)</f>
        <v>10</v>
      </c>
      <c r="BO177" s="3">
        <f>IFERROR(__xludf.DUMMYFUNCTION("""COMPUTED_VALUE"""),12.0)</f>
        <v>12</v>
      </c>
      <c r="BP177" s="3">
        <f>IFERROR(__xludf.DUMMYFUNCTION("""COMPUTED_VALUE"""),14.0)</f>
        <v>14</v>
      </c>
      <c r="BQ177" s="3">
        <f>IFERROR(__xludf.DUMMYFUNCTION("""COMPUTED_VALUE"""),14.0)</f>
        <v>14</v>
      </c>
      <c r="BR177" s="3">
        <f>IFERROR(__xludf.DUMMYFUNCTION("""COMPUTED_VALUE"""),19.0)</f>
        <v>19</v>
      </c>
      <c r="BS177" s="3">
        <f>IFERROR(__xludf.DUMMYFUNCTION("""COMPUTED_VALUE"""),23.0)</f>
        <v>23</v>
      </c>
      <c r="BT177" s="3">
        <f>IFERROR(__xludf.DUMMYFUNCTION("""COMPUTED_VALUE"""),25.0)</f>
        <v>25</v>
      </c>
      <c r="BU177" s="3">
        <f>IFERROR(__xludf.DUMMYFUNCTION("""COMPUTED_VALUE"""),32.0)</f>
        <v>32</v>
      </c>
      <c r="BV177" s="3">
        <f>IFERROR(__xludf.DUMMYFUNCTION("""COMPUTED_VALUE"""),39.0)</f>
        <v>39</v>
      </c>
      <c r="BW177" s="3">
        <f>IFERROR(__xludf.DUMMYFUNCTION("""COMPUTED_VALUE"""),44.0)</f>
        <v>44</v>
      </c>
      <c r="BX177" s="3">
        <f>IFERROR(__xludf.DUMMYFUNCTION("""COMPUTED_VALUE"""),50.0)</f>
        <v>50</v>
      </c>
      <c r="BY177" s="3">
        <f>IFERROR(__xludf.DUMMYFUNCTION("""COMPUTED_VALUE"""),59.0)</f>
        <v>59</v>
      </c>
      <c r="BZ177" s="3">
        <f>IFERROR(__xludf.DUMMYFUNCTION("""COMPUTED_VALUE"""),62.0)</f>
        <v>62</v>
      </c>
      <c r="CA177" s="3">
        <f>IFERROR(__xludf.DUMMYFUNCTION("""COMPUTED_VALUE"""),71.0)</f>
        <v>71</v>
      </c>
      <c r="CB177" s="3">
        <f>IFERROR(__xludf.DUMMYFUNCTION("""COMPUTED_VALUE"""),76.0)</f>
        <v>76</v>
      </c>
    </row>
    <row r="178">
      <c r="A178" s="3" t="str">
        <f>IFERROR(__xludf.DUMMYFUNCTION("""COMPUTED_VALUE"""),"")</f>
        <v/>
      </c>
      <c r="B178" s="3" t="str">
        <f>IFERROR(__xludf.DUMMYFUNCTION("""COMPUTED_VALUE"""),"Oman")</f>
        <v>Oman</v>
      </c>
      <c r="C178" s="3">
        <f>IFERROR(__xludf.DUMMYFUNCTION("""COMPUTED_VALUE"""),21.0)</f>
        <v>21</v>
      </c>
      <c r="D178" s="3">
        <f>IFERROR(__xludf.DUMMYFUNCTION("""COMPUTED_VALUE"""),57.0)</f>
        <v>57</v>
      </c>
      <c r="E178" s="3">
        <f>IFERROR(__xludf.DUMMYFUNCTION("""COMPUTED_VALUE"""),0.0)</f>
        <v>0</v>
      </c>
      <c r="F178" s="3">
        <f>IFERROR(__xludf.DUMMYFUNCTION("""COMPUTED_VALUE"""),0.0)</f>
        <v>0</v>
      </c>
      <c r="G178" s="3">
        <f>IFERROR(__xludf.DUMMYFUNCTION("""COMPUTED_VALUE"""),0.0)</f>
        <v>0</v>
      </c>
      <c r="H178" s="3">
        <f>IFERROR(__xludf.DUMMYFUNCTION("""COMPUTED_VALUE"""),0.0)</f>
        <v>0</v>
      </c>
      <c r="I178" s="3">
        <f>IFERROR(__xludf.DUMMYFUNCTION("""COMPUTED_VALUE"""),0.0)</f>
        <v>0</v>
      </c>
      <c r="J178" s="3">
        <f>IFERROR(__xludf.DUMMYFUNCTION("""COMPUTED_VALUE"""),0.0)</f>
        <v>0</v>
      </c>
      <c r="K178" s="3">
        <f>IFERROR(__xludf.DUMMYFUNCTION("""COMPUTED_VALUE"""),0.0)</f>
        <v>0</v>
      </c>
      <c r="L178" s="3">
        <f>IFERROR(__xludf.DUMMYFUNCTION("""COMPUTED_VALUE"""),0.0)</f>
        <v>0</v>
      </c>
      <c r="M178" s="3">
        <f>IFERROR(__xludf.DUMMYFUNCTION("""COMPUTED_VALUE"""),0.0)</f>
        <v>0</v>
      </c>
      <c r="N178" s="3">
        <f>IFERROR(__xludf.DUMMYFUNCTION("""COMPUTED_VALUE"""),0.0)</f>
        <v>0</v>
      </c>
      <c r="O178" s="3">
        <f>IFERROR(__xludf.DUMMYFUNCTION("""COMPUTED_VALUE"""),0.0)</f>
        <v>0</v>
      </c>
      <c r="P178" s="3">
        <f>IFERROR(__xludf.DUMMYFUNCTION("""COMPUTED_VALUE"""),0.0)</f>
        <v>0</v>
      </c>
      <c r="Q178" s="3">
        <f>IFERROR(__xludf.DUMMYFUNCTION("""COMPUTED_VALUE"""),0.0)</f>
        <v>0</v>
      </c>
      <c r="R178" s="3">
        <f>IFERROR(__xludf.DUMMYFUNCTION("""COMPUTED_VALUE"""),0.0)</f>
        <v>0</v>
      </c>
      <c r="S178" s="3">
        <f>IFERROR(__xludf.DUMMYFUNCTION("""COMPUTED_VALUE"""),0.0)</f>
        <v>0</v>
      </c>
      <c r="T178" s="3">
        <f>IFERROR(__xludf.DUMMYFUNCTION("""COMPUTED_VALUE"""),0.0)</f>
        <v>0</v>
      </c>
      <c r="U178" s="3">
        <f>IFERROR(__xludf.DUMMYFUNCTION("""COMPUTED_VALUE"""),0.0)</f>
        <v>0</v>
      </c>
      <c r="V178" s="3">
        <f>IFERROR(__xludf.DUMMYFUNCTION("""COMPUTED_VALUE"""),0.0)</f>
        <v>0</v>
      </c>
      <c r="W178" s="3">
        <f>IFERROR(__xludf.DUMMYFUNCTION("""COMPUTED_VALUE"""),0.0)</f>
        <v>0</v>
      </c>
      <c r="X178" s="3">
        <f>IFERROR(__xludf.DUMMYFUNCTION("""COMPUTED_VALUE"""),0.0)</f>
        <v>0</v>
      </c>
      <c r="Y178" s="3">
        <f>IFERROR(__xludf.DUMMYFUNCTION("""COMPUTED_VALUE"""),0.0)</f>
        <v>0</v>
      </c>
      <c r="Z178" s="3">
        <f>IFERROR(__xludf.DUMMYFUNCTION("""COMPUTED_VALUE"""),0.0)</f>
        <v>0</v>
      </c>
      <c r="AA178" s="3">
        <f>IFERROR(__xludf.DUMMYFUNCTION("""COMPUTED_VALUE"""),0.0)</f>
        <v>0</v>
      </c>
      <c r="AB178" s="3">
        <f>IFERROR(__xludf.DUMMYFUNCTION("""COMPUTED_VALUE"""),0.0)</f>
        <v>0</v>
      </c>
      <c r="AC178" s="3">
        <f>IFERROR(__xludf.DUMMYFUNCTION("""COMPUTED_VALUE"""),0.0)</f>
        <v>0</v>
      </c>
      <c r="AD178" s="3">
        <f>IFERROR(__xludf.DUMMYFUNCTION("""COMPUTED_VALUE"""),0.0)</f>
        <v>0</v>
      </c>
      <c r="AE178" s="3">
        <f>IFERROR(__xludf.DUMMYFUNCTION("""COMPUTED_VALUE"""),0.0)</f>
        <v>0</v>
      </c>
      <c r="AF178" s="3">
        <f>IFERROR(__xludf.DUMMYFUNCTION("""COMPUTED_VALUE"""),0.0)</f>
        <v>0</v>
      </c>
      <c r="AG178" s="3">
        <f>IFERROR(__xludf.DUMMYFUNCTION("""COMPUTED_VALUE"""),0.0)</f>
        <v>0</v>
      </c>
      <c r="AH178" s="3">
        <f>IFERROR(__xludf.DUMMYFUNCTION("""COMPUTED_VALUE"""),0.0)</f>
        <v>0</v>
      </c>
      <c r="AI178" s="3">
        <f>IFERROR(__xludf.DUMMYFUNCTION("""COMPUTED_VALUE"""),0.0)</f>
        <v>0</v>
      </c>
      <c r="AJ178" s="3">
        <f>IFERROR(__xludf.DUMMYFUNCTION("""COMPUTED_VALUE"""),0.0)</f>
        <v>0</v>
      </c>
      <c r="AK178" s="3">
        <f>IFERROR(__xludf.DUMMYFUNCTION("""COMPUTED_VALUE"""),0.0)</f>
        <v>0</v>
      </c>
      <c r="AL178" s="3">
        <f>IFERROR(__xludf.DUMMYFUNCTION("""COMPUTED_VALUE"""),0.0)</f>
        <v>0</v>
      </c>
      <c r="AM178" s="3">
        <f>IFERROR(__xludf.DUMMYFUNCTION("""COMPUTED_VALUE"""),0.0)</f>
        <v>0</v>
      </c>
      <c r="AN178" s="3">
        <f>IFERROR(__xludf.DUMMYFUNCTION("""COMPUTED_VALUE"""),0.0)</f>
        <v>0</v>
      </c>
      <c r="AO178" s="3">
        <f>IFERROR(__xludf.DUMMYFUNCTION("""COMPUTED_VALUE"""),0.0)</f>
        <v>0</v>
      </c>
      <c r="AP178" s="3">
        <f>IFERROR(__xludf.DUMMYFUNCTION("""COMPUTED_VALUE"""),0.0)</f>
        <v>0</v>
      </c>
      <c r="AQ178" s="3">
        <f>IFERROR(__xludf.DUMMYFUNCTION("""COMPUTED_VALUE"""),0.0)</f>
        <v>0</v>
      </c>
      <c r="AR178" s="3">
        <f>IFERROR(__xludf.DUMMYFUNCTION("""COMPUTED_VALUE"""),0.0)</f>
        <v>0</v>
      </c>
      <c r="AS178" s="3">
        <f>IFERROR(__xludf.DUMMYFUNCTION("""COMPUTED_VALUE"""),0.0)</f>
        <v>0</v>
      </c>
      <c r="AT178" s="3">
        <f>IFERROR(__xludf.DUMMYFUNCTION("""COMPUTED_VALUE"""),0.0)</f>
        <v>0</v>
      </c>
      <c r="AU178" s="3">
        <f>IFERROR(__xludf.DUMMYFUNCTION("""COMPUTED_VALUE"""),0.0)</f>
        <v>0</v>
      </c>
      <c r="AV178" s="3">
        <f>IFERROR(__xludf.DUMMYFUNCTION("""COMPUTED_VALUE"""),0.0)</f>
        <v>0</v>
      </c>
      <c r="AW178" s="3">
        <f>IFERROR(__xludf.DUMMYFUNCTION("""COMPUTED_VALUE"""),0.0)</f>
        <v>0</v>
      </c>
      <c r="AX178" s="3">
        <f>IFERROR(__xludf.DUMMYFUNCTION("""COMPUTED_VALUE"""),0.0)</f>
        <v>0</v>
      </c>
      <c r="AY178" s="3">
        <f>IFERROR(__xludf.DUMMYFUNCTION("""COMPUTED_VALUE"""),0.0)</f>
        <v>0</v>
      </c>
      <c r="AZ178" s="3">
        <f>IFERROR(__xludf.DUMMYFUNCTION("""COMPUTED_VALUE"""),0.0)</f>
        <v>0</v>
      </c>
      <c r="BA178" s="3">
        <f>IFERROR(__xludf.DUMMYFUNCTION("""COMPUTED_VALUE"""),0.0)</f>
        <v>0</v>
      </c>
      <c r="BB178" s="3">
        <f>IFERROR(__xludf.DUMMYFUNCTION("""COMPUTED_VALUE"""),0.0)</f>
        <v>0</v>
      </c>
      <c r="BC178" s="3">
        <f>IFERROR(__xludf.DUMMYFUNCTION("""COMPUTED_VALUE"""),0.0)</f>
        <v>0</v>
      </c>
      <c r="BD178" s="3">
        <f>IFERROR(__xludf.DUMMYFUNCTION("""COMPUTED_VALUE"""),0.0)</f>
        <v>0</v>
      </c>
      <c r="BE178" s="3">
        <f>IFERROR(__xludf.DUMMYFUNCTION("""COMPUTED_VALUE"""),0.0)</f>
        <v>0</v>
      </c>
      <c r="BF178" s="3">
        <f>IFERROR(__xludf.DUMMYFUNCTION("""COMPUTED_VALUE"""),0.0)</f>
        <v>0</v>
      </c>
      <c r="BG178" s="3">
        <f>IFERROR(__xludf.DUMMYFUNCTION("""COMPUTED_VALUE"""),0.0)</f>
        <v>0</v>
      </c>
      <c r="BH178" s="3">
        <f>IFERROR(__xludf.DUMMYFUNCTION("""COMPUTED_VALUE"""),0.0)</f>
        <v>0</v>
      </c>
      <c r="BI178" s="3">
        <f>IFERROR(__xludf.DUMMYFUNCTION("""COMPUTED_VALUE"""),0.0)</f>
        <v>0</v>
      </c>
      <c r="BJ178" s="3">
        <f>IFERROR(__xludf.DUMMYFUNCTION("""COMPUTED_VALUE"""),0.0)</f>
        <v>0</v>
      </c>
      <c r="BK178" s="3">
        <f>IFERROR(__xludf.DUMMYFUNCTION("""COMPUTED_VALUE"""),0.0)</f>
        <v>0</v>
      </c>
      <c r="BL178" s="3">
        <f>IFERROR(__xludf.DUMMYFUNCTION("""COMPUTED_VALUE"""),0.0)</f>
        <v>0</v>
      </c>
      <c r="BM178" s="3">
        <f>IFERROR(__xludf.DUMMYFUNCTION("""COMPUTED_VALUE"""),0.0)</f>
        <v>0</v>
      </c>
      <c r="BN178" s="3">
        <f>IFERROR(__xludf.DUMMYFUNCTION("""COMPUTED_VALUE"""),0.0)</f>
        <v>0</v>
      </c>
      <c r="BO178" s="3">
        <f>IFERROR(__xludf.DUMMYFUNCTION("""COMPUTED_VALUE"""),0.0)</f>
        <v>0</v>
      </c>
      <c r="BP178" s="3">
        <f>IFERROR(__xludf.DUMMYFUNCTION("""COMPUTED_VALUE"""),0.0)</f>
        <v>0</v>
      </c>
      <c r="BQ178" s="3">
        <f>IFERROR(__xludf.DUMMYFUNCTION("""COMPUTED_VALUE"""),0.0)</f>
        <v>0</v>
      </c>
      <c r="BR178" s="3">
        <f>IFERROR(__xludf.DUMMYFUNCTION("""COMPUTED_VALUE"""),0.0)</f>
        <v>0</v>
      </c>
      <c r="BS178" s="3">
        <f>IFERROR(__xludf.DUMMYFUNCTION("""COMPUTED_VALUE"""),0.0)</f>
        <v>0</v>
      </c>
      <c r="BT178" s="3">
        <f>IFERROR(__xludf.DUMMYFUNCTION("""COMPUTED_VALUE"""),0.0)</f>
        <v>0</v>
      </c>
      <c r="BU178" s="3">
        <f>IFERROR(__xludf.DUMMYFUNCTION("""COMPUTED_VALUE"""),0.0)</f>
        <v>0</v>
      </c>
      <c r="BV178" s="3">
        <f>IFERROR(__xludf.DUMMYFUNCTION("""COMPUTED_VALUE"""),1.0)</f>
        <v>1</v>
      </c>
      <c r="BW178" s="3">
        <f>IFERROR(__xludf.DUMMYFUNCTION("""COMPUTED_VALUE"""),1.0)</f>
        <v>1</v>
      </c>
      <c r="BX178" s="3">
        <f>IFERROR(__xludf.DUMMYFUNCTION("""COMPUTED_VALUE"""),1.0)</f>
        <v>1</v>
      </c>
      <c r="BY178" s="3">
        <f>IFERROR(__xludf.DUMMYFUNCTION("""COMPUTED_VALUE"""),1.0)</f>
        <v>1</v>
      </c>
      <c r="BZ178" s="3">
        <f>IFERROR(__xludf.DUMMYFUNCTION("""COMPUTED_VALUE"""),2.0)</f>
        <v>2</v>
      </c>
      <c r="CA178" s="3">
        <f>IFERROR(__xludf.DUMMYFUNCTION("""COMPUTED_VALUE"""),2.0)</f>
        <v>2</v>
      </c>
      <c r="CB178" s="3">
        <f>IFERROR(__xludf.DUMMYFUNCTION("""COMPUTED_VALUE"""),2.0)</f>
        <v>2</v>
      </c>
    </row>
    <row r="179">
      <c r="A179" s="3" t="str">
        <f>IFERROR(__xludf.DUMMYFUNCTION("""COMPUTED_VALUE"""),"")</f>
        <v/>
      </c>
      <c r="B179" s="3" t="str">
        <f>IFERROR(__xludf.DUMMYFUNCTION("""COMPUTED_VALUE"""),"Pakistan")</f>
        <v>Pakistan</v>
      </c>
      <c r="C179" s="3">
        <f>IFERROR(__xludf.DUMMYFUNCTION("""COMPUTED_VALUE"""),30.3753)</f>
        <v>30.3753</v>
      </c>
      <c r="D179" s="3">
        <f>IFERROR(__xludf.DUMMYFUNCTION("""COMPUTED_VALUE"""),69.3451)</f>
        <v>69.3451</v>
      </c>
      <c r="E179" s="3">
        <f>IFERROR(__xludf.DUMMYFUNCTION("""COMPUTED_VALUE"""),0.0)</f>
        <v>0</v>
      </c>
      <c r="F179" s="3">
        <f>IFERROR(__xludf.DUMMYFUNCTION("""COMPUTED_VALUE"""),0.0)</f>
        <v>0</v>
      </c>
      <c r="G179" s="3">
        <f>IFERROR(__xludf.DUMMYFUNCTION("""COMPUTED_VALUE"""),0.0)</f>
        <v>0</v>
      </c>
      <c r="H179" s="3">
        <f>IFERROR(__xludf.DUMMYFUNCTION("""COMPUTED_VALUE"""),0.0)</f>
        <v>0</v>
      </c>
      <c r="I179" s="3">
        <f>IFERROR(__xludf.DUMMYFUNCTION("""COMPUTED_VALUE"""),0.0)</f>
        <v>0</v>
      </c>
      <c r="J179" s="3">
        <f>IFERROR(__xludf.DUMMYFUNCTION("""COMPUTED_VALUE"""),0.0)</f>
        <v>0</v>
      </c>
      <c r="K179" s="3">
        <f>IFERROR(__xludf.DUMMYFUNCTION("""COMPUTED_VALUE"""),0.0)</f>
        <v>0</v>
      </c>
      <c r="L179" s="3">
        <f>IFERROR(__xludf.DUMMYFUNCTION("""COMPUTED_VALUE"""),0.0)</f>
        <v>0</v>
      </c>
      <c r="M179" s="3">
        <f>IFERROR(__xludf.DUMMYFUNCTION("""COMPUTED_VALUE"""),0.0)</f>
        <v>0</v>
      </c>
      <c r="N179" s="3">
        <f>IFERROR(__xludf.DUMMYFUNCTION("""COMPUTED_VALUE"""),0.0)</f>
        <v>0</v>
      </c>
      <c r="O179" s="3">
        <f>IFERROR(__xludf.DUMMYFUNCTION("""COMPUTED_VALUE"""),0.0)</f>
        <v>0</v>
      </c>
      <c r="P179" s="3">
        <f>IFERROR(__xludf.DUMMYFUNCTION("""COMPUTED_VALUE"""),0.0)</f>
        <v>0</v>
      </c>
      <c r="Q179" s="3">
        <f>IFERROR(__xludf.DUMMYFUNCTION("""COMPUTED_VALUE"""),0.0)</f>
        <v>0</v>
      </c>
      <c r="R179" s="3">
        <f>IFERROR(__xludf.DUMMYFUNCTION("""COMPUTED_VALUE"""),0.0)</f>
        <v>0</v>
      </c>
      <c r="S179" s="3">
        <f>IFERROR(__xludf.DUMMYFUNCTION("""COMPUTED_VALUE"""),0.0)</f>
        <v>0</v>
      </c>
      <c r="T179" s="3">
        <f>IFERROR(__xludf.DUMMYFUNCTION("""COMPUTED_VALUE"""),0.0)</f>
        <v>0</v>
      </c>
      <c r="U179" s="3">
        <f>IFERROR(__xludf.DUMMYFUNCTION("""COMPUTED_VALUE"""),0.0)</f>
        <v>0</v>
      </c>
      <c r="V179" s="3">
        <f>IFERROR(__xludf.DUMMYFUNCTION("""COMPUTED_VALUE"""),0.0)</f>
        <v>0</v>
      </c>
      <c r="W179" s="3">
        <f>IFERROR(__xludf.DUMMYFUNCTION("""COMPUTED_VALUE"""),0.0)</f>
        <v>0</v>
      </c>
      <c r="X179" s="3">
        <f>IFERROR(__xludf.DUMMYFUNCTION("""COMPUTED_VALUE"""),0.0)</f>
        <v>0</v>
      </c>
      <c r="Y179" s="3">
        <f>IFERROR(__xludf.DUMMYFUNCTION("""COMPUTED_VALUE"""),0.0)</f>
        <v>0</v>
      </c>
      <c r="Z179" s="3">
        <f>IFERROR(__xludf.DUMMYFUNCTION("""COMPUTED_VALUE"""),0.0)</f>
        <v>0</v>
      </c>
      <c r="AA179" s="3">
        <f>IFERROR(__xludf.DUMMYFUNCTION("""COMPUTED_VALUE"""),0.0)</f>
        <v>0</v>
      </c>
      <c r="AB179" s="3">
        <f>IFERROR(__xludf.DUMMYFUNCTION("""COMPUTED_VALUE"""),0.0)</f>
        <v>0</v>
      </c>
      <c r="AC179" s="3">
        <f>IFERROR(__xludf.DUMMYFUNCTION("""COMPUTED_VALUE"""),0.0)</f>
        <v>0</v>
      </c>
      <c r="AD179" s="3">
        <f>IFERROR(__xludf.DUMMYFUNCTION("""COMPUTED_VALUE"""),0.0)</f>
        <v>0</v>
      </c>
      <c r="AE179" s="3">
        <f>IFERROR(__xludf.DUMMYFUNCTION("""COMPUTED_VALUE"""),0.0)</f>
        <v>0</v>
      </c>
      <c r="AF179" s="3">
        <f>IFERROR(__xludf.DUMMYFUNCTION("""COMPUTED_VALUE"""),0.0)</f>
        <v>0</v>
      </c>
      <c r="AG179" s="3">
        <f>IFERROR(__xludf.DUMMYFUNCTION("""COMPUTED_VALUE"""),0.0)</f>
        <v>0</v>
      </c>
      <c r="AH179" s="3">
        <f>IFERROR(__xludf.DUMMYFUNCTION("""COMPUTED_VALUE"""),0.0)</f>
        <v>0</v>
      </c>
      <c r="AI179" s="3">
        <f>IFERROR(__xludf.DUMMYFUNCTION("""COMPUTED_VALUE"""),0.0)</f>
        <v>0</v>
      </c>
      <c r="AJ179" s="3">
        <f>IFERROR(__xludf.DUMMYFUNCTION("""COMPUTED_VALUE"""),0.0)</f>
        <v>0</v>
      </c>
      <c r="AK179" s="3">
        <f>IFERROR(__xludf.DUMMYFUNCTION("""COMPUTED_VALUE"""),0.0)</f>
        <v>0</v>
      </c>
      <c r="AL179" s="3">
        <f>IFERROR(__xludf.DUMMYFUNCTION("""COMPUTED_VALUE"""),0.0)</f>
        <v>0</v>
      </c>
      <c r="AM179" s="3">
        <f>IFERROR(__xludf.DUMMYFUNCTION("""COMPUTED_VALUE"""),0.0)</f>
        <v>0</v>
      </c>
      <c r="AN179" s="3">
        <f>IFERROR(__xludf.DUMMYFUNCTION("""COMPUTED_VALUE"""),0.0)</f>
        <v>0</v>
      </c>
      <c r="AO179" s="3">
        <f>IFERROR(__xludf.DUMMYFUNCTION("""COMPUTED_VALUE"""),0.0)</f>
        <v>0</v>
      </c>
      <c r="AP179" s="3">
        <f>IFERROR(__xludf.DUMMYFUNCTION("""COMPUTED_VALUE"""),0.0)</f>
        <v>0</v>
      </c>
      <c r="AQ179" s="3">
        <f>IFERROR(__xludf.DUMMYFUNCTION("""COMPUTED_VALUE"""),0.0)</f>
        <v>0</v>
      </c>
      <c r="AR179" s="3">
        <f>IFERROR(__xludf.DUMMYFUNCTION("""COMPUTED_VALUE"""),0.0)</f>
        <v>0</v>
      </c>
      <c r="AS179" s="3">
        <f>IFERROR(__xludf.DUMMYFUNCTION("""COMPUTED_VALUE"""),0.0)</f>
        <v>0</v>
      </c>
      <c r="AT179" s="3">
        <f>IFERROR(__xludf.DUMMYFUNCTION("""COMPUTED_VALUE"""),0.0)</f>
        <v>0</v>
      </c>
      <c r="AU179" s="3">
        <f>IFERROR(__xludf.DUMMYFUNCTION("""COMPUTED_VALUE"""),0.0)</f>
        <v>0</v>
      </c>
      <c r="AV179" s="3">
        <f>IFERROR(__xludf.DUMMYFUNCTION("""COMPUTED_VALUE"""),0.0)</f>
        <v>0</v>
      </c>
      <c r="AW179" s="3">
        <f>IFERROR(__xludf.DUMMYFUNCTION("""COMPUTED_VALUE"""),0.0)</f>
        <v>0</v>
      </c>
      <c r="AX179" s="3">
        <f>IFERROR(__xludf.DUMMYFUNCTION("""COMPUTED_VALUE"""),0.0)</f>
        <v>0</v>
      </c>
      <c r="AY179" s="3">
        <f>IFERROR(__xludf.DUMMYFUNCTION("""COMPUTED_VALUE"""),0.0)</f>
        <v>0</v>
      </c>
      <c r="AZ179" s="3">
        <f>IFERROR(__xludf.DUMMYFUNCTION("""COMPUTED_VALUE"""),0.0)</f>
        <v>0</v>
      </c>
      <c r="BA179" s="3">
        <f>IFERROR(__xludf.DUMMYFUNCTION("""COMPUTED_VALUE"""),0.0)</f>
        <v>0</v>
      </c>
      <c r="BB179" s="3">
        <f>IFERROR(__xludf.DUMMYFUNCTION("""COMPUTED_VALUE"""),0.0)</f>
        <v>0</v>
      </c>
      <c r="BC179" s="3">
        <f>IFERROR(__xludf.DUMMYFUNCTION("""COMPUTED_VALUE"""),0.0)</f>
        <v>0</v>
      </c>
      <c r="BD179" s="3">
        <f>IFERROR(__xludf.DUMMYFUNCTION("""COMPUTED_VALUE"""),0.0)</f>
        <v>0</v>
      </c>
      <c r="BE179" s="3">
        <f>IFERROR(__xludf.DUMMYFUNCTION("""COMPUTED_VALUE"""),0.0)</f>
        <v>0</v>
      </c>
      <c r="BF179" s="3">
        <f>IFERROR(__xludf.DUMMYFUNCTION("""COMPUTED_VALUE"""),0.0)</f>
        <v>0</v>
      </c>
      <c r="BG179" s="3">
        <f>IFERROR(__xludf.DUMMYFUNCTION("""COMPUTED_VALUE"""),0.0)</f>
        <v>0</v>
      </c>
      <c r="BH179" s="3">
        <f>IFERROR(__xludf.DUMMYFUNCTION("""COMPUTED_VALUE"""),0.0)</f>
        <v>0</v>
      </c>
      <c r="BI179" s="3">
        <f>IFERROR(__xludf.DUMMYFUNCTION("""COMPUTED_VALUE"""),0.0)</f>
        <v>0</v>
      </c>
      <c r="BJ179" s="3">
        <f>IFERROR(__xludf.DUMMYFUNCTION("""COMPUTED_VALUE"""),2.0)</f>
        <v>2</v>
      </c>
      <c r="BK179" s="3">
        <f>IFERROR(__xludf.DUMMYFUNCTION("""COMPUTED_VALUE"""),3.0)</f>
        <v>3</v>
      </c>
      <c r="BL179" s="3">
        <f>IFERROR(__xludf.DUMMYFUNCTION("""COMPUTED_VALUE"""),3.0)</f>
        <v>3</v>
      </c>
      <c r="BM179" s="3">
        <f>IFERROR(__xludf.DUMMYFUNCTION("""COMPUTED_VALUE"""),5.0)</f>
        <v>5</v>
      </c>
      <c r="BN179" s="3">
        <f>IFERROR(__xludf.DUMMYFUNCTION("""COMPUTED_VALUE"""),6.0)</f>
        <v>6</v>
      </c>
      <c r="BO179" s="3">
        <f>IFERROR(__xludf.DUMMYFUNCTION("""COMPUTED_VALUE"""),7.0)</f>
        <v>7</v>
      </c>
      <c r="BP179" s="3">
        <f>IFERROR(__xludf.DUMMYFUNCTION("""COMPUTED_VALUE"""),8.0)</f>
        <v>8</v>
      </c>
      <c r="BQ179" s="3">
        <f>IFERROR(__xludf.DUMMYFUNCTION("""COMPUTED_VALUE"""),9.0)</f>
        <v>9</v>
      </c>
      <c r="BR179" s="3">
        <f>IFERROR(__xludf.DUMMYFUNCTION("""COMPUTED_VALUE"""),11.0)</f>
        <v>11</v>
      </c>
      <c r="BS179" s="3">
        <f>IFERROR(__xludf.DUMMYFUNCTION("""COMPUTED_VALUE"""),12.0)</f>
        <v>12</v>
      </c>
      <c r="BT179" s="3">
        <f>IFERROR(__xludf.DUMMYFUNCTION("""COMPUTED_VALUE"""),14.0)</f>
        <v>14</v>
      </c>
      <c r="BU179" s="3">
        <f>IFERROR(__xludf.DUMMYFUNCTION("""COMPUTED_VALUE"""),21.0)</f>
        <v>21</v>
      </c>
      <c r="BV179" s="3">
        <f>IFERROR(__xludf.DUMMYFUNCTION("""COMPUTED_VALUE"""),26.0)</f>
        <v>26</v>
      </c>
      <c r="BW179" s="3">
        <f>IFERROR(__xludf.DUMMYFUNCTION("""COMPUTED_VALUE"""),27.0)</f>
        <v>27</v>
      </c>
      <c r="BX179" s="3">
        <f>IFERROR(__xludf.DUMMYFUNCTION("""COMPUTED_VALUE"""),34.0)</f>
        <v>34</v>
      </c>
      <c r="BY179" s="3">
        <f>IFERROR(__xludf.DUMMYFUNCTION("""COMPUTED_VALUE"""),40.0)</f>
        <v>40</v>
      </c>
      <c r="BZ179" s="3">
        <f>IFERROR(__xludf.DUMMYFUNCTION("""COMPUTED_VALUE"""),41.0)</f>
        <v>41</v>
      </c>
      <c r="CA179" s="3">
        <f>IFERROR(__xludf.DUMMYFUNCTION("""COMPUTED_VALUE"""),47.0)</f>
        <v>47</v>
      </c>
      <c r="CB179" s="3">
        <f>IFERROR(__xludf.DUMMYFUNCTION("""COMPUTED_VALUE"""),53.0)</f>
        <v>53</v>
      </c>
    </row>
    <row r="180">
      <c r="A180" s="3" t="str">
        <f>IFERROR(__xludf.DUMMYFUNCTION("""COMPUTED_VALUE"""),"")</f>
        <v/>
      </c>
      <c r="B180" s="3" t="str">
        <f>IFERROR(__xludf.DUMMYFUNCTION("""COMPUTED_VALUE"""),"Panama")</f>
        <v>Panama</v>
      </c>
      <c r="C180" s="3">
        <f>IFERROR(__xludf.DUMMYFUNCTION("""COMPUTED_VALUE"""),8.538)</f>
        <v>8.538</v>
      </c>
      <c r="D180" s="3">
        <f>IFERROR(__xludf.DUMMYFUNCTION("""COMPUTED_VALUE"""),-80.7821)</f>
        <v>-80.7821</v>
      </c>
      <c r="E180" s="3">
        <f>IFERROR(__xludf.DUMMYFUNCTION("""COMPUTED_VALUE"""),0.0)</f>
        <v>0</v>
      </c>
      <c r="F180" s="3">
        <f>IFERROR(__xludf.DUMMYFUNCTION("""COMPUTED_VALUE"""),0.0)</f>
        <v>0</v>
      </c>
      <c r="G180" s="3">
        <f>IFERROR(__xludf.DUMMYFUNCTION("""COMPUTED_VALUE"""),0.0)</f>
        <v>0</v>
      </c>
      <c r="H180" s="3">
        <f>IFERROR(__xludf.DUMMYFUNCTION("""COMPUTED_VALUE"""),0.0)</f>
        <v>0</v>
      </c>
      <c r="I180" s="3">
        <f>IFERROR(__xludf.DUMMYFUNCTION("""COMPUTED_VALUE"""),0.0)</f>
        <v>0</v>
      </c>
      <c r="J180" s="3">
        <f>IFERROR(__xludf.DUMMYFUNCTION("""COMPUTED_VALUE"""),0.0)</f>
        <v>0</v>
      </c>
      <c r="K180" s="3">
        <f>IFERROR(__xludf.DUMMYFUNCTION("""COMPUTED_VALUE"""),0.0)</f>
        <v>0</v>
      </c>
      <c r="L180" s="3">
        <f>IFERROR(__xludf.DUMMYFUNCTION("""COMPUTED_VALUE"""),0.0)</f>
        <v>0</v>
      </c>
      <c r="M180" s="3">
        <f>IFERROR(__xludf.DUMMYFUNCTION("""COMPUTED_VALUE"""),0.0)</f>
        <v>0</v>
      </c>
      <c r="N180" s="3">
        <f>IFERROR(__xludf.DUMMYFUNCTION("""COMPUTED_VALUE"""),0.0)</f>
        <v>0</v>
      </c>
      <c r="O180" s="3">
        <f>IFERROR(__xludf.DUMMYFUNCTION("""COMPUTED_VALUE"""),0.0)</f>
        <v>0</v>
      </c>
      <c r="P180" s="3">
        <f>IFERROR(__xludf.DUMMYFUNCTION("""COMPUTED_VALUE"""),0.0)</f>
        <v>0</v>
      </c>
      <c r="Q180" s="3">
        <f>IFERROR(__xludf.DUMMYFUNCTION("""COMPUTED_VALUE"""),0.0)</f>
        <v>0</v>
      </c>
      <c r="R180" s="3">
        <f>IFERROR(__xludf.DUMMYFUNCTION("""COMPUTED_VALUE"""),0.0)</f>
        <v>0</v>
      </c>
      <c r="S180" s="3">
        <f>IFERROR(__xludf.DUMMYFUNCTION("""COMPUTED_VALUE"""),0.0)</f>
        <v>0</v>
      </c>
      <c r="T180" s="3">
        <f>IFERROR(__xludf.DUMMYFUNCTION("""COMPUTED_VALUE"""),0.0)</f>
        <v>0</v>
      </c>
      <c r="U180" s="3">
        <f>IFERROR(__xludf.DUMMYFUNCTION("""COMPUTED_VALUE"""),0.0)</f>
        <v>0</v>
      </c>
      <c r="V180" s="3">
        <f>IFERROR(__xludf.DUMMYFUNCTION("""COMPUTED_VALUE"""),0.0)</f>
        <v>0</v>
      </c>
      <c r="W180" s="3">
        <f>IFERROR(__xludf.DUMMYFUNCTION("""COMPUTED_VALUE"""),0.0)</f>
        <v>0</v>
      </c>
      <c r="X180" s="3">
        <f>IFERROR(__xludf.DUMMYFUNCTION("""COMPUTED_VALUE"""),0.0)</f>
        <v>0</v>
      </c>
      <c r="Y180" s="3">
        <f>IFERROR(__xludf.DUMMYFUNCTION("""COMPUTED_VALUE"""),0.0)</f>
        <v>0</v>
      </c>
      <c r="Z180" s="3">
        <f>IFERROR(__xludf.DUMMYFUNCTION("""COMPUTED_VALUE"""),0.0)</f>
        <v>0</v>
      </c>
      <c r="AA180" s="3">
        <f>IFERROR(__xludf.DUMMYFUNCTION("""COMPUTED_VALUE"""),0.0)</f>
        <v>0</v>
      </c>
      <c r="AB180" s="3">
        <f>IFERROR(__xludf.DUMMYFUNCTION("""COMPUTED_VALUE"""),0.0)</f>
        <v>0</v>
      </c>
      <c r="AC180" s="3">
        <f>IFERROR(__xludf.DUMMYFUNCTION("""COMPUTED_VALUE"""),0.0)</f>
        <v>0</v>
      </c>
      <c r="AD180" s="3">
        <f>IFERROR(__xludf.DUMMYFUNCTION("""COMPUTED_VALUE"""),0.0)</f>
        <v>0</v>
      </c>
      <c r="AE180" s="3">
        <f>IFERROR(__xludf.DUMMYFUNCTION("""COMPUTED_VALUE"""),0.0)</f>
        <v>0</v>
      </c>
      <c r="AF180" s="3">
        <f>IFERROR(__xludf.DUMMYFUNCTION("""COMPUTED_VALUE"""),0.0)</f>
        <v>0</v>
      </c>
      <c r="AG180" s="3">
        <f>IFERROR(__xludf.DUMMYFUNCTION("""COMPUTED_VALUE"""),0.0)</f>
        <v>0</v>
      </c>
      <c r="AH180" s="3">
        <f>IFERROR(__xludf.DUMMYFUNCTION("""COMPUTED_VALUE"""),0.0)</f>
        <v>0</v>
      </c>
      <c r="AI180" s="3">
        <f>IFERROR(__xludf.DUMMYFUNCTION("""COMPUTED_VALUE"""),0.0)</f>
        <v>0</v>
      </c>
      <c r="AJ180" s="3">
        <f>IFERROR(__xludf.DUMMYFUNCTION("""COMPUTED_VALUE"""),0.0)</f>
        <v>0</v>
      </c>
      <c r="AK180" s="3">
        <f>IFERROR(__xludf.DUMMYFUNCTION("""COMPUTED_VALUE"""),0.0)</f>
        <v>0</v>
      </c>
      <c r="AL180" s="3">
        <f>IFERROR(__xludf.DUMMYFUNCTION("""COMPUTED_VALUE"""),0.0)</f>
        <v>0</v>
      </c>
      <c r="AM180" s="3">
        <f>IFERROR(__xludf.DUMMYFUNCTION("""COMPUTED_VALUE"""),0.0)</f>
        <v>0</v>
      </c>
      <c r="AN180" s="3">
        <f>IFERROR(__xludf.DUMMYFUNCTION("""COMPUTED_VALUE"""),0.0)</f>
        <v>0</v>
      </c>
      <c r="AO180" s="3">
        <f>IFERROR(__xludf.DUMMYFUNCTION("""COMPUTED_VALUE"""),0.0)</f>
        <v>0</v>
      </c>
      <c r="AP180" s="3">
        <f>IFERROR(__xludf.DUMMYFUNCTION("""COMPUTED_VALUE"""),0.0)</f>
        <v>0</v>
      </c>
      <c r="AQ180" s="3">
        <f>IFERROR(__xludf.DUMMYFUNCTION("""COMPUTED_VALUE"""),0.0)</f>
        <v>0</v>
      </c>
      <c r="AR180" s="3">
        <f>IFERROR(__xludf.DUMMYFUNCTION("""COMPUTED_VALUE"""),0.0)</f>
        <v>0</v>
      </c>
      <c r="AS180" s="3">
        <f>IFERROR(__xludf.DUMMYFUNCTION("""COMPUTED_VALUE"""),0.0)</f>
        <v>0</v>
      </c>
      <c r="AT180" s="3">
        <f>IFERROR(__xludf.DUMMYFUNCTION("""COMPUTED_VALUE"""),0.0)</f>
        <v>0</v>
      </c>
      <c r="AU180" s="3">
        <f>IFERROR(__xludf.DUMMYFUNCTION("""COMPUTED_VALUE"""),0.0)</f>
        <v>0</v>
      </c>
      <c r="AV180" s="3">
        <f>IFERROR(__xludf.DUMMYFUNCTION("""COMPUTED_VALUE"""),0.0)</f>
        <v>0</v>
      </c>
      <c r="AW180" s="3">
        <f>IFERROR(__xludf.DUMMYFUNCTION("""COMPUTED_VALUE"""),0.0)</f>
        <v>0</v>
      </c>
      <c r="AX180" s="3">
        <f>IFERROR(__xludf.DUMMYFUNCTION("""COMPUTED_VALUE"""),0.0)</f>
        <v>0</v>
      </c>
      <c r="AY180" s="3">
        <f>IFERROR(__xludf.DUMMYFUNCTION("""COMPUTED_VALUE"""),0.0)</f>
        <v>0</v>
      </c>
      <c r="AZ180" s="3">
        <f>IFERROR(__xludf.DUMMYFUNCTION("""COMPUTED_VALUE"""),0.0)</f>
        <v>0</v>
      </c>
      <c r="BA180" s="3">
        <f>IFERROR(__xludf.DUMMYFUNCTION("""COMPUTED_VALUE"""),0.0)</f>
        <v>0</v>
      </c>
      <c r="BB180" s="3">
        <f>IFERROR(__xludf.DUMMYFUNCTION("""COMPUTED_VALUE"""),1.0)</f>
        <v>1</v>
      </c>
      <c r="BC180" s="3">
        <f>IFERROR(__xludf.DUMMYFUNCTION("""COMPUTED_VALUE"""),1.0)</f>
        <v>1</v>
      </c>
      <c r="BD180" s="3">
        <f>IFERROR(__xludf.DUMMYFUNCTION("""COMPUTED_VALUE"""),1.0)</f>
        <v>1</v>
      </c>
      <c r="BE180" s="3">
        <f>IFERROR(__xludf.DUMMYFUNCTION("""COMPUTED_VALUE"""),1.0)</f>
        <v>1</v>
      </c>
      <c r="BF180" s="3">
        <f>IFERROR(__xludf.DUMMYFUNCTION("""COMPUTED_VALUE"""),1.0)</f>
        <v>1</v>
      </c>
      <c r="BG180" s="3">
        <f>IFERROR(__xludf.DUMMYFUNCTION("""COMPUTED_VALUE"""),1.0)</f>
        <v>1</v>
      </c>
      <c r="BH180" s="3">
        <f>IFERROR(__xludf.DUMMYFUNCTION("""COMPUTED_VALUE"""),1.0)</f>
        <v>1</v>
      </c>
      <c r="BI180" s="3">
        <f>IFERROR(__xludf.DUMMYFUNCTION("""COMPUTED_VALUE"""),1.0)</f>
        <v>1</v>
      </c>
      <c r="BJ180" s="3">
        <f>IFERROR(__xludf.DUMMYFUNCTION("""COMPUTED_VALUE"""),1.0)</f>
        <v>1</v>
      </c>
      <c r="BK180" s="3">
        <f>IFERROR(__xludf.DUMMYFUNCTION("""COMPUTED_VALUE"""),1.0)</f>
        <v>1</v>
      </c>
      <c r="BL180" s="3">
        <f>IFERROR(__xludf.DUMMYFUNCTION("""COMPUTED_VALUE"""),1.0)</f>
        <v>1</v>
      </c>
      <c r="BM180" s="3">
        <f>IFERROR(__xludf.DUMMYFUNCTION("""COMPUTED_VALUE"""),3.0)</f>
        <v>3</v>
      </c>
      <c r="BN180" s="3">
        <f>IFERROR(__xludf.DUMMYFUNCTION("""COMPUTED_VALUE"""),6.0)</f>
        <v>6</v>
      </c>
      <c r="BO180" s="3">
        <f>IFERROR(__xludf.DUMMYFUNCTION("""COMPUTED_VALUE"""),6.0)</f>
        <v>6</v>
      </c>
      <c r="BP180" s="3">
        <f>IFERROR(__xludf.DUMMYFUNCTION("""COMPUTED_VALUE"""),8.0)</f>
        <v>8</v>
      </c>
      <c r="BQ180" s="3">
        <f>IFERROR(__xludf.DUMMYFUNCTION("""COMPUTED_VALUE"""),8.0)</f>
        <v>8</v>
      </c>
      <c r="BR180" s="3">
        <f>IFERROR(__xludf.DUMMYFUNCTION("""COMPUTED_VALUE"""),9.0)</f>
        <v>9</v>
      </c>
      <c r="BS180" s="3">
        <f>IFERROR(__xludf.DUMMYFUNCTION("""COMPUTED_VALUE"""),14.0)</f>
        <v>14</v>
      </c>
      <c r="BT180" s="3">
        <f>IFERROR(__xludf.DUMMYFUNCTION("""COMPUTED_VALUE"""),17.0)</f>
        <v>17</v>
      </c>
      <c r="BU180" s="3">
        <f>IFERROR(__xludf.DUMMYFUNCTION("""COMPUTED_VALUE"""),24.0)</f>
        <v>24</v>
      </c>
      <c r="BV180" s="3">
        <f>IFERROR(__xludf.DUMMYFUNCTION("""COMPUTED_VALUE"""),30.0)</f>
        <v>30</v>
      </c>
      <c r="BW180" s="3">
        <f>IFERROR(__xludf.DUMMYFUNCTION("""COMPUTED_VALUE"""),30.0)</f>
        <v>30</v>
      </c>
      <c r="BX180" s="3">
        <f>IFERROR(__xludf.DUMMYFUNCTION("""COMPUTED_VALUE"""),32.0)</f>
        <v>32</v>
      </c>
      <c r="BY180" s="3">
        <f>IFERROR(__xludf.DUMMYFUNCTION("""COMPUTED_VALUE"""),37.0)</f>
        <v>37</v>
      </c>
      <c r="BZ180" s="3">
        <f>IFERROR(__xludf.DUMMYFUNCTION("""COMPUTED_VALUE"""),41.0)</f>
        <v>41</v>
      </c>
      <c r="CA180" s="3">
        <f>IFERROR(__xludf.DUMMYFUNCTION("""COMPUTED_VALUE"""),46.0)</f>
        <v>46</v>
      </c>
      <c r="CB180" s="3">
        <f>IFERROR(__xludf.DUMMYFUNCTION("""COMPUTED_VALUE"""),54.0)</f>
        <v>54</v>
      </c>
    </row>
    <row r="181">
      <c r="A181" s="3" t="str">
        <f>IFERROR(__xludf.DUMMYFUNCTION("""COMPUTED_VALUE"""),"")</f>
        <v/>
      </c>
      <c r="B181" s="3" t="str">
        <f>IFERROR(__xludf.DUMMYFUNCTION("""COMPUTED_VALUE"""),"Papua New Guinea")</f>
        <v>Papua New Guinea</v>
      </c>
      <c r="C181" s="3">
        <f>IFERROR(__xludf.DUMMYFUNCTION("""COMPUTED_VALUE"""),-6.315)</f>
        <v>-6.315</v>
      </c>
      <c r="D181" s="3">
        <f>IFERROR(__xludf.DUMMYFUNCTION("""COMPUTED_VALUE"""),143.9555)</f>
        <v>143.9555</v>
      </c>
      <c r="E181" s="3">
        <f>IFERROR(__xludf.DUMMYFUNCTION("""COMPUTED_VALUE"""),0.0)</f>
        <v>0</v>
      </c>
      <c r="F181" s="3">
        <f>IFERROR(__xludf.DUMMYFUNCTION("""COMPUTED_VALUE"""),0.0)</f>
        <v>0</v>
      </c>
      <c r="G181" s="3">
        <f>IFERROR(__xludf.DUMMYFUNCTION("""COMPUTED_VALUE"""),0.0)</f>
        <v>0</v>
      </c>
      <c r="H181" s="3">
        <f>IFERROR(__xludf.DUMMYFUNCTION("""COMPUTED_VALUE"""),0.0)</f>
        <v>0</v>
      </c>
      <c r="I181" s="3">
        <f>IFERROR(__xludf.DUMMYFUNCTION("""COMPUTED_VALUE"""),0.0)</f>
        <v>0</v>
      </c>
      <c r="J181" s="3">
        <f>IFERROR(__xludf.DUMMYFUNCTION("""COMPUTED_VALUE"""),0.0)</f>
        <v>0</v>
      </c>
      <c r="K181" s="3">
        <f>IFERROR(__xludf.DUMMYFUNCTION("""COMPUTED_VALUE"""),0.0)</f>
        <v>0</v>
      </c>
      <c r="L181" s="3">
        <f>IFERROR(__xludf.DUMMYFUNCTION("""COMPUTED_VALUE"""),0.0)</f>
        <v>0</v>
      </c>
      <c r="M181" s="3">
        <f>IFERROR(__xludf.DUMMYFUNCTION("""COMPUTED_VALUE"""),0.0)</f>
        <v>0</v>
      </c>
      <c r="N181" s="3">
        <f>IFERROR(__xludf.DUMMYFUNCTION("""COMPUTED_VALUE"""),0.0)</f>
        <v>0</v>
      </c>
      <c r="O181" s="3">
        <f>IFERROR(__xludf.DUMMYFUNCTION("""COMPUTED_VALUE"""),0.0)</f>
        <v>0</v>
      </c>
      <c r="P181" s="3">
        <f>IFERROR(__xludf.DUMMYFUNCTION("""COMPUTED_VALUE"""),0.0)</f>
        <v>0</v>
      </c>
      <c r="Q181" s="3">
        <f>IFERROR(__xludf.DUMMYFUNCTION("""COMPUTED_VALUE"""),0.0)</f>
        <v>0</v>
      </c>
      <c r="R181" s="3">
        <f>IFERROR(__xludf.DUMMYFUNCTION("""COMPUTED_VALUE"""),0.0)</f>
        <v>0</v>
      </c>
      <c r="S181" s="3">
        <f>IFERROR(__xludf.DUMMYFUNCTION("""COMPUTED_VALUE"""),0.0)</f>
        <v>0</v>
      </c>
      <c r="T181" s="3">
        <f>IFERROR(__xludf.DUMMYFUNCTION("""COMPUTED_VALUE"""),0.0)</f>
        <v>0</v>
      </c>
      <c r="U181" s="3">
        <f>IFERROR(__xludf.DUMMYFUNCTION("""COMPUTED_VALUE"""),0.0)</f>
        <v>0</v>
      </c>
      <c r="V181" s="3">
        <f>IFERROR(__xludf.DUMMYFUNCTION("""COMPUTED_VALUE"""),0.0)</f>
        <v>0</v>
      </c>
      <c r="W181" s="3">
        <f>IFERROR(__xludf.DUMMYFUNCTION("""COMPUTED_VALUE"""),0.0)</f>
        <v>0</v>
      </c>
      <c r="X181" s="3">
        <f>IFERROR(__xludf.DUMMYFUNCTION("""COMPUTED_VALUE"""),0.0)</f>
        <v>0</v>
      </c>
      <c r="Y181" s="3">
        <f>IFERROR(__xludf.DUMMYFUNCTION("""COMPUTED_VALUE"""),0.0)</f>
        <v>0</v>
      </c>
      <c r="Z181" s="3">
        <f>IFERROR(__xludf.DUMMYFUNCTION("""COMPUTED_VALUE"""),0.0)</f>
        <v>0</v>
      </c>
      <c r="AA181" s="3">
        <f>IFERROR(__xludf.DUMMYFUNCTION("""COMPUTED_VALUE"""),0.0)</f>
        <v>0</v>
      </c>
      <c r="AB181" s="3">
        <f>IFERROR(__xludf.DUMMYFUNCTION("""COMPUTED_VALUE"""),0.0)</f>
        <v>0</v>
      </c>
      <c r="AC181" s="3">
        <f>IFERROR(__xludf.DUMMYFUNCTION("""COMPUTED_VALUE"""),0.0)</f>
        <v>0</v>
      </c>
      <c r="AD181" s="3">
        <f>IFERROR(__xludf.DUMMYFUNCTION("""COMPUTED_VALUE"""),0.0)</f>
        <v>0</v>
      </c>
      <c r="AE181" s="3">
        <f>IFERROR(__xludf.DUMMYFUNCTION("""COMPUTED_VALUE"""),0.0)</f>
        <v>0</v>
      </c>
      <c r="AF181" s="3">
        <f>IFERROR(__xludf.DUMMYFUNCTION("""COMPUTED_VALUE"""),0.0)</f>
        <v>0</v>
      </c>
      <c r="AG181" s="3">
        <f>IFERROR(__xludf.DUMMYFUNCTION("""COMPUTED_VALUE"""),0.0)</f>
        <v>0</v>
      </c>
      <c r="AH181" s="3">
        <f>IFERROR(__xludf.DUMMYFUNCTION("""COMPUTED_VALUE"""),0.0)</f>
        <v>0</v>
      </c>
      <c r="AI181" s="3">
        <f>IFERROR(__xludf.DUMMYFUNCTION("""COMPUTED_VALUE"""),0.0)</f>
        <v>0</v>
      </c>
      <c r="AJ181" s="3">
        <f>IFERROR(__xludf.DUMMYFUNCTION("""COMPUTED_VALUE"""),0.0)</f>
        <v>0</v>
      </c>
      <c r="AK181" s="3">
        <f>IFERROR(__xludf.DUMMYFUNCTION("""COMPUTED_VALUE"""),0.0)</f>
        <v>0</v>
      </c>
      <c r="AL181" s="3">
        <f>IFERROR(__xludf.DUMMYFUNCTION("""COMPUTED_VALUE"""),0.0)</f>
        <v>0</v>
      </c>
      <c r="AM181" s="3">
        <f>IFERROR(__xludf.DUMMYFUNCTION("""COMPUTED_VALUE"""),0.0)</f>
        <v>0</v>
      </c>
      <c r="AN181" s="3">
        <f>IFERROR(__xludf.DUMMYFUNCTION("""COMPUTED_VALUE"""),0.0)</f>
        <v>0</v>
      </c>
      <c r="AO181" s="3">
        <f>IFERROR(__xludf.DUMMYFUNCTION("""COMPUTED_VALUE"""),0.0)</f>
        <v>0</v>
      </c>
      <c r="AP181" s="3">
        <f>IFERROR(__xludf.DUMMYFUNCTION("""COMPUTED_VALUE"""),0.0)</f>
        <v>0</v>
      </c>
      <c r="AQ181" s="3">
        <f>IFERROR(__xludf.DUMMYFUNCTION("""COMPUTED_VALUE"""),0.0)</f>
        <v>0</v>
      </c>
      <c r="AR181" s="3">
        <f>IFERROR(__xludf.DUMMYFUNCTION("""COMPUTED_VALUE"""),0.0)</f>
        <v>0</v>
      </c>
      <c r="AS181" s="3">
        <f>IFERROR(__xludf.DUMMYFUNCTION("""COMPUTED_VALUE"""),0.0)</f>
        <v>0</v>
      </c>
      <c r="AT181" s="3">
        <f>IFERROR(__xludf.DUMMYFUNCTION("""COMPUTED_VALUE"""),0.0)</f>
        <v>0</v>
      </c>
      <c r="AU181" s="3">
        <f>IFERROR(__xludf.DUMMYFUNCTION("""COMPUTED_VALUE"""),0.0)</f>
        <v>0</v>
      </c>
      <c r="AV181" s="3">
        <f>IFERROR(__xludf.DUMMYFUNCTION("""COMPUTED_VALUE"""),0.0)</f>
        <v>0</v>
      </c>
      <c r="AW181" s="3">
        <f>IFERROR(__xludf.DUMMYFUNCTION("""COMPUTED_VALUE"""),0.0)</f>
        <v>0</v>
      </c>
      <c r="AX181" s="3">
        <f>IFERROR(__xludf.DUMMYFUNCTION("""COMPUTED_VALUE"""),0.0)</f>
        <v>0</v>
      </c>
      <c r="AY181" s="3">
        <f>IFERROR(__xludf.DUMMYFUNCTION("""COMPUTED_VALUE"""),0.0)</f>
        <v>0</v>
      </c>
      <c r="AZ181" s="3">
        <f>IFERROR(__xludf.DUMMYFUNCTION("""COMPUTED_VALUE"""),0.0)</f>
        <v>0</v>
      </c>
      <c r="BA181" s="3">
        <f>IFERROR(__xludf.DUMMYFUNCTION("""COMPUTED_VALUE"""),0.0)</f>
        <v>0</v>
      </c>
      <c r="BB181" s="3">
        <f>IFERROR(__xludf.DUMMYFUNCTION("""COMPUTED_VALUE"""),0.0)</f>
        <v>0</v>
      </c>
      <c r="BC181" s="3">
        <f>IFERROR(__xludf.DUMMYFUNCTION("""COMPUTED_VALUE"""),0.0)</f>
        <v>0</v>
      </c>
      <c r="BD181" s="3">
        <f>IFERROR(__xludf.DUMMYFUNCTION("""COMPUTED_VALUE"""),0.0)</f>
        <v>0</v>
      </c>
      <c r="BE181" s="3">
        <f>IFERROR(__xludf.DUMMYFUNCTION("""COMPUTED_VALUE"""),0.0)</f>
        <v>0</v>
      </c>
      <c r="BF181" s="3">
        <f>IFERROR(__xludf.DUMMYFUNCTION("""COMPUTED_VALUE"""),0.0)</f>
        <v>0</v>
      </c>
      <c r="BG181" s="3">
        <f>IFERROR(__xludf.DUMMYFUNCTION("""COMPUTED_VALUE"""),0.0)</f>
        <v>0</v>
      </c>
      <c r="BH181" s="3">
        <f>IFERROR(__xludf.DUMMYFUNCTION("""COMPUTED_VALUE"""),0.0)</f>
        <v>0</v>
      </c>
      <c r="BI181" s="3">
        <f>IFERROR(__xludf.DUMMYFUNCTION("""COMPUTED_VALUE"""),0.0)</f>
        <v>0</v>
      </c>
      <c r="BJ181" s="3">
        <f>IFERROR(__xludf.DUMMYFUNCTION("""COMPUTED_VALUE"""),0.0)</f>
        <v>0</v>
      </c>
      <c r="BK181" s="3">
        <f>IFERROR(__xludf.DUMMYFUNCTION("""COMPUTED_VALUE"""),0.0)</f>
        <v>0</v>
      </c>
      <c r="BL181" s="3">
        <f>IFERROR(__xludf.DUMMYFUNCTION("""COMPUTED_VALUE"""),0.0)</f>
        <v>0</v>
      </c>
      <c r="BM181" s="3">
        <f>IFERROR(__xludf.DUMMYFUNCTION("""COMPUTED_VALUE"""),0.0)</f>
        <v>0</v>
      </c>
      <c r="BN181" s="3">
        <f>IFERROR(__xludf.DUMMYFUNCTION("""COMPUTED_VALUE"""),0.0)</f>
        <v>0</v>
      </c>
      <c r="BO181" s="3">
        <f>IFERROR(__xludf.DUMMYFUNCTION("""COMPUTED_VALUE"""),0.0)</f>
        <v>0</v>
      </c>
      <c r="BP181" s="3">
        <f>IFERROR(__xludf.DUMMYFUNCTION("""COMPUTED_VALUE"""),0.0)</f>
        <v>0</v>
      </c>
      <c r="BQ181" s="3">
        <f>IFERROR(__xludf.DUMMYFUNCTION("""COMPUTED_VALUE"""),0.0)</f>
        <v>0</v>
      </c>
      <c r="BR181" s="3">
        <f>IFERROR(__xludf.DUMMYFUNCTION("""COMPUTED_VALUE"""),0.0)</f>
        <v>0</v>
      </c>
      <c r="BS181" s="3">
        <f>IFERROR(__xludf.DUMMYFUNCTION("""COMPUTED_VALUE"""),0.0)</f>
        <v>0</v>
      </c>
      <c r="BT181" s="3">
        <f>IFERROR(__xludf.DUMMYFUNCTION("""COMPUTED_VALUE"""),0.0)</f>
        <v>0</v>
      </c>
      <c r="BU181" s="3">
        <f>IFERROR(__xludf.DUMMYFUNCTION("""COMPUTED_VALUE"""),0.0)</f>
        <v>0</v>
      </c>
      <c r="BV181" s="3">
        <f>IFERROR(__xludf.DUMMYFUNCTION("""COMPUTED_VALUE"""),0.0)</f>
        <v>0</v>
      </c>
      <c r="BW181" s="3">
        <f>IFERROR(__xludf.DUMMYFUNCTION("""COMPUTED_VALUE"""),0.0)</f>
        <v>0</v>
      </c>
      <c r="BX181" s="3">
        <f>IFERROR(__xludf.DUMMYFUNCTION("""COMPUTED_VALUE"""),0.0)</f>
        <v>0</v>
      </c>
      <c r="BY181" s="3">
        <f>IFERROR(__xludf.DUMMYFUNCTION("""COMPUTED_VALUE"""),0.0)</f>
        <v>0</v>
      </c>
      <c r="BZ181" s="3">
        <f>IFERROR(__xludf.DUMMYFUNCTION("""COMPUTED_VALUE"""),0.0)</f>
        <v>0</v>
      </c>
      <c r="CA181" s="3">
        <f>IFERROR(__xludf.DUMMYFUNCTION("""COMPUTED_VALUE"""),0.0)</f>
        <v>0</v>
      </c>
      <c r="CB181" s="3">
        <f>IFERROR(__xludf.DUMMYFUNCTION("""COMPUTED_VALUE"""),0.0)</f>
        <v>0</v>
      </c>
    </row>
    <row r="182">
      <c r="A182" s="3" t="str">
        <f>IFERROR(__xludf.DUMMYFUNCTION("""COMPUTED_VALUE"""),"")</f>
        <v/>
      </c>
      <c r="B182" s="3" t="str">
        <f>IFERROR(__xludf.DUMMYFUNCTION("""COMPUTED_VALUE"""),"Paraguay")</f>
        <v>Paraguay</v>
      </c>
      <c r="C182" s="3">
        <f>IFERROR(__xludf.DUMMYFUNCTION("""COMPUTED_VALUE"""),-23.4425)</f>
        <v>-23.4425</v>
      </c>
      <c r="D182" s="3">
        <f>IFERROR(__xludf.DUMMYFUNCTION("""COMPUTED_VALUE"""),-58.4438)</f>
        <v>-58.4438</v>
      </c>
      <c r="E182" s="3">
        <f>IFERROR(__xludf.DUMMYFUNCTION("""COMPUTED_VALUE"""),0.0)</f>
        <v>0</v>
      </c>
      <c r="F182" s="3">
        <f>IFERROR(__xludf.DUMMYFUNCTION("""COMPUTED_VALUE"""),0.0)</f>
        <v>0</v>
      </c>
      <c r="G182" s="3">
        <f>IFERROR(__xludf.DUMMYFUNCTION("""COMPUTED_VALUE"""),0.0)</f>
        <v>0</v>
      </c>
      <c r="H182" s="3">
        <f>IFERROR(__xludf.DUMMYFUNCTION("""COMPUTED_VALUE"""),0.0)</f>
        <v>0</v>
      </c>
      <c r="I182" s="3">
        <f>IFERROR(__xludf.DUMMYFUNCTION("""COMPUTED_VALUE"""),0.0)</f>
        <v>0</v>
      </c>
      <c r="J182" s="3">
        <f>IFERROR(__xludf.DUMMYFUNCTION("""COMPUTED_VALUE"""),0.0)</f>
        <v>0</v>
      </c>
      <c r="K182" s="3">
        <f>IFERROR(__xludf.DUMMYFUNCTION("""COMPUTED_VALUE"""),0.0)</f>
        <v>0</v>
      </c>
      <c r="L182" s="3">
        <f>IFERROR(__xludf.DUMMYFUNCTION("""COMPUTED_VALUE"""),0.0)</f>
        <v>0</v>
      </c>
      <c r="M182" s="3">
        <f>IFERROR(__xludf.DUMMYFUNCTION("""COMPUTED_VALUE"""),0.0)</f>
        <v>0</v>
      </c>
      <c r="N182" s="3">
        <f>IFERROR(__xludf.DUMMYFUNCTION("""COMPUTED_VALUE"""),0.0)</f>
        <v>0</v>
      </c>
      <c r="O182" s="3">
        <f>IFERROR(__xludf.DUMMYFUNCTION("""COMPUTED_VALUE"""),0.0)</f>
        <v>0</v>
      </c>
      <c r="P182" s="3">
        <f>IFERROR(__xludf.DUMMYFUNCTION("""COMPUTED_VALUE"""),0.0)</f>
        <v>0</v>
      </c>
      <c r="Q182" s="3">
        <f>IFERROR(__xludf.DUMMYFUNCTION("""COMPUTED_VALUE"""),0.0)</f>
        <v>0</v>
      </c>
      <c r="R182" s="3">
        <f>IFERROR(__xludf.DUMMYFUNCTION("""COMPUTED_VALUE"""),0.0)</f>
        <v>0</v>
      </c>
      <c r="S182" s="3">
        <f>IFERROR(__xludf.DUMMYFUNCTION("""COMPUTED_VALUE"""),0.0)</f>
        <v>0</v>
      </c>
      <c r="T182" s="3">
        <f>IFERROR(__xludf.DUMMYFUNCTION("""COMPUTED_VALUE"""),0.0)</f>
        <v>0</v>
      </c>
      <c r="U182" s="3">
        <f>IFERROR(__xludf.DUMMYFUNCTION("""COMPUTED_VALUE"""),0.0)</f>
        <v>0</v>
      </c>
      <c r="V182" s="3">
        <f>IFERROR(__xludf.DUMMYFUNCTION("""COMPUTED_VALUE"""),0.0)</f>
        <v>0</v>
      </c>
      <c r="W182" s="3">
        <f>IFERROR(__xludf.DUMMYFUNCTION("""COMPUTED_VALUE"""),0.0)</f>
        <v>0</v>
      </c>
      <c r="X182" s="3">
        <f>IFERROR(__xludf.DUMMYFUNCTION("""COMPUTED_VALUE"""),0.0)</f>
        <v>0</v>
      </c>
      <c r="Y182" s="3">
        <f>IFERROR(__xludf.DUMMYFUNCTION("""COMPUTED_VALUE"""),0.0)</f>
        <v>0</v>
      </c>
      <c r="Z182" s="3">
        <f>IFERROR(__xludf.DUMMYFUNCTION("""COMPUTED_VALUE"""),0.0)</f>
        <v>0</v>
      </c>
      <c r="AA182" s="3">
        <f>IFERROR(__xludf.DUMMYFUNCTION("""COMPUTED_VALUE"""),0.0)</f>
        <v>0</v>
      </c>
      <c r="AB182" s="3">
        <f>IFERROR(__xludf.DUMMYFUNCTION("""COMPUTED_VALUE"""),0.0)</f>
        <v>0</v>
      </c>
      <c r="AC182" s="3">
        <f>IFERROR(__xludf.DUMMYFUNCTION("""COMPUTED_VALUE"""),0.0)</f>
        <v>0</v>
      </c>
      <c r="AD182" s="3">
        <f>IFERROR(__xludf.DUMMYFUNCTION("""COMPUTED_VALUE"""),0.0)</f>
        <v>0</v>
      </c>
      <c r="AE182" s="3">
        <f>IFERROR(__xludf.DUMMYFUNCTION("""COMPUTED_VALUE"""),0.0)</f>
        <v>0</v>
      </c>
      <c r="AF182" s="3">
        <f>IFERROR(__xludf.DUMMYFUNCTION("""COMPUTED_VALUE"""),0.0)</f>
        <v>0</v>
      </c>
      <c r="AG182" s="3">
        <f>IFERROR(__xludf.DUMMYFUNCTION("""COMPUTED_VALUE"""),0.0)</f>
        <v>0</v>
      </c>
      <c r="AH182" s="3">
        <f>IFERROR(__xludf.DUMMYFUNCTION("""COMPUTED_VALUE"""),0.0)</f>
        <v>0</v>
      </c>
      <c r="AI182" s="3">
        <f>IFERROR(__xludf.DUMMYFUNCTION("""COMPUTED_VALUE"""),0.0)</f>
        <v>0</v>
      </c>
      <c r="AJ182" s="3">
        <f>IFERROR(__xludf.DUMMYFUNCTION("""COMPUTED_VALUE"""),0.0)</f>
        <v>0</v>
      </c>
      <c r="AK182" s="3">
        <f>IFERROR(__xludf.DUMMYFUNCTION("""COMPUTED_VALUE"""),0.0)</f>
        <v>0</v>
      </c>
      <c r="AL182" s="3">
        <f>IFERROR(__xludf.DUMMYFUNCTION("""COMPUTED_VALUE"""),0.0)</f>
        <v>0</v>
      </c>
      <c r="AM182" s="3">
        <f>IFERROR(__xludf.DUMMYFUNCTION("""COMPUTED_VALUE"""),0.0)</f>
        <v>0</v>
      </c>
      <c r="AN182" s="3">
        <f>IFERROR(__xludf.DUMMYFUNCTION("""COMPUTED_VALUE"""),0.0)</f>
        <v>0</v>
      </c>
      <c r="AO182" s="3">
        <f>IFERROR(__xludf.DUMMYFUNCTION("""COMPUTED_VALUE"""),0.0)</f>
        <v>0</v>
      </c>
      <c r="AP182" s="3">
        <f>IFERROR(__xludf.DUMMYFUNCTION("""COMPUTED_VALUE"""),0.0)</f>
        <v>0</v>
      </c>
      <c r="AQ182" s="3">
        <f>IFERROR(__xludf.DUMMYFUNCTION("""COMPUTED_VALUE"""),0.0)</f>
        <v>0</v>
      </c>
      <c r="AR182" s="3">
        <f>IFERROR(__xludf.DUMMYFUNCTION("""COMPUTED_VALUE"""),0.0)</f>
        <v>0</v>
      </c>
      <c r="AS182" s="3">
        <f>IFERROR(__xludf.DUMMYFUNCTION("""COMPUTED_VALUE"""),0.0)</f>
        <v>0</v>
      </c>
      <c r="AT182" s="3">
        <f>IFERROR(__xludf.DUMMYFUNCTION("""COMPUTED_VALUE"""),0.0)</f>
        <v>0</v>
      </c>
      <c r="AU182" s="3">
        <f>IFERROR(__xludf.DUMMYFUNCTION("""COMPUTED_VALUE"""),0.0)</f>
        <v>0</v>
      </c>
      <c r="AV182" s="3">
        <f>IFERROR(__xludf.DUMMYFUNCTION("""COMPUTED_VALUE"""),0.0)</f>
        <v>0</v>
      </c>
      <c r="AW182" s="3">
        <f>IFERROR(__xludf.DUMMYFUNCTION("""COMPUTED_VALUE"""),0.0)</f>
        <v>0</v>
      </c>
      <c r="AX182" s="3">
        <f>IFERROR(__xludf.DUMMYFUNCTION("""COMPUTED_VALUE"""),0.0)</f>
        <v>0</v>
      </c>
      <c r="AY182" s="3">
        <f>IFERROR(__xludf.DUMMYFUNCTION("""COMPUTED_VALUE"""),0.0)</f>
        <v>0</v>
      </c>
      <c r="AZ182" s="3">
        <f>IFERROR(__xludf.DUMMYFUNCTION("""COMPUTED_VALUE"""),0.0)</f>
        <v>0</v>
      </c>
      <c r="BA182" s="3">
        <f>IFERROR(__xludf.DUMMYFUNCTION("""COMPUTED_VALUE"""),0.0)</f>
        <v>0</v>
      </c>
      <c r="BB182" s="3">
        <f>IFERROR(__xludf.DUMMYFUNCTION("""COMPUTED_VALUE"""),0.0)</f>
        <v>0</v>
      </c>
      <c r="BC182" s="3">
        <f>IFERROR(__xludf.DUMMYFUNCTION("""COMPUTED_VALUE"""),0.0)</f>
        <v>0</v>
      </c>
      <c r="BD182" s="3">
        <f>IFERROR(__xludf.DUMMYFUNCTION("""COMPUTED_VALUE"""),0.0)</f>
        <v>0</v>
      </c>
      <c r="BE182" s="3">
        <f>IFERROR(__xludf.DUMMYFUNCTION("""COMPUTED_VALUE"""),0.0)</f>
        <v>0</v>
      </c>
      <c r="BF182" s="3">
        <f>IFERROR(__xludf.DUMMYFUNCTION("""COMPUTED_VALUE"""),0.0)</f>
        <v>0</v>
      </c>
      <c r="BG182" s="3">
        <f>IFERROR(__xludf.DUMMYFUNCTION("""COMPUTED_VALUE"""),0.0)</f>
        <v>0</v>
      </c>
      <c r="BH182" s="3">
        <f>IFERROR(__xludf.DUMMYFUNCTION("""COMPUTED_VALUE"""),0.0)</f>
        <v>0</v>
      </c>
      <c r="BI182" s="3">
        <f>IFERROR(__xludf.DUMMYFUNCTION("""COMPUTED_VALUE"""),0.0)</f>
        <v>0</v>
      </c>
      <c r="BJ182" s="3">
        <f>IFERROR(__xludf.DUMMYFUNCTION("""COMPUTED_VALUE"""),0.0)</f>
        <v>0</v>
      </c>
      <c r="BK182" s="3">
        <f>IFERROR(__xludf.DUMMYFUNCTION("""COMPUTED_VALUE"""),0.0)</f>
        <v>0</v>
      </c>
      <c r="BL182" s="3">
        <f>IFERROR(__xludf.DUMMYFUNCTION("""COMPUTED_VALUE"""),1.0)</f>
        <v>1</v>
      </c>
      <c r="BM182" s="3">
        <f>IFERROR(__xludf.DUMMYFUNCTION("""COMPUTED_VALUE"""),1.0)</f>
        <v>1</v>
      </c>
      <c r="BN182" s="3">
        <f>IFERROR(__xludf.DUMMYFUNCTION("""COMPUTED_VALUE"""),1.0)</f>
        <v>1</v>
      </c>
      <c r="BO182" s="3">
        <f>IFERROR(__xludf.DUMMYFUNCTION("""COMPUTED_VALUE"""),2.0)</f>
        <v>2</v>
      </c>
      <c r="BP182" s="3">
        <f>IFERROR(__xludf.DUMMYFUNCTION("""COMPUTED_VALUE"""),3.0)</f>
        <v>3</v>
      </c>
      <c r="BQ182" s="3">
        <f>IFERROR(__xludf.DUMMYFUNCTION("""COMPUTED_VALUE"""),3.0)</f>
        <v>3</v>
      </c>
      <c r="BR182" s="3">
        <f>IFERROR(__xludf.DUMMYFUNCTION("""COMPUTED_VALUE"""),3.0)</f>
        <v>3</v>
      </c>
      <c r="BS182" s="3">
        <f>IFERROR(__xludf.DUMMYFUNCTION("""COMPUTED_VALUE"""),3.0)</f>
        <v>3</v>
      </c>
      <c r="BT182" s="3">
        <f>IFERROR(__xludf.DUMMYFUNCTION("""COMPUTED_VALUE"""),3.0)</f>
        <v>3</v>
      </c>
      <c r="BU182" s="3">
        <f>IFERROR(__xludf.DUMMYFUNCTION("""COMPUTED_VALUE"""),3.0)</f>
        <v>3</v>
      </c>
      <c r="BV182" s="3">
        <f>IFERROR(__xludf.DUMMYFUNCTION("""COMPUTED_VALUE"""),3.0)</f>
        <v>3</v>
      </c>
      <c r="BW182" s="3">
        <f>IFERROR(__xludf.DUMMYFUNCTION("""COMPUTED_VALUE"""),3.0)</f>
        <v>3</v>
      </c>
      <c r="BX182" s="3">
        <f>IFERROR(__xludf.DUMMYFUNCTION("""COMPUTED_VALUE"""),3.0)</f>
        <v>3</v>
      </c>
      <c r="BY182" s="3">
        <f>IFERROR(__xludf.DUMMYFUNCTION("""COMPUTED_VALUE"""),3.0)</f>
        <v>3</v>
      </c>
      <c r="BZ182" s="3">
        <f>IFERROR(__xludf.DUMMYFUNCTION("""COMPUTED_VALUE"""),3.0)</f>
        <v>3</v>
      </c>
      <c r="CA182" s="3">
        <f>IFERROR(__xludf.DUMMYFUNCTION("""COMPUTED_VALUE"""),3.0)</f>
        <v>3</v>
      </c>
      <c r="CB182" s="3">
        <f>IFERROR(__xludf.DUMMYFUNCTION("""COMPUTED_VALUE"""),5.0)</f>
        <v>5</v>
      </c>
    </row>
    <row r="183">
      <c r="A183" s="3" t="str">
        <f>IFERROR(__xludf.DUMMYFUNCTION("""COMPUTED_VALUE"""),"")</f>
        <v/>
      </c>
      <c r="B183" s="3" t="str">
        <f>IFERROR(__xludf.DUMMYFUNCTION("""COMPUTED_VALUE"""),"Peru")</f>
        <v>Peru</v>
      </c>
      <c r="C183" s="3">
        <f>IFERROR(__xludf.DUMMYFUNCTION("""COMPUTED_VALUE"""),-9.19)</f>
        <v>-9.19</v>
      </c>
      <c r="D183" s="3">
        <f>IFERROR(__xludf.DUMMYFUNCTION("""COMPUTED_VALUE"""),-75.0152)</f>
        <v>-75.0152</v>
      </c>
      <c r="E183" s="3">
        <f>IFERROR(__xludf.DUMMYFUNCTION("""COMPUTED_VALUE"""),0.0)</f>
        <v>0</v>
      </c>
      <c r="F183" s="3">
        <f>IFERROR(__xludf.DUMMYFUNCTION("""COMPUTED_VALUE"""),0.0)</f>
        <v>0</v>
      </c>
      <c r="G183" s="3">
        <f>IFERROR(__xludf.DUMMYFUNCTION("""COMPUTED_VALUE"""),0.0)</f>
        <v>0</v>
      </c>
      <c r="H183" s="3">
        <f>IFERROR(__xludf.DUMMYFUNCTION("""COMPUTED_VALUE"""),0.0)</f>
        <v>0</v>
      </c>
      <c r="I183" s="3">
        <f>IFERROR(__xludf.DUMMYFUNCTION("""COMPUTED_VALUE"""),0.0)</f>
        <v>0</v>
      </c>
      <c r="J183" s="3">
        <f>IFERROR(__xludf.DUMMYFUNCTION("""COMPUTED_VALUE"""),0.0)</f>
        <v>0</v>
      </c>
      <c r="K183" s="3">
        <f>IFERROR(__xludf.DUMMYFUNCTION("""COMPUTED_VALUE"""),0.0)</f>
        <v>0</v>
      </c>
      <c r="L183" s="3">
        <f>IFERROR(__xludf.DUMMYFUNCTION("""COMPUTED_VALUE"""),0.0)</f>
        <v>0</v>
      </c>
      <c r="M183" s="3">
        <f>IFERROR(__xludf.DUMMYFUNCTION("""COMPUTED_VALUE"""),0.0)</f>
        <v>0</v>
      </c>
      <c r="N183" s="3">
        <f>IFERROR(__xludf.DUMMYFUNCTION("""COMPUTED_VALUE"""),0.0)</f>
        <v>0</v>
      </c>
      <c r="O183" s="3">
        <f>IFERROR(__xludf.DUMMYFUNCTION("""COMPUTED_VALUE"""),0.0)</f>
        <v>0</v>
      </c>
      <c r="P183" s="3">
        <f>IFERROR(__xludf.DUMMYFUNCTION("""COMPUTED_VALUE"""),0.0)</f>
        <v>0</v>
      </c>
      <c r="Q183" s="3">
        <f>IFERROR(__xludf.DUMMYFUNCTION("""COMPUTED_VALUE"""),0.0)</f>
        <v>0</v>
      </c>
      <c r="R183" s="3">
        <f>IFERROR(__xludf.DUMMYFUNCTION("""COMPUTED_VALUE"""),0.0)</f>
        <v>0</v>
      </c>
      <c r="S183" s="3">
        <f>IFERROR(__xludf.DUMMYFUNCTION("""COMPUTED_VALUE"""),0.0)</f>
        <v>0</v>
      </c>
      <c r="T183" s="3">
        <f>IFERROR(__xludf.DUMMYFUNCTION("""COMPUTED_VALUE"""),0.0)</f>
        <v>0</v>
      </c>
      <c r="U183" s="3">
        <f>IFERROR(__xludf.DUMMYFUNCTION("""COMPUTED_VALUE"""),0.0)</f>
        <v>0</v>
      </c>
      <c r="V183" s="3">
        <f>IFERROR(__xludf.DUMMYFUNCTION("""COMPUTED_VALUE"""),0.0)</f>
        <v>0</v>
      </c>
      <c r="W183" s="3">
        <f>IFERROR(__xludf.DUMMYFUNCTION("""COMPUTED_VALUE"""),0.0)</f>
        <v>0</v>
      </c>
      <c r="X183" s="3">
        <f>IFERROR(__xludf.DUMMYFUNCTION("""COMPUTED_VALUE"""),0.0)</f>
        <v>0</v>
      </c>
      <c r="Y183" s="3">
        <f>IFERROR(__xludf.DUMMYFUNCTION("""COMPUTED_VALUE"""),0.0)</f>
        <v>0</v>
      </c>
      <c r="Z183" s="3">
        <f>IFERROR(__xludf.DUMMYFUNCTION("""COMPUTED_VALUE"""),0.0)</f>
        <v>0</v>
      </c>
      <c r="AA183" s="3">
        <f>IFERROR(__xludf.DUMMYFUNCTION("""COMPUTED_VALUE"""),0.0)</f>
        <v>0</v>
      </c>
      <c r="AB183" s="3">
        <f>IFERROR(__xludf.DUMMYFUNCTION("""COMPUTED_VALUE"""),0.0)</f>
        <v>0</v>
      </c>
      <c r="AC183" s="3">
        <f>IFERROR(__xludf.DUMMYFUNCTION("""COMPUTED_VALUE"""),0.0)</f>
        <v>0</v>
      </c>
      <c r="AD183" s="3">
        <f>IFERROR(__xludf.DUMMYFUNCTION("""COMPUTED_VALUE"""),0.0)</f>
        <v>0</v>
      </c>
      <c r="AE183" s="3">
        <f>IFERROR(__xludf.DUMMYFUNCTION("""COMPUTED_VALUE"""),0.0)</f>
        <v>0</v>
      </c>
      <c r="AF183" s="3">
        <f>IFERROR(__xludf.DUMMYFUNCTION("""COMPUTED_VALUE"""),0.0)</f>
        <v>0</v>
      </c>
      <c r="AG183" s="3">
        <f>IFERROR(__xludf.DUMMYFUNCTION("""COMPUTED_VALUE"""),0.0)</f>
        <v>0</v>
      </c>
      <c r="AH183" s="3">
        <f>IFERROR(__xludf.DUMMYFUNCTION("""COMPUTED_VALUE"""),0.0)</f>
        <v>0</v>
      </c>
      <c r="AI183" s="3">
        <f>IFERROR(__xludf.DUMMYFUNCTION("""COMPUTED_VALUE"""),0.0)</f>
        <v>0</v>
      </c>
      <c r="AJ183" s="3">
        <f>IFERROR(__xludf.DUMMYFUNCTION("""COMPUTED_VALUE"""),0.0)</f>
        <v>0</v>
      </c>
      <c r="AK183" s="3">
        <f>IFERROR(__xludf.DUMMYFUNCTION("""COMPUTED_VALUE"""),0.0)</f>
        <v>0</v>
      </c>
      <c r="AL183" s="3">
        <f>IFERROR(__xludf.DUMMYFUNCTION("""COMPUTED_VALUE"""),0.0)</f>
        <v>0</v>
      </c>
      <c r="AM183" s="3">
        <f>IFERROR(__xludf.DUMMYFUNCTION("""COMPUTED_VALUE"""),0.0)</f>
        <v>0</v>
      </c>
      <c r="AN183" s="3">
        <f>IFERROR(__xludf.DUMMYFUNCTION("""COMPUTED_VALUE"""),0.0)</f>
        <v>0</v>
      </c>
      <c r="AO183" s="3">
        <f>IFERROR(__xludf.DUMMYFUNCTION("""COMPUTED_VALUE"""),0.0)</f>
        <v>0</v>
      </c>
      <c r="AP183" s="3">
        <f>IFERROR(__xludf.DUMMYFUNCTION("""COMPUTED_VALUE"""),0.0)</f>
        <v>0</v>
      </c>
      <c r="AQ183" s="3">
        <f>IFERROR(__xludf.DUMMYFUNCTION("""COMPUTED_VALUE"""),0.0)</f>
        <v>0</v>
      </c>
      <c r="AR183" s="3">
        <f>IFERROR(__xludf.DUMMYFUNCTION("""COMPUTED_VALUE"""),0.0)</f>
        <v>0</v>
      </c>
      <c r="AS183" s="3">
        <f>IFERROR(__xludf.DUMMYFUNCTION("""COMPUTED_VALUE"""),0.0)</f>
        <v>0</v>
      </c>
      <c r="AT183" s="3">
        <f>IFERROR(__xludf.DUMMYFUNCTION("""COMPUTED_VALUE"""),0.0)</f>
        <v>0</v>
      </c>
      <c r="AU183" s="3">
        <f>IFERROR(__xludf.DUMMYFUNCTION("""COMPUTED_VALUE"""),0.0)</f>
        <v>0</v>
      </c>
      <c r="AV183" s="3">
        <f>IFERROR(__xludf.DUMMYFUNCTION("""COMPUTED_VALUE"""),0.0)</f>
        <v>0</v>
      </c>
      <c r="AW183" s="3">
        <f>IFERROR(__xludf.DUMMYFUNCTION("""COMPUTED_VALUE"""),0.0)</f>
        <v>0</v>
      </c>
      <c r="AX183" s="3">
        <f>IFERROR(__xludf.DUMMYFUNCTION("""COMPUTED_VALUE"""),0.0)</f>
        <v>0</v>
      </c>
      <c r="AY183" s="3">
        <f>IFERROR(__xludf.DUMMYFUNCTION("""COMPUTED_VALUE"""),0.0)</f>
        <v>0</v>
      </c>
      <c r="AZ183" s="3">
        <f>IFERROR(__xludf.DUMMYFUNCTION("""COMPUTED_VALUE"""),0.0)</f>
        <v>0</v>
      </c>
      <c r="BA183" s="3">
        <f>IFERROR(__xludf.DUMMYFUNCTION("""COMPUTED_VALUE"""),0.0)</f>
        <v>0</v>
      </c>
      <c r="BB183" s="3">
        <f>IFERROR(__xludf.DUMMYFUNCTION("""COMPUTED_VALUE"""),0.0)</f>
        <v>0</v>
      </c>
      <c r="BC183" s="3">
        <f>IFERROR(__xludf.DUMMYFUNCTION("""COMPUTED_VALUE"""),0.0)</f>
        <v>0</v>
      </c>
      <c r="BD183" s="3">
        <f>IFERROR(__xludf.DUMMYFUNCTION("""COMPUTED_VALUE"""),0.0)</f>
        <v>0</v>
      </c>
      <c r="BE183" s="3">
        <f>IFERROR(__xludf.DUMMYFUNCTION("""COMPUTED_VALUE"""),0.0)</f>
        <v>0</v>
      </c>
      <c r="BF183" s="3">
        <f>IFERROR(__xludf.DUMMYFUNCTION("""COMPUTED_VALUE"""),0.0)</f>
        <v>0</v>
      </c>
      <c r="BG183" s="3">
        <f>IFERROR(__xludf.DUMMYFUNCTION("""COMPUTED_VALUE"""),0.0)</f>
        <v>0</v>
      </c>
      <c r="BH183" s="3">
        <f>IFERROR(__xludf.DUMMYFUNCTION("""COMPUTED_VALUE"""),0.0)</f>
        <v>0</v>
      </c>
      <c r="BI183" s="3">
        <f>IFERROR(__xludf.DUMMYFUNCTION("""COMPUTED_VALUE"""),0.0)</f>
        <v>0</v>
      </c>
      <c r="BJ183" s="3">
        <f>IFERROR(__xludf.DUMMYFUNCTION("""COMPUTED_VALUE"""),0.0)</f>
        <v>0</v>
      </c>
      <c r="BK183" s="3">
        <f>IFERROR(__xludf.DUMMYFUNCTION("""COMPUTED_VALUE"""),3.0)</f>
        <v>3</v>
      </c>
      <c r="BL183" s="3">
        <f>IFERROR(__xludf.DUMMYFUNCTION("""COMPUTED_VALUE"""),5.0)</f>
        <v>5</v>
      </c>
      <c r="BM183" s="3">
        <f>IFERROR(__xludf.DUMMYFUNCTION("""COMPUTED_VALUE"""),5.0)</f>
        <v>5</v>
      </c>
      <c r="BN183" s="3">
        <f>IFERROR(__xludf.DUMMYFUNCTION("""COMPUTED_VALUE"""),5.0)</f>
        <v>5</v>
      </c>
      <c r="BO183" s="3">
        <f>IFERROR(__xludf.DUMMYFUNCTION("""COMPUTED_VALUE"""),7.0)</f>
        <v>7</v>
      </c>
      <c r="BP183" s="3">
        <f>IFERROR(__xludf.DUMMYFUNCTION("""COMPUTED_VALUE"""),9.0)</f>
        <v>9</v>
      </c>
      <c r="BQ183" s="3">
        <f>IFERROR(__xludf.DUMMYFUNCTION("""COMPUTED_VALUE"""),9.0)</f>
        <v>9</v>
      </c>
      <c r="BR183" s="3">
        <f>IFERROR(__xludf.DUMMYFUNCTION("""COMPUTED_VALUE"""),11.0)</f>
        <v>11</v>
      </c>
      <c r="BS183" s="3">
        <f>IFERROR(__xludf.DUMMYFUNCTION("""COMPUTED_VALUE"""),16.0)</f>
        <v>16</v>
      </c>
      <c r="BT183" s="3">
        <f>IFERROR(__xludf.DUMMYFUNCTION("""COMPUTED_VALUE"""),18.0)</f>
        <v>18</v>
      </c>
      <c r="BU183" s="3">
        <f>IFERROR(__xludf.DUMMYFUNCTION("""COMPUTED_VALUE"""),24.0)</f>
        <v>24</v>
      </c>
      <c r="BV183" s="3">
        <f>IFERROR(__xludf.DUMMYFUNCTION("""COMPUTED_VALUE"""),30.0)</f>
        <v>30</v>
      </c>
      <c r="BW183" s="3">
        <f>IFERROR(__xludf.DUMMYFUNCTION("""COMPUTED_VALUE"""),38.0)</f>
        <v>38</v>
      </c>
      <c r="BX183" s="3">
        <f>IFERROR(__xludf.DUMMYFUNCTION("""COMPUTED_VALUE"""),55.0)</f>
        <v>55</v>
      </c>
      <c r="BY183" s="3">
        <f>IFERROR(__xludf.DUMMYFUNCTION("""COMPUTED_VALUE"""),61.0)</f>
        <v>61</v>
      </c>
      <c r="BZ183" s="3">
        <f>IFERROR(__xludf.DUMMYFUNCTION("""COMPUTED_VALUE"""),73.0)</f>
        <v>73</v>
      </c>
      <c r="CA183" s="3">
        <f>IFERROR(__xludf.DUMMYFUNCTION("""COMPUTED_VALUE"""),83.0)</f>
        <v>83</v>
      </c>
      <c r="CB183" s="3">
        <f>IFERROR(__xludf.DUMMYFUNCTION("""COMPUTED_VALUE"""),92.0)</f>
        <v>92</v>
      </c>
    </row>
    <row r="184">
      <c r="A184" s="3" t="str">
        <f>IFERROR(__xludf.DUMMYFUNCTION("""COMPUTED_VALUE"""),"")</f>
        <v/>
      </c>
      <c r="B184" s="3" t="str">
        <f>IFERROR(__xludf.DUMMYFUNCTION("""COMPUTED_VALUE"""),"Philippines")</f>
        <v>Philippines</v>
      </c>
      <c r="C184" s="3">
        <f>IFERROR(__xludf.DUMMYFUNCTION("""COMPUTED_VALUE"""),13.0)</f>
        <v>13</v>
      </c>
      <c r="D184" s="3">
        <f>IFERROR(__xludf.DUMMYFUNCTION("""COMPUTED_VALUE"""),122.0)</f>
        <v>122</v>
      </c>
      <c r="E184" s="3">
        <f>IFERROR(__xludf.DUMMYFUNCTION("""COMPUTED_VALUE"""),0.0)</f>
        <v>0</v>
      </c>
      <c r="F184" s="3">
        <f>IFERROR(__xludf.DUMMYFUNCTION("""COMPUTED_VALUE"""),0.0)</f>
        <v>0</v>
      </c>
      <c r="G184" s="3">
        <f>IFERROR(__xludf.DUMMYFUNCTION("""COMPUTED_VALUE"""),0.0)</f>
        <v>0</v>
      </c>
      <c r="H184" s="3">
        <f>IFERROR(__xludf.DUMMYFUNCTION("""COMPUTED_VALUE"""),0.0)</f>
        <v>0</v>
      </c>
      <c r="I184" s="3">
        <f>IFERROR(__xludf.DUMMYFUNCTION("""COMPUTED_VALUE"""),0.0)</f>
        <v>0</v>
      </c>
      <c r="J184" s="3">
        <f>IFERROR(__xludf.DUMMYFUNCTION("""COMPUTED_VALUE"""),0.0)</f>
        <v>0</v>
      </c>
      <c r="K184" s="3">
        <f>IFERROR(__xludf.DUMMYFUNCTION("""COMPUTED_VALUE"""),0.0)</f>
        <v>0</v>
      </c>
      <c r="L184" s="3">
        <f>IFERROR(__xludf.DUMMYFUNCTION("""COMPUTED_VALUE"""),0.0)</f>
        <v>0</v>
      </c>
      <c r="M184" s="3">
        <f>IFERROR(__xludf.DUMMYFUNCTION("""COMPUTED_VALUE"""),0.0)</f>
        <v>0</v>
      </c>
      <c r="N184" s="3">
        <f>IFERROR(__xludf.DUMMYFUNCTION("""COMPUTED_VALUE"""),0.0)</f>
        <v>0</v>
      </c>
      <c r="O184" s="3">
        <f>IFERROR(__xludf.DUMMYFUNCTION("""COMPUTED_VALUE"""),0.0)</f>
        <v>0</v>
      </c>
      <c r="P184" s="3">
        <f>IFERROR(__xludf.DUMMYFUNCTION("""COMPUTED_VALUE"""),1.0)</f>
        <v>1</v>
      </c>
      <c r="Q184" s="3">
        <f>IFERROR(__xludf.DUMMYFUNCTION("""COMPUTED_VALUE"""),1.0)</f>
        <v>1</v>
      </c>
      <c r="R184" s="3">
        <f>IFERROR(__xludf.DUMMYFUNCTION("""COMPUTED_VALUE"""),1.0)</f>
        <v>1</v>
      </c>
      <c r="S184" s="3">
        <f>IFERROR(__xludf.DUMMYFUNCTION("""COMPUTED_VALUE"""),1.0)</f>
        <v>1</v>
      </c>
      <c r="T184" s="3">
        <f>IFERROR(__xludf.DUMMYFUNCTION("""COMPUTED_VALUE"""),1.0)</f>
        <v>1</v>
      </c>
      <c r="U184" s="3">
        <f>IFERROR(__xludf.DUMMYFUNCTION("""COMPUTED_VALUE"""),1.0)</f>
        <v>1</v>
      </c>
      <c r="V184" s="3">
        <f>IFERROR(__xludf.DUMMYFUNCTION("""COMPUTED_VALUE"""),1.0)</f>
        <v>1</v>
      </c>
      <c r="W184" s="3">
        <f>IFERROR(__xludf.DUMMYFUNCTION("""COMPUTED_VALUE"""),1.0)</f>
        <v>1</v>
      </c>
      <c r="X184" s="3">
        <f>IFERROR(__xludf.DUMMYFUNCTION("""COMPUTED_VALUE"""),1.0)</f>
        <v>1</v>
      </c>
      <c r="Y184" s="3">
        <f>IFERROR(__xludf.DUMMYFUNCTION("""COMPUTED_VALUE"""),1.0)</f>
        <v>1</v>
      </c>
      <c r="Z184" s="3">
        <f>IFERROR(__xludf.DUMMYFUNCTION("""COMPUTED_VALUE"""),1.0)</f>
        <v>1</v>
      </c>
      <c r="AA184" s="3">
        <f>IFERROR(__xludf.DUMMYFUNCTION("""COMPUTED_VALUE"""),1.0)</f>
        <v>1</v>
      </c>
      <c r="AB184" s="3">
        <f>IFERROR(__xludf.DUMMYFUNCTION("""COMPUTED_VALUE"""),1.0)</f>
        <v>1</v>
      </c>
      <c r="AC184" s="3">
        <f>IFERROR(__xludf.DUMMYFUNCTION("""COMPUTED_VALUE"""),1.0)</f>
        <v>1</v>
      </c>
      <c r="AD184" s="3">
        <f>IFERROR(__xludf.DUMMYFUNCTION("""COMPUTED_VALUE"""),1.0)</f>
        <v>1</v>
      </c>
      <c r="AE184" s="3">
        <f>IFERROR(__xludf.DUMMYFUNCTION("""COMPUTED_VALUE"""),1.0)</f>
        <v>1</v>
      </c>
      <c r="AF184" s="3">
        <f>IFERROR(__xludf.DUMMYFUNCTION("""COMPUTED_VALUE"""),1.0)</f>
        <v>1</v>
      </c>
      <c r="AG184" s="3">
        <f>IFERROR(__xludf.DUMMYFUNCTION("""COMPUTED_VALUE"""),1.0)</f>
        <v>1</v>
      </c>
      <c r="AH184" s="3">
        <f>IFERROR(__xludf.DUMMYFUNCTION("""COMPUTED_VALUE"""),1.0)</f>
        <v>1</v>
      </c>
      <c r="AI184" s="3">
        <f>IFERROR(__xludf.DUMMYFUNCTION("""COMPUTED_VALUE"""),1.0)</f>
        <v>1</v>
      </c>
      <c r="AJ184" s="3">
        <f>IFERROR(__xludf.DUMMYFUNCTION("""COMPUTED_VALUE"""),1.0)</f>
        <v>1</v>
      </c>
      <c r="AK184" s="3">
        <f>IFERROR(__xludf.DUMMYFUNCTION("""COMPUTED_VALUE"""),1.0)</f>
        <v>1</v>
      </c>
      <c r="AL184" s="3">
        <f>IFERROR(__xludf.DUMMYFUNCTION("""COMPUTED_VALUE"""),1.0)</f>
        <v>1</v>
      </c>
      <c r="AM184" s="3">
        <f>IFERROR(__xludf.DUMMYFUNCTION("""COMPUTED_VALUE"""),1.0)</f>
        <v>1</v>
      </c>
      <c r="AN184" s="3">
        <f>IFERROR(__xludf.DUMMYFUNCTION("""COMPUTED_VALUE"""),1.0)</f>
        <v>1</v>
      </c>
      <c r="AO184" s="3">
        <f>IFERROR(__xludf.DUMMYFUNCTION("""COMPUTED_VALUE"""),1.0)</f>
        <v>1</v>
      </c>
      <c r="AP184" s="3">
        <f>IFERROR(__xludf.DUMMYFUNCTION("""COMPUTED_VALUE"""),1.0)</f>
        <v>1</v>
      </c>
      <c r="AQ184" s="3">
        <f>IFERROR(__xludf.DUMMYFUNCTION("""COMPUTED_VALUE"""),1.0)</f>
        <v>1</v>
      </c>
      <c r="AR184" s="3">
        <f>IFERROR(__xludf.DUMMYFUNCTION("""COMPUTED_VALUE"""),1.0)</f>
        <v>1</v>
      </c>
      <c r="AS184" s="3">
        <f>IFERROR(__xludf.DUMMYFUNCTION("""COMPUTED_VALUE"""),1.0)</f>
        <v>1</v>
      </c>
      <c r="AT184" s="3">
        <f>IFERROR(__xludf.DUMMYFUNCTION("""COMPUTED_VALUE"""),1.0)</f>
        <v>1</v>
      </c>
      <c r="AU184" s="3">
        <f>IFERROR(__xludf.DUMMYFUNCTION("""COMPUTED_VALUE"""),1.0)</f>
        <v>1</v>
      </c>
      <c r="AV184" s="3">
        <f>IFERROR(__xludf.DUMMYFUNCTION("""COMPUTED_VALUE"""),1.0)</f>
        <v>1</v>
      </c>
      <c r="AW184" s="3">
        <f>IFERROR(__xludf.DUMMYFUNCTION("""COMPUTED_VALUE"""),1.0)</f>
        <v>1</v>
      </c>
      <c r="AX184" s="3">
        <f>IFERROR(__xludf.DUMMYFUNCTION("""COMPUTED_VALUE"""),1.0)</f>
        <v>1</v>
      </c>
      <c r="AY184" s="3">
        <f>IFERROR(__xludf.DUMMYFUNCTION("""COMPUTED_VALUE"""),1.0)</f>
        <v>1</v>
      </c>
      <c r="AZ184" s="3">
        <f>IFERROR(__xludf.DUMMYFUNCTION("""COMPUTED_VALUE"""),1.0)</f>
        <v>1</v>
      </c>
      <c r="BA184" s="3">
        <f>IFERROR(__xludf.DUMMYFUNCTION("""COMPUTED_VALUE"""),1.0)</f>
        <v>1</v>
      </c>
      <c r="BB184" s="3">
        <f>IFERROR(__xludf.DUMMYFUNCTION("""COMPUTED_VALUE"""),1.0)</f>
        <v>1</v>
      </c>
      <c r="BC184" s="3">
        <f>IFERROR(__xludf.DUMMYFUNCTION("""COMPUTED_VALUE"""),2.0)</f>
        <v>2</v>
      </c>
      <c r="BD184" s="3">
        <f>IFERROR(__xludf.DUMMYFUNCTION("""COMPUTED_VALUE"""),5.0)</f>
        <v>5</v>
      </c>
      <c r="BE184" s="3">
        <f>IFERROR(__xludf.DUMMYFUNCTION("""COMPUTED_VALUE"""),8.0)</f>
        <v>8</v>
      </c>
      <c r="BF184" s="3">
        <f>IFERROR(__xludf.DUMMYFUNCTION("""COMPUTED_VALUE"""),11.0)</f>
        <v>11</v>
      </c>
      <c r="BG184" s="3">
        <f>IFERROR(__xludf.DUMMYFUNCTION("""COMPUTED_VALUE"""),12.0)</f>
        <v>12</v>
      </c>
      <c r="BH184" s="3">
        <f>IFERROR(__xludf.DUMMYFUNCTION("""COMPUTED_VALUE"""),12.0)</f>
        <v>12</v>
      </c>
      <c r="BI184" s="3">
        <f>IFERROR(__xludf.DUMMYFUNCTION("""COMPUTED_VALUE"""),19.0)</f>
        <v>19</v>
      </c>
      <c r="BJ184" s="3">
        <f>IFERROR(__xludf.DUMMYFUNCTION("""COMPUTED_VALUE"""),17.0)</f>
        <v>17</v>
      </c>
      <c r="BK184" s="3">
        <f>IFERROR(__xludf.DUMMYFUNCTION("""COMPUTED_VALUE"""),18.0)</f>
        <v>18</v>
      </c>
      <c r="BL184" s="3">
        <f>IFERROR(__xludf.DUMMYFUNCTION("""COMPUTED_VALUE"""),19.0)</f>
        <v>19</v>
      </c>
      <c r="BM184" s="3">
        <f>IFERROR(__xludf.DUMMYFUNCTION("""COMPUTED_VALUE"""),25.0)</f>
        <v>25</v>
      </c>
      <c r="BN184" s="3">
        <f>IFERROR(__xludf.DUMMYFUNCTION("""COMPUTED_VALUE"""),33.0)</f>
        <v>33</v>
      </c>
      <c r="BO184" s="3">
        <f>IFERROR(__xludf.DUMMYFUNCTION("""COMPUTED_VALUE"""),35.0)</f>
        <v>35</v>
      </c>
      <c r="BP184" s="3">
        <f>IFERROR(__xludf.DUMMYFUNCTION("""COMPUTED_VALUE"""),38.0)</f>
        <v>38</v>
      </c>
      <c r="BQ184" s="3">
        <f>IFERROR(__xludf.DUMMYFUNCTION("""COMPUTED_VALUE"""),45.0)</f>
        <v>45</v>
      </c>
      <c r="BR184" s="3">
        <f>IFERROR(__xludf.DUMMYFUNCTION("""COMPUTED_VALUE"""),54.0)</f>
        <v>54</v>
      </c>
      <c r="BS184" s="3">
        <f>IFERROR(__xludf.DUMMYFUNCTION("""COMPUTED_VALUE"""),68.0)</f>
        <v>68</v>
      </c>
      <c r="BT184" s="3">
        <f>IFERROR(__xludf.DUMMYFUNCTION("""COMPUTED_VALUE"""),71.0)</f>
        <v>71</v>
      </c>
      <c r="BU184" s="3">
        <f>IFERROR(__xludf.DUMMYFUNCTION("""COMPUTED_VALUE"""),78.0)</f>
        <v>78</v>
      </c>
      <c r="BV184" s="3">
        <f>IFERROR(__xludf.DUMMYFUNCTION("""COMPUTED_VALUE"""),88.0)</f>
        <v>88</v>
      </c>
      <c r="BW184" s="3">
        <f>IFERROR(__xludf.DUMMYFUNCTION("""COMPUTED_VALUE"""),96.0)</f>
        <v>96</v>
      </c>
      <c r="BX184" s="3">
        <f>IFERROR(__xludf.DUMMYFUNCTION("""COMPUTED_VALUE"""),107.0)</f>
        <v>107</v>
      </c>
      <c r="BY184" s="3">
        <f>IFERROR(__xludf.DUMMYFUNCTION("""COMPUTED_VALUE"""),136.0)</f>
        <v>136</v>
      </c>
      <c r="BZ184" s="3">
        <f>IFERROR(__xludf.DUMMYFUNCTION("""COMPUTED_VALUE"""),144.0)</f>
        <v>144</v>
      </c>
      <c r="CA184" s="3">
        <f>IFERROR(__xludf.DUMMYFUNCTION("""COMPUTED_VALUE"""),152.0)</f>
        <v>152</v>
      </c>
      <c r="CB184" s="3">
        <f>IFERROR(__xludf.DUMMYFUNCTION("""COMPUTED_VALUE"""),163.0)</f>
        <v>163</v>
      </c>
    </row>
    <row r="185">
      <c r="A185" s="3" t="str">
        <f>IFERROR(__xludf.DUMMYFUNCTION("""COMPUTED_VALUE"""),"")</f>
        <v/>
      </c>
      <c r="B185" s="3" t="str">
        <f>IFERROR(__xludf.DUMMYFUNCTION("""COMPUTED_VALUE"""),"Poland")</f>
        <v>Poland</v>
      </c>
      <c r="C185" s="3">
        <f>IFERROR(__xludf.DUMMYFUNCTION("""COMPUTED_VALUE"""),51.9194)</f>
        <v>51.9194</v>
      </c>
      <c r="D185" s="3">
        <f>IFERROR(__xludf.DUMMYFUNCTION("""COMPUTED_VALUE"""),19.1451)</f>
        <v>19.1451</v>
      </c>
      <c r="E185" s="3">
        <f>IFERROR(__xludf.DUMMYFUNCTION("""COMPUTED_VALUE"""),0.0)</f>
        <v>0</v>
      </c>
      <c r="F185" s="3">
        <f>IFERROR(__xludf.DUMMYFUNCTION("""COMPUTED_VALUE"""),0.0)</f>
        <v>0</v>
      </c>
      <c r="G185" s="3">
        <f>IFERROR(__xludf.DUMMYFUNCTION("""COMPUTED_VALUE"""),0.0)</f>
        <v>0</v>
      </c>
      <c r="H185" s="3">
        <f>IFERROR(__xludf.DUMMYFUNCTION("""COMPUTED_VALUE"""),0.0)</f>
        <v>0</v>
      </c>
      <c r="I185" s="3">
        <f>IFERROR(__xludf.DUMMYFUNCTION("""COMPUTED_VALUE"""),0.0)</f>
        <v>0</v>
      </c>
      <c r="J185" s="3">
        <f>IFERROR(__xludf.DUMMYFUNCTION("""COMPUTED_VALUE"""),0.0)</f>
        <v>0</v>
      </c>
      <c r="K185" s="3">
        <f>IFERROR(__xludf.DUMMYFUNCTION("""COMPUTED_VALUE"""),0.0)</f>
        <v>0</v>
      </c>
      <c r="L185" s="3">
        <f>IFERROR(__xludf.DUMMYFUNCTION("""COMPUTED_VALUE"""),0.0)</f>
        <v>0</v>
      </c>
      <c r="M185" s="3">
        <f>IFERROR(__xludf.DUMMYFUNCTION("""COMPUTED_VALUE"""),0.0)</f>
        <v>0</v>
      </c>
      <c r="N185" s="3">
        <f>IFERROR(__xludf.DUMMYFUNCTION("""COMPUTED_VALUE"""),0.0)</f>
        <v>0</v>
      </c>
      <c r="O185" s="3">
        <f>IFERROR(__xludf.DUMMYFUNCTION("""COMPUTED_VALUE"""),0.0)</f>
        <v>0</v>
      </c>
      <c r="P185" s="3">
        <f>IFERROR(__xludf.DUMMYFUNCTION("""COMPUTED_VALUE"""),0.0)</f>
        <v>0</v>
      </c>
      <c r="Q185" s="3">
        <f>IFERROR(__xludf.DUMMYFUNCTION("""COMPUTED_VALUE"""),0.0)</f>
        <v>0</v>
      </c>
      <c r="R185" s="3">
        <f>IFERROR(__xludf.DUMMYFUNCTION("""COMPUTED_VALUE"""),0.0)</f>
        <v>0</v>
      </c>
      <c r="S185" s="3">
        <f>IFERROR(__xludf.DUMMYFUNCTION("""COMPUTED_VALUE"""),0.0)</f>
        <v>0</v>
      </c>
      <c r="T185" s="3">
        <f>IFERROR(__xludf.DUMMYFUNCTION("""COMPUTED_VALUE"""),0.0)</f>
        <v>0</v>
      </c>
      <c r="U185" s="3">
        <f>IFERROR(__xludf.DUMMYFUNCTION("""COMPUTED_VALUE"""),0.0)</f>
        <v>0</v>
      </c>
      <c r="V185" s="3">
        <f>IFERROR(__xludf.DUMMYFUNCTION("""COMPUTED_VALUE"""),0.0)</f>
        <v>0</v>
      </c>
      <c r="W185" s="3">
        <f>IFERROR(__xludf.DUMMYFUNCTION("""COMPUTED_VALUE"""),0.0)</f>
        <v>0</v>
      </c>
      <c r="X185" s="3">
        <f>IFERROR(__xludf.DUMMYFUNCTION("""COMPUTED_VALUE"""),0.0)</f>
        <v>0</v>
      </c>
      <c r="Y185" s="3">
        <f>IFERROR(__xludf.DUMMYFUNCTION("""COMPUTED_VALUE"""),0.0)</f>
        <v>0</v>
      </c>
      <c r="Z185" s="3">
        <f>IFERROR(__xludf.DUMMYFUNCTION("""COMPUTED_VALUE"""),0.0)</f>
        <v>0</v>
      </c>
      <c r="AA185" s="3">
        <f>IFERROR(__xludf.DUMMYFUNCTION("""COMPUTED_VALUE"""),0.0)</f>
        <v>0</v>
      </c>
      <c r="AB185" s="3">
        <f>IFERROR(__xludf.DUMMYFUNCTION("""COMPUTED_VALUE"""),0.0)</f>
        <v>0</v>
      </c>
      <c r="AC185" s="3">
        <f>IFERROR(__xludf.DUMMYFUNCTION("""COMPUTED_VALUE"""),0.0)</f>
        <v>0</v>
      </c>
      <c r="AD185" s="3">
        <f>IFERROR(__xludf.DUMMYFUNCTION("""COMPUTED_VALUE"""),0.0)</f>
        <v>0</v>
      </c>
      <c r="AE185" s="3">
        <f>IFERROR(__xludf.DUMMYFUNCTION("""COMPUTED_VALUE"""),0.0)</f>
        <v>0</v>
      </c>
      <c r="AF185" s="3">
        <f>IFERROR(__xludf.DUMMYFUNCTION("""COMPUTED_VALUE"""),0.0)</f>
        <v>0</v>
      </c>
      <c r="AG185" s="3">
        <f>IFERROR(__xludf.DUMMYFUNCTION("""COMPUTED_VALUE"""),0.0)</f>
        <v>0</v>
      </c>
      <c r="AH185" s="3">
        <f>IFERROR(__xludf.DUMMYFUNCTION("""COMPUTED_VALUE"""),0.0)</f>
        <v>0</v>
      </c>
      <c r="AI185" s="3">
        <f>IFERROR(__xludf.DUMMYFUNCTION("""COMPUTED_VALUE"""),0.0)</f>
        <v>0</v>
      </c>
      <c r="AJ185" s="3">
        <f>IFERROR(__xludf.DUMMYFUNCTION("""COMPUTED_VALUE"""),0.0)</f>
        <v>0</v>
      </c>
      <c r="AK185" s="3">
        <f>IFERROR(__xludf.DUMMYFUNCTION("""COMPUTED_VALUE"""),0.0)</f>
        <v>0</v>
      </c>
      <c r="AL185" s="3">
        <f>IFERROR(__xludf.DUMMYFUNCTION("""COMPUTED_VALUE"""),0.0)</f>
        <v>0</v>
      </c>
      <c r="AM185" s="3">
        <f>IFERROR(__xludf.DUMMYFUNCTION("""COMPUTED_VALUE"""),0.0)</f>
        <v>0</v>
      </c>
      <c r="AN185" s="3">
        <f>IFERROR(__xludf.DUMMYFUNCTION("""COMPUTED_VALUE"""),0.0)</f>
        <v>0</v>
      </c>
      <c r="AO185" s="3">
        <f>IFERROR(__xludf.DUMMYFUNCTION("""COMPUTED_VALUE"""),0.0)</f>
        <v>0</v>
      </c>
      <c r="AP185" s="3">
        <f>IFERROR(__xludf.DUMMYFUNCTION("""COMPUTED_VALUE"""),0.0)</f>
        <v>0</v>
      </c>
      <c r="AQ185" s="3">
        <f>IFERROR(__xludf.DUMMYFUNCTION("""COMPUTED_VALUE"""),0.0)</f>
        <v>0</v>
      </c>
      <c r="AR185" s="3">
        <f>IFERROR(__xludf.DUMMYFUNCTION("""COMPUTED_VALUE"""),0.0)</f>
        <v>0</v>
      </c>
      <c r="AS185" s="3">
        <f>IFERROR(__xludf.DUMMYFUNCTION("""COMPUTED_VALUE"""),0.0)</f>
        <v>0</v>
      </c>
      <c r="AT185" s="3">
        <f>IFERROR(__xludf.DUMMYFUNCTION("""COMPUTED_VALUE"""),0.0)</f>
        <v>0</v>
      </c>
      <c r="AU185" s="3">
        <f>IFERROR(__xludf.DUMMYFUNCTION("""COMPUTED_VALUE"""),0.0)</f>
        <v>0</v>
      </c>
      <c r="AV185" s="3">
        <f>IFERROR(__xludf.DUMMYFUNCTION("""COMPUTED_VALUE"""),0.0)</f>
        <v>0</v>
      </c>
      <c r="AW185" s="3">
        <f>IFERROR(__xludf.DUMMYFUNCTION("""COMPUTED_VALUE"""),0.0)</f>
        <v>0</v>
      </c>
      <c r="AX185" s="3">
        <f>IFERROR(__xludf.DUMMYFUNCTION("""COMPUTED_VALUE"""),0.0)</f>
        <v>0</v>
      </c>
      <c r="AY185" s="3">
        <f>IFERROR(__xludf.DUMMYFUNCTION("""COMPUTED_VALUE"""),0.0)</f>
        <v>0</v>
      </c>
      <c r="AZ185" s="3">
        <f>IFERROR(__xludf.DUMMYFUNCTION("""COMPUTED_VALUE"""),0.0)</f>
        <v>0</v>
      </c>
      <c r="BA185" s="3">
        <f>IFERROR(__xludf.DUMMYFUNCTION("""COMPUTED_VALUE"""),0.0)</f>
        <v>0</v>
      </c>
      <c r="BB185" s="3">
        <f>IFERROR(__xludf.DUMMYFUNCTION("""COMPUTED_VALUE"""),0.0)</f>
        <v>0</v>
      </c>
      <c r="BC185" s="3">
        <f>IFERROR(__xludf.DUMMYFUNCTION("""COMPUTED_VALUE"""),1.0)</f>
        <v>1</v>
      </c>
      <c r="BD185" s="3">
        <f>IFERROR(__xludf.DUMMYFUNCTION("""COMPUTED_VALUE"""),2.0)</f>
        <v>2</v>
      </c>
      <c r="BE185" s="3">
        <f>IFERROR(__xludf.DUMMYFUNCTION("""COMPUTED_VALUE"""),3.0)</f>
        <v>3</v>
      </c>
      <c r="BF185" s="3">
        <f>IFERROR(__xludf.DUMMYFUNCTION("""COMPUTED_VALUE"""),3.0)</f>
        <v>3</v>
      </c>
      <c r="BG185" s="3">
        <f>IFERROR(__xludf.DUMMYFUNCTION("""COMPUTED_VALUE"""),4.0)</f>
        <v>4</v>
      </c>
      <c r="BH185" s="3">
        <f>IFERROR(__xludf.DUMMYFUNCTION("""COMPUTED_VALUE"""),5.0)</f>
        <v>5</v>
      </c>
      <c r="BI185" s="3">
        <f>IFERROR(__xludf.DUMMYFUNCTION("""COMPUTED_VALUE"""),5.0)</f>
        <v>5</v>
      </c>
      <c r="BJ185" s="3">
        <f>IFERROR(__xludf.DUMMYFUNCTION("""COMPUTED_VALUE"""),5.0)</f>
        <v>5</v>
      </c>
      <c r="BK185" s="3">
        <f>IFERROR(__xludf.DUMMYFUNCTION("""COMPUTED_VALUE"""),5.0)</f>
        <v>5</v>
      </c>
      <c r="BL185" s="3">
        <f>IFERROR(__xludf.DUMMYFUNCTION("""COMPUTED_VALUE"""),5.0)</f>
        <v>5</v>
      </c>
      <c r="BM185" s="3">
        <f>IFERROR(__xludf.DUMMYFUNCTION("""COMPUTED_VALUE"""),7.0)</f>
        <v>7</v>
      </c>
      <c r="BN185" s="3">
        <f>IFERROR(__xludf.DUMMYFUNCTION("""COMPUTED_VALUE"""),8.0)</f>
        <v>8</v>
      </c>
      <c r="BO185" s="3">
        <f>IFERROR(__xludf.DUMMYFUNCTION("""COMPUTED_VALUE"""),10.0)</f>
        <v>10</v>
      </c>
      <c r="BP185" s="3">
        <f>IFERROR(__xludf.DUMMYFUNCTION("""COMPUTED_VALUE"""),14.0)</f>
        <v>14</v>
      </c>
      <c r="BQ185" s="3">
        <f>IFERROR(__xludf.DUMMYFUNCTION("""COMPUTED_VALUE"""),16.0)</f>
        <v>16</v>
      </c>
      <c r="BR185" s="3">
        <f>IFERROR(__xludf.DUMMYFUNCTION("""COMPUTED_VALUE"""),16.0)</f>
        <v>16</v>
      </c>
      <c r="BS185" s="3">
        <f>IFERROR(__xludf.DUMMYFUNCTION("""COMPUTED_VALUE"""),18.0)</f>
        <v>18</v>
      </c>
      <c r="BT185" s="3">
        <f>IFERROR(__xludf.DUMMYFUNCTION("""COMPUTED_VALUE"""),22.0)</f>
        <v>22</v>
      </c>
      <c r="BU185" s="3">
        <f>IFERROR(__xludf.DUMMYFUNCTION("""COMPUTED_VALUE"""),31.0)</f>
        <v>31</v>
      </c>
      <c r="BV185" s="3">
        <f>IFERROR(__xludf.DUMMYFUNCTION("""COMPUTED_VALUE"""),33.0)</f>
        <v>33</v>
      </c>
      <c r="BW185" s="3">
        <f>IFERROR(__xludf.DUMMYFUNCTION("""COMPUTED_VALUE"""),43.0)</f>
        <v>43</v>
      </c>
      <c r="BX185" s="3">
        <f>IFERROR(__xludf.DUMMYFUNCTION("""COMPUTED_VALUE"""),57.0)</f>
        <v>57</v>
      </c>
      <c r="BY185" s="3">
        <f>IFERROR(__xludf.DUMMYFUNCTION("""COMPUTED_VALUE"""),71.0)</f>
        <v>71</v>
      </c>
      <c r="BZ185" s="3">
        <f>IFERROR(__xludf.DUMMYFUNCTION("""COMPUTED_VALUE"""),79.0)</f>
        <v>79</v>
      </c>
      <c r="CA185" s="3">
        <f>IFERROR(__xludf.DUMMYFUNCTION("""COMPUTED_VALUE"""),94.0)</f>
        <v>94</v>
      </c>
      <c r="CB185" s="3">
        <f>IFERROR(__xludf.DUMMYFUNCTION("""COMPUTED_VALUE"""),107.0)</f>
        <v>107</v>
      </c>
    </row>
    <row r="186">
      <c r="A186" s="3" t="str">
        <f>IFERROR(__xludf.DUMMYFUNCTION("""COMPUTED_VALUE"""),"")</f>
        <v/>
      </c>
      <c r="B186" s="3" t="str">
        <f>IFERROR(__xludf.DUMMYFUNCTION("""COMPUTED_VALUE"""),"Portugal")</f>
        <v>Portugal</v>
      </c>
      <c r="C186" s="3">
        <f>IFERROR(__xludf.DUMMYFUNCTION("""COMPUTED_VALUE"""),39.3999)</f>
        <v>39.3999</v>
      </c>
      <c r="D186" s="3">
        <f>IFERROR(__xludf.DUMMYFUNCTION("""COMPUTED_VALUE"""),-8.2245)</f>
        <v>-8.2245</v>
      </c>
      <c r="E186" s="3">
        <f>IFERROR(__xludf.DUMMYFUNCTION("""COMPUTED_VALUE"""),0.0)</f>
        <v>0</v>
      </c>
      <c r="F186" s="3">
        <f>IFERROR(__xludf.DUMMYFUNCTION("""COMPUTED_VALUE"""),0.0)</f>
        <v>0</v>
      </c>
      <c r="G186" s="3">
        <f>IFERROR(__xludf.DUMMYFUNCTION("""COMPUTED_VALUE"""),0.0)</f>
        <v>0</v>
      </c>
      <c r="H186" s="3">
        <f>IFERROR(__xludf.DUMMYFUNCTION("""COMPUTED_VALUE"""),0.0)</f>
        <v>0</v>
      </c>
      <c r="I186" s="3">
        <f>IFERROR(__xludf.DUMMYFUNCTION("""COMPUTED_VALUE"""),0.0)</f>
        <v>0</v>
      </c>
      <c r="J186" s="3">
        <f>IFERROR(__xludf.DUMMYFUNCTION("""COMPUTED_VALUE"""),0.0)</f>
        <v>0</v>
      </c>
      <c r="K186" s="3">
        <f>IFERROR(__xludf.DUMMYFUNCTION("""COMPUTED_VALUE"""),0.0)</f>
        <v>0</v>
      </c>
      <c r="L186" s="3">
        <f>IFERROR(__xludf.DUMMYFUNCTION("""COMPUTED_VALUE"""),0.0)</f>
        <v>0</v>
      </c>
      <c r="M186" s="3">
        <f>IFERROR(__xludf.DUMMYFUNCTION("""COMPUTED_VALUE"""),0.0)</f>
        <v>0</v>
      </c>
      <c r="N186" s="3">
        <f>IFERROR(__xludf.DUMMYFUNCTION("""COMPUTED_VALUE"""),0.0)</f>
        <v>0</v>
      </c>
      <c r="O186" s="3">
        <f>IFERROR(__xludf.DUMMYFUNCTION("""COMPUTED_VALUE"""),0.0)</f>
        <v>0</v>
      </c>
      <c r="P186" s="3">
        <f>IFERROR(__xludf.DUMMYFUNCTION("""COMPUTED_VALUE"""),0.0)</f>
        <v>0</v>
      </c>
      <c r="Q186" s="3">
        <f>IFERROR(__xludf.DUMMYFUNCTION("""COMPUTED_VALUE"""),0.0)</f>
        <v>0</v>
      </c>
      <c r="R186" s="3">
        <f>IFERROR(__xludf.DUMMYFUNCTION("""COMPUTED_VALUE"""),0.0)</f>
        <v>0</v>
      </c>
      <c r="S186" s="3">
        <f>IFERROR(__xludf.DUMMYFUNCTION("""COMPUTED_VALUE"""),0.0)</f>
        <v>0</v>
      </c>
      <c r="T186" s="3">
        <f>IFERROR(__xludf.DUMMYFUNCTION("""COMPUTED_VALUE"""),0.0)</f>
        <v>0</v>
      </c>
      <c r="U186" s="3">
        <f>IFERROR(__xludf.DUMMYFUNCTION("""COMPUTED_VALUE"""),0.0)</f>
        <v>0</v>
      </c>
      <c r="V186" s="3">
        <f>IFERROR(__xludf.DUMMYFUNCTION("""COMPUTED_VALUE"""),0.0)</f>
        <v>0</v>
      </c>
      <c r="W186" s="3">
        <f>IFERROR(__xludf.DUMMYFUNCTION("""COMPUTED_VALUE"""),0.0)</f>
        <v>0</v>
      </c>
      <c r="X186" s="3">
        <f>IFERROR(__xludf.DUMMYFUNCTION("""COMPUTED_VALUE"""),0.0)</f>
        <v>0</v>
      </c>
      <c r="Y186" s="3">
        <f>IFERROR(__xludf.DUMMYFUNCTION("""COMPUTED_VALUE"""),0.0)</f>
        <v>0</v>
      </c>
      <c r="Z186" s="3">
        <f>IFERROR(__xludf.DUMMYFUNCTION("""COMPUTED_VALUE"""),0.0)</f>
        <v>0</v>
      </c>
      <c r="AA186" s="3">
        <f>IFERROR(__xludf.DUMMYFUNCTION("""COMPUTED_VALUE"""),0.0)</f>
        <v>0</v>
      </c>
      <c r="AB186" s="3">
        <f>IFERROR(__xludf.DUMMYFUNCTION("""COMPUTED_VALUE"""),0.0)</f>
        <v>0</v>
      </c>
      <c r="AC186" s="3">
        <f>IFERROR(__xludf.DUMMYFUNCTION("""COMPUTED_VALUE"""),0.0)</f>
        <v>0</v>
      </c>
      <c r="AD186" s="3">
        <f>IFERROR(__xludf.DUMMYFUNCTION("""COMPUTED_VALUE"""),0.0)</f>
        <v>0</v>
      </c>
      <c r="AE186" s="3">
        <f>IFERROR(__xludf.DUMMYFUNCTION("""COMPUTED_VALUE"""),0.0)</f>
        <v>0</v>
      </c>
      <c r="AF186" s="3">
        <f>IFERROR(__xludf.DUMMYFUNCTION("""COMPUTED_VALUE"""),0.0)</f>
        <v>0</v>
      </c>
      <c r="AG186" s="3">
        <f>IFERROR(__xludf.DUMMYFUNCTION("""COMPUTED_VALUE"""),0.0)</f>
        <v>0</v>
      </c>
      <c r="AH186" s="3">
        <f>IFERROR(__xludf.DUMMYFUNCTION("""COMPUTED_VALUE"""),0.0)</f>
        <v>0</v>
      </c>
      <c r="AI186" s="3">
        <f>IFERROR(__xludf.DUMMYFUNCTION("""COMPUTED_VALUE"""),0.0)</f>
        <v>0</v>
      </c>
      <c r="AJ186" s="3">
        <f>IFERROR(__xludf.DUMMYFUNCTION("""COMPUTED_VALUE"""),0.0)</f>
        <v>0</v>
      </c>
      <c r="AK186" s="3">
        <f>IFERROR(__xludf.DUMMYFUNCTION("""COMPUTED_VALUE"""),0.0)</f>
        <v>0</v>
      </c>
      <c r="AL186" s="3">
        <f>IFERROR(__xludf.DUMMYFUNCTION("""COMPUTED_VALUE"""),0.0)</f>
        <v>0</v>
      </c>
      <c r="AM186" s="3">
        <f>IFERROR(__xludf.DUMMYFUNCTION("""COMPUTED_VALUE"""),0.0)</f>
        <v>0</v>
      </c>
      <c r="AN186" s="3">
        <f>IFERROR(__xludf.DUMMYFUNCTION("""COMPUTED_VALUE"""),0.0)</f>
        <v>0</v>
      </c>
      <c r="AO186" s="3">
        <f>IFERROR(__xludf.DUMMYFUNCTION("""COMPUTED_VALUE"""),0.0)</f>
        <v>0</v>
      </c>
      <c r="AP186" s="3">
        <f>IFERROR(__xludf.DUMMYFUNCTION("""COMPUTED_VALUE"""),0.0)</f>
        <v>0</v>
      </c>
      <c r="AQ186" s="3">
        <f>IFERROR(__xludf.DUMMYFUNCTION("""COMPUTED_VALUE"""),0.0)</f>
        <v>0</v>
      </c>
      <c r="AR186" s="3">
        <f>IFERROR(__xludf.DUMMYFUNCTION("""COMPUTED_VALUE"""),0.0)</f>
        <v>0</v>
      </c>
      <c r="AS186" s="3">
        <f>IFERROR(__xludf.DUMMYFUNCTION("""COMPUTED_VALUE"""),0.0)</f>
        <v>0</v>
      </c>
      <c r="AT186" s="3">
        <f>IFERROR(__xludf.DUMMYFUNCTION("""COMPUTED_VALUE"""),0.0)</f>
        <v>0</v>
      </c>
      <c r="AU186" s="3">
        <f>IFERROR(__xludf.DUMMYFUNCTION("""COMPUTED_VALUE"""),0.0)</f>
        <v>0</v>
      </c>
      <c r="AV186" s="3">
        <f>IFERROR(__xludf.DUMMYFUNCTION("""COMPUTED_VALUE"""),0.0)</f>
        <v>0</v>
      </c>
      <c r="AW186" s="3">
        <f>IFERROR(__xludf.DUMMYFUNCTION("""COMPUTED_VALUE"""),0.0)</f>
        <v>0</v>
      </c>
      <c r="AX186" s="3">
        <f>IFERROR(__xludf.DUMMYFUNCTION("""COMPUTED_VALUE"""),0.0)</f>
        <v>0</v>
      </c>
      <c r="AY186" s="3">
        <f>IFERROR(__xludf.DUMMYFUNCTION("""COMPUTED_VALUE"""),0.0)</f>
        <v>0</v>
      </c>
      <c r="AZ186" s="3">
        <f>IFERROR(__xludf.DUMMYFUNCTION("""COMPUTED_VALUE"""),0.0)</f>
        <v>0</v>
      </c>
      <c r="BA186" s="3">
        <f>IFERROR(__xludf.DUMMYFUNCTION("""COMPUTED_VALUE"""),0.0)</f>
        <v>0</v>
      </c>
      <c r="BB186" s="3">
        <f>IFERROR(__xludf.DUMMYFUNCTION("""COMPUTED_VALUE"""),0.0)</f>
        <v>0</v>
      </c>
      <c r="BC186" s="3">
        <f>IFERROR(__xludf.DUMMYFUNCTION("""COMPUTED_VALUE"""),0.0)</f>
        <v>0</v>
      </c>
      <c r="BD186" s="3">
        <f>IFERROR(__xludf.DUMMYFUNCTION("""COMPUTED_VALUE"""),0.0)</f>
        <v>0</v>
      </c>
      <c r="BE186" s="3">
        <f>IFERROR(__xludf.DUMMYFUNCTION("""COMPUTED_VALUE"""),0.0)</f>
        <v>0</v>
      </c>
      <c r="BF186" s="3">
        <f>IFERROR(__xludf.DUMMYFUNCTION("""COMPUTED_VALUE"""),0.0)</f>
        <v>0</v>
      </c>
      <c r="BG186" s="3">
        <f>IFERROR(__xludf.DUMMYFUNCTION("""COMPUTED_VALUE"""),0.0)</f>
        <v>0</v>
      </c>
      <c r="BH186" s="3">
        <f>IFERROR(__xludf.DUMMYFUNCTION("""COMPUTED_VALUE"""),1.0)</f>
        <v>1</v>
      </c>
      <c r="BI186" s="3">
        <f>IFERROR(__xludf.DUMMYFUNCTION("""COMPUTED_VALUE"""),2.0)</f>
        <v>2</v>
      </c>
      <c r="BJ186" s="3">
        <f>IFERROR(__xludf.DUMMYFUNCTION("""COMPUTED_VALUE"""),3.0)</f>
        <v>3</v>
      </c>
      <c r="BK186" s="3">
        <f>IFERROR(__xludf.DUMMYFUNCTION("""COMPUTED_VALUE"""),6.0)</f>
        <v>6</v>
      </c>
      <c r="BL186" s="3">
        <f>IFERROR(__xludf.DUMMYFUNCTION("""COMPUTED_VALUE"""),12.0)</f>
        <v>12</v>
      </c>
      <c r="BM186" s="3">
        <f>IFERROR(__xludf.DUMMYFUNCTION("""COMPUTED_VALUE"""),14.0)</f>
        <v>14</v>
      </c>
      <c r="BN186" s="3">
        <f>IFERROR(__xludf.DUMMYFUNCTION("""COMPUTED_VALUE"""),23.0)</f>
        <v>23</v>
      </c>
      <c r="BO186" s="3">
        <f>IFERROR(__xludf.DUMMYFUNCTION("""COMPUTED_VALUE"""),33.0)</f>
        <v>33</v>
      </c>
      <c r="BP186" s="3">
        <f>IFERROR(__xludf.DUMMYFUNCTION("""COMPUTED_VALUE"""),43.0)</f>
        <v>43</v>
      </c>
      <c r="BQ186" s="3">
        <f>IFERROR(__xludf.DUMMYFUNCTION("""COMPUTED_VALUE"""),60.0)</f>
        <v>60</v>
      </c>
      <c r="BR186" s="3">
        <f>IFERROR(__xludf.DUMMYFUNCTION("""COMPUTED_VALUE"""),76.0)</f>
        <v>76</v>
      </c>
      <c r="BS186" s="3">
        <f>IFERROR(__xludf.DUMMYFUNCTION("""COMPUTED_VALUE"""),100.0)</f>
        <v>100</v>
      </c>
      <c r="BT186" s="3">
        <f>IFERROR(__xludf.DUMMYFUNCTION("""COMPUTED_VALUE"""),119.0)</f>
        <v>119</v>
      </c>
      <c r="BU186" s="3">
        <f>IFERROR(__xludf.DUMMYFUNCTION("""COMPUTED_VALUE"""),140.0)</f>
        <v>140</v>
      </c>
      <c r="BV186" s="3">
        <f>IFERROR(__xludf.DUMMYFUNCTION("""COMPUTED_VALUE"""),160.0)</f>
        <v>160</v>
      </c>
      <c r="BW186" s="3">
        <f>IFERROR(__xludf.DUMMYFUNCTION("""COMPUTED_VALUE"""),187.0)</f>
        <v>187</v>
      </c>
      <c r="BX186" s="3">
        <f>IFERROR(__xludf.DUMMYFUNCTION("""COMPUTED_VALUE"""),209.0)</f>
        <v>209</v>
      </c>
      <c r="BY186" s="3">
        <f>IFERROR(__xludf.DUMMYFUNCTION("""COMPUTED_VALUE"""),246.0)</f>
        <v>246</v>
      </c>
      <c r="BZ186" s="3">
        <f>IFERROR(__xludf.DUMMYFUNCTION("""COMPUTED_VALUE"""),266.0)</f>
        <v>266</v>
      </c>
      <c r="CA186" s="3">
        <f>IFERROR(__xludf.DUMMYFUNCTION("""COMPUTED_VALUE"""),295.0)</f>
        <v>295</v>
      </c>
      <c r="CB186" s="3">
        <f>IFERROR(__xludf.DUMMYFUNCTION("""COMPUTED_VALUE"""),311.0)</f>
        <v>311</v>
      </c>
    </row>
    <row r="187">
      <c r="A187" s="3" t="str">
        <f>IFERROR(__xludf.DUMMYFUNCTION("""COMPUTED_VALUE"""),"")</f>
        <v/>
      </c>
      <c r="B187" s="3" t="str">
        <f>IFERROR(__xludf.DUMMYFUNCTION("""COMPUTED_VALUE"""),"Qatar")</f>
        <v>Qatar</v>
      </c>
      <c r="C187" s="3">
        <f>IFERROR(__xludf.DUMMYFUNCTION("""COMPUTED_VALUE"""),25.3548)</f>
        <v>25.3548</v>
      </c>
      <c r="D187" s="3">
        <f>IFERROR(__xludf.DUMMYFUNCTION("""COMPUTED_VALUE"""),51.1839)</f>
        <v>51.1839</v>
      </c>
      <c r="E187" s="3">
        <f>IFERROR(__xludf.DUMMYFUNCTION("""COMPUTED_VALUE"""),0.0)</f>
        <v>0</v>
      </c>
      <c r="F187" s="3">
        <f>IFERROR(__xludf.DUMMYFUNCTION("""COMPUTED_VALUE"""),0.0)</f>
        <v>0</v>
      </c>
      <c r="G187" s="3">
        <f>IFERROR(__xludf.DUMMYFUNCTION("""COMPUTED_VALUE"""),0.0)</f>
        <v>0</v>
      </c>
      <c r="H187" s="3">
        <f>IFERROR(__xludf.DUMMYFUNCTION("""COMPUTED_VALUE"""),0.0)</f>
        <v>0</v>
      </c>
      <c r="I187" s="3">
        <f>IFERROR(__xludf.DUMMYFUNCTION("""COMPUTED_VALUE"""),0.0)</f>
        <v>0</v>
      </c>
      <c r="J187" s="3">
        <f>IFERROR(__xludf.DUMMYFUNCTION("""COMPUTED_VALUE"""),0.0)</f>
        <v>0</v>
      </c>
      <c r="K187" s="3">
        <f>IFERROR(__xludf.DUMMYFUNCTION("""COMPUTED_VALUE"""),0.0)</f>
        <v>0</v>
      </c>
      <c r="L187" s="3">
        <f>IFERROR(__xludf.DUMMYFUNCTION("""COMPUTED_VALUE"""),0.0)</f>
        <v>0</v>
      </c>
      <c r="M187" s="3">
        <f>IFERROR(__xludf.DUMMYFUNCTION("""COMPUTED_VALUE"""),0.0)</f>
        <v>0</v>
      </c>
      <c r="N187" s="3">
        <f>IFERROR(__xludf.DUMMYFUNCTION("""COMPUTED_VALUE"""),0.0)</f>
        <v>0</v>
      </c>
      <c r="O187" s="3">
        <f>IFERROR(__xludf.DUMMYFUNCTION("""COMPUTED_VALUE"""),0.0)</f>
        <v>0</v>
      </c>
      <c r="P187" s="3">
        <f>IFERROR(__xludf.DUMMYFUNCTION("""COMPUTED_VALUE"""),0.0)</f>
        <v>0</v>
      </c>
      <c r="Q187" s="3">
        <f>IFERROR(__xludf.DUMMYFUNCTION("""COMPUTED_VALUE"""),0.0)</f>
        <v>0</v>
      </c>
      <c r="R187" s="3">
        <f>IFERROR(__xludf.DUMMYFUNCTION("""COMPUTED_VALUE"""),0.0)</f>
        <v>0</v>
      </c>
      <c r="S187" s="3">
        <f>IFERROR(__xludf.DUMMYFUNCTION("""COMPUTED_VALUE"""),0.0)</f>
        <v>0</v>
      </c>
      <c r="T187" s="3">
        <f>IFERROR(__xludf.DUMMYFUNCTION("""COMPUTED_VALUE"""),0.0)</f>
        <v>0</v>
      </c>
      <c r="U187" s="3">
        <f>IFERROR(__xludf.DUMMYFUNCTION("""COMPUTED_VALUE"""),0.0)</f>
        <v>0</v>
      </c>
      <c r="V187" s="3">
        <f>IFERROR(__xludf.DUMMYFUNCTION("""COMPUTED_VALUE"""),0.0)</f>
        <v>0</v>
      </c>
      <c r="W187" s="3">
        <f>IFERROR(__xludf.DUMMYFUNCTION("""COMPUTED_VALUE"""),0.0)</f>
        <v>0</v>
      </c>
      <c r="X187" s="3">
        <f>IFERROR(__xludf.DUMMYFUNCTION("""COMPUTED_VALUE"""),0.0)</f>
        <v>0</v>
      </c>
      <c r="Y187" s="3">
        <f>IFERROR(__xludf.DUMMYFUNCTION("""COMPUTED_VALUE"""),0.0)</f>
        <v>0</v>
      </c>
      <c r="Z187" s="3">
        <f>IFERROR(__xludf.DUMMYFUNCTION("""COMPUTED_VALUE"""),0.0)</f>
        <v>0</v>
      </c>
      <c r="AA187" s="3">
        <f>IFERROR(__xludf.DUMMYFUNCTION("""COMPUTED_VALUE"""),0.0)</f>
        <v>0</v>
      </c>
      <c r="AB187" s="3">
        <f>IFERROR(__xludf.DUMMYFUNCTION("""COMPUTED_VALUE"""),0.0)</f>
        <v>0</v>
      </c>
      <c r="AC187" s="3">
        <f>IFERROR(__xludf.DUMMYFUNCTION("""COMPUTED_VALUE"""),0.0)</f>
        <v>0</v>
      </c>
      <c r="AD187" s="3">
        <f>IFERROR(__xludf.DUMMYFUNCTION("""COMPUTED_VALUE"""),0.0)</f>
        <v>0</v>
      </c>
      <c r="AE187" s="3">
        <f>IFERROR(__xludf.DUMMYFUNCTION("""COMPUTED_VALUE"""),0.0)</f>
        <v>0</v>
      </c>
      <c r="AF187" s="3">
        <f>IFERROR(__xludf.DUMMYFUNCTION("""COMPUTED_VALUE"""),0.0)</f>
        <v>0</v>
      </c>
      <c r="AG187" s="3">
        <f>IFERROR(__xludf.DUMMYFUNCTION("""COMPUTED_VALUE"""),0.0)</f>
        <v>0</v>
      </c>
      <c r="AH187" s="3">
        <f>IFERROR(__xludf.DUMMYFUNCTION("""COMPUTED_VALUE"""),0.0)</f>
        <v>0</v>
      </c>
      <c r="AI187" s="3">
        <f>IFERROR(__xludf.DUMMYFUNCTION("""COMPUTED_VALUE"""),0.0)</f>
        <v>0</v>
      </c>
      <c r="AJ187" s="3">
        <f>IFERROR(__xludf.DUMMYFUNCTION("""COMPUTED_VALUE"""),0.0)</f>
        <v>0</v>
      </c>
      <c r="AK187" s="3">
        <f>IFERROR(__xludf.DUMMYFUNCTION("""COMPUTED_VALUE"""),0.0)</f>
        <v>0</v>
      </c>
      <c r="AL187" s="3">
        <f>IFERROR(__xludf.DUMMYFUNCTION("""COMPUTED_VALUE"""),0.0)</f>
        <v>0</v>
      </c>
      <c r="AM187" s="3">
        <f>IFERROR(__xludf.DUMMYFUNCTION("""COMPUTED_VALUE"""),0.0)</f>
        <v>0</v>
      </c>
      <c r="AN187" s="3">
        <f>IFERROR(__xludf.DUMMYFUNCTION("""COMPUTED_VALUE"""),0.0)</f>
        <v>0</v>
      </c>
      <c r="AO187" s="3">
        <f>IFERROR(__xludf.DUMMYFUNCTION("""COMPUTED_VALUE"""),0.0)</f>
        <v>0</v>
      </c>
      <c r="AP187" s="3">
        <f>IFERROR(__xludf.DUMMYFUNCTION("""COMPUTED_VALUE"""),0.0)</f>
        <v>0</v>
      </c>
      <c r="AQ187" s="3">
        <f>IFERROR(__xludf.DUMMYFUNCTION("""COMPUTED_VALUE"""),0.0)</f>
        <v>0</v>
      </c>
      <c r="AR187" s="3">
        <f>IFERROR(__xludf.DUMMYFUNCTION("""COMPUTED_VALUE"""),0.0)</f>
        <v>0</v>
      </c>
      <c r="AS187" s="3">
        <f>IFERROR(__xludf.DUMMYFUNCTION("""COMPUTED_VALUE"""),0.0)</f>
        <v>0</v>
      </c>
      <c r="AT187" s="3">
        <f>IFERROR(__xludf.DUMMYFUNCTION("""COMPUTED_VALUE"""),0.0)</f>
        <v>0</v>
      </c>
      <c r="AU187" s="3">
        <f>IFERROR(__xludf.DUMMYFUNCTION("""COMPUTED_VALUE"""),0.0)</f>
        <v>0</v>
      </c>
      <c r="AV187" s="3">
        <f>IFERROR(__xludf.DUMMYFUNCTION("""COMPUTED_VALUE"""),0.0)</f>
        <v>0</v>
      </c>
      <c r="AW187" s="3">
        <f>IFERROR(__xludf.DUMMYFUNCTION("""COMPUTED_VALUE"""),0.0)</f>
        <v>0</v>
      </c>
      <c r="AX187" s="3">
        <f>IFERROR(__xludf.DUMMYFUNCTION("""COMPUTED_VALUE"""),0.0)</f>
        <v>0</v>
      </c>
      <c r="AY187" s="3">
        <f>IFERROR(__xludf.DUMMYFUNCTION("""COMPUTED_VALUE"""),0.0)</f>
        <v>0</v>
      </c>
      <c r="AZ187" s="3">
        <f>IFERROR(__xludf.DUMMYFUNCTION("""COMPUTED_VALUE"""),0.0)</f>
        <v>0</v>
      </c>
      <c r="BA187" s="3">
        <f>IFERROR(__xludf.DUMMYFUNCTION("""COMPUTED_VALUE"""),0.0)</f>
        <v>0</v>
      </c>
      <c r="BB187" s="3">
        <f>IFERROR(__xludf.DUMMYFUNCTION("""COMPUTED_VALUE"""),0.0)</f>
        <v>0</v>
      </c>
      <c r="BC187" s="3">
        <f>IFERROR(__xludf.DUMMYFUNCTION("""COMPUTED_VALUE"""),0.0)</f>
        <v>0</v>
      </c>
      <c r="BD187" s="3">
        <f>IFERROR(__xludf.DUMMYFUNCTION("""COMPUTED_VALUE"""),0.0)</f>
        <v>0</v>
      </c>
      <c r="BE187" s="3">
        <f>IFERROR(__xludf.DUMMYFUNCTION("""COMPUTED_VALUE"""),0.0)</f>
        <v>0</v>
      </c>
      <c r="BF187" s="3">
        <f>IFERROR(__xludf.DUMMYFUNCTION("""COMPUTED_VALUE"""),0.0)</f>
        <v>0</v>
      </c>
      <c r="BG187" s="3">
        <f>IFERROR(__xludf.DUMMYFUNCTION("""COMPUTED_VALUE"""),0.0)</f>
        <v>0</v>
      </c>
      <c r="BH187" s="3">
        <f>IFERROR(__xludf.DUMMYFUNCTION("""COMPUTED_VALUE"""),0.0)</f>
        <v>0</v>
      </c>
      <c r="BI187" s="3">
        <f>IFERROR(__xludf.DUMMYFUNCTION("""COMPUTED_VALUE"""),0.0)</f>
        <v>0</v>
      </c>
      <c r="BJ187" s="3">
        <f>IFERROR(__xludf.DUMMYFUNCTION("""COMPUTED_VALUE"""),0.0)</f>
        <v>0</v>
      </c>
      <c r="BK187" s="3">
        <f>IFERROR(__xludf.DUMMYFUNCTION("""COMPUTED_VALUE"""),0.0)</f>
        <v>0</v>
      </c>
      <c r="BL187" s="3">
        <f>IFERROR(__xludf.DUMMYFUNCTION("""COMPUTED_VALUE"""),0.0)</f>
        <v>0</v>
      </c>
      <c r="BM187" s="3">
        <f>IFERROR(__xludf.DUMMYFUNCTION("""COMPUTED_VALUE"""),0.0)</f>
        <v>0</v>
      </c>
      <c r="BN187" s="3">
        <f>IFERROR(__xludf.DUMMYFUNCTION("""COMPUTED_VALUE"""),0.0)</f>
        <v>0</v>
      </c>
      <c r="BO187" s="3">
        <f>IFERROR(__xludf.DUMMYFUNCTION("""COMPUTED_VALUE"""),0.0)</f>
        <v>0</v>
      </c>
      <c r="BP187" s="3">
        <f>IFERROR(__xludf.DUMMYFUNCTION("""COMPUTED_VALUE"""),0.0)</f>
        <v>0</v>
      </c>
      <c r="BQ187" s="3">
        <f>IFERROR(__xludf.DUMMYFUNCTION("""COMPUTED_VALUE"""),0.0)</f>
        <v>0</v>
      </c>
      <c r="BR187" s="3">
        <f>IFERROR(__xludf.DUMMYFUNCTION("""COMPUTED_VALUE"""),0.0)</f>
        <v>0</v>
      </c>
      <c r="BS187" s="3">
        <f>IFERROR(__xludf.DUMMYFUNCTION("""COMPUTED_VALUE"""),1.0)</f>
        <v>1</v>
      </c>
      <c r="BT187" s="3">
        <f>IFERROR(__xludf.DUMMYFUNCTION("""COMPUTED_VALUE"""),1.0)</f>
        <v>1</v>
      </c>
      <c r="BU187" s="3">
        <f>IFERROR(__xludf.DUMMYFUNCTION("""COMPUTED_VALUE"""),1.0)</f>
        <v>1</v>
      </c>
      <c r="BV187" s="3">
        <f>IFERROR(__xludf.DUMMYFUNCTION("""COMPUTED_VALUE"""),2.0)</f>
        <v>2</v>
      </c>
      <c r="BW187" s="3">
        <f>IFERROR(__xludf.DUMMYFUNCTION("""COMPUTED_VALUE"""),2.0)</f>
        <v>2</v>
      </c>
      <c r="BX187" s="3">
        <f>IFERROR(__xludf.DUMMYFUNCTION("""COMPUTED_VALUE"""),3.0)</f>
        <v>3</v>
      </c>
      <c r="BY187" s="3">
        <f>IFERROR(__xludf.DUMMYFUNCTION("""COMPUTED_VALUE"""),3.0)</f>
        <v>3</v>
      </c>
      <c r="BZ187" s="3">
        <f>IFERROR(__xludf.DUMMYFUNCTION("""COMPUTED_VALUE"""),3.0)</f>
        <v>3</v>
      </c>
      <c r="CA187" s="3">
        <f>IFERROR(__xludf.DUMMYFUNCTION("""COMPUTED_VALUE"""),4.0)</f>
        <v>4</v>
      </c>
      <c r="CB187" s="3">
        <f>IFERROR(__xludf.DUMMYFUNCTION("""COMPUTED_VALUE"""),4.0)</f>
        <v>4</v>
      </c>
    </row>
    <row r="188">
      <c r="A188" s="3" t="str">
        <f>IFERROR(__xludf.DUMMYFUNCTION("""COMPUTED_VALUE"""),"")</f>
        <v/>
      </c>
      <c r="B188" s="3" t="str">
        <f>IFERROR(__xludf.DUMMYFUNCTION("""COMPUTED_VALUE"""),"Romania")</f>
        <v>Romania</v>
      </c>
      <c r="C188" s="3">
        <f>IFERROR(__xludf.DUMMYFUNCTION("""COMPUTED_VALUE"""),45.9432)</f>
        <v>45.9432</v>
      </c>
      <c r="D188" s="3">
        <f>IFERROR(__xludf.DUMMYFUNCTION("""COMPUTED_VALUE"""),24.9668)</f>
        <v>24.9668</v>
      </c>
      <c r="E188" s="3">
        <f>IFERROR(__xludf.DUMMYFUNCTION("""COMPUTED_VALUE"""),0.0)</f>
        <v>0</v>
      </c>
      <c r="F188" s="3">
        <f>IFERROR(__xludf.DUMMYFUNCTION("""COMPUTED_VALUE"""),0.0)</f>
        <v>0</v>
      </c>
      <c r="G188" s="3">
        <f>IFERROR(__xludf.DUMMYFUNCTION("""COMPUTED_VALUE"""),0.0)</f>
        <v>0</v>
      </c>
      <c r="H188" s="3">
        <f>IFERROR(__xludf.DUMMYFUNCTION("""COMPUTED_VALUE"""),0.0)</f>
        <v>0</v>
      </c>
      <c r="I188" s="3">
        <f>IFERROR(__xludf.DUMMYFUNCTION("""COMPUTED_VALUE"""),0.0)</f>
        <v>0</v>
      </c>
      <c r="J188" s="3">
        <f>IFERROR(__xludf.DUMMYFUNCTION("""COMPUTED_VALUE"""),0.0)</f>
        <v>0</v>
      </c>
      <c r="K188" s="3">
        <f>IFERROR(__xludf.DUMMYFUNCTION("""COMPUTED_VALUE"""),0.0)</f>
        <v>0</v>
      </c>
      <c r="L188" s="3">
        <f>IFERROR(__xludf.DUMMYFUNCTION("""COMPUTED_VALUE"""),0.0)</f>
        <v>0</v>
      </c>
      <c r="M188" s="3">
        <f>IFERROR(__xludf.DUMMYFUNCTION("""COMPUTED_VALUE"""),0.0)</f>
        <v>0</v>
      </c>
      <c r="N188" s="3">
        <f>IFERROR(__xludf.DUMMYFUNCTION("""COMPUTED_VALUE"""),0.0)</f>
        <v>0</v>
      </c>
      <c r="O188" s="3">
        <f>IFERROR(__xludf.DUMMYFUNCTION("""COMPUTED_VALUE"""),0.0)</f>
        <v>0</v>
      </c>
      <c r="P188" s="3">
        <f>IFERROR(__xludf.DUMMYFUNCTION("""COMPUTED_VALUE"""),0.0)</f>
        <v>0</v>
      </c>
      <c r="Q188" s="3">
        <f>IFERROR(__xludf.DUMMYFUNCTION("""COMPUTED_VALUE"""),0.0)</f>
        <v>0</v>
      </c>
      <c r="R188" s="3">
        <f>IFERROR(__xludf.DUMMYFUNCTION("""COMPUTED_VALUE"""),0.0)</f>
        <v>0</v>
      </c>
      <c r="S188" s="3">
        <f>IFERROR(__xludf.DUMMYFUNCTION("""COMPUTED_VALUE"""),0.0)</f>
        <v>0</v>
      </c>
      <c r="T188" s="3">
        <f>IFERROR(__xludf.DUMMYFUNCTION("""COMPUTED_VALUE"""),0.0)</f>
        <v>0</v>
      </c>
      <c r="U188" s="3">
        <f>IFERROR(__xludf.DUMMYFUNCTION("""COMPUTED_VALUE"""),0.0)</f>
        <v>0</v>
      </c>
      <c r="V188" s="3">
        <f>IFERROR(__xludf.DUMMYFUNCTION("""COMPUTED_VALUE"""),0.0)</f>
        <v>0</v>
      </c>
      <c r="W188" s="3">
        <f>IFERROR(__xludf.DUMMYFUNCTION("""COMPUTED_VALUE"""),0.0)</f>
        <v>0</v>
      </c>
      <c r="X188" s="3">
        <f>IFERROR(__xludf.DUMMYFUNCTION("""COMPUTED_VALUE"""),0.0)</f>
        <v>0</v>
      </c>
      <c r="Y188" s="3">
        <f>IFERROR(__xludf.DUMMYFUNCTION("""COMPUTED_VALUE"""),0.0)</f>
        <v>0</v>
      </c>
      <c r="Z188" s="3">
        <f>IFERROR(__xludf.DUMMYFUNCTION("""COMPUTED_VALUE"""),0.0)</f>
        <v>0</v>
      </c>
      <c r="AA188" s="3">
        <f>IFERROR(__xludf.DUMMYFUNCTION("""COMPUTED_VALUE"""),0.0)</f>
        <v>0</v>
      </c>
      <c r="AB188" s="3">
        <f>IFERROR(__xludf.DUMMYFUNCTION("""COMPUTED_VALUE"""),0.0)</f>
        <v>0</v>
      </c>
      <c r="AC188" s="3">
        <f>IFERROR(__xludf.DUMMYFUNCTION("""COMPUTED_VALUE"""),0.0)</f>
        <v>0</v>
      </c>
      <c r="AD188" s="3">
        <f>IFERROR(__xludf.DUMMYFUNCTION("""COMPUTED_VALUE"""),0.0)</f>
        <v>0</v>
      </c>
      <c r="AE188" s="3">
        <f>IFERROR(__xludf.DUMMYFUNCTION("""COMPUTED_VALUE"""),0.0)</f>
        <v>0</v>
      </c>
      <c r="AF188" s="3">
        <f>IFERROR(__xludf.DUMMYFUNCTION("""COMPUTED_VALUE"""),0.0)</f>
        <v>0</v>
      </c>
      <c r="AG188" s="3">
        <f>IFERROR(__xludf.DUMMYFUNCTION("""COMPUTED_VALUE"""),0.0)</f>
        <v>0</v>
      </c>
      <c r="AH188" s="3">
        <f>IFERROR(__xludf.DUMMYFUNCTION("""COMPUTED_VALUE"""),0.0)</f>
        <v>0</v>
      </c>
      <c r="AI188" s="3">
        <f>IFERROR(__xludf.DUMMYFUNCTION("""COMPUTED_VALUE"""),0.0)</f>
        <v>0</v>
      </c>
      <c r="AJ188" s="3">
        <f>IFERROR(__xludf.DUMMYFUNCTION("""COMPUTED_VALUE"""),0.0)</f>
        <v>0</v>
      </c>
      <c r="AK188" s="3">
        <f>IFERROR(__xludf.DUMMYFUNCTION("""COMPUTED_VALUE"""),0.0)</f>
        <v>0</v>
      </c>
      <c r="AL188" s="3">
        <f>IFERROR(__xludf.DUMMYFUNCTION("""COMPUTED_VALUE"""),0.0)</f>
        <v>0</v>
      </c>
      <c r="AM188" s="3">
        <f>IFERROR(__xludf.DUMMYFUNCTION("""COMPUTED_VALUE"""),0.0)</f>
        <v>0</v>
      </c>
      <c r="AN188" s="3">
        <f>IFERROR(__xludf.DUMMYFUNCTION("""COMPUTED_VALUE"""),0.0)</f>
        <v>0</v>
      </c>
      <c r="AO188" s="3">
        <f>IFERROR(__xludf.DUMMYFUNCTION("""COMPUTED_VALUE"""),0.0)</f>
        <v>0</v>
      </c>
      <c r="AP188" s="3">
        <f>IFERROR(__xludf.DUMMYFUNCTION("""COMPUTED_VALUE"""),0.0)</f>
        <v>0</v>
      </c>
      <c r="AQ188" s="3">
        <f>IFERROR(__xludf.DUMMYFUNCTION("""COMPUTED_VALUE"""),0.0)</f>
        <v>0</v>
      </c>
      <c r="AR188" s="3">
        <f>IFERROR(__xludf.DUMMYFUNCTION("""COMPUTED_VALUE"""),0.0)</f>
        <v>0</v>
      </c>
      <c r="AS188" s="3">
        <f>IFERROR(__xludf.DUMMYFUNCTION("""COMPUTED_VALUE"""),0.0)</f>
        <v>0</v>
      </c>
      <c r="AT188" s="3">
        <f>IFERROR(__xludf.DUMMYFUNCTION("""COMPUTED_VALUE"""),0.0)</f>
        <v>0</v>
      </c>
      <c r="AU188" s="3">
        <f>IFERROR(__xludf.DUMMYFUNCTION("""COMPUTED_VALUE"""),0.0)</f>
        <v>0</v>
      </c>
      <c r="AV188" s="3">
        <f>IFERROR(__xludf.DUMMYFUNCTION("""COMPUTED_VALUE"""),0.0)</f>
        <v>0</v>
      </c>
      <c r="AW188" s="3">
        <f>IFERROR(__xludf.DUMMYFUNCTION("""COMPUTED_VALUE"""),0.0)</f>
        <v>0</v>
      </c>
      <c r="AX188" s="3">
        <f>IFERROR(__xludf.DUMMYFUNCTION("""COMPUTED_VALUE"""),0.0)</f>
        <v>0</v>
      </c>
      <c r="AY188" s="3">
        <f>IFERROR(__xludf.DUMMYFUNCTION("""COMPUTED_VALUE"""),0.0)</f>
        <v>0</v>
      </c>
      <c r="AZ188" s="3">
        <f>IFERROR(__xludf.DUMMYFUNCTION("""COMPUTED_VALUE"""),0.0)</f>
        <v>0</v>
      </c>
      <c r="BA188" s="3">
        <f>IFERROR(__xludf.DUMMYFUNCTION("""COMPUTED_VALUE"""),0.0)</f>
        <v>0</v>
      </c>
      <c r="BB188" s="3">
        <f>IFERROR(__xludf.DUMMYFUNCTION("""COMPUTED_VALUE"""),0.0)</f>
        <v>0</v>
      </c>
      <c r="BC188" s="3">
        <f>IFERROR(__xludf.DUMMYFUNCTION("""COMPUTED_VALUE"""),0.0)</f>
        <v>0</v>
      </c>
      <c r="BD188" s="3">
        <f>IFERROR(__xludf.DUMMYFUNCTION("""COMPUTED_VALUE"""),0.0)</f>
        <v>0</v>
      </c>
      <c r="BE188" s="3">
        <f>IFERROR(__xludf.DUMMYFUNCTION("""COMPUTED_VALUE"""),0.0)</f>
        <v>0</v>
      </c>
      <c r="BF188" s="3">
        <f>IFERROR(__xludf.DUMMYFUNCTION("""COMPUTED_VALUE"""),0.0)</f>
        <v>0</v>
      </c>
      <c r="BG188" s="3">
        <f>IFERROR(__xludf.DUMMYFUNCTION("""COMPUTED_VALUE"""),0.0)</f>
        <v>0</v>
      </c>
      <c r="BH188" s="3">
        <f>IFERROR(__xludf.DUMMYFUNCTION("""COMPUTED_VALUE"""),0.0)</f>
        <v>0</v>
      </c>
      <c r="BI188" s="3">
        <f>IFERROR(__xludf.DUMMYFUNCTION("""COMPUTED_VALUE"""),0.0)</f>
        <v>0</v>
      </c>
      <c r="BJ188" s="3">
        <f>IFERROR(__xludf.DUMMYFUNCTION("""COMPUTED_VALUE"""),0.0)</f>
        <v>0</v>
      </c>
      <c r="BK188" s="3">
        <f>IFERROR(__xludf.DUMMYFUNCTION("""COMPUTED_VALUE"""),0.0)</f>
        <v>0</v>
      </c>
      <c r="BL188" s="3">
        <f>IFERROR(__xludf.DUMMYFUNCTION("""COMPUTED_VALUE"""),0.0)</f>
        <v>0</v>
      </c>
      <c r="BM188" s="3">
        <f>IFERROR(__xludf.DUMMYFUNCTION("""COMPUTED_VALUE"""),3.0)</f>
        <v>3</v>
      </c>
      <c r="BN188" s="3">
        <f>IFERROR(__xludf.DUMMYFUNCTION("""COMPUTED_VALUE"""),7.0)</f>
        <v>7</v>
      </c>
      <c r="BO188" s="3">
        <f>IFERROR(__xludf.DUMMYFUNCTION("""COMPUTED_VALUE"""),11.0)</f>
        <v>11</v>
      </c>
      <c r="BP188" s="3">
        <f>IFERROR(__xludf.DUMMYFUNCTION("""COMPUTED_VALUE"""),17.0)</f>
        <v>17</v>
      </c>
      <c r="BQ188" s="3">
        <f>IFERROR(__xludf.DUMMYFUNCTION("""COMPUTED_VALUE"""),23.0)</f>
        <v>23</v>
      </c>
      <c r="BR188" s="3">
        <f>IFERROR(__xludf.DUMMYFUNCTION("""COMPUTED_VALUE"""),26.0)</f>
        <v>26</v>
      </c>
      <c r="BS188" s="3">
        <f>IFERROR(__xludf.DUMMYFUNCTION("""COMPUTED_VALUE"""),37.0)</f>
        <v>37</v>
      </c>
      <c r="BT188" s="3">
        <f>IFERROR(__xludf.DUMMYFUNCTION("""COMPUTED_VALUE"""),43.0)</f>
        <v>43</v>
      </c>
      <c r="BU188" s="3">
        <f>IFERROR(__xludf.DUMMYFUNCTION("""COMPUTED_VALUE"""),65.0)</f>
        <v>65</v>
      </c>
      <c r="BV188" s="3">
        <f>IFERROR(__xludf.DUMMYFUNCTION("""COMPUTED_VALUE"""),82.0)</f>
        <v>82</v>
      </c>
      <c r="BW188" s="3">
        <f>IFERROR(__xludf.DUMMYFUNCTION("""COMPUTED_VALUE"""),92.0)</f>
        <v>92</v>
      </c>
      <c r="BX188" s="3">
        <f>IFERROR(__xludf.DUMMYFUNCTION("""COMPUTED_VALUE"""),115.0)</f>
        <v>115</v>
      </c>
      <c r="BY188" s="3">
        <f>IFERROR(__xludf.DUMMYFUNCTION("""COMPUTED_VALUE"""),133.0)</f>
        <v>133</v>
      </c>
      <c r="BZ188" s="3">
        <f>IFERROR(__xludf.DUMMYFUNCTION("""COMPUTED_VALUE"""),146.0)</f>
        <v>146</v>
      </c>
      <c r="CA188" s="3">
        <f>IFERROR(__xludf.DUMMYFUNCTION("""COMPUTED_VALUE"""),151.0)</f>
        <v>151</v>
      </c>
      <c r="CB188" s="3">
        <f>IFERROR(__xludf.DUMMYFUNCTION("""COMPUTED_VALUE"""),176.0)</f>
        <v>176</v>
      </c>
    </row>
    <row r="189">
      <c r="A189" s="3" t="str">
        <f>IFERROR(__xludf.DUMMYFUNCTION("""COMPUTED_VALUE"""),"")</f>
        <v/>
      </c>
      <c r="B189" s="3" t="str">
        <f>IFERROR(__xludf.DUMMYFUNCTION("""COMPUTED_VALUE"""),"Russia")</f>
        <v>Russia</v>
      </c>
      <c r="C189" s="3">
        <f>IFERROR(__xludf.DUMMYFUNCTION("""COMPUTED_VALUE"""),60.0)</f>
        <v>60</v>
      </c>
      <c r="D189" s="3">
        <f>IFERROR(__xludf.DUMMYFUNCTION("""COMPUTED_VALUE"""),90.0)</f>
        <v>90</v>
      </c>
      <c r="E189" s="3">
        <f>IFERROR(__xludf.DUMMYFUNCTION("""COMPUTED_VALUE"""),0.0)</f>
        <v>0</v>
      </c>
      <c r="F189" s="3">
        <f>IFERROR(__xludf.DUMMYFUNCTION("""COMPUTED_VALUE"""),0.0)</f>
        <v>0</v>
      </c>
      <c r="G189" s="3">
        <f>IFERROR(__xludf.DUMMYFUNCTION("""COMPUTED_VALUE"""),0.0)</f>
        <v>0</v>
      </c>
      <c r="H189" s="3">
        <f>IFERROR(__xludf.DUMMYFUNCTION("""COMPUTED_VALUE"""),0.0)</f>
        <v>0</v>
      </c>
      <c r="I189" s="3">
        <f>IFERROR(__xludf.DUMMYFUNCTION("""COMPUTED_VALUE"""),0.0)</f>
        <v>0</v>
      </c>
      <c r="J189" s="3">
        <f>IFERROR(__xludf.DUMMYFUNCTION("""COMPUTED_VALUE"""),0.0)</f>
        <v>0</v>
      </c>
      <c r="K189" s="3">
        <f>IFERROR(__xludf.DUMMYFUNCTION("""COMPUTED_VALUE"""),0.0)</f>
        <v>0</v>
      </c>
      <c r="L189" s="3">
        <f>IFERROR(__xludf.DUMMYFUNCTION("""COMPUTED_VALUE"""),0.0)</f>
        <v>0</v>
      </c>
      <c r="M189" s="3">
        <f>IFERROR(__xludf.DUMMYFUNCTION("""COMPUTED_VALUE"""),0.0)</f>
        <v>0</v>
      </c>
      <c r="N189" s="3">
        <f>IFERROR(__xludf.DUMMYFUNCTION("""COMPUTED_VALUE"""),0.0)</f>
        <v>0</v>
      </c>
      <c r="O189" s="3">
        <f>IFERROR(__xludf.DUMMYFUNCTION("""COMPUTED_VALUE"""),0.0)</f>
        <v>0</v>
      </c>
      <c r="P189" s="3">
        <f>IFERROR(__xludf.DUMMYFUNCTION("""COMPUTED_VALUE"""),0.0)</f>
        <v>0</v>
      </c>
      <c r="Q189" s="3">
        <f>IFERROR(__xludf.DUMMYFUNCTION("""COMPUTED_VALUE"""),0.0)</f>
        <v>0</v>
      </c>
      <c r="R189" s="3">
        <f>IFERROR(__xludf.DUMMYFUNCTION("""COMPUTED_VALUE"""),0.0)</f>
        <v>0</v>
      </c>
      <c r="S189" s="3">
        <f>IFERROR(__xludf.DUMMYFUNCTION("""COMPUTED_VALUE"""),0.0)</f>
        <v>0</v>
      </c>
      <c r="T189" s="3">
        <f>IFERROR(__xludf.DUMMYFUNCTION("""COMPUTED_VALUE"""),0.0)</f>
        <v>0</v>
      </c>
      <c r="U189" s="3">
        <f>IFERROR(__xludf.DUMMYFUNCTION("""COMPUTED_VALUE"""),0.0)</f>
        <v>0</v>
      </c>
      <c r="V189" s="3">
        <f>IFERROR(__xludf.DUMMYFUNCTION("""COMPUTED_VALUE"""),0.0)</f>
        <v>0</v>
      </c>
      <c r="W189" s="3">
        <f>IFERROR(__xludf.DUMMYFUNCTION("""COMPUTED_VALUE"""),0.0)</f>
        <v>0</v>
      </c>
      <c r="X189" s="3">
        <f>IFERROR(__xludf.DUMMYFUNCTION("""COMPUTED_VALUE"""),0.0)</f>
        <v>0</v>
      </c>
      <c r="Y189" s="3">
        <f>IFERROR(__xludf.DUMMYFUNCTION("""COMPUTED_VALUE"""),0.0)</f>
        <v>0</v>
      </c>
      <c r="Z189" s="3">
        <f>IFERROR(__xludf.DUMMYFUNCTION("""COMPUTED_VALUE"""),0.0)</f>
        <v>0</v>
      </c>
      <c r="AA189" s="3">
        <f>IFERROR(__xludf.DUMMYFUNCTION("""COMPUTED_VALUE"""),0.0)</f>
        <v>0</v>
      </c>
      <c r="AB189" s="3">
        <f>IFERROR(__xludf.DUMMYFUNCTION("""COMPUTED_VALUE"""),0.0)</f>
        <v>0</v>
      </c>
      <c r="AC189" s="3">
        <f>IFERROR(__xludf.DUMMYFUNCTION("""COMPUTED_VALUE"""),0.0)</f>
        <v>0</v>
      </c>
      <c r="AD189" s="3">
        <f>IFERROR(__xludf.DUMMYFUNCTION("""COMPUTED_VALUE"""),0.0)</f>
        <v>0</v>
      </c>
      <c r="AE189" s="3">
        <f>IFERROR(__xludf.DUMMYFUNCTION("""COMPUTED_VALUE"""),0.0)</f>
        <v>0</v>
      </c>
      <c r="AF189" s="3">
        <f>IFERROR(__xludf.DUMMYFUNCTION("""COMPUTED_VALUE"""),0.0)</f>
        <v>0</v>
      </c>
      <c r="AG189" s="3">
        <f>IFERROR(__xludf.DUMMYFUNCTION("""COMPUTED_VALUE"""),0.0)</f>
        <v>0</v>
      </c>
      <c r="AH189" s="3">
        <f>IFERROR(__xludf.DUMMYFUNCTION("""COMPUTED_VALUE"""),0.0)</f>
        <v>0</v>
      </c>
      <c r="AI189" s="3">
        <f>IFERROR(__xludf.DUMMYFUNCTION("""COMPUTED_VALUE"""),0.0)</f>
        <v>0</v>
      </c>
      <c r="AJ189" s="3">
        <f>IFERROR(__xludf.DUMMYFUNCTION("""COMPUTED_VALUE"""),0.0)</f>
        <v>0</v>
      </c>
      <c r="AK189" s="3">
        <f>IFERROR(__xludf.DUMMYFUNCTION("""COMPUTED_VALUE"""),0.0)</f>
        <v>0</v>
      </c>
      <c r="AL189" s="3">
        <f>IFERROR(__xludf.DUMMYFUNCTION("""COMPUTED_VALUE"""),0.0)</f>
        <v>0</v>
      </c>
      <c r="AM189" s="3">
        <f>IFERROR(__xludf.DUMMYFUNCTION("""COMPUTED_VALUE"""),0.0)</f>
        <v>0</v>
      </c>
      <c r="AN189" s="3">
        <f>IFERROR(__xludf.DUMMYFUNCTION("""COMPUTED_VALUE"""),0.0)</f>
        <v>0</v>
      </c>
      <c r="AO189" s="3">
        <f>IFERROR(__xludf.DUMMYFUNCTION("""COMPUTED_VALUE"""),0.0)</f>
        <v>0</v>
      </c>
      <c r="AP189" s="3">
        <f>IFERROR(__xludf.DUMMYFUNCTION("""COMPUTED_VALUE"""),0.0)</f>
        <v>0</v>
      </c>
      <c r="AQ189" s="3">
        <f>IFERROR(__xludf.DUMMYFUNCTION("""COMPUTED_VALUE"""),0.0)</f>
        <v>0</v>
      </c>
      <c r="AR189" s="3">
        <f>IFERROR(__xludf.DUMMYFUNCTION("""COMPUTED_VALUE"""),0.0)</f>
        <v>0</v>
      </c>
      <c r="AS189" s="3">
        <f>IFERROR(__xludf.DUMMYFUNCTION("""COMPUTED_VALUE"""),0.0)</f>
        <v>0</v>
      </c>
      <c r="AT189" s="3">
        <f>IFERROR(__xludf.DUMMYFUNCTION("""COMPUTED_VALUE"""),0.0)</f>
        <v>0</v>
      </c>
      <c r="AU189" s="3">
        <f>IFERROR(__xludf.DUMMYFUNCTION("""COMPUTED_VALUE"""),0.0)</f>
        <v>0</v>
      </c>
      <c r="AV189" s="3">
        <f>IFERROR(__xludf.DUMMYFUNCTION("""COMPUTED_VALUE"""),0.0)</f>
        <v>0</v>
      </c>
      <c r="AW189" s="3">
        <f>IFERROR(__xludf.DUMMYFUNCTION("""COMPUTED_VALUE"""),0.0)</f>
        <v>0</v>
      </c>
      <c r="AX189" s="3">
        <f>IFERROR(__xludf.DUMMYFUNCTION("""COMPUTED_VALUE"""),0.0)</f>
        <v>0</v>
      </c>
      <c r="AY189" s="3">
        <f>IFERROR(__xludf.DUMMYFUNCTION("""COMPUTED_VALUE"""),0.0)</f>
        <v>0</v>
      </c>
      <c r="AZ189" s="3">
        <f>IFERROR(__xludf.DUMMYFUNCTION("""COMPUTED_VALUE"""),0.0)</f>
        <v>0</v>
      </c>
      <c r="BA189" s="3">
        <f>IFERROR(__xludf.DUMMYFUNCTION("""COMPUTED_VALUE"""),0.0)</f>
        <v>0</v>
      </c>
      <c r="BB189" s="3">
        <f>IFERROR(__xludf.DUMMYFUNCTION("""COMPUTED_VALUE"""),0.0)</f>
        <v>0</v>
      </c>
      <c r="BC189" s="3">
        <f>IFERROR(__xludf.DUMMYFUNCTION("""COMPUTED_VALUE"""),0.0)</f>
        <v>0</v>
      </c>
      <c r="BD189" s="3">
        <f>IFERROR(__xludf.DUMMYFUNCTION("""COMPUTED_VALUE"""),0.0)</f>
        <v>0</v>
      </c>
      <c r="BE189" s="3">
        <f>IFERROR(__xludf.DUMMYFUNCTION("""COMPUTED_VALUE"""),0.0)</f>
        <v>0</v>
      </c>
      <c r="BF189" s="3">
        <f>IFERROR(__xludf.DUMMYFUNCTION("""COMPUTED_VALUE"""),0.0)</f>
        <v>0</v>
      </c>
      <c r="BG189" s="3">
        <f>IFERROR(__xludf.DUMMYFUNCTION("""COMPUTED_VALUE"""),0.0)</f>
        <v>0</v>
      </c>
      <c r="BH189" s="3">
        <f>IFERROR(__xludf.DUMMYFUNCTION("""COMPUTED_VALUE"""),0.0)</f>
        <v>0</v>
      </c>
      <c r="BI189" s="3">
        <f>IFERROR(__xludf.DUMMYFUNCTION("""COMPUTED_VALUE"""),0.0)</f>
        <v>0</v>
      </c>
      <c r="BJ189" s="3">
        <f>IFERROR(__xludf.DUMMYFUNCTION("""COMPUTED_VALUE"""),1.0)</f>
        <v>1</v>
      </c>
      <c r="BK189" s="3">
        <f>IFERROR(__xludf.DUMMYFUNCTION("""COMPUTED_VALUE"""),1.0)</f>
        <v>1</v>
      </c>
      <c r="BL189" s="3">
        <f>IFERROR(__xludf.DUMMYFUNCTION("""COMPUTED_VALUE"""),1.0)</f>
        <v>1</v>
      </c>
      <c r="BM189" s="3">
        <f>IFERROR(__xludf.DUMMYFUNCTION("""COMPUTED_VALUE"""),1.0)</f>
        <v>1</v>
      </c>
      <c r="BN189" s="3">
        <f>IFERROR(__xludf.DUMMYFUNCTION("""COMPUTED_VALUE"""),1.0)</f>
        <v>1</v>
      </c>
      <c r="BO189" s="3">
        <f>IFERROR(__xludf.DUMMYFUNCTION("""COMPUTED_VALUE"""),1.0)</f>
        <v>1</v>
      </c>
      <c r="BP189" s="3">
        <f>IFERROR(__xludf.DUMMYFUNCTION("""COMPUTED_VALUE"""),3.0)</f>
        <v>3</v>
      </c>
      <c r="BQ189" s="3">
        <f>IFERROR(__xludf.DUMMYFUNCTION("""COMPUTED_VALUE"""),3.0)</f>
        <v>3</v>
      </c>
      <c r="BR189" s="3">
        <f>IFERROR(__xludf.DUMMYFUNCTION("""COMPUTED_VALUE"""),4.0)</f>
        <v>4</v>
      </c>
      <c r="BS189" s="3">
        <f>IFERROR(__xludf.DUMMYFUNCTION("""COMPUTED_VALUE"""),4.0)</f>
        <v>4</v>
      </c>
      <c r="BT189" s="3">
        <f>IFERROR(__xludf.DUMMYFUNCTION("""COMPUTED_VALUE"""),8.0)</f>
        <v>8</v>
      </c>
      <c r="BU189" s="3">
        <f>IFERROR(__xludf.DUMMYFUNCTION("""COMPUTED_VALUE"""),9.0)</f>
        <v>9</v>
      </c>
      <c r="BV189" s="3">
        <f>IFERROR(__xludf.DUMMYFUNCTION("""COMPUTED_VALUE"""),17.0)</f>
        <v>17</v>
      </c>
      <c r="BW189" s="3">
        <f>IFERROR(__xludf.DUMMYFUNCTION("""COMPUTED_VALUE"""),24.0)</f>
        <v>24</v>
      </c>
      <c r="BX189" s="3">
        <f>IFERROR(__xludf.DUMMYFUNCTION("""COMPUTED_VALUE"""),30.0)</f>
        <v>30</v>
      </c>
      <c r="BY189" s="3">
        <f>IFERROR(__xludf.DUMMYFUNCTION("""COMPUTED_VALUE"""),34.0)</f>
        <v>34</v>
      </c>
      <c r="BZ189" s="3">
        <f>IFERROR(__xludf.DUMMYFUNCTION("""COMPUTED_VALUE"""),43.0)</f>
        <v>43</v>
      </c>
      <c r="CA189" s="3">
        <f>IFERROR(__xludf.DUMMYFUNCTION("""COMPUTED_VALUE"""),45.0)</f>
        <v>45</v>
      </c>
      <c r="CB189" s="3">
        <f>IFERROR(__xludf.DUMMYFUNCTION("""COMPUTED_VALUE"""),47.0)</f>
        <v>47</v>
      </c>
    </row>
    <row r="190">
      <c r="A190" s="3" t="str">
        <f>IFERROR(__xludf.DUMMYFUNCTION("""COMPUTED_VALUE"""),"")</f>
        <v/>
      </c>
      <c r="B190" s="3" t="str">
        <f>IFERROR(__xludf.DUMMYFUNCTION("""COMPUTED_VALUE"""),"Rwanda")</f>
        <v>Rwanda</v>
      </c>
      <c r="C190" s="3">
        <f>IFERROR(__xludf.DUMMYFUNCTION("""COMPUTED_VALUE"""),-1.9403)</f>
        <v>-1.9403</v>
      </c>
      <c r="D190" s="3">
        <f>IFERROR(__xludf.DUMMYFUNCTION("""COMPUTED_VALUE"""),29.8739)</f>
        <v>29.8739</v>
      </c>
      <c r="E190" s="3">
        <f>IFERROR(__xludf.DUMMYFUNCTION("""COMPUTED_VALUE"""),0.0)</f>
        <v>0</v>
      </c>
      <c r="F190" s="3">
        <f>IFERROR(__xludf.DUMMYFUNCTION("""COMPUTED_VALUE"""),0.0)</f>
        <v>0</v>
      </c>
      <c r="G190" s="3">
        <f>IFERROR(__xludf.DUMMYFUNCTION("""COMPUTED_VALUE"""),0.0)</f>
        <v>0</v>
      </c>
      <c r="H190" s="3">
        <f>IFERROR(__xludf.DUMMYFUNCTION("""COMPUTED_VALUE"""),0.0)</f>
        <v>0</v>
      </c>
      <c r="I190" s="3">
        <f>IFERROR(__xludf.DUMMYFUNCTION("""COMPUTED_VALUE"""),0.0)</f>
        <v>0</v>
      </c>
      <c r="J190" s="3">
        <f>IFERROR(__xludf.DUMMYFUNCTION("""COMPUTED_VALUE"""),0.0)</f>
        <v>0</v>
      </c>
      <c r="K190" s="3">
        <f>IFERROR(__xludf.DUMMYFUNCTION("""COMPUTED_VALUE"""),0.0)</f>
        <v>0</v>
      </c>
      <c r="L190" s="3">
        <f>IFERROR(__xludf.DUMMYFUNCTION("""COMPUTED_VALUE"""),0.0)</f>
        <v>0</v>
      </c>
      <c r="M190" s="3">
        <f>IFERROR(__xludf.DUMMYFUNCTION("""COMPUTED_VALUE"""),0.0)</f>
        <v>0</v>
      </c>
      <c r="N190" s="3">
        <f>IFERROR(__xludf.DUMMYFUNCTION("""COMPUTED_VALUE"""),0.0)</f>
        <v>0</v>
      </c>
      <c r="O190" s="3">
        <f>IFERROR(__xludf.DUMMYFUNCTION("""COMPUTED_VALUE"""),0.0)</f>
        <v>0</v>
      </c>
      <c r="P190" s="3">
        <f>IFERROR(__xludf.DUMMYFUNCTION("""COMPUTED_VALUE"""),0.0)</f>
        <v>0</v>
      </c>
      <c r="Q190" s="3">
        <f>IFERROR(__xludf.DUMMYFUNCTION("""COMPUTED_VALUE"""),0.0)</f>
        <v>0</v>
      </c>
      <c r="R190" s="3">
        <f>IFERROR(__xludf.DUMMYFUNCTION("""COMPUTED_VALUE"""),0.0)</f>
        <v>0</v>
      </c>
      <c r="S190" s="3">
        <f>IFERROR(__xludf.DUMMYFUNCTION("""COMPUTED_VALUE"""),0.0)</f>
        <v>0</v>
      </c>
      <c r="T190" s="3">
        <f>IFERROR(__xludf.DUMMYFUNCTION("""COMPUTED_VALUE"""),0.0)</f>
        <v>0</v>
      </c>
      <c r="U190" s="3">
        <f>IFERROR(__xludf.DUMMYFUNCTION("""COMPUTED_VALUE"""),0.0)</f>
        <v>0</v>
      </c>
      <c r="V190" s="3">
        <f>IFERROR(__xludf.DUMMYFUNCTION("""COMPUTED_VALUE"""),0.0)</f>
        <v>0</v>
      </c>
      <c r="W190" s="3">
        <f>IFERROR(__xludf.DUMMYFUNCTION("""COMPUTED_VALUE"""),0.0)</f>
        <v>0</v>
      </c>
      <c r="X190" s="3">
        <f>IFERROR(__xludf.DUMMYFUNCTION("""COMPUTED_VALUE"""),0.0)</f>
        <v>0</v>
      </c>
      <c r="Y190" s="3">
        <f>IFERROR(__xludf.DUMMYFUNCTION("""COMPUTED_VALUE"""),0.0)</f>
        <v>0</v>
      </c>
      <c r="Z190" s="3">
        <f>IFERROR(__xludf.DUMMYFUNCTION("""COMPUTED_VALUE"""),0.0)</f>
        <v>0</v>
      </c>
      <c r="AA190" s="3">
        <f>IFERROR(__xludf.DUMMYFUNCTION("""COMPUTED_VALUE"""),0.0)</f>
        <v>0</v>
      </c>
      <c r="AB190" s="3">
        <f>IFERROR(__xludf.DUMMYFUNCTION("""COMPUTED_VALUE"""),0.0)</f>
        <v>0</v>
      </c>
      <c r="AC190" s="3">
        <f>IFERROR(__xludf.DUMMYFUNCTION("""COMPUTED_VALUE"""),0.0)</f>
        <v>0</v>
      </c>
      <c r="AD190" s="3">
        <f>IFERROR(__xludf.DUMMYFUNCTION("""COMPUTED_VALUE"""),0.0)</f>
        <v>0</v>
      </c>
      <c r="AE190" s="3">
        <f>IFERROR(__xludf.DUMMYFUNCTION("""COMPUTED_VALUE"""),0.0)</f>
        <v>0</v>
      </c>
      <c r="AF190" s="3">
        <f>IFERROR(__xludf.DUMMYFUNCTION("""COMPUTED_VALUE"""),0.0)</f>
        <v>0</v>
      </c>
      <c r="AG190" s="3">
        <f>IFERROR(__xludf.DUMMYFUNCTION("""COMPUTED_VALUE"""),0.0)</f>
        <v>0</v>
      </c>
      <c r="AH190" s="3">
        <f>IFERROR(__xludf.DUMMYFUNCTION("""COMPUTED_VALUE"""),0.0)</f>
        <v>0</v>
      </c>
      <c r="AI190" s="3">
        <f>IFERROR(__xludf.DUMMYFUNCTION("""COMPUTED_VALUE"""),0.0)</f>
        <v>0</v>
      </c>
      <c r="AJ190" s="3">
        <f>IFERROR(__xludf.DUMMYFUNCTION("""COMPUTED_VALUE"""),0.0)</f>
        <v>0</v>
      </c>
      <c r="AK190" s="3">
        <f>IFERROR(__xludf.DUMMYFUNCTION("""COMPUTED_VALUE"""),0.0)</f>
        <v>0</v>
      </c>
      <c r="AL190" s="3">
        <f>IFERROR(__xludf.DUMMYFUNCTION("""COMPUTED_VALUE"""),0.0)</f>
        <v>0</v>
      </c>
      <c r="AM190" s="3">
        <f>IFERROR(__xludf.DUMMYFUNCTION("""COMPUTED_VALUE"""),0.0)</f>
        <v>0</v>
      </c>
      <c r="AN190" s="3">
        <f>IFERROR(__xludf.DUMMYFUNCTION("""COMPUTED_VALUE"""),0.0)</f>
        <v>0</v>
      </c>
      <c r="AO190" s="3">
        <f>IFERROR(__xludf.DUMMYFUNCTION("""COMPUTED_VALUE"""),0.0)</f>
        <v>0</v>
      </c>
      <c r="AP190" s="3">
        <f>IFERROR(__xludf.DUMMYFUNCTION("""COMPUTED_VALUE"""),0.0)</f>
        <v>0</v>
      </c>
      <c r="AQ190" s="3">
        <f>IFERROR(__xludf.DUMMYFUNCTION("""COMPUTED_VALUE"""),0.0)</f>
        <v>0</v>
      </c>
      <c r="AR190" s="3">
        <f>IFERROR(__xludf.DUMMYFUNCTION("""COMPUTED_VALUE"""),0.0)</f>
        <v>0</v>
      </c>
      <c r="AS190" s="3">
        <f>IFERROR(__xludf.DUMMYFUNCTION("""COMPUTED_VALUE"""),0.0)</f>
        <v>0</v>
      </c>
      <c r="AT190" s="3">
        <f>IFERROR(__xludf.DUMMYFUNCTION("""COMPUTED_VALUE"""),0.0)</f>
        <v>0</v>
      </c>
      <c r="AU190" s="3">
        <f>IFERROR(__xludf.DUMMYFUNCTION("""COMPUTED_VALUE"""),0.0)</f>
        <v>0</v>
      </c>
      <c r="AV190" s="3">
        <f>IFERROR(__xludf.DUMMYFUNCTION("""COMPUTED_VALUE"""),0.0)</f>
        <v>0</v>
      </c>
      <c r="AW190" s="3">
        <f>IFERROR(__xludf.DUMMYFUNCTION("""COMPUTED_VALUE"""),0.0)</f>
        <v>0</v>
      </c>
      <c r="AX190" s="3">
        <f>IFERROR(__xludf.DUMMYFUNCTION("""COMPUTED_VALUE"""),0.0)</f>
        <v>0</v>
      </c>
      <c r="AY190" s="3">
        <f>IFERROR(__xludf.DUMMYFUNCTION("""COMPUTED_VALUE"""),0.0)</f>
        <v>0</v>
      </c>
      <c r="AZ190" s="3">
        <f>IFERROR(__xludf.DUMMYFUNCTION("""COMPUTED_VALUE"""),0.0)</f>
        <v>0</v>
      </c>
      <c r="BA190" s="3">
        <f>IFERROR(__xludf.DUMMYFUNCTION("""COMPUTED_VALUE"""),0.0)</f>
        <v>0</v>
      </c>
      <c r="BB190" s="3">
        <f>IFERROR(__xludf.DUMMYFUNCTION("""COMPUTED_VALUE"""),0.0)</f>
        <v>0</v>
      </c>
      <c r="BC190" s="3">
        <f>IFERROR(__xludf.DUMMYFUNCTION("""COMPUTED_VALUE"""),0.0)</f>
        <v>0</v>
      </c>
      <c r="BD190" s="3">
        <f>IFERROR(__xludf.DUMMYFUNCTION("""COMPUTED_VALUE"""),0.0)</f>
        <v>0</v>
      </c>
      <c r="BE190" s="3">
        <f>IFERROR(__xludf.DUMMYFUNCTION("""COMPUTED_VALUE"""),0.0)</f>
        <v>0</v>
      </c>
      <c r="BF190" s="3">
        <f>IFERROR(__xludf.DUMMYFUNCTION("""COMPUTED_VALUE"""),0.0)</f>
        <v>0</v>
      </c>
      <c r="BG190" s="3">
        <f>IFERROR(__xludf.DUMMYFUNCTION("""COMPUTED_VALUE"""),0.0)</f>
        <v>0</v>
      </c>
      <c r="BH190" s="3">
        <f>IFERROR(__xludf.DUMMYFUNCTION("""COMPUTED_VALUE"""),0.0)</f>
        <v>0</v>
      </c>
      <c r="BI190" s="3">
        <f>IFERROR(__xludf.DUMMYFUNCTION("""COMPUTED_VALUE"""),0.0)</f>
        <v>0</v>
      </c>
      <c r="BJ190" s="3">
        <f>IFERROR(__xludf.DUMMYFUNCTION("""COMPUTED_VALUE"""),0.0)</f>
        <v>0</v>
      </c>
      <c r="BK190" s="3">
        <f>IFERROR(__xludf.DUMMYFUNCTION("""COMPUTED_VALUE"""),0.0)</f>
        <v>0</v>
      </c>
      <c r="BL190" s="3">
        <f>IFERROR(__xludf.DUMMYFUNCTION("""COMPUTED_VALUE"""),0.0)</f>
        <v>0</v>
      </c>
      <c r="BM190" s="3">
        <f>IFERROR(__xludf.DUMMYFUNCTION("""COMPUTED_VALUE"""),0.0)</f>
        <v>0</v>
      </c>
      <c r="BN190" s="3">
        <f>IFERROR(__xludf.DUMMYFUNCTION("""COMPUTED_VALUE"""),0.0)</f>
        <v>0</v>
      </c>
      <c r="BO190" s="3">
        <f>IFERROR(__xludf.DUMMYFUNCTION("""COMPUTED_VALUE"""),0.0)</f>
        <v>0</v>
      </c>
      <c r="BP190" s="3">
        <f>IFERROR(__xludf.DUMMYFUNCTION("""COMPUTED_VALUE"""),0.0)</f>
        <v>0</v>
      </c>
      <c r="BQ190" s="3">
        <f>IFERROR(__xludf.DUMMYFUNCTION("""COMPUTED_VALUE"""),0.0)</f>
        <v>0</v>
      </c>
      <c r="BR190" s="3">
        <f>IFERROR(__xludf.DUMMYFUNCTION("""COMPUTED_VALUE"""),0.0)</f>
        <v>0</v>
      </c>
      <c r="BS190" s="3">
        <f>IFERROR(__xludf.DUMMYFUNCTION("""COMPUTED_VALUE"""),0.0)</f>
        <v>0</v>
      </c>
      <c r="BT190" s="3">
        <f>IFERROR(__xludf.DUMMYFUNCTION("""COMPUTED_VALUE"""),0.0)</f>
        <v>0</v>
      </c>
      <c r="BU190" s="3">
        <f>IFERROR(__xludf.DUMMYFUNCTION("""COMPUTED_VALUE"""),0.0)</f>
        <v>0</v>
      </c>
      <c r="BV190" s="3">
        <f>IFERROR(__xludf.DUMMYFUNCTION("""COMPUTED_VALUE"""),0.0)</f>
        <v>0</v>
      </c>
      <c r="BW190" s="3">
        <f>IFERROR(__xludf.DUMMYFUNCTION("""COMPUTED_VALUE"""),0.0)</f>
        <v>0</v>
      </c>
      <c r="BX190" s="3">
        <f>IFERROR(__xludf.DUMMYFUNCTION("""COMPUTED_VALUE"""),0.0)</f>
        <v>0</v>
      </c>
      <c r="BY190" s="3">
        <f>IFERROR(__xludf.DUMMYFUNCTION("""COMPUTED_VALUE"""),0.0)</f>
        <v>0</v>
      </c>
      <c r="BZ190" s="3">
        <f>IFERROR(__xludf.DUMMYFUNCTION("""COMPUTED_VALUE"""),0.0)</f>
        <v>0</v>
      </c>
      <c r="CA190" s="3">
        <f>IFERROR(__xludf.DUMMYFUNCTION("""COMPUTED_VALUE"""),0.0)</f>
        <v>0</v>
      </c>
      <c r="CB190" s="3">
        <f>IFERROR(__xludf.DUMMYFUNCTION("""COMPUTED_VALUE"""),0.0)</f>
        <v>0</v>
      </c>
    </row>
    <row r="191">
      <c r="A191" s="3" t="str">
        <f>IFERROR(__xludf.DUMMYFUNCTION("""COMPUTED_VALUE"""),"")</f>
        <v/>
      </c>
      <c r="B191" s="3" t="str">
        <f>IFERROR(__xludf.DUMMYFUNCTION("""COMPUTED_VALUE"""),"Saint Lucia")</f>
        <v>Saint Lucia</v>
      </c>
      <c r="C191" s="3">
        <f>IFERROR(__xludf.DUMMYFUNCTION("""COMPUTED_VALUE"""),13.9094)</f>
        <v>13.9094</v>
      </c>
      <c r="D191" s="3">
        <f>IFERROR(__xludf.DUMMYFUNCTION("""COMPUTED_VALUE"""),-60.9789)</f>
        <v>-60.9789</v>
      </c>
      <c r="E191" s="3">
        <f>IFERROR(__xludf.DUMMYFUNCTION("""COMPUTED_VALUE"""),0.0)</f>
        <v>0</v>
      </c>
      <c r="F191" s="3">
        <f>IFERROR(__xludf.DUMMYFUNCTION("""COMPUTED_VALUE"""),0.0)</f>
        <v>0</v>
      </c>
      <c r="G191" s="3">
        <f>IFERROR(__xludf.DUMMYFUNCTION("""COMPUTED_VALUE"""),0.0)</f>
        <v>0</v>
      </c>
      <c r="H191" s="3">
        <f>IFERROR(__xludf.DUMMYFUNCTION("""COMPUTED_VALUE"""),0.0)</f>
        <v>0</v>
      </c>
      <c r="I191" s="3">
        <f>IFERROR(__xludf.DUMMYFUNCTION("""COMPUTED_VALUE"""),0.0)</f>
        <v>0</v>
      </c>
      <c r="J191" s="3">
        <f>IFERROR(__xludf.DUMMYFUNCTION("""COMPUTED_VALUE"""),0.0)</f>
        <v>0</v>
      </c>
      <c r="K191" s="3">
        <f>IFERROR(__xludf.DUMMYFUNCTION("""COMPUTED_VALUE"""),0.0)</f>
        <v>0</v>
      </c>
      <c r="L191" s="3">
        <f>IFERROR(__xludf.DUMMYFUNCTION("""COMPUTED_VALUE"""),0.0)</f>
        <v>0</v>
      </c>
      <c r="M191" s="3">
        <f>IFERROR(__xludf.DUMMYFUNCTION("""COMPUTED_VALUE"""),0.0)</f>
        <v>0</v>
      </c>
      <c r="N191" s="3">
        <f>IFERROR(__xludf.DUMMYFUNCTION("""COMPUTED_VALUE"""),0.0)</f>
        <v>0</v>
      </c>
      <c r="O191" s="3">
        <f>IFERROR(__xludf.DUMMYFUNCTION("""COMPUTED_VALUE"""),0.0)</f>
        <v>0</v>
      </c>
      <c r="P191" s="3">
        <f>IFERROR(__xludf.DUMMYFUNCTION("""COMPUTED_VALUE"""),0.0)</f>
        <v>0</v>
      </c>
      <c r="Q191" s="3">
        <f>IFERROR(__xludf.DUMMYFUNCTION("""COMPUTED_VALUE"""),0.0)</f>
        <v>0</v>
      </c>
      <c r="R191" s="3">
        <f>IFERROR(__xludf.DUMMYFUNCTION("""COMPUTED_VALUE"""),0.0)</f>
        <v>0</v>
      </c>
      <c r="S191" s="3">
        <f>IFERROR(__xludf.DUMMYFUNCTION("""COMPUTED_VALUE"""),0.0)</f>
        <v>0</v>
      </c>
      <c r="T191" s="3">
        <f>IFERROR(__xludf.DUMMYFUNCTION("""COMPUTED_VALUE"""),0.0)</f>
        <v>0</v>
      </c>
      <c r="U191" s="3">
        <f>IFERROR(__xludf.DUMMYFUNCTION("""COMPUTED_VALUE"""),0.0)</f>
        <v>0</v>
      </c>
      <c r="V191" s="3">
        <f>IFERROR(__xludf.DUMMYFUNCTION("""COMPUTED_VALUE"""),0.0)</f>
        <v>0</v>
      </c>
      <c r="W191" s="3">
        <f>IFERROR(__xludf.DUMMYFUNCTION("""COMPUTED_VALUE"""),0.0)</f>
        <v>0</v>
      </c>
      <c r="X191" s="3">
        <f>IFERROR(__xludf.DUMMYFUNCTION("""COMPUTED_VALUE"""),0.0)</f>
        <v>0</v>
      </c>
      <c r="Y191" s="3">
        <f>IFERROR(__xludf.DUMMYFUNCTION("""COMPUTED_VALUE"""),0.0)</f>
        <v>0</v>
      </c>
      <c r="Z191" s="3">
        <f>IFERROR(__xludf.DUMMYFUNCTION("""COMPUTED_VALUE"""),0.0)</f>
        <v>0</v>
      </c>
      <c r="AA191" s="3">
        <f>IFERROR(__xludf.DUMMYFUNCTION("""COMPUTED_VALUE"""),0.0)</f>
        <v>0</v>
      </c>
      <c r="AB191" s="3">
        <f>IFERROR(__xludf.DUMMYFUNCTION("""COMPUTED_VALUE"""),0.0)</f>
        <v>0</v>
      </c>
      <c r="AC191" s="3">
        <f>IFERROR(__xludf.DUMMYFUNCTION("""COMPUTED_VALUE"""),0.0)</f>
        <v>0</v>
      </c>
      <c r="AD191" s="3">
        <f>IFERROR(__xludf.DUMMYFUNCTION("""COMPUTED_VALUE"""),0.0)</f>
        <v>0</v>
      </c>
      <c r="AE191" s="3">
        <f>IFERROR(__xludf.DUMMYFUNCTION("""COMPUTED_VALUE"""),0.0)</f>
        <v>0</v>
      </c>
      <c r="AF191" s="3">
        <f>IFERROR(__xludf.DUMMYFUNCTION("""COMPUTED_VALUE"""),0.0)</f>
        <v>0</v>
      </c>
      <c r="AG191" s="3">
        <f>IFERROR(__xludf.DUMMYFUNCTION("""COMPUTED_VALUE"""),0.0)</f>
        <v>0</v>
      </c>
      <c r="AH191" s="3">
        <f>IFERROR(__xludf.DUMMYFUNCTION("""COMPUTED_VALUE"""),0.0)</f>
        <v>0</v>
      </c>
      <c r="AI191" s="3">
        <f>IFERROR(__xludf.DUMMYFUNCTION("""COMPUTED_VALUE"""),0.0)</f>
        <v>0</v>
      </c>
      <c r="AJ191" s="3">
        <f>IFERROR(__xludf.DUMMYFUNCTION("""COMPUTED_VALUE"""),0.0)</f>
        <v>0</v>
      </c>
      <c r="AK191" s="3">
        <f>IFERROR(__xludf.DUMMYFUNCTION("""COMPUTED_VALUE"""),0.0)</f>
        <v>0</v>
      </c>
      <c r="AL191" s="3">
        <f>IFERROR(__xludf.DUMMYFUNCTION("""COMPUTED_VALUE"""),0.0)</f>
        <v>0</v>
      </c>
      <c r="AM191" s="3">
        <f>IFERROR(__xludf.DUMMYFUNCTION("""COMPUTED_VALUE"""),0.0)</f>
        <v>0</v>
      </c>
      <c r="AN191" s="3">
        <f>IFERROR(__xludf.DUMMYFUNCTION("""COMPUTED_VALUE"""),0.0)</f>
        <v>0</v>
      </c>
      <c r="AO191" s="3">
        <f>IFERROR(__xludf.DUMMYFUNCTION("""COMPUTED_VALUE"""),0.0)</f>
        <v>0</v>
      </c>
      <c r="AP191" s="3">
        <f>IFERROR(__xludf.DUMMYFUNCTION("""COMPUTED_VALUE"""),0.0)</f>
        <v>0</v>
      </c>
      <c r="AQ191" s="3">
        <f>IFERROR(__xludf.DUMMYFUNCTION("""COMPUTED_VALUE"""),0.0)</f>
        <v>0</v>
      </c>
      <c r="AR191" s="3">
        <f>IFERROR(__xludf.DUMMYFUNCTION("""COMPUTED_VALUE"""),0.0)</f>
        <v>0</v>
      </c>
      <c r="AS191" s="3">
        <f>IFERROR(__xludf.DUMMYFUNCTION("""COMPUTED_VALUE"""),0.0)</f>
        <v>0</v>
      </c>
      <c r="AT191" s="3">
        <f>IFERROR(__xludf.DUMMYFUNCTION("""COMPUTED_VALUE"""),0.0)</f>
        <v>0</v>
      </c>
      <c r="AU191" s="3">
        <f>IFERROR(__xludf.DUMMYFUNCTION("""COMPUTED_VALUE"""),0.0)</f>
        <v>0</v>
      </c>
      <c r="AV191" s="3">
        <f>IFERROR(__xludf.DUMMYFUNCTION("""COMPUTED_VALUE"""),0.0)</f>
        <v>0</v>
      </c>
      <c r="AW191" s="3">
        <f>IFERROR(__xludf.DUMMYFUNCTION("""COMPUTED_VALUE"""),0.0)</f>
        <v>0</v>
      </c>
      <c r="AX191" s="3">
        <f>IFERROR(__xludf.DUMMYFUNCTION("""COMPUTED_VALUE"""),0.0)</f>
        <v>0</v>
      </c>
      <c r="AY191" s="3">
        <f>IFERROR(__xludf.DUMMYFUNCTION("""COMPUTED_VALUE"""),0.0)</f>
        <v>0</v>
      </c>
      <c r="AZ191" s="3">
        <f>IFERROR(__xludf.DUMMYFUNCTION("""COMPUTED_VALUE"""),0.0)</f>
        <v>0</v>
      </c>
      <c r="BA191" s="3">
        <f>IFERROR(__xludf.DUMMYFUNCTION("""COMPUTED_VALUE"""),0.0)</f>
        <v>0</v>
      </c>
      <c r="BB191" s="3">
        <f>IFERROR(__xludf.DUMMYFUNCTION("""COMPUTED_VALUE"""),0.0)</f>
        <v>0</v>
      </c>
      <c r="BC191" s="3">
        <f>IFERROR(__xludf.DUMMYFUNCTION("""COMPUTED_VALUE"""),0.0)</f>
        <v>0</v>
      </c>
      <c r="BD191" s="3">
        <f>IFERROR(__xludf.DUMMYFUNCTION("""COMPUTED_VALUE"""),0.0)</f>
        <v>0</v>
      </c>
      <c r="BE191" s="3">
        <f>IFERROR(__xludf.DUMMYFUNCTION("""COMPUTED_VALUE"""),0.0)</f>
        <v>0</v>
      </c>
      <c r="BF191" s="3">
        <f>IFERROR(__xludf.DUMMYFUNCTION("""COMPUTED_VALUE"""),0.0)</f>
        <v>0</v>
      </c>
      <c r="BG191" s="3">
        <f>IFERROR(__xludf.DUMMYFUNCTION("""COMPUTED_VALUE"""),0.0)</f>
        <v>0</v>
      </c>
      <c r="BH191" s="3">
        <f>IFERROR(__xludf.DUMMYFUNCTION("""COMPUTED_VALUE"""),0.0)</f>
        <v>0</v>
      </c>
      <c r="BI191" s="3">
        <f>IFERROR(__xludf.DUMMYFUNCTION("""COMPUTED_VALUE"""),0.0)</f>
        <v>0</v>
      </c>
      <c r="BJ191" s="3">
        <f>IFERROR(__xludf.DUMMYFUNCTION("""COMPUTED_VALUE"""),0.0)</f>
        <v>0</v>
      </c>
      <c r="BK191" s="3">
        <f>IFERROR(__xludf.DUMMYFUNCTION("""COMPUTED_VALUE"""),0.0)</f>
        <v>0</v>
      </c>
      <c r="BL191" s="3">
        <f>IFERROR(__xludf.DUMMYFUNCTION("""COMPUTED_VALUE"""),0.0)</f>
        <v>0</v>
      </c>
      <c r="BM191" s="3">
        <f>IFERROR(__xludf.DUMMYFUNCTION("""COMPUTED_VALUE"""),0.0)</f>
        <v>0</v>
      </c>
      <c r="BN191" s="3">
        <f>IFERROR(__xludf.DUMMYFUNCTION("""COMPUTED_VALUE"""),0.0)</f>
        <v>0</v>
      </c>
      <c r="BO191" s="3">
        <f>IFERROR(__xludf.DUMMYFUNCTION("""COMPUTED_VALUE"""),0.0)</f>
        <v>0</v>
      </c>
      <c r="BP191" s="3">
        <f>IFERROR(__xludf.DUMMYFUNCTION("""COMPUTED_VALUE"""),0.0)</f>
        <v>0</v>
      </c>
      <c r="BQ191" s="3">
        <f>IFERROR(__xludf.DUMMYFUNCTION("""COMPUTED_VALUE"""),0.0)</f>
        <v>0</v>
      </c>
      <c r="BR191" s="3">
        <f>IFERROR(__xludf.DUMMYFUNCTION("""COMPUTED_VALUE"""),0.0)</f>
        <v>0</v>
      </c>
      <c r="BS191" s="3">
        <f>IFERROR(__xludf.DUMMYFUNCTION("""COMPUTED_VALUE"""),0.0)</f>
        <v>0</v>
      </c>
      <c r="BT191" s="3">
        <f>IFERROR(__xludf.DUMMYFUNCTION("""COMPUTED_VALUE"""),0.0)</f>
        <v>0</v>
      </c>
      <c r="BU191" s="3">
        <f>IFERROR(__xludf.DUMMYFUNCTION("""COMPUTED_VALUE"""),0.0)</f>
        <v>0</v>
      </c>
      <c r="BV191" s="3">
        <f>IFERROR(__xludf.DUMMYFUNCTION("""COMPUTED_VALUE"""),0.0)</f>
        <v>0</v>
      </c>
      <c r="BW191" s="3">
        <f>IFERROR(__xludf.DUMMYFUNCTION("""COMPUTED_VALUE"""),0.0)</f>
        <v>0</v>
      </c>
      <c r="BX191" s="3">
        <f>IFERROR(__xludf.DUMMYFUNCTION("""COMPUTED_VALUE"""),0.0)</f>
        <v>0</v>
      </c>
      <c r="BY191" s="3">
        <f>IFERROR(__xludf.DUMMYFUNCTION("""COMPUTED_VALUE"""),0.0)</f>
        <v>0</v>
      </c>
      <c r="BZ191" s="3">
        <f>IFERROR(__xludf.DUMMYFUNCTION("""COMPUTED_VALUE"""),0.0)</f>
        <v>0</v>
      </c>
      <c r="CA191" s="3">
        <f>IFERROR(__xludf.DUMMYFUNCTION("""COMPUTED_VALUE"""),0.0)</f>
        <v>0</v>
      </c>
      <c r="CB191" s="3">
        <f>IFERROR(__xludf.DUMMYFUNCTION("""COMPUTED_VALUE"""),0.0)</f>
        <v>0</v>
      </c>
    </row>
    <row r="192">
      <c r="A192" s="3" t="str">
        <f>IFERROR(__xludf.DUMMYFUNCTION("""COMPUTED_VALUE"""),"")</f>
        <v/>
      </c>
      <c r="B192" s="3" t="str">
        <f>IFERROR(__xludf.DUMMYFUNCTION("""COMPUTED_VALUE"""),"Saint Vincent and the Grenadines")</f>
        <v>Saint Vincent and the Grenadines</v>
      </c>
      <c r="C192" s="3">
        <f>IFERROR(__xludf.DUMMYFUNCTION("""COMPUTED_VALUE"""),12.9843)</f>
        <v>12.9843</v>
      </c>
      <c r="D192" s="3">
        <f>IFERROR(__xludf.DUMMYFUNCTION("""COMPUTED_VALUE"""),-61.2872)</f>
        <v>-61.2872</v>
      </c>
      <c r="E192" s="3">
        <f>IFERROR(__xludf.DUMMYFUNCTION("""COMPUTED_VALUE"""),0.0)</f>
        <v>0</v>
      </c>
      <c r="F192" s="3">
        <f>IFERROR(__xludf.DUMMYFUNCTION("""COMPUTED_VALUE"""),0.0)</f>
        <v>0</v>
      </c>
      <c r="G192" s="3">
        <f>IFERROR(__xludf.DUMMYFUNCTION("""COMPUTED_VALUE"""),0.0)</f>
        <v>0</v>
      </c>
      <c r="H192" s="3">
        <f>IFERROR(__xludf.DUMMYFUNCTION("""COMPUTED_VALUE"""),0.0)</f>
        <v>0</v>
      </c>
      <c r="I192" s="3">
        <f>IFERROR(__xludf.DUMMYFUNCTION("""COMPUTED_VALUE"""),0.0)</f>
        <v>0</v>
      </c>
      <c r="J192" s="3">
        <f>IFERROR(__xludf.DUMMYFUNCTION("""COMPUTED_VALUE"""),0.0)</f>
        <v>0</v>
      </c>
      <c r="K192" s="3">
        <f>IFERROR(__xludf.DUMMYFUNCTION("""COMPUTED_VALUE"""),0.0)</f>
        <v>0</v>
      </c>
      <c r="L192" s="3">
        <f>IFERROR(__xludf.DUMMYFUNCTION("""COMPUTED_VALUE"""),0.0)</f>
        <v>0</v>
      </c>
      <c r="M192" s="3">
        <f>IFERROR(__xludf.DUMMYFUNCTION("""COMPUTED_VALUE"""),0.0)</f>
        <v>0</v>
      </c>
      <c r="N192" s="3">
        <f>IFERROR(__xludf.DUMMYFUNCTION("""COMPUTED_VALUE"""),0.0)</f>
        <v>0</v>
      </c>
      <c r="O192" s="3">
        <f>IFERROR(__xludf.DUMMYFUNCTION("""COMPUTED_VALUE"""),0.0)</f>
        <v>0</v>
      </c>
      <c r="P192" s="3">
        <f>IFERROR(__xludf.DUMMYFUNCTION("""COMPUTED_VALUE"""),0.0)</f>
        <v>0</v>
      </c>
      <c r="Q192" s="3">
        <f>IFERROR(__xludf.DUMMYFUNCTION("""COMPUTED_VALUE"""),0.0)</f>
        <v>0</v>
      </c>
      <c r="R192" s="3">
        <f>IFERROR(__xludf.DUMMYFUNCTION("""COMPUTED_VALUE"""),0.0)</f>
        <v>0</v>
      </c>
      <c r="S192" s="3">
        <f>IFERROR(__xludf.DUMMYFUNCTION("""COMPUTED_VALUE"""),0.0)</f>
        <v>0</v>
      </c>
      <c r="T192" s="3">
        <f>IFERROR(__xludf.DUMMYFUNCTION("""COMPUTED_VALUE"""),0.0)</f>
        <v>0</v>
      </c>
      <c r="U192" s="3">
        <f>IFERROR(__xludf.DUMMYFUNCTION("""COMPUTED_VALUE"""),0.0)</f>
        <v>0</v>
      </c>
      <c r="V192" s="3">
        <f>IFERROR(__xludf.DUMMYFUNCTION("""COMPUTED_VALUE"""),0.0)</f>
        <v>0</v>
      </c>
      <c r="W192" s="3">
        <f>IFERROR(__xludf.DUMMYFUNCTION("""COMPUTED_VALUE"""),0.0)</f>
        <v>0</v>
      </c>
      <c r="X192" s="3">
        <f>IFERROR(__xludf.DUMMYFUNCTION("""COMPUTED_VALUE"""),0.0)</f>
        <v>0</v>
      </c>
      <c r="Y192" s="3">
        <f>IFERROR(__xludf.DUMMYFUNCTION("""COMPUTED_VALUE"""),0.0)</f>
        <v>0</v>
      </c>
      <c r="Z192" s="3">
        <f>IFERROR(__xludf.DUMMYFUNCTION("""COMPUTED_VALUE"""),0.0)</f>
        <v>0</v>
      </c>
      <c r="AA192" s="3">
        <f>IFERROR(__xludf.DUMMYFUNCTION("""COMPUTED_VALUE"""),0.0)</f>
        <v>0</v>
      </c>
      <c r="AB192" s="3">
        <f>IFERROR(__xludf.DUMMYFUNCTION("""COMPUTED_VALUE"""),0.0)</f>
        <v>0</v>
      </c>
      <c r="AC192" s="3">
        <f>IFERROR(__xludf.DUMMYFUNCTION("""COMPUTED_VALUE"""),0.0)</f>
        <v>0</v>
      </c>
      <c r="AD192" s="3">
        <f>IFERROR(__xludf.DUMMYFUNCTION("""COMPUTED_VALUE"""),0.0)</f>
        <v>0</v>
      </c>
      <c r="AE192" s="3">
        <f>IFERROR(__xludf.DUMMYFUNCTION("""COMPUTED_VALUE"""),0.0)</f>
        <v>0</v>
      </c>
      <c r="AF192" s="3">
        <f>IFERROR(__xludf.DUMMYFUNCTION("""COMPUTED_VALUE"""),0.0)</f>
        <v>0</v>
      </c>
      <c r="AG192" s="3">
        <f>IFERROR(__xludf.DUMMYFUNCTION("""COMPUTED_VALUE"""),0.0)</f>
        <v>0</v>
      </c>
      <c r="AH192" s="3">
        <f>IFERROR(__xludf.DUMMYFUNCTION("""COMPUTED_VALUE"""),0.0)</f>
        <v>0</v>
      </c>
      <c r="AI192" s="3">
        <f>IFERROR(__xludf.DUMMYFUNCTION("""COMPUTED_VALUE"""),0.0)</f>
        <v>0</v>
      </c>
      <c r="AJ192" s="3">
        <f>IFERROR(__xludf.DUMMYFUNCTION("""COMPUTED_VALUE"""),0.0)</f>
        <v>0</v>
      </c>
      <c r="AK192" s="3">
        <f>IFERROR(__xludf.DUMMYFUNCTION("""COMPUTED_VALUE"""),0.0)</f>
        <v>0</v>
      </c>
      <c r="AL192" s="3">
        <f>IFERROR(__xludf.DUMMYFUNCTION("""COMPUTED_VALUE"""),0.0)</f>
        <v>0</v>
      </c>
      <c r="AM192" s="3">
        <f>IFERROR(__xludf.DUMMYFUNCTION("""COMPUTED_VALUE"""),0.0)</f>
        <v>0</v>
      </c>
      <c r="AN192" s="3">
        <f>IFERROR(__xludf.DUMMYFUNCTION("""COMPUTED_VALUE"""),0.0)</f>
        <v>0</v>
      </c>
      <c r="AO192" s="3">
        <f>IFERROR(__xludf.DUMMYFUNCTION("""COMPUTED_VALUE"""),0.0)</f>
        <v>0</v>
      </c>
      <c r="AP192" s="3">
        <f>IFERROR(__xludf.DUMMYFUNCTION("""COMPUTED_VALUE"""),0.0)</f>
        <v>0</v>
      </c>
      <c r="AQ192" s="3">
        <f>IFERROR(__xludf.DUMMYFUNCTION("""COMPUTED_VALUE"""),0.0)</f>
        <v>0</v>
      </c>
      <c r="AR192" s="3">
        <f>IFERROR(__xludf.DUMMYFUNCTION("""COMPUTED_VALUE"""),0.0)</f>
        <v>0</v>
      </c>
      <c r="AS192" s="3">
        <f>IFERROR(__xludf.DUMMYFUNCTION("""COMPUTED_VALUE"""),0.0)</f>
        <v>0</v>
      </c>
      <c r="AT192" s="3">
        <f>IFERROR(__xludf.DUMMYFUNCTION("""COMPUTED_VALUE"""),0.0)</f>
        <v>0</v>
      </c>
      <c r="AU192" s="3">
        <f>IFERROR(__xludf.DUMMYFUNCTION("""COMPUTED_VALUE"""),0.0)</f>
        <v>0</v>
      </c>
      <c r="AV192" s="3">
        <f>IFERROR(__xludf.DUMMYFUNCTION("""COMPUTED_VALUE"""),0.0)</f>
        <v>0</v>
      </c>
      <c r="AW192" s="3">
        <f>IFERROR(__xludf.DUMMYFUNCTION("""COMPUTED_VALUE"""),0.0)</f>
        <v>0</v>
      </c>
      <c r="AX192" s="3">
        <f>IFERROR(__xludf.DUMMYFUNCTION("""COMPUTED_VALUE"""),0.0)</f>
        <v>0</v>
      </c>
      <c r="AY192" s="3">
        <f>IFERROR(__xludf.DUMMYFUNCTION("""COMPUTED_VALUE"""),0.0)</f>
        <v>0</v>
      </c>
      <c r="AZ192" s="3">
        <f>IFERROR(__xludf.DUMMYFUNCTION("""COMPUTED_VALUE"""),0.0)</f>
        <v>0</v>
      </c>
      <c r="BA192" s="3">
        <f>IFERROR(__xludf.DUMMYFUNCTION("""COMPUTED_VALUE"""),0.0)</f>
        <v>0</v>
      </c>
      <c r="BB192" s="3">
        <f>IFERROR(__xludf.DUMMYFUNCTION("""COMPUTED_VALUE"""),0.0)</f>
        <v>0</v>
      </c>
      <c r="BC192" s="3">
        <f>IFERROR(__xludf.DUMMYFUNCTION("""COMPUTED_VALUE"""),0.0)</f>
        <v>0</v>
      </c>
      <c r="BD192" s="3">
        <f>IFERROR(__xludf.DUMMYFUNCTION("""COMPUTED_VALUE"""),0.0)</f>
        <v>0</v>
      </c>
      <c r="BE192" s="3">
        <f>IFERROR(__xludf.DUMMYFUNCTION("""COMPUTED_VALUE"""),0.0)</f>
        <v>0</v>
      </c>
      <c r="BF192" s="3">
        <f>IFERROR(__xludf.DUMMYFUNCTION("""COMPUTED_VALUE"""),0.0)</f>
        <v>0</v>
      </c>
      <c r="BG192" s="3">
        <f>IFERROR(__xludf.DUMMYFUNCTION("""COMPUTED_VALUE"""),0.0)</f>
        <v>0</v>
      </c>
      <c r="BH192" s="3">
        <f>IFERROR(__xludf.DUMMYFUNCTION("""COMPUTED_VALUE"""),0.0)</f>
        <v>0</v>
      </c>
      <c r="BI192" s="3">
        <f>IFERROR(__xludf.DUMMYFUNCTION("""COMPUTED_VALUE"""),0.0)</f>
        <v>0</v>
      </c>
      <c r="BJ192" s="3">
        <f>IFERROR(__xludf.DUMMYFUNCTION("""COMPUTED_VALUE"""),0.0)</f>
        <v>0</v>
      </c>
      <c r="BK192" s="3">
        <f>IFERROR(__xludf.DUMMYFUNCTION("""COMPUTED_VALUE"""),0.0)</f>
        <v>0</v>
      </c>
      <c r="BL192" s="3">
        <f>IFERROR(__xludf.DUMMYFUNCTION("""COMPUTED_VALUE"""),0.0)</f>
        <v>0</v>
      </c>
      <c r="BM192" s="3">
        <f>IFERROR(__xludf.DUMMYFUNCTION("""COMPUTED_VALUE"""),0.0)</f>
        <v>0</v>
      </c>
      <c r="BN192" s="3">
        <f>IFERROR(__xludf.DUMMYFUNCTION("""COMPUTED_VALUE"""),0.0)</f>
        <v>0</v>
      </c>
      <c r="BO192" s="3">
        <f>IFERROR(__xludf.DUMMYFUNCTION("""COMPUTED_VALUE"""),0.0)</f>
        <v>0</v>
      </c>
      <c r="BP192" s="3">
        <f>IFERROR(__xludf.DUMMYFUNCTION("""COMPUTED_VALUE"""),0.0)</f>
        <v>0</v>
      </c>
      <c r="BQ192" s="3">
        <f>IFERROR(__xludf.DUMMYFUNCTION("""COMPUTED_VALUE"""),0.0)</f>
        <v>0</v>
      </c>
      <c r="BR192" s="3">
        <f>IFERROR(__xludf.DUMMYFUNCTION("""COMPUTED_VALUE"""),0.0)</f>
        <v>0</v>
      </c>
      <c r="BS192" s="3">
        <f>IFERROR(__xludf.DUMMYFUNCTION("""COMPUTED_VALUE"""),0.0)</f>
        <v>0</v>
      </c>
      <c r="BT192" s="3">
        <f>IFERROR(__xludf.DUMMYFUNCTION("""COMPUTED_VALUE"""),0.0)</f>
        <v>0</v>
      </c>
      <c r="BU192" s="3">
        <f>IFERROR(__xludf.DUMMYFUNCTION("""COMPUTED_VALUE"""),0.0)</f>
        <v>0</v>
      </c>
      <c r="BV192" s="3">
        <f>IFERROR(__xludf.DUMMYFUNCTION("""COMPUTED_VALUE"""),0.0)</f>
        <v>0</v>
      </c>
      <c r="BW192" s="3">
        <f>IFERROR(__xludf.DUMMYFUNCTION("""COMPUTED_VALUE"""),0.0)</f>
        <v>0</v>
      </c>
      <c r="BX192" s="3">
        <f>IFERROR(__xludf.DUMMYFUNCTION("""COMPUTED_VALUE"""),0.0)</f>
        <v>0</v>
      </c>
      <c r="BY192" s="3">
        <f>IFERROR(__xludf.DUMMYFUNCTION("""COMPUTED_VALUE"""),0.0)</f>
        <v>0</v>
      </c>
      <c r="BZ192" s="3">
        <f>IFERROR(__xludf.DUMMYFUNCTION("""COMPUTED_VALUE"""),0.0)</f>
        <v>0</v>
      </c>
      <c r="CA192" s="3">
        <f>IFERROR(__xludf.DUMMYFUNCTION("""COMPUTED_VALUE"""),0.0)</f>
        <v>0</v>
      </c>
      <c r="CB192" s="3">
        <f>IFERROR(__xludf.DUMMYFUNCTION("""COMPUTED_VALUE"""),0.0)</f>
        <v>0</v>
      </c>
    </row>
    <row r="193">
      <c r="A193" s="3" t="str">
        <f>IFERROR(__xludf.DUMMYFUNCTION("""COMPUTED_VALUE"""),"")</f>
        <v/>
      </c>
      <c r="B193" s="3" t="str">
        <f>IFERROR(__xludf.DUMMYFUNCTION("""COMPUTED_VALUE"""),"San Marino")</f>
        <v>San Marino</v>
      </c>
      <c r="C193" s="3">
        <f>IFERROR(__xludf.DUMMYFUNCTION("""COMPUTED_VALUE"""),43.9424)</f>
        <v>43.9424</v>
      </c>
      <c r="D193" s="3">
        <f>IFERROR(__xludf.DUMMYFUNCTION("""COMPUTED_VALUE"""),12.4578)</f>
        <v>12.4578</v>
      </c>
      <c r="E193" s="3">
        <f>IFERROR(__xludf.DUMMYFUNCTION("""COMPUTED_VALUE"""),0.0)</f>
        <v>0</v>
      </c>
      <c r="F193" s="3">
        <f>IFERROR(__xludf.DUMMYFUNCTION("""COMPUTED_VALUE"""),0.0)</f>
        <v>0</v>
      </c>
      <c r="G193" s="3">
        <f>IFERROR(__xludf.DUMMYFUNCTION("""COMPUTED_VALUE"""),0.0)</f>
        <v>0</v>
      </c>
      <c r="H193" s="3">
        <f>IFERROR(__xludf.DUMMYFUNCTION("""COMPUTED_VALUE"""),0.0)</f>
        <v>0</v>
      </c>
      <c r="I193" s="3">
        <f>IFERROR(__xludf.DUMMYFUNCTION("""COMPUTED_VALUE"""),0.0)</f>
        <v>0</v>
      </c>
      <c r="J193" s="3">
        <f>IFERROR(__xludf.DUMMYFUNCTION("""COMPUTED_VALUE"""),0.0)</f>
        <v>0</v>
      </c>
      <c r="K193" s="3">
        <f>IFERROR(__xludf.DUMMYFUNCTION("""COMPUTED_VALUE"""),0.0)</f>
        <v>0</v>
      </c>
      <c r="L193" s="3">
        <f>IFERROR(__xludf.DUMMYFUNCTION("""COMPUTED_VALUE"""),0.0)</f>
        <v>0</v>
      </c>
      <c r="M193" s="3">
        <f>IFERROR(__xludf.DUMMYFUNCTION("""COMPUTED_VALUE"""),0.0)</f>
        <v>0</v>
      </c>
      <c r="N193" s="3">
        <f>IFERROR(__xludf.DUMMYFUNCTION("""COMPUTED_VALUE"""),0.0)</f>
        <v>0</v>
      </c>
      <c r="O193" s="3">
        <f>IFERROR(__xludf.DUMMYFUNCTION("""COMPUTED_VALUE"""),0.0)</f>
        <v>0</v>
      </c>
      <c r="P193" s="3">
        <f>IFERROR(__xludf.DUMMYFUNCTION("""COMPUTED_VALUE"""),0.0)</f>
        <v>0</v>
      </c>
      <c r="Q193" s="3">
        <f>IFERROR(__xludf.DUMMYFUNCTION("""COMPUTED_VALUE"""),0.0)</f>
        <v>0</v>
      </c>
      <c r="R193" s="3">
        <f>IFERROR(__xludf.DUMMYFUNCTION("""COMPUTED_VALUE"""),0.0)</f>
        <v>0</v>
      </c>
      <c r="S193" s="3">
        <f>IFERROR(__xludf.DUMMYFUNCTION("""COMPUTED_VALUE"""),0.0)</f>
        <v>0</v>
      </c>
      <c r="T193" s="3">
        <f>IFERROR(__xludf.DUMMYFUNCTION("""COMPUTED_VALUE"""),0.0)</f>
        <v>0</v>
      </c>
      <c r="U193" s="3">
        <f>IFERROR(__xludf.DUMMYFUNCTION("""COMPUTED_VALUE"""),0.0)</f>
        <v>0</v>
      </c>
      <c r="V193" s="3">
        <f>IFERROR(__xludf.DUMMYFUNCTION("""COMPUTED_VALUE"""),0.0)</f>
        <v>0</v>
      </c>
      <c r="W193" s="3">
        <f>IFERROR(__xludf.DUMMYFUNCTION("""COMPUTED_VALUE"""),0.0)</f>
        <v>0</v>
      </c>
      <c r="X193" s="3">
        <f>IFERROR(__xludf.DUMMYFUNCTION("""COMPUTED_VALUE"""),0.0)</f>
        <v>0</v>
      </c>
      <c r="Y193" s="3">
        <f>IFERROR(__xludf.DUMMYFUNCTION("""COMPUTED_VALUE"""),0.0)</f>
        <v>0</v>
      </c>
      <c r="Z193" s="3">
        <f>IFERROR(__xludf.DUMMYFUNCTION("""COMPUTED_VALUE"""),0.0)</f>
        <v>0</v>
      </c>
      <c r="AA193" s="3">
        <f>IFERROR(__xludf.DUMMYFUNCTION("""COMPUTED_VALUE"""),0.0)</f>
        <v>0</v>
      </c>
      <c r="AB193" s="3">
        <f>IFERROR(__xludf.DUMMYFUNCTION("""COMPUTED_VALUE"""),0.0)</f>
        <v>0</v>
      </c>
      <c r="AC193" s="3">
        <f>IFERROR(__xludf.DUMMYFUNCTION("""COMPUTED_VALUE"""),0.0)</f>
        <v>0</v>
      </c>
      <c r="AD193" s="3">
        <f>IFERROR(__xludf.DUMMYFUNCTION("""COMPUTED_VALUE"""),0.0)</f>
        <v>0</v>
      </c>
      <c r="AE193" s="3">
        <f>IFERROR(__xludf.DUMMYFUNCTION("""COMPUTED_VALUE"""),0.0)</f>
        <v>0</v>
      </c>
      <c r="AF193" s="3">
        <f>IFERROR(__xludf.DUMMYFUNCTION("""COMPUTED_VALUE"""),0.0)</f>
        <v>0</v>
      </c>
      <c r="AG193" s="3">
        <f>IFERROR(__xludf.DUMMYFUNCTION("""COMPUTED_VALUE"""),0.0)</f>
        <v>0</v>
      </c>
      <c r="AH193" s="3">
        <f>IFERROR(__xludf.DUMMYFUNCTION("""COMPUTED_VALUE"""),0.0)</f>
        <v>0</v>
      </c>
      <c r="AI193" s="3">
        <f>IFERROR(__xludf.DUMMYFUNCTION("""COMPUTED_VALUE"""),0.0)</f>
        <v>0</v>
      </c>
      <c r="AJ193" s="3">
        <f>IFERROR(__xludf.DUMMYFUNCTION("""COMPUTED_VALUE"""),0.0)</f>
        <v>0</v>
      </c>
      <c r="AK193" s="3">
        <f>IFERROR(__xludf.DUMMYFUNCTION("""COMPUTED_VALUE"""),0.0)</f>
        <v>0</v>
      </c>
      <c r="AL193" s="3">
        <f>IFERROR(__xludf.DUMMYFUNCTION("""COMPUTED_VALUE"""),0.0)</f>
        <v>0</v>
      </c>
      <c r="AM193" s="3">
        <f>IFERROR(__xludf.DUMMYFUNCTION("""COMPUTED_VALUE"""),0.0)</f>
        <v>0</v>
      </c>
      <c r="AN193" s="3">
        <f>IFERROR(__xludf.DUMMYFUNCTION("""COMPUTED_VALUE"""),0.0)</f>
        <v>0</v>
      </c>
      <c r="AO193" s="3">
        <f>IFERROR(__xludf.DUMMYFUNCTION("""COMPUTED_VALUE"""),0.0)</f>
        <v>0</v>
      </c>
      <c r="AP193" s="3">
        <f>IFERROR(__xludf.DUMMYFUNCTION("""COMPUTED_VALUE"""),0.0)</f>
        <v>0</v>
      </c>
      <c r="AQ193" s="3">
        <f>IFERROR(__xludf.DUMMYFUNCTION("""COMPUTED_VALUE"""),0.0)</f>
        <v>0</v>
      </c>
      <c r="AR193" s="3">
        <f>IFERROR(__xludf.DUMMYFUNCTION("""COMPUTED_VALUE"""),0.0)</f>
        <v>0</v>
      </c>
      <c r="AS193" s="3">
        <f>IFERROR(__xludf.DUMMYFUNCTION("""COMPUTED_VALUE"""),0.0)</f>
        <v>0</v>
      </c>
      <c r="AT193" s="3">
        <f>IFERROR(__xludf.DUMMYFUNCTION("""COMPUTED_VALUE"""),1.0)</f>
        <v>1</v>
      </c>
      <c r="AU193" s="3">
        <f>IFERROR(__xludf.DUMMYFUNCTION("""COMPUTED_VALUE"""),1.0)</f>
        <v>1</v>
      </c>
      <c r="AV193" s="3">
        <f>IFERROR(__xludf.DUMMYFUNCTION("""COMPUTED_VALUE"""),1.0)</f>
        <v>1</v>
      </c>
      <c r="AW193" s="3">
        <f>IFERROR(__xludf.DUMMYFUNCTION("""COMPUTED_VALUE"""),1.0)</f>
        <v>1</v>
      </c>
      <c r="AX193" s="3">
        <f>IFERROR(__xludf.DUMMYFUNCTION("""COMPUTED_VALUE"""),1.0)</f>
        <v>1</v>
      </c>
      <c r="AY193" s="3">
        <f>IFERROR(__xludf.DUMMYFUNCTION("""COMPUTED_VALUE"""),1.0)</f>
        <v>1</v>
      </c>
      <c r="AZ193" s="3">
        <f>IFERROR(__xludf.DUMMYFUNCTION("""COMPUTED_VALUE"""),1.0)</f>
        <v>1</v>
      </c>
      <c r="BA193" s="3">
        <f>IFERROR(__xludf.DUMMYFUNCTION("""COMPUTED_VALUE"""),2.0)</f>
        <v>2</v>
      </c>
      <c r="BB193" s="3">
        <f>IFERROR(__xludf.DUMMYFUNCTION("""COMPUTED_VALUE"""),2.0)</f>
        <v>2</v>
      </c>
      <c r="BC193" s="3">
        <f>IFERROR(__xludf.DUMMYFUNCTION("""COMPUTED_VALUE"""),3.0)</f>
        <v>3</v>
      </c>
      <c r="BD193" s="3">
        <f>IFERROR(__xludf.DUMMYFUNCTION("""COMPUTED_VALUE"""),5.0)</f>
        <v>5</v>
      </c>
      <c r="BE193" s="3">
        <f>IFERROR(__xludf.DUMMYFUNCTION("""COMPUTED_VALUE"""),5.0)</f>
        <v>5</v>
      </c>
      <c r="BF193" s="3">
        <f>IFERROR(__xludf.DUMMYFUNCTION("""COMPUTED_VALUE"""),5.0)</f>
        <v>5</v>
      </c>
      <c r="BG193" s="3">
        <f>IFERROR(__xludf.DUMMYFUNCTION("""COMPUTED_VALUE"""),7.0)</f>
        <v>7</v>
      </c>
      <c r="BH193" s="3">
        <f>IFERROR(__xludf.DUMMYFUNCTION("""COMPUTED_VALUE"""),7.0)</f>
        <v>7</v>
      </c>
      <c r="BI193" s="3">
        <f>IFERROR(__xludf.DUMMYFUNCTION("""COMPUTED_VALUE"""),11.0)</f>
        <v>11</v>
      </c>
      <c r="BJ193" s="3">
        <f>IFERROR(__xludf.DUMMYFUNCTION("""COMPUTED_VALUE"""),11.0)</f>
        <v>11</v>
      </c>
      <c r="BK193" s="3">
        <f>IFERROR(__xludf.DUMMYFUNCTION("""COMPUTED_VALUE"""),14.0)</f>
        <v>14</v>
      </c>
      <c r="BL193" s="3">
        <f>IFERROR(__xludf.DUMMYFUNCTION("""COMPUTED_VALUE"""),20.0)</f>
        <v>20</v>
      </c>
      <c r="BM193" s="3">
        <f>IFERROR(__xludf.DUMMYFUNCTION("""COMPUTED_VALUE"""),20.0)</f>
        <v>20</v>
      </c>
      <c r="BN193" s="3">
        <f>IFERROR(__xludf.DUMMYFUNCTION("""COMPUTED_VALUE"""),20.0)</f>
        <v>20</v>
      </c>
      <c r="BO193" s="3">
        <f>IFERROR(__xludf.DUMMYFUNCTION("""COMPUTED_VALUE"""),21.0)</f>
        <v>21</v>
      </c>
      <c r="BP193" s="3">
        <f>IFERROR(__xludf.DUMMYFUNCTION("""COMPUTED_VALUE"""),21.0)</f>
        <v>21</v>
      </c>
      <c r="BQ193" s="3">
        <f>IFERROR(__xludf.DUMMYFUNCTION("""COMPUTED_VALUE"""),21.0)</f>
        <v>21</v>
      </c>
      <c r="BR193" s="3">
        <f>IFERROR(__xludf.DUMMYFUNCTION("""COMPUTED_VALUE"""),21.0)</f>
        <v>21</v>
      </c>
      <c r="BS193" s="3">
        <f>IFERROR(__xludf.DUMMYFUNCTION("""COMPUTED_VALUE"""),22.0)</f>
        <v>22</v>
      </c>
      <c r="BT193" s="3">
        <f>IFERROR(__xludf.DUMMYFUNCTION("""COMPUTED_VALUE"""),22.0)</f>
        <v>22</v>
      </c>
      <c r="BU193" s="3">
        <f>IFERROR(__xludf.DUMMYFUNCTION("""COMPUTED_VALUE"""),25.0)</f>
        <v>25</v>
      </c>
      <c r="BV193" s="3">
        <f>IFERROR(__xludf.DUMMYFUNCTION("""COMPUTED_VALUE"""),26.0)</f>
        <v>26</v>
      </c>
      <c r="BW193" s="3">
        <f>IFERROR(__xludf.DUMMYFUNCTION("""COMPUTED_VALUE"""),26.0)</f>
        <v>26</v>
      </c>
      <c r="BX193" s="3">
        <f>IFERROR(__xludf.DUMMYFUNCTION("""COMPUTED_VALUE"""),30.0)</f>
        <v>30</v>
      </c>
      <c r="BY193" s="3">
        <f>IFERROR(__xludf.DUMMYFUNCTION("""COMPUTED_VALUE"""),30.0)</f>
        <v>30</v>
      </c>
      <c r="BZ193" s="3">
        <f>IFERROR(__xludf.DUMMYFUNCTION("""COMPUTED_VALUE"""),32.0)</f>
        <v>32</v>
      </c>
      <c r="CA193" s="3">
        <f>IFERROR(__xludf.DUMMYFUNCTION("""COMPUTED_VALUE"""),32.0)</f>
        <v>32</v>
      </c>
      <c r="CB193" s="3">
        <f>IFERROR(__xludf.DUMMYFUNCTION("""COMPUTED_VALUE"""),32.0)</f>
        <v>32</v>
      </c>
    </row>
    <row r="194">
      <c r="A194" s="3" t="str">
        <f>IFERROR(__xludf.DUMMYFUNCTION("""COMPUTED_VALUE"""),"")</f>
        <v/>
      </c>
      <c r="B194" s="3" t="str">
        <f>IFERROR(__xludf.DUMMYFUNCTION("""COMPUTED_VALUE"""),"Saudi Arabia")</f>
        <v>Saudi Arabia</v>
      </c>
      <c r="C194" s="3">
        <f>IFERROR(__xludf.DUMMYFUNCTION("""COMPUTED_VALUE"""),24.0)</f>
        <v>24</v>
      </c>
      <c r="D194" s="3">
        <f>IFERROR(__xludf.DUMMYFUNCTION("""COMPUTED_VALUE"""),45.0)</f>
        <v>45</v>
      </c>
      <c r="E194" s="3">
        <f>IFERROR(__xludf.DUMMYFUNCTION("""COMPUTED_VALUE"""),0.0)</f>
        <v>0</v>
      </c>
      <c r="F194" s="3">
        <f>IFERROR(__xludf.DUMMYFUNCTION("""COMPUTED_VALUE"""),0.0)</f>
        <v>0</v>
      </c>
      <c r="G194" s="3">
        <f>IFERROR(__xludf.DUMMYFUNCTION("""COMPUTED_VALUE"""),0.0)</f>
        <v>0</v>
      </c>
      <c r="H194" s="3">
        <f>IFERROR(__xludf.DUMMYFUNCTION("""COMPUTED_VALUE"""),0.0)</f>
        <v>0</v>
      </c>
      <c r="I194" s="3">
        <f>IFERROR(__xludf.DUMMYFUNCTION("""COMPUTED_VALUE"""),0.0)</f>
        <v>0</v>
      </c>
      <c r="J194" s="3">
        <f>IFERROR(__xludf.DUMMYFUNCTION("""COMPUTED_VALUE"""),0.0)</f>
        <v>0</v>
      </c>
      <c r="K194" s="3">
        <f>IFERROR(__xludf.DUMMYFUNCTION("""COMPUTED_VALUE"""),0.0)</f>
        <v>0</v>
      </c>
      <c r="L194" s="3">
        <f>IFERROR(__xludf.DUMMYFUNCTION("""COMPUTED_VALUE"""),0.0)</f>
        <v>0</v>
      </c>
      <c r="M194" s="3">
        <f>IFERROR(__xludf.DUMMYFUNCTION("""COMPUTED_VALUE"""),0.0)</f>
        <v>0</v>
      </c>
      <c r="N194" s="3">
        <f>IFERROR(__xludf.DUMMYFUNCTION("""COMPUTED_VALUE"""),0.0)</f>
        <v>0</v>
      </c>
      <c r="O194" s="3">
        <f>IFERROR(__xludf.DUMMYFUNCTION("""COMPUTED_VALUE"""),0.0)</f>
        <v>0</v>
      </c>
      <c r="P194" s="3">
        <f>IFERROR(__xludf.DUMMYFUNCTION("""COMPUTED_VALUE"""),0.0)</f>
        <v>0</v>
      </c>
      <c r="Q194" s="3">
        <f>IFERROR(__xludf.DUMMYFUNCTION("""COMPUTED_VALUE"""),0.0)</f>
        <v>0</v>
      </c>
      <c r="R194" s="3">
        <f>IFERROR(__xludf.DUMMYFUNCTION("""COMPUTED_VALUE"""),0.0)</f>
        <v>0</v>
      </c>
      <c r="S194" s="3">
        <f>IFERROR(__xludf.DUMMYFUNCTION("""COMPUTED_VALUE"""),0.0)</f>
        <v>0</v>
      </c>
      <c r="T194" s="3">
        <f>IFERROR(__xludf.DUMMYFUNCTION("""COMPUTED_VALUE"""),0.0)</f>
        <v>0</v>
      </c>
      <c r="U194" s="3">
        <f>IFERROR(__xludf.DUMMYFUNCTION("""COMPUTED_VALUE"""),0.0)</f>
        <v>0</v>
      </c>
      <c r="V194" s="3">
        <f>IFERROR(__xludf.DUMMYFUNCTION("""COMPUTED_VALUE"""),0.0)</f>
        <v>0</v>
      </c>
      <c r="W194" s="3">
        <f>IFERROR(__xludf.DUMMYFUNCTION("""COMPUTED_VALUE"""),0.0)</f>
        <v>0</v>
      </c>
      <c r="X194" s="3">
        <f>IFERROR(__xludf.DUMMYFUNCTION("""COMPUTED_VALUE"""),0.0)</f>
        <v>0</v>
      </c>
      <c r="Y194" s="3">
        <f>IFERROR(__xludf.DUMMYFUNCTION("""COMPUTED_VALUE"""),0.0)</f>
        <v>0</v>
      </c>
      <c r="Z194" s="3">
        <f>IFERROR(__xludf.DUMMYFUNCTION("""COMPUTED_VALUE"""),0.0)</f>
        <v>0</v>
      </c>
      <c r="AA194" s="3">
        <f>IFERROR(__xludf.DUMMYFUNCTION("""COMPUTED_VALUE"""),0.0)</f>
        <v>0</v>
      </c>
      <c r="AB194" s="3">
        <f>IFERROR(__xludf.DUMMYFUNCTION("""COMPUTED_VALUE"""),0.0)</f>
        <v>0</v>
      </c>
      <c r="AC194" s="3">
        <f>IFERROR(__xludf.DUMMYFUNCTION("""COMPUTED_VALUE"""),0.0)</f>
        <v>0</v>
      </c>
      <c r="AD194" s="3">
        <f>IFERROR(__xludf.DUMMYFUNCTION("""COMPUTED_VALUE"""),0.0)</f>
        <v>0</v>
      </c>
      <c r="AE194" s="3">
        <f>IFERROR(__xludf.DUMMYFUNCTION("""COMPUTED_VALUE"""),0.0)</f>
        <v>0</v>
      </c>
      <c r="AF194" s="3">
        <f>IFERROR(__xludf.DUMMYFUNCTION("""COMPUTED_VALUE"""),0.0)</f>
        <v>0</v>
      </c>
      <c r="AG194" s="3">
        <f>IFERROR(__xludf.DUMMYFUNCTION("""COMPUTED_VALUE"""),0.0)</f>
        <v>0</v>
      </c>
      <c r="AH194" s="3">
        <f>IFERROR(__xludf.DUMMYFUNCTION("""COMPUTED_VALUE"""),0.0)</f>
        <v>0</v>
      </c>
      <c r="AI194" s="3">
        <f>IFERROR(__xludf.DUMMYFUNCTION("""COMPUTED_VALUE"""),0.0)</f>
        <v>0</v>
      </c>
      <c r="AJ194" s="3">
        <f>IFERROR(__xludf.DUMMYFUNCTION("""COMPUTED_VALUE"""),0.0)</f>
        <v>0</v>
      </c>
      <c r="AK194" s="3">
        <f>IFERROR(__xludf.DUMMYFUNCTION("""COMPUTED_VALUE"""),0.0)</f>
        <v>0</v>
      </c>
      <c r="AL194" s="3">
        <f>IFERROR(__xludf.DUMMYFUNCTION("""COMPUTED_VALUE"""),0.0)</f>
        <v>0</v>
      </c>
      <c r="AM194" s="3">
        <f>IFERROR(__xludf.DUMMYFUNCTION("""COMPUTED_VALUE"""),0.0)</f>
        <v>0</v>
      </c>
      <c r="AN194" s="3">
        <f>IFERROR(__xludf.DUMMYFUNCTION("""COMPUTED_VALUE"""),0.0)</f>
        <v>0</v>
      </c>
      <c r="AO194" s="3">
        <f>IFERROR(__xludf.DUMMYFUNCTION("""COMPUTED_VALUE"""),0.0)</f>
        <v>0</v>
      </c>
      <c r="AP194" s="3">
        <f>IFERROR(__xludf.DUMMYFUNCTION("""COMPUTED_VALUE"""),0.0)</f>
        <v>0</v>
      </c>
      <c r="AQ194" s="3">
        <f>IFERROR(__xludf.DUMMYFUNCTION("""COMPUTED_VALUE"""),0.0)</f>
        <v>0</v>
      </c>
      <c r="AR194" s="3">
        <f>IFERROR(__xludf.DUMMYFUNCTION("""COMPUTED_VALUE"""),0.0)</f>
        <v>0</v>
      </c>
      <c r="AS194" s="3">
        <f>IFERROR(__xludf.DUMMYFUNCTION("""COMPUTED_VALUE"""),0.0)</f>
        <v>0</v>
      </c>
      <c r="AT194" s="3">
        <f>IFERROR(__xludf.DUMMYFUNCTION("""COMPUTED_VALUE"""),0.0)</f>
        <v>0</v>
      </c>
      <c r="AU194" s="3">
        <f>IFERROR(__xludf.DUMMYFUNCTION("""COMPUTED_VALUE"""),0.0)</f>
        <v>0</v>
      </c>
      <c r="AV194" s="3">
        <f>IFERROR(__xludf.DUMMYFUNCTION("""COMPUTED_VALUE"""),0.0)</f>
        <v>0</v>
      </c>
      <c r="AW194" s="3">
        <f>IFERROR(__xludf.DUMMYFUNCTION("""COMPUTED_VALUE"""),0.0)</f>
        <v>0</v>
      </c>
      <c r="AX194" s="3">
        <f>IFERROR(__xludf.DUMMYFUNCTION("""COMPUTED_VALUE"""),0.0)</f>
        <v>0</v>
      </c>
      <c r="AY194" s="3">
        <f>IFERROR(__xludf.DUMMYFUNCTION("""COMPUTED_VALUE"""),0.0)</f>
        <v>0</v>
      </c>
      <c r="AZ194" s="3">
        <f>IFERROR(__xludf.DUMMYFUNCTION("""COMPUTED_VALUE"""),0.0)</f>
        <v>0</v>
      </c>
      <c r="BA194" s="3">
        <f>IFERROR(__xludf.DUMMYFUNCTION("""COMPUTED_VALUE"""),0.0)</f>
        <v>0</v>
      </c>
      <c r="BB194" s="3">
        <f>IFERROR(__xludf.DUMMYFUNCTION("""COMPUTED_VALUE"""),0.0)</f>
        <v>0</v>
      </c>
      <c r="BC194" s="3">
        <f>IFERROR(__xludf.DUMMYFUNCTION("""COMPUTED_VALUE"""),0.0)</f>
        <v>0</v>
      </c>
      <c r="BD194" s="3">
        <f>IFERROR(__xludf.DUMMYFUNCTION("""COMPUTED_VALUE"""),0.0)</f>
        <v>0</v>
      </c>
      <c r="BE194" s="3">
        <f>IFERROR(__xludf.DUMMYFUNCTION("""COMPUTED_VALUE"""),0.0)</f>
        <v>0</v>
      </c>
      <c r="BF194" s="3">
        <f>IFERROR(__xludf.DUMMYFUNCTION("""COMPUTED_VALUE"""),0.0)</f>
        <v>0</v>
      </c>
      <c r="BG194" s="3">
        <f>IFERROR(__xludf.DUMMYFUNCTION("""COMPUTED_VALUE"""),0.0)</f>
        <v>0</v>
      </c>
      <c r="BH194" s="3">
        <f>IFERROR(__xludf.DUMMYFUNCTION("""COMPUTED_VALUE"""),0.0)</f>
        <v>0</v>
      </c>
      <c r="BI194" s="3">
        <f>IFERROR(__xludf.DUMMYFUNCTION("""COMPUTED_VALUE"""),0.0)</f>
        <v>0</v>
      </c>
      <c r="BJ194" s="3">
        <f>IFERROR(__xludf.DUMMYFUNCTION("""COMPUTED_VALUE"""),0.0)</f>
        <v>0</v>
      </c>
      <c r="BK194" s="3">
        <f>IFERROR(__xludf.DUMMYFUNCTION("""COMPUTED_VALUE"""),0.0)</f>
        <v>0</v>
      </c>
      <c r="BL194" s="3">
        <f>IFERROR(__xludf.DUMMYFUNCTION("""COMPUTED_VALUE"""),0.0)</f>
        <v>0</v>
      </c>
      <c r="BM194" s="3">
        <f>IFERROR(__xludf.DUMMYFUNCTION("""COMPUTED_VALUE"""),0.0)</f>
        <v>0</v>
      </c>
      <c r="BN194" s="3">
        <f>IFERROR(__xludf.DUMMYFUNCTION("""COMPUTED_VALUE"""),0.0)</f>
        <v>0</v>
      </c>
      <c r="BO194" s="3">
        <f>IFERROR(__xludf.DUMMYFUNCTION("""COMPUTED_VALUE"""),1.0)</f>
        <v>1</v>
      </c>
      <c r="BP194" s="3">
        <f>IFERROR(__xludf.DUMMYFUNCTION("""COMPUTED_VALUE"""),2.0)</f>
        <v>2</v>
      </c>
      <c r="BQ194" s="3">
        <f>IFERROR(__xludf.DUMMYFUNCTION("""COMPUTED_VALUE"""),3.0)</f>
        <v>3</v>
      </c>
      <c r="BR194" s="3">
        <f>IFERROR(__xludf.DUMMYFUNCTION("""COMPUTED_VALUE"""),3.0)</f>
        <v>3</v>
      </c>
      <c r="BS194" s="3">
        <f>IFERROR(__xludf.DUMMYFUNCTION("""COMPUTED_VALUE"""),4.0)</f>
        <v>4</v>
      </c>
      <c r="BT194" s="3">
        <f>IFERROR(__xludf.DUMMYFUNCTION("""COMPUTED_VALUE"""),8.0)</f>
        <v>8</v>
      </c>
      <c r="BU194" s="3">
        <f>IFERROR(__xludf.DUMMYFUNCTION("""COMPUTED_VALUE"""),8.0)</f>
        <v>8</v>
      </c>
      <c r="BV194" s="3">
        <f>IFERROR(__xludf.DUMMYFUNCTION("""COMPUTED_VALUE"""),10.0)</f>
        <v>10</v>
      </c>
      <c r="BW194" s="3">
        <f>IFERROR(__xludf.DUMMYFUNCTION("""COMPUTED_VALUE"""),16.0)</f>
        <v>16</v>
      </c>
      <c r="BX194" s="3">
        <f>IFERROR(__xludf.DUMMYFUNCTION("""COMPUTED_VALUE"""),21.0)</f>
        <v>21</v>
      </c>
      <c r="BY194" s="3">
        <f>IFERROR(__xludf.DUMMYFUNCTION("""COMPUTED_VALUE"""),25.0)</f>
        <v>25</v>
      </c>
      <c r="BZ194" s="3">
        <f>IFERROR(__xludf.DUMMYFUNCTION("""COMPUTED_VALUE"""),29.0)</f>
        <v>29</v>
      </c>
      <c r="CA194" s="3">
        <f>IFERROR(__xludf.DUMMYFUNCTION("""COMPUTED_VALUE"""),34.0)</f>
        <v>34</v>
      </c>
      <c r="CB194" s="3">
        <f>IFERROR(__xludf.DUMMYFUNCTION("""COMPUTED_VALUE"""),38.0)</f>
        <v>38</v>
      </c>
    </row>
    <row r="195">
      <c r="A195" s="3" t="str">
        <f>IFERROR(__xludf.DUMMYFUNCTION("""COMPUTED_VALUE"""),"")</f>
        <v/>
      </c>
      <c r="B195" s="3" t="str">
        <f>IFERROR(__xludf.DUMMYFUNCTION("""COMPUTED_VALUE"""),"Senegal")</f>
        <v>Senegal</v>
      </c>
      <c r="C195" s="3">
        <f>IFERROR(__xludf.DUMMYFUNCTION("""COMPUTED_VALUE"""),14.4974)</f>
        <v>14.4974</v>
      </c>
      <c r="D195" s="3">
        <f>IFERROR(__xludf.DUMMYFUNCTION("""COMPUTED_VALUE"""),-14.4524)</f>
        <v>-14.4524</v>
      </c>
      <c r="E195" s="3">
        <f>IFERROR(__xludf.DUMMYFUNCTION("""COMPUTED_VALUE"""),0.0)</f>
        <v>0</v>
      </c>
      <c r="F195" s="3">
        <f>IFERROR(__xludf.DUMMYFUNCTION("""COMPUTED_VALUE"""),0.0)</f>
        <v>0</v>
      </c>
      <c r="G195" s="3">
        <f>IFERROR(__xludf.DUMMYFUNCTION("""COMPUTED_VALUE"""),0.0)</f>
        <v>0</v>
      </c>
      <c r="H195" s="3">
        <f>IFERROR(__xludf.DUMMYFUNCTION("""COMPUTED_VALUE"""),0.0)</f>
        <v>0</v>
      </c>
      <c r="I195" s="3">
        <f>IFERROR(__xludf.DUMMYFUNCTION("""COMPUTED_VALUE"""),0.0)</f>
        <v>0</v>
      </c>
      <c r="J195" s="3">
        <f>IFERROR(__xludf.DUMMYFUNCTION("""COMPUTED_VALUE"""),0.0)</f>
        <v>0</v>
      </c>
      <c r="K195" s="3">
        <f>IFERROR(__xludf.DUMMYFUNCTION("""COMPUTED_VALUE"""),0.0)</f>
        <v>0</v>
      </c>
      <c r="L195" s="3">
        <f>IFERROR(__xludf.DUMMYFUNCTION("""COMPUTED_VALUE"""),0.0)</f>
        <v>0</v>
      </c>
      <c r="M195" s="3">
        <f>IFERROR(__xludf.DUMMYFUNCTION("""COMPUTED_VALUE"""),0.0)</f>
        <v>0</v>
      </c>
      <c r="N195" s="3">
        <f>IFERROR(__xludf.DUMMYFUNCTION("""COMPUTED_VALUE"""),0.0)</f>
        <v>0</v>
      </c>
      <c r="O195" s="3">
        <f>IFERROR(__xludf.DUMMYFUNCTION("""COMPUTED_VALUE"""),0.0)</f>
        <v>0</v>
      </c>
      <c r="P195" s="3">
        <f>IFERROR(__xludf.DUMMYFUNCTION("""COMPUTED_VALUE"""),0.0)</f>
        <v>0</v>
      </c>
      <c r="Q195" s="3">
        <f>IFERROR(__xludf.DUMMYFUNCTION("""COMPUTED_VALUE"""),0.0)</f>
        <v>0</v>
      </c>
      <c r="R195" s="3">
        <f>IFERROR(__xludf.DUMMYFUNCTION("""COMPUTED_VALUE"""),0.0)</f>
        <v>0</v>
      </c>
      <c r="S195" s="3">
        <f>IFERROR(__xludf.DUMMYFUNCTION("""COMPUTED_VALUE"""),0.0)</f>
        <v>0</v>
      </c>
      <c r="T195" s="3">
        <f>IFERROR(__xludf.DUMMYFUNCTION("""COMPUTED_VALUE"""),0.0)</f>
        <v>0</v>
      </c>
      <c r="U195" s="3">
        <f>IFERROR(__xludf.DUMMYFUNCTION("""COMPUTED_VALUE"""),0.0)</f>
        <v>0</v>
      </c>
      <c r="V195" s="3">
        <f>IFERROR(__xludf.DUMMYFUNCTION("""COMPUTED_VALUE"""),0.0)</f>
        <v>0</v>
      </c>
      <c r="W195" s="3">
        <f>IFERROR(__xludf.DUMMYFUNCTION("""COMPUTED_VALUE"""),0.0)</f>
        <v>0</v>
      </c>
      <c r="X195" s="3">
        <f>IFERROR(__xludf.DUMMYFUNCTION("""COMPUTED_VALUE"""),0.0)</f>
        <v>0</v>
      </c>
      <c r="Y195" s="3">
        <f>IFERROR(__xludf.DUMMYFUNCTION("""COMPUTED_VALUE"""),0.0)</f>
        <v>0</v>
      </c>
      <c r="Z195" s="3">
        <f>IFERROR(__xludf.DUMMYFUNCTION("""COMPUTED_VALUE"""),0.0)</f>
        <v>0</v>
      </c>
      <c r="AA195" s="3">
        <f>IFERROR(__xludf.DUMMYFUNCTION("""COMPUTED_VALUE"""),0.0)</f>
        <v>0</v>
      </c>
      <c r="AB195" s="3">
        <f>IFERROR(__xludf.DUMMYFUNCTION("""COMPUTED_VALUE"""),0.0)</f>
        <v>0</v>
      </c>
      <c r="AC195" s="3">
        <f>IFERROR(__xludf.DUMMYFUNCTION("""COMPUTED_VALUE"""),0.0)</f>
        <v>0</v>
      </c>
      <c r="AD195" s="3">
        <f>IFERROR(__xludf.DUMMYFUNCTION("""COMPUTED_VALUE"""),0.0)</f>
        <v>0</v>
      </c>
      <c r="AE195" s="3">
        <f>IFERROR(__xludf.DUMMYFUNCTION("""COMPUTED_VALUE"""),0.0)</f>
        <v>0</v>
      </c>
      <c r="AF195" s="3">
        <f>IFERROR(__xludf.DUMMYFUNCTION("""COMPUTED_VALUE"""),0.0)</f>
        <v>0</v>
      </c>
      <c r="AG195" s="3">
        <f>IFERROR(__xludf.DUMMYFUNCTION("""COMPUTED_VALUE"""),0.0)</f>
        <v>0</v>
      </c>
      <c r="AH195" s="3">
        <f>IFERROR(__xludf.DUMMYFUNCTION("""COMPUTED_VALUE"""),0.0)</f>
        <v>0</v>
      </c>
      <c r="AI195" s="3">
        <f>IFERROR(__xludf.DUMMYFUNCTION("""COMPUTED_VALUE"""),0.0)</f>
        <v>0</v>
      </c>
      <c r="AJ195" s="3">
        <f>IFERROR(__xludf.DUMMYFUNCTION("""COMPUTED_VALUE"""),0.0)</f>
        <v>0</v>
      </c>
      <c r="AK195" s="3">
        <f>IFERROR(__xludf.DUMMYFUNCTION("""COMPUTED_VALUE"""),0.0)</f>
        <v>0</v>
      </c>
      <c r="AL195" s="3">
        <f>IFERROR(__xludf.DUMMYFUNCTION("""COMPUTED_VALUE"""),0.0)</f>
        <v>0</v>
      </c>
      <c r="AM195" s="3">
        <f>IFERROR(__xludf.DUMMYFUNCTION("""COMPUTED_VALUE"""),0.0)</f>
        <v>0</v>
      </c>
      <c r="AN195" s="3">
        <f>IFERROR(__xludf.DUMMYFUNCTION("""COMPUTED_VALUE"""),0.0)</f>
        <v>0</v>
      </c>
      <c r="AO195" s="3">
        <f>IFERROR(__xludf.DUMMYFUNCTION("""COMPUTED_VALUE"""),0.0)</f>
        <v>0</v>
      </c>
      <c r="AP195" s="3">
        <f>IFERROR(__xludf.DUMMYFUNCTION("""COMPUTED_VALUE"""),0.0)</f>
        <v>0</v>
      </c>
      <c r="AQ195" s="3">
        <f>IFERROR(__xludf.DUMMYFUNCTION("""COMPUTED_VALUE"""),0.0)</f>
        <v>0</v>
      </c>
      <c r="AR195" s="3">
        <f>IFERROR(__xludf.DUMMYFUNCTION("""COMPUTED_VALUE"""),0.0)</f>
        <v>0</v>
      </c>
      <c r="AS195" s="3">
        <f>IFERROR(__xludf.DUMMYFUNCTION("""COMPUTED_VALUE"""),0.0)</f>
        <v>0</v>
      </c>
      <c r="AT195" s="3">
        <f>IFERROR(__xludf.DUMMYFUNCTION("""COMPUTED_VALUE"""),0.0)</f>
        <v>0</v>
      </c>
      <c r="AU195" s="3">
        <f>IFERROR(__xludf.DUMMYFUNCTION("""COMPUTED_VALUE"""),0.0)</f>
        <v>0</v>
      </c>
      <c r="AV195" s="3">
        <f>IFERROR(__xludf.DUMMYFUNCTION("""COMPUTED_VALUE"""),0.0)</f>
        <v>0</v>
      </c>
      <c r="AW195" s="3">
        <f>IFERROR(__xludf.DUMMYFUNCTION("""COMPUTED_VALUE"""),0.0)</f>
        <v>0</v>
      </c>
      <c r="AX195" s="3">
        <f>IFERROR(__xludf.DUMMYFUNCTION("""COMPUTED_VALUE"""),0.0)</f>
        <v>0</v>
      </c>
      <c r="AY195" s="3">
        <f>IFERROR(__xludf.DUMMYFUNCTION("""COMPUTED_VALUE"""),0.0)</f>
        <v>0</v>
      </c>
      <c r="AZ195" s="3">
        <f>IFERROR(__xludf.DUMMYFUNCTION("""COMPUTED_VALUE"""),0.0)</f>
        <v>0</v>
      </c>
      <c r="BA195" s="3">
        <f>IFERROR(__xludf.DUMMYFUNCTION("""COMPUTED_VALUE"""),0.0)</f>
        <v>0</v>
      </c>
      <c r="BB195" s="3">
        <f>IFERROR(__xludf.DUMMYFUNCTION("""COMPUTED_VALUE"""),0.0)</f>
        <v>0</v>
      </c>
      <c r="BC195" s="3">
        <f>IFERROR(__xludf.DUMMYFUNCTION("""COMPUTED_VALUE"""),0.0)</f>
        <v>0</v>
      </c>
      <c r="BD195" s="3">
        <f>IFERROR(__xludf.DUMMYFUNCTION("""COMPUTED_VALUE"""),0.0)</f>
        <v>0</v>
      </c>
      <c r="BE195" s="3">
        <f>IFERROR(__xludf.DUMMYFUNCTION("""COMPUTED_VALUE"""),0.0)</f>
        <v>0</v>
      </c>
      <c r="BF195" s="3">
        <f>IFERROR(__xludf.DUMMYFUNCTION("""COMPUTED_VALUE"""),0.0)</f>
        <v>0</v>
      </c>
      <c r="BG195" s="3">
        <f>IFERROR(__xludf.DUMMYFUNCTION("""COMPUTED_VALUE"""),0.0)</f>
        <v>0</v>
      </c>
      <c r="BH195" s="3">
        <f>IFERROR(__xludf.DUMMYFUNCTION("""COMPUTED_VALUE"""),0.0)</f>
        <v>0</v>
      </c>
      <c r="BI195" s="3">
        <f>IFERROR(__xludf.DUMMYFUNCTION("""COMPUTED_VALUE"""),0.0)</f>
        <v>0</v>
      </c>
      <c r="BJ195" s="3">
        <f>IFERROR(__xludf.DUMMYFUNCTION("""COMPUTED_VALUE"""),0.0)</f>
        <v>0</v>
      </c>
      <c r="BK195" s="3">
        <f>IFERROR(__xludf.DUMMYFUNCTION("""COMPUTED_VALUE"""),0.0)</f>
        <v>0</v>
      </c>
      <c r="BL195" s="3">
        <f>IFERROR(__xludf.DUMMYFUNCTION("""COMPUTED_VALUE"""),0.0)</f>
        <v>0</v>
      </c>
      <c r="BM195" s="3">
        <f>IFERROR(__xludf.DUMMYFUNCTION("""COMPUTED_VALUE"""),0.0)</f>
        <v>0</v>
      </c>
      <c r="BN195" s="3">
        <f>IFERROR(__xludf.DUMMYFUNCTION("""COMPUTED_VALUE"""),0.0)</f>
        <v>0</v>
      </c>
      <c r="BO195" s="3">
        <f>IFERROR(__xludf.DUMMYFUNCTION("""COMPUTED_VALUE"""),0.0)</f>
        <v>0</v>
      </c>
      <c r="BP195" s="3">
        <f>IFERROR(__xludf.DUMMYFUNCTION("""COMPUTED_VALUE"""),0.0)</f>
        <v>0</v>
      </c>
      <c r="BQ195" s="3">
        <f>IFERROR(__xludf.DUMMYFUNCTION("""COMPUTED_VALUE"""),0.0)</f>
        <v>0</v>
      </c>
      <c r="BR195" s="3">
        <f>IFERROR(__xludf.DUMMYFUNCTION("""COMPUTED_VALUE"""),0.0)</f>
        <v>0</v>
      </c>
      <c r="BS195" s="3">
        <f>IFERROR(__xludf.DUMMYFUNCTION("""COMPUTED_VALUE"""),0.0)</f>
        <v>0</v>
      </c>
      <c r="BT195" s="3">
        <f>IFERROR(__xludf.DUMMYFUNCTION("""COMPUTED_VALUE"""),0.0)</f>
        <v>0</v>
      </c>
      <c r="BU195" s="3">
        <f>IFERROR(__xludf.DUMMYFUNCTION("""COMPUTED_VALUE"""),0.0)</f>
        <v>0</v>
      </c>
      <c r="BV195" s="3">
        <f>IFERROR(__xludf.DUMMYFUNCTION("""COMPUTED_VALUE"""),0.0)</f>
        <v>0</v>
      </c>
      <c r="BW195" s="3">
        <f>IFERROR(__xludf.DUMMYFUNCTION("""COMPUTED_VALUE"""),1.0)</f>
        <v>1</v>
      </c>
      <c r="BX195" s="3">
        <f>IFERROR(__xludf.DUMMYFUNCTION("""COMPUTED_VALUE"""),1.0)</f>
        <v>1</v>
      </c>
      <c r="BY195" s="3">
        <f>IFERROR(__xludf.DUMMYFUNCTION("""COMPUTED_VALUE"""),1.0)</f>
        <v>1</v>
      </c>
      <c r="BZ195" s="3">
        <f>IFERROR(__xludf.DUMMYFUNCTION("""COMPUTED_VALUE"""),2.0)</f>
        <v>2</v>
      </c>
      <c r="CA195" s="3">
        <f>IFERROR(__xludf.DUMMYFUNCTION("""COMPUTED_VALUE"""),2.0)</f>
        <v>2</v>
      </c>
      <c r="CB195" s="3">
        <f>IFERROR(__xludf.DUMMYFUNCTION("""COMPUTED_VALUE"""),2.0)</f>
        <v>2</v>
      </c>
    </row>
    <row r="196">
      <c r="A196" s="3" t="str">
        <f>IFERROR(__xludf.DUMMYFUNCTION("""COMPUTED_VALUE"""),"")</f>
        <v/>
      </c>
      <c r="B196" s="3" t="str">
        <f>IFERROR(__xludf.DUMMYFUNCTION("""COMPUTED_VALUE"""),"Serbia")</f>
        <v>Serbia</v>
      </c>
      <c r="C196" s="3">
        <f>IFERROR(__xludf.DUMMYFUNCTION("""COMPUTED_VALUE"""),44.0165)</f>
        <v>44.0165</v>
      </c>
      <c r="D196" s="3">
        <f>IFERROR(__xludf.DUMMYFUNCTION("""COMPUTED_VALUE"""),21.0059)</f>
        <v>21.0059</v>
      </c>
      <c r="E196" s="3">
        <f>IFERROR(__xludf.DUMMYFUNCTION("""COMPUTED_VALUE"""),0.0)</f>
        <v>0</v>
      </c>
      <c r="F196" s="3">
        <f>IFERROR(__xludf.DUMMYFUNCTION("""COMPUTED_VALUE"""),0.0)</f>
        <v>0</v>
      </c>
      <c r="G196" s="3">
        <f>IFERROR(__xludf.DUMMYFUNCTION("""COMPUTED_VALUE"""),0.0)</f>
        <v>0</v>
      </c>
      <c r="H196" s="3">
        <f>IFERROR(__xludf.DUMMYFUNCTION("""COMPUTED_VALUE"""),0.0)</f>
        <v>0</v>
      </c>
      <c r="I196" s="3">
        <f>IFERROR(__xludf.DUMMYFUNCTION("""COMPUTED_VALUE"""),0.0)</f>
        <v>0</v>
      </c>
      <c r="J196" s="3">
        <f>IFERROR(__xludf.DUMMYFUNCTION("""COMPUTED_VALUE"""),0.0)</f>
        <v>0</v>
      </c>
      <c r="K196" s="3">
        <f>IFERROR(__xludf.DUMMYFUNCTION("""COMPUTED_VALUE"""),0.0)</f>
        <v>0</v>
      </c>
      <c r="L196" s="3">
        <f>IFERROR(__xludf.DUMMYFUNCTION("""COMPUTED_VALUE"""),0.0)</f>
        <v>0</v>
      </c>
      <c r="M196" s="3">
        <f>IFERROR(__xludf.DUMMYFUNCTION("""COMPUTED_VALUE"""),0.0)</f>
        <v>0</v>
      </c>
      <c r="N196" s="3">
        <f>IFERROR(__xludf.DUMMYFUNCTION("""COMPUTED_VALUE"""),0.0)</f>
        <v>0</v>
      </c>
      <c r="O196" s="3">
        <f>IFERROR(__xludf.DUMMYFUNCTION("""COMPUTED_VALUE"""),0.0)</f>
        <v>0</v>
      </c>
      <c r="P196" s="3">
        <f>IFERROR(__xludf.DUMMYFUNCTION("""COMPUTED_VALUE"""),0.0)</f>
        <v>0</v>
      </c>
      <c r="Q196" s="3">
        <f>IFERROR(__xludf.DUMMYFUNCTION("""COMPUTED_VALUE"""),0.0)</f>
        <v>0</v>
      </c>
      <c r="R196" s="3">
        <f>IFERROR(__xludf.DUMMYFUNCTION("""COMPUTED_VALUE"""),0.0)</f>
        <v>0</v>
      </c>
      <c r="S196" s="3">
        <f>IFERROR(__xludf.DUMMYFUNCTION("""COMPUTED_VALUE"""),0.0)</f>
        <v>0</v>
      </c>
      <c r="T196" s="3">
        <f>IFERROR(__xludf.DUMMYFUNCTION("""COMPUTED_VALUE"""),0.0)</f>
        <v>0</v>
      </c>
      <c r="U196" s="3">
        <f>IFERROR(__xludf.DUMMYFUNCTION("""COMPUTED_VALUE"""),0.0)</f>
        <v>0</v>
      </c>
      <c r="V196" s="3">
        <f>IFERROR(__xludf.DUMMYFUNCTION("""COMPUTED_VALUE"""),0.0)</f>
        <v>0</v>
      </c>
      <c r="W196" s="3">
        <f>IFERROR(__xludf.DUMMYFUNCTION("""COMPUTED_VALUE"""),0.0)</f>
        <v>0</v>
      </c>
      <c r="X196" s="3">
        <f>IFERROR(__xludf.DUMMYFUNCTION("""COMPUTED_VALUE"""),0.0)</f>
        <v>0</v>
      </c>
      <c r="Y196" s="3">
        <f>IFERROR(__xludf.DUMMYFUNCTION("""COMPUTED_VALUE"""),0.0)</f>
        <v>0</v>
      </c>
      <c r="Z196" s="3">
        <f>IFERROR(__xludf.DUMMYFUNCTION("""COMPUTED_VALUE"""),0.0)</f>
        <v>0</v>
      </c>
      <c r="AA196" s="3">
        <f>IFERROR(__xludf.DUMMYFUNCTION("""COMPUTED_VALUE"""),0.0)</f>
        <v>0</v>
      </c>
      <c r="AB196" s="3">
        <f>IFERROR(__xludf.DUMMYFUNCTION("""COMPUTED_VALUE"""),0.0)</f>
        <v>0</v>
      </c>
      <c r="AC196" s="3">
        <f>IFERROR(__xludf.DUMMYFUNCTION("""COMPUTED_VALUE"""),0.0)</f>
        <v>0</v>
      </c>
      <c r="AD196" s="3">
        <f>IFERROR(__xludf.DUMMYFUNCTION("""COMPUTED_VALUE"""),0.0)</f>
        <v>0</v>
      </c>
      <c r="AE196" s="3">
        <f>IFERROR(__xludf.DUMMYFUNCTION("""COMPUTED_VALUE"""),0.0)</f>
        <v>0</v>
      </c>
      <c r="AF196" s="3">
        <f>IFERROR(__xludf.DUMMYFUNCTION("""COMPUTED_VALUE"""),0.0)</f>
        <v>0</v>
      </c>
      <c r="AG196" s="3">
        <f>IFERROR(__xludf.DUMMYFUNCTION("""COMPUTED_VALUE"""),0.0)</f>
        <v>0</v>
      </c>
      <c r="AH196" s="3">
        <f>IFERROR(__xludf.DUMMYFUNCTION("""COMPUTED_VALUE"""),0.0)</f>
        <v>0</v>
      </c>
      <c r="AI196" s="3">
        <f>IFERROR(__xludf.DUMMYFUNCTION("""COMPUTED_VALUE"""),0.0)</f>
        <v>0</v>
      </c>
      <c r="AJ196" s="3">
        <f>IFERROR(__xludf.DUMMYFUNCTION("""COMPUTED_VALUE"""),0.0)</f>
        <v>0</v>
      </c>
      <c r="AK196" s="3">
        <f>IFERROR(__xludf.DUMMYFUNCTION("""COMPUTED_VALUE"""),0.0)</f>
        <v>0</v>
      </c>
      <c r="AL196" s="3">
        <f>IFERROR(__xludf.DUMMYFUNCTION("""COMPUTED_VALUE"""),0.0)</f>
        <v>0</v>
      </c>
      <c r="AM196" s="3">
        <f>IFERROR(__xludf.DUMMYFUNCTION("""COMPUTED_VALUE"""),0.0)</f>
        <v>0</v>
      </c>
      <c r="AN196" s="3">
        <f>IFERROR(__xludf.DUMMYFUNCTION("""COMPUTED_VALUE"""),0.0)</f>
        <v>0</v>
      </c>
      <c r="AO196" s="3">
        <f>IFERROR(__xludf.DUMMYFUNCTION("""COMPUTED_VALUE"""),0.0)</f>
        <v>0</v>
      </c>
      <c r="AP196" s="3">
        <f>IFERROR(__xludf.DUMMYFUNCTION("""COMPUTED_VALUE"""),0.0)</f>
        <v>0</v>
      </c>
      <c r="AQ196" s="3">
        <f>IFERROR(__xludf.DUMMYFUNCTION("""COMPUTED_VALUE"""),0.0)</f>
        <v>0</v>
      </c>
      <c r="AR196" s="3">
        <f>IFERROR(__xludf.DUMMYFUNCTION("""COMPUTED_VALUE"""),0.0)</f>
        <v>0</v>
      </c>
      <c r="AS196" s="3">
        <f>IFERROR(__xludf.DUMMYFUNCTION("""COMPUTED_VALUE"""),0.0)</f>
        <v>0</v>
      </c>
      <c r="AT196" s="3">
        <f>IFERROR(__xludf.DUMMYFUNCTION("""COMPUTED_VALUE"""),0.0)</f>
        <v>0</v>
      </c>
      <c r="AU196" s="3">
        <f>IFERROR(__xludf.DUMMYFUNCTION("""COMPUTED_VALUE"""),0.0)</f>
        <v>0</v>
      </c>
      <c r="AV196" s="3">
        <f>IFERROR(__xludf.DUMMYFUNCTION("""COMPUTED_VALUE"""),0.0)</f>
        <v>0</v>
      </c>
      <c r="AW196" s="3">
        <f>IFERROR(__xludf.DUMMYFUNCTION("""COMPUTED_VALUE"""),0.0)</f>
        <v>0</v>
      </c>
      <c r="AX196" s="3">
        <f>IFERROR(__xludf.DUMMYFUNCTION("""COMPUTED_VALUE"""),0.0)</f>
        <v>0</v>
      </c>
      <c r="AY196" s="3">
        <f>IFERROR(__xludf.DUMMYFUNCTION("""COMPUTED_VALUE"""),0.0)</f>
        <v>0</v>
      </c>
      <c r="AZ196" s="3">
        <f>IFERROR(__xludf.DUMMYFUNCTION("""COMPUTED_VALUE"""),0.0)</f>
        <v>0</v>
      </c>
      <c r="BA196" s="3">
        <f>IFERROR(__xludf.DUMMYFUNCTION("""COMPUTED_VALUE"""),0.0)</f>
        <v>0</v>
      </c>
      <c r="BB196" s="3">
        <f>IFERROR(__xludf.DUMMYFUNCTION("""COMPUTED_VALUE"""),0.0)</f>
        <v>0</v>
      </c>
      <c r="BC196" s="3">
        <f>IFERROR(__xludf.DUMMYFUNCTION("""COMPUTED_VALUE"""),0.0)</f>
        <v>0</v>
      </c>
      <c r="BD196" s="3">
        <f>IFERROR(__xludf.DUMMYFUNCTION("""COMPUTED_VALUE"""),0.0)</f>
        <v>0</v>
      </c>
      <c r="BE196" s="3">
        <f>IFERROR(__xludf.DUMMYFUNCTION("""COMPUTED_VALUE"""),0.0)</f>
        <v>0</v>
      </c>
      <c r="BF196" s="3">
        <f>IFERROR(__xludf.DUMMYFUNCTION("""COMPUTED_VALUE"""),0.0)</f>
        <v>0</v>
      </c>
      <c r="BG196" s="3">
        <f>IFERROR(__xludf.DUMMYFUNCTION("""COMPUTED_VALUE"""),0.0)</f>
        <v>0</v>
      </c>
      <c r="BH196" s="3">
        <f>IFERROR(__xludf.DUMMYFUNCTION("""COMPUTED_VALUE"""),0.0)</f>
        <v>0</v>
      </c>
      <c r="BI196" s="3">
        <f>IFERROR(__xludf.DUMMYFUNCTION("""COMPUTED_VALUE"""),0.0)</f>
        <v>0</v>
      </c>
      <c r="BJ196" s="3">
        <f>IFERROR(__xludf.DUMMYFUNCTION("""COMPUTED_VALUE"""),0.0)</f>
        <v>0</v>
      </c>
      <c r="BK196" s="3">
        <f>IFERROR(__xludf.DUMMYFUNCTION("""COMPUTED_VALUE"""),1.0)</f>
        <v>1</v>
      </c>
      <c r="BL196" s="3">
        <f>IFERROR(__xludf.DUMMYFUNCTION("""COMPUTED_VALUE"""),1.0)</f>
        <v>1</v>
      </c>
      <c r="BM196" s="3">
        <f>IFERROR(__xludf.DUMMYFUNCTION("""COMPUTED_VALUE"""),2.0)</f>
        <v>2</v>
      </c>
      <c r="BN196" s="3">
        <f>IFERROR(__xludf.DUMMYFUNCTION("""COMPUTED_VALUE"""),3.0)</f>
        <v>3</v>
      </c>
      <c r="BO196" s="3">
        <f>IFERROR(__xludf.DUMMYFUNCTION("""COMPUTED_VALUE"""),3.0)</f>
        <v>3</v>
      </c>
      <c r="BP196" s="3">
        <f>IFERROR(__xludf.DUMMYFUNCTION("""COMPUTED_VALUE"""),4.0)</f>
        <v>4</v>
      </c>
      <c r="BQ196" s="3">
        <f>IFERROR(__xludf.DUMMYFUNCTION("""COMPUTED_VALUE"""),1.0)</f>
        <v>1</v>
      </c>
      <c r="BR196" s="3">
        <f>IFERROR(__xludf.DUMMYFUNCTION("""COMPUTED_VALUE"""),1.0)</f>
        <v>1</v>
      </c>
      <c r="BS196" s="3">
        <f>IFERROR(__xludf.DUMMYFUNCTION("""COMPUTED_VALUE"""),10.0)</f>
        <v>10</v>
      </c>
      <c r="BT196" s="3">
        <f>IFERROR(__xludf.DUMMYFUNCTION("""COMPUTED_VALUE"""),13.0)</f>
        <v>13</v>
      </c>
      <c r="BU196" s="3">
        <f>IFERROR(__xludf.DUMMYFUNCTION("""COMPUTED_VALUE"""),16.0)</f>
        <v>16</v>
      </c>
      <c r="BV196" s="3">
        <f>IFERROR(__xludf.DUMMYFUNCTION("""COMPUTED_VALUE"""),16.0)</f>
        <v>16</v>
      </c>
      <c r="BW196" s="3">
        <f>IFERROR(__xludf.DUMMYFUNCTION("""COMPUTED_VALUE"""),28.0)</f>
        <v>28</v>
      </c>
      <c r="BX196" s="3">
        <f>IFERROR(__xludf.DUMMYFUNCTION("""COMPUTED_VALUE"""),31.0)</f>
        <v>31</v>
      </c>
      <c r="BY196" s="3">
        <f>IFERROR(__xludf.DUMMYFUNCTION("""COMPUTED_VALUE"""),39.0)</f>
        <v>39</v>
      </c>
      <c r="BZ196" s="3">
        <f>IFERROR(__xludf.DUMMYFUNCTION("""COMPUTED_VALUE"""),44.0)</f>
        <v>44</v>
      </c>
      <c r="CA196" s="3">
        <f>IFERROR(__xludf.DUMMYFUNCTION("""COMPUTED_VALUE"""),51.0)</f>
        <v>51</v>
      </c>
      <c r="CB196" s="3">
        <f>IFERROR(__xludf.DUMMYFUNCTION("""COMPUTED_VALUE"""),58.0)</f>
        <v>58</v>
      </c>
    </row>
    <row r="197">
      <c r="A197" s="3" t="str">
        <f>IFERROR(__xludf.DUMMYFUNCTION("""COMPUTED_VALUE"""),"")</f>
        <v/>
      </c>
      <c r="B197" s="3" t="str">
        <f>IFERROR(__xludf.DUMMYFUNCTION("""COMPUTED_VALUE"""),"Seychelles")</f>
        <v>Seychelles</v>
      </c>
      <c r="C197" s="3">
        <f>IFERROR(__xludf.DUMMYFUNCTION("""COMPUTED_VALUE"""),-4.6796)</f>
        <v>-4.6796</v>
      </c>
      <c r="D197" s="3">
        <f>IFERROR(__xludf.DUMMYFUNCTION("""COMPUTED_VALUE"""),55.492)</f>
        <v>55.492</v>
      </c>
      <c r="E197" s="3">
        <f>IFERROR(__xludf.DUMMYFUNCTION("""COMPUTED_VALUE"""),0.0)</f>
        <v>0</v>
      </c>
      <c r="F197" s="3">
        <f>IFERROR(__xludf.DUMMYFUNCTION("""COMPUTED_VALUE"""),0.0)</f>
        <v>0</v>
      </c>
      <c r="G197" s="3">
        <f>IFERROR(__xludf.DUMMYFUNCTION("""COMPUTED_VALUE"""),0.0)</f>
        <v>0</v>
      </c>
      <c r="H197" s="3">
        <f>IFERROR(__xludf.DUMMYFUNCTION("""COMPUTED_VALUE"""),0.0)</f>
        <v>0</v>
      </c>
      <c r="I197" s="3">
        <f>IFERROR(__xludf.DUMMYFUNCTION("""COMPUTED_VALUE"""),0.0)</f>
        <v>0</v>
      </c>
      <c r="J197" s="3">
        <f>IFERROR(__xludf.DUMMYFUNCTION("""COMPUTED_VALUE"""),0.0)</f>
        <v>0</v>
      </c>
      <c r="K197" s="3">
        <f>IFERROR(__xludf.DUMMYFUNCTION("""COMPUTED_VALUE"""),0.0)</f>
        <v>0</v>
      </c>
      <c r="L197" s="3">
        <f>IFERROR(__xludf.DUMMYFUNCTION("""COMPUTED_VALUE"""),0.0)</f>
        <v>0</v>
      </c>
      <c r="M197" s="3">
        <f>IFERROR(__xludf.DUMMYFUNCTION("""COMPUTED_VALUE"""),0.0)</f>
        <v>0</v>
      </c>
      <c r="N197" s="3">
        <f>IFERROR(__xludf.DUMMYFUNCTION("""COMPUTED_VALUE"""),0.0)</f>
        <v>0</v>
      </c>
      <c r="O197" s="3">
        <f>IFERROR(__xludf.DUMMYFUNCTION("""COMPUTED_VALUE"""),0.0)</f>
        <v>0</v>
      </c>
      <c r="P197" s="3">
        <f>IFERROR(__xludf.DUMMYFUNCTION("""COMPUTED_VALUE"""),0.0)</f>
        <v>0</v>
      </c>
      <c r="Q197" s="3">
        <f>IFERROR(__xludf.DUMMYFUNCTION("""COMPUTED_VALUE"""),0.0)</f>
        <v>0</v>
      </c>
      <c r="R197" s="3">
        <f>IFERROR(__xludf.DUMMYFUNCTION("""COMPUTED_VALUE"""),0.0)</f>
        <v>0</v>
      </c>
      <c r="S197" s="3">
        <f>IFERROR(__xludf.DUMMYFUNCTION("""COMPUTED_VALUE"""),0.0)</f>
        <v>0</v>
      </c>
      <c r="T197" s="3">
        <f>IFERROR(__xludf.DUMMYFUNCTION("""COMPUTED_VALUE"""),0.0)</f>
        <v>0</v>
      </c>
      <c r="U197" s="3">
        <f>IFERROR(__xludf.DUMMYFUNCTION("""COMPUTED_VALUE"""),0.0)</f>
        <v>0</v>
      </c>
      <c r="V197" s="3">
        <f>IFERROR(__xludf.DUMMYFUNCTION("""COMPUTED_VALUE"""),0.0)</f>
        <v>0</v>
      </c>
      <c r="W197" s="3">
        <f>IFERROR(__xludf.DUMMYFUNCTION("""COMPUTED_VALUE"""),0.0)</f>
        <v>0</v>
      </c>
      <c r="X197" s="3">
        <f>IFERROR(__xludf.DUMMYFUNCTION("""COMPUTED_VALUE"""),0.0)</f>
        <v>0</v>
      </c>
      <c r="Y197" s="3">
        <f>IFERROR(__xludf.DUMMYFUNCTION("""COMPUTED_VALUE"""),0.0)</f>
        <v>0</v>
      </c>
      <c r="Z197" s="3">
        <f>IFERROR(__xludf.DUMMYFUNCTION("""COMPUTED_VALUE"""),0.0)</f>
        <v>0</v>
      </c>
      <c r="AA197" s="3">
        <f>IFERROR(__xludf.DUMMYFUNCTION("""COMPUTED_VALUE"""),0.0)</f>
        <v>0</v>
      </c>
      <c r="AB197" s="3">
        <f>IFERROR(__xludf.DUMMYFUNCTION("""COMPUTED_VALUE"""),0.0)</f>
        <v>0</v>
      </c>
      <c r="AC197" s="3">
        <f>IFERROR(__xludf.DUMMYFUNCTION("""COMPUTED_VALUE"""),0.0)</f>
        <v>0</v>
      </c>
      <c r="AD197" s="3">
        <f>IFERROR(__xludf.DUMMYFUNCTION("""COMPUTED_VALUE"""),0.0)</f>
        <v>0</v>
      </c>
      <c r="AE197" s="3">
        <f>IFERROR(__xludf.DUMMYFUNCTION("""COMPUTED_VALUE"""),0.0)</f>
        <v>0</v>
      </c>
      <c r="AF197" s="3">
        <f>IFERROR(__xludf.DUMMYFUNCTION("""COMPUTED_VALUE"""),0.0)</f>
        <v>0</v>
      </c>
      <c r="AG197" s="3">
        <f>IFERROR(__xludf.DUMMYFUNCTION("""COMPUTED_VALUE"""),0.0)</f>
        <v>0</v>
      </c>
      <c r="AH197" s="3">
        <f>IFERROR(__xludf.DUMMYFUNCTION("""COMPUTED_VALUE"""),0.0)</f>
        <v>0</v>
      </c>
      <c r="AI197" s="3">
        <f>IFERROR(__xludf.DUMMYFUNCTION("""COMPUTED_VALUE"""),0.0)</f>
        <v>0</v>
      </c>
      <c r="AJ197" s="3">
        <f>IFERROR(__xludf.DUMMYFUNCTION("""COMPUTED_VALUE"""),0.0)</f>
        <v>0</v>
      </c>
      <c r="AK197" s="3">
        <f>IFERROR(__xludf.DUMMYFUNCTION("""COMPUTED_VALUE"""),0.0)</f>
        <v>0</v>
      </c>
      <c r="AL197" s="3">
        <f>IFERROR(__xludf.DUMMYFUNCTION("""COMPUTED_VALUE"""),0.0)</f>
        <v>0</v>
      </c>
      <c r="AM197" s="3">
        <f>IFERROR(__xludf.DUMMYFUNCTION("""COMPUTED_VALUE"""),0.0)</f>
        <v>0</v>
      </c>
      <c r="AN197" s="3">
        <f>IFERROR(__xludf.DUMMYFUNCTION("""COMPUTED_VALUE"""),0.0)</f>
        <v>0</v>
      </c>
      <c r="AO197" s="3">
        <f>IFERROR(__xludf.DUMMYFUNCTION("""COMPUTED_VALUE"""),0.0)</f>
        <v>0</v>
      </c>
      <c r="AP197" s="3">
        <f>IFERROR(__xludf.DUMMYFUNCTION("""COMPUTED_VALUE"""),0.0)</f>
        <v>0</v>
      </c>
      <c r="AQ197" s="3">
        <f>IFERROR(__xludf.DUMMYFUNCTION("""COMPUTED_VALUE"""),0.0)</f>
        <v>0</v>
      </c>
      <c r="AR197" s="3">
        <f>IFERROR(__xludf.DUMMYFUNCTION("""COMPUTED_VALUE"""),0.0)</f>
        <v>0</v>
      </c>
      <c r="AS197" s="3">
        <f>IFERROR(__xludf.DUMMYFUNCTION("""COMPUTED_VALUE"""),0.0)</f>
        <v>0</v>
      </c>
      <c r="AT197" s="3">
        <f>IFERROR(__xludf.DUMMYFUNCTION("""COMPUTED_VALUE"""),0.0)</f>
        <v>0</v>
      </c>
      <c r="AU197" s="3">
        <f>IFERROR(__xludf.DUMMYFUNCTION("""COMPUTED_VALUE"""),0.0)</f>
        <v>0</v>
      </c>
      <c r="AV197" s="3">
        <f>IFERROR(__xludf.DUMMYFUNCTION("""COMPUTED_VALUE"""),0.0)</f>
        <v>0</v>
      </c>
      <c r="AW197" s="3">
        <f>IFERROR(__xludf.DUMMYFUNCTION("""COMPUTED_VALUE"""),0.0)</f>
        <v>0</v>
      </c>
      <c r="AX197" s="3">
        <f>IFERROR(__xludf.DUMMYFUNCTION("""COMPUTED_VALUE"""),0.0)</f>
        <v>0</v>
      </c>
      <c r="AY197" s="3">
        <f>IFERROR(__xludf.DUMMYFUNCTION("""COMPUTED_VALUE"""),0.0)</f>
        <v>0</v>
      </c>
      <c r="AZ197" s="3">
        <f>IFERROR(__xludf.DUMMYFUNCTION("""COMPUTED_VALUE"""),0.0)</f>
        <v>0</v>
      </c>
      <c r="BA197" s="3">
        <f>IFERROR(__xludf.DUMMYFUNCTION("""COMPUTED_VALUE"""),0.0)</f>
        <v>0</v>
      </c>
      <c r="BB197" s="3">
        <f>IFERROR(__xludf.DUMMYFUNCTION("""COMPUTED_VALUE"""),0.0)</f>
        <v>0</v>
      </c>
      <c r="BC197" s="3">
        <f>IFERROR(__xludf.DUMMYFUNCTION("""COMPUTED_VALUE"""),0.0)</f>
        <v>0</v>
      </c>
      <c r="BD197" s="3">
        <f>IFERROR(__xludf.DUMMYFUNCTION("""COMPUTED_VALUE"""),0.0)</f>
        <v>0</v>
      </c>
      <c r="BE197" s="3">
        <f>IFERROR(__xludf.DUMMYFUNCTION("""COMPUTED_VALUE"""),0.0)</f>
        <v>0</v>
      </c>
      <c r="BF197" s="3">
        <f>IFERROR(__xludf.DUMMYFUNCTION("""COMPUTED_VALUE"""),0.0)</f>
        <v>0</v>
      </c>
      <c r="BG197" s="3">
        <f>IFERROR(__xludf.DUMMYFUNCTION("""COMPUTED_VALUE"""),0.0)</f>
        <v>0</v>
      </c>
      <c r="BH197" s="3">
        <f>IFERROR(__xludf.DUMMYFUNCTION("""COMPUTED_VALUE"""),0.0)</f>
        <v>0</v>
      </c>
      <c r="BI197" s="3">
        <f>IFERROR(__xludf.DUMMYFUNCTION("""COMPUTED_VALUE"""),0.0)</f>
        <v>0</v>
      </c>
      <c r="BJ197" s="3">
        <f>IFERROR(__xludf.DUMMYFUNCTION("""COMPUTED_VALUE"""),0.0)</f>
        <v>0</v>
      </c>
      <c r="BK197" s="3">
        <f>IFERROR(__xludf.DUMMYFUNCTION("""COMPUTED_VALUE"""),0.0)</f>
        <v>0</v>
      </c>
      <c r="BL197" s="3">
        <f>IFERROR(__xludf.DUMMYFUNCTION("""COMPUTED_VALUE"""),0.0)</f>
        <v>0</v>
      </c>
      <c r="BM197" s="3">
        <f>IFERROR(__xludf.DUMMYFUNCTION("""COMPUTED_VALUE"""),0.0)</f>
        <v>0</v>
      </c>
      <c r="BN197" s="3">
        <f>IFERROR(__xludf.DUMMYFUNCTION("""COMPUTED_VALUE"""),0.0)</f>
        <v>0</v>
      </c>
      <c r="BO197" s="3">
        <f>IFERROR(__xludf.DUMMYFUNCTION("""COMPUTED_VALUE"""),0.0)</f>
        <v>0</v>
      </c>
      <c r="BP197" s="3">
        <f>IFERROR(__xludf.DUMMYFUNCTION("""COMPUTED_VALUE"""),0.0)</f>
        <v>0</v>
      </c>
      <c r="BQ197" s="3">
        <f>IFERROR(__xludf.DUMMYFUNCTION("""COMPUTED_VALUE"""),0.0)</f>
        <v>0</v>
      </c>
      <c r="BR197" s="3">
        <f>IFERROR(__xludf.DUMMYFUNCTION("""COMPUTED_VALUE"""),0.0)</f>
        <v>0</v>
      </c>
      <c r="BS197" s="3">
        <f>IFERROR(__xludf.DUMMYFUNCTION("""COMPUTED_VALUE"""),0.0)</f>
        <v>0</v>
      </c>
      <c r="BT197" s="3">
        <f>IFERROR(__xludf.DUMMYFUNCTION("""COMPUTED_VALUE"""),0.0)</f>
        <v>0</v>
      </c>
      <c r="BU197" s="3">
        <f>IFERROR(__xludf.DUMMYFUNCTION("""COMPUTED_VALUE"""),0.0)</f>
        <v>0</v>
      </c>
      <c r="BV197" s="3">
        <f>IFERROR(__xludf.DUMMYFUNCTION("""COMPUTED_VALUE"""),0.0)</f>
        <v>0</v>
      </c>
      <c r="BW197" s="3">
        <f>IFERROR(__xludf.DUMMYFUNCTION("""COMPUTED_VALUE"""),0.0)</f>
        <v>0</v>
      </c>
      <c r="BX197" s="3">
        <f>IFERROR(__xludf.DUMMYFUNCTION("""COMPUTED_VALUE"""),0.0)</f>
        <v>0</v>
      </c>
      <c r="BY197" s="3">
        <f>IFERROR(__xludf.DUMMYFUNCTION("""COMPUTED_VALUE"""),0.0)</f>
        <v>0</v>
      </c>
      <c r="BZ197" s="3">
        <f>IFERROR(__xludf.DUMMYFUNCTION("""COMPUTED_VALUE"""),0.0)</f>
        <v>0</v>
      </c>
      <c r="CA197" s="3">
        <f>IFERROR(__xludf.DUMMYFUNCTION("""COMPUTED_VALUE"""),0.0)</f>
        <v>0</v>
      </c>
      <c r="CB197" s="3">
        <f>IFERROR(__xludf.DUMMYFUNCTION("""COMPUTED_VALUE"""),0.0)</f>
        <v>0</v>
      </c>
    </row>
    <row r="198">
      <c r="A198" s="3" t="str">
        <f>IFERROR(__xludf.DUMMYFUNCTION("""COMPUTED_VALUE"""),"")</f>
        <v/>
      </c>
      <c r="B198" s="3" t="str">
        <f>IFERROR(__xludf.DUMMYFUNCTION("""COMPUTED_VALUE"""),"Singapore")</f>
        <v>Singapore</v>
      </c>
      <c r="C198" s="3">
        <f>IFERROR(__xludf.DUMMYFUNCTION("""COMPUTED_VALUE"""),1.2833)</f>
        <v>1.2833</v>
      </c>
      <c r="D198" s="3">
        <f>IFERROR(__xludf.DUMMYFUNCTION("""COMPUTED_VALUE"""),103.8333)</f>
        <v>103.8333</v>
      </c>
      <c r="E198" s="3">
        <f>IFERROR(__xludf.DUMMYFUNCTION("""COMPUTED_VALUE"""),0.0)</f>
        <v>0</v>
      </c>
      <c r="F198" s="3">
        <f>IFERROR(__xludf.DUMMYFUNCTION("""COMPUTED_VALUE"""),0.0)</f>
        <v>0</v>
      </c>
      <c r="G198" s="3">
        <f>IFERROR(__xludf.DUMMYFUNCTION("""COMPUTED_VALUE"""),0.0)</f>
        <v>0</v>
      </c>
      <c r="H198" s="3">
        <f>IFERROR(__xludf.DUMMYFUNCTION("""COMPUTED_VALUE"""),0.0)</f>
        <v>0</v>
      </c>
      <c r="I198" s="3">
        <f>IFERROR(__xludf.DUMMYFUNCTION("""COMPUTED_VALUE"""),0.0)</f>
        <v>0</v>
      </c>
      <c r="J198" s="3">
        <f>IFERROR(__xludf.DUMMYFUNCTION("""COMPUTED_VALUE"""),0.0)</f>
        <v>0</v>
      </c>
      <c r="K198" s="3">
        <f>IFERROR(__xludf.DUMMYFUNCTION("""COMPUTED_VALUE"""),0.0)</f>
        <v>0</v>
      </c>
      <c r="L198" s="3">
        <f>IFERROR(__xludf.DUMMYFUNCTION("""COMPUTED_VALUE"""),0.0)</f>
        <v>0</v>
      </c>
      <c r="M198" s="3">
        <f>IFERROR(__xludf.DUMMYFUNCTION("""COMPUTED_VALUE"""),0.0)</f>
        <v>0</v>
      </c>
      <c r="N198" s="3">
        <f>IFERROR(__xludf.DUMMYFUNCTION("""COMPUTED_VALUE"""),0.0)</f>
        <v>0</v>
      </c>
      <c r="O198" s="3">
        <f>IFERROR(__xludf.DUMMYFUNCTION("""COMPUTED_VALUE"""),0.0)</f>
        <v>0</v>
      </c>
      <c r="P198" s="3">
        <f>IFERROR(__xludf.DUMMYFUNCTION("""COMPUTED_VALUE"""),0.0)</f>
        <v>0</v>
      </c>
      <c r="Q198" s="3">
        <f>IFERROR(__xludf.DUMMYFUNCTION("""COMPUTED_VALUE"""),0.0)</f>
        <v>0</v>
      </c>
      <c r="R198" s="3">
        <f>IFERROR(__xludf.DUMMYFUNCTION("""COMPUTED_VALUE"""),0.0)</f>
        <v>0</v>
      </c>
      <c r="S198" s="3">
        <f>IFERROR(__xludf.DUMMYFUNCTION("""COMPUTED_VALUE"""),0.0)</f>
        <v>0</v>
      </c>
      <c r="T198" s="3">
        <f>IFERROR(__xludf.DUMMYFUNCTION("""COMPUTED_VALUE"""),0.0)</f>
        <v>0</v>
      </c>
      <c r="U198" s="3">
        <f>IFERROR(__xludf.DUMMYFUNCTION("""COMPUTED_VALUE"""),0.0)</f>
        <v>0</v>
      </c>
      <c r="V198" s="3">
        <f>IFERROR(__xludf.DUMMYFUNCTION("""COMPUTED_VALUE"""),0.0)</f>
        <v>0</v>
      </c>
      <c r="W198" s="3">
        <f>IFERROR(__xludf.DUMMYFUNCTION("""COMPUTED_VALUE"""),0.0)</f>
        <v>0</v>
      </c>
      <c r="X198" s="3">
        <f>IFERROR(__xludf.DUMMYFUNCTION("""COMPUTED_VALUE"""),0.0)</f>
        <v>0</v>
      </c>
      <c r="Y198" s="3">
        <f>IFERROR(__xludf.DUMMYFUNCTION("""COMPUTED_VALUE"""),0.0)</f>
        <v>0</v>
      </c>
      <c r="Z198" s="3">
        <f>IFERROR(__xludf.DUMMYFUNCTION("""COMPUTED_VALUE"""),0.0)</f>
        <v>0</v>
      </c>
      <c r="AA198" s="3">
        <f>IFERROR(__xludf.DUMMYFUNCTION("""COMPUTED_VALUE"""),0.0)</f>
        <v>0</v>
      </c>
      <c r="AB198" s="3">
        <f>IFERROR(__xludf.DUMMYFUNCTION("""COMPUTED_VALUE"""),0.0)</f>
        <v>0</v>
      </c>
      <c r="AC198" s="3">
        <f>IFERROR(__xludf.DUMMYFUNCTION("""COMPUTED_VALUE"""),0.0)</f>
        <v>0</v>
      </c>
      <c r="AD198" s="3">
        <f>IFERROR(__xludf.DUMMYFUNCTION("""COMPUTED_VALUE"""),0.0)</f>
        <v>0</v>
      </c>
      <c r="AE198" s="3">
        <f>IFERROR(__xludf.DUMMYFUNCTION("""COMPUTED_VALUE"""),0.0)</f>
        <v>0</v>
      </c>
      <c r="AF198" s="3">
        <f>IFERROR(__xludf.DUMMYFUNCTION("""COMPUTED_VALUE"""),0.0)</f>
        <v>0</v>
      </c>
      <c r="AG198" s="3">
        <f>IFERROR(__xludf.DUMMYFUNCTION("""COMPUTED_VALUE"""),0.0)</f>
        <v>0</v>
      </c>
      <c r="AH198" s="3">
        <f>IFERROR(__xludf.DUMMYFUNCTION("""COMPUTED_VALUE"""),0.0)</f>
        <v>0</v>
      </c>
      <c r="AI198" s="3">
        <f>IFERROR(__xludf.DUMMYFUNCTION("""COMPUTED_VALUE"""),0.0)</f>
        <v>0</v>
      </c>
      <c r="AJ198" s="3">
        <f>IFERROR(__xludf.DUMMYFUNCTION("""COMPUTED_VALUE"""),0.0)</f>
        <v>0</v>
      </c>
      <c r="AK198" s="3">
        <f>IFERROR(__xludf.DUMMYFUNCTION("""COMPUTED_VALUE"""),0.0)</f>
        <v>0</v>
      </c>
      <c r="AL198" s="3">
        <f>IFERROR(__xludf.DUMMYFUNCTION("""COMPUTED_VALUE"""),0.0)</f>
        <v>0</v>
      </c>
      <c r="AM198" s="3">
        <f>IFERROR(__xludf.DUMMYFUNCTION("""COMPUTED_VALUE"""),0.0)</f>
        <v>0</v>
      </c>
      <c r="AN198" s="3">
        <f>IFERROR(__xludf.DUMMYFUNCTION("""COMPUTED_VALUE"""),0.0)</f>
        <v>0</v>
      </c>
      <c r="AO198" s="3">
        <f>IFERROR(__xludf.DUMMYFUNCTION("""COMPUTED_VALUE"""),0.0)</f>
        <v>0</v>
      </c>
      <c r="AP198" s="3">
        <f>IFERROR(__xludf.DUMMYFUNCTION("""COMPUTED_VALUE"""),0.0)</f>
        <v>0</v>
      </c>
      <c r="AQ198" s="3">
        <f>IFERROR(__xludf.DUMMYFUNCTION("""COMPUTED_VALUE"""),0.0)</f>
        <v>0</v>
      </c>
      <c r="AR198" s="3">
        <f>IFERROR(__xludf.DUMMYFUNCTION("""COMPUTED_VALUE"""),0.0)</f>
        <v>0</v>
      </c>
      <c r="AS198" s="3">
        <f>IFERROR(__xludf.DUMMYFUNCTION("""COMPUTED_VALUE"""),0.0)</f>
        <v>0</v>
      </c>
      <c r="AT198" s="3">
        <f>IFERROR(__xludf.DUMMYFUNCTION("""COMPUTED_VALUE"""),0.0)</f>
        <v>0</v>
      </c>
      <c r="AU198" s="3">
        <f>IFERROR(__xludf.DUMMYFUNCTION("""COMPUTED_VALUE"""),0.0)</f>
        <v>0</v>
      </c>
      <c r="AV198" s="3">
        <f>IFERROR(__xludf.DUMMYFUNCTION("""COMPUTED_VALUE"""),0.0)</f>
        <v>0</v>
      </c>
      <c r="AW198" s="3">
        <f>IFERROR(__xludf.DUMMYFUNCTION("""COMPUTED_VALUE"""),0.0)</f>
        <v>0</v>
      </c>
      <c r="AX198" s="3">
        <f>IFERROR(__xludf.DUMMYFUNCTION("""COMPUTED_VALUE"""),0.0)</f>
        <v>0</v>
      </c>
      <c r="AY198" s="3">
        <f>IFERROR(__xludf.DUMMYFUNCTION("""COMPUTED_VALUE"""),0.0)</f>
        <v>0</v>
      </c>
      <c r="AZ198" s="3">
        <f>IFERROR(__xludf.DUMMYFUNCTION("""COMPUTED_VALUE"""),0.0)</f>
        <v>0</v>
      </c>
      <c r="BA198" s="3">
        <f>IFERROR(__xludf.DUMMYFUNCTION("""COMPUTED_VALUE"""),0.0)</f>
        <v>0</v>
      </c>
      <c r="BB198" s="3">
        <f>IFERROR(__xludf.DUMMYFUNCTION("""COMPUTED_VALUE"""),0.0)</f>
        <v>0</v>
      </c>
      <c r="BC198" s="3">
        <f>IFERROR(__xludf.DUMMYFUNCTION("""COMPUTED_VALUE"""),0.0)</f>
        <v>0</v>
      </c>
      <c r="BD198" s="3">
        <f>IFERROR(__xludf.DUMMYFUNCTION("""COMPUTED_VALUE"""),0.0)</f>
        <v>0</v>
      </c>
      <c r="BE198" s="3">
        <f>IFERROR(__xludf.DUMMYFUNCTION("""COMPUTED_VALUE"""),0.0)</f>
        <v>0</v>
      </c>
      <c r="BF198" s="3">
        <f>IFERROR(__xludf.DUMMYFUNCTION("""COMPUTED_VALUE"""),0.0)</f>
        <v>0</v>
      </c>
      <c r="BG198" s="3">
        <f>IFERROR(__xludf.DUMMYFUNCTION("""COMPUTED_VALUE"""),0.0)</f>
        <v>0</v>
      </c>
      <c r="BH198" s="3">
        <f>IFERROR(__xludf.DUMMYFUNCTION("""COMPUTED_VALUE"""),0.0)</f>
        <v>0</v>
      </c>
      <c r="BI198" s="3">
        <f>IFERROR(__xludf.DUMMYFUNCTION("""COMPUTED_VALUE"""),0.0)</f>
        <v>0</v>
      </c>
      <c r="BJ198" s="3">
        <f>IFERROR(__xludf.DUMMYFUNCTION("""COMPUTED_VALUE"""),0.0)</f>
        <v>0</v>
      </c>
      <c r="BK198" s="3">
        <f>IFERROR(__xludf.DUMMYFUNCTION("""COMPUTED_VALUE"""),0.0)</f>
        <v>0</v>
      </c>
      <c r="BL198" s="3">
        <f>IFERROR(__xludf.DUMMYFUNCTION("""COMPUTED_VALUE"""),2.0)</f>
        <v>2</v>
      </c>
      <c r="BM198" s="3">
        <f>IFERROR(__xludf.DUMMYFUNCTION("""COMPUTED_VALUE"""),2.0)</f>
        <v>2</v>
      </c>
      <c r="BN198" s="3">
        <f>IFERROR(__xludf.DUMMYFUNCTION("""COMPUTED_VALUE"""),2.0)</f>
        <v>2</v>
      </c>
      <c r="BO198" s="3">
        <f>IFERROR(__xludf.DUMMYFUNCTION("""COMPUTED_VALUE"""),2.0)</f>
        <v>2</v>
      </c>
      <c r="BP198" s="3">
        <f>IFERROR(__xludf.DUMMYFUNCTION("""COMPUTED_VALUE"""),2.0)</f>
        <v>2</v>
      </c>
      <c r="BQ198" s="3">
        <f>IFERROR(__xludf.DUMMYFUNCTION("""COMPUTED_VALUE"""),2.0)</f>
        <v>2</v>
      </c>
      <c r="BR198" s="3">
        <f>IFERROR(__xludf.DUMMYFUNCTION("""COMPUTED_VALUE"""),2.0)</f>
        <v>2</v>
      </c>
      <c r="BS198" s="3">
        <f>IFERROR(__xludf.DUMMYFUNCTION("""COMPUTED_VALUE"""),2.0)</f>
        <v>2</v>
      </c>
      <c r="BT198" s="3">
        <f>IFERROR(__xludf.DUMMYFUNCTION("""COMPUTED_VALUE"""),3.0)</f>
        <v>3</v>
      </c>
      <c r="BU198" s="3">
        <f>IFERROR(__xludf.DUMMYFUNCTION("""COMPUTED_VALUE"""),3.0)</f>
        <v>3</v>
      </c>
      <c r="BV198" s="3">
        <f>IFERROR(__xludf.DUMMYFUNCTION("""COMPUTED_VALUE"""),3.0)</f>
        <v>3</v>
      </c>
      <c r="BW198" s="3">
        <f>IFERROR(__xludf.DUMMYFUNCTION("""COMPUTED_VALUE"""),3.0)</f>
        <v>3</v>
      </c>
      <c r="BX198" s="3">
        <f>IFERROR(__xludf.DUMMYFUNCTION("""COMPUTED_VALUE"""),4.0)</f>
        <v>4</v>
      </c>
      <c r="BY198" s="3">
        <f>IFERROR(__xludf.DUMMYFUNCTION("""COMPUTED_VALUE"""),5.0)</f>
        <v>5</v>
      </c>
      <c r="BZ198" s="3">
        <f>IFERROR(__xludf.DUMMYFUNCTION("""COMPUTED_VALUE"""),6.0)</f>
        <v>6</v>
      </c>
      <c r="CA198" s="3">
        <f>IFERROR(__xludf.DUMMYFUNCTION("""COMPUTED_VALUE"""),6.0)</f>
        <v>6</v>
      </c>
      <c r="CB198" s="3">
        <f>IFERROR(__xludf.DUMMYFUNCTION("""COMPUTED_VALUE"""),6.0)</f>
        <v>6</v>
      </c>
    </row>
    <row r="199">
      <c r="A199" s="3" t="str">
        <f>IFERROR(__xludf.DUMMYFUNCTION("""COMPUTED_VALUE"""),"")</f>
        <v/>
      </c>
      <c r="B199" s="3" t="str">
        <f>IFERROR(__xludf.DUMMYFUNCTION("""COMPUTED_VALUE"""),"Slovakia")</f>
        <v>Slovakia</v>
      </c>
      <c r="C199" s="3">
        <f>IFERROR(__xludf.DUMMYFUNCTION("""COMPUTED_VALUE"""),48.669)</f>
        <v>48.669</v>
      </c>
      <c r="D199" s="3">
        <f>IFERROR(__xludf.DUMMYFUNCTION("""COMPUTED_VALUE"""),19.699)</f>
        <v>19.699</v>
      </c>
      <c r="E199" s="3">
        <f>IFERROR(__xludf.DUMMYFUNCTION("""COMPUTED_VALUE"""),0.0)</f>
        <v>0</v>
      </c>
      <c r="F199" s="3">
        <f>IFERROR(__xludf.DUMMYFUNCTION("""COMPUTED_VALUE"""),0.0)</f>
        <v>0</v>
      </c>
      <c r="G199" s="3">
        <f>IFERROR(__xludf.DUMMYFUNCTION("""COMPUTED_VALUE"""),0.0)</f>
        <v>0</v>
      </c>
      <c r="H199" s="3">
        <f>IFERROR(__xludf.DUMMYFUNCTION("""COMPUTED_VALUE"""),0.0)</f>
        <v>0</v>
      </c>
      <c r="I199" s="3">
        <f>IFERROR(__xludf.DUMMYFUNCTION("""COMPUTED_VALUE"""),0.0)</f>
        <v>0</v>
      </c>
      <c r="J199" s="3">
        <f>IFERROR(__xludf.DUMMYFUNCTION("""COMPUTED_VALUE"""),0.0)</f>
        <v>0</v>
      </c>
      <c r="K199" s="3">
        <f>IFERROR(__xludf.DUMMYFUNCTION("""COMPUTED_VALUE"""),0.0)</f>
        <v>0</v>
      </c>
      <c r="L199" s="3">
        <f>IFERROR(__xludf.DUMMYFUNCTION("""COMPUTED_VALUE"""),0.0)</f>
        <v>0</v>
      </c>
      <c r="M199" s="3">
        <f>IFERROR(__xludf.DUMMYFUNCTION("""COMPUTED_VALUE"""),0.0)</f>
        <v>0</v>
      </c>
      <c r="N199" s="3">
        <f>IFERROR(__xludf.DUMMYFUNCTION("""COMPUTED_VALUE"""),0.0)</f>
        <v>0</v>
      </c>
      <c r="O199" s="3">
        <f>IFERROR(__xludf.DUMMYFUNCTION("""COMPUTED_VALUE"""),0.0)</f>
        <v>0</v>
      </c>
      <c r="P199" s="3">
        <f>IFERROR(__xludf.DUMMYFUNCTION("""COMPUTED_VALUE"""),0.0)</f>
        <v>0</v>
      </c>
      <c r="Q199" s="3">
        <f>IFERROR(__xludf.DUMMYFUNCTION("""COMPUTED_VALUE"""),0.0)</f>
        <v>0</v>
      </c>
      <c r="R199" s="3">
        <f>IFERROR(__xludf.DUMMYFUNCTION("""COMPUTED_VALUE"""),0.0)</f>
        <v>0</v>
      </c>
      <c r="S199" s="3">
        <f>IFERROR(__xludf.DUMMYFUNCTION("""COMPUTED_VALUE"""),0.0)</f>
        <v>0</v>
      </c>
      <c r="T199" s="3">
        <f>IFERROR(__xludf.DUMMYFUNCTION("""COMPUTED_VALUE"""),0.0)</f>
        <v>0</v>
      </c>
      <c r="U199" s="3">
        <f>IFERROR(__xludf.DUMMYFUNCTION("""COMPUTED_VALUE"""),0.0)</f>
        <v>0</v>
      </c>
      <c r="V199" s="3">
        <f>IFERROR(__xludf.DUMMYFUNCTION("""COMPUTED_VALUE"""),0.0)</f>
        <v>0</v>
      </c>
      <c r="W199" s="3">
        <f>IFERROR(__xludf.DUMMYFUNCTION("""COMPUTED_VALUE"""),0.0)</f>
        <v>0</v>
      </c>
      <c r="X199" s="3">
        <f>IFERROR(__xludf.DUMMYFUNCTION("""COMPUTED_VALUE"""),0.0)</f>
        <v>0</v>
      </c>
      <c r="Y199" s="3">
        <f>IFERROR(__xludf.DUMMYFUNCTION("""COMPUTED_VALUE"""),0.0)</f>
        <v>0</v>
      </c>
      <c r="Z199" s="3">
        <f>IFERROR(__xludf.DUMMYFUNCTION("""COMPUTED_VALUE"""),0.0)</f>
        <v>0</v>
      </c>
      <c r="AA199" s="3">
        <f>IFERROR(__xludf.DUMMYFUNCTION("""COMPUTED_VALUE"""),0.0)</f>
        <v>0</v>
      </c>
      <c r="AB199" s="3">
        <f>IFERROR(__xludf.DUMMYFUNCTION("""COMPUTED_VALUE"""),0.0)</f>
        <v>0</v>
      </c>
      <c r="AC199" s="3">
        <f>IFERROR(__xludf.DUMMYFUNCTION("""COMPUTED_VALUE"""),0.0)</f>
        <v>0</v>
      </c>
      <c r="AD199" s="3">
        <f>IFERROR(__xludf.DUMMYFUNCTION("""COMPUTED_VALUE"""),0.0)</f>
        <v>0</v>
      </c>
      <c r="AE199" s="3">
        <f>IFERROR(__xludf.DUMMYFUNCTION("""COMPUTED_VALUE"""),0.0)</f>
        <v>0</v>
      </c>
      <c r="AF199" s="3">
        <f>IFERROR(__xludf.DUMMYFUNCTION("""COMPUTED_VALUE"""),0.0)</f>
        <v>0</v>
      </c>
      <c r="AG199" s="3">
        <f>IFERROR(__xludf.DUMMYFUNCTION("""COMPUTED_VALUE"""),0.0)</f>
        <v>0</v>
      </c>
      <c r="AH199" s="3">
        <f>IFERROR(__xludf.DUMMYFUNCTION("""COMPUTED_VALUE"""),0.0)</f>
        <v>0</v>
      </c>
      <c r="AI199" s="3">
        <f>IFERROR(__xludf.DUMMYFUNCTION("""COMPUTED_VALUE"""),0.0)</f>
        <v>0</v>
      </c>
      <c r="AJ199" s="3">
        <f>IFERROR(__xludf.DUMMYFUNCTION("""COMPUTED_VALUE"""),0.0)</f>
        <v>0</v>
      </c>
      <c r="AK199" s="3">
        <f>IFERROR(__xludf.DUMMYFUNCTION("""COMPUTED_VALUE"""),0.0)</f>
        <v>0</v>
      </c>
      <c r="AL199" s="3">
        <f>IFERROR(__xludf.DUMMYFUNCTION("""COMPUTED_VALUE"""),0.0)</f>
        <v>0</v>
      </c>
      <c r="AM199" s="3">
        <f>IFERROR(__xludf.DUMMYFUNCTION("""COMPUTED_VALUE"""),0.0)</f>
        <v>0</v>
      </c>
      <c r="AN199" s="3">
        <f>IFERROR(__xludf.DUMMYFUNCTION("""COMPUTED_VALUE"""),0.0)</f>
        <v>0</v>
      </c>
      <c r="AO199" s="3">
        <f>IFERROR(__xludf.DUMMYFUNCTION("""COMPUTED_VALUE"""),0.0)</f>
        <v>0</v>
      </c>
      <c r="AP199" s="3">
        <f>IFERROR(__xludf.DUMMYFUNCTION("""COMPUTED_VALUE"""),0.0)</f>
        <v>0</v>
      </c>
      <c r="AQ199" s="3">
        <f>IFERROR(__xludf.DUMMYFUNCTION("""COMPUTED_VALUE"""),0.0)</f>
        <v>0</v>
      </c>
      <c r="AR199" s="3">
        <f>IFERROR(__xludf.DUMMYFUNCTION("""COMPUTED_VALUE"""),0.0)</f>
        <v>0</v>
      </c>
      <c r="AS199" s="3">
        <f>IFERROR(__xludf.DUMMYFUNCTION("""COMPUTED_VALUE"""),0.0)</f>
        <v>0</v>
      </c>
      <c r="AT199" s="3">
        <f>IFERROR(__xludf.DUMMYFUNCTION("""COMPUTED_VALUE"""),0.0)</f>
        <v>0</v>
      </c>
      <c r="AU199" s="3">
        <f>IFERROR(__xludf.DUMMYFUNCTION("""COMPUTED_VALUE"""),0.0)</f>
        <v>0</v>
      </c>
      <c r="AV199" s="3">
        <f>IFERROR(__xludf.DUMMYFUNCTION("""COMPUTED_VALUE"""),0.0)</f>
        <v>0</v>
      </c>
      <c r="AW199" s="3">
        <f>IFERROR(__xludf.DUMMYFUNCTION("""COMPUTED_VALUE"""),0.0)</f>
        <v>0</v>
      </c>
      <c r="AX199" s="3">
        <f>IFERROR(__xludf.DUMMYFUNCTION("""COMPUTED_VALUE"""),0.0)</f>
        <v>0</v>
      </c>
      <c r="AY199" s="3">
        <f>IFERROR(__xludf.DUMMYFUNCTION("""COMPUTED_VALUE"""),0.0)</f>
        <v>0</v>
      </c>
      <c r="AZ199" s="3">
        <f>IFERROR(__xludf.DUMMYFUNCTION("""COMPUTED_VALUE"""),0.0)</f>
        <v>0</v>
      </c>
      <c r="BA199" s="3">
        <f>IFERROR(__xludf.DUMMYFUNCTION("""COMPUTED_VALUE"""),0.0)</f>
        <v>0</v>
      </c>
      <c r="BB199" s="3">
        <f>IFERROR(__xludf.DUMMYFUNCTION("""COMPUTED_VALUE"""),0.0)</f>
        <v>0</v>
      </c>
      <c r="BC199" s="3">
        <f>IFERROR(__xludf.DUMMYFUNCTION("""COMPUTED_VALUE"""),0.0)</f>
        <v>0</v>
      </c>
      <c r="BD199" s="3">
        <f>IFERROR(__xludf.DUMMYFUNCTION("""COMPUTED_VALUE"""),0.0)</f>
        <v>0</v>
      </c>
      <c r="BE199" s="3">
        <f>IFERROR(__xludf.DUMMYFUNCTION("""COMPUTED_VALUE"""),0.0)</f>
        <v>0</v>
      </c>
      <c r="BF199" s="3">
        <f>IFERROR(__xludf.DUMMYFUNCTION("""COMPUTED_VALUE"""),0.0)</f>
        <v>0</v>
      </c>
      <c r="BG199" s="3">
        <f>IFERROR(__xludf.DUMMYFUNCTION("""COMPUTED_VALUE"""),0.0)</f>
        <v>0</v>
      </c>
      <c r="BH199" s="3">
        <f>IFERROR(__xludf.DUMMYFUNCTION("""COMPUTED_VALUE"""),0.0)</f>
        <v>0</v>
      </c>
      <c r="BI199" s="3">
        <f>IFERROR(__xludf.DUMMYFUNCTION("""COMPUTED_VALUE"""),1.0)</f>
        <v>1</v>
      </c>
      <c r="BJ199" s="3">
        <f>IFERROR(__xludf.DUMMYFUNCTION("""COMPUTED_VALUE"""),1.0)</f>
        <v>1</v>
      </c>
      <c r="BK199" s="3">
        <f>IFERROR(__xludf.DUMMYFUNCTION("""COMPUTED_VALUE"""),1.0)</f>
        <v>1</v>
      </c>
      <c r="BL199" s="3">
        <f>IFERROR(__xludf.DUMMYFUNCTION("""COMPUTED_VALUE"""),1.0)</f>
        <v>1</v>
      </c>
      <c r="BM199" s="3">
        <f>IFERROR(__xludf.DUMMYFUNCTION("""COMPUTED_VALUE"""),0.0)</f>
        <v>0</v>
      </c>
      <c r="BN199" s="3">
        <f>IFERROR(__xludf.DUMMYFUNCTION("""COMPUTED_VALUE"""),0.0)</f>
        <v>0</v>
      </c>
      <c r="BO199" s="3">
        <f>IFERROR(__xludf.DUMMYFUNCTION("""COMPUTED_VALUE"""),0.0)</f>
        <v>0</v>
      </c>
      <c r="BP199" s="3">
        <f>IFERROR(__xludf.DUMMYFUNCTION("""COMPUTED_VALUE"""),0.0)</f>
        <v>0</v>
      </c>
      <c r="BQ199" s="3">
        <f>IFERROR(__xludf.DUMMYFUNCTION("""COMPUTED_VALUE"""),0.0)</f>
        <v>0</v>
      </c>
      <c r="BR199" s="3">
        <f>IFERROR(__xludf.DUMMYFUNCTION("""COMPUTED_VALUE"""),0.0)</f>
        <v>0</v>
      </c>
      <c r="BS199" s="3">
        <f>IFERROR(__xludf.DUMMYFUNCTION("""COMPUTED_VALUE"""),0.0)</f>
        <v>0</v>
      </c>
      <c r="BT199" s="3">
        <f>IFERROR(__xludf.DUMMYFUNCTION("""COMPUTED_VALUE"""),0.0)</f>
        <v>0</v>
      </c>
      <c r="BU199" s="3">
        <f>IFERROR(__xludf.DUMMYFUNCTION("""COMPUTED_VALUE"""),0.0)</f>
        <v>0</v>
      </c>
      <c r="BV199" s="3">
        <f>IFERROR(__xludf.DUMMYFUNCTION("""COMPUTED_VALUE"""),0.0)</f>
        <v>0</v>
      </c>
      <c r="BW199" s="3">
        <f>IFERROR(__xludf.DUMMYFUNCTION("""COMPUTED_VALUE"""),1.0)</f>
        <v>1</v>
      </c>
      <c r="BX199" s="3">
        <f>IFERROR(__xludf.DUMMYFUNCTION("""COMPUTED_VALUE"""),1.0)</f>
        <v>1</v>
      </c>
      <c r="BY199" s="3">
        <f>IFERROR(__xludf.DUMMYFUNCTION("""COMPUTED_VALUE"""),1.0)</f>
        <v>1</v>
      </c>
      <c r="BZ199" s="3">
        <f>IFERROR(__xludf.DUMMYFUNCTION("""COMPUTED_VALUE"""),1.0)</f>
        <v>1</v>
      </c>
      <c r="CA199" s="3">
        <f>IFERROR(__xludf.DUMMYFUNCTION("""COMPUTED_VALUE"""),1.0)</f>
        <v>1</v>
      </c>
      <c r="CB199" s="3">
        <f>IFERROR(__xludf.DUMMYFUNCTION("""COMPUTED_VALUE"""),2.0)</f>
        <v>2</v>
      </c>
    </row>
    <row r="200">
      <c r="A200" s="3" t="str">
        <f>IFERROR(__xludf.DUMMYFUNCTION("""COMPUTED_VALUE"""),"")</f>
        <v/>
      </c>
      <c r="B200" s="3" t="str">
        <f>IFERROR(__xludf.DUMMYFUNCTION("""COMPUTED_VALUE"""),"Slovenia")</f>
        <v>Slovenia</v>
      </c>
      <c r="C200" s="3">
        <f>IFERROR(__xludf.DUMMYFUNCTION("""COMPUTED_VALUE"""),46.1512)</f>
        <v>46.1512</v>
      </c>
      <c r="D200" s="3">
        <f>IFERROR(__xludf.DUMMYFUNCTION("""COMPUTED_VALUE"""),14.9955)</f>
        <v>14.9955</v>
      </c>
      <c r="E200" s="3">
        <f>IFERROR(__xludf.DUMMYFUNCTION("""COMPUTED_VALUE"""),0.0)</f>
        <v>0</v>
      </c>
      <c r="F200" s="3">
        <f>IFERROR(__xludf.DUMMYFUNCTION("""COMPUTED_VALUE"""),0.0)</f>
        <v>0</v>
      </c>
      <c r="G200" s="3">
        <f>IFERROR(__xludf.DUMMYFUNCTION("""COMPUTED_VALUE"""),0.0)</f>
        <v>0</v>
      </c>
      <c r="H200" s="3">
        <f>IFERROR(__xludf.DUMMYFUNCTION("""COMPUTED_VALUE"""),0.0)</f>
        <v>0</v>
      </c>
      <c r="I200" s="3">
        <f>IFERROR(__xludf.DUMMYFUNCTION("""COMPUTED_VALUE"""),0.0)</f>
        <v>0</v>
      </c>
      <c r="J200" s="3">
        <f>IFERROR(__xludf.DUMMYFUNCTION("""COMPUTED_VALUE"""),0.0)</f>
        <v>0</v>
      </c>
      <c r="K200" s="3">
        <f>IFERROR(__xludf.DUMMYFUNCTION("""COMPUTED_VALUE"""),0.0)</f>
        <v>0</v>
      </c>
      <c r="L200" s="3">
        <f>IFERROR(__xludf.DUMMYFUNCTION("""COMPUTED_VALUE"""),0.0)</f>
        <v>0</v>
      </c>
      <c r="M200" s="3">
        <f>IFERROR(__xludf.DUMMYFUNCTION("""COMPUTED_VALUE"""),0.0)</f>
        <v>0</v>
      </c>
      <c r="N200" s="3">
        <f>IFERROR(__xludf.DUMMYFUNCTION("""COMPUTED_VALUE"""),0.0)</f>
        <v>0</v>
      </c>
      <c r="O200" s="3">
        <f>IFERROR(__xludf.DUMMYFUNCTION("""COMPUTED_VALUE"""),0.0)</f>
        <v>0</v>
      </c>
      <c r="P200" s="3">
        <f>IFERROR(__xludf.DUMMYFUNCTION("""COMPUTED_VALUE"""),0.0)</f>
        <v>0</v>
      </c>
      <c r="Q200" s="3">
        <f>IFERROR(__xludf.DUMMYFUNCTION("""COMPUTED_VALUE"""),0.0)</f>
        <v>0</v>
      </c>
      <c r="R200" s="3">
        <f>IFERROR(__xludf.DUMMYFUNCTION("""COMPUTED_VALUE"""),0.0)</f>
        <v>0</v>
      </c>
      <c r="S200" s="3">
        <f>IFERROR(__xludf.DUMMYFUNCTION("""COMPUTED_VALUE"""),0.0)</f>
        <v>0</v>
      </c>
      <c r="T200" s="3">
        <f>IFERROR(__xludf.DUMMYFUNCTION("""COMPUTED_VALUE"""),0.0)</f>
        <v>0</v>
      </c>
      <c r="U200" s="3">
        <f>IFERROR(__xludf.DUMMYFUNCTION("""COMPUTED_VALUE"""),0.0)</f>
        <v>0</v>
      </c>
      <c r="V200" s="3">
        <f>IFERROR(__xludf.DUMMYFUNCTION("""COMPUTED_VALUE"""),0.0)</f>
        <v>0</v>
      </c>
      <c r="W200" s="3">
        <f>IFERROR(__xludf.DUMMYFUNCTION("""COMPUTED_VALUE"""),0.0)</f>
        <v>0</v>
      </c>
      <c r="X200" s="3">
        <f>IFERROR(__xludf.DUMMYFUNCTION("""COMPUTED_VALUE"""),0.0)</f>
        <v>0</v>
      </c>
      <c r="Y200" s="3">
        <f>IFERROR(__xludf.DUMMYFUNCTION("""COMPUTED_VALUE"""),0.0)</f>
        <v>0</v>
      </c>
      <c r="Z200" s="3">
        <f>IFERROR(__xludf.DUMMYFUNCTION("""COMPUTED_VALUE"""),0.0)</f>
        <v>0</v>
      </c>
      <c r="AA200" s="3">
        <f>IFERROR(__xludf.DUMMYFUNCTION("""COMPUTED_VALUE"""),0.0)</f>
        <v>0</v>
      </c>
      <c r="AB200" s="3">
        <f>IFERROR(__xludf.DUMMYFUNCTION("""COMPUTED_VALUE"""),0.0)</f>
        <v>0</v>
      </c>
      <c r="AC200" s="3">
        <f>IFERROR(__xludf.DUMMYFUNCTION("""COMPUTED_VALUE"""),0.0)</f>
        <v>0</v>
      </c>
      <c r="AD200" s="3">
        <f>IFERROR(__xludf.DUMMYFUNCTION("""COMPUTED_VALUE"""),0.0)</f>
        <v>0</v>
      </c>
      <c r="AE200" s="3">
        <f>IFERROR(__xludf.DUMMYFUNCTION("""COMPUTED_VALUE"""),0.0)</f>
        <v>0</v>
      </c>
      <c r="AF200" s="3">
        <f>IFERROR(__xludf.DUMMYFUNCTION("""COMPUTED_VALUE"""),0.0)</f>
        <v>0</v>
      </c>
      <c r="AG200" s="3">
        <f>IFERROR(__xludf.DUMMYFUNCTION("""COMPUTED_VALUE"""),0.0)</f>
        <v>0</v>
      </c>
      <c r="AH200" s="3">
        <f>IFERROR(__xludf.DUMMYFUNCTION("""COMPUTED_VALUE"""),0.0)</f>
        <v>0</v>
      </c>
      <c r="AI200" s="3">
        <f>IFERROR(__xludf.DUMMYFUNCTION("""COMPUTED_VALUE"""),0.0)</f>
        <v>0</v>
      </c>
      <c r="AJ200" s="3">
        <f>IFERROR(__xludf.DUMMYFUNCTION("""COMPUTED_VALUE"""),0.0)</f>
        <v>0</v>
      </c>
      <c r="AK200" s="3">
        <f>IFERROR(__xludf.DUMMYFUNCTION("""COMPUTED_VALUE"""),0.0)</f>
        <v>0</v>
      </c>
      <c r="AL200" s="3">
        <f>IFERROR(__xludf.DUMMYFUNCTION("""COMPUTED_VALUE"""),0.0)</f>
        <v>0</v>
      </c>
      <c r="AM200" s="3">
        <f>IFERROR(__xludf.DUMMYFUNCTION("""COMPUTED_VALUE"""),0.0)</f>
        <v>0</v>
      </c>
      <c r="AN200" s="3">
        <f>IFERROR(__xludf.DUMMYFUNCTION("""COMPUTED_VALUE"""),0.0)</f>
        <v>0</v>
      </c>
      <c r="AO200" s="3">
        <f>IFERROR(__xludf.DUMMYFUNCTION("""COMPUTED_VALUE"""),0.0)</f>
        <v>0</v>
      </c>
      <c r="AP200" s="3">
        <f>IFERROR(__xludf.DUMMYFUNCTION("""COMPUTED_VALUE"""),0.0)</f>
        <v>0</v>
      </c>
      <c r="AQ200" s="3">
        <f>IFERROR(__xludf.DUMMYFUNCTION("""COMPUTED_VALUE"""),0.0)</f>
        <v>0</v>
      </c>
      <c r="AR200" s="3">
        <f>IFERROR(__xludf.DUMMYFUNCTION("""COMPUTED_VALUE"""),0.0)</f>
        <v>0</v>
      </c>
      <c r="AS200" s="3">
        <f>IFERROR(__xludf.DUMMYFUNCTION("""COMPUTED_VALUE"""),0.0)</f>
        <v>0</v>
      </c>
      <c r="AT200" s="3">
        <f>IFERROR(__xludf.DUMMYFUNCTION("""COMPUTED_VALUE"""),0.0)</f>
        <v>0</v>
      </c>
      <c r="AU200" s="3">
        <f>IFERROR(__xludf.DUMMYFUNCTION("""COMPUTED_VALUE"""),0.0)</f>
        <v>0</v>
      </c>
      <c r="AV200" s="3">
        <f>IFERROR(__xludf.DUMMYFUNCTION("""COMPUTED_VALUE"""),0.0)</f>
        <v>0</v>
      </c>
      <c r="AW200" s="3">
        <f>IFERROR(__xludf.DUMMYFUNCTION("""COMPUTED_VALUE"""),0.0)</f>
        <v>0</v>
      </c>
      <c r="AX200" s="3">
        <f>IFERROR(__xludf.DUMMYFUNCTION("""COMPUTED_VALUE"""),0.0)</f>
        <v>0</v>
      </c>
      <c r="AY200" s="3">
        <f>IFERROR(__xludf.DUMMYFUNCTION("""COMPUTED_VALUE"""),0.0)</f>
        <v>0</v>
      </c>
      <c r="AZ200" s="3">
        <f>IFERROR(__xludf.DUMMYFUNCTION("""COMPUTED_VALUE"""),0.0)</f>
        <v>0</v>
      </c>
      <c r="BA200" s="3">
        <f>IFERROR(__xludf.DUMMYFUNCTION("""COMPUTED_VALUE"""),0.0)</f>
        <v>0</v>
      </c>
      <c r="BB200" s="3">
        <f>IFERROR(__xludf.DUMMYFUNCTION("""COMPUTED_VALUE"""),0.0)</f>
        <v>0</v>
      </c>
      <c r="BC200" s="3">
        <f>IFERROR(__xludf.DUMMYFUNCTION("""COMPUTED_VALUE"""),0.0)</f>
        <v>0</v>
      </c>
      <c r="BD200" s="3">
        <f>IFERROR(__xludf.DUMMYFUNCTION("""COMPUTED_VALUE"""),0.0)</f>
        <v>0</v>
      </c>
      <c r="BE200" s="3">
        <f>IFERROR(__xludf.DUMMYFUNCTION("""COMPUTED_VALUE"""),1.0)</f>
        <v>1</v>
      </c>
      <c r="BF200" s="3">
        <f>IFERROR(__xludf.DUMMYFUNCTION("""COMPUTED_VALUE"""),1.0)</f>
        <v>1</v>
      </c>
      <c r="BG200" s="3">
        <f>IFERROR(__xludf.DUMMYFUNCTION("""COMPUTED_VALUE"""),1.0)</f>
        <v>1</v>
      </c>
      <c r="BH200" s="3">
        <f>IFERROR(__xludf.DUMMYFUNCTION("""COMPUTED_VALUE"""),1.0)</f>
        <v>1</v>
      </c>
      <c r="BI200" s="3">
        <f>IFERROR(__xludf.DUMMYFUNCTION("""COMPUTED_VALUE"""),1.0)</f>
        <v>1</v>
      </c>
      <c r="BJ200" s="3">
        <f>IFERROR(__xludf.DUMMYFUNCTION("""COMPUTED_VALUE"""),1.0)</f>
        <v>1</v>
      </c>
      <c r="BK200" s="3">
        <f>IFERROR(__xludf.DUMMYFUNCTION("""COMPUTED_VALUE"""),1.0)</f>
        <v>1</v>
      </c>
      <c r="BL200" s="3">
        <f>IFERROR(__xludf.DUMMYFUNCTION("""COMPUTED_VALUE"""),1.0)</f>
        <v>1</v>
      </c>
      <c r="BM200" s="3">
        <f>IFERROR(__xludf.DUMMYFUNCTION("""COMPUTED_VALUE"""),2.0)</f>
        <v>2</v>
      </c>
      <c r="BN200" s="3">
        <f>IFERROR(__xludf.DUMMYFUNCTION("""COMPUTED_VALUE"""),3.0)</f>
        <v>3</v>
      </c>
      <c r="BO200" s="3">
        <f>IFERROR(__xludf.DUMMYFUNCTION("""COMPUTED_VALUE"""),4.0)</f>
        <v>4</v>
      </c>
      <c r="BP200" s="3">
        <f>IFERROR(__xludf.DUMMYFUNCTION("""COMPUTED_VALUE"""),5.0)</f>
        <v>5</v>
      </c>
      <c r="BQ200" s="3">
        <f>IFERROR(__xludf.DUMMYFUNCTION("""COMPUTED_VALUE"""),6.0)</f>
        <v>6</v>
      </c>
      <c r="BR200" s="3">
        <f>IFERROR(__xludf.DUMMYFUNCTION("""COMPUTED_VALUE"""),9.0)</f>
        <v>9</v>
      </c>
      <c r="BS200" s="3">
        <f>IFERROR(__xludf.DUMMYFUNCTION("""COMPUTED_VALUE"""),9.0)</f>
        <v>9</v>
      </c>
      <c r="BT200" s="3">
        <f>IFERROR(__xludf.DUMMYFUNCTION("""COMPUTED_VALUE"""),11.0)</f>
        <v>11</v>
      </c>
      <c r="BU200" s="3">
        <f>IFERROR(__xludf.DUMMYFUNCTION("""COMPUTED_VALUE"""),11.0)</f>
        <v>11</v>
      </c>
      <c r="BV200" s="3">
        <f>IFERROR(__xludf.DUMMYFUNCTION("""COMPUTED_VALUE"""),15.0)</f>
        <v>15</v>
      </c>
      <c r="BW200" s="3">
        <f>IFERROR(__xludf.DUMMYFUNCTION("""COMPUTED_VALUE"""),15.0)</f>
        <v>15</v>
      </c>
      <c r="BX200" s="3">
        <f>IFERROR(__xludf.DUMMYFUNCTION("""COMPUTED_VALUE"""),17.0)</f>
        <v>17</v>
      </c>
      <c r="BY200" s="3">
        <f>IFERROR(__xludf.DUMMYFUNCTION("""COMPUTED_VALUE"""),20.0)</f>
        <v>20</v>
      </c>
      <c r="BZ200" s="3">
        <f>IFERROR(__xludf.DUMMYFUNCTION("""COMPUTED_VALUE"""),22.0)</f>
        <v>22</v>
      </c>
      <c r="CA200" s="3">
        <f>IFERROR(__xludf.DUMMYFUNCTION("""COMPUTED_VALUE"""),28.0)</f>
        <v>28</v>
      </c>
      <c r="CB200" s="3">
        <f>IFERROR(__xludf.DUMMYFUNCTION("""COMPUTED_VALUE"""),30.0)</f>
        <v>30</v>
      </c>
    </row>
    <row r="201">
      <c r="A201" s="3" t="str">
        <f>IFERROR(__xludf.DUMMYFUNCTION("""COMPUTED_VALUE"""),"")</f>
        <v/>
      </c>
      <c r="B201" s="3" t="str">
        <f>IFERROR(__xludf.DUMMYFUNCTION("""COMPUTED_VALUE"""),"Somalia")</f>
        <v>Somalia</v>
      </c>
      <c r="C201" s="3">
        <f>IFERROR(__xludf.DUMMYFUNCTION("""COMPUTED_VALUE"""),5.1521)</f>
        <v>5.1521</v>
      </c>
      <c r="D201" s="3">
        <f>IFERROR(__xludf.DUMMYFUNCTION("""COMPUTED_VALUE"""),46.1996)</f>
        <v>46.1996</v>
      </c>
      <c r="E201" s="3">
        <f>IFERROR(__xludf.DUMMYFUNCTION("""COMPUTED_VALUE"""),0.0)</f>
        <v>0</v>
      </c>
      <c r="F201" s="3">
        <f>IFERROR(__xludf.DUMMYFUNCTION("""COMPUTED_VALUE"""),0.0)</f>
        <v>0</v>
      </c>
      <c r="G201" s="3">
        <f>IFERROR(__xludf.DUMMYFUNCTION("""COMPUTED_VALUE"""),0.0)</f>
        <v>0</v>
      </c>
      <c r="H201" s="3">
        <f>IFERROR(__xludf.DUMMYFUNCTION("""COMPUTED_VALUE"""),0.0)</f>
        <v>0</v>
      </c>
      <c r="I201" s="3">
        <f>IFERROR(__xludf.DUMMYFUNCTION("""COMPUTED_VALUE"""),0.0)</f>
        <v>0</v>
      </c>
      <c r="J201" s="3">
        <f>IFERROR(__xludf.DUMMYFUNCTION("""COMPUTED_VALUE"""),0.0)</f>
        <v>0</v>
      </c>
      <c r="K201" s="3">
        <f>IFERROR(__xludf.DUMMYFUNCTION("""COMPUTED_VALUE"""),0.0)</f>
        <v>0</v>
      </c>
      <c r="L201" s="3">
        <f>IFERROR(__xludf.DUMMYFUNCTION("""COMPUTED_VALUE"""),0.0)</f>
        <v>0</v>
      </c>
      <c r="M201" s="3">
        <f>IFERROR(__xludf.DUMMYFUNCTION("""COMPUTED_VALUE"""),0.0)</f>
        <v>0</v>
      </c>
      <c r="N201" s="3">
        <f>IFERROR(__xludf.DUMMYFUNCTION("""COMPUTED_VALUE"""),0.0)</f>
        <v>0</v>
      </c>
      <c r="O201" s="3">
        <f>IFERROR(__xludf.DUMMYFUNCTION("""COMPUTED_VALUE"""),0.0)</f>
        <v>0</v>
      </c>
      <c r="P201" s="3">
        <f>IFERROR(__xludf.DUMMYFUNCTION("""COMPUTED_VALUE"""),0.0)</f>
        <v>0</v>
      </c>
      <c r="Q201" s="3">
        <f>IFERROR(__xludf.DUMMYFUNCTION("""COMPUTED_VALUE"""),0.0)</f>
        <v>0</v>
      </c>
      <c r="R201" s="3">
        <f>IFERROR(__xludf.DUMMYFUNCTION("""COMPUTED_VALUE"""),0.0)</f>
        <v>0</v>
      </c>
      <c r="S201" s="3">
        <f>IFERROR(__xludf.DUMMYFUNCTION("""COMPUTED_VALUE"""),0.0)</f>
        <v>0</v>
      </c>
      <c r="T201" s="3">
        <f>IFERROR(__xludf.DUMMYFUNCTION("""COMPUTED_VALUE"""),0.0)</f>
        <v>0</v>
      </c>
      <c r="U201" s="3">
        <f>IFERROR(__xludf.DUMMYFUNCTION("""COMPUTED_VALUE"""),0.0)</f>
        <v>0</v>
      </c>
      <c r="V201" s="3">
        <f>IFERROR(__xludf.DUMMYFUNCTION("""COMPUTED_VALUE"""),0.0)</f>
        <v>0</v>
      </c>
      <c r="W201" s="3">
        <f>IFERROR(__xludf.DUMMYFUNCTION("""COMPUTED_VALUE"""),0.0)</f>
        <v>0</v>
      </c>
      <c r="X201" s="3">
        <f>IFERROR(__xludf.DUMMYFUNCTION("""COMPUTED_VALUE"""),0.0)</f>
        <v>0</v>
      </c>
      <c r="Y201" s="3">
        <f>IFERROR(__xludf.DUMMYFUNCTION("""COMPUTED_VALUE"""),0.0)</f>
        <v>0</v>
      </c>
      <c r="Z201" s="3">
        <f>IFERROR(__xludf.DUMMYFUNCTION("""COMPUTED_VALUE"""),0.0)</f>
        <v>0</v>
      </c>
      <c r="AA201" s="3">
        <f>IFERROR(__xludf.DUMMYFUNCTION("""COMPUTED_VALUE"""),0.0)</f>
        <v>0</v>
      </c>
      <c r="AB201" s="3">
        <f>IFERROR(__xludf.DUMMYFUNCTION("""COMPUTED_VALUE"""),0.0)</f>
        <v>0</v>
      </c>
      <c r="AC201" s="3">
        <f>IFERROR(__xludf.DUMMYFUNCTION("""COMPUTED_VALUE"""),0.0)</f>
        <v>0</v>
      </c>
      <c r="AD201" s="3">
        <f>IFERROR(__xludf.DUMMYFUNCTION("""COMPUTED_VALUE"""),0.0)</f>
        <v>0</v>
      </c>
      <c r="AE201" s="3">
        <f>IFERROR(__xludf.DUMMYFUNCTION("""COMPUTED_VALUE"""),0.0)</f>
        <v>0</v>
      </c>
      <c r="AF201" s="3">
        <f>IFERROR(__xludf.DUMMYFUNCTION("""COMPUTED_VALUE"""),0.0)</f>
        <v>0</v>
      </c>
      <c r="AG201" s="3">
        <f>IFERROR(__xludf.DUMMYFUNCTION("""COMPUTED_VALUE"""),0.0)</f>
        <v>0</v>
      </c>
      <c r="AH201" s="3">
        <f>IFERROR(__xludf.DUMMYFUNCTION("""COMPUTED_VALUE"""),0.0)</f>
        <v>0</v>
      </c>
      <c r="AI201" s="3">
        <f>IFERROR(__xludf.DUMMYFUNCTION("""COMPUTED_VALUE"""),0.0)</f>
        <v>0</v>
      </c>
      <c r="AJ201" s="3">
        <f>IFERROR(__xludf.DUMMYFUNCTION("""COMPUTED_VALUE"""),0.0)</f>
        <v>0</v>
      </c>
      <c r="AK201" s="3">
        <f>IFERROR(__xludf.DUMMYFUNCTION("""COMPUTED_VALUE"""),0.0)</f>
        <v>0</v>
      </c>
      <c r="AL201" s="3">
        <f>IFERROR(__xludf.DUMMYFUNCTION("""COMPUTED_VALUE"""),0.0)</f>
        <v>0</v>
      </c>
      <c r="AM201" s="3">
        <f>IFERROR(__xludf.DUMMYFUNCTION("""COMPUTED_VALUE"""),0.0)</f>
        <v>0</v>
      </c>
      <c r="AN201" s="3">
        <f>IFERROR(__xludf.DUMMYFUNCTION("""COMPUTED_VALUE"""),0.0)</f>
        <v>0</v>
      </c>
      <c r="AO201" s="3">
        <f>IFERROR(__xludf.DUMMYFUNCTION("""COMPUTED_VALUE"""),0.0)</f>
        <v>0</v>
      </c>
      <c r="AP201" s="3">
        <f>IFERROR(__xludf.DUMMYFUNCTION("""COMPUTED_VALUE"""),0.0)</f>
        <v>0</v>
      </c>
      <c r="AQ201" s="3">
        <f>IFERROR(__xludf.DUMMYFUNCTION("""COMPUTED_VALUE"""),0.0)</f>
        <v>0</v>
      </c>
      <c r="AR201" s="3">
        <f>IFERROR(__xludf.DUMMYFUNCTION("""COMPUTED_VALUE"""),0.0)</f>
        <v>0</v>
      </c>
      <c r="AS201" s="3">
        <f>IFERROR(__xludf.DUMMYFUNCTION("""COMPUTED_VALUE"""),0.0)</f>
        <v>0</v>
      </c>
      <c r="AT201" s="3">
        <f>IFERROR(__xludf.DUMMYFUNCTION("""COMPUTED_VALUE"""),0.0)</f>
        <v>0</v>
      </c>
      <c r="AU201" s="3">
        <f>IFERROR(__xludf.DUMMYFUNCTION("""COMPUTED_VALUE"""),0.0)</f>
        <v>0</v>
      </c>
      <c r="AV201" s="3">
        <f>IFERROR(__xludf.DUMMYFUNCTION("""COMPUTED_VALUE"""),0.0)</f>
        <v>0</v>
      </c>
      <c r="AW201" s="3">
        <f>IFERROR(__xludf.DUMMYFUNCTION("""COMPUTED_VALUE"""),0.0)</f>
        <v>0</v>
      </c>
      <c r="AX201" s="3">
        <f>IFERROR(__xludf.DUMMYFUNCTION("""COMPUTED_VALUE"""),0.0)</f>
        <v>0</v>
      </c>
      <c r="AY201" s="3">
        <f>IFERROR(__xludf.DUMMYFUNCTION("""COMPUTED_VALUE"""),0.0)</f>
        <v>0</v>
      </c>
      <c r="AZ201" s="3">
        <f>IFERROR(__xludf.DUMMYFUNCTION("""COMPUTED_VALUE"""),0.0)</f>
        <v>0</v>
      </c>
      <c r="BA201" s="3">
        <f>IFERROR(__xludf.DUMMYFUNCTION("""COMPUTED_VALUE"""),0.0)</f>
        <v>0</v>
      </c>
      <c r="BB201" s="3">
        <f>IFERROR(__xludf.DUMMYFUNCTION("""COMPUTED_VALUE"""),0.0)</f>
        <v>0</v>
      </c>
      <c r="BC201" s="3">
        <f>IFERROR(__xludf.DUMMYFUNCTION("""COMPUTED_VALUE"""),0.0)</f>
        <v>0</v>
      </c>
      <c r="BD201" s="3">
        <f>IFERROR(__xludf.DUMMYFUNCTION("""COMPUTED_VALUE"""),0.0)</f>
        <v>0</v>
      </c>
      <c r="BE201" s="3">
        <f>IFERROR(__xludf.DUMMYFUNCTION("""COMPUTED_VALUE"""),0.0)</f>
        <v>0</v>
      </c>
      <c r="BF201" s="3">
        <f>IFERROR(__xludf.DUMMYFUNCTION("""COMPUTED_VALUE"""),0.0)</f>
        <v>0</v>
      </c>
      <c r="BG201" s="3">
        <f>IFERROR(__xludf.DUMMYFUNCTION("""COMPUTED_VALUE"""),0.0)</f>
        <v>0</v>
      </c>
      <c r="BH201" s="3">
        <f>IFERROR(__xludf.DUMMYFUNCTION("""COMPUTED_VALUE"""),0.0)</f>
        <v>0</v>
      </c>
      <c r="BI201" s="3">
        <f>IFERROR(__xludf.DUMMYFUNCTION("""COMPUTED_VALUE"""),0.0)</f>
        <v>0</v>
      </c>
      <c r="BJ201" s="3">
        <f>IFERROR(__xludf.DUMMYFUNCTION("""COMPUTED_VALUE"""),0.0)</f>
        <v>0</v>
      </c>
      <c r="BK201" s="3">
        <f>IFERROR(__xludf.DUMMYFUNCTION("""COMPUTED_VALUE"""),0.0)</f>
        <v>0</v>
      </c>
      <c r="BL201" s="3">
        <f>IFERROR(__xludf.DUMMYFUNCTION("""COMPUTED_VALUE"""),0.0)</f>
        <v>0</v>
      </c>
      <c r="BM201" s="3">
        <f>IFERROR(__xludf.DUMMYFUNCTION("""COMPUTED_VALUE"""),0.0)</f>
        <v>0</v>
      </c>
      <c r="BN201" s="3">
        <f>IFERROR(__xludf.DUMMYFUNCTION("""COMPUTED_VALUE"""),0.0)</f>
        <v>0</v>
      </c>
      <c r="BO201" s="3">
        <f>IFERROR(__xludf.DUMMYFUNCTION("""COMPUTED_VALUE"""),0.0)</f>
        <v>0</v>
      </c>
      <c r="BP201" s="3">
        <f>IFERROR(__xludf.DUMMYFUNCTION("""COMPUTED_VALUE"""),0.0)</f>
        <v>0</v>
      </c>
      <c r="BQ201" s="3">
        <f>IFERROR(__xludf.DUMMYFUNCTION("""COMPUTED_VALUE"""),0.0)</f>
        <v>0</v>
      </c>
      <c r="BR201" s="3">
        <f>IFERROR(__xludf.DUMMYFUNCTION("""COMPUTED_VALUE"""),0.0)</f>
        <v>0</v>
      </c>
      <c r="BS201" s="3">
        <f>IFERROR(__xludf.DUMMYFUNCTION("""COMPUTED_VALUE"""),0.0)</f>
        <v>0</v>
      </c>
      <c r="BT201" s="3">
        <f>IFERROR(__xludf.DUMMYFUNCTION("""COMPUTED_VALUE"""),0.0)</f>
        <v>0</v>
      </c>
      <c r="BU201" s="3">
        <f>IFERROR(__xludf.DUMMYFUNCTION("""COMPUTED_VALUE"""),0.0)</f>
        <v>0</v>
      </c>
      <c r="BV201" s="3">
        <f>IFERROR(__xludf.DUMMYFUNCTION("""COMPUTED_VALUE"""),0.0)</f>
        <v>0</v>
      </c>
      <c r="BW201" s="3">
        <f>IFERROR(__xludf.DUMMYFUNCTION("""COMPUTED_VALUE"""),0.0)</f>
        <v>0</v>
      </c>
      <c r="BX201" s="3">
        <f>IFERROR(__xludf.DUMMYFUNCTION("""COMPUTED_VALUE"""),0.0)</f>
        <v>0</v>
      </c>
      <c r="BY201" s="3">
        <f>IFERROR(__xludf.DUMMYFUNCTION("""COMPUTED_VALUE"""),0.0)</f>
        <v>0</v>
      </c>
      <c r="BZ201" s="3">
        <f>IFERROR(__xludf.DUMMYFUNCTION("""COMPUTED_VALUE"""),0.0)</f>
        <v>0</v>
      </c>
      <c r="CA201" s="3">
        <f>IFERROR(__xludf.DUMMYFUNCTION("""COMPUTED_VALUE"""),0.0)</f>
        <v>0</v>
      </c>
      <c r="CB201" s="3">
        <f>IFERROR(__xludf.DUMMYFUNCTION("""COMPUTED_VALUE"""),0.0)</f>
        <v>0</v>
      </c>
    </row>
    <row r="202">
      <c r="A202" s="3" t="str">
        <f>IFERROR(__xludf.DUMMYFUNCTION("""COMPUTED_VALUE"""),"")</f>
        <v/>
      </c>
      <c r="B202" s="3" t="str">
        <f>IFERROR(__xludf.DUMMYFUNCTION("""COMPUTED_VALUE"""),"South Africa")</f>
        <v>South Africa</v>
      </c>
      <c r="C202" s="3">
        <f>IFERROR(__xludf.DUMMYFUNCTION("""COMPUTED_VALUE"""),-30.5595)</f>
        <v>-30.5595</v>
      </c>
      <c r="D202" s="3">
        <f>IFERROR(__xludf.DUMMYFUNCTION("""COMPUTED_VALUE"""),22.9375)</f>
        <v>22.9375</v>
      </c>
      <c r="E202" s="3">
        <f>IFERROR(__xludf.DUMMYFUNCTION("""COMPUTED_VALUE"""),0.0)</f>
        <v>0</v>
      </c>
      <c r="F202" s="3">
        <f>IFERROR(__xludf.DUMMYFUNCTION("""COMPUTED_VALUE"""),0.0)</f>
        <v>0</v>
      </c>
      <c r="G202" s="3">
        <f>IFERROR(__xludf.DUMMYFUNCTION("""COMPUTED_VALUE"""),0.0)</f>
        <v>0</v>
      </c>
      <c r="H202" s="3">
        <f>IFERROR(__xludf.DUMMYFUNCTION("""COMPUTED_VALUE"""),0.0)</f>
        <v>0</v>
      </c>
      <c r="I202" s="3">
        <f>IFERROR(__xludf.DUMMYFUNCTION("""COMPUTED_VALUE"""),0.0)</f>
        <v>0</v>
      </c>
      <c r="J202" s="3">
        <f>IFERROR(__xludf.DUMMYFUNCTION("""COMPUTED_VALUE"""),0.0)</f>
        <v>0</v>
      </c>
      <c r="K202" s="3">
        <f>IFERROR(__xludf.DUMMYFUNCTION("""COMPUTED_VALUE"""),0.0)</f>
        <v>0</v>
      </c>
      <c r="L202" s="3">
        <f>IFERROR(__xludf.DUMMYFUNCTION("""COMPUTED_VALUE"""),0.0)</f>
        <v>0</v>
      </c>
      <c r="M202" s="3">
        <f>IFERROR(__xludf.DUMMYFUNCTION("""COMPUTED_VALUE"""),0.0)</f>
        <v>0</v>
      </c>
      <c r="N202" s="3">
        <f>IFERROR(__xludf.DUMMYFUNCTION("""COMPUTED_VALUE"""),0.0)</f>
        <v>0</v>
      </c>
      <c r="O202" s="3">
        <f>IFERROR(__xludf.DUMMYFUNCTION("""COMPUTED_VALUE"""),0.0)</f>
        <v>0</v>
      </c>
      <c r="P202" s="3">
        <f>IFERROR(__xludf.DUMMYFUNCTION("""COMPUTED_VALUE"""),0.0)</f>
        <v>0</v>
      </c>
      <c r="Q202" s="3">
        <f>IFERROR(__xludf.DUMMYFUNCTION("""COMPUTED_VALUE"""),0.0)</f>
        <v>0</v>
      </c>
      <c r="R202" s="3">
        <f>IFERROR(__xludf.DUMMYFUNCTION("""COMPUTED_VALUE"""),0.0)</f>
        <v>0</v>
      </c>
      <c r="S202" s="3">
        <f>IFERROR(__xludf.DUMMYFUNCTION("""COMPUTED_VALUE"""),0.0)</f>
        <v>0</v>
      </c>
      <c r="T202" s="3">
        <f>IFERROR(__xludf.DUMMYFUNCTION("""COMPUTED_VALUE"""),0.0)</f>
        <v>0</v>
      </c>
      <c r="U202" s="3">
        <f>IFERROR(__xludf.DUMMYFUNCTION("""COMPUTED_VALUE"""),0.0)</f>
        <v>0</v>
      </c>
      <c r="V202" s="3">
        <f>IFERROR(__xludf.DUMMYFUNCTION("""COMPUTED_VALUE"""),0.0)</f>
        <v>0</v>
      </c>
      <c r="W202" s="3">
        <f>IFERROR(__xludf.DUMMYFUNCTION("""COMPUTED_VALUE"""),0.0)</f>
        <v>0</v>
      </c>
      <c r="X202" s="3">
        <f>IFERROR(__xludf.DUMMYFUNCTION("""COMPUTED_VALUE"""),0.0)</f>
        <v>0</v>
      </c>
      <c r="Y202" s="3">
        <f>IFERROR(__xludf.DUMMYFUNCTION("""COMPUTED_VALUE"""),0.0)</f>
        <v>0</v>
      </c>
      <c r="Z202" s="3">
        <f>IFERROR(__xludf.DUMMYFUNCTION("""COMPUTED_VALUE"""),0.0)</f>
        <v>0</v>
      </c>
      <c r="AA202" s="3">
        <f>IFERROR(__xludf.DUMMYFUNCTION("""COMPUTED_VALUE"""),0.0)</f>
        <v>0</v>
      </c>
      <c r="AB202" s="3">
        <f>IFERROR(__xludf.DUMMYFUNCTION("""COMPUTED_VALUE"""),0.0)</f>
        <v>0</v>
      </c>
      <c r="AC202" s="3">
        <f>IFERROR(__xludf.DUMMYFUNCTION("""COMPUTED_VALUE"""),0.0)</f>
        <v>0</v>
      </c>
      <c r="AD202" s="3">
        <f>IFERROR(__xludf.DUMMYFUNCTION("""COMPUTED_VALUE"""),0.0)</f>
        <v>0</v>
      </c>
      <c r="AE202" s="3">
        <f>IFERROR(__xludf.DUMMYFUNCTION("""COMPUTED_VALUE"""),0.0)</f>
        <v>0</v>
      </c>
      <c r="AF202" s="3">
        <f>IFERROR(__xludf.DUMMYFUNCTION("""COMPUTED_VALUE"""),0.0)</f>
        <v>0</v>
      </c>
      <c r="AG202" s="3">
        <f>IFERROR(__xludf.DUMMYFUNCTION("""COMPUTED_VALUE"""),0.0)</f>
        <v>0</v>
      </c>
      <c r="AH202" s="3">
        <f>IFERROR(__xludf.DUMMYFUNCTION("""COMPUTED_VALUE"""),0.0)</f>
        <v>0</v>
      </c>
      <c r="AI202" s="3">
        <f>IFERROR(__xludf.DUMMYFUNCTION("""COMPUTED_VALUE"""),0.0)</f>
        <v>0</v>
      </c>
      <c r="AJ202" s="3">
        <f>IFERROR(__xludf.DUMMYFUNCTION("""COMPUTED_VALUE"""),0.0)</f>
        <v>0</v>
      </c>
      <c r="AK202" s="3">
        <f>IFERROR(__xludf.DUMMYFUNCTION("""COMPUTED_VALUE"""),0.0)</f>
        <v>0</v>
      </c>
      <c r="AL202" s="3">
        <f>IFERROR(__xludf.DUMMYFUNCTION("""COMPUTED_VALUE"""),0.0)</f>
        <v>0</v>
      </c>
      <c r="AM202" s="3">
        <f>IFERROR(__xludf.DUMMYFUNCTION("""COMPUTED_VALUE"""),0.0)</f>
        <v>0</v>
      </c>
      <c r="AN202" s="3">
        <f>IFERROR(__xludf.DUMMYFUNCTION("""COMPUTED_VALUE"""),0.0)</f>
        <v>0</v>
      </c>
      <c r="AO202" s="3">
        <f>IFERROR(__xludf.DUMMYFUNCTION("""COMPUTED_VALUE"""),0.0)</f>
        <v>0</v>
      </c>
      <c r="AP202" s="3">
        <f>IFERROR(__xludf.DUMMYFUNCTION("""COMPUTED_VALUE"""),0.0)</f>
        <v>0</v>
      </c>
      <c r="AQ202" s="3">
        <f>IFERROR(__xludf.DUMMYFUNCTION("""COMPUTED_VALUE"""),0.0)</f>
        <v>0</v>
      </c>
      <c r="AR202" s="3">
        <f>IFERROR(__xludf.DUMMYFUNCTION("""COMPUTED_VALUE"""),0.0)</f>
        <v>0</v>
      </c>
      <c r="AS202" s="3">
        <f>IFERROR(__xludf.DUMMYFUNCTION("""COMPUTED_VALUE"""),0.0)</f>
        <v>0</v>
      </c>
      <c r="AT202" s="3">
        <f>IFERROR(__xludf.DUMMYFUNCTION("""COMPUTED_VALUE"""),0.0)</f>
        <v>0</v>
      </c>
      <c r="AU202" s="3">
        <f>IFERROR(__xludf.DUMMYFUNCTION("""COMPUTED_VALUE"""),0.0)</f>
        <v>0</v>
      </c>
      <c r="AV202" s="3">
        <f>IFERROR(__xludf.DUMMYFUNCTION("""COMPUTED_VALUE"""),0.0)</f>
        <v>0</v>
      </c>
      <c r="AW202" s="3">
        <f>IFERROR(__xludf.DUMMYFUNCTION("""COMPUTED_VALUE"""),0.0)</f>
        <v>0</v>
      </c>
      <c r="AX202" s="3">
        <f>IFERROR(__xludf.DUMMYFUNCTION("""COMPUTED_VALUE"""),0.0)</f>
        <v>0</v>
      </c>
      <c r="AY202" s="3">
        <f>IFERROR(__xludf.DUMMYFUNCTION("""COMPUTED_VALUE"""),0.0)</f>
        <v>0</v>
      </c>
      <c r="AZ202" s="3">
        <f>IFERROR(__xludf.DUMMYFUNCTION("""COMPUTED_VALUE"""),0.0)</f>
        <v>0</v>
      </c>
      <c r="BA202" s="3">
        <f>IFERROR(__xludf.DUMMYFUNCTION("""COMPUTED_VALUE"""),0.0)</f>
        <v>0</v>
      </c>
      <c r="BB202" s="3">
        <f>IFERROR(__xludf.DUMMYFUNCTION("""COMPUTED_VALUE"""),0.0)</f>
        <v>0</v>
      </c>
      <c r="BC202" s="3">
        <f>IFERROR(__xludf.DUMMYFUNCTION("""COMPUTED_VALUE"""),0.0)</f>
        <v>0</v>
      </c>
      <c r="BD202" s="3">
        <f>IFERROR(__xludf.DUMMYFUNCTION("""COMPUTED_VALUE"""),0.0)</f>
        <v>0</v>
      </c>
      <c r="BE202" s="3">
        <f>IFERROR(__xludf.DUMMYFUNCTION("""COMPUTED_VALUE"""),0.0)</f>
        <v>0</v>
      </c>
      <c r="BF202" s="3">
        <f>IFERROR(__xludf.DUMMYFUNCTION("""COMPUTED_VALUE"""),0.0)</f>
        <v>0</v>
      </c>
      <c r="BG202" s="3">
        <f>IFERROR(__xludf.DUMMYFUNCTION("""COMPUTED_VALUE"""),0.0)</f>
        <v>0</v>
      </c>
      <c r="BH202" s="3">
        <f>IFERROR(__xludf.DUMMYFUNCTION("""COMPUTED_VALUE"""),0.0)</f>
        <v>0</v>
      </c>
      <c r="BI202" s="3">
        <f>IFERROR(__xludf.DUMMYFUNCTION("""COMPUTED_VALUE"""),0.0)</f>
        <v>0</v>
      </c>
      <c r="BJ202" s="3">
        <f>IFERROR(__xludf.DUMMYFUNCTION("""COMPUTED_VALUE"""),0.0)</f>
        <v>0</v>
      </c>
      <c r="BK202" s="3">
        <f>IFERROR(__xludf.DUMMYFUNCTION("""COMPUTED_VALUE"""),0.0)</f>
        <v>0</v>
      </c>
      <c r="BL202" s="3">
        <f>IFERROR(__xludf.DUMMYFUNCTION("""COMPUTED_VALUE"""),0.0)</f>
        <v>0</v>
      </c>
      <c r="BM202" s="3">
        <f>IFERROR(__xludf.DUMMYFUNCTION("""COMPUTED_VALUE"""),0.0)</f>
        <v>0</v>
      </c>
      <c r="BN202" s="3">
        <f>IFERROR(__xludf.DUMMYFUNCTION("""COMPUTED_VALUE"""),0.0)</f>
        <v>0</v>
      </c>
      <c r="BO202" s="3">
        <f>IFERROR(__xludf.DUMMYFUNCTION("""COMPUTED_VALUE"""),0.0)</f>
        <v>0</v>
      </c>
      <c r="BP202" s="3">
        <f>IFERROR(__xludf.DUMMYFUNCTION("""COMPUTED_VALUE"""),0.0)</f>
        <v>0</v>
      </c>
      <c r="BQ202" s="3">
        <f>IFERROR(__xludf.DUMMYFUNCTION("""COMPUTED_VALUE"""),0.0)</f>
        <v>0</v>
      </c>
      <c r="BR202" s="3">
        <f>IFERROR(__xludf.DUMMYFUNCTION("""COMPUTED_VALUE"""),1.0)</f>
        <v>1</v>
      </c>
      <c r="BS202" s="3">
        <f>IFERROR(__xludf.DUMMYFUNCTION("""COMPUTED_VALUE"""),1.0)</f>
        <v>1</v>
      </c>
      <c r="BT202" s="3">
        <f>IFERROR(__xludf.DUMMYFUNCTION("""COMPUTED_VALUE"""),2.0)</f>
        <v>2</v>
      </c>
      <c r="BU202" s="3">
        <f>IFERROR(__xludf.DUMMYFUNCTION("""COMPUTED_VALUE"""),3.0)</f>
        <v>3</v>
      </c>
      <c r="BV202" s="3">
        <f>IFERROR(__xludf.DUMMYFUNCTION("""COMPUTED_VALUE"""),5.0)</f>
        <v>5</v>
      </c>
      <c r="BW202" s="3">
        <f>IFERROR(__xludf.DUMMYFUNCTION("""COMPUTED_VALUE"""),5.0)</f>
        <v>5</v>
      </c>
      <c r="BX202" s="3">
        <f>IFERROR(__xludf.DUMMYFUNCTION("""COMPUTED_VALUE"""),5.0)</f>
        <v>5</v>
      </c>
      <c r="BY202" s="3">
        <f>IFERROR(__xludf.DUMMYFUNCTION("""COMPUTED_VALUE"""),9.0)</f>
        <v>9</v>
      </c>
      <c r="BZ202" s="3">
        <f>IFERROR(__xludf.DUMMYFUNCTION("""COMPUTED_VALUE"""),9.0)</f>
        <v>9</v>
      </c>
      <c r="CA202" s="3">
        <f>IFERROR(__xludf.DUMMYFUNCTION("""COMPUTED_VALUE"""),11.0)</f>
        <v>11</v>
      </c>
      <c r="CB202" s="3">
        <f>IFERROR(__xludf.DUMMYFUNCTION("""COMPUTED_VALUE"""),12.0)</f>
        <v>12</v>
      </c>
    </row>
    <row r="203">
      <c r="A203" s="3" t="str">
        <f>IFERROR(__xludf.DUMMYFUNCTION("""COMPUTED_VALUE"""),"")</f>
        <v/>
      </c>
      <c r="B203" s="3" t="str">
        <f>IFERROR(__xludf.DUMMYFUNCTION("""COMPUTED_VALUE"""),"Spain")</f>
        <v>Spain</v>
      </c>
      <c r="C203" s="3">
        <f>IFERROR(__xludf.DUMMYFUNCTION("""COMPUTED_VALUE"""),40.0)</f>
        <v>40</v>
      </c>
      <c r="D203" s="3">
        <f>IFERROR(__xludf.DUMMYFUNCTION("""COMPUTED_VALUE"""),-4.0)</f>
        <v>-4</v>
      </c>
      <c r="E203" s="3">
        <f>IFERROR(__xludf.DUMMYFUNCTION("""COMPUTED_VALUE"""),0.0)</f>
        <v>0</v>
      </c>
      <c r="F203" s="3">
        <f>IFERROR(__xludf.DUMMYFUNCTION("""COMPUTED_VALUE"""),0.0)</f>
        <v>0</v>
      </c>
      <c r="G203" s="3">
        <f>IFERROR(__xludf.DUMMYFUNCTION("""COMPUTED_VALUE"""),0.0)</f>
        <v>0</v>
      </c>
      <c r="H203" s="3">
        <f>IFERROR(__xludf.DUMMYFUNCTION("""COMPUTED_VALUE"""),0.0)</f>
        <v>0</v>
      </c>
      <c r="I203" s="3">
        <f>IFERROR(__xludf.DUMMYFUNCTION("""COMPUTED_VALUE"""),0.0)</f>
        <v>0</v>
      </c>
      <c r="J203" s="3">
        <f>IFERROR(__xludf.DUMMYFUNCTION("""COMPUTED_VALUE"""),0.0)</f>
        <v>0</v>
      </c>
      <c r="K203" s="3">
        <f>IFERROR(__xludf.DUMMYFUNCTION("""COMPUTED_VALUE"""),0.0)</f>
        <v>0</v>
      </c>
      <c r="L203" s="3">
        <f>IFERROR(__xludf.DUMMYFUNCTION("""COMPUTED_VALUE"""),0.0)</f>
        <v>0</v>
      </c>
      <c r="M203" s="3">
        <f>IFERROR(__xludf.DUMMYFUNCTION("""COMPUTED_VALUE"""),0.0)</f>
        <v>0</v>
      </c>
      <c r="N203" s="3">
        <f>IFERROR(__xludf.DUMMYFUNCTION("""COMPUTED_VALUE"""),0.0)</f>
        <v>0</v>
      </c>
      <c r="O203" s="3">
        <f>IFERROR(__xludf.DUMMYFUNCTION("""COMPUTED_VALUE"""),0.0)</f>
        <v>0</v>
      </c>
      <c r="P203" s="3">
        <f>IFERROR(__xludf.DUMMYFUNCTION("""COMPUTED_VALUE"""),0.0)</f>
        <v>0</v>
      </c>
      <c r="Q203" s="3">
        <f>IFERROR(__xludf.DUMMYFUNCTION("""COMPUTED_VALUE"""),0.0)</f>
        <v>0</v>
      </c>
      <c r="R203" s="3">
        <f>IFERROR(__xludf.DUMMYFUNCTION("""COMPUTED_VALUE"""),0.0)</f>
        <v>0</v>
      </c>
      <c r="S203" s="3">
        <f>IFERROR(__xludf.DUMMYFUNCTION("""COMPUTED_VALUE"""),0.0)</f>
        <v>0</v>
      </c>
      <c r="T203" s="3">
        <f>IFERROR(__xludf.DUMMYFUNCTION("""COMPUTED_VALUE"""),0.0)</f>
        <v>0</v>
      </c>
      <c r="U203" s="3">
        <f>IFERROR(__xludf.DUMMYFUNCTION("""COMPUTED_VALUE"""),0.0)</f>
        <v>0</v>
      </c>
      <c r="V203" s="3">
        <f>IFERROR(__xludf.DUMMYFUNCTION("""COMPUTED_VALUE"""),0.0)</f>
        <v>0</v>
      </c>
      <c r="W203" s="3">
        <f>IFERROR(__xludf.DUMMYFUNCTION("""COMPUTED_VALUE"""),0.0)</f>
        <v>0</v>
      </c>
      <c r="X203" s="3">
        <f>IFERROR(__xludf.DUMMYFUNCTION("""COMPUTED_VALUE"""),0.0)</f>
        <v>0</v>
      </c>
      <c r="Y203" s="3">
        <f>IFERROR(__xludf.DUMMYFUNCTION("""COMPUTED_VALUE"""),0.0)</f>
        <v>0</v>
      </c>
      <c r="Z203" s="3">
        <f>IFERROR(__xludf.DUMMYFUNCTION("""COMPUTED_VALUE"""),0.0)</f>
        <v>0</v>
      </c>
      <c r="AA203" s="3">
        <f>IFERROR(__xludf.DUMMYFUNCTION("""COMPUTED_VALUE"""),0.0)</f>
        <v>0</v>
      </c>
      <c r="AB203" s="3">
        <f>IFERROR(__xludf.DUMMYFUNCTION("""COMPUTED_VALUE"""),0.0)</f>
        <v>0</v>
      </c>
      <c r="AC203" s="3">
        <f>IFERROR(__xludf.DUMMYFUNCTION("""COMPUTED_VALUE"""),0.0)</f>
        <v>0</v>
      </c>
      <c r="AD203" s="3">
        <f>IFERROR(__xludf.DUMMYFUNCTION("""COMPUTED_VALUE"""),0.0)</f>
        <v>0</v>
      </c>
      <c r="AE203" s="3">
        <f>IFERROR(__xludf.DUMMYFUNCTION("""COMPUTED_VALUE"""),0.0)</f>
        <v>0</v>
      </c>
      <c r="AF203" s="3">
        <f>IFERROR(__xludf.DUMMYFUNCTION("""COMPUTED_VALUE"""),0.0)</f>
        <v>0</v>
      </c>
      <c r="AG203" s="3">
        <f>IFERROR(__xludf.DUMMYFUNCTION("""COMPUTED_VALUE"""),0.0)</f>
        <v>0</v>
      </c>
      <c r="AH203" s="3">
        <f>IFERROR(__xludf.DUMMYFUNCTION("""COMPUTED_VALUE"""),0.0)</f>
        <v>0</v>
      </c>
      <c r="AI203" s="3">
        <f>IFERROR(__xludf.DUMMYFUNCTION("""COMPUTED_VALUE"""),0.0)</f>
        <v>0</v>
      </c>
      <c r="AJ203" s="3">
        <f>IFERROR(__xludf.DUMMYFUNCTION("""COMPUTED_VALUE"""),0.0)</f>
        <v>0</v>
      </c>
      <c r="AK203" s="3">
        <f>IFERROR(__xludf.DUMMYFUNCTION("""COMPUTED_VALUE"""),0.0)</f>
        <v>0</v>
      </c>
      <c r="AL203" s="3">
        <f>IFERROR(__xludf.DUMMYFUNCTION("""COMPUTED_VALUE"""),0.0)</f>
        <v>0</v>
      </c>
      <c r="AM203" s="3">
        <f>IFERROR(__xludf.DUMMYFUNCTION("""COMPUTED_VALUE"""),0.0)</f>
        <v>0</v>
      </c>
      <c r="AN203" s="3">
        <f>IFERROR(__xludf.DUMMYFUNCTION("""COMPUTED_VALUE"""),0.0)</f>
        <v>0</v>
      </c>
      <c r="AO203" s="3">
        <f>IFERROR(__xludf.DUMMYFUNCTION("""COMPUTED_VALUE"""),0.0)</f>
        <v>0</v>
      </c>
      <c r="AP203" s="3">
        <f>IFERROR(__xludf.DUMMYFUNCTION("""COMPUTED_VALUE"""),0.0)</f>
        <v>0</v>
      </c>
      <c r="AQ203" s="3">
        <f>IFERROR(__xludf.DUMMYFUNCTION("""COMPUTED_VALUE"""),0.0)</f>
        <v>0</v>
      </c>
      <c r="AR203" s="3">
        <f>IFERROR(__xludf.DUMMYFUNCTION("""COMPUTED_VALUE"""),0.0)</f>
        <v>0</v>
      </c>
      <c r="AS203" s="3">
        <f>IFERROR(__xludf.DUMMYFUNCTION("""COMPUTED_VALUE"""),0.0)</f>
        <v>0</v>
      </c>
      <c r="AT203" s="3">
        <f>IFERROR(__xludf.DUMMYFUNCTION("""COMPUTED_VALUE"""),1.0)</f>
        <v>1</v>
      </c>
      <c r="AU203" s="3">
        <f>IFERROR(__xludf.DUMMYFUNCTION("""COMPUTED_VALUE"""),2.0)</f>
        <v>2</v>
      </c>
      <c r="AV203" s="3">
        <f>IFERROR(__xludf.DUMMYFUNCTION("""COMPUTED_VALUE"""),3.0)</f>
        <v>3</v>
      </c>
      <c r="AW203" s="3">
        <f>IFERROR(__xludf.DUMMYFUNCTION("""COMPUTED_VALUE"""),5.0)</f>
        <v>5</v>
      </c>
      <c r="AX203" s="3">
        <f>IFERROR(__xludf.DUMMYFUNCTION("""COMPUTED_VALUE"""),10.0)</f>
        <v>10</v>
      </c>
      <c r="AY203" s="3">
        <f>IFERROR(__xludf.DUMMYFUNCTION("""COMPUTED_VALUE"""),17.0)</f>
        <v>17</v>
      </c>
      <c r="AZ203" s="3">
        <f>IFERROR(__xludf.DUMMYFUNCTION("""COMPUTED_VALUE"""),28.0)</f>
        <v>28</v>
      </c>
      <c r="BA203" s="3">
        <f>IFERROR(__xludf.DUMMYFUNCTION("""COMPUTED_VALUE"""),35.0)</f>
        <v>35</v>
      </c>
      <c r="BB203" s="3">
        <f>IFERROR(__xludf.DUMMYFUNCTION("""COMPUTED_VALUE"""),54.0)</f>
        <v>54</v>
      </c>
      <c r="BC203" s="3">
        <f>IFERROR(__xludf.DUMMYFUNCTION("""COMPUTED_VALUE"""),55.0)</f>
        <v>55</v>
      </c>
      <c r="BD203" s="3">
        <f>IFERROR(__xludf.DUMMYFUNCTION("""COMPUTED_VALUE"""),133.0)</f>
        <v>133</v>
      </c>
      <c r="BE203" s="3">
        <f>IFERROR(__xludf.DUMMYFUNCTION("""COMPUTED_VALUE"""),195.0)</f>
        <v>195</v>
      </c>
      <c r="BF203" s="3">
        <f>IFERROR(__xludf.DUMMYFUNCTION("""COMPUTED_VALUE"""),289.0)</f>
        <v>289</v>
      </c>
      <c r="BG203" s="3">
        <f>IFERROR(__xludf.DUMMYFUNCTION("""COMPUTED_VALUE"""),342.0)</f>
        <v>342</v>
      </c>
      <c r="BH203" s="3">
        <f>IFERROR(__xludf.DUMMYFUNCTION("""COMPUTED_VALUE"""),533.0)</f>
        <v>533</v>
      </c>
      <c r="BI203" s="3">
        <f>IFERROR(__xludf.DUMMYFUNCTION("""COMPUTED_VALUE"""),623.0)</f>
        <v>623</v>
      </c>
      <c r="BJ203" s="3">
        <f>IFERROR(__xludf.DUMMYFUNCTION("""COMPUTED_VALUE"""),830.0)</f>
        <v>830</v>
      </c>
      <c r="BK203" s="3">
        <f>IFERROR(__xludf.DUMMYFUNCTION("""COMPUTED_VALUE"""),1043.0)</f>
        <v>1043</v>
      </c>
      <c r="BL203" s="3">
        <f>IFERROR(__xludf.DUMMYFUNCTION("""COMPUTED_VALUE"""),1375.0)</f>
        <v>1375</v>
      </c>
      <c r="BM203" s="3">
        <f>IFERROR(__xludf.DUMMYFUNCTION("""COMPUTED_VALUE"""),1772.0)</f>
        <v>1772</v>
      </c>
      <c r="BN203" s="3">
        <f>IFERROR(__xludf.DUMMYFUNCTION("""COMPUTED_VALUE"""),2311.0)</f>
        <v>2311</v>
      </c>
      <c r="BO203" s="3">
        <f>IFERROR(__xludf.DUMMYFUNCTION("""COMPUTED_VALUE"""),2808.0)</f>
        <v>2808</v>
      </c>
      <c r="BP203" s="3">
        <f>IFERROR(__xludf.DUMMYFUNCTION("""COMPUTED_VALUE"""),3647.0)</f>
        <v>3647</v>
      </c>
      <c r="BQ203" s="3">
        <f>IFERROR(__xludf.DUMMYFUNCTION("""COMPUTED_VALUE"""),4365.0)</f>
        <v>4365</v>
      </c>
      <c r="BR203" s="3">
        <f>IFERROR(__xludf.DUMMYFUNCTION("""COMPUTED_VALUE"""),5138.0)</f>
        <v>5138</v>
      </c>
      <c r="BS203" s="3">
        <f>IFERROR(__xludf.DUMMYFUNCTION("""COMPUTED_VALUE"""),5982.0)</f>
        <v>5982</v>
      </c>
      <c r="BT203" s="3">
        <f>IFERROR(__xludf.DUMMYFUNCTION("""COMPUTED_VALUE"""),6803.0)</f>
        <v>6803</v>
      </c>
      <c r="BU203" s="3">
        <f>IFERROR(__xludf.DUMMYFUNCTION("""COMPUTED_VALUE"""),7716.0)</f>
        <v>7716</v>
      </c>
      <c r="BV203" s="3">
        <f>IFERROR(__xludf.DUMMYFUNCTION("""COMPUTED_VALUE"""),8464.0)</f>
        <v>8464</v>
      </c>
      <c r="BW203" s="3">
        <f>IFERROR(__xludf.DUMMYFUNCTION("""COMPUTED_VALUE"""),9387.0)</f>
        <v>9387</v>
      </c>
      <c r="BX203" s="3">
        <f>IFERROR(__xludf.DUMMYFUNCTION("""COMPUTED_VALUE"""),10348.0)</f>
        <v>10348</v>
      </c>
      <c r="BY203" s="3">
        <f>IFERROR(__xludf.DUMMYFUNCTION("""COMPUTED_VALUE"""),11198.0)</f>
        <v>11198</v>
      </c>
      <c r="BZ203" s="3">
        <f>IFERROR(__xludf.DUMMYFUNCTION("""COMPUTED_VALUE"""),11947.0)</f>
        <v>11947</v>
      </c>
      <c r="CA203" s="3">
        <f>IFERROR(__xludf.DUMMYFUNCTION("""COMPUTED_VALUE"""),12641.0)</f>
        <v>12641</v>
      </c>
      <c r="CB203" s="3">
        <f>IFERROR(__xludf.DUMMYFUNCTION("""COMPUTED_VALUE"""),13341.0)</f>
        <v>13341</v>
      </c>
    </row>
    <row r="204">
      <c r="A204" s="3" t="str">
        <f>IFERROR(__xludf.DUMMYFUNCTION("""COMPUTED_VALUE"""),"")</f>
        <v/>
      </c>
      <c r="B204" s="3" t="str">
        <f>IFERROR(__xludf.DUMMYFUNCTION("""COMPUTED_VALUE"""),"Sri Lanka")</f>
        <v>Sri Lanka</v>
      </c>
      <c r="C204" s="3">
        <f>IFERROR(__xludf.DUMMYFUNCTION("""COMPUTED_VALUE"""),7.0)</f>
        <v>7</v>
      </c>
      <c r="D204" s="3">
        <f>IFERROR(__xludf.DUMMYFUNCTION("""COMPUTED_VALUE"""),81.0)</f>
        <v>81</v>
      </c>
      <c r="E204" s="3">
        <f>IFERROR(__xludf.DUMMYFUNCTION("""COMPUTED_VALUE"""),0.0)</f>
        <v>0</v>
      </c>
      <c r="F204" s="3">
        <f>IFERROR(__xludf.DUMMYFUNCTION("""COMPUTED_VALUE"""),0.0)</f>
        <v>0</v>
      </c>
      <c r="G204" s="3">
        <f>IFERROR(__xludf.DUMMYFUNCTION("""COMPUTED_VALUE"""),0.0)</f>
        <v>0</v>
      </c>
      <c r="H204" s="3">
        <f>IFERROR(__xludf.DUMMYFUNCTION("""COMPUTED_VALUE"""),0.0)</f>
        <v>0</v>
      </c>
      <c r="I204" s="3">
        <f>IFERROR(__xludf.DUMMYFUNCTION("""COMPUTED_VALUE"""),0.0)</f>
        <v>0</v>
      </c>
      <c r="J204" s="3">
        <f>IFERROR(__xludf.DUMMYFUNCTION("""COMPUTED_VALUE"""),0.0)</f>
        <v>0</v>
      </c>
      <c r="K204" s="3">
        <f>IFERROR(__xludf.DUMMYFUNCTION("""COMPUTED_VALUE"""),0.0)</f>
        <v>0</v>
      </c>
      <c r="L204" s="3">
        <f>IFERROR(__xludf.DUMMYFUNCTION("""COMPUTED_VALUE"""),0.0)</f>
        <v>0</v>
      </c>
      <c r="M204" s="3">
        <f>IFERROR(__xludf.DUMMYFUNCTION("""COMPUTED_VALUE"""),0.0)</f>
        <v>0</v>
      </c>
      <c r="N204" s="3">
        <f>IFERROR(__xludf.DUMMYFUNCTION("""COMPUTED_VALUE"""),0.0)</f>
        <v>0</v>
      </c>
      <c r="O204" s="3">
        <f>IFERROR(__xludf.DUMMYFUNCTION("""COMPUTED_VALUE"""),0.0)</f>
        <v>0</v>
      </c>
      <c r="P204" s="3">
        <f>IFERROR(__xludf.DUMMYFUNCTION("""COMPUTED_VALUE"""),0.0)</f>
        <v>0</v>
      </c>
      <c r="Q204" s="3">
        <f>IFERROR(__xludf.DUMMYFUNCTION("""COMPUTED_VALUE"""),0.0)</f>
        <v>0</v>
      </c>
      <c r="R204" s="3">
        <f>IFERROR(__xludf.DUMMYFUNCTION("""COMPUTED_VALUE"""),0.0)</f>
        <v>0</v>
      </c>
      <c r="S204" s="3">
        <f>IFERROR(__xludf.DUMMYFUNCTION("""COMPUTED_VALUE"""),0.0)</f>
        <v>0</v>
      </c>
      <c r="T204" s="3">
        <f>IFERROR(__xludf.DUMMYFUNCTION("""COMPUTED_VALUE"""),0.0)</f>
        <v>0</v>
      </c>
      <c r="U204" s="3">
        <f>IFERROR(__xludf.DUMMYFUNCTION("""COMPUTED_VALUE"""),0.0)</f>
        <v>0</v>
      </c>
      <c r="V204" s="3">
        <f>IFERROR(__xludf.DUMMYFUNCTION("""COMPUTED_VALUE"""),0.0)</f>
        <v>0</v>
      </c>
      <c r="W204" s="3">
        <f>IFERROR(__xludf.DUMMYFUNCTION("""COMPUTED_VALUE"""),0.0)</f>
        <v>0</v>
      </c>
      <c r="X204" s="3">
        <f>IFERROR(__xludf.DUMMYFUNCTION("""COMPUTED_VALUE"""),0.0)</f>
        <v>0</v>
      </c>
      <c r="Y204" s="3">
        <f>IFERROR(__xludf.DUMMYFUNCTION("""COMPUTED_VALUE"""),0.0)</f>
        <v>0</v>
      </c>
      <c r="Z204" s="3">
        <f>IFERROR(__xludf.DUMMYFUNCTION("""COMPUTED_VALUE"""),0.0)</f>
        <v>0</v>
      </c>
      <c r="AA204" s="3">
        <f>IFERROR(__xludf.DUMMYFUNCTION("""COMPUTED_VALUE"""),0.0)</f>
        <v>0</v>
      </c>
      <c r="AB204" s="3">
        <f>IFERROR(__xludf.DUMMYFUNCTION("""COMPUTED_VALUE"""),0.0)</f>
        <v>0</v>
      </c>
      <c r="AC204" s="3">
        <f>IFERROR(__xludf.DUMMYFUNCTION("""COMPUTED_VALUE"""),0.0)</f>
        <v>0</v>
      </c>
      <c r="AD204" s="3">
        <f>IFERROR(__xludf.DUMMYFUNCTION("""COMPUTED_VALUE"""),0.0)</f>
        <v>0</v>
      </c>
      <c r="AE204" s="3">
        <f>IFERROR(__xludf.DUMMYFUNCTION("""COMPUTED_VALUE"""),0.0)</f>
        <v>0</v>
      </c>
      <c r="AF204" s="3">
        <f>IFERROR(__xludf.DUMMYFUNCTION("""COMPUTED_VALUE"""),0.0)</f>
        <v>0</v>
      </c>
      <c r="AG204" s="3">
        <f>IFERROR(__xludf.DUMMYFUNCTION("""COMPUTED_VALUE"""),0.0)</f>
        <v>0</v>
      </c>
      <c r="AH204" s="3">
        <f>IFERROR(__xludf.DUMMYFUNCTION("""COMPUTED_VALUE"""),0.0)</f>
        <v>0</v>
      </c>
      <c r="AI204" s="3">
        <f>IFERROR(__xludf.DUMMYFUNCTION("""COMPUTED_VALUE"""),0.0)</f>
        <v>0</v>
      </c>
      <c r="AJ204" s="3">
        <f>IFERROR(__xludf.DUMMYFUNCTION("""COMPUTED_VALUE"""),0.0)</f>
        <v>0</v>
      </c>
      <c r="AK204" s="3">
        <f>IFERROR(__xludf.DUMMYFUNCTION("""COMPUTED_VALUE"""),0.0)</f>
        <v>0</v>
      </c>
      <c r="AL204" s="3">
        <f>IFERROR(__xludf.DUMMYFUNCTION("""COMPUTED_VALUE"""),0.0)</f>
        <v>0</v>
      </c>
      <c r="AM204" s="3">
        <f>IFERROR(__xludf.DUMMYFUNCTION("""COMPUTED_VALUE"""),0.0)</f>
        <v>0</v>
      </c>
      <c r="AN204" s="3">
        <f>IFERROR(__xludf.DUMMYFUNCTION("""COMPUTED_VALUE"""),0.0)</f>
        <v>0</v>
      </c>
      <c r="AO204" s="3">
        <f>IFERROR(__xludf.DUMMYFUNCTION("""COMPUTED_VALUE"""),0.0)</f>
        <v>0</v>
      </c>
      <c r="AP204" s="3">
        <f>IFERROR(__xludf.DUMMYFUNCTION("""COMPUTED_VALUE"""),0.0)</f>
        <v>0</v>
      </c>
      <c r="AQ204" s="3">
        <f>IFERROR(__xludf.DUMMYFUNCTION("""COMPUTED_VALUE"""),0.0)</f>
        <v>0</v>
      </c>
      <c r="AR204" s="3">
        <f>IFERROR(__xludf.DUMMYFUNCTION("""COMPUTED_VALUE"""),0.0)</f>
        <v>0</v>
      </c>
      <c r="AS204" s="3">
        <f>IFERROR(__xludf.DUMMYFUNCTION("""COMPUTED_VALUE"""),0.0)</f>
        <v>0</v>
      </c>
      <c r="AT204" s="3">
        <f>IFERROR(__xludf.DUMMYFUNCTION("""COMPUTED_VALUE"""),0.0)</f>
        <v>0</v>
      </c>
      <c r="AU204" s="3">
        <f>IFERROR(__xludf.DUMMYFUNCTION("""COMPUTED_VALUE"""),0.0)</f>
        <v>0</v>
      </c>
      <c r="AV204" s="3">
        <f>IFERROR(__xludf.DUMMYFUNCTION("""COMPUTED_VALUE"""),0.0)</f>
        <v>0</v>
      </c>
      <c r="AW204" s="3">
        <f>IFERROR(__xludf.DUMMYFUNCTION("""COMPUTED_VALUE"""),0.0)</f>
        <v>0</v>
      </c>
      <c r="AX204" s="3">
        <f>IFERROR(__xludf.DUMMYFUNCTION("""COMPUTED_VALUE"""),0.0)</f>
        <v>0</v>
      </c>
      <c r="AY204" s="3">
        <f>IFERROR(__xludf.DUMMYFUNCTION("""COMPUTED_VALUE"""),0.0)</f>
        <v>0</v>
      </c>
      <c r="AZ204" s="3">
        <f>IFERROR(__xludf.DUMMYFUNCTION("""COMPUTED_VALUE"""),0.0)</f>
        <v>0</v>
      </c>
      <c r="BA204" s="3">
        <f>IFERROR(__xludf.DUMMYFUNCTION("""COMPUTED_VALUE"""),0.0)</f>
        <v>0</v>
      </c>
      <c r="BB204" s="3">
        <f>IFERROR(__xludf.DUMMYFUNCTION("""COMPUTED_VALUE"""),0.0)</f>
        <v>0</v>
      </c>
      <c r="BC204" s="3">
        <f>IFERROR(__xludf.DUMMYFUNCTION("""COMPUTED_VALUE"""),0.0)</f>
        <v>0</v>
      </c>
      <c r="BD204" s="3">
        <f>IFERROR(__xludf.DUMMYFUNCTION("""COMPUTED_VALUE"""),0.0)</f>
        <v>0</v>
      </c>
      <c r="BE204" s="3">
        <f>IFERROR(__xludf.DUMMYFUNCTION("""COMPUTED_VALUE"""),0.0)</f>
        <v>0</v>
      </c>
      <c r="BF204" s="3">
        <f>IFERROR(__xludf.DUMMYFUNCTION("""COMPUTED_VALUE"""),0.0)</f>
        <v>0</v>
      </c>
      <c r="BG204" s="3">
        <f>IFERROR(__xludf.DUMMYFUNCTION("""COMPUTED_VALUE"""),0.0)</f>
        <v>0</v>
      </c>
      <c r="BH204" s="3">
        <f>IFERROR(__xludf.DUMMYFUNCTION("""COMPUTED_VALUE"""),0.0)</f>
        <v>0</v>
      </c>
      <c r="BI204" s="3">
        <f>IFERROR(__xludf.DUMMYFUNCTION("""COMPUTED_VALUE"""),0.0)</f>
        <v>0</v>
      </c>
      <c r="BJ204" s="3">
        <f>IFERROR(__xludf.DUMMYFUNCTION("""COMPUTED_VALUE"""),0.0)</f>
        <v>0</v>
      </c>
      <c r="BK204" s="3">
        <f>IFERROR(__xludf.DUMMYFUNCTION("""COMPUTED_VALUE"""),0.0)</f>
        <v>0</v>
      </c>
      <c r="BL204" s="3">
        <f>IFERROR(__xludf.DUMMYFUNCTION("""COMPUTED_VALUE"""),0.0)</f>
        <v>0</v>
      </c>
      <c r="BM204" s="3">
        <f>IFERROR(__xludf.DUMMYFUNCTION("""COMPUTED_VALUE"""),0.0)</f>
        <v>0</v>
      </c>
      <c r="BN204" s="3">
        <f>IFERROR(__xludf.DUMMYFUNCTION("""COMPUTED_VALUE"""),0.0)</f>
        <v>0</v>
      </c>
      <c r="BO204" s="3">
        <f>IFERROR(__xludf.DUMMYFUNCTION("""COMPUTED_VALUE"""),0.0)</f>
        <v>0</v>
      </c>
      <c r="BP204" s="3">
        <f>IFERROR(__xludf.DUMMYFUNCTION("""COMPUTED_VALUE"""),0.0)</f>
        <v>0</v>
      </c>
      <c r="BQ204" s="3">
        <f>IFERROR(__xludf.DUMMYFUNCTION("""COMPUTED_VALUE"""),0.0)</f>
        <v>0</v>
      </c>
      <c r="BR204" s="3">
        <f>IFERROR(__xludf.DUMMYFUNCTION("""COMPUTED_VALUE"""),0.0)</f>
        <v>0</v>
      </c>
      <c r="BS204" s="3">
        <f>IFERROR(__xludf.DUMMYFUNCTION("""COMPUTED_VALUE"""),1.0)</f>
        <v>1</v>
      </c>
      <c r="BT204" s="3">
        <f>IFERROR(__xludf.DUMMYFUNCTION("""COMPUTED_VALUE"""),1.0)</f>
        <v>1</v>
      </c>
      <c r="BU204" s="3">
        <f>IFERROR(__xludf.DUMMYFUNCTION("""COMPUTED_VALUE"""),2.0)</f>
        <v>2</v>
      </c>
      <c r="BV204" s="3">
        <f>IFERROR(__xludf.DUMMYFUNCTION("""COMPUTED_VALUE"""),2.0)</f>
        <v>2</v>
      </c>
      <c r="BW204" s="3">
        <f>IFERROR(__xludf.DUMMYFUNCTION("""COMPUTED_VALUE"""),3.0)</f>
        <v>3</v>
      </c>
      <c r="BX204" s="3">
        <f>IFERROR(__xludf.DUMMYFUNCTION("""COMPUTED_VALUE"""),4.0)</f>
        <v>4</v>
      </c>
      <c r="BY204" s="3">
        <f>IFERROR(__xludf.DUMMYFUNCTION("""COMPUTED_VALUE"""),4.0)</f>
        <v>4</v>
      </c>
      <c r="BZ204" s="3">
        <f>IFERROR(__xludf.DUMMYFUNCTION("""COMPUTED_VALUE"""),5.0)</f>
        <v>5</v>
      </c>
      <c r="CA204" s="3">
        <f>IFERROR(__xludf.DUMMYFUNCTION("""COMPUTED_VALUE"""),5.0)</f>
        <v>5</v>
      </c>
      <c r="CB204" s="3">
        <f>IFERROR(__xludf.DUMMYFUNCTION("""COMPUTED_VALUE"""),5.0)</f>
        <v>5</v>
      </c>
    </row>
    <row r="205">
      <c r="A205" s="3" t="str">
        <f>IFERROR(__xludf.DUMMYFUNCTION("""COMPUTED_VALUE"""),"")</f>
        <v/>
      </c>
      <c r="B205" s="3" t="str">
        <f>IFERROR(__xludf.DUMMYFUNCTION("""COMPUTED_VALUE"""),"Sudan")</f>
        <v>Sudan</v>
      </c>
      <c r="C205" s="3">
        <f>IFERROR(__xludf.DUMMYFUNCTION("""COMPUTED_VALUE"""),12.8628)</f>
        <v>12.8628</v>
      </c>
      <c r="D205" s="3">
        <f>IFERROR(__xludf.DUMMYFUNCTION("""COMPUTED_VALUE"""),30.2176)</f>
        <v>30.2176</v>
      </c>
      <c r="E205" s="3">
        <f>IFERROR(__xludf.DUMMYFUNCTION("""COMPUTED_VALUE"""),0.0)</f>
        <v>0</v>
      </c>
      <c r="F205" s="3">
        <f>IFERROR(__xludf.DUMMYFUNCTION("""COMPUTED_VALUE"""),0.0)</f>
        <v>0</v>
      </c>
      <c r="G205" s="3">
        <f>IFERROR(__xludf.DUMMYFUNCTION("""COMPUTED_VALUE"""),0.0)</f>
        <v>0</v>
      </c>
      <c r="H205" s="3">
        <f>IFERROR(__xludf.DUMMYFUNCTION("""COMPUTED_VALUE"""),0.0)</f>
        <v>0</v>
      </c>
      <c r="I205" s="3">
        <f>IFERROR(__xludf.DUMMYFUNCTION("""COMPUTED_VALUE"""),0.0)</f>
        <v>0</v>
      </c>
      <c r="J205" s="3">
        <f>IFERROR(__xludf.DUMMYFUNCTION("""COMPUTED_VALUE"""),0.0)</f>
        <v>0</v>
      </c>
      <c r="K205" s="3">
        <f>IFERROR(__xludf.DUMMYFUNCTION("""COMPUTED_VALUE"""),0.0)</f>
        <v>0</v>
      </c>
      <c r="L205" s="3">
        <f>IFERROR(__xludf.DUMMYFUNCTION("""COMPUTED_VALUE"""),0.0)</f>
        <v>0</v>
      </c>
      <c r="M205" s="3">
        <f>IFERROR(__xludf.DUMMYFUNCTION("""COMPUTED_VALUE"""),0.0)</f>
        <v>0</v>
      </c>
      <c r="N205" s="3">
        <f>IFERROR(__xludf.DUMMYFUNCTION("""COMPUTED_VALUE"""),0.0)</f>
        <v>0</v>
      </c>
      <c r="O205" s="3">
        <f>IFERROR(__xludf.DUMMYFUNCTION("""COMPUTED_VALUE"""),0.0)</f>
        <v>0</v>
      </c>
      <c r="P205" s="3">
        <f>IFERROR(__xludf.DUMMYFUNCTION("""COMPUTED_VALUE"""),0.0)</f>
        <v>0</v>
      </c>
      <c r="Q205" s="3">
        <f>IFERROR(__xludf.DUMMYFUNCTION("""COMPUTED_VALUE"""),0.0)</f>
        <v>0</v>
      </c>
      <c r="R205" s="3">
        <f>IFERROR(__xludf.DUMMYFUNCTION("""COMPUTED_VALUE"""),0.0)</f>
        <v>0</v>
      </c>
      <c r="S205" s="3">
        <f>IFERROR(__xludf.DUMMYFUNCTION("""COMPUTED_VALUE"""),0.0)</f>
        <v>0</v>
      </c>
      <c r="T205" s="3">
        <f>IFERROR(__xludf.DUMMYFUNCTION("""COMPUTED_VALUE"""),0.0)</f>
        <v>0</v>
      </c>
      <c r="U205" s="3">
        <f>IFERROR(__xludf.DUMMYFUNCTION("""COMPUTED_VALUE"""),0.0)</f>
        <v>0</v>
      </c>
      <c r="V205" s="3">
        <f>IFERROR(__xludf.DUMMYFUNCTION("""COMPUTED_VALUE"""),0.0)</f>
        <v>0</v>
      </c>
      <c r="W205" s="3">
        <f>IFERROR(__xludf.DUMMYFUNCTION("""COMPUTED_VALUE"""),0.0)</f>
        <v>0</v>
      </c>
      <c r="X205" s="3">
        <f>IFERROR(__xludf.DUMMYFUNCTION("""COMPUTED_VALUE"""),0.0)</f>
        <v>0</v>
      </c>
      <c r="Y205" s="3">
        <f>IFERROR(__xludf.DUMMYFUNCTION("""COMPUTED_VALUE"""),0.0)</f>
        <v>0</v>
      </c>
      <c r="Z205" s="3">
        <f>IFERROR(__xludf.DUMMYFUNCTION("""COMPUTED_VALUE"""),0.0)</f>
        <v>0</v>
      </c>
      <c r="AA205" s="3">
        <f>IFERROR(__xludf.DUMMYFUNCTION("""COMPUTED_VALUE"""),0.0)</f>
        <v>0</v>
      </c>
      <c r="AB205" s="3">
        <f>IFERROR(__xludf.DUMMYFUNCTION("""COMPUTED_VALUE"""),0.0)</f>
        <v>0</v>
      </c>
      <c r="AC205" s="3">
        <f>IFERROR(__xludf.DUMMYFUNCTION("""COMPUTED_VALUE"""),0.0)</f>
        <v>0</v>
      </c>
      <c r="AD205" s="3">
        <f>IFERROR(__xludf.DUMMYFUNCTION("""COMPUTED_VALUE"""),0.0)</f>
        <v>0</v>
      </c>
      <c r="AE205" s="3">
        <f>IFERROR(__xludf.DUMMYFUNCTION("""COMPUTED_VALUE"""),0.0)</f>
        <v>0</v>
      </c>
      <c r="AF205" s="3">
        <f>IFERROR(__xludf.DUMMYFUNCTION("""COMPUTED_VALUE"""),0.0)</f>
        <v>0</v>
      </c>
      <c r="AG205" s="3">
        <f>IFERROR(__xludf.DUMMYFUNCTION("""COMPUTED_VALUE"""),0.0)</f>
        <v>0</v>
      </c>
      <c r="AH205" s="3">
        <f>IFERROR(__xludf.DUMMYFUNCTION("""COMPUTED_VALUE"""),0.0)</f>
        <v>0</v>
      </c>
      <c r="AI205" s="3">
        <f>IFERROR(__xludf.DUMMYFUNCTION("""COMPUTED_VALUE"""),0.0)</f>
        <v>0</v>
      </c>
      <c r="AJ205" s="3">
        <f>IFERROR(__xludf.DUMMYFUNCTION("""COMPUTED_VALUE"""),0.0)</f>
        <v>0</v>
      </c>
      <c r="AK205" s="3">
        <f>IFERROR(__xludf.DUMMYFUNCTION("""COMPUTED_VALUE"""),0.0)</f>
        <v>0</v>
      </c>
      <c r="AL205" s="3">
        <f>IFERROR(__xludf.DUMMYFUNCTION("""COMPUTED_VALUE"""),0.0)</f>
        <v>0</v>
      </c>
      <c r="AM205" s="3">
        <f>IFERROR(__xludf.DUMMYFUNCTION("""COMPUTED_VALUE"""),0.0)</f>
        <v>0</v>
      </c>
      <c r="AN205" s="3">
        <f>IFERROR(__xludf.DUMMYFUNCTION("""COMPUTED_VALUE"""),0.0)</f>
        <v>0</v>
      </c>
      <c r="AO205" s="3">
        <f>IFERROR(__xludf.DUMMYFUNCTION("""COMPUTED_VALUE"""),0.0)</f>
        <v>0</v>
      </c>
      <c r="AP205" s="3">
        <f>IFERROR(__xludf.DUMMYFUNCTION("""COMPUTED_VALUE"""),0.0)</f>
        <v>0</v>
      </c>
      <c r="AQ205" s="3">
        <f>IFERROR(__xludf.DUMMYFUNCTION("""COMPUTED_VALUE"""),0.0)</f>
        <v>0</v>
      </c>
      <c r="AR205" s="3">
        <f>IFERROR(__xludf.DUMMYFUNCTION("""COMPUTED_VALUE"""),0.0)</f>
        <v>0</v>
      </c>
      <c r="AS205" s="3">
        <f>IFERROR(__xludf.DUMMYFUNCTION("""COMPUTED_VALUE"""),0.0)</f>
        <v>0</v>
      </c>
      <c r="AT205" s="3">
        <f>IFERROR(__xludf.DUMMYFUNCTION("""COMPUTED_VALUE"""),0.0)</f>
        <v>0</v>
      </c>
      <c r="AU205" s="3">
        <f>IFERROR(__xludf.DUMMYFUNCTION("""COMPUTED_VALUE"""),0.0)</f>
        <v>0</v>
      </c>
      <c r="AV205" s="3">
        <f>IFERROR(__xludf.DUMMYFUNCTION("""COMPUTED_VALUE"""),0.0)</f>
        <v>0</v>
      </c>
      <c r="AW205" s="3">
        <f>IFERROR(__xludf.DUMMYFUNCTION("""COMPUTED_VALUE"""),0.0)</f>
        <v>0</v>
      </c>
      <c r="AX205" s="3">
        <f>IFERROR(__xludf.DUMMYFUNCTION("""COMPUTED_VALUE"""),0.0)</f>
        <v>0</v>
      </c>
      <c r="AY205" s="3">
        <f>IFERROR(__xludf.DUMMYFUNCTION("""COMPUTED_VALUE"""),0.0)</f>
        <v>0</v>
      </c>
      <c r="AZ205" s="3">
        <f>IFERROR(__xludf.DUMMYFUNCTION("""COMPUTED_VALUE"""),0.0)</f>
        <v>0</v>
      </c>
      <c r="BA205" s="3">
        <f>IFERROR(__xludf.DUMMYFUNCTION("""COMPUTED_VALUE"""),0.0)</f>
        <v>0</v>
      </c>
      <c r="BB205" s="3">
        <f>IFERROR(__xludf.DUMMYFUNCTION("""COMPUTED_VALUE"""),0.0)</f>
        <v>0</v>
      </c>
      <c r="BC205" s="3">
        <f>IFERROR(__xludf.DUMMYFUNCTION("""COMPUTED_VALUE"""),0.0)</f>
        <v>0</v>
      </c>
      <c r="BD205" s="3">
        <f>IFERROR(__xludf.DUMMYFUNCTION("""COMPUTED_VALUE"""),1.0)</f>
        <v>1</v>
      </c>
      <c r="BE205" s="3">
        <f>IFERROR(__xludf.DUMMYFUNCTION("""COMPUTED_VALUE"""),1.0)</f>
        <v>1</v>
      </c>
      <c r="BF205" s="3">
        <f>IFERROR(__xludf.DUMMYFUNCTION("""COMPUTED_VALUE"""),1.0)</f>
        <v>1</v>
      </c>
      <c r="BG205" s="3">
        <f>IFERROR(__xludf.DUMMYFUNCTION("""COMPUTED_VALUE"""),1.0)</f>
        <v>1</v>
      </c>
      <c r="BH205" s="3">
        <f>IFERROR(__xludf.DUMMYFUNCTION("""COMPUTED_VALUE"""),1.0)</f>
        <v>1</v>
      </c>
      <c r="BI205" s="3">
        <f>IFERROR(__xludf.DUMMYFUNCTION("""COMPUTED_VALUE"""),1.0)</f>
        <v>1</v>
      </c>
      <c r="BJ205" s="3">
        <f>IFERROR(__xludf.DUMMYFUNCTION("""COMPUTED_VALUE"""),1.0)</f>
        <v>1</v>
      </c>
      <c r="BK205" s="3">
        <f>IFERROR(__xludf.DUMMYFUNCTION("""COMPUTED_VALUE"""),1.0)</f>
        <v>1</v>
      </c>
      <c r="BL205" s="3">
        <f>IFERROR(__xludf.DUMMYFUNCTION("""COMPUTED_VALUE"""),1.0)</f>
        <v>1</v>
      </c>
      <c r="BM205" s="3">
        <f>IFERROR(__xludf.DUMMYFUNCTION("""COMPUTED_VALUE"""),1.0)</f>
        <v>1</v>
      </c>
      <c r="BN205" s="3">
        <f>IFERROR(__xludf.DUMMYFUNCTION("""COMPUTED_VALUE"""),1.0)</f>
        <v>1</v>
      </c>
      <c r="BO205" s="3">
        <f>IFERROR(__xludf.DUMMYFUNCTION("""COMPUTED_VALUE"""),1.0)</f>
        <v>1</v>
      </c>
      <c r="BP205" s="3">
        <f>IFERROR(__xludf.DUMMYFUNCTION("""COMPUTED_VALUE"""),1.0)</f>
        <v>1</v>
      </c>
      <c r="BQ205" s="3">
        <f>IFERROR(__xludf.DUMMYFUNCTION("""COMPUTED_VALUE"""),1.0)</f>
        <v>1</v>
      </c>
      <c r="BR205" s="3">
        <f>IFERROR(__xludf.DUMMYFUNCTION("""COMPUTED_VALUE"""),1.0)</f>
        <v>1</v>
      </c>
      <c r="BS205" s="3">
        <f>IFERROR(__xludf.DUMMYFUNCTION("""COMPUTED_VALUE"""),1.0)</f>
        <v>1</v>
      </c>
      <c r="BT205" s="3">
        <f>IFERROR(__xludf.DUMMYFUNCTION("""COMPUTED_VALUE"""),1.0)</f>
        <v>1</v>
      </c>
      <c r="BU205" s="3">
        <f>IFERROR(__xludf.DUMMYFUNCTION("""COMPUTED_VALUE"""),2.0)</f>
        <v>2</v>
      </c>
      <c r="BV205" s="3">
        <f>IFERROR(__xludf.DUMMYFUNCTION("""COMPUTED_VALUE"""),2.0)</f>
        <v>2</v>
      </c>
      <c r="BW205" s="3">
        <f>IFERROR(__xludf.DUMMYFUNCTION("""COMPUTED_VALUE"""),2.0)</f>
        <v>2</v>
      </c>
      <c r="BX205" s="3">
        <f>IFERROR(__xludf.DUMMYFUNCTION("""COMPUTED_VALUE"""),2.0)</f>
        <v>2</v>
      </c>
      <c r="BY205" s="3">
        <f>IFERROR(__xludf.DUMMYFUNCTION("""COMPUTED_VALUE"""),2.0)</f>
        <v>2</v>
      </c>
      <c r="BZ205" s="3">
        <f>IFERROR(__xludf.DUMMYFUNCTION("""COMPUTED_VALUE"""),2.0)</f>
        <v>2</v>
      </c>
      <c r="CA205" s="3">
        <f>IFERROR(__xludf.DUMMYFUNCTION("""COMPUTED_VALUE"""),2.0)</f>
        <v>2</v>
      </c>
      <c r="CB205" s="3">
        <f>IFERROR(__xludf.DUMMYFUNCTION("""COMPUTED_VALUE"""),2.0)</f>
        <v>2</v>
      </c>
    </row>
    <row r="206">
      <c r="A206" s="3" t="str">
        <f>IFERROR(__xludf.DUMMYFUNCTION("""COMPUTED_VALUE"""),"")</f>
        <v/>
      </c>
      <c r="B206" s="3" t="str">
        <f>IFERROR(__xludf.DUMMYFUNCTION("""COMPUTED_VALUE"""),"Suriname")</f>
        <v>Suriname</v>
      </c>
      <c r="C206" s="3">
        <f>IFERROR(__xludf.DUMMYFUNCTION("""COMPUTED_VALUE"""),3.9193)</f>
        <v>3.9193</v>
      </c>
      <c r="D206" s="3">
        <f>IFERROR(__xludf.DUMMYFUNCTION("""COMPUTED_VALUE"""),-56.0278)</f>
        <v>-56.0278</v>
      </c>
      <c r="E206" s="3">
        <f>IFERROR(__xludf.DUMMYFUNCTION("""COMPUTED_VALUE"""),0.0)</f>
        <v>0</v>
      </c>
      <c r="F206" s="3">
        <f>IFERROR(__xludf.DUMMYFUNCTION("""COMPUTED_VALUE"""),0.0)</f>
        <v>0</v>
      </c>
      <c r="G206" s="3">
        <f>IFERROR(__xludf.DUMMYFUNCTION("""COMPUTED_VALUE"""),0.0)</f>
        <v>0</v>
      </c>
      <c r="H206" s="3">
        <f>IFERROR(__xludf.DUMMYFUNCTION("""COMPUTED_VALUE"""),0.0)</f>
        <v>0</v>
      </c>
      <c r="I206" s="3">
        <f>IFERROR(__xludf.DUMMYFUNCTION("""COMPUTED_VALUE"""),0.0)</f>
        <v>0</v>
      </c>
      <c r="J206" s="3">
        <f>IFERROR(__xludf.DUMMYFUNCTION("""COMPUTED_VALUE"""),0.0)</f>
        <v>0</v>
      </c>
      <c r="K206" s="3">
        <f>IFERROR(__xludf.DUMMYFUNCTION("""COMPUTED_VALUE"""),0.0)</f>
        <v>0</v>
      </c>
      <c r="L206" s="3">
        <f>IFERROR(__xludf.DUMMYFUNCTION("""COMPUTED_VALUE"""),0.0)</f>
        <v>0</v>
      </c>
      <c r="M206" s="3">
        <f>IFERROR(__xludf.DUMMYFUNCTION("""COMPUTED_VALUE"""),0.0)</f>
        <v>0</v>
      </c>
      <c r="N206" s="3">
        <f>IFERROR(__xludf.DUMMYFUNCTION("""COMPUTED_VALUE"""),0.0)</f>
        <v>0</v>
      </c>
      <c r="O206" s="3">
        <f>IFERROR(__xludf.DUMMYFUNCTION("""COMPUTED_VALUE"""),0.0)</f>
        <v>0</v>
      </c>
      <c r="P206" s="3">
        <f>IFERROR(__xludf.DUMMYFUNCTION("""COMPUTED_VALUE"""),0.0)</f>
        <v>0</v>
      </c>
      <c r="Q206" s="3">
        <f>IFERROR(__xludf.DUMMYFUNCTION("""COMPUTED_VALUE"""),0.0)</f>
        <v>0</v>
      </c>
      <c r="R206" s="3">
        <f>IFERROR(__xludf.DUMMYFUNCTION("""COMPUTED_VALUE"""),0.0)</f>
        <v>0</v>
      </c>
      <c r="S206" s="3">
        <f>IFERROR(__xludf.DUMMYFUNCTION("""COMPUTED_VALUE"""),0.0)</f>
        <v>0</v>
      </c>
      <c r="T206" s="3">
        <f>IFERROR(__xludf.DUMMYFUNCTION("""COMPUTED_VALUE"""),0.0)</f>
        <v>0</v>
      </c>
      <c r="U206" s="3">
        <f>IFERROR(__xludf.DUMMYFUNCTION("""COMPUTED_VALUE"""),0.0)</f>
        <v>0</v>
      </c>
      <c r="V206" s="3">
        <f>IFERROR(__xludf.DUMMYFUNCTION("""COMPUTED_VALUE"""),0.0)</f>
        <v>0</v>
      </c>
      <c r="W206" s="3">
        <f>IFERROR(__xludf.DUMMYFUNCTION("""COMPUTED_VALUE"""),0.0)</f>
        <v>0</v>
      </c>
      <c r="X206" s="3">
        <f>IFERROR(__xludf.DUMMYFUNCTION("""COMPUTED_VALUE"""),0.0)</f>
        <v>0</v>
      </c>
      <c r="Y206" s="3">
        <f>IFERROR(__xludf.DUMMYFUNCTION("""COMPUTED_VALUE"""),0.0)</f>
        <v>0</v>
      </c>
      <c r="Z206" s="3">
        <f>IFERROR(__xludf.DUMMYFUNCTION("""COMPUTED_VALUE"""),0.0)</f>
        <v>0</v>
      </c>
      <c r="AA206" s="3">
        <f>IFERROR(__xludf.DUMMYFUNCTION("""COMPUTED_VALUE"""),0.0)</f>
        <v>0</v>
      </c>
      <c r="AB206" s="3">
        <f>IFERROR(__xludf.DUMMYFUNCTION("""COMPUTED_VALUE"""),0.0)</f>
        <v>0</v>
      </c>
      <c r="AC206" s="3">
        <f>IFERROR(__xludf.DUMMYFUNCTION("""COMPUTED_VALUE"""),0.0)</f>
        <v>0</v>
      </c>
      <c r="AD206" s="3">
        <f>IFERROR(__xludf.DUMMYFUNCTION("""COMPUTED_VALUE"""),0.0)</f>
        <v>0</v>
      </c>
      <c r="AE206" s="3">
        <f>IFERROR(__xludf.DUMMYFUNCTION("""COMPUTED_VALUE"""),0.0)</f>
        <v>0</v>
      </c>
      <c r="AF206" s="3">
        <f>IFERROR(__xludf.DUMMYFUNCTION("""COMPUTED_VALUE"""),0.0)</f>
        <v>0</v>
      </c>
      <c r="AG206" s="3">
        <f>IFERROR(__xludf.DUMMYFUNCTION("""COMPUTED_VALUE"""),0.0)</f>
        <v>0</v>
      </c>
      <c r="AH206" s="3">
        <f>IFERROR(__xludf.DUMMYFUNCTION("""COMPUTED_VALUE"""),0.0)</f>
        <v>0</v>
      </c>
      <c r="AI206" s="3">
        <f>IFERROR(__xludf.DUMMYFUNCTION("""COMPUTED_VALUE"""),0.0)</f>
        <v>0</v>
      </c>
      <c r="AJ206" s="3">
        <f>IFERROR(__xludf.DUMMYFUNCTION("""COMPUTED_VALUE"""),0.0)</f>
        <v>0</v>
      </c>
      <c r="AK206" s="3">
        <f>IFERROR(__xludf.DUMMYFUNCTION("""COMPUTED_VALUE"""),0.0)</f>
        <v>0</v>
      </c>
      <c r="AL206" s="3">
        <f>IFERROR(__xludf.DUMMYFUNCTION("""COMPUTED_VALUE"""),0.0)</f>
        <v>0</v>
      </c>
      <c r="AM206" s="3">
        <f>IFERROR(__xludf.DUMMYFUNCTION("""COMPUTED_VALUE"""),0.0)</f>
        <v>0</v>
      </c>
      <c r="AN206" s="3">
        <f>IFERROR(__xludf.DUMMYFUNCTION("""COMPUTED_VALUE"""),0.0)</f>
        <v>0</v>
      </c>
      <c r="AO206" s="3">
        <f>IFERROR(__xludf.DUMMYFUNCTION("""COMPUTED_VALUE"""),0.0)</f>
        <v>0</v>
      </c>
      <c r="AP206" s="3">
        <f>IFERROR(__xludf.DUMMYFUNCTION("""COMPUTED_VALUE"""),0.0)</f>
        <v>0</v>
      </c>
      <c r="AQ206" s="3">
        <f>IFERROR(__xludf.DUMMYFUNCTION("""COMPUTED_VALUE"""),0.0)</f>
        <v>0</v>
      </c>
      <c r="AR206" s="3">
        <f>IFERROR(__xludf.DUMMYFUNCTION("""COMPUTED_VALUE"""),0.0)</f>
        <v>0</v>
      </c>
      <c r="AS206" s="3">
        <f>IFERROR(__xludf.DUMMYFUNCTION("""COMPUTED_VALUE"""),0.0)</f>
        <v>0</v>
      </c>
      <c r="AT206" s="3">
        <f>IFERROR(__xludf.DUMMYFUNCTION("""COMPUTED_VALUE"""),0.0)</f>
        <v>0</v>
      </c>
      <c r="AU206" s="3">
        <f>IFERROR(__xludf.DUMMYFUNCTION("""COMPUTED_VALUE"""),0.0)</f>
        <v>0</v>
      </c>
      <c r="AV206" s="3">
        <f>IFERROR(__xludf.DUMMYFUNCTION("""COMPUTED_VALUE"""),0.0)</f>
        <v>0</v>
      </c>
      <c r="AW206" s="3">
        <f>IFERROR(__xludf.DUMMYFUNCTION("""COMPUTED_VALUE"""),0.0)</f>
        <v>0</v>
      </c>
      <c r="AX206" s="3">
        <f>IFERROR(__xludf.DUMMYFUNCTION("""COMPUTED_VALUE"""),0.0)</f>
        <v>0</v>
      </c>
      <c r="AY206" s="3">
        <f>IFERROR(__xludf.DUMMYFUNCTION("""COMPUTED_VALUE"""),0.0)</f>
        <v>0</v>
      </c>
      <c r="AZ206" s="3">
        <f>IFERROR(__xludf.DUMMYFUNCTION("""COMPUTED_VALUE"""),0.0)</f>
        <v>0</v>
      </c>
      <c r="BA206" s="3">
        <f>IFERROR(__xludf.DUMMYFUNCTION("""COMPUTED_VALUE"""),0.0)</f>
        <v>0</v>
      </c>
      <c r="BB206" s="3">
        <f>IFERROR(__xludf.DUMMYFUNCTION("""COMPUTED_VALUE"""),0.0)</f>
        <v>0</v>
      </c>
      <c r="BC206" s="3">
        <f>IFERROR(__xludf.DUMMYFUNCTION("""COMPUTED_VALUE"""),0.0)</f>
        <v>0</v>
      </c>
      <c r="BD206" s="3">
        <f>IFERROR(__xludf.DUMMYFUNCTION("""COMPUTED_VALUE"""),0.0)</f>
        <v>0</v>
      </c>
      <c r="BE206" s="3">
        <f>IFERROR(__xludf.DUMMYFUNCTION("""COMPUTED_VALUE"""),0.0)</f>
        <v>0</v>
      </c>
      <c r="BF206" s="3">
        <f>IFERROR(__xludf.DUMMYFUNCTION("""COMPUTED_VALUE"""),0.0)</f>
        <v>0</v>
      </c>
      <c r="BG206" s="3">
        <f>IFERROR(__xludf.DUMMYFUNCTION("""COMPUTED_VALUE"""),0.0)</f>
        <v>0</v>
      </c>
      <c r="BH206" s="3">
        <f>IFERROR(__xludf.DUMMYFUNCTION("""COMPUTED_VALUE"""),0.0)</f>
        <v>0</v>
      </c>
      <c r="BI206" s="3">
        <f>IFERROR(__xludf.DUMMYFUNCTION("""COMPUTED_VALUE"""),0.0)</f>
        <v>0</v>
      </c>
      <c r="BJ206" s="3">
        <f>IFERROR(__xludf.DUMMYFUNCTION("""COMPUTED_VALUE"""),0.0)</f>
        <v>0</v>
      </c>
      <c r="BK206" s="3">
        <f>IFERROR(__xludf.DUMMYFUNCTION("""COMPUTED_VALUE"""),0.0)</f>
        <v>0</v>
      </c>
      <c r="BL206" s="3">
        <f>IFERROR(__xludf.DUMMYFUNCTION("""COMPUTED_VALUE"""),0.0)</f>
        <v>0</v>
      </c>
      <c r="BM206" s="3">
        <f>IFERROR(__xludf.DUMMYFUNCTION("""COMPUTED_VALUE"""),0.0)</f>
        <v>0</v>
      </c>
      <c r="BN206" s="3">
        <f>IFERROR(__xludf.DUMMYFUNCTION("""COMPUTED_VALUE"""),0.0)</f>
        <v>0</v>
      </c>
      <c r="BO206" s="3">
        <f>IFERROR(__xludf.DUMMYFUNCTION("""COMPUTED_VALUE"""),0.0)</f>
        <v>0</v>
      </c>
      <c r="BP206" s="3">
        <f>IFERROR(__xludf.DUMMYFUNCTION("""COMPUTED_VALUE"""),0.0)</f>
        <v>0</v>
      </c>
      <c r="BQ206" s="3">
        <f>IFERROR(__xludf.DUMMYFUNCTION("""COMPUTED_VALUE"""),0.0)</f>
        <v>0</v>
      </c>
      <c r="BR206" s="3">
        <f>IFERROR(__xludf.DUMMYFUNCTION("""COMPUTED_VALUE"""),0.0)</f>
        <v>0</v>
      </c>
      <c r="BS206" s="3">
        <f>IFERROR(__xludf.DUMMYFUNCTION("""COMPUTED_VALUE"""),0.0)</f>
        <v>0</v>
      </c>
      <c r="BT206" s="3">
        <f>IFERROR(__xludf.DUMMYFUNCTION("""COMPUTED_VALUE"""),0.0)</f>
        <v>0</v>
      </c>
      <c r="BU206" s="3">
        <f>IFERROR(__xludf.DUMMYFUNCTION("""COMPUTED_VALUE"""),0.0)</f>
        <v>0</v>
      </c>
      <c r="BV206" s="3">
        <f>IFERROR(__xludf.DUMMYFUNCTION("""COMPUTED_VALUE"""),0.0)</f>
        <v>0</v>
      </c>
      <c r="BW206" s="3">
        <f>IFERROR(__xludf.DUMMYFUNCTION("""COMPUTED_VALUE"""),0.0)</f>
        <v>0</v>
      </c>
      <c r="BX206" s="3">
        <f>IFERROR(__xludf.DUMMYFUNCTION("""COMPUTED_VALUE"""),0.0)</f>
        <v>0</v>
      </c>
      <c r="BY206" s="3">
        <f>IFERROR(__xludf.DUMMYFUNCTION("""COMPUTED_VALUE"""),1.0)</f>
        <v>1</v>
      </c>
      <c r="BZ206" s="3">
        <f>IFERROR(__xludf.DUMMYFUNCTION("""COMPUTED_VALUE"""),1.0)</f>
        <v>1</v>
      </c>
      <c r="CA206" s="3">
        <f>IFERROR(__xludf.DUMMYFUNCTION("""COMPUTED_VALUE"""),1.0)</f>
        <v>1</v>
      </c>
      <c r="CB206" s="3">
        <f>IFERROR(__xludf.DUMMYFUNCTION("""COMPUTED_VALUE"""),1.0)</f>
        <v>1</v>
      </c>
    </row>
    <row r="207">
      <c r="A207" s="3" t="str">
        <f>IFERROR(__xludf.DUMMYFUNCTION("""COMPUTED_VALUE"""),"")</f>
        <v/>
      </c>
      <c r="B207" s="3" t="str">
        <f>IFERROR(__xludf.DUMMYFUNCTION("""COMPUTED_VALUE"""),"Sweden")</f>
        <v>Sweden</v>
      </c>
      <c r="C207" s="3">
        <f>IFERROR(__xludf.DUMMYFUNCTION("""COMPUTED_VALUE"""),63.0)</f>
        <v>63</v>
      </c>
      <c r="D207" s="3">
        <f>IFERROR(__xludf.DUMMYFUNCTION("""COMPUTED_VALUE"""),16.0)</f>
        <v>16</v>
      </c>
      <c r="E207" s="3">
        <f>IFERROR(__xludf.DUMMYFUNCTION("""COMPUTED_VALUE"""),0.0)</f>
        <v>0</v>
      </c>
      <c r="F207" s="3">
        <f>IFERROR(__xludf.DUMMYFUNCTION("""COMPUTED_VALUE"""),0.0)</f>
        <v>0</v>
      </c>
      <c r="G207" s="3">
        <f>IFERROR(__xludf.DUMMYFUNCTION("""COMPUTED_VALUE"""),0.0)</f>
        <v>0</v>
      </c>
      <c r="H207" s="3">
        <f>IFERROR(__xludf.DUMMYFUNCTION("""COMPUTED_VALUE"""),0.0)</f>
        <v>0</v>
      </c>
      <c r="I207" s="3">
        <f>IFERROR(__xludf.DUMMYFUNCTION("""COMPUTED_VALUE"""),0.0)</f>
        <v>0</v>
      </c>
      <c r="J207" s="3">
        <f>IFERROR(__xludf.DUMMYFUNCTION("""COMPUTED_VALUE"""),0.0)</f>
        <v>0</v>
      </c>
      <c r="K207" s="3">
        <f>IFERROR(__xludf.DUMMYFUNCTION("""COMPUTED_VALUE"""),0.0)</f>
        <v>0</v>
      </c>
      <c r="L207" s="3">
        <f>IFERROR(__xludf.DUMMYFUNCTION("""COMPUTED_VALUE"""),0.0)</f>
        <v>0</v>
      </c>
      <c r="M207" s="3">
        <f>IFERROR(__xludf.DUMMYFUNCTION("""COMPUTED_VALUE"""),0.0)</f>
        <v>0</v>
      </c>
      <c r="N207" s="3">
        <f>IFERROR(__xludf.DUMMYFUNCTION("""COMPUTED_VALUE"""),0.0)</f>
        <v>0</v>
      </c>
      <c r="O207" s="3">
        <f>IFERROR(__xludf.DUMMYFUNCTION("""COMPUTED_VALUE"""),0.0)</f>
        <v>0</v>
      </c>
      <c r="P207" s="3">
        <f>IFERROR(__xludf.DUMMYFUNCTION("""COMPUTED_VALUE"""),0.0)</f>
        <v>0</v>
      </c>
      <c r="Q207" s="3">
        <f>IFERROR(__xludf.DUMMYFUNCTION("""COMPUTED_VALUE"""),0.0)</f>
        <v>0</v>
      </c>
      <c r="R207" s="3">
        <f>IFERROR(__xludf.DUMMYFUNCTION("""COMPUTED_VALUE"""),0.0)</f>
        <v>0</v>
      </c>
      <c r="S207" s="3">
        <f>IFERROR(__xludf.DUMMYFUNCTION("""COMPUTED_VALUE"""),0.0)</f>
        <v>0</v>
      </c>
      <c r="T207" s="3">
        <f>IFERROR(__xludf.DUMMYFUNCTION("""COMPUTED_VALUE"""),0.0)</f>
        <v>0</v>
      </c>
      <c r="U207" s="3">
        <f>IFERROR(__xludf.DUMMYFUNCTION("""COMPUTED_VALUE"""),0.0)</f>
        <v>0</v>
      </c>
      <c r="V207" s="3">
        <f>IFERROR(__xludf.DUMMYFUNCTION("""COMPUTED_VALUE"""),0.0)</f>
        <v>0</v>
      </c>
      <c r="W207" s="3">
        <f>IFERROR(__xludf.DUMMYFUNCTION("""COMPUTED_VALUE"""),0.0)</f>
        <v>0</v>
      </c>
      <c r="X207" s="3">
        <f>IFERROR(__xludf.DUMMYFUNCTION("""COMPUTED_VALUE"""),0.0)</f>
        <v>0</v>
      </c>
      <c r="Y207" s="3">
        <f>IFERROR(__xludf.DUMMYFUNCTION("""COMPUTED_VALUE"""),0.0)</f>
        <v>0</v>
      </c>
      <c r="Z207" s="3">
        <f>IFERROR(__xludf.DUMMYFUNCTION("""COMPUTED_VALUE"""),0.0)</f>
        <v>0</v>
      </c>
      <c r="AA207" s="3">
        <f>IFERROR(__xludf.DUMMYFUNCTION("""COMPUTED_VALUE"""),0.0)</f>
        <v>0</v>
      </c>
      <c r="AB207" s="3">
        <f>IFERROR(__xludf.DUMMYFUNCTION("""COMPUTED_VALUE"""),0.0)</f>
        <v>0</v>
      </c>
      <c r="AC207" s="3">
        <f>IFERROR(__xludf.DUMMYFUNCTION("""COMPUTED_VALUE"""),0.0)</f>
        <v>0</v>
      </c>
      <c r="AD207" s="3">
        <f>IFERROR(__xludf.DUMMYFUNCTION("""COMPUTED_VALUE"""),0.0)</f>
        <v>0</v>
      </c>
      <c r="AE207" s="3">
        <f>IFERROR(__xludf.DUMMYFUNCTION("""COMPUTED_VALUE"""),0.0)</f>
        <v>0</v>
      </c>
      <c r="AF207" s="3">
        <f>IFERROR(__xludf.DUMMYFUNCTION("""COMPUTED_VALUE"""),0.0)</f>
        <v>0</v>
      </c>
      <c r="AG207" s="3">
        <f>IFERROR(__xludf.DUMMYFUNCTION("""COMPUTED_VALUE"""),0.0)</f>
        <v>0</v>
      </c>
      <c r="AH207" s="3">
        <f>IFERROR(__xludf.DUMMYFUNCTION("""COMPUTED_VALUE"""),0.0)</f>
        <v>0</v>
      </c>
      <c r="AI207" s="3">
        <f>IFERROR(__xludf.DUMMYFUNCTION("""COMPUTED_VALUE"""),0.0)</f>
        <v>0</v>
      </c>
      <c r="AJ207" s="3">
        <f>IFERROR(__xludf.DUMMYFUNCTION("""COMPUTED_VALUE"""),0.0)</f>
        <v>0</v>
      </c>
      <c r="AK207" s="3">
        <f>IFERROR(__xludf.DUMMYFUNCTION("""COMPUTED_VALUE"""),0.0)</f>
        <v>0</v>
      </c>
      <c r="AL207" s="3">
        <f>IFERROR(__xludf.DUMMYFUNCTION("""COMPUTED_VALUE"""),0.0)</f>
        <v>0</v>
      </c>
      <c r="AM207" s="3">
        <f>IFERROR(__xludf.DUMMYFUNCTION("""COMPUTED_VALUE"""),0.0)</f>
        <v>0</v>
      </c>
      <c r="AN207" s="3">
        <f>IFERROR(__xludf.DUMMYFUNCTION("""COMPUTED_VALUE"""),0.0)</f>
        <v>0</v>
      </c>
      <c r="AO207" s="3">
        <f>IFERROR(__xludf.DUMMYFUNCTION("""COMPUTED_VALUE"""),0.0)</f>
        <v>0</v>
      </c>
      <c r="AP207" s="3">
        <f>IFERROR(__xludf.DUMMYFUNCTION("""COMPUTED_VALUE"""),0.0)</f>
        <v>0</v>
      </c>
      <c r="AQ207" s="3">
        <f>IFERROR(__xludf.DUMMYFUNCTION("""COMPUTED_VALUE"""),0.0)</f>
        <v>0</v>
      </c>
      <c r="AR207" s="3">
        <f>IFERROR(__xludf.DUMMYFUNCTION("""COMPUTED_VALUE"""),0.0)</f>
        <v>0</v>
      </c>
      <c r="AS207" s="3">
        <f>IFERROR(__xludf.DUMMYFUNCTION("""COMPUTED_VALUE"""),0.0)</f>
        <v>0</v>
      </c>
      <c r="AT207" s="3">
        <f>IFERROR(__xludf.DUMMYFUNCTION("""COMPUTED_VALUE"""),0.0)</f>
        <v>0</v>
      </c>
      <c r="AU207" s="3">
        <f>IFERROR(__xludf.DUMMYFUNCTION("""COMPUTED_VALUE"""),0.0)</f>
        <v>0</v>
      </c>
      <c r="AV207" s="3">
        <f>IFERROR(__xludf.DUMMYFUNCTION("""COMPUTED_VALUE"""),0.0)</f>
        <v>0</v>
      </c>
      <c r="AW207" s="3">
        <f>IFERROR(__xludf.DUMMYFUNCTION("""COMPUTED_VALUE"""),0.0)</f>
        <v>0</v>
      </c>
      <c r="AX207" s="3">
        <f>IFERROR(__xludf.DUMMYFUNCTION("""COMPUTED_VALUE"""),0.0)</f>
        <v>0</v>
      </c>
      <c r="AY207" s="3">
        <f>IFERROR(__xludf.DUMMYFUNCTION("""COMPUTED_VALUE"""),0.0)</f>
        <v>0</v>
      </c>
      <c r="AZ207" s="3">
        <f>IFERROR(__xludf.DUMMYFUNCTION("""COMPUTED_VALUE"""),0.0)</f>
        <v>0</v>
      </c>
      <c r="BA207" s="3">
        <f>IFERROR(__xludf.DUMMYFUNCTION("""COMPUTED_VALUE"""),0.0)</f>
        <v>0</v>
      </c>
      <c r="BB207" s="3">
        <f>IFERROR(__xludf.DUMMYFUNCTION("""COMPUTED_VALUE"""),1.0)</f>
        <v>1</v>
      </c>
      <c r="BC207" s="3">
        <f>IFERROR(__xludf.DUMMYFUNCTION("""COMPUTED_VALUE"""),1.0)</f>
        <v>1</v>
      </c>
      <c r="BD207" s="3">
        <f>IFERROR(__xludf.DUMMYFUNCTION("""COMPUTED_VALUE"""),1.0)</f>
        <v>1</v>
      </c>
      <c r="BE207" s="3">
        <f>IFERROR(__xludf.DUMMYFUNCTION("""COMPUTED_VALUE"""),2.0)</f>
        <v>2</v>
      </c>
      <c r="BF207" s="3">
        <f>IFERROR(__xludf.DUMMYFUNCTION("""COMPUTED_VALUE"""),3.0)</f>
        <v>3</v>
      </c>
      <c r="BG207" s="3">
        <f>IFERROR(__xludf.DUMMYFUNCTION("""COMPUTED_VALUE"""),6.0)</f>
        <v>6</v>
      </c>
      <c r="BH207" s="3">
        <f>IFERROR(__xludf.DUMMYFUNCTION("""COMPUTED_VALUE"""),7.0)</f>
        <v>7</v>
      </c>
      <c r="BI207" s="3">
        <f>IFERROR(__xludf.DUMMYFUNCTION("""COMPUTED_VALUE"""),10.0)</f>
        <v>10</v>
      </c>
      <c r="BJ207" s="3">
        <f>IFERROR(__xludf.DUMMYFUNCTION("""COMPUTED_VALUE"""),11.0)</f>
        <v>11</v>
      </c>
      <c r="BK207" s="3">
        <f>IFERROR(__xludf.DUMMYFUNCTION("""COMPUTED_VALUE"""),16.0)</f>
        <v>16</v>
      </c>
      <c r="BL207" s="3">
        <f>IFERROR(__xludf.DUMMYFUNCTION("""COMPUTED_VALUE"""),20.0)</f>
        <v>20</v>
      </c>
      <c r="BM207" s="3">
        <f>IFERROR(__xludf.DUMMYFUNCTION("""COMPUTED_VALUE"""),21.0)</f>
        <v>21</v>
      </c>
      <c r="BN207" s="3">
        <f>IFERROR(__xludf.DUMMYFUNCTION("""COMPUTED_VALUE"""),25.0)</f>
        <v>25</v>
      </c>
      <c r="BO207" s="3">
        <f>IFERROR(__xludf.DUMMYFUNCTION("""COMPUTED_VALUE"""),36.0)</f>
        <v>36</v>
      </c>
      <c r="BP207" s="3">
        <f>IFERROR(__xludf.DUMMYFUNCTION("""COMPUTED_VALUE"""),62.0)</f>
        <v>62</v>
      </c>
      <c r="BQ207" s="3">
        <f>IFERROR(__xludf.DUMMYFUNCTION("""COMPUTED_VALUE"""),77.0)</f>
        <v>77</v>
      </c>
      <c r="BR207" s="3">
        <f>IFERROR(__xludf.DUMMYFUNCTION("""COMPUTED_VALUE"""),105.0)</f>
        <v>105</v>
      </c>
      <c r="BS207" s="3">
        <f>IFERROR(__xludf.DUMMYFUNCTION("""COMPUTED_VALUE"""),105.0)</f>
        <v>105</v>
      </c>
      <c r="BT207" s="3">
        <f>IFERROR(__xludf.DUMMYFUNCTION("""COMPUTED_VALUE"""),110.0)</f>
        <v>110</v>
      </c>
      <c r="BU207" s="3">
        <f>IFERROR(__xludf.DUMMYFUNCTION("""COMPUTED_VALUE"""),146.0)</f>
        <v>146</v>
      </c>
      <c r="BV207" s="3">
        <f>IFERROR(__xludf.DUMMYFUNCTION("""COMPUTED_VALUE"""),180.0)</f>
        <v>180</v>
      </c>
      <c r="BW207" s="3">
        <f>IFERROR(__xludf.DUMMYFUNCTION("""COMPUTED_VALUE"""),239.0)</f>
        <v>239</v>
      </c>
      <c r="BX207" s="3">
        <f>IFERROR(__xludf.DUMMYFUNCTION("""COMPUTED_VALUE"""),308.0)</f>
        <v>308</v>
      </c>
      <c r="BY207" s="3">
        <f>IFERROR(__xludf.DUMMYFUNCTION("""COMPUTED_VALUE"""),358.0)</f>
        <v>358</v>
      </c>
      <c r="BZ207" s="3">
        <f>IFERROR(__xludf.DUMMYFUNCTION("""COMPUTED_VALUE"""),373.0)</f>
        <v>373</v>
      </c>
      <c r="CA207" s="3">
        <f>IFERROR(__xludf.DUMMYFUNCTION("""COMPUTED_VALUE"""),401.0)</f>
        <v>401</v>
      </c>
      <c r="CB207" s="3">
        <f>IFERROR(__xludf.DUMMYFUNCTION("""COMPUTED_VALUE"""),477.0)</f>
        <v>477</v>
      </c>
    </row>
    <row r="208">
      <c r="A208" s="3" t="str">
        <f>IFERROR(__xludf.DUMMYFUNCTION("""COMPUTED_VALUE"""),"")</f>
        <v/>
      </c>
      <c r="B208" s="3" t="str">
        <f>IFERROR(__xludf.DUMMYFUNCTION("""COMPUTED_VALUE"""),"Switzerland")</f>
        <v>Switzerland</v>
      </c>
      <c r="C208" s="3">
        <f>IFERROR(__xludf.DUMMYFUNCTION("""COMPUTED_VALUE"""),46.8182)</f>
        <v>46.8182</v>
      </c>
      <c r="D208" s="3">
        <f>IFERROR(__xludf.DUMMYFUNCTION("""COMPUTED_VALUE"""),8.2275)</f>
        <v>8.2275</v>
      </c>
      <c r="E208" s="3">
        <f>IFERROR(__xludf.DUMMYFUNCTION("""COMPUTED_VALUE"""),0.0)</f>
        <v>0</v>
      </c>
      <c r="F208" s="3">
        <f>IFERROR(__xludf.DUMMYFUNCTION("""COMPUTED_VALUE"""),0.0)</f>
        <v>0</v>
      </c>
      <c r="G208" s="3">
        <f>IFERROR(__xludf.DUMMYFUNCTION("""COMPUTED_VALUE"""),0.0)</f>
        <v>0</v>
      </c>
      <c r="H208" s="3">
        <f>IFERROR(__xludf.DUMMYFUNCTION("""COMPUTED_VALUE"""),0.0)</f>
        <v>0</v>
      </c>
      <c r="I208" s="3">
        <f>IFERROR(__xludf.DUMMYFUNCTION("""COMPUTED_VALUE"""),0.0)</f>
        <v>0</v>
      </c>
      <c r="J208" s="3">
        <f>IFERROR(__xludf.DUMMYFUNCTION("""COMPUTED_VALUE"""),0.0)</f>
        <v>0</v>
      </c>
      <c r="K208" s="3">
        <f>IFERROR(__xludf.DUMMYFUNCTION("""COMPUTED_VALUE"""),0.0)</f>
        <v>0</v>
      </c>
      <c r="L208" s="3">
        <f>IFERROR(__xludf.DUMMYFUNCTION("""COMPUTED_VALUE"""),0.0)</f>
        <v>0</v>
      </c>
      <c r="M208" s="3">
        <f>IFERROR(__xludf.DUMMYFUNCTION("""COMPUTED_VALUE"""),0.0)</f>
        <v>0</v>
      </c>
      <c r="N208" s="3">
        <f>IFERROR(__xludf.DUMMYFUNCTION("""COMPUTED_VALUE"""),0.0)</f>
        <v>0</v>
      </c>
      <c r="O208" s="3">
        <f>IFERROR(__xludf.DUMMYFUNCTION("""COMPUTED_VALUE"""),0.0)</f>
        <v>0</v>
      </c>
      <c r="P208" s="3">
        <f>IFERROR(__xludf.DUMMYFUNCTION("""COMPUTED_VALUE"""),0.0)</f>
        <v>0</v>
      </c>
      <c r="Q208" s="3">
        <f>IFERROR(__xludf.DUMMYFUNCTION("""COMPUTED_VALUE"""),0.0)</f>
        <v>0</v>
      </c>
      <c r="R208" s="3">
        <f>IFERROR(__xludf.DUMMYFUNCTION("""COMPUTED_VALUE"""),0.0)</f>
        <v>0</v>
      </c>
      <c r="S208" s="3">
        <f>IFERROR(__xludf.DUMMYFUNCTION("""COMPUTED_VALUE"""),0.0)</f>
        <v>0</v>
      </c>
      <c r="T208" s="3">
        <f>IFERROR(__xludf.DUMMYFUNCTION("""COMPUTED_VALUE"""),0.0)</f>
        <v>0</v>
      </c>
      <c r="U208" s="3">
        <f>IFERROR(__xludf.DUMMYFUNCTION("""COMPUTED_VALUE"""),0.0)</f>
        <v>0</v>
      </c>
      <c r="V208" s="3">
        <f>IFERROR(__xludf.DUMMYFUNCTION("""COMPUTED_VALUE"""),0.0)</f>
        <v>0</v>
      </c>
      <c r="W208" s="3">
        <f>IFERROR(__xludf.DUMMYFUNCTION("""COMPUTED_VALUE"""),0.0)</f>
        <v>0</v>
      </c>
      <c r="X208" s="3">
        <f>IFERROR(__xludf.DUMMYFUNCTION("""COMPUTED_VALUE"""),0.0)</f>
        <v>0</v>
      </c>
      <c r="Y208" s="3">
        <f>IFERROR(__xludf.DUMMYFUNCTION("""COMPUTED_VALUE"""),0.0)</f>
        <v>0</v>
      </c>
      <c r="Z208" s="3">
        <f>IFERROR(__xludf.DUMMYFUNCTION("""COMPUTED_VALUE"""),0.0)</f>
        <v>0</v>
      </c>
      <c r="AA208" s="3">
        <f>IFERROR(__xludf.DUMMYFUNCTION("""COMPUTED_VALUE"""),0.0)</f>
        <v>0</v>
      </c>
      <c r="AB208" s="3">
        <f>IFERROR(__xludf.DUMMYFUNCTION("""COMPUTED_VALUE"""),0.0)</f>
        <v>0</v>
      </c>
      <c r="AC208" s="3">
        <f>IFERROR(__xludf.DUMMYFUNCTION("""COMPUTED_VALUE"""),0.0)</f>
        <v>0</v>
      </c>
      <c r="AD208" s="3">
        <f>IFERROR(__xludf.DUMMYFUNCTION("""COMPUTED_VALUE"""),0.0)</f>
        <v>0</v>
      </c>
      <c r="AE208" s="3">
        <f>IFERROR(__xludf.DUMMYFUNCTION("""COMPUTED_VALUE"""),0.0)</f>
        <v>0</v>
      </c>
      <c r="AF208" s="3">
        <f>IFERROR(__xludf.DUMMYFUNCTION("""COMPUTED_VALUE"""),0.0)</f>
        <v>0</v>
      </c>
      <c r="AG208" s="3">
        <f>IFERROR(__xludf.DUMMYFUNCTION("""COMPUTED_VALUE"""),0.0)</f>
        <v>0</v>
      </c>
      <c r="AH208" s="3">
        <f>IFERROR(__xludf.DUMMYFUNCTION("""COMPUTED_VALUE"""),0.0)</f>
        <v>0</v>
      </c>
      <c r="AI208" s="3">
        <f>IFERROR(__xludf.DUMMYFUNCTION("""COMPUTED_VALUE"""),0.0)</f>
        <v>0</v>
      </c>
      <c r="AJ208" s="3">
        <f>IFERROR(__xludf.DUMMYFUNCTION("""COMPUTED_VALUE"""),0.0)</f>
        <v>0</v>
      </c>
      <c r="AK208" s="3">
        <f>IFERROR(__xludf.DUMMYFUNCTION("""COMPUTED_VALUE"""),0.0)</f>
        <v>0</v>
      </c>
      <c r="AL208" s="3">
        <f>IFERROR(__xludf.DUMMYFUNCTION("""COMPUTED_VALUE"""),0.0)</f>
        <v>0</v>
      </c>
      <c r="AM208" s="3">
        <f>IFERROR(__xludf.DUMMYFUNCTION("""COMPUTED_VALUE"""),0.0)</f>
        <v>0</v>
      </c>
      <c r="AN208" s="3">
        <f>IFERROR(__xludf.DUMMYFUNCTION("""COMPUTED_VALUE"""),0.0)</f>
        <v>0</v>
      </c>
      <c r="AO208" s="3">
        <f>IFERROR(__xludf.DUMMYFUNCTION("""COMPUTED_VALUE"""),0.0)</f>
        <v>0</v>
      </c>
      <c r="AP208" s="3">
        <f>IFERROR(__xludf.DUMMYFUNCTION("""COMPUTED_VALUE"""),0.0)</f>
        <v>0</v>
      </c>
      <c r="AQ208" s="3">
        <f>IFERROR(__xludf.DUMMYFUNCTION("""COMPUTED_VALUE"""),0.0)</f>
        <v>0</v>
      </c>
      <c r="AR208" s="3">
        <f>IFERROR(__xludf.DUMMYFUNCTION("""COMPUTED_VALUE"""),0.0)</f>
        <v>0</v>
      </c>
      <c r="AS208" s="3">
        <f>IFERROR(__xludf.DUMMYFUNCTION("""COMPUTED_VALUE"""),0.0)</f>
        <v>0</v>
      </c>
      <c r="AT208" s="3">
        <f>IFERROR(__xludf.DUMMYFUNCTION("""COMPUTED_VALUE"""),0.0)</f>
        <v>0</v>
      </c>
      <c r="AU208" s="3">
        <f>IFERROR(__xludf.DUMMYFUNCTION("""COMPUTED_VALUE"""),0.0)</f>
        <v>0</v>
      </c>
      <c r="AV208" s="3">
        <f>IFERROR(__xludf.DUMMYFUNCTION("""COMPUTED_VALUE"""),1.0)</f>
        <v>1</v>
      </c>
      <c r="AW208" s="3">
        <f>IFERROR(__xludf.DUMMYFUNCTION("""COMPUTED_VALUE"""),1.0)</f>
        <v>1</v>
      </c>
      <c r="AX208" s="3">
        <f>IFERROR(__xludf.DUMMYFUNCTION("""COMPUTED_VALUE"""),1.0)</f>
        <v>1</v>
      </c>
      <c r="AY208" s="3">
        <f>IFERROR(__xludf.DUMMYFUNCTION("""COMPUTED_VALUE"""),2.0)</f>
        <v>2</v>
      </c>
      <c r="AZ208" s="3">
        <f>IFERROR(__xludf.DUMMYFUNCTION("""COMPUTED_VALUE"""),2.0)</f>
        <v>2</v>
      </c>
      <c r="BA208" s="3">
        <f>IFERROR(__xludf.DUMMYFUNCTION("""COMPUTED_VALUE"""),3.0)</f>
        <v>3</v>
      </c>
      <c r="BB208" s="3">
        <f>IFERROR(__xludf.DUMMYFUNCTION("""COMPUTED_VALUE"""),4.0)</f>
        <v>4</v>
      </c>
      <c r="BC208" s="3">
        <f>IFERROR(__xludf.DUMMYFUNCTION("""COMPUTED_VALUE"""),4.0)</f>
        <v>4</v>
      </c>
      <c r="BD208" s="3">
        <f>IFERROR(__xludf.DUMMYFUNCTION("""COMPUTED_VALUE"""),11.0)</f>
        <v>11</v>
      </c>
      <c r="BE208" s="3">
        <f>IFERROR(__xludf.DUMMYFUNCTION("""COMPUTED_VALUE"""),13.0)</f>
        <v>13</v>
      </c>
      <c r="BF208" s="3">
        <f>IFERROR(__xludf.DUMMYFUNCTION("""COMPUTED_VALUE"""),14.0)</f>
        <v>14</v>
      </c>
      <c r="BG208" s="3">
        <f>IFERROR(__xludf.DUMMYFUNCTION("""COMPUTED_VALUE"""),14.0)</f>
        <v>14</v>
      </c>
      <c r="BH208" s="3">
        <f>IFERROR(__xludf.DUMMYFUNCTION("""COMPUTED_VALUE"""),27.0)</f>
        <v>27</v>
      </c>
      <c r="BI208" s="3">
        <f>IFERROR(__xludf.DUMMYFUNCTION("""COMPUTED_VALUE"""),28.0)</f>
        <v>28</v>
      </c>
      <c r="BJ208" s="3">
        <f>IFERROR(__xludf.DUMMYFUNCTION("""COMPUTED_VALUE"""),41.0)</f>
        <v>41</v>
      </c>
      <c r="BK208" s="3">
        <f>IFERROR(__xludf.DUMMYFUNCTION("""COMPUTED_VALUE"""),54.0)</f>
        <v>54</v>
      </c>
      <c r="BL208" s="3">
        <f>IFERROR(__xludf.DUMMYFUNCTION("""COMPUTED_VALUE"""),75.0)</f>
        <v>75</v>
      </c>
      <c r="BM208" s="3">
        <f>IFERROR(__xludf.DUMMYFUNCTION("""COMPUTED_VALUE"""),98.0)</f>
        <v>98</v>
      </c>
      <c r="BN208" s="3">
        <f>IFERROR(__xludf.DUMMYFUNCTION("""COMPUTED_VALUE"""),120.0)</f>
        <v>120</v>
      </c>
      <c r="BO208" s="3">
        <f>IFERROR(__xludf.DUMMYFUNCTION("""COMPUTED_VALUE"""),122.0)</f>
        <v>122</v>
      </c>
      <c r="BP208" s="3">
        <f>IFERROR(__xludf.DUMMYFUNCTION("""COMPUTED_VALUE"""),153.0)</f>
        <v>153</v>
      </c>
      <c r="BQ208" s="3">
        <f>IFERROR(__xludf.DUMMYFUNCTION("""COMPUTED_VALUE"""),191.0)</f>
        <v>191</v>
      </c>
      <c r="BR208" s="3">
        <f>IFERROR(__xludf.DUMMYFUNCTION("""COMPUTED_VALUE"""),231.0)</f>
        <v>231</v>
      </c>
      <c r="BS208" s="3">
        <f>IFERROR(__xludf.DUMMYFUNCTION("""COMPUTED_VALUE"""),264.0)</f>
        <v>264</v>
      </c>
      <c r="BT208" s="3">
        <f>IFERROR(__xludf.DUMMYFUNCTION("""COMPUTED_VALUE"""),300.0)</f>
        <v>300</v>
      </c>
      <c r="BU208" s="3">
        <f>IFERROR(__xludf.DUMMYFUNCTION("""COMPUTED_VALUE"""),359.0)</f>
        <v>359</v>
      </c>
      <c r="BV208" s="3">
        <f>IFERROR(__xludf.DUMMYFUNCTION("""COMPUTED_VALUE"""),433.0)</f>
        <v>433</v>
      </c>
      <c r="BW208" s="3">
        <f>IFERROR(__xludf.DUMMYFUNCTION("""COMPUTED_VALUE"""),488.0)</f>
        <v>488</v>
      </c>
      <c r="BX208" s="3">
        <f>IFERROR(__xludf.DUMMYFUNCTION("""COMPUTED_VALUE"""),536.0)</f>
        <v>536</v>
      </c>
      <c r="BY208" s="3">
        <f>IFERROR(__xludf.DUMMYFUNCTION("""COMPUTED_VALUE"""),591.0)</f>
        <v>591</v>
      </c>
      <c r="BZ208" s="3">
        <f>IFERROR(__xludf.DUMMYFUNCTION("""COMPUTED_VALUE"""),666.0)</f>
        <v>666</v>
      </c>
      <c r="CA208" s="3">
        <f>IFERROR(__xludf.DUMMYFUNCTION("""COMPUTED_VALUE"""),715.0)</f>
        <v>715</v>
      </c>
      <c r="CB208" s="3">
        <f>IFERROR(__xludf.DUMMYFUNCTION("""COMPUTED_VALUE"""),765.0)</f>
        <v>765</v>
      </c>
    </row>
    <row r="209">
      <c r="A209" s="3" t="str">
        <f>IFERROR(__xludf.DUMMYFUNCTION("""COMPUTED_VALUE"""),"")</f>
        <v/>
      </c>
      <c r="B209" s="3" t="str">
        <f>IFERROR(__xludf.DUMMYFUNCTION("""COMPUTED_VALUE"""),"Taiwan*")</f>
        <v>Taiwan*</v>
      </c>
      <c r="C209" s="3">
        <f>IFERROR(__xludf.DUMMYFUNCTION("""COMPUTED_VALUE"""),23.7)</f>
        <v>23.7</v>
      </c>
      <c r="D209" s="3">
        <f>IFERROR(__xludf.DUMMYFUNCTION("""COMPUTED_VALUE"""),121.0)</f>
        <v>121</v>
      </c>
      <c r="E209" s="3">
        <f>IFERROR(__xludf.DUMMYFUNCTION("""COMPUTED_VALUE"""),0.0)</f>
        <v>0</v>
      </c>
      <c r="F209" s="3">
        <f>IFERROR(__xludf.DUMMYFUNCTION("""COMPUTED_VALUE"""),0.0)</f>
        <v>0</v>
      </c>
      <c r="G209" s="3">
        <f>IFERROR(__xludf.DUMMYFUNCTION("""COMPUTED_VALUE"""),0.0)</f>
        <v>0</v>
      </c>
      <c r="H209" s="3">
        <f>IFERROR(__xludf.DUMMYFUNCTION("""COMPUTED_VALUE"""),0.0)</f>
        <v>0</v>
      </c>
      <c r="I209" s="3">
        <f>IFERROR(__xludf.DUMMYFUNCTION("""COMPUTED_VALUE"""),0.0)</f>
        <v>0</v>
      </c>
      <c r="J209" s="3">
        <f>IFERROR(__xludf.DUMMYFUNCTION("""COMPUTED_VALUE"""),0.0)</f>
        <v>0</v>
      </c>
      <c r="K209" s="3">
        <f>IFERROR(__xludf.DUMMYFUNCTION("""COMPUTED_VALUE"""),0.0)</f>
        <v>0</v>
      </c>
      <c r="L209" s="3">
        <f>IFERROR(__xludf.DUMMYFUNCTION("""COMPUTED_VALUE"""),0.0)</f>
        <v>0</v>
      </c>
      <c r="M209" s="3">
        <f>IFERROR(__xludf.DUMMYFUNCTION("""COMPUTED_VALUE"""),0.0)</f>
        <v>0</v>
      </c>
      <c r="N209" s="3">
        <f>IFERROR(__xludf.DUMMYFUNCTION("""COMPUTED_VALUE"""),0.0)</f>
        <v>0</v>
      </c>
      <c r="O209" s="3">
        <f>IFERROR(__xludf.DUMMYFUNCTION("""COMPUTED_VALUE"""),0.0)</f>
        <v>0</v>
      </c>
      <c r="P209" s="3">
        <f>IFERROR(__xludf.DUMMYFUNCTION("""COMPUTED_VALUE"""),0.0)</f>
        <v>0</v>
      </c>
      <c r="Q209" s="3">
        <f>IFERROR(__xludf.DUMMYFUNCTION("""COMPUTED_VALUE"""),0.0)</f>
        <v>0</v>
      </c>
      <c r="R209" s="3">
        <f>IFERROR(__xludf.DUMMYFUNCTION("""COMPUTED_VALUE"""),0.0)</f>
        <v>0</v>
      </c>
      <c r="S209" s="3">
        <f>IFERROR(__xludf.DUMMYFUNCTION("""COMPUTED_VALUE"""),0.0)</f>
        <v>0</v>
      </c>
      <c r="T209" s="3">
        <f>IFERROR(__xludf.DUMMYFUNCTION("""COMPUTED_VALUE"""),0.0)</f>
        <v>0</v>
      </c>
      <c r="U209" s="3">
        <f>IFERROR(__xludf.DUMMYFUNCTION("""COMPUTED_VALUE"""),0.0)</f>
        <v>0</v>
      </c>
      <c r="V209" s="3">
        <f>IFERROR(__xludf.DUMMYFUNCTION("""COMPUTED_VALUE"""),0.0)</f>
        <v>0</v>
      </c>
      <c r="W209" s="3">
        <f>IFERROR(__xludf.DUMMYFUNCTION("""COMPUTED_VALUE"""),0.0)</f>
        <v>0</v>
      </c>
      <c r="X209" s="3">
        <f>IFERROR(__xludf.DUMMYFUNCTION("""COMPUTED_VALUE"""),0.0)</f>
        <v>0</v>
      </c>
      <c r="Y209" s="3">
        <f>IFERROR(__xludf.DUMMYFUNCTION("""COMPUTED_VALUE"""),0.0)</f>
        <v>0</v>
      </c>
      <c r="Z209" s="3">
        <f>IFERROR(__xludf.DUMMYFUNCTION("""COMPUTED_VALUE"""),0.0)</f>
        <v>0</v>
      </c>
      <c r="AA209" s="3">
        <f>IFERROR(__xludf.DUMMYFUNCTION("""COMPUTED_VALUE"""),0.0)</f>
        <v>0</v>
      </c>
      <c r="AB209" s="3">
        <f>IFERROR(__xludf.DUMMYFUNCTION("""COMPUTED_VALUE"""),0.0)</f>
        <v>0</v>
      </c>
      <c r="AC209" s="3">
        <f>IFERROR(__xludf.DUMMYFUNCTION("""COMPUTED_VALUE"""),0.0)</f>
        <v>0</v>
      </c>
      <c r="AD209" s="3">
        <f>IFERROR(__xludf.DUMMYFUNCTION("""COMPUTED_VALUE"""),1.0)</f>
        <v>1</v>
      </c>
      <c r="AE209" s="3">
        <f>IFERROR(__xludf.DUMMYFUNCTION("""COMPUTED_VALUE"""),1.0)</f>
        <v>1</v>
      </c>
      <c r="AF209" s="3">
        <f>IFERROR(__xludf.DUMMYFUNCTION("""COMPUTED_VALUE"""),1.0)</f>
        <v>1</v>
      </c>
      <c r="AG209" s="3">
        <f>IFERROR(__xludf.DUMMYFUNCTION("""COMPUTED_VALUE"""),1.0)</f>
        <v>1</v>
      </c>
      <c r="AH209" s="3">
        <f>IFERROR(__xludf.DUMMYFUNCTION("""COMPUTED_VALUE"""),1.0)</f>
        <v>1</v>
      </c>
      <c r="AI209" s="3">
        <f>IFERROR(__xludf.DUMMYFUNCTION("""COMPUTED_VALUE"""),1.0)</f>
        <v>1</v>
      </c>
      <c r="AJ209" s="3">
        <f>IFERROR(__xludf.DUMMYFUNCTION("""COMPUTED_VALUE"""),1.0)</f>
        <v>1</v>
      </c>
      <c r="AK209" s="3">
        <f>IFERROR(__xludf.DUMMYFUNCTION("""COMPUTED_VALUE"""),1.0)</f>
        <v>1</v>
      </c>
      <c r="AL209" s="3">
        <f>IFERROR(__xludf.DUMMYFUNCTION("""COMPUTED_VALUE"""),1.0)</f>
        <v>1</v>
      </c>
      <c r="AM209" s="3">
        <f>IFERROR(__xludf.DUMMYFUNCTION("""COMPUTED_VALUE"""),1.0)</f>
        <v>1</v>
      </c>
      <c r="AN209" s="3">
        <f>IFERROR(__xludf.DUMMYFUNCTION("""COMPUTED_VALUE"""),1.0)</f>
        <v>1</v>
      </c>
      <c r="AO209" s="3">
        <f>IFERROR(__xludf.DUMMYFUNCTION("""COMPUTED_VALUE"""),1.0)</f>
        <v>1</v>
      </c>
      <c r="AP209" s="3">
        <f>IFERROR(__xludf.DUMMYFUNCTION("""COMPUTED_VALUE"""),1.0)</f>
        <v>1</v>
      </c>
      <c r="AQ209" s="3">
        <f>IFERROR(__xludf.DUMMYFUNCTION("""COMPUTED_VALUE"""),1.0)</f>
        <v>1</v>
      </c>
      <c r="AR209" s="3">
        <f>IFERROR(__xludf.DUMMYFUNCTION("""COMPUTED_VALUE"""),1.0)</f>
        <v>1</v>
      </c>
      <c r="AS209" s="3">
        <f>IFERROR(__xludf.DUMMYFUNCTION("""COMPUTED_VALUE"""),1.0)</f>
        <v>1</v>
      </c>
      <c r="AT209" s="3">
        <f>IFERROR(__xludf.DUMMYFUNCTION("""COMPUTED_VALUE"""),1.0)</f>
        <v>1</v>
      </c>
      <c r="AU209" s="3">
        <f>IFERROR(__xludf.DUMMYFUNCTION("""COMPUTED_VALUE"""),1.0)</f>
        <v>1</v>
      </c>
      <c r="AV209" s="3">
        <f>IFERROR(__xludf.DUMMYFUNCTION("""COMPUTED_VALUE"""),1.0)</f>
        <v>1</v>
      </c>
      <c r="AW209" s="3">
        <f>IFERROR(__xludf.DUMMYFUNCTION("""COMPUTED_VALUE"""),1.0)</f>
        <v>1</v>
      </c>
      <c r="AX209" s="3">
        <f>IFERROR(__xludf.DUMMYFUNCTION("""COMPUTED_VALUE"""),1.0)</f>
        <v>1</v>
      </c>
      <c r="AY209" s="3">
        <f>IFERROR(__xludf.DUMMYFUNCTION("""COMPUTED_VALUE"""),1.0)</f>
        <v>1</v>
      </c>
      <c r="AZ209" s="3">
        <f>IFERROR(__xludf.DUMMYFUNCTION("""COMPUTED_VALUE"""),1.0)</f>
        <v>1</v>
      </c>
      <c r="BA209" s="3">
        <f>IFERROR(__xludf.DUMMYFUNCTION("""COMPUTED_VALUE"""),1.0)</f>
        <v>1</v>
      </c>
      <c r="BB209" s="3">
        <f>IFERROR(__xludf.DUMMYFUNCTION("""COMPUTED_VALUE"""),1.0)</f>
        <v>1</v>
      </c>
      <c r="BC209" s="3">
        <f>IFERROR(__xludf.DUMMYFUNCTION("""COMPUTED_VALUE"""),1.0)</f>
        <v>1</v>
      </c>
      <c r="BD209" s="3">
        <f>IFERROR(__xludf.DUMMYFUNCTION("""COMPUTED_VALUE"""),1.0)</f>
        <v>1</v>
      </c>
      <c r="BE209" s="3">
        <f>IFERROR(__xludf.DUMMYFUNCTION("""COMPUTED_VALUE"""),1.0)</f>
        <v>1</v>
      </c>
      <c r="BF209" s="3">
        <f>IFERROR(__xludf.DUMMYFUNCTION("""COMPUTED_VALUE"""),1.0)</f>
        <v>1</v>
      </c>
      <c r="BG209" s="3">
        <f>IFERROR(__xludf.DUMMYFUNCTION("""COMPUTED_VALUE"""),1.0)</f>
        <v>1</v>
      </c>
      <c r="BH209" s="3">
        <f>IFERROR(__xludf.DUMMYFUNCTION("""COMPUTED_VALUE"""),1.0)</f>
        <v>1</v>
      </c>
      <c r="BI209" s="3">
        <f>IFERROR(__xludf.DUMMYFUNCTION("""COMPUTED_VALUE"""),1.0)</f>
        <v>1</v>
      </c>
      <c r="BJ209" s="3">
        <f>IFERROR(__xludf.DUMMYFUNCTION("""COMPUTED_VALUE"""),1.0)</f>
        <v>1</v>
      </c>
      <c r="BK209" s="3">
        <f>IFERROR(__xludf.DUMMYFUNCTION("""COMPUTED_VALUE"""),2.0)</f>
        <v>2</v>
      </c>
      <c r="BL209" s="3">
        <f>IFERROR(__xludf.DUMMYFUNCTION("""COMPUTED_VALUE"""),2.0)</f>
        <v>2</v>
      </c>
      <c r="BM209" s="3">
        <f>IFERROR(__xludf.DUMMYFUNCTION("""COMPUTED_VALUE"""),2.0)</f>
        <v>2</v>
      </c>
      <c r="BN209" s="3">
        <f>IFERROR(__xludf.DUMMYFUNCTION("""COMPUTED_VALUE"""),2.0)</f>
        <v>2</v>
      </c>
      <c r="BO209" s="3">
        <f>IFERROR(__xludf.DUMMYFUNCTION("""COMPUTED_VALUE"""),2.0)</f>
        <v>2</v>
      </c>
      <c r="BP209" s="3">
        <f>IFERROR(__xludf.DUMMYFUNCTION("""COMPUTED_VALUE"""),2.0)</f>
        <v>2</v>
      </c>
      <c r="BQ209" s="3">
        <f>IFERROR(__xludf.DUMMYFUNCTION("""COMPUTED_VALUE"""),2.0)</f>
        <v>2</v>
      </c>
      <c r="BR209" s="3">
        <f>IFERROR(__xludf.DUMMYFUNCTION("""COMPUTED_VALUE"""),2.0)</f>
        <v>2</v>
      </c>
      <c r="BS209" s="3">
        <f>IFERROR(__xludf.DUMMYFUNCTION("""COMPUTED_VALUE"""),2.0)</f>
        <v>2</v>
      </c>
      <c r="BT209" s="3">
        <f>IFERROR(__xludf.DUMMYFUNCTION("""COMPUTED_VALUE"""),2.0)</f>
        <v>2</v>
      </c>
      <c r="BU209" s="3">
        <f>IFERROR(__xludf.DUMMYFUNCTION("""COMPUTED_VALUE"""),5.0)</f>
        <v>5</v>
      </c>
      <c r="BV209" s="3">
        <f>IFERROR(__xludf.DUMMYFUNCTION("""COMPUTED_VALUE"""),5.0)</f>
        <v>5</v>
      </c>
      <c r="BW209" s="3">
        <f>IFERROR(__xludf.DUMMYFUNCTION("""COMPUTED_VALUE"""),5.0)</f>
        <v>5</v>
      </c>
      <c r="BX209" s="3">
        <f>IFERROR(__xludf.DUMMYFUNCTION("""COMPUTED_VALUE"""),5.0)</f>
        <v>5</v>
      </c>
      <c r="BY209" s="3">
        <f>IFERROR(__xludf.DUMMYFUNCTION("""COMPUTED_VALUE"""),5.0)</f>
        <v>5</v>
      </c>
      <c r="BZ209" s="3">
        <f>IFERROR(__xludf.DUMMYFUNCTION("""COMPUTED_VALUE"""),5.0)</f>
        <v>5</v>
      </c>
      <c r="CA209" s="3">
        <f>IFERROR(__xludf.DUMMYFUNCTION("""COMPUTED_VALUE"""),5.0)</f>
        <v>5</v>
      </c>
      <c r="CB209" s="3">
        <f>IFERROR(__xludf.DUMMYFUNCTION("""COMPUTED_VALUE"""),5.0)</f>
        <v>5</v>
      </c>
    </row>
    <row r="210">
      <c r="A210" s="3" t="str">
        <f>IFERROR(__xludf.DUMMYFUNCTION("""COMPUTED_VALUE"""),"")</f>
        <v/>
      </c>
      <c r="B210" s="3" t="str">
        <f>IFERROR(__xludf.DUMMYFUNCTION("""COMPUTED_VALUE"""),"Tanzania")</f>
        <v>Tanzania</v>
      </c>
      <c r="C210" s="3">
        <f>IFERROR(__xludf.DUMMYFUNCTION("""COMPUTED_VALUE"""),-6.369)</f>
        <v>-6.369</v>
      </c>
      <c r="D210" s="3">
        <f>IFERROR(__xludf.DUMMYFUNCTION("""COMPUTED_VALUE"""),34.8888)</f>
        <v>34.8888</v>
      </c>
      <c r="E210" s="3">
        <f>IFERROR(__xludf.DUMMYFUNCTION("""COMPUTED_VALUE"""),0.0)</f>
        <v>0</v>
      </c>
      <c r="F210" s="3">
        <f>IFERROR(__xludf.DUMMYFUNCTION("""COMPUTED_VALUE"""),0.0)</f>
        <v>0</v>
      </c>
      <c r="G210" s="3">
        <f>IFERROR(__xludf.DUMMYFUNCTION("""COMPUTED_VALUE"""),0.0)</f>
        <v>0</v>
      </c>
      <c r="H210" s="3">
        <f>IFERROR(__xludf.DUMMYFUNCTION("""COMPUTED_VALUE"""),0.0)</f>
        <v>0</v>
      </c>
      <c r="I210" s="3">
        <f>IFERROR(__xludf.DUMMYFUNCTION("""COMPUTED_VALUE"""),0.0)</f>
        <v>0</v>
      </c>
      <c r="J210" s="3">
        <f>IFERROR(__xludf.DUMMYFUNCTION("""COMPUTED_VALUE"""),0.0)</f>
        <v>0</v>
      </c>
      <c r="K210" s="3">
        <f>IFERROR(__xludf.DUMMYFUNCTION("""COMPUTED_VALUE"""),0.0)</f>
        <v>0</v>
      </c>
      <c r="L210" s="3">
        <f>IFERROR(__xludf.DUMMYFUNCTION("""COMPUTED_VALUE"""),0.0)</f>
        <v>0</v>
      </c>
      <c r="M210" s="3">
        <f>IFERROR(__xludf.DUMMYFUNCTION("""COMPUTED_VALUE"""),0.0)</f>
        <v>0</v>
      </c>
      <c r="N210" s="3">
        <f>IFERROR(__xludf.DUMMYFUNCTION("""COMPUTED_VALUE"""),0.0)</f>
        <v>0</v>
      </c>
      <c r="O210" s="3">
        <f>IFERROR(__xludf.DUMMYFUNCTION("""COMPUTED_VALUE"""),0.0)</f>
        <v>0</v>
      </c>
      <c r="P210" s="3">
        <f>IFERROR(__xludf.DUMMYFUNCTION("""COMPUTED_VALUE"""),0.0)</f>
        <v>0</v>
      </c>
      <c r="Q210" s="3">
        <f>IFERROR(__xludf.DUMMYFUNCTION("""COMPUTED_VALUE"""),0.0)</f>
        <v>0</v>
      </c>
      <c r="R210" s="3">
        <f>IFERROR(__xludf.DUMMYFUNCTION("""COMPUTED_VALUE"""),0.0)</f>
        <v>0</v>
      </c>
      <c r="S210" s="3">
        <f>IFERROR(__xludf.DUMMYFUNCTION("""COMPUTED_VALUE"""),0.0)</f>
        <v>0</v>
      </c>
      <c r="T210" s="3">
        <f>IFERROR(__xludf.DUMMYFUNCTION("""COMPUTED_VALUE"""),0.0)</f>
        <v>0</v>
      </c>
      <c r="U210" s="3">
        <f>IFERROR(__xludf.DUMMYFUNCTION("""COMPUTED_VALUE"""),0.0)</f>
        <v>0</v>
      </c>
      <c r="V210" s="3">
        <f>IFERROR(__xludf.DUMMYFUNCTION("""COMPUTED_VALUE"""),0.0)</f>
        <v>0</v>
      </c>
      <c r="W210" s="3">
        <f>IFERROR(__xludf.DUMMYFUNCTION("""COMPUTED_VALUE"""),0.0)</f>
        <v>0</v>
      </c>
      <c r="X210" s="3">
        <f>IFERROR(__xludf.DUMMYFUNCTION("""COMPUTED_VALUE"""),0.0)</f>
        <v>0</v>
      </c>
      <c r="Y210" s="3">
        <f>IFERROR(__xludf.DUMMYFUNCTION("""COMPUTED_VALUE"""),0.0)</f>
        <v>0</v>
      </c>
      <c r="Z210" s="3">
        <f>IFERROR(__xludf.DUMMYFUNCTION("""COMPUTED_VALUE"""),0.0)</f>
        <v>0</v>
      </c>
      <c r="AA210" s="3">
        <f>IFERROR(__xludf.DUMMYFUNCTION("""COMPUTED_VALUE"""),0.0)</f>
        <v>0</v>
      </c>
      <c r="AB210" s="3">
        <f>IFERROR(__xludf.DUMMYFUNCTION("""COMPUTED_VALUE"""),0.0)</f>
        <v>0</v>
      </c>
      <c r="AC210" s="3">
        <f>IFERROR(__xludf.DUMMYFUNCTION("""COMPUTED_VALUE"""),0.0)</f>
        <v>0</v>
      </c>
      <c r="AD210" s="3">
        <f>IFERROR(__xludf.DUMMYFUNCTION("""COMPUTED_VALUE"""),0.0)</f>
        <v>0</v>
      </c>
      <c r="AE210" s="3">
        <f>IFERROR(__xludf.DUMMYFUNCTION("""COMPUTED_VALUE"""),0.0)</f>
        <v>0</v>
      </c>
      <c r="AF210" s="3">
        <f>IFERROR(__xludf.DUMMYFUNCTION("""COMPUTED_VALUE"""),0.0)</f>
        <v>0</v>
      </c>
      <c r="AG210" s="3">
        <f>IFERROR(__xludf.DUMMYFUNCTION("""COMPUTED_VALUE"""),0.0)</f>
        <v>0</v>
      </c>
      <c r="AH210" s="3">
        <f>IFERROR(__xludf.DUMMYFUNCTION("""COMPUTED_VALUE"""),0.0)</f>
        <v>0</v>
      </c>
      <c r="AI210" s="3">
        <f>IFERROR(__xludf.DUMMYFUNCTION("""COMPUTED_VALUE"""),0.0)</f>
        <v>0</v>
      </c>
      <c r="AJ210" s="3">
        <f>IFERROR(__xludf.DUMMYFUNCTION("""COMPUTED_VALUE"""),0.0)</f>
        <v>0</v>
      </c>
      <c r="AK210" s="3">
        <f>IFERROR(__xludf.DUMMYFUNCTION("""COMPUTED_VALUE"""),0.0)</f>
        <v>0</v>
      </c>
      <c r="AL210" s="3">
        <f>IFERROR(__xludf.DUMMYFUNCTION("""COMPUTED_VALUE"""),0.0)</f>
        <v>0</v>
      </c>
      <c r="AM210" s="3">
        <f>IFERROR(__xludf.DUMMYFUNCTION("""COMPUTED_VALUE"""),0.0)</f>
        <v>0</v>
      </c>
      <c r="AN210" s="3">
        <f>IFERROR(__xludf.DUMMYFUNCTION("""COMPUTED_VALUE"""),0.0)</f>
        <v>0</v>
      </c>
      <c r="AO210" s="3">
        <f>IFERROR(__xludf.DUMMYFUNCTION("""COMPUTED_VALUE"""),0.0)</f>
        <v>0</v>
      </c>
      <c r="AP210" s="3">
        <f>IFERROR(__xludf.DUMMYFUNCTION("""COMPUTED_VALUE"""),0.0)</f>
        <v>0</v>
      </c>
      <c r="AQ210" s="3">
        <f>IFERROR(__xludf.DUMMYFUNCTION("""COMPUTED_VALUE"""),0.0)</f>
        <v>0</v>
      </c>
      <c r="AR210" s="3">
        <f>IFERROR(__xludf.DUMMYFUNCTION("""COMPUTED_VALUE"""),0.0)</f>
        <v>0</v>
      </c>
      <c r="AS210" s="3">
        <f>IFERROR(__xludf.DUMMYFUNCTION("""COMPUTED_VALUE"""),0.0)</f>
        <v>0</v>
      </c>
      <c r="AT210" s="3">
        <f>IFERROR(__xludf.DUMMYFUNCTION("""COMPUTED_VALUE"""),0.0)</f>
        <v>0</v>
      </c>
      <c r="AU210" s="3">
        <f>IFERROR(__xludf.DUMMYFUNCTION("""COMPUTED_VALUE"""),0.0)</f>
        <v>0</v>
      </c>
      <c r="AV210" s="3">
        <f>IFERROR(__xludf.DUMMYFUNCTION("""COMPUTED_VALUE"""),0.0)</f>
        <v>0</v>
      </c>
      <c r="AW210" s="3">
        <f>IFERROR(__xludf.DUMMYFUNCTION("""COMPUTED_VALUE"""),0.0)</f>
        <v>0</v>
      </c>
      <c r="AX210" s="3">
        <f>IFERROR(__xludf.DUMMYFUNCTION("""COMPUTED_VALUE"""),0.0)</f>
        <v>0</v>
      </c>
      <c r="AY210" s="3">
        <f>IFERROR(__xludf.DUMMYFUNCTION("""COMPUTED_VALUE"""),0.0)</f>
        <v>0</v>
      </c>
      <c r="AZ210" s="3">
        <f>IFERROR(__xludf.DUMMYFUNCTION("""COMPUTED_VALUE"""),0.0)</f>
        <v>0</v>
      </c>
      <c r="BA210" s="3">
        <f>IFERROR(__xludf.DUMMYFUNCTION("""COMPUTED_VALUE"""),0.0)</f>
        <v>0</v>
      </c>
      <c r="BB210" s="3">
        <f>IFERROR(__xludf.DUMMYFUNCTION("""COMPUTED_VALUE"""),0.0)</f>
        <v>0</v>
      </c>
      <c r="BC210" s="3">
        <f>IFERROR(__xludf.DUMMYFUNCTION("""COMPUTED_VALUE"""),0.0)</f>
        <v>0</v>
      </c>
      <c r="BD210" s="3">
        <f>IFERROR(__xludf.DUMMYFUNCTION("""COMPUTED_VALUE"""),0.0)</f>
        <v>0</v>
      </c>
      <c r="BE210" s="3">
        <f>IFERROR(__xludf.DUMMYFUNCTION("""COMPUTED_VALUE"""),0.0)</f>
        <v>0</v>
      </c>
      <c r="BF210" s="3">
        <f>IFERROR(__xludf.DUMMYFUNCTION("""COMPUTED_VALUE"""),0.0)</f>
        <v>0</v>
      </c>
      <c r="BG210" s="3">
        <f>IFERROR(__xludf.DUMMYFUNCTION("""COMPUTED_VALUE"""),0.0)</f>
        <v>0</v>
      </c>
      <c r="BH210" s="3">
        <f>IFERROR(__xludf.DUMMYFUNCTION("""COMPUTED_VALUE"""),0.0)</f>
        <v>0</v>
      </c>
      <c r="BI210" s="3">
        <f>IFERROR(__xludf.DUMMYFUNCTION("""COMPUTED_VALUE"""),0.0)</f>
        <v>0</v>
      </c>
      <c r="BJ210" s="3">
        <f>IFERROR(__xludf.DUMMYFUNCTION("""COMPUTED_VALUE"""),0.0)</f>
        <v>0</v>
      </c>
      <c r="BK210" s="3">
        <f>IFERROR(__xludf.DUMMYFUNCTION("""COMPUTED_VALUE"""),0.0)</f>
        <v>0</v>
      </c>
      <c r="BL210" s="3">
        <f>IFERROR(__xludf.DUMMYFUNCTION("""COMPUTED_VALUE"""),0.0)</f>
        <v>0</v>
      </c>
      <c r="BM210" s="3">
        <f>IFERROR(__xludf.DUMMYFUNCTION("""COMPUTED_VALUE"""),0.0)</f>
        <v>0</v>
      </c>
      <c r="BN210" s="3">
        <f>IFERROR(__xludf.DUMMYFUNCTION("""COMPUTED_VALUE"""),0.0)</f>
        <v>0</v>
      </c>
      <c r="BO210" s="3">
        <f>IFERROR(__xludf.DUMMYFUNCTION("""COMPUTED_VALUE"""),0.0)</f>
        <v>0</v>
      </c>
      <c r="BP210" s="3">
        <f>IFERROR(__xludf.DUMMYFUNCTION("""COMPUTED_VALUE"""),0.0)</f>
        <v>0</v>
      </c>
      <c r="BQ210" s="3">
        <f>IFERROR(__xludf.DUMMYFUNCTION("""COMPUTED_VALUE"""),0.0)</f>
        <v>0</v>
      </c>
      <c r="BR210" s="3">
        <f>IFERROR(__xludf.DUMMYFUNCTION("""COMPUTED_VALUE"""),0.0)</f>
        <v>0</v>
      </c>
      <c r="BS210" s="3">
        <f>IFERROR(__xludf.DUMMYFUNCTION("""COMPUTED_VALUE"""),0.0)</f>
        <v>0</v>
      </c>
      <c r="BT210" s="3">
        <f>IFERROR(__xludf.DUMMYFUNCTION("""COMPUTED_VALUE"""),0.0)</f>
        <v>0</v>
      </c>
      <c r="BU210" s="3">
        <f>IFERROR(__xludf.DUMMYFUNCTION("""COMPUTED_VALUE"""),0.0)</f>
        <v>0</v>
      </c>
      <c r="BV210" s="3">
        <f>IFERROR(__xludf.DUMMYFUNCTION("""COMPUTED_VALUE"""),1.0)</f>
        <v>1</v>
      </c>
      <c r="BW210" s="3">
        <f>IFERROR(__xludf.DUMMYFUNCTION("""COMPUTED_VALUE"""),1.0)</f>
        <v>1</v>
      </c>
      <c r="BX210" s="3">
        <f>IFERROR(__xludf.DUMMYFUNCTION("""COMPUTED_VALUE"""),1.0)</f>
        <v>1</v>
      </c>
      <c r="BY210" s="3">
        <f>IFERROR(__xludf.DUMMYFUNCTION("""COMPUTED_VALUE"""),1.0)</f>
        <v>1</v>
      </c>
      <c r="BZ210" s="3">
        <f>IFERROR(__xludf.DUMMYFUNCTION("""COMPUTED_VALUE"""),1.0)</f>
        <v>1</v>
      </c>
      <c r="CA210" s="3">
        <f>IFERROR(__xludf.DUMMYFUNCTION("""COMPUTED_VALUE"""),1.0)</f>
        <v>1</v>
      </c>
      <c r="CB210" s="3">
        <f>IFERROR(__xludf.DUMMYFUNCTION("""COMPUTED_VALUE"""),1.0)</f>
        <v>1</v>
      </c>
    </row>
    <row r="211">
      <c r="A211" s="3" t="str">
        <f>IFERROR(__xludf.DUMMYFUNCTION("""COMPUTED_VALUE"""),"")</f>
        <v/>
      </c>
      <c r="B211" s="3" t="str">
        <f>IFERROR(__xludf.DUMMYFUNCTION("""COMPUTED_VALUE"""),"Thailand")</f>
        <v>Thailand</v>
      </c>
      <c r="C211" s="3">
        <f>IFERROR(__xludf.DUMMYFUNCTION("""COMPUTED_VALUE"""),15.0)</f>
        <v>15</v>
      </c>
      <c r="D211" s="3">
        <f>IFERROR(__xludf.DUMMYFUNCTION("""COMPUTED_VALUE"""),101.0)</f>
        <v>101</v>
      </c>
      <c r="E211" s="3">
        <f>IFERROR(__xludf.DUMMYFUNCTION("""COMPUTED_VALUE"""),0.0)</f>
        <v>0</v>
      </c>
      <c r="F211" s="3">
        <f>IFERROR(__xludf.DUMMYFUNCTION("""COMPUTED_VALUE"""),0.0)</f>
        <v>0</v>
      </c>
      <c r="G211" s="3">
        <f>IFERROR(__xludf.DUMMYFUNCTION("""COMPUTED_VALUE"""),0.0)</f>
        <v>0</v>
      </c>
      <c r="H211" s="3">
        <f>IFERROR(__xludf.DUMMYFUNCTION("""COMPUTED_VALUE"""),0.0)</f>
        <v>0</v>
      </c>
      <c r="I211" s="3">
        <f>IFERROR(__xludf.DUMMYFUNCTION("""COMPUTED_VALUE"""),0.0)</f>
        <v>0</v>
      </c>
      <c r="J211" s="3">
        <f>IFERROR(__xludf.DUMMYFUNCTION("""COMPUTED_VALUE"""),0.0)</f>
        <v>0</v>
      </c>
      <c r="K211" s="3">
        <f>IFERROR(__xludf.DUMMYFUNCTION("""COMPUTED_VALUE"""),0.0)</f>
        <v>0</v>
      </c>
      <c r="L211" s="3">
        <f>IFERROR(__xludf.DUMMYFUNCTION("""COMPUTED_VALUE"""),0.0)</f>
        <v>0</v>
      </c>
      <c r="M211" s="3">
        <f>IFERROR(__xludf.DUMMYFUNCTION("""COMPUTED_VALUE"""),0.0)</f>
        <v>0</v>
      </c>
      <c r="N211" s="3">
        <f>IFERROR(__xludf.DUMMYFUNCTION("""COMPUTED_VALUE"""),0.0)</f>
        <v>0</v>
      </c>
      <c r="O211" s="3">
        <f>IFERROR(__xludf.DUMMYFUNCTION("""COMPUTED_VALUE"""),0.0)</f>
        <v>0</v>
      </c>
      <c r="P211" s="3">
        <f>IFERROR(__xludf.DUMMYFUNCTION("""COMPUTED_VALUE"""),0.0)</f>
        <v>0</v>
      </c>
      <c r="Q211" s="3">
        <f>IFERROR(__xludf.DUMMYFUNCTION("""COMPUTED_VALUE"""),0.0)</f>
        <v>0</v>
      </c>
      <c r="R211" s="3">
        <f>IFERROR(__xludf.DUMMYFUNCTION("""COMPUTED_VALUE"""),0.0)</f>
        <v>0</v>
      </c>
      <c r="S211" s="3">
        <f>IFERROR(__xludf.DUMMYFUNCTION("""COMPUTED_VALUE"""),0.0)</f>
        <v>0</v>
      </c>
      <c r="T211" s="3">
        <f>IFERROR(__xludf.DUMMYFUNCTION("""COMPUTED_VALUE"""),0.0)</f>
        <v>0</v>
      </c>
      <c r="U211" s="3">
        <f>IFERROR(__xludf.DUMMYFUNCTION("""COMPUTED_VALUE"""),0.0)</f>
        <v>0</v>
      </c>
      <c r="V211" s="3">
        <f>IFERROR(__xludf.DUMMYFUNCTION("""COMPUTED_VALUE"""),0.0)</f>
        <v>0</v>
      </c>
      <c r="W211" s="3">
        <f>IFERROR(__xludf.DUMMYFUNCTION("""COMPUTED_VALUE"""),0.0)</f>
        <v>0</v>
      </c>
      <c r="X211" s="3">
        <f>IFERROR(__xludf.DUMMYFUNCTION("""COMPUTED_VALUE"""),0.0)</f>
        <v>0</v>
      </c>
      <c r="Y211" s="3">
        <f>IFERROR(__xludf.DUMMYFUNCTION("""COMPUTED_VALUE"""),0.0)</f>
        <v>0</v>
      </c>
      <c r="Z211" s="3">
        <f>IFERROR(__xludf.DUMMYFUNCTION("""COMPUTED_VALUE"""),0.0)</f>
        <v>0</v>
      </c>
      <c r="AA211" s="3">
        <f>IFERROR(__xludf.DUMMYFUNCTION("""COMPUTED_VALUE"""),0.0)</f>
        <v>0</v>
      </c>
      <c r="AB211" s="3">
        <f>IFERROR(__xludf.DUMMYFUNCTION("""COMPUTED_VALUE"""),0.0)</f>
        <v>0</v>
      </c>
      <c r="AC211" s="3">
        <f>IFERROR(__xludf.DUMMYFUNCTION("""COMPUTED_VALUE"""),0.0)</f>
        <v>0</v>
      </c>
      <c r="AD211" s="3">
        <f>IFERROR(__xludf.DUMMYFUNCTION("""COMPUTED_VALUE"""),0.0)</f>
        <v>0</v>
      </c>
      <c r="AE211" s="3">
        <f>IFERROR(__xludf.DUMMYFUNCTION("""COMPUTED_VALUE"""),0.0)</f>
        <v>0</v>
      </c>
      <c r="AF211" s="3">
        <f>IFERROR(__xludf.DUMMYFUNCTION("""COMPUTED_VALUE"""),0.0)</f>
        <v>0</v>
      </c>
      <c r="AG211" s="3">
        <f>IFERROR(__xludf.DUMMYFUNCTION("""COMPUTED_VALUE"""),0.0)</f>
        <v>0</v>
      </c>
      <c r="AH211" s="3">
        <f>IFERROR(__xludf.DUMMYFUNCTION("""COMPUTED_VALUE"""),0.0)</f>
        <v>0</v>
      </c>
      <c r="AI211" s="3">
        <f>IFERROR(__xludf.DUMMYFUNCTION("""COMPUTED_VALUE"""),0.0)</f>
        <v>0</v>
      </c>
      <c r="AJ211" s="3">
        <f>IFERROR(__xludf.DUMMYFUNCTION("""COMPUTED_VALUE"""),0.0)</f>
        <v>0</v>
      </c>
      <c r="AK211" s="3">
        <f>IFERROR(__xludf.DUMMYFUNCTION("""COMPUTED_VALUE"""),0.0)</f>
        <v>0</v>
      </c>
      <c r="AL211" s="3">
        <f>IFERROR(__xludf.DUMMYFUNCTION("""COMPUTED_VALUE"""),0.0)</f>
        <v>0</v>
      </c>
      <c r="AM211" s="3">
        <f>IFERROR(__xludf.DUMMYFUNCTION("""COMPUTED_VALUE"""),0.0)</f>
        <v>0</v>
      </c>
      <c r="AN211" s="3">
        <f>IFERROR(__xludf.DUMMYFUNCTION("""COMPUTED_VALUE"""),0.0)</f>
        <v>0</v>
      </c>
      <c r="AO211" s="3">
        <f>IFERROR(__xludf.DUMMYFUNCTION("""COMPUTED_VALUE"""),0.0)</f>
        <v>0</v>
      </c>
      <c r="AP211" s="3">
        <f>IFERROR(__xludf.DUMMYFUNCTION("""COMPUTED_VALUE"""),0.0)</f>
        <v>0</v>
      </c>
      <c r="AQ211" s="3">
        <f>IFERROR(__xludf.DUMMYFUNCTION("""COMPUTED_VALUE"""),0.0)</f>
        <v>0</v>
      </c>
      <c r="AR211" s="3">
        <f>IFERROR(__xludf.DUMMYFUNCTION("""COMPUTED_VALUE"""),1.0)</f>
        <v>1</v>
      </c>
      <c r="AS211" s="3">
        <f>IFERROR(__xludf.DUMMYFUNCTION("""COMPUTED_VALUE"""),1.0)</f>
        <v>1</v>
      </c>
      <c r="AT211" s="3">
        <f>IFERROR(__xludf.DUMMYFUNCTION("""COMPUTED_VALUE"""),1.0)</f>
        <v>1</v>
      </c>
      <c r="AU211" s="3">
        <f>IFERROR(__xludf.DUMMYFUNCTION("""COMPUTED_VALUE"""),1.0)</f>
        <v>1</v>
      </c>
      <c r="AV211" s="3">
        <f>IFERROR(__xludf.DUMMYFUNCTION("""COMPUTED_VALUE"""),1.0)</f>
        <v>1</v>
      </c>
      <c r="AW211" s="3">
        <f>IFERROR(__xludf.DUMMYFUNCTION("""COMPUTED_VALUE"""),1.0)</f>
        <v>1</v>
      </c>
      <c r="AX211" s="3">
        <f>IFERROR(__xludf.DUMMYFUNCTION("""COMPUTED_VALUE"""),1.0)</f>
        <v>1</v>
      </c>
      <c r="AY211" s="3">
        <f>IFERROR(__xludf.DUMMYFUNCTION("""COMPUTED_VALUE"""),1.0)</f>
        <v>1</v>
      </c>
      <c r="AZ211" s="3">
        <f>IFERROR(__xludf.DUMMYFUNCTION("""COMPUTED_VALUE"""),1.0)</f>
        <v>1</v>
      </c>
      <c r="BA211" s="3">
        <f>IFERROR(__xludf.DUMMYFUNCTION("""COMPUTED_VALUE"""),1.0)</f>
        <v>1</v>
      </c>
      <c r="BB211" s="3">
        <f>IFERROR(__xludf.DUMMYFUNCTION("""COMPUTED_VALUE"""),1.0)</f>
        <v>1</v>
      </c>
      <c r="BC211" s="3">
        <f>IFERROR(__xludf.DUMMYFUNCTION("""COMPUTED_VALUE"""),1.0)</f>
        <v>1</v>
      </c>
      <c r="BD211" s="3">
        <f>IFERROR(__xludf.DUMMYFUNCTION("""COMPUTED_VALUE"""),1.0)</f>
        <v>1</v>
      </c>
      <c r="BE211" s="3">
        <f>IFERROR(__xludf.DUMMYFUNCTION("""COMPUTED_VALUE"""),1.0)</f>
        <v>1</v>
      </c>
      <c r="BF211" s="3">
        <f>IFERROR(__xludf.DUMMYFUNCTION("""COMPUTED_VALUE"""),1.0)</f>
        <v>1</v>
      </c>
      <c r="BG211" s="3">
        <f>IFERROR(__xludf.DUMMYFUNCTION("""COMPUTED_VALUE"""),1.0)</f>
        <v>1</v>
      </c>
      <c r="BH211" s="3">
        <f>IFERROR(__xludf.DUMMYFUNCTION("""COMPUTED_VALUE"""),1.0)</f>
        <v>1</v>
      </c>
      <c r="BI211" s="3">
        <f>IFERROR(__xludf.DUMMYFUNCTION("""COMPUTED_VALUE"""),1.0)</f>
        <v>1</v>
      </c>
      <c r="BJ211" s="3">
        <f>IFERROR(__xludf.DUMMYFUNCTION("""COMPUTED_VALUE"""),1.0)</f>
        <v>1</v>
      </c>
      <c r="BK211" s="3">
        <f>IFERROR(__xludf.DUMMYFUNCTION("""COMPUTED_VALUE"""),1.0)</f>
        <v>1</v>
      </c>
      <c r="BL211" s="3">
        <f>IFERROR(__xludf.DUMMYFUNCTION("""COMPUTED_VALUE"""),1.0)</f>
        <v>1</v>
      </c>
      <c r="BM211" s="3">
        <f>IFERROR(__xludf.DUMMYFUNCTION("""COMPUTED_VALUE"""),1.0)</f>
        <v>1</v>
      </c>
      <c r="BN211" s="3">
        <f>IFERROR(__xludf.DUMMYFUNCTION("""COMPUTED_VALUE"""),1.0)</f>
        <v>1</v>
      </c>
      <c r="BO211" s="3">
        <f>IFERROR(__xludf.DUMMYFUNCTION("""COMPUTED_VALUE"""),4.0)</f>
        <v>4</v>
      </c>
      <c r="BP211" s="3">
        <f>IFERROR(__xludf.DUMMYFUNCTION("""COMPUTED_VALUE"""),4.0)</f>
        <v>4</v>
      </c>
      <c r="BQ211" s="3">
        <f>IFERROR(__xludf.DUMMYFUNCTION("""COMPUTED_VALUE"""),4.0)</f>
        <v>4</v>
      </c>
      <c r="BR211" s="3">
        <f>IFERROR(__xludf.DUMMYFUNCTION("""COMPUTED_VALUE"""),5.0)</f>
        <v>5</v>
      </c>
      <c r="BS211" s="3">
        <f>IFERROR(__xludf.DUMMYFUNCTION("""COMPUTED_VALUE"""),6.0)</f>
        <v>6</v>
      </c>
      <c r="BT211" s="3">
        <f>IFERROR(__xludf.DUMMYFUNCTION("""COMPUTED_VALUE"""),7.0)</f>
        <v>7</v>
      </c>
      <c r="BU211" s="3">
        <f>IFERROR(__xludf.DUMMYFUNCTION("""COMPUTED_VALUE"""),9.0)</f>
        <v>9</v>
      </c>
      <c r="BV211" s="3">
        <f>IFERROR(__xludf.DUMMYFUNCTION("""COMPUTED_VALUE"""),10.0)</f>
        <v>10</v>
      </c>
      <c r="BW211" s="3">
        <f>IFERROR(__xludf.DUMMYFUNCTION("""COMPUTED_VALUE"""),12.0)</f>
        <v>12</v>
      </c>
      <c r="BX211" s="3">
        <f>IFERROR(__xludf.DUMMYFUNCTION("""COMPUTED_VALUE"""),15.0)</f>
        <v>15</v>
      </c>
      <c r="BY211" s="3">
        <f>IFERROR(__xludf.DUMMYFUNCTION("""COMPUTED_VALUE"""),19.0)</f>
        <v>19</v>
      </c>
      <c r="BZ211" s="3">
        <f>IFERROR(__xludf.DUMMYFUNCTION("""COMPUTED_VALUE"""),20.0)</f>
        <v>20</v>
      </c>
      <c r="CA211" s="3">
        <f>IFERROR(__xludf.DUMMYFUNCTION("""COMPUTED_VALUE"""),23.0)</f>
        <v>23</v>
      </c>
      <c r="CB211" s="3">
        <f>IFERROR(__xludf.DUMMYFUNCTION("""COMPUTED_VALUE"""),26.0)</f>
        <v>26</v>
      </c>
    </row>
    <row r="212">
      <c r="A212" s="3" t="str">
        <f>IFERROR(__xludf.DUMMYFUNCTION("""COMPUTED_VALUE"""),"")</f>
        <v/>
      </c>
      <c r="B212" s="3" t="str">
        <f>IFERROR(__xludf.DUMMYFUNCTION("""COMPUTED_VALUE"""),"Togo")</f>
        <v>Togo</v>
      </c>
      <c r="C212" s="3">
        <f>IFERROR(__xludf.DUMMYFUNCTION("""COMPUTED_VALUE"""),8.6195)</f>
        <v>8.6195</v>
      </c>
      <c r="D212" s="3">
        <f>IFERROR(__xludf.DUMMYFUNCTION("""COMPUTED_VALUE"""),0.8248)</f>
        <v>0.8248</v>
      </c>
      <c r="E212" s="3">
        <f>IFERROR(__xludf.DUMMYFUNCTION("""COMPUTED_VALUE"""),0.0)</f>
        <v>0</v>
      </c>
      <c r="F212" s="3">
        <f>IFERROR(__xludf.DUMMYFUNCTION("""COMPUTED_VALUE"""),0.0)</f>
        <v>0</v>
      </c>
      <c r="G212" s="3">
        <f>IFERROR(__xludf.DUMMYFUNCTION("""COMPUTED_VALUE"""),0.0)</f>
        <v>0</v>
      </c>
      <c r="H212" s="3">
        <f>IFERROR(__xludf.DUMMYFUNCTION("""COMPUTED_VALUE"""),0.0)</f>
        <v>0</v>
      </c>
      <c r="I212" s="3">
        <f>IFERROR(__xludf.DUMMYFUNCTION("""COMPUTED_VALUE"""),0.0)</f>
        <v>0</v>
      </c>
      <c r="J212" s="3">
        <f>IFERROR(__xludf.DUMMYFUNCTION("""COMPUTED_VALUE"""),0.0)</f>
        <v>0</v>
      </c>
      <c r="K212" s="3">
        <f>IFERROR(__xludf.DUMMYFUNCTION("""COMPUTED_VALUE"""),0.0)</f>
        <v>0</v>
      </c>
      <c r="L212" s="3">
        <f>IFERROR(__xludf.DUMMYFUNCTION("""COMPUTED_VALUE"""),0.0)</f>
        <v>0</v>
      </c>
      <c r="M212" s="3">
        <f>IFERROR(__xludf.DUMMYFUNCTION("""COMPUTED_VALUE"""),0.0)</f>
        <v>0</v>
      </c>
      <c r="N212" s="3">
        <f>IFERROR(__xludf.DUMMYFUNCTION("""COMPUTED_VALUE"""),0.0)</f>
        <v>0</v>
      </c>
      <c r="O212" s="3">
        <f>IFERROR(__xludf.DUMMYFUNCTION("""COMPUTED_VALUE"""),0.0)</f>
        <v>0</v>
      </c>
      <c r="P212" s="3">
        <f>IFERROR(__xludf.DUMMYFUNCTION("""COMPUTED_VALUE"""),0.0)</f>
        <v>0</v>
      </c>
      <c r="Q212" s="3">
        <f>IFERROR(__xludf.DUMMYFUNCTION("""COMPUTED_VALUE"""),0.0)</f>
        <v>0</v>
      </c>
      <c r="R212" s="3">
        <f>IFERROR(__xludf.DUMMYFUNCTION("""COMPUTED_VALUE"""),0.0)</f>
        <v>0</v>
      </c>
      <c r="S212" s="3">
        <f>IFERROR(__xludf.DUMMYFUNCTION("""COMPUTED_VALUE"""),0.0)</f>
        <v>0</v>
      </c>
      <c r="T212" s="3">
        <f>IFERROR(__xludf.DUMMYFUNCTION("""COMPUTED_VALUE"""),0.0)</f>
        <v>0</v>
      </c>
      <c r="U212" s="3">
        <f>IFERROR(__xludf.DUMMYFUNCTION("""COMPUTED_VALUE"""),0.0)</f>
        <v>0</v>
      </c>
      <c r="V212" s="3">
        <f>IFERROR(__xludf.DUMMYFUNCTION("""COMPUTED_VALUE"""),0.0)</f>
        <v>0</v>
      </c>
      <c r="W212" s="3">
        <f>IFERROR(__xludf.DUMMYFUNCTION("""COMPUTED_VALUE"""),0.0)</f>
        <v>0</v>
      </c>
      <c r="X212" s="3">
        <f>IFERROR(__xludf.DUMMYFUNCTION("""COMPUTED_VALUE"""),0.0)</f>
        <v>0</v>
      </c>
      <c r="Y212" s="3">
        <f>IFERROR(__xludf.DUMMYFUNCTION("""COMPUTED_VALUE"""),0.0)</f>
        <v>0</v>
      </c>
      <c r="Z212" s="3">
        <f>IFERROR(__xludf.DUMMYFUNCTION("""COMPUTED_VALUE"""),0.0)</f>
        <v>0</v>
      </c>
      <c r="AA212" s="3">
        <f>IFERROR(__xludf.DUMMYFUNCTION("""COMPUTED_VALUE"""),0.0)</f>
        <v>0</v>
      </c>
      <c r="AB212" s="3">
        <f>IFERROR(__xludf.DUMMYFUNCTION("""COMPUTED_VALUE"""),0.0)</f>
        <v>0</v>
      </c>
      <c r="AC212" s="3">
        <f>IFERROR(__xludf.DUMMYFUNCTION("""COMPUTED_VALUE"""),0.0)</f>
        <v>0</v>
      </c>
      <c r="AD212" s="3">
        <f>IFERROR(__xludf.DUMMYFUNCTION("""COMPUTED_VALUE"""),0.0)</f>
        <v>0</v>
      </c>
      <c r="AE212" s="3">
        <f>IFERROR(__xludf.DUMMYFUNCTION("""COMPUTED_VALUE"""),0.0)</f>
        <v>0</v>
      </c>
      <c r="AF212" s="3">
        <f>IFERROR(__xludf.DUMMYFUNCTION("""COMPUTED_VALUE"""),0.0)</f>
        <v>0</v>
      </c>
      <c r="AG212" s="3">
        <f>IFERROR(__xludf.DUMMYFUNCTION("""COMPUTED_VALUE"""),0.0)</f>
        <v>0</v>
      </c>
      <c r="AH212" s="3">
        <f>IFERROR(__xludf.DUMMYFUNCTION("""COMPUTED_VALUE"""),0.0)</f>
        <v>0</v>
      </c>
      <c r="AI212" s="3">
        <f>IFERROR(__xludf.DUMMYFUNCTION("""COMPUTED_VALUE"""),0.0)</f>
        <v>0</v>
      </c>
      <c r="AJ212" s="3">
        <f>IFERROR(__xludf.DUMMYFUNCTION("""COMPUTED_VALUE"""),0.0)</f>
        <v>0</v>
      </c>
      <c r="AK212" s="3">
        <f>IFERROR(__xludf.DUMMYFUNCTION("""COMPUTED_VALUE"""),0.0)</f>
        <v>0</v>
      </c>
      <c r="AL212" s="3">
        <f>IFERROR(__xludf.DUMMYFUNCTION("""COMPUTED_VALUE"""),0.0)</f>
        <v>0</v>
      </c>
      <c r="AM212" s="3">
        <f>IFERROR(__xludf.DUMMYFUNCTION("""COMPUTED_VALUE"""),0.0)</f>
        <v>0</v>
      </c>
      <c r="AN212" s="3">
        <f>IFERROR(__xludf.DUMMYFUNCTION("""COMPUTED_VALUE"""),0.0)</f>
        <v>0</v>
      </c>
      <c r="AO212" s="3">
        <f>IFERROR(__xludf.DUMMYFUNCTION("""COMPUTED_VALUE"""),0.0)</f>
        <v>0</v>
      </c>
      <c r="AP212" s="3">
        <f>IFERROR(__xludf.DUMMYFUNCTION("""COMPUTED_VALUE"""),0.0)</f>
        <v>0</v>
      </c>
      <c r="AQ212" s="3">
        <f>IFERROR(__xludf.DUMMYFUNCTION("""COMPUTED_VALUE"""),0.0)</f>
        <v>0</v>
      </c>
      <c r="AR212" s="3">
        <f>IFERROR(__xludf.DUMMYFUNCTION("""COMPUTED_VALUE"""),0.0)</f>
        <v>0</v>
      </c>
      <c r="AS212" s="3">
        <f>IFERROR(__xludf.DUMMYFUNCTION("""COMPUTED_VALUE"""),0.0)</f>
        <v>0</v>
      </c>
      <c r="AT212" s="3">
        <f>IFERROR(__xludf.DUMMYFUNCTION("""COMPUTED_VALUE"""),0.0)</f>
        <v>0</v>
      </c>
      <c r="AU212" s="3">
        <f>IFERROR(__xludf.DUMMYFUNCTION("""COMPUTED_VALUE"""),0.0)</f>
        <v>0</v>
      </c>
      <c r="AV212" s="3">
        <f>IFERROR(__xludf.DUMMYFUNCTION("""COMPUTED_VALUE"""),0.0)</f>
        <v>0</v>
      </c>
      <c r="AW212" s="3">
        <f>IFERROR(__xludf.DUMMYFUNCTION("""COMPUTED_VALUE"""),0.0)</f>
        <v>0</v>
      </c>
      <c r="AX212" s="3">
        <f>IFERROR(__xludf.DUMMYFUNCTION("""COMPUTED_VALUE"""),0.0)</f>
        <v>0</v>
      </c>
      <c r="AY212" s="3">
        <f>IFERROR(__xludf.DUMMYFUNCTION("""COMPUTED_VALUE"""),0.0)</f>
        <v>0</v>
      </c>
      <c r="AZ212" s="3">
        <f>IFERROR(__xludf.DUMMYFUNCTION("""COMPUTED_VALUE"""),0.0)</f>
        <v>0</v>
      </c>
      <c r="BA212" s="3">
        <f>IFERROR(__xludf.DUMMYFUNCTION("""COMPUTED_VALUE"""),0.0)</f>
        <v>0</v>
      </c>
      <c r="BB212" s="3">
        <f>IFERROR(__xludf.DUMMYFUNCTION("""COMPUTED_VALUE"""),0.0)</f>
        <v>0</v>
      </c>
      <c r="BC212" s="3">
        <f>IFERROR(__xludf.DUMMYFUNCTION("""COMPUTED_VALUE"""),0.0)</f>
        <v>0</v>
      </c>
      <c r="BD212" s="3">
        <f>IFERROR(__xludf.DUMMYFUNCTION("""COMPUTED_VALUE"""),0.0)</f>
        <v>0</v>
      </c>
      <c r="BE212" s="3">
        <f>IFERROR(__xludf.DUMMYFUNCTION("""COMPUTED_VALUE"""),0.0)</f>
        <v>0</v>
      </c>
      <c r="BF212" s="3">
        <f>IFERROR(__xludf.DUMMYFUNCTION("""COMPUTED_VALUE"""),0.0)</f>
        <v>0</v>
      </c>
      <c r="BG212" s="3">
        <f>IFERROR(__xludf.DUMMYFUNCTION("""COMPUTED_VALUE"""),0.0)</f>
        <v>0</v>
      </c>
      <c r="BH212" s="3">
        <f>IFERROR(__xludf.DUMMYFUNCTION("""COMPUTED_VALUE"""),0.0)</f>
        <v>0</v>
      </c>
      <c r="BI212" s="3">
        <f>IFERROR(__xludf.DUMMYFUNCTION("""COMPUTED_VALUE"""),0.0)</f>
        <v>0</v>
      </c>
      <c r="BJ212" s="3">
        <f>IFERROR(__xludf.DUMMYFUNCTION("""COMPUTED_VALUE"""),0.0)</f>
        <v>0</v>
      </c>
      <c r="BK212" s="3">
        <f>IFERROR(__xludf.DUMMYFUNCTION("""COMPUTED_VALUE"""),0.0)</f>
        <v>0</v>
      </c>
      <c r="BL212" s="3">
        <f>IFERROR(__xludf.DUMMYFUNCTION("""COMPUTED_VALUE"""),0.0)</f>
        <v>0</v>
      </c>
      <c r="BM212" s="3">
        <f>IFERROR(__xludf.DUMMYFUNCTION("""COMPUTED_VALUE"""),0.0)</f>
        <v>0</v>
      </c>
      <c r="BN212" s="3">
        <f>IFERROR(__xludf.DUMMYFUNCTION("""COMPUTED_VALUE"""),0.0)</f>
        <v>0</v>
      </c>
      <c r="BO212" s="3">
        <f>IFERROR(__xludf.DUMMYFUNCTION("""COMPUTED_VALUE"""),0.0)</f>
        <v>0</v>
      </c>
      <c r="BP212" s="3">
        <f>IFERROR(__xludf.DUMMYFUNCTION("""COMPUTED_VALUE"""),0.0)</f>
        <v>0</v>
      </c>
      <c r="BQ212" s="3">
        <f>IFERROR(__xludf.DUMMYFUNCTION("""COMPUTED_VALUE"""),0.0)</f>
        <v>0</v>
      </c>
      <c r="BR212" s="3">
        <f>IFERROR(__xludf.DUMMYFUNCTION("""COMPUTED_VALUE"""),1.0)</f>
        <v>1</v>
      </c>
      <c r="BS212" s="3">
        <f>IFERROR(__xludf.DUMMYFUNCTION("""COMPUTED_VALUE"""),1.0)</f>
        <v>1</v>
      </c>
      <c r="BT212" s="3">
        <f>IFERROR(__xludf.DUMMYFUNCTION("""COMPUTED_VALUE"""),1.0)</f>
        <v>1</v>
      </c>
      <c r="BU212" s="3">
        <f>IFERROR(__xludf.DUMMYFUNCTION("""COMPUTED_VALUE"""),1.0)</f>
        <v>1</v>
      </c>
      <c r="BV212" s="3">
        <f>IFERROR(__xludf.DUMMYFUNCTION("""COMPUTED_VALUE"""),1.0)</f>
        <v>1</v>
      </c>
      <c r="BW212" s="3">
        <f>IFERROR(__xludf.DUMMYFUNCTION("""COMPUTED_VALUE"""),2.0)</f>
        <v>2</v>
      </c>
      <c r="BX212" s="3">
        <f>IFERROR(__xludf.DUMMYFUNCTION("""COMPUTED_VALUE"""),2.0)</f>
        <v>2</v>
      </c>
      <c r="BY212" s="3">
        <f>IFERROR(__xludf.DUMMYFUNCTION("""COMPUTED_VALUE"""),3.0)</f>
        <v>3</v>
      </c>
      <c r="BZ212" s="3">
        <f>IFERROR(__xludf.DUMMYFUNCTION("""COMPUTED_VALUE"""),3.0)</f>
        <v>3</v>
      </c>
      <c r="CA212" s="3">
        <f>IFERROR(__xludf.DUMMYFUNCTION("""COMPUTED_VALUE"""),3.0)</f>
        <v>3</v>
      </c>
      <c r="CB212" s="3">
        <f>IFERROR(__xludf.DUMMYFUNCTION("""COMPUTED_VALUE"""),3.0)</f>
        <v>3</v>
      </c>
    </row>
    <row r="213">
      <c r="A213" s="3" t="str">
        <f>IFERROR(__xludf.DUMMYFUNCTION("""COMPUTED_VALUE"""),"")</f>
        <v/>
      </c>
      <c r="B213" s="3" t="str">
        <f>IFERROR(__xludf.DUMMYFUNCTION("""COMPUTED_VALUE"""),"Trinidad and Tobago")</f>
        <v>Trinidad and Tobago</v>
      </c>
      <c r="C213" s="3">
        <f>IFERROR(__xludf.DUMMYFUNCTION("""COMPUTED_VALUE"""),10.6918)</f>
        <v>10.6918</v>
      </c>
      <c r="D213" s="3">
        <f>IFERROR(__xludf.DUMMYFUNCTION("""COMPUTED_VALUE"""),-61.2225)</f>
        <v>-61.2225</v>
      </c>
      <c r="E213" s="3">
        <f>IFERROR(__xludf.DUMMYFUNCTION("""COMPUTED_VALUE"""),0.0)</f>
        <v>0</v>
      </c>
      <c r="F213" s="3">
        <f>IFERROR(__xludf.DUMMYFUNCTION("""COMPUTED_VALUE"""),0.0)</f>
        <v>0</v>
      </c>
      <c r="G213" s="3">
        <f>IFERROR(__xludf.DUMMYFUNCTION("""COMPUTED_VALUE"""),0.0)</f>
        <v>0</v>
      </c>
      <c r="H213" s="3">
        <f>IFERROR(__xludf.DUMMYFUNCTION("""COMPUTED_VALUE"""),0.0)</f>
        <v>0</v>
      </c>
      <c r="I213" s="3">
        <f>IFERROR(__xludf.DUMMYFUNCTION("""COMPUTED_VALUE"""),0.0)</f>
        <v>0</v>
      </c>
      <c r="J213" s="3">
        <f>IFERROR(__xludf.DUMMYFUNCTION("""COMPUTED_VALUE"""),0.0)</f>
        <v>0</v>
      </c>
      <c r="K213" s="3">
        <f>IFERROR(__xludf.DUMMYFUNCTION("""COMPUTED_VALUE"""),0.0)</f>
        <v>0</v>
      </c>
      <c r="L213" s="3">
        <f>IFERROR(__xludf.DUMMYFUNCTION("""COMPUTED_VALUE"""),0.0)</f>
        <v>0</v>
      </c>
      <c r="M213" s="3">
        <f>IFERROR(__xludf.DUMMYFUNCTION("""COMPUTED_VALUE"""),0.0)</f>
        <v>0</v>
      </c>
      <c r="N213" s="3">
        <f>IFERROR(__xludf.DUMMYFUNCTION("""COMPUTED_VALUE"""),0.0)</f>
        <v>0</v>
      </c>
      <c r="O213" s="3">
        <f>IFERROR(__xludf.DUMMYFUNCTION("""COMPUTED_VALUE"""),0.0)</f>
        <v>0</v>
      </c>
      <c r="P213" s="3">
        <f>IFERROR(__xludf.DUMMYFUNCTION("""COMPUTED_VALUE"""),0.0)</f>
        <v>0</v>
      </c>
      <c r="Q213" s="3">
        <f>IFERROR(__xludf.DUMMYFUNCTION("""COMPUTED_VALUE"""),0.0)</f>
        <v>0</v>
      </c>
      <c r="R213" s="3">
        <f>IFERROR(__xludf.DUMMYFUNCTION("""COMPUTED_VALUE"""),0.0)</f>
        <v>0</v>
      </c>
      <c r="S213" s="3">
        <f>IFERROR(__xludf.DUMMYFUNCTION("""COMPUTED_VALUE"""),0.0)</f>
        <v>0</v>
      </c>
      <c r="T213" s="3">
        <f>IFERROR(__xludf.DUMMYFUNCTION("""COMPUTED_VALUE"""),0.0)</f>
        <v>0</v>
      </c>
      <c r="U213" s="3">
        <f>IFERROR(__xludf.DUMMYFUNCTION("""COMPUTED_VALUE"""),0.0)</f>
        <v>0</v>
      </c>
      <c r="V213" s="3">
        <f>IFERROR(__xludf.DUMMYFUNCTION("""COMPUTED_VALUE"""),0.0)</f>
        <v>0</v>
      </c>
      <c r="W213" s="3">
        <f>IFERROR(__xludf.DUMMYFUNCTION("""COMPUTED_VALUE"""),0.0)</f>
        <v>0</v>
      </c>
      <c r="X213" s="3">
        <f>IFERROR(__xludf.DUMMYFUNCTION("""COMPUTED_VALUE"""),0.0)</f>
        <v>0</v>
      </c>
      <c r="Y213" s="3">
        <f>IFERROR(__xludf.DUMMYFUNCTION("""COMPUTED_VALUE"""),0.0)</f>
        <v>0</v>
      </c>
      <c r="Z213" s="3">
        <f>IFERROR(__xludf.DUMMYFUNCTION("""COMPUTED_VALUE"""),0.0)</f>
        <v>0</v>
      </c>
      <c r="AA213" s="3">
        <f>IFERROR(__xludf.DUMMYFUNCTION("""COMPUTED_VALUE"""),0.0)</f>
        <v>0</v>
      </c>
      <c r="AB213" s="3">
        <f>IFERROR(__xludf.DUMMYFUNCTION("""COMPUTED_VALUE"""),0.0)</f>
        <v>0</v>
      </c>
      <c r="AC213" s="3">
        <f>IFERROR(__xludf.DUMMYFUNCTION("""COMPUTED_VALUE"""),0.0)</f>
        <v>0</v>
      </c>
      <c r="AD213" s="3">
        <f>IFERROR(__xludf.DUMMYFUNCTION("""COMPUTED_VALUE"""),0.0)</f>
        <v>0</v>
      </c>
      <c r="AE213" s="3">
        <f>IFERROR(__xludf.DUMMYFUNCTION("""COMPUTED_VALUE"""),0.0)</f>
        <v>0</v>
      </c>
      <c r="AF213" s="3">
        <f>IFERROR(__xludf.DUMMYFUNCTION("""COMPUTED_VALUE"""),0.0)</f>
        <v>0</v>
      </c>
      <c r="AG213" s="3">
        <f>IFERROR(__xludf.DUMMYFUNCTION("""COMPUTED_VALUE"""),0.0)</f>
        <v>0</v>
      </c>
      <c r="AH213" s="3">
        <f>IFERROR(__xludf.DUMMYFUNCTION("""COMPUTED_VALUE"""),0.0)</f>
        <v>0</v>
      </c>
      <c r="AI213" s="3">
        <f>IFERROR(__xludf.DUMMYFUNCTION("""COMPUTED_VALUE"""),0.0)</f>
        <v>0</v>
      </c>
      <c r="AJ213" s="3">
        <f>IFERROR(__xludf.DUMMYFUNCTION("""COMPUTED_VALUE"""),0.0)</f>
        <v>0</v>
      </c>
      <c r="AK213" s="3">
        <f>IFERROR(__xludf.DUMMYFUNCTION("""COMPUTED_VALUE"""),0.0)</f>
        <v>0</v>
      </c>
      <c r="AL213" s="3">
        <f>IFERROR(__xludf.DUMMYFUNCTION("""COMPUTED_VALUE"""),0.0)</f>
        <v>0</v>
      </c>
      <c r="AM213" s="3">
        <f>IFERROR(__xludf.DUMMYFUNCTION("""COMPUTED_VALUE"""),0.0)</f>
        <v>0</v>
      </c>
      <c r="AN213" s="3">
        <f>IFERROR(__xludf.DUMMYFUNCTION("""COMPUTED_VALUE"""),0.0)</f>
        <v>0</v>
      </c>
      <c r="AO213" s="3">
        <f>IFERROR(__xludf.DUMMYFUNCTION("""COMPUTED_VALUE"""),0.0)</f>
        <v>0</v>
      </c>
      <c r="AP213" s="3">
        <f>IFERROR(__xludf.DUMMYFUNCTION("""COMPUTED_VALUE"""),0.0)</f>
        <v>0</v>
      </c>
      <c r="AQ213" s="3">
        <f>IFERROR(__xludf.DUMMYFUNCTION("""COMPUTED_VALUE"""),0.0)</f>
        <v>0</v>
      </c>
      <c r="AR213" s="3">
        <f>IFERROR(__xludf.DUMMYFUNCTION("""COMPUTED_VALUE"""),0.0)</f>
        <v>0</v>
      </c>
      <c r="AS213" s="3">
        <f>IFERROR(__xludf.DUMMYFUNCTION("""COMPUTED_VALUE"""),0.0)</f>
        <v>0</v>
      </c>
      <c r="AT213" s="3">
        <f>IFERROR(__xludf.DUMMYFUNCTION("""COMPUTED_VALUE"""),0.0)</f>
        <v>0</v>
      </c>
      <c r="AU213" s="3">
        <f>IFERROR(__xludf.DUMMYFUNCTION("""COMPUTED_VALUE"""),0.0)</f>
        <v>0</v>
      </c>
      <c r="AV213" s="3">
        <f>IFERROR(__xludf.DUMMYFUNCTION("""COMPUTED_VALUE"""),0.0)</f>
        <v>0</v>
      </c>
      <c r="AW213" s="3">
        <f>IFERROR(__xludf.DUMMYFUNCTION("""COMPUTED_VALUE"""),0.0)</f>
        <v>0</v>
      </c>
      <c r="AX213" s="3">
        <f>IFERROR(__xludf.DUMMYFUNCTION("""COMPUTED_VALUE"""),0.0)</f>
        <v>0</v>
      </c>
      <c r="AY213" s="3">
        <f>IFERROR(__xludf.DUMMYFUNCTION("""COMPUTED_VALUE"""),0.0)</f>
        <v>0</v>
      </c>
      <c r="AZ213" s="3">
        <f>IFERROR(__xludf.DUMMYFUNCTION("""COMPUTED_VALUE"""),0.0)</f>
        <v>0</v>
      </c>
      <c r="BA213" s="3">
        <f>IFERROR(__xludf.DUMMYFUNCTION("""COMPUTED_VALUE"""),0.0)</f>
        <v>0</v>
      </c>
      <c r="BB213" s="3">
        <f>IFERROR(__xludf.DUMMYFUNCTION("""COMPUTED_VALUE"""),0.0)</f>
        <v>0</v>
      </c>
      <c r="BC213" s="3">
        <f>IFERROR(__xludf.DUMMYFUNCTION("""COMPUTED_VALUE"""),0.0)</f>
        <v>0</v>
      </c>
      <c r="BD213" s="3">
        <f>IFERROR(__xludf.DUMMYFUNCTION("""COMPUTED_VALUE"""),0.0)</f>
        <v>0</v>
      </c>
      <c r="BE213" s="3">
        <f>IFERROR(__xludf.DUMMYFUNCTION("""COMPUTED_VALUE"""),0.0)</f>
        <v>0</v>
      </c>
      <c r="BF213" s="3">
        <f>IFERROR(__xludf.DUMMYFUNCTION("""COMPUTED_VALUE"""),0.0)</f>
        <v>0</v>
      </c>
      <c r="BG213" s="3">
        <f>IFERROR(__xludf.DUMMYFUNCTION("""COMPUTED_VALUE"""),0.0)</f>
        <v>0</v>
      </c>
      <c r="BH213" s="3">
        <f>IFERROR(__xludf.DUMMYFUNCTION("""COMPUTED_VALUE"""),0.0)</f>
        <v>0</v>
      </c>
      <c r="BI213" s="3">
        <f>IFERROR(__xludf.DUMMYFUNCTION("""COMPUTED_VALUE"""),0.0)</f>
        <v>0</v>
      </c>
      <c r="BJ213" s="3">
        <f>IFERROR(__xludf.DUMMYFUNCTION("""COMPUTED_VALUE"""),0.0)</f>
        <v>0</v>
      </c>
      <c r="BK213" s="3">
        <f>IFERROR(__xludf.DUMMYFUNCTION("""COMPUTED_VALUE"""),0.0)</f>
        <v>0</v>
      </c>
      <c r="BL213" s="3">
        <f>IFERROR(__xludf.DUMMYFUNCTION("""COMPUTED_VALUE"""),0.0)</f>
        <v>0</v>
      </c>
      <c r="BM213" s="3">
        <f>IFERROR(__xludf.DUMMYFUNCTION("""COMPUTED_VALUE"""),0.0)</f>
        <v>0</v>
      </c>
      <c r="BN213" s="3">
        <f>IFERROR(__xludf.DUMMYFUNCTION("""COMPUTED_VALUE"""),0.0)</f>
        <v>0</v>
      </c>
      <c r="BO213" s="3">
        <f>IFERROR(__xludf.DUMMYFUNCTION("""COMPUTED_VALUE"""),0.0)</f>
        <v>0</v>
      </c>
      <c r="BP213" s="3">
        <f>IFERROR(__xludf.DUMMYFUNCTION("""COMPUTED_VALUE"""),1.0)</f>
        <v>1</v>
      </c>
      <c r="BQ213" s="3">
        <f>IFERROR(__xludf.DUMMYFUNCTION("""COMPUTED_VALUE"""),1.0)</f>
        <v>1</v>
      </c>
      <c r="BR213" s="3">
        <f>IFERROR(__xludf.DUMMYFUNCTION("""COMPUTED_VALUE"""),2.0)</f>
        <v>2</v>
      </c>
      <c r="BS213" s="3">
        <f>IFERROR(__xludf.DUMMYFUNCTION("""COMPUTED_VALUE"""),3.0)</f>
        <v>3</v>
      </c>
      <c r="BT213" s="3">
        <f>IFERROR(__xludf.DUMMYFUNCTION("""COMPUTED_VALUE"""),3.0)</f>
        <v>3</v>
      </c>
      <c r="BU213" s="3">
        <f>IFERROR(__xludf.DUMMYFUNCTION("""COMPUTED_VALUE"""),3.0)</f>
        <v>3</v>
      </c>
      <c r="BV213" s="3">
        <f>IFERROR(__xludf.DUMMYFUNCTION("""COMPUTED_VALUE"""),3.0)</f>
        <v>3</v>
      </c>
      <c r="BW213" s="3">
        <f>IFERROR(__xludf.DUMMYFUNCTION("""COMPUTED_VALUE"""),5.0)</f>
        <v>5</v>
      </c>
      <c r="BX213" s="3">
        <f>IFERROR(__xludf.DUMMYFUNCTION("""COMPUTED_VALUE"""),5.0)</f>
        <v>5</v>
      </c>
      <c r="BY213" s="3">
        <f>IFERROR(__xludf.DUMMYFUNCTION("""COMPUTED_VALUE"""),6.0)</f>
        <v>6</v>
      </c>
      <c r="BZ213" s="3">
        <f>IFERROR(__xludf.DUMMYFUNCTION("""COMPUTED_VALUE"""),6.0)</f>
        <v>6</v>
      </c>
      <c r="CA213" s="3">
        <f>IFERROR(__xludf.DUMMYFUNCTION("""COMPUTED_VALUE"""),7.0)</f>
        <v>7</v>
      </c>
      <c r="CB213" s="3">
        <f>IFERROR(__xludf.DUMMYFUNCTION("""COMPUTED_VALUE"""),8.0)</f>
        <v>8</v>
      </c>
    </row>
    <row r="214">
      <c r="A214" s="3" t="str">
        <f>IFERROR(__xludf.DUMMYFUNCTION("""COMPUTED_VALUE"""),"")</f>
        <v/>
      </c>
      <c r="B214" s="3" t="str">
        <f>IFERROR(__xludf.DUMMYFUNCTION("""COMPUTED_VALUE"""),"Tunisia")</f>
        <v>Tunisia</v>
      </c>
      <c r="C214" s="3">
        <f>IFERROR(__xludf.DUMMYFUNCTION("""COMPUTED_VALUE"""),34.0)</f>
        <v>34</v>
      </c>
      <c r="D214" s="3">
        <f>IFERROR(__xludf.DUMMYFUNCTION("""COMPUTED_VALUE"""),9.0)</f>
        <v>9</v>
      </c>
      <c r="E214" s="3">
        <f>IFERROR(__xludf.DUMMYFUNCTION("""COMPUTED_VALUE"""),0.0)</f>
        <v>0</v>
      </c>
      <c r="F214" s="3">
        <f>IFERROR(__xludf.DUMMYFUNCTION("""COMPUTED_VALUE"""),0.0)</f>
        <v>0</v>
      </c>
      <c r="G214" s="3">
        <f>IFERROR(__xludf.DUMMYFUNCTION("""COMPUTED_VALUE"""),0.0)</f>
        <v>0</v>
      </c>
      <c r="H214" s="3">
        <f>IFERROR(__xludf.DUMMYFUNCTION("""COMPUTED_VALUE"""),0.0)</f>
        <v>0</v>
      </c>
      <c r="I214" s="3">
        <f>IFERROR(__xludf.DUMMYFUNCTION("""COMPUTED_VALUE"""),0.0)</f>
        <v>0</v>
      </c>
      <c r="J214" s="3">
        <f>IFERROR(__xludf.DUMMYFUNCTION("""COMPUTED_VALUE"""),0.0)</f>
        <v>0</v>
      </c>
      <c r="K214" s="3">
        <f>IFERROR(__xludf.DUMMYFUNCTION("""COMPUTED_VALUE"""),0.0)</f>
        <v>0</v>
      </c>
      <c r="L214" s="3">
        <f>IFERROR(__xludf.DUMMYFUNCTION("""COMPUTED_VALUE"""),0.0)</f>
        <v>0</v>
      </c>
      <c r="M214" s="3">
        <f>IFERROR(__xludf.DUMMYFUNCTION("""COMPUTED_VALUE"""),0.0)</f>
        <v>0</v>
      </c>
      <c r="N214" s="3">
        <f>IFERROR(__xludf.DUMMYFUNCTION("""COMPUTED_VALUE"""),0.0)</f>
        <v>0</v>
      </c>
      <c r="O214" s="3">
        <f>IFERROR(__xludf.DUMMYFUNCTION("""COMPUTED_VALUE"""),0.0)</f>
        <v>0</v>
      </c>
      <c r="P214" s="3">
        <f>IFERROR(__xludf.DUMMYFUNCTION("""COMPUTED_VALUE"""),0.0)</f>
        <v>0</v>
      </c>
      <c r="Q214" s="3">
        <f>IFERROR(__xludf.DUMMYFUNCTION("""COMPUTED_VALUE"""),0.0)</f>
        <v>0</v>
      </c>
      <c r="R214" s="3">
        <f>IFERROR(__xludf.DUMMYFUNCTION("""COMPUTED_VALUE"""),0.0)</f>
        <v>0</v>
      </c>
      <c r="S214" s="3">
        <f>IFERROR(__xludf.DUMMYFUNCTION("""COMPUTED_VALUE"""),0.0)</f>
        <v>0</v>
      </c>
      <c r="T214" s="3">
        <f>IFERROR(__xludf.DUMMYFUNCTION("""COMPUTED_VALUE"""),0.0)</f>
        <v>0</v>
      </c>
      <c r="U214" s="3">
        <f>IFERROR(__xludf.DUMMYFUNCTION("""COMPUTED_VALUE"""),0.0)</f>
        <v>0</v>
      </c>
      <c r="V214" s="3">
        <f>IFERROR(__xludf.DUMMYFUNCTION("""COMPUTED_VALUE"""),0.0)</f>
        <v>0</v>
      </c>
      <c r="W214" s="3">
        <f>IFERROR(__xludf.DUMMYFUNCTION("""COMPUTED_VALUE"""),0.0)</f>
        <v>0</v>
      </c>
      <c r="X214" s="3">
        <f>IFERROR(__xludf.DUMMYFUNCTION("""COMPUTED_VALUE"""),0.0)</f>
        <v>0</v>
      </c>
      <c r="Y214" s="3">
        <f>IFERROR(__xludf.DUMMYFUNCTION("""COMPUTED_VALUE"""),0.0)</f>
        <v>0</v>
      </c>
      <c r="Z214" s="3">
        <f>IFERROR(__xludf.DUMMYFUNCTION("""COMPUTED_VALUE"""),0.0)</f>
        <v>0</v>
      </c>
      <c r="AA214" s="3">
        <f>IFERROR(__xludf.DUMMYFUNCTION("""COMPUTED_VALUE"""),0.0)</f>
        <v>0</v>
      </c>
      <c r="AB214" s="3">
        <f>IFERROR(__xludf.DUMMYFUNCTION("""COMPUTED_VALUE"""),0.0)</f>
        <v>0</v>
      </c>
      <c r="AC214" s="3">
        <f>IFERROR(__xludf.DUMMYFUNCTION("""COMPUTED_VALUE"""),0.0)</f>
        <v>0</v>
      </c>
      <c r="AD214" s="3">
        <f>IFERROR(__xludf.DUMMYFUNCTION("""COMPUTED_VALUE"""),0.0)</f>
        <v>0</v>
      </c>
      <c r="AE214" s="3">
        <f>IFERROR(__xludf.DUMMYFUNCTION("""COMPUTED_VALUE"""),0.0)</f>
        <v>0</v>
      </c>
      <c r="AF214" s="3">
        <f>IFERROR(__xludf.DUMMYFUNCTION("""COMPUTED_VALUE"""),0.0)</f>
        <v>0</v>
      </c>
      <c r="AG214" s="3">
        <f>IFERROR(__xludf.DUMMYFUNCTION("""COMPUTED_VALUE"""),0.0)</f>
        <v>0</v>
      </c>
      <c r="AH214" s="3">
        <f>IFERROR(__xludf.DUMMYFUNCTION("""COMPUTED_VALUE"""),0.0)</f>
        <v>0</v>
      </c>
      <c r="AI214" s="3">
        <f>IFERROR(__xludf.DUMMYFUNCTION("""COMPUTED_VALUE"""),0.0)</f>
        <v>0</v>
      </c>
      <c r="AJ214" s="3">
        <f>IFERROR(__xludf.DUMMYFUNCTION("""COMPUTED_VALUE"""),0.0)</f>
        <v>0</v>
      </c>
      <c r="AK214" s="3">
        <f>IFERROR(__xludf.DUMMYFUNCTION("""COMPUTED_VALUE"""),0.0)</f>
        <v>0</v>
      </c>
      <c r="AL214" s="3">
        <f>IFERROR(__xludf.DUMMYFUNCTION("""COMPUTED_VALUE"""),0.0)</f>
        <v>0</v>
      </c>
      <c r="AM214" s="3">
        <f>IFERROR(__xludf.DUMMYFUNCTION("""COMPUTED_VALUE"""),0.0)</f>
        <v>0</v>
      </c>
      <c r="AN214" s="3">
        <f>IFERROR(__xludf.DUMMYFUNCTION("""COMPUTED_VALUE"""),0.0)</f>
        <v>0</v>
      </c>
      <c r="AO214" s="3">
        <f>IFERROR(__xludf.DUMMYFUNCTION("""COMPUTED_VALUE"""),0.0)</f>
        <v>0</v>
      </c>
      <c r="AP214" s="3">
        <f>IFERROR(__xludf.DUMMYFUNCTION("""COMPUTED_VALUE"""),0.0)</f>
        <v>0</v>
      </c>
      <c r="AQ214" s="3">
        <f>IFERROR(__xludf.DUMMYFUNCTION("""COMPUTED_VALUE"""),0.0)</f>
        <v>0</v>
      </c>
      <c r="AR214" s="3">
        <f>IFERROR(__xludf.DUMMYFUNCTION("""COMPUTED_VALUE"""),0.0)</f>
        <v>0</v>
      </c>
      <c r="AS214" s="3">
        <f>IFERROR(__xludf.DUMMYFUNCTION("""COMPUTED_VALUE"""),0.0)</f>
        <v>0</v>
      </c>
      <c r="AT214" s="3">
        <f>IFERROR(__xludf.DUMMYFUNCTION("""COMPUTED_VALUE"""),0.0)</f>
        <v>0</v>
      </c>
      <c r="AU214" s="3">
        <f>IFERROR(__xludf.DUMMYFUNCTION("""COMPUTED_VALUE"""),0.0)</f>
        <v>0</v>
      </c>
      <c r="AV214" s="3">
        <f>IFERROR(__xludf.DUMMYFUNCTION("""COMPUTED_VALUE"""),0.0)</f>
        <v>0</v>
      </c>
      <c r="AW214" s="3">
        <f>IFERROR(__xludf.DUMMYFUNCTION("""COMPUTED_VALUE"""),0.0)</f>
        <v>0</v>
      </c>
      <c r="AX214" s="3">
        <f>IFERROR(__xludf.DUMMYFUNCTION("""COMPUTED_VALUE"""),0.0)</f>
        <v>0</v>
      </c>
      <c r="AY214" s="3">
        <f>IFERROR(__xludf.DUMMYFUNCTION("""COMPUTED_VALUE"""),0.0)</f>
        <v>0</v>
      </c>
      <c r="AZ214" s="3">
        <f>IFERROR(__xludf.DUMMYFUNCTION("""COMPUTED_VALUE"""),0.0)</f>
        <v>0</v>
      </c>
      <c r="BA214" s="3">
        <f>IFERROR(__xludf.DUMMYFUNCTION("""COMPUTED_VALUE"""),0.0)</f>
        <v>0</v>
      </c>
      <c r="BB214" s="3">
        <f>IFERROR(__xludf.DUMMYFUNCTION("""COMPUTED_VALUE"""),0.0)</f>
        <v>0</v>
      </c>
      <c r="BC214" s="3">
        <f>IFERROR(__xludf.DUMMYFUNCTION("""COMPUTED_VALUE"""),0.0)</f>
        <v>0</v>
      </c>
      <c r="BD214" s="3">
        <f>IFERROR(__xludf.DUMMYFUNCTION("""COMPUTED_VALUE"""),0.0)</f>
        <v>0</v>
      </c>
      <c r="BE214" s="3">
        <f>IFERROR(__xludf.DUMMYFUNCTION("""COMPUTED_VALUE"""),0.0)</f>
        <v>0</v>
      </c>
      <c r="BF214" s="3">
        <f>IFERROR(__xludf.DUMMYFUNCTION("""COMPUTED_VALUE"""),0.0)</f>
        <v>0</v>
      </c>
      <c r="BG214" s="3">
        <f>IFERROR(__xludf.DUMMYFUNCTION("""COMPUTED_VALUE"""),0.0)</f>
        <v>0</v>
      </c>
      <c r="BH214" s="3">
        <f>IFERROR(__xludf.DUMMYFUNCTION("""COMPUTED_VALUE"""),0.0)</f>
        <v>0</v>
      </c>
      <c r="BI214" s="3">
        <f>IFERROR(__xludf.DUMMYFUNCTION("""COMPUTED_VALUE"""),0.0)</f>
        <v>0</v>
      </c>
      <c r="BJ214" s="3">
        <f>IFERROR(__xludf.DUMMYFUNCTION("""COMPUTED_VALUE"""),1.0)</f>
        <v>1</v>
      </c>
      <c r="BK214" s="3">
        <f>IFERROR(__xludf.DUMMYFUNCTION("""COMPUTED_VALUE"""),1.0)</f>
        <v>1</v>
      </c>
      <c r="BL214" s="3">
        <f>IFERROR(__xludf.DUMMYFUNCTION("""COMPUTED_VALUE"""),1.0)</f>
        <v>1</v>
      </c>
      <c r="BM214" s="3">
        <f>IFERROR(__xludf.DUMMYFUNCTION("""COMPUTED_VALUE"""),3.0)</f>
        <v>3</v>
      </c>
      <c r="BN214" s="3">
        <f>IFERROR(__xludf.DUMMYFUNCTION("""COMPUTED_VALUE"""),3.0)</f>
        <v>3</v>
      </c>
      <c r="BO214" s="3">
        <f>IFERROR(__xludf.DUMMYFUNCTION("""COMPUTED_VALUE"""),4.0)</f>
        <v>4</v>
      </c>
      <c r="BP214" s="3">
        <f>IFERROR(__xludf.DUMMYFUNCTION("""COMPUTED_VALUE"""),5.0)</f>
        <v>5</v>
      </c>
      <c r="BQ214" s="3">
        <f>IFERROR(__xludf.DUMMYFUNCTION("""COMPUTED_VALUE"""),6.0)</f>
        <v>6</v>
      </c>
      <c r="BR214" s="3">
        <f>IFERROR(__xludf.DUMMYFUNCTION("""COMPUTED_VALUE"""),6.0)</f>
        <v>6</v>
      </c>
      <c r="BS214" s="3">
        <f>IFERROR(__xludf.DUMMYFUNCTION("""COMPUTED_VALUE"""),8.0)</f>
        <v>8</v>
      </c>
      <c r="BT214" s="3">
        <f>IFERROR(__xludf.DUMMYFUNCTION("""COMPUTED_VALUE"""),8.0)</f>
        <v>8</v>
      </c>
      <c r="BU214" s="3">
        <f>IFERROR(__xludf.DUMMYFUNCTION("""COMPUTED_VALUE"""),8.0)</f>
        <v>8</v>
      </c>
      <c r="BV214" s="3">
        <f>IFERROR(__xludf.DUMMYFUNCTION("""COMPUTED_VALUE"""),10.0)</f>
        <v>10</v>
      </c>
      <c r="BW214" s="3">
        <f>IFERROR(__xludf.DUMMYFUNCTION("""COMPUTED_VALUE"""),12.0)</f>
        <v>12</v>
      </c>
      <c r="BX214" s="3">
        <f>IFERROR(__xludf.DUMMYFUNCTION("""COMPUTED_VALUE"""),14.0)</f>
        <v>14</v>
      </c>
      <c r="BY214" s="3">
        <f>IFERROR(__xludf.DUMMYFUNCTION("""COMPUTED_VALUE"""),18.0)</f>
        <v>18</v>
      </c>
      <c r="BZ214" s="3">
        <f>IFERROR(__xludf.DUMMYFUNCTION("""COMPUTED_VALUE"""),18.0)</f>
        <v>18</v>
      </c>
      <c r="CA214" s="3">
        <f>IFERROR(__xludf.DUMMYFUNCTION("""COMPUTED_VALUE"""),22.0)</f>
        <v>22</v>
      </c>
      <c r="CB214" s="3">
        <f>IFERROR(__xludf.DUMMYFUNCTION("""COMPUTED_VALUE"""),22.0)</f>
        <v>22</v>
      </c>
    </row>
    <row r="215">
      <c r="A215" s="3" t="str">
        <f>IFERROR(__xludf.DUMMYFUNCTION("""COMPUTED_VALUE"""),"")</f>
        <v/>
      </c>
      <c r="B215" s="3" t="str">
        <f>IFERROR(__xludf.DUMMYFUNCTION("""COMPUTED_VALUE"""),"Turkey")</f>
        <v>Turkey</v>
      </c>
      <c r="C215" s="3">
        <f>IFERROR(__xludf.DUMMYFUNCTION("""COMPUTED_VALUE"""),38.9637)</f>
        <v>38.9637</v>
      </c>
      <c r="D215" s="3">
        <f>IFERROR(__xludf.DUMMYFUNCTION("""COMPUTED_VALUE"""),35.2433)</f>
        <v>35.2433</v>
      </c>
      <c r="E215" s="3">
        <f>IFERROR(__xludf.DUMMYFUNCTION("""COMPUTED_VALUE"""),0.0)</f>
        <v>0</v>
      </c>
      <c r="F215" s="3">
        <f>IFERROR(__xludf.DUMMYFUNCTION("""COMPUTED_VALUE"""),0.0)</f>
        <v>0</v>
      </c>
      <c r="G215" s="3">
        <f>IFERROR(__xludf.DUMMYFUNCTION("""COMPUTED_VALUE"""),0.0)</f>
        <v>0</v>
      </c>
      <c r="H215" s="3">
        <f>IFERROR(__xludf.DUMMYFUNCTION("""COMPUTED_VALUE"""),0.0)</f>
        <v>0</v>
      </c>
      <c r="I215" s="3">
        <f>IFERROR(__xludf.DUMMYFUNCTION("""COMPUTED_VALUE"""),0.0)</f>
        <v>0</v>
      </c>
      <c r="J215" s="3">
        <f>IFERROR(__xludf.DUMMYFUNCTION("""COMPUTED_VALUE"""),0.0)</f>
        <v>0</v>
      </c>
      <c r="K215" s="3">
        <f>IFERROR(__xludf.DUMMYFUNCTION("""COMPUTED_VALUE"""),0.0)</f>
        <v>0</v>
      </c>
      <c r="L215" s="3">
        <f>IFERROR(__xludf.DUMMYFUNCTION("""COMPUTED_VALUE"""),0.0)</f>
        <v>0</v>
      </c>
      <c r="M215" s="3">
        <f>IFERROR(__xludf.DUMMYFUNCTION("""COMPUTED_VALUE"""),0.0)</f>
        <v>0</v>
      </c>
      <c r="N215" s="3">
        <f>IFERROR(__xludf.DUMMYFUNCTION("""COMPUTED_VALUE"""),0.0)</f>
        <v>0</v>
      </c>
      <c r="O215" s="3">
        <f>IFERROR(__xludf.DUMMYFUNCTION("""COMPUTED_VALUE"""),0.0)</f>
        <v>0</v>
      </c>
      <c r="P215" s="3">
        <f>IFERROR(__xludf.DUMMYFUNCTION("""COMPUTED_VALUE"""),0.0)</f>
        <v>0</v>
      </c>
      <c r="Q215" s="3">
        <f>IFERROR(__xludf.DUMMYFUNCTION("""COMPUTED_VALUE"""),0.0)</f>
        <v>0</v>
      </c>
      <c r="R215" s="3">
        <f>IFERROR(__xludf.DUMMYFUNCTION("""COMPUTED_VALUE"""),0.0)</f>
        <v>0</v>
      </c>
      <c r="S215" s="3">
        <f>IFERROR(__xludf.DUMMYFUNCTION("""COMPUTED_VALUE"""),0.0)</f>
        <v>0</v>
      </c>
      <c r="T215" s="3">
        <f>IFERROR(__xludf.DUMMYFUNCTION("""COMPUTED_VALUE"""),0.0)</f>
        <v>0</v>
      </c>
      <c r="U215" s="3">
        <f>IFERROR(__xludf.DUMMYFUNCTION("""COMPUTED_VALUE"""),0.0)</f>
        <v>0</v>
      </c>
      <c r="V215" s="3">
        <f>IFERROR(__xludf.DUMMYFUNCTION("""COMPUTED_VALUE"""),0.0)</f>
        <v>0</v>
      </c>
      <c r="W215" s="3">
        <f>IFERROR(__xludf.DUMMYFUNCTION("""COMPUTED_VALUE"""),0.0)</f>
        <v>0</v>
      </c>
      <c r="X215" s="3">
        <f>IFERROR(__xludf.DUMMYFUNCTION("""COMPUTED_VALUE"""),0.0)</f>
        <v>0</v>
      </c>
      <c r="Y215" s="3">
        <f>IFERROR(__xludf.DUMMYFUNCTION("""COMPUTED_VALUE"""),0.0)</f>
        <v>0</v>
      </c>
      <c r="Z215" s="3">
        <f>IFERROR(__xludf.DUMMYFUNCTION("""COMPUTED_VALUE"""),0.0)</f>
        <v>0</v>
      </c>
      <c r="AA215" s="3">
        <f>IFERROR(__xludf.DUMMYFUNCTION("""COMPUTED_VALUE"""),0.0)</f>
        <v>0</v>
      </c>
      <c r="AB215" s="3">
        <f>IFERROR(__xludf.DUMMYFUNCTION("""COMPUTED_VALUE"""),0.0)</f>
        <v>0</v>
      </c>
      <c r="AC215" s="3">
        <f>IFERROR(__xludf.DUMMYFUNCTION("""COMPUTED_VALUE"""),0.0)</f>
        <v>0</v>
      </c>
      <c r="AD215" s="3">
        <f>IFERROR(__xludf.DUMMYFUNCTION("""COMPUTED_VALUE"""),0.0)</f>
        <v>0</v>
      </c>
      <c r="AE215" s="3">
        <f>IFERROR(__xludf.DUMMYFUNCTION("""COMPUTED_VALUE"""),0.0)</f>
        <v>0</v>
      </c>
      <c r="AF215" s="3">
        <f>IFERROR(__xludf.DUMMYFUNCTION("""COMPUTED_VALUE"""),0.0)</f>
        <v>0</v>
      </c>
      <c r="AG215" s="3">
        <f>IFERROR(__xludf.DUMMYFUNCTION("""COMPUTED_VALUE"""),0.0)</f>
        <v>0</v>
      </c>
      <c r="AH215" s="3">
        <f>IFERROR(__xludf.DUMMYFUNCTION("""COMPUTED_VALUE"""),0.0)</f>
        <v>0</v>
      </c>
      <c r="AI215" s="3">
        <f>IFERROR(__xludf.DUMMYFUNCTION("""COMPUTED_VALUE"""),0.0)</f>
        <v>0</v>
      </c>
      <c r="AJ215" s="3">
        <f>IFERROR(__xludf.DUMMYFUNCTION("""COMPUTED_VALUE"""),0.0)</f>
        <v>0</v>
      </c>
      <c r="AK215" s="3">
        <f>IFERROR(__xludf.DUMMYFUNCTION("""COMPUTED_VALUE"""),0.0)</f>
        <v>0</v>
      </c>
      <c r="AL215" s="3">
        <f>IFERROR(__xludf.DUMMYFUNCTION("""COMPUTED_VALUE"""),0.0)</f>
        <v>0</v>
      </c>
      <c r="AM215" s="3">
        <f>IFERROR(__xludf.DUMMYFUNCTION("""COMPUTED_VALUE"""),0.0)</f>
        <v>0</v>
      </c>
      <c r="AN215" s="3">
        <f>IFERROR(__xludf.DUMMYFUNCTION("""COMPUTED_VALUE"""),0.0)</f>
        <v>0</v>
      </c>
      <c r="AO215" s="3">
        <f>IFERROR(__xludf.DUMMYFUNCTION("""COMPUTED_VALUE"""),0.0)</f>
        <v>0</v>
      </c>
      <c r="AP215" s="3">
        <f>IFERROR(__xludf.DUMMYFUNCTION("""COMPUTED_VALUE"""),0.0)</f>
        <v>0</v>
      </c>
      <c r="AQ215" s="3">
        <f>IFERROR(__xludf.DUMMYFUNCTION("""COMPUTED_VALUE"""),0.0)</f>
        <v>0</v>
      </c>
      <c r="AR215" s="3">
        <f>IFERROR(__xludf.DUMMYFUNCTION("""COMPUTED_VALUE"""),0.0)</f>
        <v>0</v>
      </c>
      <c r="AS215" s="3">
        <f>IFERROR(__xludf.DUMMYFUNCTION("""COMPUTED_VALUE"""),0.0)</f>
        <v>0</v>
      </c>
      <c r="AT215" s="3">
        <f>IFERROR(__xludf.DUMMYFUNCTION("""COMPUTED_VALUE"""),0.0)</f>
        <v>0</v>
      </c>
      <c r="AU215" s="3">
        <f>IFERROR(__xludf.DUMMYFUNCTION("""COMPUTED_VALUE"""),0.0)</f>
        <v>0</v>
      </c>
      <c r="AV215" s="3">
        <f>IFERROR(__xludf.DUMMYFUNCTION("""COMPUTED_VALUE"""),0.0)</f>
        <v>0</v>
      </c>
      <c r="AW215" s="3">
        <f>IFERROR(__xludf.DUMMYFUNCTION("""COMPUTED_VALUE"""),0.0)</f>
        <v>0</v>
      </c>
      <c r="AX215" s="3">
        <f>IFERROR(__xludf.DUMMYFUNCTION("""COMPUTED_VALUE"""),0.0)</f>
        <v>0</v>
      </c>
      <c r="AY215" s="3">
        <f>IFERROR(__xludf.DUMMYFUNCTION("""COMPUTED_VALUE"""),0.0)</f>
        <v>0</v>
      </c>
      <c r="AZ215" s="3">
        <f>IFERROR(__xludf.DUMMYFUNCTION("""COMPUTED_VALUE"""),0.0)</f>
        <v>0</v>
      </c>
      <c r="BA215" s="3">
        <f>IFERROR(__xludf.DUMMYFUNCTION("""COMPUTED_VALUE"""),0.0)</f>
        <v>0</v>
      </c>
      <c r="BB215" s="3">
        <f>IFERROR(__xludf.DUMMYFUNCTION("""COMPUTED_VALUE"""),0.0)</f>
        <v>0</v>
      </c>
      <c r="BC215" s="3">
        <f>IFERROR(__xludf.DUMMYFUNCTION("""COMPUTED_VALUE"""),0.0)</f>
        <v>0</v>
      </c>
      <c r="BD215" s="3">
        <f>IFERROR(__xludf.DUMMYFUNCTION("""COMPUTED_VALUE"""),0.0)</f>
        <v>0</v>
      </c>
      <c r="BE215" s="3">
        <f>IFERROR(__xludf.DUMMYFUNCTION("""COMPUTED_VALUE"""),0.0)</f>
        <v>0</v>
      </c>
      <c r="BF215" s="3">
        <f>IFERROR(__xludf.DUMMYFUNCTION("""COMPUTED_VALUE"""),0.0)</f>
        <v>0</v>
      </c>
      <c r="BG215" s="3">
        <f>IFERROR(__xludf.DUMMYFUNCTION("""COMPUTED_VALUE"""),0.0)</f>
        <v>0</v>
      </c>
      <c r="BH215" s="3">
        <f>IFERROR(__xludf.DUMMYFUNCTION("""COMPUTED_VALUE"""),1.0)</f>
        <v>1</v>
      </c>
      <c r="BI215" s="3">
        <f>IFERROR(__xludf.DUMMYFUNCTION("""COMPUTED_VALUE"""),1.0)</f>
        <v>1</v>
      </c>
      <c r="BJ215" s="3">
        <f>IFERROR(__xludf.DUMMYFUNCTION("""COMPUTED_VALUE"""),3.0)</f>
        <v>3</v>
      </c>
      <c r="BK215" s="3">
        <f>IFERROR(__xludf.DUMMYFUNCTION("""COMPUTED_VALUE"""),4.0)</f>
        <v>4</v>
      </c>
      <c r="BL215" s="3">
        <f>IFERROR(__xludf.DUMMYFUNCTION("""COMPUTED_VALUE"""),9.0)</f>
        <v>9</v>
      </c>
      <c r="BM215" s="3">
        <f>IFERROR(__xludf.DUMMYFUNCTION("""COMPUTED_VALUE"""),30.0)</f>
        <v>30</v>
      </c>
      <c r="BN215" s="3">
        <f>IFERROR(__xludf.DUMMYFUNCTION("""COMPUTED_VALUE"""),37.0)</f>
        <v>37</v>
      </c>
      <c r="BO215" s="3">
        <f>IFERROR(__xludf.DUMMYFUNCTION("""COMPUTED_VALUE"""),44.0)</f>
        <v>44</v>
      </c>
      <c r="BP215" s="3">
        <f>IFERROR(__xludf.DUMMYFUNCTION("""COMPUTED_VALUE"""),59.0)</f>
        <v>59</v>
      </c>
      <c r="BQ215" s="3">
        <f>IFERROR(__xludf.DUMMYFUNCTION("""COMPUTED_VALUE"""),75.0)</f>
        <v>75</v>
      </c>
      <c r="BR215" s="3">
        <f>IFERROR(__xludf.DUMMYFUNCTION("""COMPUTED_VALUE"""),92.0)</f>
        <v>92</v>
      </c>
      <c r="BS215" s="3">
        <f>IFERROR(__xludf.DUMMYFUNCTION("""COMPUTED_VALUE"""),108.0)</f>
        <v>108</v>
      </c>
      <c r="BT215" s="3">
        <f>IFERROR(__xludf.DUMMYFUNCTION("""COMPUTED_VALUE"""),131.0)</f>
        <v>131</v>
      </c>
      <c r="BU215" s="3">
        <f>IFERROR(__xludf.DUMMYFUNCTION("""COMPUTED_VALUE"""),168.0)</f>
        <v>168</v>
      </c>
      <c r="BV215" s="3">
        <f>IFERROR(__xludf.DUMMYFUNCTION("""COMPUTED_VALUE"""),214.0)</f>
        <v>214</v>
      </c>
      <c r="BW215" s="3">
        <f>IFERROR(__xludf.DUMMYFUNCTION("""COMPUTED_VALUE"""),277.0)</f>
        <v>277</v>
      </c>
      <c r="BX215" s="3">
        <f>IFERROR(__xludf.DUMMYFUNCTION("""COMPUTED_VALUE"""),356.0)</f>
        <v>356</v>
      </c>
      <c r="BY215" s="3">
        <f>IFERROR(__xludf.DUMMYFUNCTION("""COMPUTED_VALUE"""),425.0)</f>
        <v>425</v>
      </c>
      <c r="BZ215" s="3">
        <f>IFERROR(__xludf.DUMMYFUNCTION("""COMPUTED_VALUE"""),501.0)</f>
        <v>501</v>
      </c>
      <c r="CA215" s="3">
        <f>IFERROR(__xludf.DUMMYFUNCTION("""COMPUTED_VALUE"""),574.0)</f>
        <v>574</v>
      </c>
      <c r="CB215" s="3">
        <f>IFERROR(__xludf.DUMMYFUNCTION("""COMPUTED_VALUE"""),649.0)</f>
        <v>649</v>
      </c>
    </row>
    <row r="216">
      <c r="A216" s="3" t="str">
        <f>IFERROR(__xludf.DUMMYFUNCTION("""COMPUTED_VALUE"""),"")</f>
        <v/>
      </c>
      <c r="B216" s="3" t="str">
        <f>IFERROR(__xludf.DUMMYFUNCTION("""COMPUTED_VALUE"""),"Uganda")</f>
        <v>Uganda</v>
      </c>
      <c r="C216" s="3">
        <f>IFERROR(__xludf.DUMMYFUNCTION("""COMPUTED_VALUE"""),1.0)</f>
        <v>1</v>
      </c>
      <c r="D216" s="3">
        <f>IFERROR(__xludf.DUMMYFUNCTION("""COMPUTED_VALUE"""),32.0)</f>
        <v>32</v>
      </c>
      <c r="E216" s="3">
        <f>IFERROR(__xludf.DUMMYFUNCTION("""COMPUTED_VALUE"""),0.0)</f>
        <v>0</v>
      </c>
      <c r="F216" s="3">
        <f>IFERROR(__xludf.DUMMYFUNCTION("""COMPUTED_VALUE"""),0.0)</f>
        <v>0</v>
      </c>
      <c r="G216" s="3">
        <f>IFERROR(__xludf.DUMMYFUNCTION("""COMPUTED_VALUE"""),0.0)</f>
        <v>0</v>
      </c>
      <c r="H216" s="3">
        <f>IFERROR(__xludf.DUMMYFUNCTION("""COMPUTED_VALUE"""),0.0)</f>
        <v>0</v>
      </c>
      <c r="I216" s="3">
        <f>IFERROR(__xludf.DUMMYFUNCTION("""COMPUTED_VALUE"""),0.0)</f>
        <v>0</v>
      </c>
      <c r="J216" s="3">
        <f>IFERROR(__xludf.DUMMYFUNCTION("""COMPUTED_VALUE"""),0.0)</f>
        <v>0</v>
      </c>
      <c r="K216" s="3">
        <f>IFERROR(__xludf.DUMMYFUNCTION("""COMPUTED_VALUE"""),0.0)</f>
        <v>0</v>
      </c>
      <c r="L216" s="3">
        <f>IFERROR(__xludf.DUMMYFUNCTION("""COMPUTED_VALUE"""),0.0)</f>
        <v>0</v>
      </c>
      <c r="M216" s="3">
        <f>IFERROR(__xludf.DUMMYFUNCTION("""COMPUTED_VALUE"""),0.0)</f>
        <v>0</v>
      </c>
      <c r="N216" s="3">
        <f>IFERROR(__xludf.DUMMYFUNCTION("""COMPUTED_VALUE"""),0.0)</f>
        <v>0</v>
      </c>
      <c r="O216" s="3">
        <f>IFERROR(__xludf.DUMMYFUNCTION("""COMPUTED_VALUE"""),0.0)</f>
        <v>0</v>
      </c>
      <c r="P216" s="3">
        <f>IFERROR(__xludf.DUMMYFUNCTION("""COMPUTED_VALUE"""),0.0)</f>
        <v>0</v>
      </c>
      <c r="Q216" s="3">
        <f>IFERROR(__xludf.DUMMYFUNCTION("""COMPUTED_VALUE"""),0.0)</f>
        <v>0</v>
      </c>
      <c r="R216" s="3">
        <f>IFERROR(__xludf.DUMMYFUNCTION("""COMPUTED_VALUE"""),0.0)</f>
        <v>0</v>
      </c>
      <c r="S216" s="3">
        <f>IFERROR(__xludf.DUMMYFUNCTION("""COMPUTED_VALUE"""),0.0)</f>
        <v>0</v>
      </c>
      <c r="T216" s="3">
        <f>IFERROR(__xludf.DUMMYFUNCTION("""COMPUTED_VALUE"""),0.0)</f>
        <v>0</v>
      </c>
      <c r="U216" s="3">
        <f>IFERROR(__xludf.DUMMYFUNCTION("""COMPUTED_VALUE"""),0.0)</f>
        <v>0</v>
      </c>
      <c r="V216" s="3">
        <f>IFERROR(__xludf.DUMMYFUNCTION("""COMPUTED_VALUE"""),0.0)</f>
        <v>0</v>
      </c>
      <c r="W216" s="3">
        <f>IFERROR(__xludf.DUMMYFUNCTION("""COMPUTED_VALUE"""),0.0)</f>
        <v>0</v>
      </c>
      <c r="X216" s="3">
        <f>IFERROR(__xludf.DUMMYFUNCTION("""COMPUTED_VALUE"""),0.0)</f>
        <v>0</v>
      </c>
      <c r="Y216" s="3">
        <f>IFERROR(__xludf.DUMMYFUNCTION("""COMPUTED_VALUE"""),0.0)</f>
        <v>0</v>
      </c>
      <c r="Z216" s="3">
        <f>IFERROR(__xludf.DUMMYFUNCTION("""COMPUTED_VALUE"""),0.0)</f>
        <v>0</v>
      </c>
      <c r="AA216" s="3">
        <f>IFERROR(__xludf.DUMMYFUNCTION("""COMPUTED_VALUE"""),0.0)</f>
        <v>0</v>
      </c>
      <c r="AB216" s="3">
        <f>IFERROR(__xludf.DUMMYFUNCTION("""COMPUTED_VALUE"""),0.0)</f>
        <v>0</v>
      </c>
      <c r="AC216" s="3">
        <f>IFERROR(__xludf.DUMMYFUNCTION("""COMPUTED_VALUE"""),0.0)</f>
        <v>0</v>
      </c>
      <c r="AD216" s="3">
        <f>IFERROR(__xludf.DUMMYFUNCTION("""COMPUTED_VALUE"""),0.0)</f>
        <v>0</v>
      </c>
      <c r="AE216" s="3">
        <f>IFERROR(__xludf.DUMMYFUNCTION("""COMPUTED_VALUE"""),0.0)</f>
        <v>0</v>
      </c>
      <c r="AF216" s="3">
        <f>IFERROR(__xludf.DUMMYFUNCTION("""COMPUTED_VALUE"""),0.0)</f>
        <v>0</v>
      </c>
      <c r="AG216" s="3">
        <f>IFERROR(__xludf.DUMMYFUNCTION("""COMPUTED_VALUE"""),0.0)</f>
        <v>0</v>
      </c>
      <c r="AH216" s="3">
        <f>IFERROR(__xludf.DUMMYFUNCTION("""COMPUTED_VALUE"""),0.0)</f>
        <v>0</v>
      </c>
      <c r="AI216" s="3">
        <f>IFERROR(__xludf.DUMMYFUNCTION("""COMPUTED_VALUE"""),0.0)</f>
        <v>0</v>
      </c>
      <c r="AJ216" s="3">
        <f>IFERROR(__xludf.DUMMYFUNCTION("""COMPUTED_VALUE"""),0.0)</f>
        <v>0</v>
      </c>
      <c r="AK216" s="3">
        <f>IFERROR(__xludf.DUMMYFUNCTION("""COMPUTED_VALUE"""),0.0)</f>
        <v>0</v>
      </c>
      <c r="AL216" s="3">
        <f>IFERROR(__xludf.DUMMYFUNCTION("""COMPUTED_VALUE"""),0.0)</f>
        <v>0</v>
      </c>
      <c r="AM216" s="3">
        <f>IFERROR(__xludf.DUMMYFUNCTION("""COMPUTED_VALUE"""),0.0)</f>
        <v>0</v>
      </c>
      <c r="AN216" s="3">
        <f>IFERROR(__xludf.DUMMYFUNCTION("""COMPUTED_VALUE"""),0.0)</f>
        <v>0</v>
      </c>
      <c r="AO216" s="3">
        <f>IFERROR(__xludf.DUMMYFUNCTION("""COMPUTED_VALUE"""),0.0)</f>
        <v>0</v>
      </c>
      <c r="AP216" s="3">
        <f>IFERROR(__xludf.DUMMYFUNCTION("""COMPUTED_VALUE"""),0.0)</f>
        <v>0</v>
      </c>
      <c r="AQ216" s="3">
        <f>IFERROR(__xludf.DUMMYFUNCTION("""COMPUTED_VALUE"""),0.0)</f>
        <v>0</v>
      </c>
      <c r="AR216" s="3">
        <f>IFERROR(__xludf.DUMMYFUNCTION("""COMPUTED_VALUE"""),0.0)</f>
        <v>0</v>
      </c>
      <c r="AS216" s="3">
        <f>IFERROR(__xludf.DUMMYFUNCTION("""COMPUTED_VALUE"""),0.0)</f>
        <v>0</v>
      </c>
      <c r="AT216" s="3">
        <f>IFERROR(__xludf.DUMMYFUNCTION("""COMPUTED_VALUE"""),0.0)</f>
        <v>0</v>
      </c>
      <c r="AU216" s="3">
        <f>IFERROR(__xludf.DUMMYFUNCTION("""COMPUTED_VALUE"""),0.0)</f>
        <v>0</v>
      </c>
      <c r="AV216" s="3">
        <f>IFERROR(__xludf.DUMMYFUNCTION("""COMPUTED_VALUE"""),0.0)</f>
        <v>0</v>
      </c>
      <c r="AW216" s="3">
        <f>IFERROR(__xludf.DUMMYFUNCTION("""COMPUTED_VALUE"""),0.0)</f>
        <v>0</v>
      </c>
      <c r="AX216" s="3">
        <f>IFERROR(__xludf.DUMMYFUNCTION("""COMPUTED_VALUE"""),0.0)</f>
        <v>0</v>
      </c>
      <c r="AY216" s="3">
        <f>IFERROR(__xludf.DUMMYFUNCTION("""COMPUTED_VALUE"""),0.0)</f>
        <v>0</v>
      </c>
      <c r="AZ216" s="3">
        <f>IFERROR(__xludf.DUMMYFUNCTION("""COMPUTED_VALUE"""),0.0)</f>
        <v>0</v>
      </c>
      <c r="BA216" s="3">
        <f>IFERROR(__xludf.DUMMYFUNCTION("""COMPUTED_VALUE"""),0.0)</f>
        <v>0</v>
      </c>
      <c r="BB216" s="3">
        <f>IFERROR(__xludf.DUMMYFUNCTION("""COMPUTED_VALUE"""),0.0)</f>
        <v>0</v>
      </c>
      <c r="BC216" s="3">
        <f>IFERROR(__xludf.DUMMYFUNCTION("""COMPUTED_VALUE"""),0.0)</f>
        <v>0</v>
      </c>
      <c r="BD216" s="3">
        <f>IFERROR(__xludf.DUMMYFUNCTION("""COMPUTED_VALUE"""),0.0)</f>
        <v>0</v>
      </c>
      <c r="BE216" s="3">
        <f>IFERROR(__xludf.DUMMYFUNCTION("""COMPUTED_VALUE"""),0.0)</f>
        <v>0</v>
      </c>
      <c r="BF216" s="3">
        <f>IFERROR(__xludf.DUMMYFUNCTION("""COMPUTED_VALUE"""),0.0)</f>
        <v>0</v>
      </c>
      <c r="BG216" s="3">
        <f>IFERROR(__xludf.DUMMYFUNCTION("""COMPUTED_VALUE"""),0.0)</f>
        <v>0</v>
      </c>
      <c r="BH216" s="3">
        <f>IFERROR(__xludf.DUMMYFUNCTION("""COMPUTED_VALUE"""),0.0)</f>
        <v>0</v>
      </c>
      <c r="BI216" s="3">
        <f>IFERROR(__xludf.DUMMYFUNCTION("""COMPUTED_VALUE"""),0.0)</f>
        <v>0</v>
      </c>
      <c r="BJ216" s="3">
        <f>IFERROR(__xludf.DUMMYFUNCTION("""COMPUTED_VALUE"""),0.0)</f>
        <v>0</v>
      </c>
      <c r="BK216" s="3">
        <f>IFERROR(__xludf.DUMMYFUNCTION("""COMPUTED_VALUE"""),0.0)</f>
        <v>0</v>
      </c>
      <c r="BL216" s="3">
        <f>IFERROR(__xludf.DUMMYFUNCTION("""COMPUTED_VALUE"""),0.0)</f>
        <v>0</v>
      </c>
      <c r="BM216" s="3">
        <f>IFERROR(__xludf.DUMMYFUNCTION("""COMPUTED_VALUE"""),0.0)</f>
        <v>0</v>
      </c>
      <c r="BN216" s="3">
        <f>IFERROR(__xludf.DUMMYFUNCTION("""COMPUTED_VALUE"""),0.0)</f>
        <v>0</v>
      </c>
      <c r="BO216" s="3">
        <f>IFERROR(__xludf.DUMMYFUNCTION("""COMPUTED_VALUE"""),0.0)</f>
        <v>0</v>
      </c>
      <c r="BP216" s="3">
        <f>IFERROR(__xludf.DUMMYFUNCTION("""COMPUTED_VALUE"""),0.0)</f>
        <v>0</v>
      </c>
      <c r="BQ216" s="3">
        <f>IFERROR(__xludf.DUMMYFUNCTION("""COMPUTED_VALUE"""),0.0)</f>
        <v>0</v>
      </c>
      <c r="BR216" s="3">
        <f>IFERROR(__xludf.DUMMYFUNCTION("""COMPUTED_VALUE"""),0.0)</f>
        <v>0</v>
      </c>
      <c r="BS216" s="3">
        <f>IFERROR(__xludf.DUMMYFUNCTION("""COMPUTED_VALUE"""),0.0)</f>
        <v>0</v>
      </c>
      <c r="BT216" s="3">
        <f>IFERROR(__xludf.DUMMYFUNCTION("""COMPUTED_VALUE"""),0.0)</f>
        <v>0</v>
      </c>
      <c r="BU216" s="3">
        <f>IFERROR(__xludf.DUMMYFUNCTION("""COMPUTED_VALUE"""),0.0)</f>
        <v>0</v>
      </c>
      <c r="BV216" s="3">
        <f>IFERROR(__xludf.DUMMYFUNCTION("""COMPUTED_VALUE"""),0.0)</f>
        <v>0</v>
      </c>
      <c r="BW216" s="3">
        <f>IFERROR(__xludf.DUMMYFUNCTION("""COMPUTED_VALUE"""),0.0)</f>
        <v>0</v>
      </c>
      <c r="BX216" s="3">
        <f>IFERROR(__xludf.DUMMYFUNCTION("""COMPUTED_VALUE"""),0.0)</f>
        <v>0</v>
      </c>
      <c r="BY216" s="3">
        <f>IFERROR(__xludf.DUMMYFUNCTION("""COMPUTED_VALUE"""),0.0)</f>
        <v>0</v>
      </c>
      <c r="BZ216" s="3">
        <f>IFERROR(__xludf.DUMMYFUNCTION("""COMPUTED_VALUE"""),0.0)</f>
        <v>0</v>
      </c>
      <c r="CA216" s="3">
        <f>IFERROR(__xludf.DUMMYFUNCTION("""COMPUTED_VALUE"""),0.0)</f>
        <v>0</v>
      </c>
      <c r="CB216" s="3">
        <f>IFERROR(__xludf.DUMMYFUNCTION("""COMPUTED_VALUE"""),0.0)</f>
        <v>0</v>
      </c>
    </row>
    <row r="217">
      <c r="A217" s="3" t="str">
        <f>IFERROR(__xludf.DUMMYFUNCTION("""COMPUTED_VALUE"""),"")</f>
        <v/>
      </c>
      <c r="B217" s="3" t="str">
        <f>IFERROR(__xludf.DUMMYFUNCTION("""COMPUTED_VALUE"""),"Ukraine")</f>
        <v>Ukraine</v>
      </c>
      <c r="C217" s="3">
        <f>IFERROR(__xludf.DUMMYFUNCTION("""COMPUTED_VALUE"""),48.3794)</f>
        <v>48.3794</v>
      </c>
      <c r="D217" s="3">
        <f>IFERROR(__xludf.DUMMYFUNCTION("""COMPUTED_VALUE"""),31.1656)</f>
        <v>31.1656</v>
      </c>
      <c r="E217" s="3">
        <f>IFERROR(__xludf.DUMMYFUNCTION("""COMPUTED_VALUE"""),0.0)</f>
        <v>0</v>
      </c>
      <c r="F217" s="3">
        <f>IFERROR(__xludf.DUMMYFUNCTION("""COMPUTED_VALUE"""),0.0)</f>
        <v>0</v>
      </c>
      <c r="G217" s="3">
        <f>IFERROR(__xludf.DUMMYFUNCTION("""COMPUTED_VALUE"""),0.0)</f>
        <v>0</v>
      </c>
      <c r="H217" s="3">
        <f>IFERROR(__xludf.DUMMYFUNCTION("""COMPUTED_VALUE"""),0.0)</f>
        <v>0</v>
      </c>
      <c r="I217" s="3">
        <f>IFERROR(__xludf.DUMMYFUNCTION("""COMPUTED_VALUE"""),0.0)</f>
        <v>0</v>
      </c>
      <c r="J217" s="3">
        <f>IFERROR(__xludf.DUMMYFUNCTION("""COMPUTED_VALUE"""),0.0)</f>
        <v>0</v>
      </c>
      <c r="K217" s="3">
        <f>IFERROR(__xludf.DUMMYFUNCTION("""COMPUTED_VALUE"""),0.0)</f>
        <v>0</v>
      </c>
      <c r="L217" s="3">
        <f>IFERROR(__xludf.DUMMYFUNCTION("""COMPUTED_VALUE"""),0.0)</f>
        <v>0</v>
      </c>
      <c r="M217" s="3">
        <f>IFERROR(__xludf.DUMMYFUNCTION("""COMPUTED_VALUE"""),0.0)</f>
        <v>0</v>
      </c>
      <c r="N217" s="3">
        <f>IFERROR(__xludf.DUMMYFUNCTION("""COMPUTED_VALUE"""),0.0)</f>
        <v>0</v>
      </c>
      <c r="O217" s="3">
        <f>IFERROR(__xludf.DUMMYFUNCTION("""COMPUTED_VALUE"""),0.0)</f>
        <v>0</v>
      </c>
      <c r="P217" s="3">
        <f>IFERROR(__xludf.DUMMYFUNCTION("""COMPUTED_VALUE"""),0.0)</f>
        <v>0</v>
      </c>
      <c r="Q217" s="3">
        <f>IFERROR(__xludf.DUMMYFUNCTION("""COMPUTED_VALUE"""),0.0)</f>
        <v>0</v>
      </c>
      <c r="R217" s="3">
        <f>IFERROR(__xludf.DUMMYFUNCTION("""COMPUTED_VALUE"""),0.0)</f>
        <v>0</v>
      </c>
      <c r="S217" s="3">
        <f>IFERROR(__xludf.DUMMYFUNCTION("""COMPUTED_VALUE"""),0.0)</f>
        <v>0</v>
      </c>
      <c r="T217" s="3">
        <f>IFERROR(__xludf.DUMMYFUNCTION("""COMPUTED_VALUE"""),0.0)</f>
        <v>0</v>
      </c>
      <c r="U217" s="3">
        <f>IFERROR(__xludf.DUMMYFUNCTION("""COMPUTED_VALUE"""),0.0)</f>
        <v>0</v>
      </c>
      <c r="V217" s="3">
        <f>IFERROR(__xludf.DUMMYFUNCTION("""COMPUTED_VALUE"""),0.0)</f>
        <v>0</v>
      </c>
      <c r="W217" s="3">
        <f>IFERROR(__xludf.DUMMYFUNCTION("""COMPUTED_VALUE"""),0.0)</f>
        <v>0</v>
      </c>
      <c r="X217" s="3">
        <f>IFERROR(__xludf.DUMMYFUNCTION("""COMPUTED_VALUE"""),0.0)</f>
        <v>0</v>
      </c>
      <c r="Y217" s="3">
        <f>IFERROR(__xludf.DUMMYFUNCTION("""COMPUTED_VALUE"""),0.0)</f>
        <v>0</v>
      </c>
      <c r="Z217" s="3">
        <f>IFERROR(__xludf.DUMMYFUNCTION("""COMPUTED_VALUE"""),0.0)</f>
        <v>0</v>
      </c>
      <c r="AA217" s="3">
        <f>IFERROR(__xludf.DUMMYFUNCTION("""COMPUTED_VALUE"""),0.0)</f>
        <v>0</v>
      </c>
      <c r="AB217" s="3">
        <f>IFERROR(__xludf.DUMMYFUNCTION("""COMPUTED_VALUE"""),0.0)</f>
        <v>0</v>
      </c>
      <c r="AC217" s="3">
        <f>IFERROR(__xludf.DUMMYFUNCTION("""COMPUTED_VALUE"""),0.0)</f>
        <v>0</v>
      </c>
      <c r="AD217" s="3">
        <f>IFERROR(__xludf.DUMMYFUNCTION("""COMPUTED_VALUE"""),0.0)</f>
        <v>0</v>
      </c>
      <c r="AE217" s="3">
        <f>IFERROR(__xludf.DUMMYFUNCTION("""COMPUTED_VALUE"""),0.0)</f>
        <v>0</v>
      </c>
      <c r="AF217" s="3">
        <f>IFERROR(__xludf.DUMMYFUNCTION("""COMPUTED_VALUE"""),0.0)</f>
        <v>0</v>
      </c>
      <c r="AG217" s="3">
        <f>IFERROR(__xludf.DUMMYFUNCTION("""COMPUTED_VALUE"""),0.0)</f>
        <v>0</v>
      </c>
      <c r="AH217" s="3">
        <f>IFERROR(__xludf.DUMMYFUNCTION("""COMPUTED_VALUE"""),0.0)</f>
        <v>0</v>
      </c>
      <c r="AI217" s="3">
        <f>IFERROR(__xludf.DUMMYFUNCTION("""COMPUTED_VALUE"""),0.0)</f>
        <v>0</v>
      </c>
      <c r="AJ217" s="3">
        <f>IFERROR(__xludf.DUMMYFUNCTION("""COMPUTED_VALUE"""),0.0)</f>
        <v>0</v>
      </c>
      <c r="AK217" s="3">
        <f>IFERROR(__xludf.DUMMYFUNCTION("""COMPUTED_VALUE"""),0.0)</f>
        <v>0</v>
      </c>
      <c r="AL217" s="3">
        <f>IFERROR(__xludf.DUMMYFUNCTION("""COMPUTED_VALUE"""),0.0)</f>
        <v>0</v>
      </c>
      <c r="AM217" s="3">
        <f>IFERROR(__xludf.DUMMYFUNCTION("""COMPUTED_VALUE"""),0.0)</f>
        <v>0</v>
      </c>
      <c r="AN217" s="3">
        <f>IFERROR(__xludf.DUMMYFUNCTION("""COMPUTED_VALUE"""),0.0)</f>
        <v>0</v>
      </c>
      <c r="AO217" s="3">
        <f>IFERROR(__xludf.DUMMYFUNCTION("""COMPUTED_VALUE"""),0.0)</f>
        <v>0</v>
      </c>
      <c r="AP217" s="3">
        <f>IFERROR(__xludf.DUMMYFUNCTION("""COMPUTED_VALUE"""),0.0)</f>
        <v>0</v>
      </c>
      <c r="AQ217" s="3">
        <f>IFERROR(__xludf.DUMMYFUNCTION("""COMPUTED_VALUE"""),0.0)</f>
        <v>0</v>
      </c>
      <c r="AR217" s="3">
        <f>IFERROR(__xludf.DUMMYFUNCTION("""COMPUTED_VALUE"""),0.0)</f>
        <v>0</v>
      </c>
      <c r="AS217" s="3">
        <f>IFERROR(__xludf.DUMMYFUNCTION("""COMPUTED_VALUE"""),0.0)</f>
        <v>0</v>
      </c>
      <c r="AT217" s="3">
        <f>IFERROR(__xludf.DUMMYFUNCTION("""COMPUTED_VALUE"""),0.0)</f>
        <v>0</v>
      </c>
      <c r="AU217" s="3">
        <f>IFERROR(__xludf.DUMMYFUNCTION("""COMPUTED_VALUE"""),0.0)</f>
        <v>0</v>
      </c>
      <c r="AV217" s="3">
        <f>IFERROR(__xludf.DUMMYFUNCTION("""COMPUTED_VALUE"""),0.0)</f>
        <v>0</v>
      </c>
      <c r="AW217" s="3">
        <f>IFERROR(__xludf.DUMMYFUNCTION("""COMPUTED_VALUE"""),0.0)</f>
        <v>0</v>
      </c>
      <c r="AX217" s="3">
        <f>IFERROR(__xludf.DUMMYFUNCTION("""COMPUTED_VALUE"""),0.0)</f>
        <v>0</v>
      </c>
      <c r="AY217" s="3">
        <f>IFERROR(__xludf.DUMMYFUNCTION("""COMPUTED_VALUE"""),0.0)</f>
        <v>0</v>
      </c>
      <c r="AZ217" s="3">
        <f>IFERROR(__xludf.DUMMYFUNCTION("""COMPUTED_VALUE"""),0.0)</f>
        <v>0</v>
      </c>
      <c r="BA217" s="3">
        <f>IFERROR(__xludf.DUMMYFUNCTION("""COMPUTED_VALUE"""),0.0)</f>
        <v>0</v>
      </c>
      <c r="BB217" s="3">
        <f>IFERROR(__xludf.DUMMYFUNCTION("""COMPUTED_VALUE"""),0.0)</f>
        <v>0</v>
      </c>
      <c r="BC217" s="3">
        <f>IFERROR(__xludf.DUMMYFUNCTION("""COMPUTED_VALUE"""),0.0)</f>
        <v>0</v>
      </c>
      <c r="BD217" s="3">
        <f>IFERROR(__xludf.DUMMYFUNCTION("""COMPUTED_VALUE"""),1.0)</f>
        <v>1</v>
      </c>
      <c r="BE217" s="3">
        <f>IFERROR(__xludf.DUMMYFUNCTION("""COMPUTED_VALUE"""),1.0)</f>
        <v>1</v>
      </c>
      <c r="BF217" s="3">
        <f>IFERROR(__xludf.DUMMYFUNCTION("""COMPUTED_VALUE"""),1.0)</f>
        <v>1</v>
      </c>
      <c r="BG217" s="3">
        <f>IFERROR(__xludf.DUMMYFUNCTION("""COMPUTED_VALUE"""),1.0)</f>
        <v>1</v>
      </c>
      <c r="BH217" s="3">
        <f>IFERROR(__xludf.DUMMYFUNCTION("""COMPUTED_VALUE"""),2.0)</f>
        <v>2</v>
      </c>
      <c r="BI217" s="3">
        <f>IFERROR(__xludf.DUMMYFUNCTION("""COMPUTED_VALUE"""),2.0)</f>
        <v>2</v>
      </c>
      <c r="BJ217" s="3">
        <f>IFERROR(__xludf.DUMMYFUNCTION("""COMPUTED_VALUE"""),2.0)</f>
        <v>2</v>
      </c>
      <c r="BK217" s="3">
        <f>IFERROR(__xludf.DUMMYFUNCTION("""COMPUTED_VALUE"""),3.0)</f>
        <v>3</v>
      </c>
      <c r="BL217" s="3">
        <f>IFERROR(__xludf.DUMMYFUNCTION("""COMPUTED_VALUE"""),3.0)</f>
        <v>3</v>
      </c>
      <c r="BM217" s="3">
        <f>IFERROR(__xludf.DUMMYFUNCTION("""COMPUTED_VALUE"""),3.0)</f>
        <v>3</v>
      </c>
      <c r="BN217" s="3">
        <f>IFERROR(__xludf.DUMMYFUNCTION("""COMPUTED_VALUE"""),3.0)</f>
        <v>3</v>
      </c>
      <c r="BO217" s="3">
        <f>IFERROR(__xludf.DUMMYFUNCTION("""COMPUTED_VALUE"""),3.0)</f>
        <v>3</v>
      </c>
      <c r="BP217" s="3">
        <f>IFERROR(__xludf.DUMMYFUNCTION("""COMPUTED_VALUE"""),5.0)</f>
        <v>5</v>
      </c>
      <c r="BQ217" s="3">
        <f>IFERROR(__xludf.DUMMYFUNCTION("""COMPUTED_VALUE"""),5.0)</f>
        <v>5</v>
      </c>
      <c r="BR217" s="3">
        <f>IFERROR(__xludf.DUMMYFUNCTION("""COMPUTED_VALUE"""),5.0)</f>
        <v>5</v>
      </c>
      <c r="BS217" s="3">
        <f>IFERROR(__xludf.DUMMYFUNCTION("""COMPUTED_VALUE"""),9.0)</f>
        <v>9</v>
      </c>
      <c r="BT217" s="3">
        <f>IFERROR(__xludf.DUMMYFUNCTION("""COMPUTED_VALUE"""),10.0)</f>
        <v>10</v>
      </c>
      <c r="BU217" s="3">
        <f>IFERROR(__xludf.DUMMYFUNCTION("""COMPUTED_VALUE"""),13.0)</f>
        <v>13</v>
      </c>
      <c r="BV217" s="3">
        <f>IFERROR(__xludf.DUMMYFUNCTION("""COMPUTED_VALUE"""),17.0)</f>
        <v>17</v>
      </c>
      <c r="BW217" s="3">
        <f>IFERROR(__xludf.DUMMYFUNCTION("""COMPUTED_VALUE"""),20.0)</f>
        <v>20</v>
      </c>
      <c r="BX217" s="3">
        <f>IFERROR(__xludf.DUMMYFUNCTION("""COMPUTED_VALUE"""),22.0)</f>
        <v>22</v>
      </c>
      <c r="BY217" s="3">
        <f>IFERROR(__xludf.DUMMYFUNCTION("""COMPUTED_VALUE"""),27.0)</f>
        <v>27</v>
      </c>
      <c r="BZ217" s="3">
        <f>IFERROR(__xludf.DUMMYFUNCTION("""COMPUTED_VALUE"""),32.0)</f>
        <v>32</v>
      </c>
      <c r="CA217" s="3">
        <f>IFERROR(__xludf.DUMMYFUNCTION("""COMPUTED_VALUE"""),37.0)</f>
        <v>37</v>
      </c>
      <c r="CB217" s="3">
        <f>IFERROR(__xludf.DUMMYFUNCTION("""COMPUTED_VALUE"""),38.0)</f>
        <v>38</v>
      </c>
    </row>
    <row r="218">
      <c r="A218" s="3" t="str">
        <f>IFERROR(__xludf.DUMMYFUNCTION("""COMPUTED_VALUE"""),"")</f>
        <v/>
      </c>
      <c r="B218" s="3" t="str">
        <f>IFERROR(__xludf.DUMMYFUNCTION("""COMPUTED_VALUE"""),"United Arab Emirates")</f>
        <v>United Arab Emirates</v>
      </c>
      <c r="C218" s="3">
        <f>IFERROR(__xludf.DUMMYFUNCTION("""COMPUTED_VALUE"""),24.0)</f>
        <v>24</v>
      </c>
      <c r="D218" s="3">
        <f>IFERROR(__xludf.DUMMYFUNCTION("""COMPUTED_VALUE"""),54.0)</f>
        <v>54</v>
      </c>
      <c r="E218" s="3">
        <f>IFERROR(__xludf.DUMMYFUNCTION("""COMPUTED_VALUE"""),0.0)</f>
        <v>0</v>
      </c>
      <c r="F218" s="3">
        <f>IFERROR(__xludf.DUMMYFUNCTION("""COMPUTED_VALUE"""),0.0)</f>
        <v>0</v>
      </c>
      <c r="G218" s="3">
        <f>IFERROR(__xludf.DUMMYFUNCTION("""COMPUTED_VALUE"""),0.0)</f>
        <v>0</v>
      </c>
      <c r="H218" s="3">
        <f>IFERROR(__xludf.DUMMYFUNCTION("""COMPUTED_VALUE"""),0.0)</f>
        <v>0</v>
      </c>
      <c r="I218" s="3">
        <f>IFERROR(__xludf.DUMMYFUNCTION("""COMPUTED_VALUE"""),0.0)</f>
        <v>0</v>
      </c>
      <c r="J218" s="3">
        <f>IFERROR(__xludf.DUMMYFUNCTION("""COMPUTED_VALUE"""),0.0)</f>
        <v>0</v>
      </c>
      <c r="K218" s="3">
        <f>IFERROR(__xludf.DUMMYFUNCTION("""COMPUTED_VALUE"""),0.0)</f>
        <v>0</v>
      </c>
      <c r="L218" s="3">
        <f>IFERROR(__xludf.DUMMYFUNCTION("""COMPUTED_VALUE"""),0.0)</f>
        <v>0</v>
      </c>
      <c r="M218" s="3">
        <f>IFERROR(__xludf.DUMMYFUNCTION("""COMPUTED_VALUE"""),0.0)</f>
        <v>0</v>
      </c>
      <c r="N218" s="3">
        <f>IFERROR(__xludf.DUMMYFUNCTION("""COMPUTED_VALUE"""),0.0)</f>
        <v>0</v>
      </c>
      <c r="O218" s="3">
        <f>IFERROR(__xludf.DUMMYFUNCTION("""COMPUTED_VALUE"""),0.0)</f>
        <v>0</v>
      </c>
      <c r="P218" s="3">
        <f>IFERROR(__xludf.DUMMYFUNCTION("""COMPUTED_VALUE"""),0.0)</f>
        <v>0</v>
      </c>
      <c r="Q218" s="3">
        <f>IFERROR(__xludf.DUMMYFUNCTION("""COMPUTED_VALUE"""),0.0)</f>
        <v>0</v>
      </c>
      <c r="R218" s="3">
        <f>IFERROR(__xludf.DUMMYFUNCTION("""COMPUTED_VALUE"""),0.0)</f>
        <v>0</v>
      </c>
      <c r="S218" s="3">
        <f>IFERROR(__xludf.DUMMYFUNCTION("""COMPUTED_VALUE"""),0.0)</f>
        <v>0</v>
      </c>
      <c r="T218" s="3">
        <f>IFERROR(__xludf.DUMMYFUNCTION("""COMPUTED_VALUE"""),0.0)</f>
        <v>0</v>
      </c>
      <c r="U218" s="3">
        <f>IFERROR(__xludf.DUMMYFUNCTION("""COMPUTED_VALUE"""),0.0)</f>
        <v>0</v>
      </c>
      <c r="V218" s="3">
        <f>IFERROR(__xludf.DUMMYFUNCTION("""COMPUTED_VALUE"""),0.0)</f>
        <v>0</v>
      </c>
      <c r="W218" s="3">
        <f>IFERROR(__xludf.DUMMYFUNCTION("""COMPUTED_VALUE"""),0.0)</f>
        <v>0</v>
      </c>
      <c r="X218" s="3">
        <f>IFERROR(__xludf.DUMMYFUNCTION("""COMPUTED_VALUE"""),0.0)</f>
        <v>0</v>
      </c>
      <c r="Y218" s="3">
        <f>IFERROR(__xludf.DUMMYFUNCTION("""COMPUTED_VALUE"""),0.0)</f>
        <v>0</v>
      </c>
      <c r="Z218" s="3">
        <f>IFERROR(__xludf.DUMMYFUNCTION("""COMPUTED_VALUE"""),0.0)</f>
        <v>0</v>
      </c>
      <c r="AA218" s="3">
        <f>IFERROR(__xludf.DUMMYFUNCTION("""COMPUTED_VALUE"""),0.0)</f>
        <v>0</v>
      </c>
      <c r="AB218" s="3">
        <f>IFERROR(__xludf.DUMMYFUNCTION("""COMPUTED_VALUE"""),0.0)</f>
        <v>0</v>
      </c>
      <c r="AC218" s="3">
        <f>IFERROR(__xludf.DUMMYFUNCTION("""COMPUTED_VALUE"""),0.0)</f>
        <v>0</v>
      </c>
      <c r="AD218" s="3">
        <f>IFERROR(__xludf.DUMMYFUNCTION("""COMPUTED_VALUE"""),0.0)</f>
        <v>0</v>
      </c>
      <c r="AE218" s="3">
        <f>IFERROR(__xludf.DUMMYFUNCTION("""COMPUTED_VALUE"""),0.0)</f>
        <v>0</v>
      </c>
      <c r="AF218" s="3">
        <f>IFERROR(__xludf.DUMMYFUNCTION("""COMPUTED_VALUE"""),0.0)</f>
        <v>0</v>
      </c>
      <c r="AG218" s="3">
        <f>IFERROR(__xludf.DUMMYFUNCTION("""COMPUTED_VALUE"""),0.0)</f>
        <v>0</v>
      </c>
      <c r="AH218" s="3">
        <f>IFERROR(__xludf.DUMMYFUNCTION("""COMPUTED_VALUE"""),0.0)</f>
        <v>0</v>
      </c>
      <c r="AI218" s="3">
        <f>IFERROR(__xludf.DUMMYFUNCTION("""COMPUTED_VALUE"""),0.0)</f>
        <v>0</v>
      </c>
      <c r="AJ218" s="3">
        <f>IFERROR(__xludf.DUMMYFUNCTION("""COMPUTED_VALUE"""),0.0)</f>
        <v>0</v>
      </c>
      <c r="AK218" s="3">
        <f>IFERROR(__xludf.DUMMYFUNCTION("""COMPUTED_VALUE"""),0.0)</f>
        <v>0</v>
      </c>
      <c r="AL218" s="3">
        <f>IFERROR(__xludf.DUMMYFUNCTION("""COMPUTED_VALUE"""),0.0)</f>
        <v>0</v>
      </c>
      <c r="AM218" s="3">
        <f>IFERROR(__xludf.DUMMYFUNCTION("""COMPUTED_VALUE"""),0.0)</f>
        <v>0</v>
      </c>
      <c r="AN218" s="3">
        <f>IFERROR(__xludf.DUMMYFUNCTION("""COMPUTED_VALUE"""),0.0)</f>
        <v>0</v>
      </c>
      <c r="AO218" s="3">
        <f>IFERROR(__xludf.DUMMYFUNCTION("""COMPUTED_VALUE"""),0.0)</f>
        <v>0</v>
      </c>
      <c r="AP218" s="3">
        <f>IFERROR(__xludf.DUMMYFUNCTION("""COMPUTED_VALUE"""),0.0)</f>
        <v>0</v>
      </c>
      <c r="AQ218" s="3">
        <f>IFERROR(__xludf.DUMMYFUNCTION("""COMPUTED_VALUE"""),0.0)</f>
        <v>0</v>
      </c>
      <c r="AR218" s="3">
        <f>IFERROR(__xludf.DUMMYFUNCTION("""COMPUTED_VALUE"""),0.0)</f>
        <v>0</v>
      </c>
      <c r="AS218" s="3">
        <f>IFERROR(__xludf.DUMMYFUNCTION("""COMPUTED_VALUE"""),0.0)</f>
        <v>0</v>
      </c>
      <c r="AT218" s="3">
        <f>IFERROR(__xludf.DUMMYFUNCTION("""COMPUTED_VALUE"""),0.0)</f>
        <v>0</v>
      </c>
      <c r="AU218" s="3">
        <f>IFERROR(__xludf.DUMMYFUNCTION("""COMPUTED_VALUE"""),0.0)</f>
        <v>0</v>
      </c>
      <c r="AV218" s="3">
        <f>IFERROR(__xludf.DUMMYFUNCTION("""COMPUTED_VALUE"""),0.0)</f>
        <v>0</v>
      </c>
      <c r="AW218" s="3">
        <f>IFERROR(__xludf.DUMMYFUNCTION("""COMPUTED_VALUE"""),0.0)</f>
        <v>0</v>
      </c>
      <c r="AX218" s="3">
        <f>IFERROR(__xludf.DUMMYFUNCTION("""COMPUTED_VALUE"""),0.0)</f>
        <v>0</v>
      </c>
      <c r="AY218" s="3">
        <f>IFERROR(__xludf.DUMMYFUNCTION("""COMPUTED_VALUE"""),0.0)</f>
        <v>0</v>
      </c>
      <c r="AZ218" s="3">
        <f>IFERROR(__xludf.DUMMYFUNCTION("""COMPUTED_VALUE"""),0.0)</f>
        <v>0</v>
      </c>
      <c r="BA218" s="3">
        <f>IFERROR(__xludf.DUMMYFUNCTION("""COMPUTED_VALUE"""),0.0)</f>
        <v>0</v>
      </c>
      <c r="BB218" s="3">
        <f>IFERROR(__xludf.DUMMYFUNCTION("""COMPUTED_VALUE"""),0.0)</f>
        <v>0</v>
      </c>
      <c r="BC218" s="3">
        <f>IFERROR(__xludf.DUMMYFUNCTION("""COMPUTED_VALUE"""),0.0)</f>
        <v>0</v>
      </c>
      <c r="BD218" s="3">
        <f>IFERROR(__xludf.DUMMYFUNCTION("""COMPUTED_VALUE"""),0.0)</f>
        <v>0</v>
      </c>
      <c r="BE218" s="3">
        <f>IFERROR(__xludf.DUMMYFUNCTION("""COMPUTED_VALUE"""),0.0)</f>
        <v>0</v>
      </c>
      <c r="BF218" s="3">
        <f>IFERROR(__xludf.DUMMYFUNCTION("""COMPUTED_VALUE"""),0.0)</f>
        <v>0</v>
      </c>
      <c r="BG218" s="3">
        <f>IFERROR(__xludf.DUMMYFUNCTION("""COMPUTED_VALUE"""),0.0)</f>
        <v>0</v>
      </c>
      <c r="BH218" s="3">
        <f>IFERROR(__xludf.DUMMYFUNCTION("""COMPUTED_VALUE"""),0.0)</f>
        <v>0</v>
      </c>
      <c r="BI218" s="3">
        <f>IFERROR(__xludf.DUMMYFUNCTION("""COMPUTED_VALUE"""),0.0)</f>
        <v>0</v>
      </c>
      <c r="BJ218" s="3">
        <f>IFERROR(__xludf.DUMMYFUNCTION("""COMPUTED_VALUE"""),0.0)</f>
        <v>0</v>
      </c>
      <c r="BK218" s="3">
        <f>IFERROR(__xludf.DUMMYFUNCTION("""COMPUTED_VALUE"""),2.0)</f>
        <v>2</v>
      </c>
      <c r="BL218" s="3">
        <f>IFERROR(__xludf.DUMMYFUNCTION("""COMPUTED_VALUE"""),2.0)</f>
        <v>2</v>
      </c>
      <c r="BM218" s="3">
        <f>IFERROR(__xludf.DUMMYFUNCTION("""COMPUTED_VALUE"""),2.0)</f>
        <v>2</v>
      </c>
      <c r="BN218" s="3">
        <f>IFERROR(__xludf.DUMMYFUNCTION("""COMPUTED_VALUE"""),2.0)</f>
        <v>2</v>
      </c>
      <c r="BO218" s="3">
        <f>IFERROR(__xludf.DUMMYFUNCTION("""COMPUTED_VALUE"""),2.0)</f>
        <v>2</v>
      </c>
      <c r="BP218" s="3">
        <f>IFERROR(__xludf.DUMMYFUNCTION("""COMPUTED_VALUE"""),2.0)</f>
        <v>2</v>
      </c>
      <c r="BQ218" s="3">
        <f>IFERROR(__xludf.DUMMYFUNCTION("""COMPUTED_VALUE"""),2.0)</f>
        <v>2</v>
      </c>
      <c r="BR218" s="3">
        <f>IFERROR(__xludf.DUMMYFUNCTION("""COMPUTED_VALUE"""),2.0)</f>
        <v>2</v>
      </c>
      <c r="BS218" s="3">
        <f>IFERROR(__xludf.DUMMYFUNCTION("""COMPUTED_VALUE"""),2.0)</f>
        <v>2</v>
      </c>
      <c r="BT218" s="3">
        <f>IFERROR(__xludf.DUMMYFUNCTION("""COMPUTED_VALUE"""),3.0)</f>
        <v>3</v>
      </c>
      <c r="BU218" s="3">
        <f>IFERROR(__xludf.DUMMYFUNCTION("""COMPUTED_VALUE"""),5.0)</f>
        <v>5</v>
      </c>
      <c r="BV218" s="3">
        <f>IFERROR(__xludf.DUMMYFUNCTION("""COMPUTED_VALUE"""),6.0)</f>
        <v>6</v>
      </c>
      <c r="BW218" s="3">
        <f>IFERROR(__xludf.DUMMYFUNCTION("""COMPUTED_VALUE"""),8.0)</f>
        <v>8</v>
      </c>
      <c r="BX218" s="3">
        <f>IFERROR(__xludf.DUMMYFUNCTION("""COMPUTED_VALUE"""),8.0)</f>
        <v>8</v>
      </c>
      <c r="BY218" s="3">
        <f>IFERROR(__xludf.DUMMYFUNCTION("""COMPUTED_VALUE"""),9.0)</f>
        <v>9</v>
      </c>
      <c r="BZ218" s="3">
        <f>IFERROR(__xludf.DUMMYFUNCTION("""COMPUTED_VALUE"""),10.0)</f>
        <v>10</v>
      </c>
      <c r="CA218" s="3">
        <f>IFERROR(__xludf.DUMMYFUNCTION("""COMPUTED_VALUE"""),10.0)</f>
        <v>10</v>
      </c>
      <c r="CB218" s="3">
        <f>IFERROR(__xludf.DUMMYFUNCTION("""COMPUTED_VALUE"""),11.0)</f>
        <v>11</v>
      </c>
    </row>
    <row r="219">
      <c r="A219" s="3" t="str">
        <f>IFERROR(__xludf.DUMMYFUNCTION("""COMPUTED_VALUE"""),"Bermuda")</f>
        <v>Bermuda</v>
      </c>
      <c r="B219" s="3" t="str">
        <f>IFERROR(__xludf.DUMMYFUNCTION("""COMPUTED_VALUE"""),"United Kingdom")</f>
        <v>United Kingdom</v>
      </c>
      <c r="C219" s="3">
        <f>IFERROR(__xludf.DUMMYFUNCTION("""COMPUTED_VALUE"""),32.3078)</f>
        <v>32.3078</v>
      </c>
      <c r="D219" s="3">
        <f>IFERROR(__xludf.DUMMYFUNCTION("""COMPUTED_VALUE"""),-64.7505)</f>
        <v>-64.7505</v>
      </c>
      <c r="E219" s="3">
        <f>IFERROR(__xludf.DUMMYFUNCTION("""COMPUTED_VALUE"""),0.0)</f>
        <v>0</v>
      </c>
      <c r="F219" s="3">
        <f>IFERROR(__xludf.DUMMYFUNCTION("""COMPUTED_VALUE"""),0.0)</f>
        <v>0</v>
      </c>
      <c r="G219" s="3">
        <f>IFERROR(__xludf.DUMMYFUNCTION("""COMPUTED_VALUE"""),0.0)</f>
        <v>0</v>
      </c>
      <c r="H219" s="3">
        <f>IFERROR(__xludf.DUMMYFUNCTION("""COMPUTED_VALUE"""),0.0)</f>
        <v>0</v>
      </c>
      <c r="I219" s="3">
        <f>IFERROR(__xludf.DUMMYFUNCTION("""COMPUTED_VALUE"""),0.0)</f>
        <v>0</v>
      </c>
      <c r="J219" s="3">
        <f>IFERROR(__xludf.DUMMYFUNCTION("""COMPUTED_VALUE"""),0.0)</f>
        <v>0</v>
      </c>
      <c r="K219" s="3">
        <f>IFERROR(__xludf.DUMMYFUNCTION("""COMPUTED_VALUE"""),0.0)</f>
        <v>0</v>
      </c>
      <c r="L219" s="3">
        <f>IFERROR(__xludf.DUMMYFUNCTION("""COMPUTED_VALUE"""),0.0)</f>
        <v>0</v>
      </c>
      <c r="M219" s="3">
        <f>IFERROR(__xludf.DUMMYFUNCTION("""COMPUTED_VALUE"""),0.0)</f>
        <v>0</v>
      </c>
      <c r="N219" s="3">
        <f>IFERROR(__xludf.DUMMYFUNCTION("""COMPUTED_VALUE"""),0.0)</f>
        <v>0</v>
      </c>
      <c r="O219" s="3">
        <f>IFERROR(__xludf.DUMMYFUNCTION("""COMPUTED_VALUE"""),0.0)</f>
        <v>0</v>
      </c>
      <c r="P219" s="3">
        <f>IFERROR(__xludf.DUMMYFUNCTION("""COMPUTED_VALUE"""),0.0)</f>
        <v>0</v>
      </c>
      <c r="Q219" s="3">
        <f>IFERROR(__xludf.DUMMYFUNCTION("""COMPUTED_VALUE"""),0.0)</f>
        <v>0</v>
      </c>
      <c r="R219" s="3">
        <f>IFERROR(__xludf.DUMMYFUNCTION("""COMPUTED_VALUE"""),0.0)</f>
        <v>0</v>
      </c>
      <c r="S219" s="3">
        <f>IFERROR(__xludf.DUMMYFUNCTION("""COMPUTED_VALUE"""),0.0)</f>
        <v>0</v>
      </c>
      <c r="T219" s="3">
        <f>IFERROR(__xludf.DUMMYFUNCTION("""COMPUTED_VALUE"""),0.0)</f>
        <v>0</v>
      </c>
      <c r="U219" s="3">
        <f>IFERROR(__xludf.DUMMYFUNCTION("""COMPUTED_VALUE"""),0.0)</f>
        <v>0</v>
      </c>
      <c r="V219" s="3">
        <f>IFERROR(__xludf.DUMMYFUNCTION("""COMPUTED_VALUE"""),0.0)</f>
        <v>0</v>
      </c>
      <c r="W219" s="3">
        <f>IFERROR(__xludf.DUMMYFUNCTION("""COMPUTED_VALUE"""),0.0)</f>
        <v>0</v>
      </c>
      <c r="X219" s="3">
        <f>IFERROR(__xludf.DUMMYFUNCTION("""COMPUTED_VALUE"""),0.0)</f>
        <v>0</v>
      </c>
      <c r="Y219" s="3">
        <f>IFERROR(__xludf.DUMMYFUNCTION("""COMPUTED_VALUE"""),0.0)</f>
        <v>0</v>
      </c>
      <c r="Z219" s="3">
        <f>IFERROR(__xludf.DUMMYFUNCTION("""COMPUTED_VALUE"""),0.0)</f>
        <v>0</v>
      </c>
      <c r="AA219" s="3">
        <f>IFERROR(__xludf.DUMMYFUNCTION("""COMPUTED_VALUE"""),0.0)</f>
        <v>0</v>
      </c>
      <c r="AB219" s="3">
        <f>IFERROR(__xludf.DUMMYFUNCTION("""COMPUTED_VALUE"""),0.0)</f>
        <v>0</v>
      </c>
      <c r="AC219" s="3">
        <f>IFERROR(__xludf.DUMMYFUNCTION("""COMPUTED_VALUE"""),0.0)</f>
        <v>0</v>
      </c>
      <c r="AD219" s="3">
        <f>IFERROR(__xludf.DUMMYFUNCTION("""COMPUTED_VALUE"""),0.0)</f>
        <v>0</v>
      </c>
      <c r="AE219" s="3">
        <f>IFERROR(__xludf.DUMMYFUNCTION("""COMPUTED_VALUE"""),0.0)</f>
        <v>0</v>
      </c>
      <c r="AF219" s="3">
        <f>IFERROR(__xludf.DUMMYFUNCTION("""COMPUTED_VALUE"""),0.0)</f>
        <v>0</v>
      </c>
      <c r="AG219" s="3">
        <f>IFERROR(__xludf.DUMMYFUNCTION("""COMPUTED_VALUE"""),0.0)</f>
        <v>0</v>
      </c>
      <c r="AH219" s="3">
        <f>IFERROR(__xludf.DUMMYFUNCTION("""COMPUTED_VALUE"""),0.0)</f>
        <v>0</v>
      </c>
      <c r="AI219" s="3">
        <f>IFERROR(__xludf.DUMMYFUNCTION("""COMPUTED_VALUE"""),0.0)</f>
        <v>0</v>
      </c>
      <c r="AJ219" s="3">
        <f>IFERROR(__xludf.DUMMYFUNCTION("""COMPUTED_VALUE"""),0.0)</f>
        <v>0</v>
      </c>
      <c r="AK219" s="3">
        <f>IFERROR(__xludf.DUMMYFUNCTION("""COMPUTED_VALUE"""),0.0)</f>
        <v>0</v>
      </c>
      <c r="AL219" s="3">
        <f>IFERROR(__xludf.DUMMYFUNCTION("""COMPUTED_VALUE"""),0.0)</f>
        <v>0</v>
      </c>
      <c r="AM219" s="3">
        <f>IFERROR(__xludf.DUMMYFUNCTION("""COMPUTED_VALUE"""),0.0)</f>
        <v>0</v>
      </c>
      <c r="AN219" s="3">
        <f>IFERROR(__xludf.DUMMYFUNCTION("""COMPUTED_VALUE"""),0.0)</f>
        <v>0</v>
      </c>
      <c r="AO219" s="3">
        <f>IFERROR(__xludf.DUMMYFUNCTION("""COMPUTED_VALUE"""),0.0)</f>
        <v>0</v>
      </c>
      <c r="AP219" s="3">
        <f>IFERROR(__xludf.DUMMYFUNCTION("""COMPUTED_VALUE"""),0.0)</f>
        <v>0</v>
      </c>
      <c r="AQ219" s="3">
        <f>IFERROR(__xludf.DUMMYFUNCTION("""COMPUTED_VALUE"""),0.0)</f>
        <v>0</v>
      </c>
      <c r="AR219" s="3">
        <f>IFERROR(__xludf.DUMMYFUNCTION("""COMPUTED_VALUE"""),0.0)</f>
        <v>0</v>
      </c>
      <c r="AS219" s="3">
        <f>IFERROR(__xludf.DUMMYFUNCTION("""COMPUTED_VALUE"""),0.0)</f>
        <v>0</v>
      </c>
      <c r="AT219" s="3">
        <f>IFERROR(__xludf.DUMMYFUNCTION("""COMPUTED_VALUE"""),0.0)</f>
        <v>0</v>
      </c>
      <c r="AU219" s="3">
        <f>IFERROR(__xludf.DUMMYFUNCTION("""COMPUTED_VALUE"""),0.0)</f>
        <v>0</v>
      </c>
      <c r="AV219" s="3">
        <f>IFERROR(__xludf.DUMMYFUNCTION("""COMPUTED_VALUE"""),0.0)</f>
        <v>0</v>
      </c>
      <c r="AW219" s="3">
        <f>IFERROR(__xludf.DUMMYFUNCTION("""COMPUTED_VALUE"""),0.0)</f>
        <v>0</v>
      </c>
      <c r="AX219" s="3">
        <f>IFERROR(__xludf.DUMMYFUNCTION("""COMPUTED_VALUE"""),0.0)</f>
        <v>0</v>
      </c>
      <c r="AY219" s="3">
        <f>IFERROR(__xludf.DUMMYFUNCTION("""COMPUTED_VALUE"""),0.0)</f>
        <v>0</v>
      </c>
      <c r="AZ219" s="3">
        <f>IFERROR(__xludf.DUMMYFUNCTION("""COMPUTED_VALUE"""),0.0)</f>
        <v>0</v>
      </c>
      <c r="BA219" s="3">
        <f>IFERROR(__xludf.DUMMYFUNCTION("""COMPUTED_VALUE"""),0.0)</f>
        <v>0</v>
      </c>
      <c r="BB219" s="3">
        <f>IFERROR(__xludf.DUMMYFUNCTION("""COMPUTED_VALUE"""),0.0)</f>
        <v>0</v>
      </c>
      <c r="BC219" s="3">
        <f>IFERROR(__xludf.DUMMYFUNCTION("""COMPUTED_VALUE"""),0.0)</f>
        <v>0</v>
      </c>
      <c r="BD219" s="3">
        <f>IFERROR(__xludf.DUMMYFUNCTION("""COMPUTED_VALUE"""),0.0)</f>
        <v>0</v>
      </c>
      <c r="BE219" s="3">
        <f>IFERROR(__xludf.DUMMYFUNCTION("""COMPUTED_VALUE"""),0.0)</f>
        <v>0</v>
      </c>
      <c r="BF219" s="3">
        <f>IFERROR(__xludf.DUMMYFUNCTION("""COMPUTED_VALUE"""),0.0)</f>
        <v>0</v>
      </c>
      <c r="BG219" s="3">
        <f>IFERROR(__xludf.DUMMYFUNCTION("""COMPUTED_VALUE"""),0.0)</f>
        <v>0</v>
      </c>
      <c r="BH219" s="3">
        <f>IFERROR(__xludf.DUMMYFUNCTION("""COMPUTED_VALUE"""),0.0)</f>
        <v>0</v>
      </c>
      <c r="BI219" s="3">
        <f>IFERROR(__xludf.DUMMYFUNCTION("""COMPUTED_VALUE"""),0.0)</f>
        <v>0</v>
      </c>
      <c r="BJ219" s="3">
        <f>IFERROR(__xludf.DUMMYFUNCTION("""COMPUTED_VALUE"""),0.0)</f>
        <v>0</v>
      </c>
      <c r="BK219" s="3">
        <f>IFERROR(__xludf.DUMMYFUNCTION("""COMPUTED_VALUE"""),0.0)</f>
        <v>0</v>
      </c>
      <c r="BL219" s="3">
        <f>IFERROR(__xludf.DUMMYFUNCTION("""COMPUTED_VALUE"""),0.0)</f>
        <v>0</v>
      </c>
      <c r="BM219" s="3">
        <f>IFERROR(__xludf.DUMMYFUNCTION("""COMPUTED_VALUE"""),0.0)</f>
        <v>0</v>
      </c>
      <c r="BN219" s="3">
        <f>IFERROR(__xludf.DUMMYFUNCTION("""COMPUTED_VALUE"""),0.0)</f>
        <v>0</v>
      </c>
      <c r="BO219" s="3">
        <f>IFERROR(__xludf.DUMMYFUNCTION("""COMPUTED_VALUE"""),0.0)</f>
        <v>0</v>
      </c>
      <c r="BP219" s="3">
        <f>IFERROR(__xludf.DUMMYFUNCTION("""COMPUTED_VALUE"""),0.0)</f>
        <v>0</v>
      </c>
      <c r="BQ219" s="3">
        <f>IFERROR(__xludf.DUMMYFUNCTION("""COMPUTED_VALUE"""),0.0)</f>
        <v>0</v>
      </c>
      <c r="BR219" s="3">
        <f>IFERROR(__xludf.DUMMYFUNCTION("""COMPUTED_VALUE"""),0.0)</f>
        <v>0</v>
      </c>
      <c r="BS219" s="3">
        <f>IFERROR(__xludf.DUMMYFUNCTION("""COMPUTED_VALUE"""),0.0)</f>
        <v>0</v>
      </c>
      <c r="BT219" s="3">
        <f>IFERROR(__xludf.DUMMYFUNCTION("""COMPUTED_VALUE"""),0.0)</f>
        <v>0</v>
      </c>
      <c r="BU219" s="3">
        <f>IFERROR(__xludf.DUMMYFUNCTION("""COMPUTED_VALUE"""),0.0)</f>
        <v>0</v>
      </c>
      <c r="BV219" s="3">
        <f>IFERROR(__xludf.DUMMYFUNCTION("""COMPUTED_VALUE"""),0.0)</f>
        <v>0</v>
      </c>
      <c r="BW219" s="3">
        <f>IFERROR(__xludf.DUMMYFUNCTION("""COMPUTED_VALUE"""),0.0)</f>
        <v>0</v>
      </c>
      <c r="BX219" s="3">
        <f>IFERROR(__xludf.DUMMYFUNCTION("""COMPUTED_VALUE"""),0.0)</f>
        <v>0</v>
      </c>
      <c r="BY219" s="3">
        <f>IFERROR(__xludf.DUMMYFUNCTION("""COMPUTED_VALUE"""),0.0)</f>
        <v>0</v>
      </c>
      <c r="BZ219" s="3">
        <f>IFERROR(__xludf.DUMMYFUNCTION("""COMPUTED_VALUE"""),0.0)</f>
        <v>0</v>
      </c>
      <c r="CA219" s="3">
        <f>IFERROR(__xludf.DUMMYFUNCTION("""COMPUTED_VALUE"""),0.0)</f>
        <v>0</v>
      </c>
      <c r="CB219" s="3">
        <f>IFERROR(__xludf.DUMMYFUNCTION("""COMPUTED_VALUE"""),2.0)</f>
        <v>2</v>
      </c>
    </row>
    <row r="220">
      <c r="A220" s="3" t="str">
        <f>IFERROR(__xludf.DUMMYFUNCTION("""COMPUTED_VALUE"""),"Cayman Islands")</f>
        <v>Cayman Islands</v>
      </c>
      <c r="B220" s="3" t="str">
        <f>IFERROR(__xludf.DUMMYFUNCTION("""COMPUTED_VALUE"""),"United Kingdom")</f>
        <v>United Kingdom</v>
      </c>
      <c r="C220" s="3">
        <f>IFERROR(__xludf.DUMMYFUNCTION("""COMPUTED_VALUE"""),19.3133)</f>
        <v>19.3133</v>
      </c>
      <c r="D220" s="3">
        <f>IFERROR(__xludf.DUMMYFUNCTION("""COMPUTED_VALUE"""),-81.2546)</f>
        <v>-81.2546</v>
      </c>
      <c r="E220" s="3">
        <f>IFERROR(__xludf.DUMMYFUNCTION("""COMPUTED_VALUE"""),0.0)</f>
        <v>0</v>
      </c>
      <c r="F220" s="3">
        <f>IFERROR(__xludf.DUMMYFUNCTION("""COMPUTED_VALUE"""),0.0)</f>
        <v>0</v>
      </c>
      <c r="G220" s="3">
        <f>IFERROR(__xludf.DUMMYFUNCTION("""COMPUTED_VALUE"""),0.0)</f>
        <v>0</v>
      </c>
      <c r="H220" s="3">
        <f>IFERROR(__xludf.DUMMYFUNCTION("""COMPUTED_VALUE"""),0.0)</f>
        <v>0</v>
      </c>
      <c r="I220" s="3">
        <f>IFERROR(__xludf.DUMMYFUNCTION("""COMPUTED_VALUE"""),0.0)</f>
        <v>0</v>
      </c>
      <c r="J220" s="3">
        <f>IFERROR(__xludf.DUMMYFUNCTION("""COMPUTED_VALUE"""),0.0)</f>
        <v>0</v>
      </c>
      <c r="K220" s="3">
        <f>IFERROR(__xludf.DUMMYFUNCTION("""COMPUTED_VALUE"""),0.0)</f>
        <v>0</v>
      </c>
      <c r="L220" s="3">
        <f>IFERROR(__xludf.DUMMYFUNCTION("""COMPUTED_VALUE"""),0.0)</f>
        <v>0</v>
      </c>
      <c r="M220" s="3">
        <f>IFERROR(__xludf.DUMMYFUNCTION("""COMPUTED_VALUE"""),0.0)</f>
        <v>0</v>
      </c>
      <c r="N220" s="3">
        <f>IFERROR(__xludf.DUMMYFUNCTION("""COMPUTED_VALUE"""),0.0)</f>
        <v>0</v>
      </c>
      <c r="O220" s="3">
        <f>IFERROR(__xludf.DUMMYFUNCTION("""COMPUTED_VALUE"""),0.0)</f>
        <v>0</v>
      </c>
      <c r="P220" s="3">
        <f>IFERROR(__xludf.DUMMYFUNCTION("""COMPUTED_VALUE"""),0.0)</f>
        <v>0</v>
      </c>
      <c r="Q220" s="3">
        <f>IFERROR(__xludf.DUMMYFUNCTION("""COMPUTED_VALUE"""),0.0)</f>
        <v>0</v>
      </c>
      <c r="R220" s="3">
        <f>IFERROR(__xludf.DUMMYFUNCTION("""COMPUTED_VALUE"""),0.0)</f>
        <v>0</v>
      </c>
      <c r="S220" s="3">
        <f>IFERROR(__xludf.DUMMYFUNCTION("""COMPUTED_VALUE"""),0.0)</f>
        <v>0</v>
      </c>
      <c r="T220" s="3">
        <f>IFERROR(__xludf.DUMMYFUNCTION("""COMPUTED_VALUE"""),0.0)</f>
        <v>0</v>
      </c>
      <c r="U220" s="3">
        <f>IFERROR(__xludf.DUMMYFUNCTION("""COMPUTED_VALUE"""),0.0)</f>
        <v>0</v>
      </c>
      <c r="V220" s="3">
        <f>IFERROR(__xludf.DUMMYFUNCTION("""COMPUTED_VALUE"""),0.0)</f>
        <v>0</v>
      </c>
      <c r="W220" s="3">
        <f>IFERROR(__xludf.DUMMYFUNCTION("""COMPUTED_VALUE"""),0.0)</f>
        <v>0</v>
      </c>
      <c r="X220" s="3">
        <f>IFERROR(__xludf.DUMMYFUNCTION("""COMPUTED_VALUE"""),0.0)</f>
        <v>0</v>
      </c>
      <c r="Y220" s="3">
        <f>IFERROR(__xludf.DUMMYFUNCTION("""COMPUTED_VALUE"""),0.0)</f>
        <v>0</v>
      </c>
      <c r="Z220" s="3">
        <f>IFERROR(__xludf.DUMMYFUNCTION("""COMPUTED_VALUE"""),0.0)</f>
        <v>0</v>
      </c>
      <c r="AA220" s="3">
        <f>IFERROR(__xludf.DUMMYFUNCTION("""COMPUTED_VALUE"""),0.0)</f>
        <v>0</v>
      </c>
      <c r="AB220" s="3">
        <f>IFERROR(__xludf.DUMMYFUNCTION("""COMPUTED_VALUE"""),0.0)</f>
        <v>0</v>
      </c>
      <c r="AC220" s="3">
        <f>IFERROR(__xludf.DUMMYFUNCTION("""COMPUTED_VALUE"""),0.0)</f>
        <v>0</v>
      </c>
      <c r="AD220" s="3">
        <f>IFERROR(__xludf.DUMMYFUNCTION("""COMPUTED_VALUE"""),0.0)</f>
        <v>0</v>
      </c>
      <c r="AE220" s="3">
        <f>IFERROR(__xludf.DUMMYFUNCTION("""COMPUTED_VALUE"""),0.0)</f>
        <v>0</v>
      </c>
      <c r="AF220" s="3">
        <f>IFERROR(__xludf.DUMMYFUNCTION("""COMPUTED_VALUE"""),0.0)</f>
        <v>0</v>
      </c>
      <c r="AG220" s="3">
        <f>IFERROR(__xludf.DUMMYFUNCTION("""COMPUTED_VALUE"""),0.0)</f>
        <v>0</v>
      </c>
      <c r="AH220" s="3">
        <f>IFERROR(__xludf.DUMMYFUNCTION("""COMPUTED_VALUE"""),0.0)</f>
        <v>0</v>
      </c>
      <c r="AI220" s="3">
        <f>IFERROR(__xludf.DUMMYFUNCTION("""COMPUTED_VALUE"""),0.0)</f>
        <v>0</v>
      </c>
      <c r="AJ220" s="3">
        <f>IFERROR(__xludf.DUMMYFUNCTION("""COMPUTED_VALUE"""),0.0)</f>
        <v>0</v>
      </c>
      <c r="AK220" s="3">
        <f>IFERROR(__xludf.DUMMYFUNCTION("""COMPUTED_VALUE"""),0.0)</f>
        <v>0</v>
      </c>
      <c r="AL220" s="3">
        <f>IFERROR(__xludf.DUMMYFUNCTION("""COMPUTED_VALUE"""),0.0)</f>
        <v>0</v>
      </c>
      <c r="AM220" s="3">
        <f>IFERROR(__xludf.DUMMYFUNCTION("""COMPUTED_VALUE"""),0.0)</f>
        <v>0</v>
      </c>
      <c r="AN220" s="3">
        <f>IFERROR(__xludf.DUMMYFUNCTION("""COMPUTED_VALUE"""),0.0)</f>
        <v>0</v>
      </c>
      <c r="AO220" s="3">
        <f>IFERROR(__xludf.DUMMYFUNCTION("""COMPUTED_VALUE"""),0.0)</f>
        <v>0</v>
      </c>
      <c r="AP220" s="3">
        <f>IFERROR(__xludf.DUMMYFUNCTION("""COMPUTED_VALUE"""),0.0)</f>
        <v>0</v>
      </c>
      <c r="AQ220" s="3">
        <f>IFERROR(__xludf.DUMMYFUNCTION("""COMPUTED_VALUE"""),0.0)</f>
        <v>0</v>
      </c>
      <c r="AR220" s="3">
        <f>IFERROR(__xludf.DUMMYFUNCTION("""COMPUTED_VALUE"""),0.0)</f>
        <v>0</v>
      </c>
      <c r="AS220" s="3">
        <f>IFERROR(__xludf.DUMMYFUNCTION("""COMPUTED_VALUE"""),0.0)</f>
        <v>0</v>
      </c>
      <c r="AT220" s="3">
        <f>IFERROR(__xludf.DUMMYFUNCTION("""COMPUTED_VALUE"""),0.0)</f>
        <v>0</v>
      </c>
      <c r="AU220" s="3">
        <f>IFERROR(__xludf.DUMMYFUNCTION("""COMPUTED_VALUE"""),0.0)</f>
        <v>0</v>
      </c>
      <c r="AV220" s="3">
        <f>IFERROR(__xludf.DUMMYFUNCTION("""COMPUTED_VALUE"""),0.0)</f>
        <v>0</v>
      </c>
      <c r="AW220" s="3">
        <f>IFERROR(__xludf.DUMMYFUNCTION("""COMPUTED_VALUE"""),0.0)</f>
        <v>0</v>
      </c>
      <c r="AX220" s="3">
        <f>IFERROR(__xludf.DUMMYFUNCTION("""COMPUTED_VALUE"""),0.0)</f>
        <v>0</v>
      </c>
      <c r="AY220" s="3">
        <f>IFERROR(__xludf.DUMMYFUNCTION("""COMPUTED_VALUE"""),0.0)</f>
        <v>0</v>
      </c>
      <c r="AZ220" s="3">
        <f>IFERROR(__xludf.DUMMYFUNCTION("""COMPUTED_VALUE"""),0.0)</f>
        <v>0</v>
      </c>
      <c r="BA220" s="3">
        <f>IFERROR(__xludf.DUMMYFUNCTION("""COMPUTED_VALUE"""),0.0)</f>
        <v>0</v>
      </c>
      <c r="BB220" s="3">
        <f>IFERROR(__xludf.DUMMYFUNCTION("""COMPUTED_VALUE"""),0.0)</f>
        <v>0</v>
      </c>
      <c r="BC220" s="3">
        <f>IFERROR(__xludf.DUMMYFUNCTION("""COMPUTED_VALUE"""),0.0)</f>
        <v>0</v>
      </c>
      <c r="BD220" s="3">
        <f>IFERROR(__xludf.DUMMYFUNCTION("""COMPUTED_VALUE"""),0.0)</f>
        <v>0</v>
      </c>
      <c r="BE220" s="3">
        <f>IFERROR(__xludf.DUMMYFUNCTION("""COMPUTED_VALUE"""),0.0)</f>
        <v>0</v>
      </c>
      <c r="BF220" s="3">
        <f>IFERROR(__xludf.DUMMYFUNCTION("""COMPUTED_VALUE"""),0.0)</f>
        <v>0</v>
      </c>
      <c r="BG220" s="3">
        <f>IFERROR(__xludf.DUMMYFUNCTION("""COMPUTED_VALUE"""),1.0)</f>
        <v>1</v>
      </c>
      <c r="BH220" s="3">
        <f>IFERROR(__xludf.DUMMYFUNCTION("""COMPUTED_VALUE"""),1.0)</f>
        <v>1</v>
      </c>
      <c r="BI220" s="3">
        <f>IFERROR(__xludf.DUMMYFUNCTION("""COMPUTED_VALUE"""),1.0)</f>
        <v>1</v>
      </c>
      <c r="BJ220" s="3">
        <f>IFERROR(__xludf.DUMMYFUNCTION("""COMPUTED_VALUE"""),1.0)</f>
        <v>1</v>
      </c>
      <c r="BK220" s="3">
        <f>IFERROR(__xludf.DUMMYFUNCTION("""COMPUTED_VALUE"""),1.0)</f>
        <v>1</v>
      </c>
      <c r="BL220" s="3">
        <f>IFERROR(__xludf.DUMMYFUNCTION("""COMPUTED_VALUE"""),1.0)</f>
        <v>1</v>
      </c>
      <c r="BM220" s="3">
        <f>IFERROR(__xludf.DUMMYFUNCTION("""COMPUTED_VALUE"""),1.0)</f>
        <v>1</v>
      </c>
      <c r="BN220" s="3">
        <f>IFERROR(__xludf.DUMMYFUNCTION("""COMPUTED_VALUE"""),1.0)</f>
        <v>1</v>
      </c>
      <c r="BO220" s="3">
        <f>IFERROR(__xludf.DUMMYFUNCTION("""COMPUTED_VALUE"""),1.0)</f>
        <v>1</v>
      </c>
      <c r="BP220" s="3">
        <f>IFERROR(__xludf.DUMMYFUNCTION("""COMPUTED_VALUE"""),1.0)</f>
        <v>1</v>
      </c>
      <c r="BQ220" s="3">
        <f>IFERROR(__xludf.DUMMYFUNCTION("""COMPUTED_VALUE"""),1.0)</f>
        <v>1</v>
      </c>
      <c r="BR220" s="3">
        <f>IFERROR(__xludf.DUMMYFUNCTION("""COMPUTED_VALUE"""),1.0)</f>
        <v>1</v>
      </c>
      <c r="BS220" s="3">
        <f>IFERROR(__xludf.DUMMYFUNCTION("""COMPUTED_VALUE"""),1.0)</f>
        <v>1</v>
      </c>
      <c r="BT220" s="3">
        <f>IFERROR(__xludf.DUMMYFUNCTION("""COMPUTED_VALUE"""),1.0)</f>
        <v>1</v>
      </c>
      <c r="BU220" s="3">
        <f>IFERROR(__xludf.DUMMYFUNCTION("""COMPUTED_VALUE"""),1.0)</f>
        <v>1</v>
      </c>
      <c r="BV220" s="3">
        <f>IFERROR(__xludf.DUMMYFUNCTION("""COMPUTED_VALUE"""),1.0)</f>
        <v>1</v>
      </c>
      <c r="BW220" s="3">
        <f>IFERROR(__xludf.DUMMYFUNCTION("""COMPUTED_VALUE"""),1.0)</f>
        <v>1</v>
      </c>
      <c r="BX220" s="3">
        <f>IFERROR(__xludf.DUMMYFUNCTION("""COMPUTED_VALUE"""),1.0)</f>
        <v>1</v>
      </c>
      <c r="BY220" s="3">
        <f>IFERROR(__xludf.DUMMYFUNCTION("""COMPUTED_VALUE"""),1.0)</f>
        <v>1</v>
      </c>
      <c r="BZ220" s="3">
        <f>IFERROR(__xludf.DUMMYFUNCTION("""COMPUTED_VALUE"""),1.0)</f>
        <v>1</v>
      </c>
      <c r="CA220" s="3">
        <f>IFERROR(__xludf.DUMMYFUNCTION("""COMPUTED_VALUE"""),1.0)</f>
        <v>1</v>
      </c>
      <c r="CB220" s="3">
        <f>IFERROR(__xludf.DUMMYFUNCTION("""COMPUTED_VALUE"""),1.0)</f>
        <v>1</v>
      </c>
    </row>
    <row r="221">
      <c r="A221" s="3" t="str">
        <f>IFERROR(__xludf.DUMMYFUNCTION("""COMPUTED_VALUE"""),"Channel Islands")</f>
        <v>Channel Islands</v>
      </c>
      <c r="B221" s="3" t="str">
        <f>IFERROR(__xludf.DUMMYFUNCTION("""COMPUTED_VALUE"""),"United Kingdom")</f>
        <v>United Kingdom</v>
      </c>
      <c r="C221" s="3">
        <f>IFERROR(__xludf.DUMMYFUNCTION("""COMPUTED_VALUE"""),49.3723)</f>
        <v>49.3723</v>
      </c>
      <c r="D221" s="3">
        <f>IFERROR(__xludf.DUMMYFUNCTION("""COMPUTED_VALUE"""),-2.3644)</f>
        <v>-2.3644</v>
      </c>
      <c r="E221" s="3">
        <f>IFERROR(__xludf.DUMMYFUNCTION("""COMPUTED_VALUE"""),0.0)</f>
        <v>0</v>
      </c>
      <c r="F221" s="3">
        <f>IFERROR(__xludf.DUMMYFUNCTION("""COMPUTED_VALUE"""),0.0)</f>
        <v>0</v>
      </c>
      <c r="G221" s="3">
        <f>IFERROR(__xludf.DUMMYFUNCTION("""COMPUTED_VALUE"""),0.0)</f>
        <v>0</v>
      </c>
      <c r="H221" s="3">
        <f>IFERROR(__xludf.DUMMYFUNCTION("""COMPUTED_VALUE"""),0.0)</f>
        <v>0</v>
      </c>
      <c r="I221" s="3">
        <f>IFERROR(__xludf.DUMMYFUNCTION("""COMPUTED_VALUE"""),0.0)</f>
        <v>0</v>
      </c>
      <c r="J221" s="3">
        <f>IFERROR(__xludf.DUMMYFUNCTION("""COMPUTED_VALUE"""),0.0)</f>
        <v>0</v>
      </c>
      <c r="K221" s="3">
        <f>IFERROR(__xludf.DUMMYFUNCTION("""COMPUTED_VALUE"""),0.0)</f>
        <v>0</v>
      </c>
      <c r="L221" s="3">
        <f>IFERROR(__xludf.DUMMYFUNCTION("""COMPUTED_VALUE"""),0.0)</f>
        <v>0</v>
      </c>
      <c r="M221" s="3">
        <f>IFERROR(__xludf.DUMMYFUNCTION("""COMPUTED_VALUE"""),0.0)</f>
        <v>0</v>
      </c>
      <c r="N221" s="3">
        <f>IFERROR(__xludf.DUMMYFUNCTION("""COMPUTED_VALUE"""),0.0)</f>
        <v>0</v>
      </c>
      <c r="O221" s="3">
        <f>IFERROR(__xludf.DUMMYFUNCTION("""COMPUTED_VALUE"""),0.0)</f>
        <v>0</v>
      </c>
      <c r="P221" s="3">
        <f>IFERROR(__xludf.DUMMYFUNCTION("""COMPUTED_VALUE"""),0.0)</f>
        <v>0</v>
      </c>
      <c r="Q221" s="3">
        <f>IFERROR(__xludf.DUMMYFUNCTION("""COMPUTED_VALUE"""),0.0)</f>
        <v>0</v>
      </c>
      <c r="R221" s="3">
        <f>IFERROR(__xludf.DUMMYFUNCTION("""COMPUTED_VALUE"""),0.0)</f>
        <v>0</v>
      </c>
      <c r="S221" s="3">
        <f>IFERROR(__xludf.DUMMYFUNCTION("""COMPUTED_VALUE"""),0.0)</f>
        <v>0</v>
      </c>
      <c r="T221" s="3">
        <f>IFERROR(__xludf.DUMMYFUNCTION("""COMPUTED_VALUE"""),0.0)</f>
        <v>0</v>
      </c>
      <c r="U221" s="3">
        <f>IFERROR(__xludf.DUMMYFUNCTION("""COMPUTED_VALUE"""),0.0)</f>
        <v>0</v>
      </c>
      <c r="V221" s="3">
        <f>IFERROR(__xludf.DUMMYFUNCTION("""COMPUTED_VALUE"""),0.0)</f>
        <v>0</v>
      </c>
      <c r="W221" s="3">
        <f>IFERROR(__xludf.DUMMYFUNCTION("""COMPUTED_VALUE"""),0.0)</f>
        <v>0</v>
      </c>
      <c r="X221" s="3">
        <f>IFERROR(__xludf.DUMMYFUNCTION("""COMPUTED_VALUE"""),0.0)</f>
        <v>0</v>
      </c>
      <c r="Y221" s="3">
        <f>IFERROR(__xludf.DUMMYFUNCTION("""COMPUTED_VALUE"""),0.0)</f>
        <v>0</v>
      </c>
      <c r="Z221" s="3">
        <f>IFERROR(__xludf.DUMMYFUNCTION("""COMPUTED_VALUE"""),0.0)</f>
        <v>0</v>
      </c>
      <c r="AA221" s="3">
        <f>IFERROR(__xludf.DUMMYFUNCTION("""COMPUTED_VALUE"""),0.0)</f>
        <v>0</v>
      </c>
      <c r="AB221" s="3">
        <f>IFERROR(__xludf.DUMMYFUNCTION("""COMPUTED_VALUE"""),0.0)</f>
        <v>0</v>
      </c>
      <c r="AC221" s="3">
        <f>IFERROR(__xludf.DUMMYFUNCTION("""COMPUTED_VALUE"""),0.0)</f>
        <v>0</v>
      </c>
      <c r="AD221" s="3">
        <f>IFERROR(__xludf.DUMMYFUNCTION("""COMPUTED_VALUE"""),0.0)</f>
        <v>0</v>
      </c>
      <c r="AE221" s="3">
        <f>IFERROR(__xludf.DUMMYFUNCTION("""COMPUTED_VALUE"""),0.0)</f>
        <v>0</v>
      </c>
      <c r="AF221" s="3">
        <f>IFERROR(__xludf.DUMMYFUNCTION("""COMPUTED_VALUE"""),0.0)</f>
        <v>0</v>
      </c>
      <c r="AG221" s="3">
        <f>IFERROR(__xludf.DUMMYFUNCTION("""COMPUTED_VALUE"""),0.0)</f>
        <v>0</v>
      </c>
      <c r="AH221" s="3">
        <f>IFERROR(__xludf.DUMMYFUNCTION("""COMPUTED_VALUE"""),0.0)</f>
        <v>0</v>
      </c>
      <c r="AI221" s="3">
        <f>IFERROR(__xludf.DUMMYFUNCTION("""COMPUTED_VALUE"""),0.0)</f>
        <v>0</v>
      </c>
      <c r="AJ221" s="3">
        <f>IFERROR(__xludf.DUMMYFUNCTION("""COMPUTED_VALUE"""),0.0)</f>
        <v>0</v>
      </c>
      <c r="AK221" s="3">
        <f>IFERROR(__xludf.DUMMYFUNCTION("""COMPUTED_VALUE"""),0.0)</f>
        <v>0</v>
      </c>
      <c r="AL221" s="3">
        <f>IFERROR(__xludf.DUMMYFUNCTION("""COMPUTED_VALUE"""),0.0)</f>
        <v>0</v>
      </c>
      <c r="AM221" s="3">
        <f>IFERROR(__xludf.DUMMYFUNCTION("""COMPUTED_VALUE"""),0.0)</f>
        <v>0</v>
      </c>
      <c r="AN221" s="3">
        <f>IFERROR(__xludf.DUMMYFUNCTION("""COMPUTED_VALUE"""),0.0)</f>
        <v>0</v>
      </c>
      <c r="AO221" s="3">
        <f>IFERROR(__xludf.DUMMYFUNCTION("""COMPUTED_VALUE"""),0.0)</f>
        <v>0</v>
      </c>
      <c r="AP221" s="3">
        <f>IFERROR(__xludf.DUMMYFUNCTION("""COMPUTED_VALUE"""),0.0)</f>
        <v>0</v>
      </c>
      <c r="AQ221" s="3">
        <f>IFERROR(__xludf.DUMMYFUNCTION("""COMPUTED_VALUE"""),0.0)</f>
        <v>0</v>
      </c>
      <c r="AR221" s="3">
        <f>IFERROR(__xludf.DUMMYFUNCTION("""COMPUTED_VALUE"""),0.0)</f>
        <v>0</v>
      </c>
      <c r="AS221" s="3">
        <f>IFERROR(__xludf.DUMMYFUNCTION("""COMPUTED_VALUE"""),0.0)</f>
        <v>0</v>
      </c>
      <c r="AT221" s="3">
        <f>IFERROR(__xludf.DUMMYFUNCTION("""COMPUTED_VALUE"""),0.0)</f>
        <v>0</v>
      </c>
      <c r="AU221" s="3">
        <f>IFERROR(__xludf.DUMMYFUNCTION("""COMPUTED_VALUE"""),0.0)</f>
        <v>0</v>
      </c>
      <c r="AV221" s="3">
        <f>IFERROR(__xludf.DUMMYFUNCTION("""COMPUTED_VALUE"""),0.0)</f>
        <v>0</v>
      </c>
      <c r="AW221" s="3">
        <f>IFERROR(__xludf.DUMMYFUNCTION("""COMPUTED_VALUE"""),0.0)</f>
        <v>0</v>
      </c>
      <c r="AX221" s="3">
        <f>IFERROR(__xludf.DUMMYFUNCTION("""COMPUTED_VALUE"""),0.0)</f>
        <v>0</v>
      </c>
      <c r="AY221" s="3">
        <f>IFERROR(__xludf.DUMMYFUNCTION("""COMPUTED_VALUE"""),0.0)</f>
        <v>0</v>
      </c>
      <c r="AZ221" s="3">
        <f>IFERROR(__xludf.DUMMYFUNCTION("""COMPUTED_VALUE"""),0.0)</f>
        <v>0</v>
      </c>
      <c r="BA221" s="3">
        <f>IFERROR(__xludf.DUMMYFUNCTION("""COMPUTED_VALUE"""),0.0)</f>
        <v>0</v>
      </c>
      <c r="BB221" s="3">
        <f>IFERROR(__xludf.DUMMYFUNCTION("""COMPUTED_VALUE"""),0.0)</f>
        <v>0</v>
      </c>
      <c r="BC221" s="3">
        <f>IFERROR(__xludf.DUMMYFUNCTION("""COMPUTED_VALUE"""),0.0)</f>
        <v>0</v>
      </c>
      <c r="BD221" s="3">
        <f>IFERROR(__xludf.DUMMYFUNCTION("""COMPUTED_VALUE"""),0.0)</f>
        <v>0</v>
      </c>
      <c r="BE221" s="3">
        <f>IFERROR(__xludf.DUMMYFUNCTION("""COMPUTED_VALUE"""),0.0)</f>
        <v>0</v>
      </c>
      <c r="BF221" s="3">
        <f>IFERROR(__xludf.DUMMYFUNCTION("""COMPUTED_VALUE"""),0.0)</f>
        <v>0</v>
      </c>
      <c r="BG221" s="3">
        <f>IFERROR(__xludf.DUMMYFUNCTION("""COMPUTED_VALUE"""),0.0)</f>
        <v>0</v>
      </c>
      <c r="BH221" s="3">
        <f>IFERROR(__xludf.DUMMYFUNCTION("""COMPUTED_VALUE"""),0.0)</f>
        <v>0</v>
      </c>
      <c r="BI221" s="3">
        <f>IFERROR(__xludf.DUMMYFUNCTION("""COMPUTED_VALUE"""),0.0)</f>
        <v>0</v>
      </c>
      <c r="BJ221" s="3">
        <f>IFERROR(__xludf.DUMMYFUNCTION("""COMPUTED_VALUE"""),0.0)</f>
        <v>0</v>
      </c>
      <c r="BK221" s="3">
        <f>IFERROR(__xludf.DUMMYFUNCTION("""COMPUTED_VALUE"""),0.0)</f>
        <v>0</v>
      </c>
      <c r="BL221" s="3">
        <f>IFERROR(__xludf.DUMMYFUNCTION("""COMPUTED_VALUE"""),0.0)</f>
        <v>0</v>
      </c>
      <c r="BM221" s="3">
        <f>IFERROR(__xludf.DUMMYFUNCTION("""COMPUTED_VALUE"""),0.0)</f>
        <v>0</v>
      </c>
      <c r="BN221" s="3">
        <f>IFERROR(__xludf.DUMMYFUNCTION("""COMPUTED_VALUE"""),0.0)</f>
        <v>0</v>
      </c>
      <c r="BO221" s="3">
        <f>IFERROR(__xludf.DUMMYFUNCTION("""COMPUTED_VALUE"""),0.0)</f>
        <v>0</v>
      </c>
      <c r="BP221" s="3">
        <f>IFERROR(__xludf.DUMMYFUNCTION("""COMPUTED_VALUE"""),0.0)</f>
        <v>0</v>
      </c>
      <c r="BQ221" s="3">
        <f>IFERROR(__xludf.DUMMYFUNCTION("""COMPUTED_VALUE"""),1.0)</f>
        <v>1</v>
      </c>
      <c r="BR221" s="3">
        <f>IFERROR(__xludf.DUMMYFUNCTION("""COMPUTED_VALUE"""),1.0)</f>
        <v>1</v>
      </c>
      <c r="BS221" s="3">
        <f>IFERROR(__xludf.DUMMYFUNCTION("""COMPUTED_VALUE"""),1.0)</f>
        <v>1</v>
      </c>
      <c r="BT221" s="3">
        <f>IFERROR(__xludf.DUMMYFUNCTION("""COMPUTED_VALUE"""),2.0)</f>
        <v>2</v>
      </c>
      <c r="BU221" s="3">
        <f>IFERROR(__xludf.DUMMYFUNCTION("""COMPUTED_VALUE"""),2.0)</f>
        <v>2</v>
      </c>
      <c r="BV221" s="3">
        <f>IFERROR(__xludf.DUMMYFUNCTION("""COMPUTED_VALUE"""),3.0)</f>
        <v>3</v>
      </c>
      <c r="BW221" s="3">
        <f>IFERROR(__xludf.DUMMYFUNCTION("""COMPUTED_VALUE"""),3.0)</f>
        <v>3</v>
      </c>
      <c r="BX221" s="3">
        <f>IFERROR(__xludf.DUMMYFUNCTION("""COMPUTED_VALUE"""),3.0)</f>
        <v>3</v>
      </c>
      <c r="BY221" s="3">
        <f>IFERROR(__xludf.DUMMYFUNCTION("""COMPUTED_VALUE"""),4.0)</f>
        <v>4</v>
      </c>
      <c r="BZ221" s="3">
        <f>IFERROR(__xludf.DUMMYFUNCTION("""COMPUTED_VALUE"""),5.0)</f>
        <v>5</v>
      </c>
      <c r="CA221" s="3">
        <f>IFERROR(__xludf.DUMMYFUNCTION("""COMPUTED_VALUE"""),6.0)</f>
        <v>6</v>
      </c>
      <c r="CB221" s="3">
        <f>IFERROR(__xludf.DUMMYFUNCTION("""COMPUTED_VALUE"""),7.0)</f>
        <v>7</v>
      </c>
    </row>
    <row r="222">
      <c r="A222" s="3" t="str">
        <f>IFERROR(__xludf.DUMMYFUNCTION("""COMPUTED_VALUE"""),"Gibraltar")</f>
        <v>Gibraltar</v>
      </c>
      <c r="B222" s="3" t="str">
        <f>IFERROR(__xludf.DUMMYFUNCTION("""COMPUTED_VALUE"""),"United Kingdom")</f>
        <v>United Kingdom</v>
      </c>
      <c r="C222" s="3">
        <f>IFERROR(__xludf.DUMMYFUNCTION("""COMPUTED_VALUE"""),36.1408)</f>
        <v>36.1408</v>
      </c>
      <c r="D222" s="3">
        <f>IFERROR(__xludf.DUMMYFUNCTION("""COMPUTED_VALUE"""),-5.3536)</f>
        <v>-5.3536</v>
      </c>
      <c r="E222" s="3">
        <f>IFERROR(__xludf.DUMMYFUNCTION("""COMPUTED_VALUE"""),0.0)</f>
        <v>0</v>
      </c>
      <c r="F222" s="3">
        <f>IFERROR(__xludf.DUMMYFUNCTION("""COMPUTED_VALUE"""),0.0)</f>
        <v>0</v>
      </c>
      <c r="G222" s="3">
        <f>IFERROR(__xludf.DUMMYFUNCTION("""COMPUTED_VALUE"""),0.0)</f>
        <v>0</v>
      </c>
      <c r="H222" s="3">
        <f>IFERROR(__xludf.DUMMYFUNCTION("""COMPUTED_VALUE"""),0.0)</f>
        <v>0</v>
      </c>
      <c r="I222" s="3">
        <f>IFERROR(__xludf.DUMMYFUNCTION("""COMPUTED_VALUE"""),0.0)</f>
        <v>0</v>
      </c>
      <c r="J222" s="3">
        <f>IFERROR(__xludf.DUMMYFUNCTION("""COMPUTED_VALUE"""),0.0)</f>
        <v>0</v>
      </c>
      <c r="K222" s="3">
        <f>IFERROR(__xludf.DUMMYFUNCTION("""COMPUTED_VALUE"""),0.0)</f>
        <v>0</v>
      </c>
      <c r="L222" s="3">
        <f>IFERROR(__xludf.DUMMYFUNCTION("""COMPUTED_VALUE"""),0.0)</f>
        <v>0</v>
      </c>
      <c r="M222" s="3">
        <f>IFERROR(__xludf.DUMMYFUNCTION("""COMPUTED_VALUE"""),0.0)</f>
        <v>0</v>
      </c>
      <c r="N222" s="3">
        <f>IFERROR(__xludf.DUMMYFUNCTION("""COMPUTED_VALUE"""),0.0)</f>
        <v>0</v>
      </c>
      <c r="O222" s="3">
        <f>IFERROR(__xludf.DUMMYFUNCTION("""COMPUTED_VALUE"""),0.0)</f>
        <v>0</v>
      </c>
      <c r="P222" s="3">
        <f>IFERROR(__xludf.DUMMYFUNCTION("""COMPUTED_VALUE"""),0.0)</f>
        <v>0</v>
      </c>
      <c r="Q222" s="3">
        <f>IFERROR(__xludf.DUMMYFUNCTION("""COMPUTED_VALUE"""),0.0)</f>
        <v>0</v>
      </c>
      <c r="R222" s="3">
        <f>IFERROR(__xludf.DUMMYFUNCTION("""COMPUTED_VALUE"""),0.0)</f>
        <v>0</v>
      </c>
      <c r="S222" s="3">
        <f>IFERROR(__xludf.DUMMYFUNCTION("""COMPUTED_VALUE"""),0.0)</f>
        <v>0</v>
      </c>
      <c r="T222" s="3">
        <f>IFERROR(__xludf.DUMMYFUNCTION("""COMPUTED_VALUE"""),0.0)</f>
        <v>0</v>
      </c>
      <c r="U222" s="3">
        <f>IFERROR(__xludf.DUMMYFUNCTION("""COMPUTED_VALUE"""),0.0)</f>
        <v>0</v>
      </c>
      <c r="V222" s="3">
        <f>IFERROR(__xludf.DUMMYFUNCTION("""COMPUTED_VALUE"""),0.0)</f>
        <v>0</v>
      </c>
      <c r="W222" s="3">
        <f>IFERROR(__xludf.DUMMYFUNCTION("""COMPUTED_VALUE"""),0.0)</f>
        <v>0</v>
      </c>
      <c r="X222" s="3">
        <f>IFERROR(__xludf.DUMMYFUNCTION("""COMPUTED_VALUE"""),0.0)</f>
        <v>0</v>
      </c>
      <c r="Y222" s="3">
        <f>IFERROR(__xludf.DUMMYFUNCTION("""COMPUTED_VALUE"""),0.0)</f>
        <v>0</v>
      </c>
      <c r="Z222" s="3">
        <f>IFERROR(__xludf.DUMMYFUNCTION("""COMPUTED_VALUE"""),0.0)</f>
        <v>0</v>
      </c>
      <c r="AA222" s="3">
        <f>IFERROR(__xludf.DUMMYFUNCTION("""COMPUTED_VALUE"""),0.0)</f>
        <v>0</v>
      </c>
      <c r="AB222" s="3">
        <f>IFERROR(__xludf.DUMMYFUNCTION("""COMPUTED_VALUE"""),0.0)</f>
        <v>0</v>
      </c>
      <c r="AC222" s="3">
        <f>IFERROR(__xludf.DUMMYFUNCTION("""COMPUTED_VALUE"""),0.0)</f>
        <v>0</v>
      </c>
      <c r="AD222" s="3">
        <f>IFERROR(__xludf.DUMMYFUNCTION("""COMPUTED_VALUE"""),0.0)</f>
        <v>0</v>
      </c>
      <c r="AE222" s="3">
        <f>IFERROR(__xludf.DUMMYFUNCTION("""COMPUTED_VALUE"""),0.0)</f>
        <v>0</v>
      </c>
      <c r="AF222" s="3">
        <f>IFERROR(__xludf.DUMMYFUNCTION("""COMPUTED_VALUE"""),0.0)</f>
        <v>0</v>
      </c>
      <c r="AG222" s="3">
        <f>IFERROR(__xludf.DUMMYFUNCTION("""COMPUTED_VALUE"""),0.0)</f>
        <v>0</v>
      </c>
      <c r="AH222" s="3">
        <f>IFERROR(__xludf.DUMMYFUNCTION("""COMPUTED_VALUE"""),0.0)</f>
        <v>0</v>
      </c>
      <c r="AI222" s="3">
        <f>IFERROR(__xludf.DUMMYFUNCTION("""COMPUTED_VALUE"""),0.0)</f>
        <v>0</v>
      </c>
      <c r="AJ222" s="3">
        <f>IFERROR(__xludf.DUMMYFUNCTION("""COMPUTED_VALUE"""),0.0)</f>
        <v>0</v>
      </c>
      <c r="AK222" s="3">
        <f>IFERROR(__xludf.DUMMYFUNCTION("""COMPUTED_VALUE"""),0.0)</f>
        <v>0</v>
      </c>
      <c r="AL222" s="3">
        <f>IFERROR(__xludf.DUMMYFUNCTION("""COMPUTED_VALUE"""),0.0)</f>
        <v>0</v>
      </c>
      <c r="AM222" s="3">
        <f>IFERROR(__xludf.DUMMYFUNCTION("""COMPUTED_VALUE"""),0.0)</f>
        <v>0</v>
      </c>
      <c r="AN222" s="3">
        <f>IFERROR(__xludf.DUMMYFUNCTION("""COMPUTED_VALUE"""),0.0)</f>
        <v>0</v>
      </c>
      <c r="AO222" s="3">
        <f>IFERROR(__xludf.DUMMYFUNCTION("""COMPUTED_VALUE"""),0.0)</f>
        <v>0</v>
      </c>
      <c r="AP222" s="3">
        <f>IFERROR(__xludf.DUMMYFUNCTION("""COMPUTED_VALUE"""),0.0)</f>
        <v>0</v>
      </c>
      <c r="AQ222" s="3">
        <f>IFERROR(__xludf.DUMMYFUNCTION("""COMPUTED_VALUE"""),0.0)</f>
        <v>0</v>
      </c>
      <c r="AR222" s="3">
        <f>IFERROR(__xludf.DUMMYFUNCTION("""COMPUTED_VALUE"""),0.0)</f>
        <v>0</v>
      </c>
      <c r="AS222" s="3">
        <f>IFERROR(__xludf.DUMMYFUNCTION("""COMPUTED_VALUE"""),0.0)</f>
        <v>0</v>
      </c>
      <c r="AT222" s="3">
        <f>IFERROR(__xludf.DUMMYFUNCTION("""COMPUTED_VALUE"""),0.0)</f>
        <v>0</v>
      </c>
      <c r="AU222" s="3">
        <f>IFERROR(__xludf.DUMMYFUNCTION("""COMPUTED_VALUE"""),0.0)</f>
        <v>0</v>
      </c>
      <c r="AV222" s="3">
        <f>IFERROR(__xludf.DUMMYFUNCTION("""COMPUTED_VALUE"""),0.0)</f>
        <v>0</v>
      </c>
      <c r="AW222" s="3">
        <f>IFERROR(__xludf.DUMMYFUNCTION("""COMPUTED_VALUE"""),0.0)</f>
        <v>0</v>
      </c>
      <c r="AX222" s="3">
        <f>IFERROR(__xludf.DUMMYFUNCTION("""COMPUTED_VALUE"""),0.0)</f>
        <v>0</v>
      </c>
      <c r="AY222" s="3">
        <f>IFERROR(__xludf.DUMMYFUNCTION("""COMPUTED_VALUE"""),0.0)</f>
        <v>0</v>
      </c>
      <c r="AZ222" s="3">
        <f>IFERROR(__xludf.DUMMYFUNCTION("""COMPUTED_VALUE"""),0.0)</f>
        <v>0</v>
      </c>
      <c r="BA222" s="3">
        <f>IFERROR(__xludf.DUMMYFUNCTION("""COMPUTED_VALUE"""),0.0)</f>
        <v>0</v>
      </c>
      <c r="BB222" s="3">
        <f>IFERROR(__xludf.DUMMYFUNCTION("""COMPUTED_VALUE"""),0.0)</f>
        <v>0</v>
      </c>
      <c r="BC222" s="3">
        <f>IFERROR(__xludf.DUMMYFUNCTION("""COMPUTED_VALUE"""),0.0)</f>
        <v>0</v>
      </c>
      <c r="BD222" s="3">
        <f>IFERROR(__xludf.DUMMYFUNCTION("""COMPUTED_VALUE"""),0.0)</f>
        <v>0</v>
      </c>
      <c r="BE222" s="3">
        <f>IFERROR(__xludf.DUMMYFUNCTION("""COMPUTED_VALUE"""),0.0)</f>
        <v>0</v>
      </c>
      <c r="BF222" s="3">
        <f>IFERROR(__xludf.DUMMYFUNCTION("""COMPUTED_VALUE"""),0.0)</f>
        <v>0</v>
      </c>
      <c r="BG222" s="3">
        <f>IFERROR(__xludf.DUMMYFUNCTION("""COMPUTED_VALUE"""),0.0)</f>
        <v>0</v>
      </c>
      <c r="BH222" s="3">
        <f>IFERROR(__xludf.DUMMYFUNCTION("""COMPUTED_VALUE"""),0.0)</f>
        <v>0</v>
      </c>
      <c r="BI222" s="3">
        <f>IFERROR(__xludf.DUMMYFUNCTION("""COMPUTED_VALUE"""),0.0)</f>
        <v>0</v>
      </c>
      <c r="BJ222" s="3">
        <f>IFERROR(__xludf.DUMMYFUNCTION("""COMPUTED_VALUE"""),0.0)</f>
        <v>0</v>
      </c>
      <c r="BK222" s="3">
        <f>IFERROR(__xludf.DUMMYFUNCTION("""COMPUTED_VALUE"""),0.0)</f>
        <v>0</v>
      </c>
      <c r="BL222" s="3">
        <f>IFERROR(__xludf.DUMMYFUNCTION("""COMPUTED_VALUE"""),0.0)</f>
        <v>0</v>
      </c>
      <c r="BM222" s="3">
        <f>IFERROR(__xludf.DUMMYFUNCTION("""COMPUTED_VALUE"""),0.0)</f>
        <v>0</v>
      </c>
      <c r="BN222" s="3">
        <f>IFERROR(__xludf.DUMMYFUNCTION("""COMPUTED_VALUE"""),0.0)</f>
        <v>0</v>
      </c>
      <c r="BO222" s="3">
        <f>IFERROR(__xludf.DUMMYFUNCTION("""COMPUTED_VALUE"""),0.0)</f>
        <v>0</v>
      </c>
      <c r="BP222" s="3">
        <f>IFERROR(__xludf.DUMMYFUNCTION("""COMPUTED_VALUE"""),0.0)</f>
        <v>0</v>
      </c>
      <c r="BQ222" s="3">
        <f>IFERROR(__xludf.DUMMYFUNCTION("""COMPUTED_VALUE"""),0.0)</f>
        <v>0</v>
      </c>
      <c r="BR222" s="3">
        <f>IFERROR(__xludf.DUMMYFUNCTION("""COMPUTED_VALUE"""),0.0)</f>
        <v>0</v>
      </c>
      <c r="BS222" s="3">
        <f>IFERROR(__xludf.DUMMYFUNCTION("""COMPUTED_VALUE"""),0.0)</f>
        <v>0</v>
      </c>
      <c r="BT222" s="3">
        <f>IFERROR(__xludf.DUMMYFUNCTION("""COMPUTED_VALUE"""),0.0)</f>
        <v>0</v>
      </c>
      <c r="BU222" s="3">
        <f>IFERROR(__xludf.DUMMYFUNCTION("""COMPUTED_VALUE"""),0.0)</f>
        <v>0</v>
      </c>
      <c r="BV222" s="3">
        <f>IFERROR(__xludf.DUMMYFUNCTION("""COMPUTED_VALUE"""),0.0)</f>
        <v>0</v>
      </c>
      <c r="BW222" s="3">
        <f>IFERROR(__xludf.DUMMYFUNCTION("""COMPUTED_VALUE"""),0.0)</f>
        <v>0</v>
      </c>
      <c r="BX222" s="3">
        <f>IFERROR(__xludf.DUMMYFUNCTION("""COMPUTED_VALUE"""),0.0)</f>
        <v>0</v>
      </c>
      <c r="BY222" s="3">
        <f>IFERROR(__xludf.DUMMYFUNCTION("""COMPUTED_VALUE"""),0.0)</f>
        <v>0</v>
      </c>
      <c r="BZ222" s="3">
        <f>IFERROR(__xludf.DUMMYFUNCTION("""COMPUTED_VALUE"""),0.0)</f>
        <v>0</v>
      </c>
      <c r="CA222" s="3">
        <f>IFERROR(__xludf.DUMMYFUNCTION("""COMPUTED_VALUE"""),0.0)</f>
        <v>0</v>
      </c>
      <c r="CB222" s="3">
        <f>IFERROR(__xludf.DUMMYFUNCTION("""COMPUTED_VALUE"""),0.0)</f>
        <v>0</v>
      </c>
    </row>
    <row r="223">
      <c r="A223" s="3" t="str">
        <f>IFERROR(__xludf.DUMMYFUNCTION("""COMPUTED_VALUE"""),"Isle of Man")</f>
        <v>Isle of Man</v>
      </c>
      <c r="B223" s="3" t="str">
        <f>IFERROR(__xludf.DUMMYFUNCTION("""COMPUTED_VALUE"""),"United Kingdom")</f>
        <v>United Kingdom</v>
      </c>
      <c r="C223" s="3">
        <f>IFERROR(__xludf.DUMMYFUNCTION("""COMPUTED_VALUE"""),54.2361)</f>
        <v>54.2361</v>
      </c>
      <c r="D223" s="3">
        <f>IFERROR(__xludf.DUMMYFUNCTION("""COMPUTED_VALUE"""),-4.5481)</f>
        <v>-4.5481</v>
      </c>
      <c r="E223" s="3">
        <f>IFERROR(__xludf.DUMMYFUNCTION("""COMPUTED_VALUE"""),0.0)</f>
        <v>0</v>
      </c>
      <c r="F223" s="3">
        <f>IFERROR(__xludf.DUMMYFUNCTION("""COMPUTED_VALUE"""),0.0)</f>
        <v>0</v>
      </c>
      <c r="G223" s="3">
        <f>IFERROR(__xludf.DUMMYFUNCTION("""COMPUTED_VALUE"""),0.0)</f>
        <v>0</v>
      </c>
      <c r="H223" s="3">
        <f>IFERROR(__xludf.DUMMYFUNCTION("""COMPUTED_VALUE"""),0.0)</f>
        <v>0</v>
      </c>
      <c r="I223" s="3">
        <f>IFERROR(__xludf.DUMMYFUNCTION("""COMPUTED_VALUE"""),0.0)</f>
        <v>0</v>
      </c>
      <c r="J223" s="3">
        <f>IFERROR(__xludf.DUMMYFUNCTION("""COMPUTED_VALUE"""),0.0)</f>
        <v>0</v>
      </c>
      <c r="K223" s="3">
        <f>IFERROR(__xludf.DUMMYFUNCTION("""COMPUTED_VALUE"""),0.0)</f>
        <v>0</v>
      </c>
      <c r="L223" s="3">
        <f>IFERROR(__xludf.DUMMYFUNCTION("""COMPUTED_VALUE"""),0.0)</f>
        <v>0</v>
      </c>
      <c r="M223" s="3">
        <f>IFERROR(__xludf.DUMMYFUNCTION("""COMPUTED_VALUE"""),0.0)</f>
        <v>0</v>
      </c>
      <c r="N223" s="3">
        <f>IFERROR(__xludf.DUMMYFUNCTION("""COMPUTED_VALUE"""),0.0)</f>
        <v>0</v>
      </c>
      <c r="O223" s="3">
        <f>IFERROR(__xludf.DUMMYFUNCTION("""COMPUTED_VALUE"""),0.0)</f>
        <v>0</v>
      </c>
      <c r="P223" s="3">
        <f>IFERROR(__xludf.DUMMYFUNCTION("""COMPUTED_VALUE"""),0.0)</f>
        <v>0</v>
      </c>
      <c r="Q223" s="3">
        <f>IFERROR(__xludf.DUMMYFUNCTION("""COMPUTED_VALUE"""),0.0)</f>
        <v>0</v>
      </c>
      <c r="R223" s="3">
        <f>IFERROR(__xludf.DUMMYFUNCTION("""COMPUTED_VALUE"""),0.0)</f>
        <v>0</v>
      </c>
      <c r="S223" s="3">
        <f>IFERROR(__xludf.DUMMYFUNCTION("""COMPUTED_VALUE"""),0.0)</f>
        <v>0</v>
      </c>
      <c r="T223" s="3">
        <f>IFERROR(__xludf.DUMMYFUNCTION("""COMPUTED_VALUE"""),0.0)</f>
        <v>0</v>
      </c>
      <c r="U223" s="3">
        <f>IFERROR(__xludf.DUMMYFUNCTION("""COMPUTED_VALUE"""),0.0)</f>
        <v>0</v>
      </c>
      <c r="V223" s="3">
        <f>IFERROR(__xludf.DUMMYFUNCTION("""COMPUTED_VALUE"""),0.0)</f>
        <v>0</v>
      </c>
      <c r="W223" s="3">
        <f>IFERROR(__xludf.DUMMYFUNCTION("""COMPUTED_VALUE"""),0.0)</f>
        <v>0</v>
      </c>
      <c r="X223" s="3">
        <f>IFERROR(__xludf.DUMMYFUNCTION("""COMPUTED_VALUE"""),0.0)</f>
        <v>0</v>
      </c>
      <c r="Y223" s="3">
        <f>IFERROR(__xludf.DUMMYFUNCTION("""COMPUTED_VALUE"""),0.0)</f>
        <v>0</v>
      </c>
      <c r="Z223" s="3">
        <f>IFERROR(__xludf.DUMMYFUNCTION("""COMPUTED_VALUE"""),0.0)</f>
        <v>0</v>
      </c>
      <c r="AA223" s="3">
        <f>IFERROR(__xludf.DUMMYFUNCTION("""COMPUTED_VALUE"""),0.0)</f>
        <v>0</v>
      </c>
      <c r="AB223" s="3">
        <f>IFERROR(__xludf.DUMMYFUNCTION("""COMPUTED_VALUE"""),0.0)</f>
        <v>0</v>
      </c>
      <c r="AC223" s="3">
        <f>IFERROR(__xludf.DUMMYFUNCTION("""COMPUTED_VALUE"""),0.0)</f>
        <v>0</v>
      </c>
      <c r="AD223" s="3">
        <f>IFERROR(__xludf.DUMMYFUNCTION("""COMPUTED_VALUE"""),0.0)</f>
        <v>0</v>
      </c>
      <c r="AE223" s="3">
        <f>IFERROR(__xludf.DUMMYFUNCTION("""COMPUTED_VALUE"""),0.0)</f>
        <v>0</v>
      </c>
      <c r="AF223" s="3">
        <f>IFERROR(__xludf.DUMMYFUNCTION("""COMPUTED_VALUE"""),0.0)</f>
        <v>0</v>
      </c>
      <c r="AG223" s="3">
        <f>IFERROR(__xludf.DUMMYFUNCTION("""COMPUTED_VALUE"""),0.0)</f>
        <v>0</v>
      </c>
      <c r="AH223" s="3">
        <f>IFERROR(__xludf.DUMMYFUNCTION("""COMPUTED_VALUE"""),0.0)</f>
        <v>0</v>
      </c>
      <c r="AI223" s="3">
        <f>IFERROR(__xludf.DUMMYFUNCTION("""COMPUTED_VALUE"""),0.0)</f>
        <v>0</v>
      </c>
      <c r="AJ223" s="3">
        <f>IFERROR(__xludf.DUMMYFUNCTION("""COMPUTED_VALUE"""),0.0)</f>
        <v>0</v>
      </c>
      <c r="AK223" s="3">
        <f>IFERROR(__xludf.DUMMYFUNCTION("""COMPUTED_VALUE"""),0.0)</f>
        <v>0</v>
      </c>
      <c r="AL223" s="3">
        <f>IFERROR(__xludf.DUMMYFUNCTION("""COMPUTED_VALUE"""),0.0)</f>
        <v>0</v>
      </c>
      <c r="AM223" s="3">
        <f>IFERROR(__xludf.DUMMYFUNCTION("""COMPUTED_VALUE"""),0.0)</f>
        <v>0</v>
      </c>
      <c r="AN223" s="3">
        <f>IFERROR(__xludf.DUMMYFUNCTION("""COMPUTED_VALUE"""),0.0)</f>
        <v>0</v>
      </c>
      <c r="AO223" s="3">
        <f>IFERROR(__xludf.DUMMYFUNCTION("""COMPUTED_VALUE"""),0.0)</f>
        <v>0</v>
      </c>
      <c r="AP223" s="3">
        <f>IFERROR(__xludf.DUMMYFUNCTION("""COMPUTED_VALUE"""),0.0)</f>
        <v>0</v>
      </c>
      <c r="AQ223" s="3">
        <f>IFERROR(__xludf.DUMMYFUNCTION("""COMPUTED_VALUE"""),0.0)</f>
        <v>0</v>
      </c>
      <c r="AR223" s="3">
        <f>IFERROR(__xludf.DUMMYFUNCTION("""COMPUTED_VALUE"""),0.0)</f>
        <v>0</v>
      </c>
      <c r="AS223" s="3">
        <f>IFERROR(__xludf.DUMMYFUNCTION("""COMPUTED_VALUE"""),0.0)</f>
        <v>0</v>
      </c>
      <c r="AT223" s="3">
        <f>IFERROR(__xludf.DUMMYFUNCTION("""COMPUTED_VALUE"""),0.0)</f>
        <v>0</v>
      </c>
      <c r="AU223" s="3">
        <f>IFERROR(__xludf.DUMMYFUNCTION("""COMPUTED_VALUE"""),0.0)</f>
        <v>0</v>
      </c>
      <c r="AV223" s="3">
        <f>IFERROR(__xludf.DUMMYFUNCTION("""COMPUTED_VALUE"""),0.0)</f>
        <v>0</v>
      </c>
      <c r="AW223" s="3">
        <f>IFERROR(__xludf.DUMMYFUNCTION("""COMPUTED_VALUE"""),0.0)</f>
        <v>0</v>
      </c>
      <c r="AX223" s="3">
        <f>IFERROR(__xludf.DUMMYFUNCTION("""COMPUTED_VALUE"""),0.0)</f>
        <v>0</v>
      </c>
      <c r="AY223" s="3">
        <f>IFERROR(__xludf.DUMMYFUNCTION("""COMPUTED_VALUE"""),0.0)</f>
        <v>0</v>
      </c>
      <c r="AZ223" s="3">
        <f>IFERROR(__xludf.DUMMYFUNCTION("""COMPUTED_VALUE"""),0.0)</f>
        <v>0</v>
      </c>
      <c r="BA223" s="3">
        <f>IFERROR(__xludf.DUMMYFUNCTION("""COMPUTED_VALUE"""),0.0)</f>
        <v>0</v>
      </c>
      <c r="BB223" s="3">
        <f>IFERROR(__xludf.DUMMYFUNCTION("""COMPUTED_VALUE"""),0.0)</f>
        <v>0</v>
      </c>
      <c r="BC223" s="3">
        <f>IFERROR(__xludf.DUMMYFUNCTION("""COMPUTED_VALUE"""),0.0)</f>
        <v>0</v>
      </c>
      <c r="BD223" s="3">
        <f>IFERROR(__xludf.DUMMYFUNCTION("""COMPUTED_VALUE"""),0.0)</f>
        <v>0</v>
      </c>
      <c r="BE223" s="3">
        <f>IFERROR(__xludf.DUMMYFUNCTION("""COMPUTED_VALUE"""),0.0)</f>
        <v>0</v>
      </c>
      <c r="BF223" s="3">
        <f>IFERROR(__xludf.DUMMYFUNCTION("""COMPUTED_VALUE"""),0.0)</f>
        <v>0</v>
      </c>
      <c r="BG223" s="3">
        <f>IFERROR(__xludf.DUMMYFUNCTION("""COMPUTED_VALUE"""),0.0)</f>
        <v>0</v>
      </c>
      <c r="BH223" s="3">
        <f>IFERROR(__xludf.DUMMYFUNCTION("""COMPUTED_VALUE"""),0.0)</f>
        <v>0</v>
      </c>
      <c r="BI223" s="3">
        <f>IFERROR(__xludf.DUMMYFUNCTION("""COMPUTED_VALUE"""),0.0)</f>
        <v>0</v>
      </c>
      <c r="BJ223" s="3">
        <f>IFERROR(__xludf.DUMMYFUNCTION("""COMPUTED_VALUE"""),0.0)</f>
        <v>0</v>
      </c>
      <c r="BK223" s="3">
        <f>IFERROR(__xludf.DUMMYFUNCTION("""COMPUTED_VALUE"""),0.0)</f>
        <v>0</v>
      </c>
      <c r="BL223" s="3">
        <f>IFERROR(__xludf.DUMMYFUNCTION("""COMPUTED_VALUE"""),0.0)</f>
        <v>0</v>
      </c>
      <c r="BM223" s="3">
        <f>IFERROR(__xludf.DUMMYFUNCTION("""COMPUTED_VALUE"""),0.0)</f>
        <v>0</v>
      </c>
      <c r="BN223" s="3">
        <f>IFERROR(__xludf.DUMMYFUNCTION("""COMPUTED_VALUE"""),0.0)</f>
        <v>0</v>
      </c>
      <c r="BO223" s="3">
        <f>IFERROR(__xludf.DUMMYFUNCTION("""COMPUTED_VALUE"""),0.0)</f>
        <v>0</v>
      </c>
      <c r="BP223" s="3">
        <f>IFERROR(__xludf.DUMMYFUNCTION("""COMPUTED_VALUE"""),0.0)</f>
        <v>0</v>
      </c>
      <c r="BQ223" s="3">
        <f>IFERROR(__xludf.DUMMYFUNCTION("""COMPUTED_VALUE"""),0.0)</f>
        <v>0</v>
      </c>
      <c r="BR223" s="3">
        <f>IFERROR(__xludf.DUMMYFUNCTION("""COMPUTED_VALUE"""),0.0)</f>
        <v>0</v>
      </c>
      <c r="BS223" s="3">
        <f>IFERROR(__xludf.DUMMYFUNCTION("""COMPUTED_VALUE"""),0.0)</f>
        <v>0</v>
      </c>
      <c r="BT223" s="3">
        <f>IFERROR(__xludf.DUMMYFUNCTION("""COMPUTED_VALUE"""),0.0)</f>
        <v>0</v>
      </c>
      <c r="BU223" s="3">
        <f>IFERROR(__xludf.DUMMYFUNCTION("""COMPUTED_VALUE"""),0.0)</f>
        <v>0</v>
      </c>
      <c r="BV223" s="3">
        <f>IFERROR(__xludf.DUMMYFUNCTION("""COMPUTED_VALUE"""),0.0)</f>
        <v>0</v>
      </c>
      <c r="BW223" s="3">
        <f>IFERROR(__xludf.DUMMYFUNCTION("""COMPUTED_VALUE"""),1.0)</f>
        <v>1</v>
      </c>
      <c r="BX223" s="3">
        <f>IFERROR(__xludf.DUMMYFUNCTION("""COMPUTED_VALUE"""),1.0)</f>
        <v>1</v>
      </c>
      <c r="BY223" s="3">
        <f>IFERROR(__xludf.DUMMYFUNCTION("""COMPUTED_VALUE"""),1.0)</f>
        <v>1</v>
      </c>
      <c r="BZ223" s="3">
        <f>IFERROR(__xludf.DUMMYFUNCTION("""COMPUTED_VALUE"""),1.0)</f>
        <v>1</v>
      </c>
      <c r="CA223" s="3">
        <f>IFERROR(__xludf.DUMMYFUNCTION("""COMPUTED_VALUE"""),1.0)</f>
        <v>1</v>
      </c>
      <c r="CB223" s="3">
        <f>IFERROR(__xludf.DUMMYFUNCTION("""COMPUTED_VALUE"""),1.0)</f>
        <v>1</v>
      </c>
    </row>
    <row r="224">
      <c r="A224" s="3" t="str">
        <f>IFERROR(__xludf.DUMMYFUNCTION("""COMPUTED_VALUE"""),"Montserrat")</f>
        <v>Montserrat</v>
      </c>
      <c r="B224" s="3" t="str">
        <f>IFERROR(__xludf.DUMMYFUNCTION("""COMPUTED_VALUE"""),"United Kingdom")</f>
        <v>United Kingdom</v>
      </c>
      <c r="C224" s="3">
        <f>IFERROR(__xludf.DUMMYFUNCTION("""COMPUTED_VALUE"""),16.7425)</f>
        <v>16.7425</v>
      </c>
      <c r="D224" s="3">
        <f>IFERROR(__xludf.DUMMYFUNCTION("""COMPUTED_VALUE"""),-62.1874)</f>
        <v>-62.1874</v>
      </c>
      <c r="E224" s="3">
        <f>IFERROR(__xludf.DUMMYFUNCTION("""COMPUTED_VALUE"""),0.0)</f>
        <v>0</v>
      </c>
      <c r="F224" s="3">
        <f>IFERROR(__xludf.DUMMYFUNCTION("""COMPUTED_VALUE"""),0.0)</f>
        <v>0</v>
      </c>
      <c r="G224" s="3">
        <f>IFERROR(__xludf.DUMMYFUNCTION("""COMPUTED_VALUE"""),0.0)</f>
        <v>0</v>
      </c>
      <c r="H224" s="3">
        <f>IFERROR(__xludf.DUMMYFUNCTION("""COMPUTED_VALUE"""),0.0)</f>
        <v>0</v>
      </c>
      <c r="I224" s="3">
        <f>IFERROR(__xludf.DUMMYFUNCTION("""COMPUTED_VALUE"""),0.0)</f>
        <v>0</v>
      </c>
      <c r="J224" s="3">
        <f>IFERROR(__xludf.DUMMYFUNCTION("""COMPUTED_VALUE"""),0.0)</f>
        <v>0</v>
      </c>
      <c r="K224" s="3">
        <f>IFERROR(__xludf.DUMMYFUNCTION("""COMPUTED_VALUE"""),0.0)</f>
        <v>0</v>
      </c>
      <c r="L224" s="3">
        <f>IFERROR(__xludf.DUMMYFUNCTION("""COMPUTED_VALUE"""),0.0)</f>
        <v>0</v>
      </c>
      <c r="M224" s="3">
        <f>IFERROR(__xludf.DUMMYFUNCTION("""COMPUTED_VALUE"""),0.0)</f>
        <v>0</v>
      </c>
      <c r="N224" s="3">
        <f>IFERROR(__xludf.DUMMYFUNCTION("""COMPUTED_VALUE"""),0.0)</f>
        <v>0</v>
      </c>
      <c r="O224" s="3">
        <f>IFERROR(__xludf.DUMMYFUNCTION("""COMPUTED_VALUE"""),0.0)</f>
        <v>0</v>
      </c>
      <c r="P224" s="3">
        <f>IFERROR(__xludf.DUMMYFUNCTION("""COMPUTED_VALUE"""),0.0)</f>
        <v>0</v>
      </c>
      <c r="Q224" s="3">
        <f>IFERROR(__xludf.DUMMYFUNCTION("""COMPUTED_VALUE"""),0.0)</f>
        <v>0</v>
      </c>
      <c r="R224" s="3">
        <f>IFERROR(__xludf.DUMMYFUNCTION("""COMPUTED_VALUE"""),0.0)</f>
        <v>0</v>
      </c>
      <c r="S224" s="3">
        <f>IFERROR(__xludf.DUMMYFUNCTION("""COMPUTED_VALUE"""),0.0)</f>
        <v>0</v>
      </c>
      <c r="T224" s="3">
        <f>IFERROR(__xludf.DUMMYFUNCTION("""COMPUTED_VALUE"""),0.0)</f>
        <v>0</v>
      </c>
      <c r="U224" s="3">
        <f>IFERROR(__xludf.DUMMYFUNCTION("""COMPUTED_VALUE"""),0.0)</f>
        <v>0</v>
      </c>
      <c r="V224" s="3">
        <f>IFERROR(__xludf.DUMMYFUNCTION("""COMPUTED_VALUE"""),0.0)</f>
        <v>0</v>
      </c>
      <c r="W224" s="3">
        <f>IFERROR(__xludf.DUMMYFUNCTION("""COMPUTED_VALUE"""),0.0)</f>
        <v>0</v>
      </c>
      <c r="X224" s="3">
        <f>IFERROR(__xludf.DUMMYFUNCTION("""COMPUTED_VALUE"""),0.0)</f>
        <v>0</v>
      </c>
      <c r="Y224" s="3">
        <f>IFERROR(__xludf.DUMMYFUNCTION("""COMPUTED_VALUE"""),0.0)</f>
        <v>0</v>
      </c>
      <c r="Z224" s="3">
        <f>IFERROR(__xludf.DUMMYFUNCTION("""COMPUTED_VALUE"""),0.0)</f>
        <v>0</v>
      </c>
      <c r="AA224" s="3">
        <f>IFERROR(__xludf.DUMMYFUNCTION("""COMPUTED_VALUE"""),0.0)</f>
        <v>0</v>
      </c>
      <c r="AB224" s="3">
        <f>IFERROR(__xludf.DUMMYFUNCTION("""COMPUTED_VALUE"""),0.0)</f>
        <v>0</v>
      </c>
      <c r="AC224" s="3">
        <f>IFERROR(__xludf.DUMMYFUNCTION("""COMPUTED_VALUE"""),0.0)</f>
        <v>0</v>
      </c>
      <c r="AD224" s="3">
        <f>IFERROR(__xludf.DUMMYFUNCTION("""COMPUTED_VALUE"""),0.0)</f>
        <v>0</v>
      </c>
      <c r="AE224" s="3">
        <f>IFERROR(__xludf.DUMMYFUNCTION("""COMPUTED_VALUE"""),0.0)</f>
        <v>0</v>
      </c>
      <c r="AF224" s="3">
        <f>IFERROR(__xludf.DUMMYFUNCTION("""COMPUTED_VALUE"""),0.0)</f>
        <v>0</v>
      </c>
      <c r="AG224" s="3">
        <f>IFERROR(__xludf.DUMMYFUNCTION("""COMPUTED_VALUE"""),0.0)</f>
        <v>0</v>
      </c>
      <c r="AH224" s="3">
        <f>IFERROR(__xludf.DUMMYFUNCTION("""COMPUTED_VALUE"""),0.0)</f>
        <v>0</v>
      </c>
      <c r="AI224" s="3">
        <f>IFERROR(__xludf.DUMMYFUNCTION("""COMPUTED_VALUE"""),0.0)</f>
        <v>0</v>
      </c>
      <c r="AJ224" s="3">
        <f>IFERROR(__xludf.DUMMYFUNCTION("""COMPUTED_VALUE"""),0.0)</f>
        <v>0</v>
      </c>
      <c r="AK224" s="3">
        <f>IFERROR(__xludf.DUMMYFUNCTION("""COMPUTED_VALUE"""),0.0)</f>
        <v>0</v>
      </c>
      <c r="AL224" s="3">
        <f>IFERROR(__xludf.DUMMYFUNCTION("""COMPUTED_VALUE"""),0.0)</f>
        <v>0</v>
      </c>
      <c r="AM224" s="3">
        <f>IFERROR(__xludf.DUMMYFUNCTION("""COMPUTED_VALUE"""),0.0)</f>
        <v>0</v>
      </c>
      <c r="AN224" s="3">
        <f>IFERROR(__xludf.DUMMYFUNCTION("""COMPUTED_VALUE"""),0.0)</f>
        <v>0</v>
      </c>
      <c r="AO224" s="3">
        <f>IFERROR(__xludf.DUMMYFUNCTION("""COMPUTED_VALUE"""),0.0)</f>
        <v>0</v>
      </c>
      <c r="AP224" s="3">
        <f>IFERROR(__xludf.DUMMYFUNCTION("""COMPUTED_VALUE"""),0.0)</f>
        <v>0</v>
      </c>
      <c r="AQ224" s="3">
        <f>IFERROR(__xludf.DUMMYFUNCTION("""COMPUTED_VALUE"""),0.0)</f>
        <v>0</v>
      </c>
      <c r="AR224" s="3">
        <f>IFERROR(__xludf.DUMMYFUNCTION("""COMPUTED_VALUE"""),0.0)</f>
        <v>0</v>
      </c>
      <c r="AS224" s="3">
        <f>IFERROR(__xludf.DUMMYFUNCTION("""COMPUTED_VALUE"""),0.0)</f>
        <v>0</v>
      </c>
      <c r="AT224" s="3">
        <f>IFERROR(__xludf.DUMMYFUNCTION("""COMPUTED_VALUE"""),0.0)</f>
        <v>0</v>
      </c>
      <c r="AU224" s="3">
        <f>IFERROR(__xludf.DUMMYFUNCTION("""COMPUTED_VALUE"""),0.0)</f>
        <v>0</v>
      </c>
      <c r="AV224" s="3">
        <f>IFERROR(__xludf.DUMMYFUNCTION("""COMPUTED_VALUE"""),0.0)</f>
        <v>0</v>
      </c>
      <c r="AW224" s="3">
        <f>IFERROR(__xludf.DUMMYFUNCTION("""COMPUTED_VALUE"""),0.0)</f>
        <v>0</v>
      </c>
      <c r="AX224" s="3">
        <f>IFERROR(__xludf.DUMMYFUNCTION("""COMPUTED_VALUE"""),0.0)</f>
        <v>0</v>
      </c>
      <c r="AY224" s="3">
        <f>IFERROR(__xludf.DUMMYFUNCTION("""COMPUTED_VALUE"""),0.0)</f>
        <v>0</v>
      </c>
      <c r="AZ224" s="3">
        <f>IFERROR(__xludf.DUMMYFUNCTION("""COMPUTED_VALUE"""),0.0)</f>
        <v>0</v>
      </c>
      <c r="BA224" s="3">
        <f>IFERROR(__xludf.DUMMYFUNCTION("""COMPUTED_VALUE"""),0.0)</f>
        <v>0</v>
      </c>
      <c r="BB224" s="3">
        <f>IFERROR(__xludf.DUMMYFUNCTION("""COMPUTED_VALUE"""),0.0)</f>
        <v>0</v>
      </c>
      <c r="BC224" s="3">
        <f>IFERROR(__xludf.DUMMYFUNCTION("""COMPUTED_VALUE"""),0.0)</f>
        <v>0</v>
      </c>
      <c r="BD224" s="3">
        <f>IFERROR(__xludf.DUMMYFUNCTION("""COMPUTED_VALUE"""),0.0)</f>
        <v>0</v>
      </c>
      <c r="BE224" s="3">
        <f>IFERROR(__xludf.DUMMYFUNCTION("""COMPUTED_VALUE"""),0.0)</f>
        <v>0</v>
      </c>
      <c r="BF224" s="3">
        <f>IFERROR(__xludf.DUMMYFUNCTION("""COMPUTED_VALUE"""),0.0)</f>
        <v>0</v>
      </c>
      <c r="BG224" s="3">
        <f>IFERROR(__xludf.DUMMYFUNCTION("""COMPUTED_VALUE"""),0.0)</f>
        <v>0</v>
      </c>
      <c r="BH224" s="3">
        <f>IFERROR(__xludf.DUMMYFUNCTION("""COMPUTED_VALUE"""),0.0)</f>
        <v>0</v>
      </c>
      <c r="BI224" s="3">
        <f>IFERROR(__xludf.DUMMYFUNCTION("""COMPUTED_VALUE"""),0.0)</f>
        <v>0</v>
      </c>
      <c r="BJ224" s="3">
        <f>IFERROR(__xludf.DUMMYFUNCTION("""COMPUTED_VALUE"""),0.0)</f>
        <v>0</v>
      </c>
      <c r="BK224" s="3">
        <f>IFERROR(__xludf.DUMMYFUNCTION("""COMPUTED_VALUE"""),0.0)</f>
        <v>0</v>
      </c>
      <c r="BL224" s="3">
        <f>IFERROR(__xludf.DUMMYFUNCTION("""COMPUTED_VALUE"""),0.0)</f>
        <v>0</v>
      </c>
      <c r="BM224" s="3">
        <f>IFERROR(__xludf.DUMMYFUNCTION("""COMPUTED_VALUE"""),0.0)</f>
        <v>0</v>
      </c>
      <c r="BN224" s="3">
        <f>IFERROR(__xludf.DUMMYFUNCTION("""COMPUTED_VALUE"""),0.0)</f>
        <v>0</v>
      </c>
      <c r="BO224" s="3">
        <f>IFERROR(__xludf.DUMMYFUNCTION("""COMPUTED_VALUE"""),0.0)</f>
        <v>0</v>
      </c>
      <c r="BP224" s="3">
        <f>IFERROR(__xludf.DUMMYFUNCTION("""COMPUTED_VALUE"""),0.0)</f>
        <v>0</v>
      </c>
      <c r="BQ224" s="3">
        <f>IFERROR(__xludf.DUMMYFUNCTION("""COMPUTED_VALUE"""),0.0)</f>
        <v>0</v>
      </c>
      <c r="BR224" s="3">
        <f>IFERROR(__xludf.DUMMYFUNCTION("""COMPUTED_VALUE"""),0.0)</f>
        <v>0</v>
      </c>
      <c r="BS224" s="3">
        <f>IFERROR(__xludf.DUMMYFUNCTION("""COMPUTED_VALUE"""),0.0)</f>
        <v>0</v>
      </c>
      <c r="BT224" s="3">
        <f>IFERROR(__xludf.DUMMYFUNCTION("""COMPUTED_VALUE"""),0.0)</f>
        <v>0</v>
      </c>
      <c r="BU224" s="3">
        <f>IFERROR(__xludf.DUMMYFUNCTION("""COMPUTED_VALUE"""),0.0)</f>
        <v>0</v>
      </c>
      <c r="BV224" s="3">
        <f>IFERROR(__xludf.DUMMYFUNCTION("""COMPUTED_VALUE"""),0.0)</f>
        <v>0</v>
      </c>
      <c r="BW224" s="3">
        <f>IFERROR(__xludf.DUMMYFUNCTION("""COMPUTED_VALUE"""),0.0)</f>
        <v>0</v>
      </c>
      <c r="BX224" s="3">
        <f>IFERROR(__xludf.DUMMYFUNCTION("""COMPUTED_VALUE"""),0.0)</f>
        <v>0</v>
      </c>
      <c r="BY224" s="3">
        <f>IFERROR(__xludf.DUMMYFUNCTION("""COMPUTED_VALUE"""),0.0)</f>
        <v>0</v>
      </c>
      <c r="BZ224" s="3">
        <f>IFERROR(__xludf.DUMMYFUNCTION("""COMPUTED_VALUE"""),0.0)</f>
        <v>0</v>
      </c>
      <c r="CA224" s="3">
        <f>IFERROR(__xludf.DUMMYFUNCTION("""COMPUTED_VALUE"""),0.0)</f>
        <v>0</v>
      </c>
      <c r="CB224" s="3">
        <f>IFERROR(__xludf.DUMMYFUNCTION("""COMPUTED_VALUE"""),0.0)</f>
        <v>0</v>
      </c>
    </row>
    <row r="225">
      <c r="A225" s="3" t="str">
        <f>IFERROR(__xludf.DUMMYFUNCTION("""COMPUTED_VALUE"""),"")</f>
        <v/>
      </c>
      <c r="B225" s="3" t="str">
        <f>IFERROR(__xludf.DUMMYFUNCTION("""COMPUTED_VALUE"""),"United Kingdom")</f>
        <v>United Kingdom</v>
      </c>
      <c r="C225" s="3">
        <f>IFERROR(__xludf.DUMMYFUNCTION("""COMPUTED_VALUE"""),55.3781)</f>
        <v>55.3781</v>
      </c>
      <c r="D225" s="3">
        <f>IFERROR(__xludf.DUMMYFUNCTION("""COMPUTED_VALUE"""),-3.436)</f>
        <v>-3.436</v>
      </c>
      <c r="E225" s="3">
        <f>IFERROR(__xludf.DUMMYFUNCTION("""COMPUTED_VALUE"""),0.0)</f>
        <v>0</v>
      </c>
      <c r="F225" s="3">
        <f>IFERROR(__xludf.DUMMYFUNCTION("""COMPUTED_VALUE"""),0.0)</f>
        <v>0</v>
      </c>
      <c r="G225" s="3">
        <f>IFERROR(__xludf.DUMMYFUNCTION("""COMPUTED_VALUE"""),0.0)</f>
        <v>0</v>
      </c>
      <c r="H225" s="3">
        <f>IFERROR(__xludf.DUMMYFUNCTION("""COMPUTED_VALUE"""),0.0)</f>
        <v>0</v>
      </c>
      <c r="I225" s="3">
        <f>IFERROR(__xludf.DUMMYFUNCTION("""COMPUTED_VALUE"""),0.0)</f>
        <v>0</v>
      </c>
      <c r="J225" s="3">
        <f>IFERROR(__xludf.DUMMYFUNCTION("""COMPUTED_VALUE"""),0.0)</f>
        <v>0</v>
      </c>
      <c r="K225" s="3">
        <f>IFERROR(__xludf.DUMMYFUNCTION("""COMPUTED_VALUE"""),0.0)</f>
        <v>0</v>
      </c>
      <c r="L225" s="3">
        <f>IFERROR(__xludf.DUMMYFUNCTION("""COMPUTED_VALUE"""),0.0)</f>
        <v>0</v>
      </c>
      <c r="M225" s="3">
        <f>IFERROR(__xludf.DUMMYFUNCTION("""COMPUTED_VALUE"""),0.0)</f>
        <v>0</v>
      </c>
      <c r="N225" s="3">
        <f>IFERROR(__xludf.DUMMYFUNCTION("""COMPUTED_VALUE"""),0.0)</f>
        <v>0</v>
      </c>
      <c r="O225" s="3">
        <f>IFERROR(__xludf.DUMMYFUNCTION("""COMPUTED_VALUE"""),0.0)</f>
        <v>0</v>
      </c>
      <c r="P225" s="3">
        <f>IFERROR(__xludf.DUMMYFUNCTION("""COMPUTED_VALUE"""),0.0)</f>
        <v>0</v>
      </c>
      <c r="Q225" s="3">
        <f>IFERROR(__xludf.DUMMYFUNCTION("""COMPUTED_VALUE"""),0.0)</f>
        <v>0</v>
      </c>
      <c r="R225" s="3">
        <f>IFERROR(__xludf.DUMMYFUNCTION("""COMPUTED_VALUE"""),0.0)</f>
        <v>0</v>
      </c>
      <c r="S225" s="3">
        <f>IFERROR(__xludf.DUMMYFUNCTION("""COMPUTED_VALUE"""),0.0)</f>
        <v>0</v>
      </c>
      <c r="T225" s="3">
        <f>IFERROR(__xludf.DUMMYFUNCTION("""COMPUTED_VALUE"""),0.0)</f>
        <v>0</v>
      </c>
      <c r="U225" s="3">
        <f>IFERROR(__xludf.DUMMYFUNCTION("""COMPUTED_VALUE"""),0.0)</f>
        <v>0</v>
      </c>
      <c r="V225" s="3">
        <f>IFERROR(__xludf.DUMMYFUNCTION("""COMPUTED_VALUE"""),0.0)</f>
        <v>0</v>
      </c>
      <c r="W225" s="3">
        <f>IFERROR(__xludf.DUMMYFUNCTION("""COMPUTED_VALUE"""),0.0)</f>
        <v>0</v>
      </c>
      <c r="X225" s="3">
        <f>IFERROR(__xludf.DUMMYFUNCTION("""COMPUTED_VALUE"""),0.0)</f>
        <v>0</v>
      </c>
      <c r="Y225" s="3">
        <f>IFERROR(__xludf.DUMMYFUNCTION("""COMPUTED_VALUE"""),0.0)</f>
        <v>0</v>
      </c>
      <c r="Z225" s="3">
        <f>IFERROR(__xludf.DUMMYFUNCTION("""COMPUTED_VALUE"""),0.0)</f>
        <v>0</v>
      </c>
      <c r="AA225" s="3">
        <f>IFERROR(__xludf.DUMMYFUNCTION("""COMPUTED_VALUE"""),0.0)</f>
        <v>0</v>
      </c>
      <c r="AB225" s="3">
        <f>IFERROR(__xludf.DUMMYFUNCTION("""COMPUTED_VALUE"""),0.0)</f>
        <v>0</v>
      </c>
      <c r="AC225" s="3">
        <f>IFERROR(__xludf.DUMMYFUNCTION("""COMPUTED_VALUE"""),0.0)</f>
        <v>0</v>
      </c>
      <c r="AD225" s="3">
        <f>IFERROR(__xludf.DUMMYFUNCTION("""COMPUTED_VALUE"""),0.0)</f>
        <v>0</v>
      </c>
      <c r="AE225" s="3">
        <f>IFERROR(__xludf.DUMMYFUNCTION("""COMPUTED_VALUE"""),0.0)</f>
        <v>0</v>
      </c>
      <c r="AF225" s="3">
        <f>IFERROR(__xludf.DUMMYFUNCTION("""COMPUTED_VALUE"""),0.0)</f>
        <v>0</v>
      </c>
      <c r="AG225" s="3">
        <f>IFERROR(__xludf.DUMMYFUNCTION("""COMPUTED_VALUE"""),0.0)</f>
        <v>0</v>
      </c>
      <c r="AH225" s="3">
        <f>IFERROR(__xludf.DUMMYFUNCTION("""COMPUTED_VALUE"""),0.0)</f>
        <v>0</v>
      </c>
      <c r="AI225" s="3">
        <f>IFERROR(__xludf.DUMMYFUNCTION("""COMPUTED_VALUE"""),0.0)</f>
        <v>0</v>
      </c>
      <c r="AJ225" s="3">
        <f>IFERROR(__xludf.DUMMYFUNCTION("""COMPUTED_VALUE"""),0.0)</f>
        <v>0</v>
      </c>
      <c r="AK225" s="3">
        <f>IFERROR(__xludf.DUMMYFUNCTION("""COMPUTED_VALUE"""),0.0)</f>
        <v>0</v>
      </c>
      <c r="AL225" s="3">
        <f>IFERROR(__xludf.DUMMYFUNCTION("""COMPUTED_VALUE"""),0.0)</f>
        <v>0</v>
      </c>
      <c r="AM225" s="3">
        <f>IFERROR(__xludf.DUMMYFUNCTION("""COMPUTED_VALUE"""),0.0)</f>
        <v>0</v>
      </c>
      <c r="AN225" s="3">
        <f>IFERROR(__xludf.DUMMYFUNCTION("""COMPUTED_VALUE"""),0.0)</f>
        <v>0</v>
      </c>
      <c r="AO225" s="3">
        <f>IFERROR(__xludf.DUMMYFUNCTION("""COMPUTED_VALUE"""),0.0)</f>
        <v>0</v>
      </c>
      <c r="AP225" s="3">
        <f>IFERROR(__xludf.DUMMYFUNCTION("""COMPUTED_VALUE"""),0.0)</f>
        <v>0</v>
      </c>
      <c r="AQ225" s="3">
        <f>IFERROR(__xludf.DUMMYFUNCTION("""COMPUTED_VALUE"""),0.0)</f>
        <v>0</v>
      </c>
      <c r="AR225" s="3">
        <f>IFERROR(__xludf.DUMMYFUNCTION("""COMPUTED_VALUE"""),0.0)</f>
        <v>0</v>
      </c>
      <c r="AS225" s="3">
        <f>IFERROR(__xludf.DUMMYFUNCTION("""COMPUTED_VALUE"""),0.0)</f>
        <v>0</v>
      </c>
      <c r="AT225" s="3">
        <f>IFERROR(__xludf.DUMMYFUNCTION("""COMPUTED_VALUE"""),0.0)</f>
        <v>0</v>
      </c>
      <c r="AU225" s="3">
        <f>IFERROR(__xludf.DUMMYFUNCTION("""COMPUTED_VALUE"""),0.0)</f>
        <v>0</v>
      </c>
      <c r="AV225" s="3">
        <f>IFERROR(__xludf.DUMMYFUNCTION("""COMPUTED_VALUE"""),1.0)</f>
        <v>1</v>
      </c>
      <c r="AW225" s="3">
        <f>IFERROR(__xludf.DUMMYFUNCTION("""COMPUTED_VALUE"""),2.0)</f>
        <v>2</v>
      </c>
      <c r="AX225" s="3">
        <f>IFERROR(__xludf.DUMMYFUNCTION("""COMPUTED_VALUE"""),2.0)</f>
        <v>2</v>
      </c>
      <c r="AY225" s="3">
        <f>IFERROR(__xludf.DUMMYFUNCTION("""COMPUTED_VALUE"""),3.0)</f>
        <v>3</v>
      </c>
      <c r="AZ225" s="3">
        <f>IFERROR(__xludf.DUMMYFUNCTION("""COMPUTED_VALUE"""),4.0)</f>
        <v>4</v>
      </c>
      <c r="BA225" s="3">
        <f>IFERROR(__xludf.DUMMYFUNCTION("""COMPUTED_VALUE"""),6.0)</f>
        <v>6</v>
      </c>
      <c r="BB225" s="3">
        <f>IFERROR(__xludf.DUMMYFUNCTION("""COMPUTED_VALUE"""),8.0)</f>
        <v>8</v>
      </c>
      <c r="BC225" s="3">
        <f>IFERROR(__xludf.DUMMYFUNCTION("""COMPUTED_VALUE"""),8.0)</f>
        <v>8</v>
      </c>
      <c r="BD225" s="3">
        <f>IFERROR(__xludf.DUMMYFUNCTION("""COMPUTED_VALUE"""),8.0)</f>
        <v>8</v>
      </c>
      <c r="BE225" s="3">
        <f>IFERROR(__xludf.DUMMYFUNCTION("""COMPUTED_VALUE"""),21.0)</f>
        <v>21</v>
      </c>
      <c r="BF225" s="3">
        <f>IFERROR(__xludf.DUMMYFUNCTION("""COMPUTED_VALUE"""),21.0)</f>
        <v>21</v>
      </c>
      <c r="BG225" s="3">
        <f>IFERROR(__xludf.DUMMYFUNCTION("""COMPUTED_VALUE"""),55.0)</f>
        <v>55</v>
      </c>
      <c r="BH225" s="3">
        <f>IFERROR(__xludf.DUMMYFUNCTION("""COMPUTED_VALUE"""),55.0)</f>
        <v>55</v>
      </c>
      <c r="BI225" s="3">
        <f>IFERROR(__xludf.DUMMYFUNCTION("""COMPUTED_VALUE"""),71.0)</f>
        <v>71</v>
      </c>
      <c r="BJ225" s="3">
        <f>IFERROR(__xludf.DUMMYFUNCTION("""COMPUTED_VALUE"""),137.0)</f>
        <v>137</v>
      </c>
      <c r="BK225" s="3">
        <f>IFERROR(__xludf.DUMMYFUNCTION("""COMPUTED_VALUE"""),177.0)</f>
        <v>177</v>
      </c>
      <c r="BL225" s="3">
        <f>IFERROR(__xludf.DUMMYFUNCTION("""COMPUTED_VALUE"""),233.0)</f>
        <v>233</v>
      </c>
      <c r="BM225" s="3">
        <f>IFERROR(__xludf.DUMMYFUNCTION("""COMPUTED_VALUE"""),281.0)</f>
        <v>281</v>
      </c>
      <c r="BN225" s="3">
        <f>IFERROR(__xludf.DUMMYFUNCTION("""COMPUTED_VALUE"""),335.0)</f>
        <v>335</v>
      </c>
      <c r="BO225" s="3">
        <f>IFERROR(__xludf.DUMMYFUNCTION("""COMPUTED_VALUE"""),422.0)</f>
        <v>422</v>
      </c>
      <c r="BP225" s="3">
        <f>IFERROR(__xludf.DUMMYFUNCTION("""COMPUTED_VALUE"""),465.0)</f>
        <v>465</v>
      </c>
      <c r="BQ225" s="3">
        <f>IFERROR(__xludf.DUMMYFUNCTION("""COMPUTED_VALUE"""),578.0)</f>
        <v>578</v>
      </c>
      <c r="BR225" s="3">
        <f>IFERROR(__xludf.DUMMYFUNCTION("""COMPUTED_VALUE"""),759.0)</f>
        <v>759</v>
      </c>
      <c r="BS225" s="3">
        <f>IFERROR(__xludf.DUMMYFUNCTION("""COMPUTED_VALUE"""),1019.0)</f>
        <v>1019</v>
      </c>
      <c r="BT225" s="3">
        <f>IFERROR(__xludf.DUMMYFUNCTION("""COMPUTED_VALUE"""),1228.0)</f>
        <v>1228</v>
      </c>
      <c r="BU225" s="3">
        <f>IFERROR(__xludf.DUMMYFUNCTION("""COMPUTED_VALUE"""),1408.0)</f>
        <v>1408</v>
      </c>
      <c r="BV225" s="3">
        <f>IFERROR(__xludf.DUMMYFUNCTION("""COMPUTED_VALUE"""),1789.0)</f>
        <v>1789</v>
      </c>
      <c r="BW225" s="3">
        <f>IFERROR(__xludf.DUMMYFUNCTION("""COMPUTED_VALUE"""),2352.0)</f>
        <v>2352</v>
      </c>
      <c r="BX225" s="3">
        <f>IFERROR(__xludf.DUMMYFUNCTION("""COMPUTED_VALUE"""),2921.0)</f>
        <v>2921</v>
      </c>
      <c r="BY225" s="3">
        <f>IFERROR(__xludf.DUMMYFUNCTION("""COMPUTED_VALUE"""),3605.0)</f>
        <v>3605</v>
      </c>
      <c r="BZ225" s="3">
        <f>IFERROR(__xludf.DUMMYFUNCTION("""COMPUTED_VALUE"""),4313.0)</f>
        <v>4313</v>
      </c>
      <c r="CA225" s="3">
        <f>IFERROR(__xludf.DUMMYFUNCTION("""COMPUTED_VALUE"""),4934.0)</f>
        <v>4934</v>
      </c>
      <c r="CB225" s="3">
        <f>IFERROR(__xludf.DUMMYFUNCTION("""COMPUTED_VALUE"""),5373.0)</f>
        <v>5373</v>
      </c>
    </row>
    <row r="226">
      <c r="A226" s="3" t="str">
        <f>IFERROR(__xludf.DUMMYFUNCTION("""COMPUTED_VALUE"""),"")</f>
        <v/>
      </c>
      <c r="B226" s="3" t="str">
        <f>IFERROR(__xludf.DUMMYFUNCTION("""COMPUTED_VALUE"""),"Uruguay")</f>
        <v>Uruguay</v>
      </c>
      <c r="C226" s="3">
        <f>IFERROR(__xludf.DUMMYFUNCTION("""COMPUTED_VALUE"""),-32.5228)</f>
        <v>-32.5228</v>
      </c>
      <c r="D226" s="3">
        <f>IFERROR(__xludf.DUMMYFUNCTION("""COMPUTED_VALUE"""),-55.7658)</f>
        <v>-55.7658</v>
      </c>
      <c r="E226" s="3">
        <f>IFERROR(__xludf.DUMMYFUNCTION("""COMPUTED_VALUE"""),0.0)</f>
        <v>0</v>
      </c>
      <c r="F226" s="3">
        <f>IFERROR(__xludf.DUMMYFUNCTION("""COMPUTED_VALUE"""),0.0)</f>
        <v>0</v>
      </c>
      <c r="G226" s="3">
        <f>IFERROR(__xludf.DUMMYFUNCTION("""COMPUTED_VALUE"""),0.0)</f>
        <v>0</v>
      </c>
      <c r="H226" s="3">
        <f>IFERROR(__xludf.DUMMYFUNCTION("""COMPUTED_VALUE"""),0.0)</f>
        <v>0</v>
      </c>
      <c r="I226" s="3">
        <f>IFERROR(__xludf.DUMMYFUNCTION("""COMPUTED_VALUE"""),0.0)</f>
        <v>0</v>
      </c>
      <c r="J226" s="3">
        <f>IFERROR(__xludf.DUMMYFUNCTION("""COMPUTED_VALUE"""),0.0)</f>
        <v>0</v>
      </c>
      <c r="K226" s="3">
        <f>IFERROR(__xludf.DUMMYFUNCTION("""COMPUTED_VALUE"""),0.0)</f>
        <v>0</v>
      </c>
      <c r="L226" s="3">
        <f>IFERROR(__xludf.DUMMYFUNCTION("""COMPUTED_VALUE"""),0.0)</f>
        <v>0</v>
      </c>
      <c r="M226" s="3">
        <f>IFERROR(__xludf.DUMMYFUNCTION("""COMPUTED_VALUE"""),0.0)</f>
        <v>0</v>
      </c>
      <c r="N226" s="3">
        <f>IFERROR(__xludf.DUMMYFUNCTION("""COMPUTED_VALUE"""),0.0)</f>
        <v>0</v>
      </c>
      <c r="O226" s="3">
        <f>IFERROR(__xludf.DUMMYFUNCTION("""COMPUTED_VALUE"""),0.0)</f>
        <v>0</v>
      </c>
      <c r="P226" s="3">
        <f>IFERROR(__xludf.DUMMYFUNCTION("""COMPUTED_VALUE"""),0.0)</f>
        <v>0</v>
      </c>
      <c r="Q226" s="3">
        <f>IFERROR(__xludf.DUMMYFUNCTION("""COMPUTED_VALUE"""),0.0)</f>
        <v>0</v>
      </c>
      <c r="R226" s="3">
        <f>IFERROR(__xludf.DUMMYFUNCTION("""COMPUTED_VALUE"""),0.0)</f>
        <v>0</v>
      </c>
      <c r="S226" s="3">
        <f>IFERROR(__xludf.DUMMYFUNCTION("""COMPUTED_VALUE"""),0.0)</f>
        <v>0</v>
      </c>
      <c r="T226" s="3">
        <f>IFERROR(__xludf.DUMMYFUNCTION("""COMPUTED_VALUE"""),0.0)</f>
        <v>0</v>
      </c>
      <c r="U226" s="3">
        <f>IFERROR(__xludf.DUMMYFUNCTION("""COMPUTED_VALUE"""),0.0)</f>
        <v>0</v>
      </c>
      <c r="V226" s="3">
        <f>IFERROR(__xludf.DUMMYFUNCTION("""COMPUTED_VALUE"""),0.0)</f>
        <v>0</v>
      </c>
      <c r="W226" s="3">
        <f>IFERROR(__xludf.DUMMYFUNCTION("""COMPUTED_VALUE"""),0.0)</f>
        <v>0</v>
      </c>
      <c r="X226" s="3">
        <f>IFERROR(__xludf.DUMMYFUNCTION("""COMPUTED_VALUE"""),0.0)</f>
        <v>0</v>
      </c>
      <c r="Y226" s="3">
        <f>IFERROR(__xludf.DUMMYFUNCTION("""COMPUTED_VALUE"""),0.0)</f>
        <v>0</v>
      </c>
      <c r="Z226" s="3">
        <f>IFERROR(__xludf.DUMMYFUNCTION("""COMPUTED_VALUE"""),0.0)</f>
        <v>0</v>
      </c>
      <c r="AA226" s="3">
        <f>IFERROR(__xludf.DUMMYFUNCTION("""COMPUTED_VALUE"""),0.0)</f>
        <v>0</v>
      </c>
      <c r="AB226" s="3">
        <f>IFERROR(__xludf.DUMMYFUNCTION("""COMPUTED_VALUE"""),0.0)</f>
        <v>0</v>
      </c>
      <c r="AC226" s="3">
        <f>IFERROR(__xludf.DUMMYFUNCTION("""COMPUTED_VALUE"""),0.0)</f>
        <v>0</v>
      </c>
      <c r="AD226" s="3">
        <f>IFERROR(__xludf.DUMMYFUNCTION("""COMPUTED_VALUE"""),0.0)</f>
        <v>0</v>
      </c>
      <c r="AE226" s="3">
        <f>IFERROR(__xludf.DUMMYFUNCTION("""COMPUTED_VALUE"""),0.0)</f>
        <v>0</v>
      </c>
      <c r="AF226" s="3">
        <f>IFERROR(__xludf.DUMMYFUNCTION("""COMPUTED_VALUE"""),0.0)</f>
        <v>0</v>
      </c>
      <c r="AG226" s="3">
        <f>IFERROR(__xludf.DUMMYFUNCTION("""COMPUTED_VALUE"""),0.0)</f>
        <v>0</v>
      </c>
      <c r="AH226" s="3">
        <f>IFERROR(__xludf.DUMMYFUNCTION("""COMPUTED_VALUE"""),0.0)</f>
        <v>0</v>
      </c>
      <c r="AI226" s="3">
        <f>IFERROR(__xludf.DUMMYFUNCTION("""COMPUTED_VALUE"""),0.0)</f>
        <v>0</v>
      </c>
      <c r="AJ226" s="3">
        <f>IFERROR(__xludf.DUMMYFUNCTION("""COMPUTED_VALUE"""),0.0)</f>
        <v>0</v>
      </c>
      <c r="AK226" s="3">
        <f>IFERROR(__xludf.DUMMYFUNCTION("""COMPUTED_VALUE"""),0.0)</f>
        <v>0</v>
      </c>
      <c r="AL226" s="3">
        <f>IFERROR(__xludf.DUMMYFUNCTION("""COMPUTED_VALUE"""),0.0)</f>
        <v>0</v>
      </c>
      <c r="AM226" s="3">
        <f>IFERROR(__xludf.DUMMYFUNCTION("""COMPUTED_VALUE"""),0.0)</f>
        <v>0</v>
      </c>
      <c r="AN226" s="3">
        <f>IFERROR(__xludf.DUMMYFUNCTION("""COMPUTED_VALUE"""),0.0)</f>
        <v>0</v>
      </c>
      <c r="AO226" s="3">
        <f>IFERROR(__xludf.DUMMYFUNCTION("""COMPUTED_VALUE"""),0.0)</f>
        <v>0</v>
      </c>
      <c r="AP226" s="3">
        <f>IFERROR(__xludf.DUMMYFUNCTION("""COMPUTED_VALUE"""),0.0)</f>
        <v>0</v>
      </c>
      <c r="AQ226" s="3">
        <f>IFERROR(__xludf.DUMMYFUNCTION("""COMPUTED_VALUE"""),0.0)</f>
        <v>0</v>
      </c>
      <c r="AR226" s="3">
        <f>IFERROR(__xludf.DUMMYFUNCTION("""COMPUTED_VALUE"""),0.0)</f>
        <v>0</v>
      </c>
      <c r="AS226" s="3">
        <f>IFERROR(__xludf.DUMMYFUNCTION("""COMPUTED_VALUE"""),0.0)</f>
        <v>0</v>
      </c>
      <c r="AT226" s="3">
        <f>IFERROR(__xludf.DUMMYFUNCTION("""COMPUTED_VALUE"""),0.0)</f>
        <v>0</v>
      </c>
      <c r="AU226" s="3">
        <f>IFERROR(__xludf.DUMMYFUNCTION("""COMPUTED_VALUE"""),0.0)</f>
        <v>0</v>
      </c>
      <c r="AV226" s="3">
        <f>IFERROR(__xludf.DUMMYFUNCTION("""COMPUTED_VALUE"""),0.0)</f>
        <v>0</v>
      </c>
      <c r="AW226" s="3">
        <f>IFERROR(__xludf.DUMMYFUNCTION("""COMPUTED_VALUE"""),0.0)</f>
        <v>0</v>
      </c>
      <c r="AX226" s="3">
        <f>IFERROR(__xludf.DUMMYFUNCTION("""COMPUTED_VALUE"""),0.0)</f>
        <v>0</v>
      </c>
      <c r="AY226" s="3">
        <f>IFERROR(__xludf.DUMMYFUNCTION("""COMPUTED_VALUE"""),0.0)</f>
        <v>0</v>
      </c>
      <c r="AZ226" s="3">
        <f>IFERROR(__xludf.DUMMYFUNCTION("""COMPUTED_VALUE"""),0.0)</f>
        <v>0</v>
      </c>
      <c r="BA226" s="3">
        <f>IFERROR(__xludf.DUMMYFUNCTION("""COMPUTED_VALUE"""),0.0)</f>
        <v>0</v>
      </c>
      <c r="BB226" s="3">
        <f>IFERROR(__xludf.DUMMYFUNCTION("""COMPUTED_VALUE"""),0.0)</f>
        <v>0</v>
      </c>
      <c r="BC226" s="3">
        <f>IFERROR(__xludf.DUMMYFUNCTION("""COMPUTED_VALUE"""),0.0)</f>
        <v>0</v>
      </c>
      <c r="BD226" s="3">
        <f>IFERROR(__xludf.DUMMYFUNCTION("""COMPUTED_VALUE"""),0.0)</f>
        <v>0</v>
      </c>
      <c r="BE226" s="3">
        <f>IFERROR(__xludf.DUMMYFUNCTION("""COMPUTED_VALUE"""),0.0)</f>
        <v>0</v>
      </c>
      <c r="BF226" s="3">
        <f>IFERROR(__xludf.DUMMYFUNCTION("""COMPUTED_VALUE"""),0.0)</f>
        <v>0</v>
      </c>
      <c r="BG226" s="3">
        <f>IFERROR(__xludf.DUMMYFUNCTION("""COMPUTED_VALUE"""),0.0)</f>
        <v>0</v>
      </c>
      <c r="BH226" s="3">
        <f>IFERROR(__xludf.DUMMYFUNCTION("""COMPUTED_VALUE"""),0.0)</f>
        <v>0</v>
      </c>
      <c r="BI226" s="3">
        <f>IFERROR(__xludf.DUMMYFUNCTION("""COMPUTED_VALUE"""),0.0)</f>
        <v>0</v>
      </c>
      <c r="BJ226" s="3">
        <f>IFERROR(__xludf.DUMMYFUNCTION("""COMPUTED_VALUE"""),0.0)</f>
        <v>0</v>
      </c>
      <c r="BK226" s="3">
        <f>IFERROR(__xludf.DUMMYFUNCTION("""COMPUTED_VALUE"""),0.0)</f>
        <v>0</v>
      </c>
      <c r="BL226" s="3">
        <f>IFERROR(__xludf.DUMMYFUNCTION("""COMPUTED_VALUE"""),0.0)</f>
        <v>0</v>
      </c>
      <c r="BM226" s="3">
        <f>IFERROR(__xludf.DUMMYFUNCTION("""COMPUTED_VALUE"""),0.0)</f>
        <v>0</v>
      </c>
      <c r="BN226" s="3">
        <f>IFERROR(__xludf.DUMMYFUNCTION("""COMPUTED_VALUE"""),0.0)</f>
        <v>0</v>
      </c>
      <c r="BO226" s="3">
        <f>IFERROR(__xludf.DUMMYFUNCTION("""COMPUTED_VALUE"""),0.0)</f>
        <v>0</v>
      </c>
      <c r="BP226" s="3">
        <f>IFERROR(__xludf.DUMMYFUNCTION("""COMPUTED_VALUE"""),0.0)</f>
        <v>0</v>
      </c>
      <c r="BQ226" s="3">
        <f>IFERROR(__xludf.DUMMYFUNCTION("""COMPUTED_VALUE"""),0.0)</f>
        <v>0</v>
      </c>
      <c r="BR226" s="3">
        <f>IFERROR(__xludf.DUMMYFUNCTION("""COMPUTED_VALUE"""),0.0)</f>
        <v>0</v>
      </c>
      <c r="BS226" s="3">
        <f>IFERROR(__xludf.DUMMYFUNCTION("""COMPUTED_VALUE"""),0.0)</f>
        <v>0</v>
      </c>
      <c r="BT226" s="3">
        <f>IFERROR(__xludf.DUMMYFUNCTION("""COMPUTED_VALUE"""),1.0)</f>
        <v>1</v>
      </c>
      <c r="BU226" s="3">
        <f>IFERROR(__xludf.DUMMYFUNCTION("""COMPUTED_VALUE"""),1.0)</f>
        <v>1</v>
      </c>
      <c r="BV226" s="3">
        <f>IFERROR(__xludf.DUMMYFUNCTION("""COMPUTED_VALUE"""),1.0)</f>
        <v>1</v>
      </c>
      <c r="BW226" s="3">
        <f>IFERROR(__xludf.DUMMYFUNCTION("""COMPUTED_VALUE"""),2.0)</f>
        <v>2</v>
      </c>
      <c r="BX226" s="3">
        <f>IFERROR(__xludf.DUMMYFUNCTION("""COMPUTED_VALUE"""),4.0)</f>
        <v>4</v>
      </c>
      <c r="BY226" s="3">
        <f>IFERROR(__xludf.DUMMYFUNCTION("""COMPUTED_VALUE"""),4.0)</f>
        <v>4</v>
      </c>
      <c r="BZ226" s="3">
        <f>IFERROR(__xludf.DUMMYFUNCTION("""COMPUTED_VALUE"""),5.0)</f>
        <v>5</v>
      </c>
      <c r="CA226" s="3">
        <f>IFERROR(__xludf.DUMMYFUNCTION("""COMPUTED_VALUE"""),5.0)</f>
        <v>5</v>
      </c>
      <c r="CB226" s="3">
        <f>IFERROR(__xludf.DUMMYFUNCTION("""COMPUTED_VALUE"""),6.0)</f>
        <v>6</v>
      </c>
    </row>
    <row r="227">
      <c r="A227" s="3" t="str">
        <f>IFERROR(__xludf.DUMMYFUNCTION("""COMPUTED_VALUE"""),"")</f>
        <v/>
      </c>
      <c r="B227" s="3" t="str">
        <f>IFERROR(__xludf.DUMMYFUNCTION("""COMPUTED_VALUE"""),"US")</f>
        <v>US</v>
      </c>
      <c r="C227" s="3">
        <f>IFERROR(__xludf.DUMMYFUNCTION("""COMPUTED_VALUE"""),37.0902)</f>
        <v>37.0902</v>
      </c>
      <c r="D227" s="3">
        <f>IFERROR(__xludf.DUMMYFUNCTION("""COMPUTED_VALUE"""),-95.7129)</f>
        <v>-95.7129</v>
      </c>
      <c r="E227" s="3">
        <f>IFERROR(__xludf.DUMMYFUNCTION("""COMPUTED_VALUE"""),0.0)</f>
        <v>0</v>
      </c>
      <c r="F227" s="3">
        <f>IFERROR(__xludf.DUMMYFUNCTION("""COMPUTED_VALUE"""),0.0)</f>
        <v>0</v>
      </c>
      <c r="G227" s="3">
        <f>IFERROR(__xludf.DUMMYFUNCTION("""COMPUTED_VALUE"""),0.0)</f>
        <v>0</v>
      </c>
      <c r="H227" s="3">
        <f>IFERROR(__xludf.DUMMYFUNCTION("""COMPUTED_VALUE"""),0.0)</f>
        <v>0</v>
      </c>
      <c r="I227" s="3">
        <f>IFERROR(__xludf.DUMMYFUNCTION("""COMPUTED_VALUE"""),0.0)</f>
        <v>0</v>
      </c>
      <c r="J227" s="3">
        <f>IFERROR(__xludf.DUMMYFUNCTION("""COMPUTED_VALUE"""),0.0)</f>
        <v>0</v>
      </c>
      <c r="K227" s="3">
        <f>IFERROR(__xludf.DUMMYFUNCTION("""COMPUTED_VALUE"""),0.0)</f>
        <v>0</v>
      </c>
      <c r="L227" s="3">
        <f>IFERROR(__xludf.DUMMYFUNCTION("""COMPUTED_VALUE"""),0.0)</f>
        <v>0</v>
      </c>
      <c r="M227" s="3">
        <f>IFERROR(__xludf.DUMMYFUNCTION("""COMPUTED_VALUE"""),0.0)</f>
        <v>0</v>
      </c>
      <c r="N227" s="3">
        <f>IFERROR(__xludf.DUMMYFUNCTION("""COMPUTED_VALUE"""),0.0)</f>
        <v>0</v>
      </c>
      <c r="O227" s="3">
        <f>IFERROR(__xludf.DUMMYFUNCTION("""COMPUTED_VALUE"""),0.0)</f>
        <v>0</v>
      </c>
      <c r="P227" s="3">
        <f>IFERROR(__xludf.DUMMYFUNCTION("""COMPUTED_VALUE"""),0.0)</f>
        <v>0</v>
      </c>
      <c r="Q227" s="3">
        <f>IFERROR(__xludf.DUMMYFUNCTION("""COMPUTED_VALUE"""),0.0)</f>
        <v>0</v>
      </c>
      <c r="R227" s="3">
        <f>IFERROR(__xludf.DUMMYFUNCTION("""COMPUTED_VALUE"""),0.0)</f>
        <v>0</v>
      </c>
      <c r="S227" s="3">
        <f>IFERROR(__xludf.DUMMYFUNCTION("""COMPUTED_VALUE"""),0.0)</f>
        <v>0</v>
      </c>
      <c r="T227" s="3">
        <f>IFERROR(__xludf.DUMMYFUNCTION("""COMPUTED_VALUE"""),0.0)</f>
        <v>0</v>
      </c>
      <c r="U227" s="3">
        <f>IFERROR(__xludf.DUMMYFUNCTION("""COMPUTED_VALUE"""),0.0)</f>
        <v>0</v>
      </c>
      <c r="V227" s="3">
        <f>IFERROR(__xludf.DUMMYFUNCTION("""COMPUTED_VALUE"""),0.0)</f>
        <v>0</v>
      </c>
      <c r="W227" s="3">
        <f>IFERROR(__xludf.DUMMYFUNCTION("""COMPUTED_VALUE"""),0.0)</f>
        <v>0</v>
      </c>
      <c r="X227" s="3">
        <f>IFERROR(__xludf.DUMMYFUNCTION("""COMPUTED_VALUE"""),0.0)</f>
        <v>0</v>
      </c>
      <c r="Y227" s="3">
        <f>IFERROR(__xludf.DUMMYFUNCTION("""COMPUTED_VALUE"""),0.0)</f>
        <v>0</v>
      </c>
      <c r="Z227" s="3">
        <f>IFERROR(__xludf.DUMMYFUNCTION("""COMPUTED_VALUE"""),0.0)</f>
        <v>0</v>
      </c>
      <c r="AA227" s="3">
        <f>IFERROR(__xludf.DUMMYFUNCTION("""COMPUTED_VALUE"""),0.0)</f>
        <v>0</v>
      </c>
      <c r="AB227" s="3">
        <f>IFERROR(__xludf.DUMMYFUNCTION("""COMPUTED_VALUE"""),0.0)</f>
        <v>0</v>
      </c>
      <c r="AC227" s="3">
        <f>IFERROR(__xludf.DUMMYFUNCTION("""COMPUTED_VALUE"""),0.0)</f>
        <v>0</v>
      </c>
      <c r="AD227" s="3">
        <f>IFERROR(__xludf.DUMMYFUNCTION("""COMPUTED_VALUE"""),0.0)</f>
        <v>0</v>
      </c>
      <c r="AE227" s="3">
        <f>IFERROR(__xludf.DUMMYFUNCTION("""COMPUTED_VALUE"""),0.0)</f>
        <v>0</v>
      </c>
      <c r="AF227" s="3">
        <f>IFERROR(__xludf.DUMMYFUNCTION("""COMPUTED_VALUE"""),0.0)</f>
        <v>0</v>
      </c>
      <c r="AG227" s="3">
        <f>IFERROR(__xludf.DUMMYFUNCTION("""COMPUTED_VALUE"""),0.0)</f>
        <v>0</v>
      </c>
      <c r="AH227" s="3">
        <f>IFERROR(__xludf.DUMMYFUNCTION("""COMPUTED_VALUE"""),0.0)</f>
        <v>0</v>
      </c>
      <c r="AI227" s="3">
        <f>IFERROR(__xludf.DUMMYFUNCTION("""COMPUTED_VALUE"""),0.0)</f>
        <v>0</v>
      </c>
      <c r="AJ227" s="3">
        <f>IFERROR(__xludf.DUMMYFUNCTION("""COMPUTED_VALUE"""),0.0)</f>
        <v>0</v>
      </c>
      <c r="AK227" s="3">
        <f>IFERROR(__xludf.DUMMYFUNCTION("""COMPUTED_VALUE"""),0.0)</f>
        <v>0</v>
      </c>
      <c r="AL227" s="3">
        <f>IFERROR(__xludf.DUMMYFUNCTION("""COMPUTED_VALUE"""),0.0)</f>
        <v>0</v>
      </c>
      <c r="AM227" s="3">
        <f>IFERROR(__xludf.DUMMYFUNCTION("""COMPUTED_VALUE"""),0.0)</f>
        <v>0</v>
      </c>
      <c r="AN227" s="3">
        <f>IFERROR(__xludf.DUMMYFUNCTION("""COMPUTED_VALUE"""),0.0)</f>
        <v>0</v>
      </c>
      <c r="AO227" s="3">
        <f>IFERROR(__xludf.DUMMYFUNCTION("""COMPUTED_VALUE"""),0.0)</f>
        <v>0</v>
      </c>
      <c r="AP227" s="3">
        <f>IFERROR(__xludf.DUMMYFUNCTION("""COMPUTED_VALUE"""),0.0)</f>
        <v>0</v>
      </c>
      <c r="AQ227" s="3">
        <f>IFERROR(__xludf.DUMMYFUNCTION("""COMPUTED_VALUE"""),1.0)</f>
        <v>1</v>
      </c>
      <c r="AR227" s="3">
        <f>IFERROR(__xludf.DUMMYFUNCTION("""COMPUTED_VALUE"""),1.0)</f>
        <v>1</v>
      </c>
      <c r="AS227" s="3">
        <f>IFERROR(__xludf.DUMMYFUNCTION("""COMPUTED_VALUE"""),6.0)</f>
        <v>6</v>
      </c>
      <c r="AT227" s="3">
        <f>IFERROR(__xludf.DUMMYFUNCTION("""COMPUTED_VALUE"""),7.0)</f>
        <v>7</v>
      </c>
      <c r="AU227" s="3">
        <f>IFERROR(__xludf.DUMMYFUNCTION("""COMPUTED_VALUE"""),11.0)</f>
        <v>11</v>
      </c>
      <c r="AV227" s="3">
        <f>IFERROR(__xludf.DUMMYFUNCTION("""COMPUTED_VALUE"""),12.0)</f>
        <v>12</v>
      </c>
      <c r="AW227" s="3">
        <f>IFERROR(__xludf.DUMMYFUNCTION("""COMPUTED_VALUE"""),14.0)</f>
        <v>14</v>
      </c>
      <c r="AX227" s="3">
        <f>IFERROR(__xludf.DUMMYFUNCTION("""COMPUTED_VALUE"""),17.0)</f>
        <v>17</v>
      </c>
      <c r="AY227" s="3">
        <f>IFERROR(__xludf.DUMMYFUNCTION("""COMPUTED_VALUE"""),21.0)</f>
        <v>21</v>
      </c>
      <c r="AZ227" s="3">
        <f>IFERROR(__xludf.DUMMYFUNCTION("""COMPUTED_VALUE"""),22.0)</f>
        <v>22</v>
      </c>
      <c r="BA227" s="3">
        <f>IFERROR(__xludf.DUMMYFUNCTION("""COMPUTED_VALUE"""),28.0)</f>
        <v>28</v>
      </c>
      <c r="BB227" s="3">
        <f>IFERROR(__xludf.DUMMYFUNCTION("""COMPUTED_VALUE"""),36.0)</f>
        <v>36</v>
      </c>
      <c r="BC227" s="3">
        <f>IFERROR(__xludf.DUMMYFUNCTION("""COMPUTED_VALUE"""),40.0)</f>
        <v>40</v>
      </c>
      <c r="BD227" s="3">
        <f>IFERROR(__xludf.DUMMYFUNCTION("""COMPUTED_VALUE"""),47.0)</f>
        <v>47</v>
      </c>
      <c r="BE227" s="3">
        <f>IFERROR(__xludf.DUMMYFUNCTION("""COMPUTED_VALUE"""),54.0)</f>
        <v>54</v>
      </c>
      <c r="BF227" s="3">
        <f>IFERROR(__xludf.DUMMYFUNCTION("""COMPUTED_VALUE"""),63.0)</f>
        <v>63</v>
      </c>
      <c r="BG227" s="3">
        <f>IFERROR(__xludf.DUMMYFUNCTION("""COMPUTED_VALUE"""),85.0)</f>
        <v>85</v>
      </c>
      <c r="BH227" s="3">
        <f>IFERROR(__xludf.DUMMYFUNCTION("""COMPUTED_VALUE"""),108.0)</f>
        <v>108</v>
      </c>
      <c r="BI227" s="3">
        <f>IFERROR(__xludf.DUMMYFUNCTION("""COMPUTED_VALUE"""),118.0)</f>
        <v>118</v>
      </c>
      <c r="BJ227" s="3">
        <f>IFERROR(__xludf.DUMMYFUNCTION("""COMPUTED_VALUE"""),200.0)</f>
        <v>200</v>
      </c>
      <c r="BK227" s="3">
        <f>IFERROR(__xludf.DUMMYFUNCTION("""COMPUTED_VALUE"""),244.0)</f>
        <v>244</v>
      </c>
      <c r="BL227" s="3">
        <f>IFERROR(__xludf.DUMMYFUNCTION("""COMPUTED_VALUE"""),307.0)</f>
        <v>307</v>
      </c>
      <c r="BM227" s="3">
        <f>IFERROR(__xludf.DUMMYFUNCTION("""COMPUTED_VALUE"""),417.0)</f>
        <v>417</v>
      </c>
      <c r="BN227" s="3">
        <f>IFERROR(__xludf.DUMMYFUNCTION("""COMPUTED_VALUE"""),557.0)</f>
        <v>557</v>
      </c>
      <c r="BO227" s="3">
        <f>IFERROR(__xludf.DUMMYFUNCTION("""COMPUTED_VALUE"""),706.0)</f>
        <v>706</v>
      </c>
      <c r="BP227" s="3">
        <f>IFERROR(__xludf.DUMMYFUNCTION("""COMPUTED_VALUE"""),942.0)</f>
        <v>942</v>
      </c>
      <c r="BQ227" s="3">
        <f>IFERROR(__xludf.DUMMYFUNCTION("""COMPUTED_VALUE"""),1209.0)</f>
        <v>1209</v>
      </c>
      <c r="BR227" s="3">
        <f>IFERROR(__xludf.DUMMYFUNCTION("""COMPUTED_VALUE"""),1581.0)</f>
        <v>1581</v>
      </c>
      <c r="BS227" s="3">
        <f>IFERROR(__xludf.DUMMYFUNCTION("""COMPUTED_VALUE"""),2026.0)</f>
        <v>2026</v>
      </c>
      <c r="BT227" s="3">
        <f>IFERROR(__xludf.DUMMYFUNCTION("""COMPUTED_VALUE"""),2467.0)</f>
        <v>2467</v>
      </c>
      <c r="BU227" s="3">
        <f>IFERROR(__xludf.DUMMYFUNCTION("""COMPUTED_VALUE"""),2978.0)</f>
        <v>2978</v>
      </c>
      <c r="BV227" s="3">
        <f>IFERROR(__xludf.DUMMYFUNCTION("""COMPUTED_VALUE"""),3873.0)</f>
        <v>3873</v>
      </c>
      <c r="BW227" s="3">
        <f>IFERROR(__xludf.DUMMYFUNCTION("""COMPUTED_VALUE"""),4757.0)</f>
        <v>4757</v>
      </c>
      <c r="BX227" s="3">
        <f>IFERROR(__xludf.DUMMYFUNCTION("""COMPUTED_VALUE"""),5926.0)</f>
        <v>5926</v>
      </c>
      <c r="BY227" s="3">
        <f>IFERROR(__xludf.DUMMYFUNCTION("""COMPUTED_VALUE"""),7087.0)</f>
        <v>7087</v>
      </c>
      <c r="BZ227" s="3">
        <f>IFERROR(__xludf.DUMMYFUNCTION("""COMPUTED_VALUE"""),8407.0)</f>
        <v>8407</v>
      </c>
      <c r="CA227" s="3">
        <f>IFERROR(__xludf.DUMMYFUNCTION("""COMPUTED_VALUE"""),9619.0)</f>
        <v>9619</v>
      </c>
      <c r="CB227" s="3">
        <f>IFERROR(__xludf.DUMMYFUNCTION("""COMPUTED_VALUE"""),10783.0)</f>
        <v>10783</v>
      </c>
    </row>
    <row r="228">
      <c r="A228" s="3" t="str">
        <f>IFERROR(__xludf.DUMMYFUNCTION("""COMPUTED_VALUE"""),"")</f>
        <v/>
      </c>
      <c r="B228" s="3" t="str">
        <f>IFERROR(__xludf.DUMMYFUNCTION("""COMPUTED_VALUE"""),"Uzbekistan")</f>
        <v>Uzbekistan</v>
      </c>
      <c r="C228" s="3">
        <f>IFERROR(__xludf.DUMMYFUNCTION("""COMPUTED_VALUE"""),41.3775)</f>
        <v>41.3775</v>
      </c>
      <c r="D228" s="3">
        <f>IFERROR(__xludf.DUMMYFUNCTION("""COMPUTED_VALUE"""),64.5853)</f>
        <v>64.5853</v>
      </c>
      <c r="E228" s="3">
        <f>IFERROR(__xludf.DUMMYFUNCTION("""COMPUTED_VALUE"""),0.0)</f>
        <v>0</v>
      </c>
      <c r="F228" s="3">
        <f>IFERROR(__xludf.DUMMYFUNCTION("""COMPUTED_VALUE"""),0.0)</f>
        <v>0</v>
      </c>
      <c r="G228" s="3">
        <f>IFERROR(__xludf.DUMMYFUNCTION("""COMPUTED_VALUE"""),0.0)</f>
        <v>0</v>
      </c>
      <c r="H228" s="3">
        <f>IFERROR(__xludf.DUMMYFUNCTION("""COMPUTED_VALUE"""),0.0)</f>
        <v>0</v>
      </c>
      <c r="I228" s="3">
        <f>IFERROR(__xludf.DUMMYFUNCTION("""COMPUTED_VALUE"""),0.0)</f>
        <v>0</v>
      </c>
      <c r="J228" s="3">
        <f>IFERROR(__xludf.DUMMYFUNCTION("""COMPUTED_VALUE"""),0.0)</f>
        <v>0</v>
      </c>
      <c r="K228" s="3">
        <f>IFERROR(__xludf.DUMMYFUNCTION("""COMPUTED_VALUE"""),0.0)</f>
        <v>0</v>
      </c>
      <c r="L228" s="3">
        <f>IFERROR(__xludf.DUMMYFUNCTION("""COMPUTED_VALUE"""),0.0)</f>
        <v>0</v>
      </c>
      <c r="M228" s="3">
        <f>IFERROR(__xludf.DUMMYFUNCTION("""COMPUTED_VALUE"""),0.0)</f>
        <v>0</v>
      </c>
      <c r="N228" s="3">
        <f>IFERROR(__xludf.DUMMYFUNCTION("""COMPUTED_VALUE"""),0.0)</f>
        <v>0</v>
      </c>
      <c r="O228" s="3">
        <f>IFERROR(__xludf.DUMMYFUNCTION("""COMPUTED_VALUE"""),0.0)</f>
        <v>0</v>
      </c>
      <c r="P228" s="3">
        <f>IFERROR(__xludf.DUMMYFUNCTION("""COMPUTED_VALUE"""),0.0)</f>
        <v>0</v>
      </c>
      <c r="Q228" s="3">
        <f>IFERROR(__xludf.DUMMYFUNCTION("""COMPUTED_VALUE"""),0.0)</f>
        <v>0</v>
      </c>
      <c r="R228" s="3">
        <f>IFERROR(__xludf.DUMMYFUNCTION("""COMPUTED_VALUE"""),0.0)</f>
        <v>0</v>
      </c>
      <c r="S228" s="3">
        <f>IFERROR(__xludf.DUMMYFUNCTION("""COMPUTED_VALUE"""),0.0)</f>
        <v>0</v>
      </c>
      <c r="T228" s="3">
        <f>IFERROR(__xludf.DUMMYFUNCTION("""COMPUTED_VALUE"""),0.0)</f>
        <v>0</v>
      </c>
      <c r="U228" s="3">
        <f>IFERROR(__xludf.DUMMYFUNCTION("""COMPUTED_VALUE"""),0.0)</f>
        <v>0</v>
      </c>
      <c r="V228" s="3">
        <f>IFERROR(__xludf.DUMMYFUNCTION("""COMPUTED_VALUE"""),0.0)</f>
        <v>0</v>
      </c>
      <c r="W228" s="3">
        <f>IFERROR(__xludf.DUMMYFUNCTION("""COMPUTED_VALUE"""),0.0)</f>
        <v>0</v>
      </c>
      <c r="X228" s="3">
        <f>IFERROR(__xludf.DUMMYFUNCTION("""COMPUTED_VALUE"""),0.0)</f>
        <v>0</v>
      </c>
      <c r="Y228" s="3">
        <f>IFERROR(__xludf.DUMMYFUNCTION("""COMPUTED_VALUE"""),0.0)</f>
        <v>0</v>
      </c>
      <c r="Z228" s="3">
        <f>IFERROR(__xludf.DUMMYFUNCTION("""COMPUTED_VALUE"""),0.0)</f>
        <v>0</v>
      </c>
      <c r="AA228" s="3">
        <f>IFERROR(__xludf.DUMMYFUNCTION("""COMPUTED_VALUE"""),0.0)</f>
        <v>0</v>
      </c>
      <c r="AB228" s="3">
        <f>IFERROR(__xludf.DUMMYFUNCTION("""COMPUTED_VALUE"""),0.0)</f>
        <v>0</v>
      </c>
      <c r="AC228" s="3">
        <f>IFERROR(__xludf.DUMMYFUNCTION("""COMPUTED_VALUE"""),0.0)</f>
        <v>0</v>
      </c>
      <c r="AD228" s="3">
        <f>IFERROR(__xludf.DUMMYFUNCTION("""COMPUTED_VALUE"""),0.0)</f>
        <v>0</v>
      </c>
      <c r="AE228" s="3">
        <f>IFERROR(__xludf.DUMMYFUNCTION("""COMPUTED_VALUE"""),0.0)</f>
        <v>0</v>
      </c>
      <c r="AF228" s="3">
        <f>IFERROR(__xludf.DUMMYFUNCTION("""COMPUTED_VALUE"""),0.0)</f>
        <v>0</v>
      </c>
      <c r="AG228" s="3">
        <f>IFERROR(__xludf.DUMMYFUNCTION("""COMPUTED_VALUE"""),0.0)</f>
        <v>0</v>
      </c>
      <c r="AH228" s="3">
        <f>IFERROR(__xludf.DUMMYFUNCTION("""COMPUTED_VALUE"""),0.0)</f>
        <v>0</v>
      </c>
      <c r="AI228" s="3">
        <f>IFERROR(__xludf.DUMMYFUNCTION("""COMPUTED_VALUE"""),0.0)</f>
        <v>0</v>
      </c>
      <c r="AJ228" s="3">
        <f>IFERROR(__xludf.DUMMYFUNCTION("""COMPUTED_VALUE"""),0.0)</f>
        <v>0</v>
      </c>
      <c r="AK228" s="3">
        <f>IFERROR(__xludf.DUMMYFUNCTION("""COMPUTED_VALUE"""),0.0)</f>
        <v>0</v>
      </c>
      <c r="AL228" s="3">
        <f>IFERROR(__xludf.DUMMYFUNCTION("""COMPUTED_VALUE"""),0.0)</f>
        <v>0</v>
      </c>
      <c r="AM228" s="3">
        <f>IFERROR(__xludf.DUMMYFUNCTION("""COMPUTED_VALUE"""),0.0)</f>
        <v>0</v>
      </c>
      <c r="AN228" s="3">
        <f>IFERROR(__xludf.DUMMYFUNCTION("""COMPUTED_VALUE"""),0.0)</f>
        <v>0</v>
      </c>
      <c r="AO228" s="3">
        <f>IFERROR(__xludf.DUMMYFUNCTION("""COMPUTED_VALUE"""),0.0)</f>
        <v>0</v>
      </c>
      <c r="AP228" s="3">
        <f>IFERROR(__xludf.DUMMYFUNCTION("""COMPUTED_VALUE"""),0.0)</f>
        <v>0</v>
      </c>
      <c r="AQ228" s="3">
        <f>IFERROR(__xludf.DUMMYFUNCTION("""COMPUTED_VALUE"""),0.0)</f>
        <v>0</v>
      </c>
      <c r="AR228" s="3">
        <f>IFERROR(__xludf.DUMMYFUNCTION("""COMPUTED_VALUE"""),0.0)</f>
        <v>0</v>
      </c>
      <c r="AS228" s="3">
        <f>IFERROR(__xludf.DUMMYFUNCTION("""COMPUTED_VALUE"""),0.0)</f>
        <v>0</v>
      </c>
      <c r="AT228" s="3">
        <f>IFERROR(__xludf.DUMMYFUNCTION("""COMPUTED_VALUE"""),0.0)</f>
        <v>0</v>
      </c>
      <c r="AU228" s="3">
        <f>IFERROR(__xludf.DUMMYFUNCTION("""COMPUTED_VALUE"""),0.0)</f>
        <v>0</v>
      </c>
      <c r="AV228" s="3">
        <f>IFERROR(__xludf.DUMMYFUNCTION("""COMPUTED_VALUE"""),0.0)</f>
        <v>0</v>
      </c>
      <c r="AW228" s="3">
        <f>IFERROR(__xludf.DUMMYFUNCTION("""COMPUTED_VALUE"""),0.0)</f>
        <v>0</v>
      </c>
      <c r="AX228" s="3">
        <f>IFERROR(__xludf.DUMMYFUNCTION("""COMPUTED_VALUE"""),0.0)</f>
        <v>0</v>
      </c>
      <c r="AY228" s="3">
        <f>IFERROR(__xludf.DUMMYFUNCTION("""COMPUTED_VALUE"""),0.0)</f>
        <v>0</v>
      </c>
      <c r="AZ228" s="3">
        <f>IFERROR(__xludf.DUMMYFUNCTION("""COMPUTED_VALUE"""),0.0)</f>
        <v>0</v>
      </c>
      <c r="BA228" s="3">
        <f>IFERROR(__xludf.DUMMYFUNCTION("""COMPUTED_VALUE"""),0.0)</f>
        <v>0</v>
      </c>
      <c r="BB228" s="3">
        <f>IFERROR(__xludf.DUMMYFUNCTION("""COMPUTED_VALUE"""),0.0)</f>
        <v>0</v>
      </c>
      <c r="BC228" s="3">
        <f>IFERROR(__xludf.DUMMYFUNCTION("""COMPUTED_VALUE"""),0.0)</f>
        <v>0</v>
      </c>
      <c r="BD228" s="3">
        <f>IFERROR(__xludf.DUMMYFUNCTION("""COMPUTED_VALUE"""),0.0)</f>
        <v>0</v>
      </c>
      <c r="BE228" s="3">
        <f>IFERROR(__xludf.DUMMYFUNCTION("""COMPUTED_VALUE"""),0.0)</f>
        <v>0</v>
      </c>
      <c r="BF228" s="3">
        <f>IFERROR(__xludf.DUMMYFUNCTION("""COMPUTED_VALUE"""),0.0)</f>
        <v>0</v>
      </c>
      <c r="BG228" s="3">
        <f>IFERROR(__xludf.DUMMYFUNCTION("""COMPUTED_VALUE"""),0.0)</f>
        <v>0</v>
      </c>
      <c r="BH228" s="3">
        <f>IFERROR(__xludf.DUMMYFUNCTION("""COMPUTED_VALUE"""),0.0)</f>
        <v>0</v>
      </c>
      <c r="BI228" s="3">
        <f>IFERROR(__xludf.DUMMYFUNCTION("""COMPUTED_VALUE"""),0.0)</f>
        <v>0</v>
      </c>
      <c r="BJ228" s="3">
        <f>IFERROR(__xludf.DUMMYFUNCTION("""COMPUTED_VALUE"""),0.0)</f>
        <v>0</v>
      </c>
      <c r="BK228" s="3">
        <f>IFERROR(__xludf.DUMMYFUNCTION("""COMPUTED_VALUE"""),0.0)</f>
        <v>0</v>
      </c>
      <c r="BL228" s="3">
        <f>IFERROR(__xludf.DUMMYFUNCTION("""COMPUTED_VALUE"""),0.0)</f>
        <v>0</v>
      </c>
      <c r="BM228" s="3">
        <f>IFERROR(__xludf.DUMMYFUNCTION("""COMPUTED_VALUE"""),0.0)</f>
        <v>0</v>
      </c>
      <c r="BN228" s="3">
        <f>IFERROR(__xludf.DUMMYFUNCTION("""COMPUTED_VALUE"""),0.0)</f>
        <v>0</v>
      </c>
      <c r="BO228" s="3">
        <f>IFERROR(__xludf.DUMMYFUNCTION("""COMPUTED_VALUE"""),0.0)</f>
        <v>0</v>
      </c>
      <c r="BP228" s="3">
        <f>IFERROR(__xludf.DUMMYFUNCTION("""COMPUTED_VALUE"""),0.0)</f>
        <v>0</v>
      </c>
      <c r="BQ228" s="3">
        <f>IFERROR(__xludf.DUMMYFUNCTION("""COMPUTED_VALUE"""),0.0)</f>
        <v>0</v>
      </c>
      <c r="BR228" s="3">
        <f>IFERROR(__xludf.DUMMYFUNCTION("""COMPUTED_VALUE"""),1.0)</f>
        <v>1</v>
      </c>
      <c r="BS228" s="3">
        <f>IFERROR(__xludf.DUMMYFUNCTION("""COMPUTED_VALUE"""),2.0)</f>
        <v>2</v>
      </c>
      <c r="BT228" s="3">
        <f>IFERROR(__xludf.DUMMYFUNCTION("""COMPUTED_VALUE"""),2.0)</f>
        <v>2</v>
      </c>
      <c r="BU228" s="3">
        <f>IFERROR(__xludf.DUMMYFUNCTION("""COMPUTED_VALUE"""),2.0)</f>
        <v>2</v>
      </c>
      <c r="BV228" s="3">
        <f>IFERROR(__xludf.DUMMYFUNCTION("""COMPUTED_VALUE"""),2.0)</f>
        <v>2</v>
      </c>
      <c r="BW228" s="3">
        <f>IFERROR(__xludf.DUMMYFUNCTION("""COMPUTED_VALUE"""),2.0)</f>
        <v>2</v>
      </c>
      <c r="BX228" s="3">
        <f>IFERROR(__xludf.DUMMYFUNCTION("""COMPUTED_VALUE"""),2.0)</f>
        <v>2</v>
      </c>
      <c r="BY228" s="3">
        <f>IFERROR(__xludf.DUMMYFUNCTION("""COMPUTED_VALUE"""),2.0)</f>
        <v>2</v>
      </c>
      <c r="BZ228" s="3">
        <f>IFERROR(__xludf.DUMMYFUNCTION("""COMPUTED_VALUE"""),2.0)</f>
        <v>2</v>
      </c>
      <c r="CA228" s="3">
        <f>IFERROR(__xludf.DUMMYFUNCTION("""COMPUTED_VALUE"""),2.0)</f>
        <v>2</v>
      </c>
      <c r="CB228" s="3">
        <f>IFERROR(__xludf.DUMMYFUNCTION("""COMPUTED_VALUE"""),2.0)</f>
        <v>2</v>
      </c>
    </row>
    <row r="229">
      <c r="A229" s="3" t="str">
        <f>IFERROR(__xludf.DUMMYFUNCTION("""COMPUTED_VALUE"""),"")</f>
        <v/>
      </c>
      <c r="B229" s="3" t="str">
        <f>IFERROR(__xludf.DUMMYFUNCTION("""COMPUTED_VALUE"""),"Venezuela")</f>
        <v>Venezuela</v>
      </c>
      <c r="C229" s="3">
        <f>IFERROR(__xludf.DUMMYFUNCTION("""COMPUTED_VALUE"""),6.4238)</f>
        <v>6.4238</v>
      </c>
      <c r="D229" s="3">
        <f>IFERROR(__xludf.DUMMYFUNCTION("""COMPUTED_VALUE"""),-66.5897)</f>
        <v>-66.5897</v>
      </c>
      <c r="E229" s="3">
        <f>IFERROR(__xludf.DUMMYFUNCTION("""COMPUTED_VALUE"""),0.0)</f>
        <v>0</v>
      </c>
      <c r="F229" s="3">
        <f>IFERROR(__xludf.DUMMYFUNCTION("""COMPUTED_VALUE"""),0.0)</f>
        <v>0</v>
      </c>
      <c r="G229" s="3">
        <f>IFERROR(__xludf.DUMMYFUNCTION("""COMPUTED_VALUE"""),0.0)</f>
        <v>0</v>
      </c>
      <c r="H229" s="3">
        <f>IFERROR(__xludf.DUMMYFUNCTION("""COMPUTED_VALUE"""),0.0)</f>
        <v>0</v>
      </c>
      <c r="I229" s="3">
        <f>IFERROR(__xludf.DUMMYFUNCTION("""COMPUTED_VALUE"""),0.0)</f>
        <v>0</v>
      </c>
      <c r="J229" s="3">
        <f>IFERROR(__xludf.DUMMYFUNCTION("""COMPUTED_VALUE"""),0.0)</f>
        <v>0</v>
      </c>
      <c r="K229" s="3">
        <f>IFERROR(__xludf.DUMMYFUNCTION("""COMPUTED_VALUE"""),0.0)</f>
        <v>0</v>
      </c>
      <c r="L229" s="3">
        <f>IFERROR(__xludf.DUMMYFUNCTION("""COMPUTED_VALUE"""),0.0)</f>
        <v>0</v>
      </c>
      <c r="M229" s="3">
        <f>IFERROR(__xludf.DUMMYFUNCTION("""COMPUTED_VALUE"""),0.0)</f>
        <v>0</v>
      </c>
      <c r="N229" s="3">
        <f>IFERROR(__xludf.DUMMYFUNCTION("""COMPUTED_VALUE"""),0.0)</f>
        <v>0</v>
      </c>
      <c r="O229" s="3">
        <f>IFERROR(__xludf.DUMMYFUNCTION("""COMPUTED_VALUE"""),0.0)</f>
        <v>0</v>
      </c>
      <c r="P229" s="3">
        <f>IFERROR(__xludf.DUMMYFUNCTION("""COMPUTED_VALUE"""),0.0)</f>
        <v>0</v>
      </c>
      <c r="Q229" s="3">
        <f>IFERROR(__xludf.DUMMYFUNCTION("""COMPUTED_VALUE"""),0.0)</f>
        <v>0</v>
      </c>
      <c r="R229" s="3">
        <f>IFERROR(__xludf.DUMMYFUNCTION("""COMPUTED_VALUE"""),0.0)</f>
        <v>0</v>
      </c>
      <c r="S229" s="3">
        <f>IFERROR(__xludf.DUMMYFUNCTION("""COMPUTED_VALUE"""),0.0)</f>
        <v>0</v>
      </c>
      <c r="T229" s="3">
        <f>IFERROR(__xludf.DUMMYFUNCTION("""COMPUTED_VALUE"""),0.0)</f>
        <v>0</v>
      </c>
      <c r="U229" s="3">
        <f>IFERROR(__xludf.DUMMYFUNCTION("""COMPUTED_VALUE"""),0.0)</f>
        <v>0</v>
      </c>
      <c r="V229" s="3">
        <f>IFERROR(__xludf.DUMMYFUNCTION("""COMPUTED_VALUE"""),0.0)</f>
        <v>0</v>
      </c>
      <c r="W229" s="3">
        <f>IFERROR(__xludf.DUMMYFUNCTION("""COMPUTED_VALUE"""),0.0)</f>
        <v>0</v>
      </c>
      <c r="X229" s="3">
        <f>IFERROR(__xludf.DUMMYFUNCTION("""COMPUTED_VALUE"""),0.0)</f>
        <v>0</v>
      </c>
      <c r="Y229" s="3">
        <f>IFERROR(__xludf.DUMMYFUNCTION("""COMPUTED_VALUE"""),0.0)</f>
        <v>0</v>
      </c>
      <c r="Z229" s="3">
        <f>IFERROR(__xludf.DUMMYFUNCTION("""COMPUTED_VALUE"""),0.0)</f>
        <v>0</v>
      </c>
      <c r="AA229" s="3">
        <f>IFERROR(__xludf.DUMMYFUNCTION("""COMPUTED_VALUE"""),0.0)</f>
        <v>0</v>
      </c>
      <c r="AB229" s="3">
        <f>IFERROR(__xludf.DUMMYFUNCTION("""COMPUTED_VALUE"""),0.0)</f>
        <v>0</v>
      </c>
      <c r="AC229" s="3">
        <f>IFERROR(__xludf.DUMMYFUNCTION("""COMPUTED_VALUE"""),0.0)</f>
        <v>0</v>
      </c>
      <c r="AD229" s="3">
        <f>IFERROR(__xludf.DUMMYFUNCTION("""COMPUTED_VALUE"""),0.0)</f>
        <v>0</v>
      </c>
      <c r="AE229" s="3">
        <f>IFERROR(__xludf.DUMMYFUNCTION("""COMPUTED_VALUE"""),0.0)</f>
        <v>0</v>
      </c>
      <c r="AF229" s="3">
        <f>IFERROR(__xludf.DUMMYFUNCTION("""COMPUTED_VALUE"""),0.0)</f>
        <v>0</v>
      </c>
      <c r="AG229" s="3">
        <f>IFERROR(__xludf.DUMMYFUNCTION("""COMPUTED_VALUE"""),0.0)</f>
        <v>0</v>
      </c>
      <c r="AH229" s="3">
        <f>IFERROR(__xludf.DUMMYFUNCTION("""COMPUTED_VALUE"""),0.0)</f>
        <v>0</v>
      </c>
      <c r="AI229" s="3">
        <f>IFERROR(__xludf.DUMMYFUNCTION("""COMPUTED_VALUE"""),0.0)</f>
        <v>0</v>
      </c>
      <c r="AJ229" s="3">
        <f>IFERROR(__xludf.DUMMYFUNCTION("""COMPUTED_VALUE"""),0.0)</f>
        <v>0</v>
      </c>
      <c r="AK229" s="3">
        <f>IFERROR(__xludf.DUMMYFUNCTION("""COMPUTED_VALUE"""),0.0)</f>
        <v>0</v>
      </c>
      <c r="AL229" s="3">
        <f>IFERROR(__xludf.DUMMYFUNCTION("""COMPUTED_VALUE"""),0.0)</f>
        <v>0</v>
      </c>
      <c r="AM229" s="3">
        <f>IFERROR(__xludf.DUMMYFUNCTION("""COMPUTED_VALUE"""),0.0)</f>
        <v>0</v>
      </c>
      <c r="AN229" s="3">
        <f>IFERROR(__xludf.DUMMYFUNCTION("""COMPUTED_VALUE"""),0.0)</f>
        <v>0</v>
      </c>
      <c r="AO229" s="3">
        <f>IFERROR(__xludf.DUMMYFUNCTION("""COMPUTED_VALUE"""),0.0)</f>
        <v>0</v>
      </c>
      <c r="AP229" s="3">
        <f>IFERROR(__xludf.DUMMYFUNCTION("""COMPUTED_VALUE"""),0.0)</f>
        <v>0</v>
      </c>
      <c r="AQ229" s="3">
        <f>IFERROR(__xludf.DUMMYFUNCTION("""COMPUTED_VALUE"""),0.0)</f>
        <v>0</v>
      </c>
      <c r="AR229" s="3">
        <f>IFERROR(__xludf.DUMMYFUNCTION("""COMPUTED_VALUE"""),0.0)</f>
        <v>0</v>
      </c>
      <c r="AS229" s="3">
        <f>IFERROR(__xludf.DUMMYFUNCTION("""COMPUTED_VALUE"""),0.0)</f>
        <v>0</v>
      </c>
      <c r="AT229" s="3">
        <f>IFERROR(__xludf.DUMMYFUNCTION("""COMPUTED_VALUE"""),0.0)</f>
        <v>0</v>
      </c>
      <c r="AU229" s="3">
        <f>IFERROR(__xludf.DUMMYFUNCTION("""COMPUTED_VALUE"""),0.0)</f>
        <v>0</v>
      </c>
      <c r="AV229" s="3">
        <f>IFERROR(__xludf.DUMMYFUNCTION("""COMPUTED_VALUE"""),0.0)</f>
        <v>0</v>
      </c>
      <c r="AW229" s="3">
        <f>IFERROR(__xludf.DUMMYFUNCTION("""COMPUTED_VALUE"""),0.0)</f>
        <v>0</v>
      </c>
      <c r="AX229" s="3">
        <f>IFERROR(__xludf.DUMMYFUNCTION("""COMPUTED_VALUE"""),0.0)</f>
        <v>0</v>
      </c>
      <c r="AY229" s="3">
        <f>IFERROR(__xludf.DUMMYFUNCTION("""COMPUTED_VALUE"""),0.0)</f>
        <v>0</v>
      </c>
      <c r="AZ229" s="3">
        <f>IFERROR(__xludf.DUMMYFUNCTION("""COMPUTED_VALUE"""),0.0)</f>
        <v>0</v>
      </c>
      <c r="BA229" s="3">
        <f>IFERROR(__xludf.DUMMYFUNCTION("""COMPUTED_VALUE"""),0.0)</f>
        <v>0</v>
      </c>
      <c r="BB229" s="3">
        <f>IFERROR(__xludf.DUMMYFUNCTION("""COMPUTED_VALUE"""),0.0)</f>
        <v>0</v>
      </c>
      <c r="BC229" s="3">
        <f>IFERROR(__xludf.DUMMYFUNCTION("""COMPUTED_VALUE"""),0.0)</f>
        <v>0</v>
      </c>
      <c r="BD229" s="3">
        <f>IFERROR(__xludf.DUMMYFUNCTION("""COMPUTED_VALUE"""),0.0)</f>
        <v>0</v>
      </c>
      <c r="BE229" s="3">
        <f>IFERROR(__xludf.DUMMYFUNCTION("""COMPUTED_VALUE"""),0.0)</f>
        <v>0</v>
      </c>
      <c r="BF229" s="3">
        <f>IFERROR(__xludf.DUMMYFUNCTION("""COMPUTED_VALUE"""),0.0)</f>
        <v>0</v>
      </c>
      <c r="BG229" s="3">
        <f>IFERROR(__xludf.DUMMYFUNCTION("""COMPUTED_VALUE"""),0.0)</f>
        <v>0</v>
      </c>
      <c r="BH229" s="3">
        <f>IFERROR(__xludf.DUMMYFUNCTION("""COMPUTED_VALUE"""),0.0)</f>
        <v>0</v>
      </c>
      <c r="BI229" s="3">
        <f>IFERROR(__xludf.DUMMYFUNCTION("""COMPUTED_VALUE"""),0.0)</f>
        <v>0</v>
      </c>
      <c r="BJ229" s="3">
        <f>IFERROR(__xludf.DUMMYFUNCTION("""COMPUTED_VALUE"""),0.0)</f>
        <v>0</v>
      </c>
      <c r="BK229" s="3">
        <f>IFERROR(__xludf.DUMMYFUNCTION("""COMPUTED_VALUE"""),0.0)</f>
        <v>0</v>
      </c>
      <c r="BL229" s="3">
        <f>IFERROR(__xludf.DUMMYFUNCTION("""COMPUTED_VALUE"""),0.0)</f>
        <v>0</v>
      </c>
      <c r="BM229" s="3">
        <f>IFERROR(__xludf.DUMMYFUNCTION("""COMPUTED_VALUE"""),0.0)</f>
        <v>0</v>
      </c>
      <c r="BN229" s="3">
        <f>IFERROR(__xludf.DUMMYFUNCTION("""COMPUTED_VALUE"""),0.0)</f>
        <v>0</v>
      </c>
      <c r="BO229" s="3">
        <f>IFERROR(__xludf.DUMMYFUNCTION("""COMPUTED_VALUE"""),0.0)</f>
        <v>0</v>
      </c>
      <c r="BP229" s="3">
        <f>IFERROR(__xludf.DUMMYFUNCTION("""COMPUTED_VALUE"""),0.0)</f>
        <v>0</v>
      </c>
      <c r="BQ229" s="3">
        <f>IFERROR(__xludf.DUMMYFUNCTION("""COMPUTED_VALUE"""),0.0)</f>
        <v>0</v>
      </c>
      <c r="BR229" s="3">
        <f>IFERROR(__xludf.DUMMYFUNCTION("""COMPUTED_VALUE"""),1.0)</f>
        <v>1</v>
      </c>
      <c r="BS229" s="3">
        <f>IFERROR(__xludf.DUMMYFUNCTION("""COMPUTED_VALUE"""),2.0)</f>
        <v>2</v>
      </c>
      <c r="BT229" s="3">
        <f>IFERROR(__xludf.DUMMYFUNCTION("""COMPUTED_VALUE"""),2.0)</f>
        <v>2</v>
      </c>
      <c r="BU229" s="3">
        <f>IFERROR(__xludf.DUMMYFUNCTION("""COMPUTED_VALUE"""),3.0)</f>
        <v>3</v>
      </c>
      <c r="BV229" s="3">
        <f>IFERROR(__xludf.DUMMYFUNCTION("""COMPUTED_VALUE"""),3.0)</f>
        <v>3</v>
      </c>
      <c r="BW229" s="3">
        <f>IFERROR(__xludf.DUMMYFUNCTION("""COMPUTED_VALUE"""),3.0)</f>
        <v>3</v>
      </c>
      <c r="BX229" s="3">
        <f>IFERROR(__xludf.DUMMYFUNCTION("""COMPUTED_VALUE"""),5.0)</f>
        <v>5</v>
      </c>
      <c r="BY229" s="3">
        <f>IFERROR(__xludf.DUMMYFUNCTION("""COMPUTED_VALUE"""),7.0)</f>
        <v>7</v>
      </c>
      <c r="BZ229" s="3">
        <f>IFERROR(__xludf.DUMMYFUNCTION("""COMPUTED_VALUE"""),7.0)</f>
        <v>7</v>
      </c>
      <c r="CA229" s="3">
        <f>IFERROR(__xludf.DUMMYFUNCTION("""COMPUTED_VALUE"""),7.0)</f>
        <v>7</v>
      </c>
      <c r="CB229" s="3">
        <f>IFERROR(__xludf.DUMMYFUNCTION("""COMPUTED_VALUE"""),7.0)</f>
        <v>7</v>
      </c>
    </row>
    <row r="230">
      <c r="A230" s="3" t="str">
        <f>IFERROR(__xludf.DUMMYFUNCTION("""COMPUTED_VALUE"""),"")</f>
        <v/>
      </c>
      <c r="B230" s="3" t="str">
        <f>IFERROR(__xludf.DUMMYFUNCTION("""COMPUTED_VALUE"""),"Vietnam")</f>
        <v>Vietnam</v>
      </c>
      <c r="C230" s="3">
        <f>IFERROR(__xludf.DUMMYFUNCTION("""COMPUTED_VALUE"""),16.0)</f>
        <v>16</v>
      </c>
      <c r="D230" s="3">
        <f>IFERROR(__xludf.DUMMYFUNCTION("""COMPUTED_VALUE"""),108.0)</f>
        <v>108</v>
      </c>
      <c r="E230" s="3">
        <f>IFERROR(__xludf.DUMMYFUNCTION("""COMPUTED_VALUE"""),0.0)</f>
        <v>0</v>
      </c>
      <c r="F230" s="3">
        <f>IFERROR(__xludf.DUMMYFUNCTION("""COMPUTED_VALUE"""),0.0)</f>
        <v>0</v>
      </c>
      <c r="G230" s="3">
        <f>IFERROR(__xludf.DUMMYFUNCTION("""COMPUTED_VALUE"""),0.0)</f>
        <v>0</v>
      </c>
      <c r="H230" s="3">
        <f>IFERROR(__xludf.DUMMYFUNCTION("""COMPUTED_VALUE"""),0.0)</f>
        <v>0</v>
      </c>
      <c r="I230" s="3">
        <f>IFERROR(__xludf.DUMMYFUNCTION("""COMPUTED_VALUE"""),0.0)</f>
        <v>0</v>
      </c>
      <c r="J230" s="3">
        <f>IFERROR(__xludf.DUMMYFUNCTION("""COMPUTED_VALUE"""),0.0)</f>
        <v>0</v>
      </c>
      <c r="K230" s="3">
        <f>IFERROR(__xludf.DUMMYFUNCTION("""COMPUTED_VALUE"""),0.0)</f>
        <v>0</v>
      </c>
      <c r="L230" s="3">
        <f>IFERROR(__xludf.DUMMYFUNCTION("""COMPUTED_VALUE"""),0.0)</f>
        <v>0</v>
      </c>
      <c r="M230" s="3">
        <f>IFERROR(__xludf.DUMMYFUNCTION("""COMPUTED_VALUE"""),0.0)</f>
        <v>0</v>
      </c>
      <c r="N230" s="3">
        <f>IFERROR(__xludf.DUMMYFUNCTION("""COMPUTED_VALUE"""),0.0)</f>
        <v>0</v>
      </c>
      <c r="O230" s="3">
        <f>IFERROR(__xludf.DUMMYFUNCTION("""COMPUTED_VALUE"""),0.0)</f>
        <v>0</v>
      </c>
      <c r="P230" s="3">
        <f>IFERROR(__xludf.DUMMYFUNCTION("""COMPUTED_VALUE"""),0.0)</f>
        <v>0</v>
      </c>
      <c r="Q230" s="3">
        <f>IFERROR(__xludf.DUMMYFUNCTION("""COMPUTED_VALUE"""),0.0)</f>
        <v>0</v>
      </c>
      <c r="R230" s="3">
        <f>IFERROR(__xludf.DUMMYFUNCTION("""COMPUTED_VALUE"""),0.0)</f>
        <v>0</v>
      </c>
      <c r="S230" s="3">
        <f>IFERROR(__xludf.DUMMYFUNCTION("""COMPUTED_VALUE"""),0.0)</f>
        <v>0</v>
      </c>
      <c r="T230" s="3">
        <f>IFERROR(__xludf.DUMMYFUNCTION("""COMPUTED_VALUE"""),0.0)</f>
        <v>0</v>
      </c>
      <c r="U230" s="3">
        <f>IFERROR(__xludf.DUMMYFUNCTION("""COMPUTED_VALUE"""),0.0)</f>
        <v>0</v>
      </c>
      <c r="V230" s="3">
        <f>IFERROR(__xludf.DUMMYFUNCTION("""COMPUTED_VALUE"""),0.0)</f>
        <v>0</v>
      </c>
      <c r="W230" s="3">
        <f>IFERROR(__xludf.DUMMYFUNCTION("""COMPUTED_VALUE"""),0.0)</f>
        <v>0</v>
      </c>
      <c r="X230" s="3">
        <f>IFERROR(__xludf.DUMMYFUNCTION("""COMPUTED_VALUE"""),0.0)</f>
        <v>0</v>
      </c>
      <c r="Y230" s="3">
        <f>IFERROR(__xludf.DUMMYFUNCTION("""COMPUTED_VALUE"""),0.0)</f>
        <v>0</v>
      </c>
      <c r="Z230" s="3">
        <f>IFERROR(__xludf.DUMMYFUNCTION("""COMPUTED_VALUE"""),0.0)</f>
        <v>0</v>
      </c>
      <c r="AA230" s="3">
        <f>IFERROR(__xludf.DUMMYFUNCTION("""COMPUTED_VALUE"""),0.0)</f>
        <v>0</v>
      </c>
      <c r="AB230" s="3">
        <f>IFERROR(__xludf.DUMMYFUNCTION("""COMPUTED_VALUE"""),0.0)</f>
        <v>0</v>
      </c>
      <c r="AC230" s="3">
        <f>IFERROR(__xludf.DUMMYFUNCTION("""COMPUTED_VALUE"""),0.0)</f>
        <v>0</v>
      </c>
      <c r="AD230" s="3">
        <f>IFERROR(__xludf.DUMMYFUNCTION("""COMPUTED_VALUE"""),0.0)</f>
        <v>0</v>
      </c>
      <c r="AE230" s="3">
        <f>IFERROR(__xludf.DUMMYFUNCTION("""COMPUTED_VALUE"""),0.0)</f>
        <v>0</v>
      </c>
      <c r="AF230" s="3">
        <f>IFERROR(__xludf.DUMMYFUNCTION("""COMPUTED_VALUE"""),0.0)</f>
        <v>0</v>
      </c>
      <c r="AG230" s="3">
        <f>IFERROR(__xludf.DUMMYFUNCTION("""COMPUTED_VALUE"""),0.0)</f>
        <v>0</v>
      </c>
      <c r="AH230" s="3">
        <f>IFERROR(__xludf.DUMMYFUNCTION("""COMPUTED_VALUE"""),0.0)</f>
        <v>0</v>
      </c>
      <c r="AI230" s="3">
        <f>IFERROR(__xludf.DUMMYFUNCTION("""COMPUTED_VALUE"""),0.0)</f>
        <v>0</v>
      </c>
      <c r="AJ230" s="3">
        <f>IFERROR(__xludf.DUMMYFUNCTION("""COMPUTED_VALUE"""),0.0)</f>
        <v>0</v>
      </c>
      <c r="AK230" s="3">
        <f>IFERROR(__xludf.DUMMYFUNCTION("""COMPUTED_VALUE"""),0.0)</f>
        <v>0</v>
      </c>
      <c r="AL230" s="3">
        <f>IFERROR(__xludf.DUMMYFUNCTION("""COMPUTED_VALUE"""),0.0)</f>
        <v>0</v>
      </c>
      <c r="AM230" s="3">
        <f>IFERROR(__xludf.DUMMYFUNCTION("""COMPUTED_VALUE"""),0.0)</f>
        <v>0</v>
      </c>
      <c r="AN230" s="3">
        <f>IFERROR(__xludf.DUMMYFUNCTION("""COMPUTED_VALUE"""),0.0)</f>
        <v>0</v>
      </c>
      <c r="AO230" s="3">
        <f>IFERROR(__xludf.DUMMYFUNCTION("""COMPUTED_VALUE"""),0.0)</f>
        <v>0</v>
      </c>
      <c r="AP230" s="3">
        <f>IFERROR(__xludf.DUMMYFUNCTION("""COMPUTED_VALUE"""),0.0)</f>
        <v>0</v>
      </c>
      <c r="AQ230" s="3">
        <f>IFERROR(__xludf.DUMMYFUNCTION("""COMPUTED_VALUE"""),0.0)</f>
        <v>0</v>
      </c>
      <c r="AR230" s="3">
        <f>IFERROR(__xludf.DUMMYFUNCTION("""COMPUTED_VALUE"""),0.0)</f>
        <v>0</v>
      </c>
      <c r="AS230" s="3">
        <f>IFERROR(__xludf.DUMMYFUNCTION("""COMPUTED_VALUE"""),0.0)</f>
        <v>0</v>
      </c>
      <c r="AT230" s="3">
        <f>IFERROR(__xludf.DUMMYFUNCTION("""COMPUTED_VALUE"""),0.0)</f>
        <v>0</v>
      </c>
      <c r="AU230" s="3">
        <f>IFERROR(__xludf.DUMMYFUNCTION("""COMPUTED_VALUE"""),0.0)</f>
        <v>0</v>
      </c>
      <c r="AV230" s="3">
        <f>IFERROR(__xludf.DUMMYFUNCTION("""COMPUTED_VALUE"""),0.0)</f>
        <v>0</v>
      </c>
      <c r="AW230" s="3">
        <f>IFERROR(__xludf.DUMMYFUNCTION("""COMPUTED_VALUE"""),0.0)</f>
        <v>0</v>
      </c>
      <c r="AX230" s="3">
        <f>IFERROR(__xludf.DUMMYFUNCTION("""COMPUTED_VALUE"""),0.0)</f>
        <v>0</v>
      </c>
      <c r="AY230" s="3">
        <f>IFERROR(__xludf.DUMMYFUNCTION("""COMPUTED_VALUE"""),0.0)</f>
        <v>0</v>
      </c>
      <c r="AZ230" s="3">
        <f>IFERROR(__xludf.DUMMYFUNCTION("""COMPUTED_VALUE"""),0.0)</f>
        <v>0</v>
      </c>
      <c r="BA230" s="3">
        <f>IFERROR(__xludf.DUMMYFUNCTION("""COMPUTED_VALUE"""),0.0)</f>
        <v>0</v>
      </c>
      <c r="BB230" s="3">
        <f>IFERROR(__xludf.DUMMYFUNCTION("""COMPUTED_VALUE"""),0.0)</f>
        <v>0</v>
      </c>
      <c r="BC230" s="3">
        <f>IFERROR(__xludf.DUMMYFUNCTION("""COMPUTED_VALUE"""),0.0)</f>
        <v>0</v>
      </c>
      <c r="BD230" s="3">
        <f>IFERROR(__xludf.DUMMYFUNCTION("""COMPUTED_VALUE"""),0.0)</f>
        <v>0</v>
      </c>
      <c r="BE230" s="3">
        <f>IFERROR(__xludf.DUMMYFUNCTION("""COMPUTED_VALUE"""),0.0)</f>
        <v>0</v>
      </c>
      <c r="BF230" s="3">
        <f>IFERROR(__xludf.DUMMYFUNCTION("""COMPUTED_VALUE"""),0.0)</f>
        <v>0</v>
      </c>
      <c r="BG230" s="3">
        <f>IFERROR(__xludf.DUMMYFUNCTION("""COMPUTED_VALUE"""),0.0)</f>
        <v>0</v>
      </c>
      <c r="BH230" s="3">
        <f>IFERROR(__xludf.DUMMYFUNCTION("""COMPUTED_VALUE"""),0.0)</f>
        <v>0</v>
      </c>
      <c r="BI230" s="3">
        <f>IFERROR(__xludf.DUMMYFUNCTION("""COMPUTED_VALUE"""),0.0)</f>
        <v>0</v>
      </c>
      <c r="BJ230" s="3">
        <f>IFERROR(__xludf.DUMMYFUNCTION("""COMPUTED_VALUE"""),0.0)</f>
        <v>0</v>
      </c>
      <c r="BK230" s="3">
        <f>IFERROR(__xludf.DUMMYFUNCTION("""COMPUTED_VALUE"""),0.0)</f>
        <v>0</v>
      </c>
      <c r="BL230" s="3">
        <f>IFERROR(__xludf.DUMMYFUNCTION("""COMPUTED_VALUE"""),0.0)</f>
        <v>0</v>
      </c>
      <c r="BM230" s="3">
        <f>IFERROR(__xludf.DUMMYFUNCTION("""COMPUTED_VALUE"""),0.0)</f>
        <v>0</v>
      </c>
      <c r="BN230" s="3">
        <f>IFERROR(__xludf.DUMMYFUNCTION("""COMPUTED_VALUE"""),0.0)</f>
        <v>0</v>
      </c>
      <c r="BO230" s="3">
        <f>IFERROR(__xludf.DUMMYFUNCTION("""COMPUTED_VALUE"""),0.0)</f>
        <v>0</v>
      </c>
      <c r="BP230" s="3">
        <f>IFERROR(__xludf.DUMMYFUNCTION("""COMPUTED_VALUE"""),0.0)</f>
        <v>0</v>
      </c>
      <c r="BQ230" s="3">
        <f>IFERROR(__xludf.DUMMYFUNCTION("""COMPUTED_VALUE"""),0.0)</f>
        <v>0</v>
      </c>
      <c r="BR230" s="3">
        <f>IFERROR(__xludf.DUMMYFUNCTION("""COMPUTED_VALUE"""),0.0)</f>
        <v>0</v>
      </c>
      <c r="BS230" s="3">
        <f>IFERROR(__xludf.DUMMYFUNCTION("""COMPUTED_VALUE"""),0.0)</f>
        <v>0</v>
      </c>
      <c r="BT230" s="3">
        <f>IFERROR(__xludf.DUMMYFUNCTION("""COMPUTED_VALUE"""),0.0)</f>
        <v>0</v>
      </c>
      <c r="BU230" s="3">
        <f>IFERROR(__xludf.DUMMYFUNCTION("""COMPUTED_VALUE"""),0.0)</f>
        <v>0</v>
      </c>
      <c r="BV230" s="3">
        <f>IFERROR(__xludf.DUMMYFUNCTION("""COMPUTED_VALUE"""),0.0)</f>
        <v>0</v>
      </c>
      <c r="BW230" s="3">
        <f>IFERROR(__xludf.DUMMYFUNCTION("""COMPUTED_VALUE"""),0.0)</f>
        <v>0</v>
      </c>
      <c r="BX230" s="3">
        <f>IFERROR(__xludf.DUMMYFUNCTION("""COMPUTED_VALUE"""),0.0)</f>
        <v>0</v>
      </c>
      <c r="BY230" s="3">
        <f>IFERROR(__xludf.DUMMYFUNCTION("""COMPUTED_VALUE"""),0.0)</f>
        <v>0</v>
      </c>
      <c r="BZ230" s="3">
        <f>IFERROR(__xludf.DUMMYFUNCTION("""COMPUTED_VALUE"""),0.0)</f>
        <v>0</v>
      </c>
      <c r="CA230" s="3">
        <f>IFERROR(__xludf.DUMMYFUNCTION("""COMPUTED_VALUE"""),0.0)</f>
        <v>0</v>
      </c>
      <c r="CB230" s="3">
        <f>IFERROR(__xludf.DUMMYFUNCTION("""COMPUTED_VALUE"""),0.0)</f>
        <v>0</v>
      </c>
    </row>
    <row r="231">
      <c r="A231" s="3" t="str">
        <f>IFERROR(__xludf.DUMMYFUNCTION("""COMPUTED_VALUE"""),"")</f>
        <v/>
      </c>
      <c r="B231" s="3" t="str">
        <f>IFERROR(__xludf.DUMMYFUNCTION("""COMPUTED_VALUE"""),"Zambia")</f>
        <v>Zambia</v>
      </c>
      <c r="C231" s="3">
        <f>IFERROR(__xludf.DUMMYFUNCTION("""COMPUTED_VALUE"""),-15.4167)</f>
        <v>-15.4167</v>
      </c>
      <c r="D231" s="3">
        <f>IFERROR(__xludf.DUMMYFUNCTION("""COMPUTED_VALUE"""),28.2833)</f>
        <v>28.2833</v>
      </c>
      <c r="E231" s="3">
        <f>IFERROR(__xludf.DUMMYFUNCTION("""COMPUTED_VALUE"""),0.0)</f>
        <v>0</v>
      </c>
      <c r="F231" s="3">
        <f>IFERROR(__xludf.DUMMYFUNCTION("""COMPUTED_VALUE"""),0.0)</f>
        <v>0</v>
      </c>
      <c r="G231" s="3">
        <f>IFERROR(__xludf.DUMMYFUNCTION("""COMPUTED_VALUE"""),0.0)</f>
        <v>0</v>
      </c>
      <c r="H231" s="3">
        <f>IFERROR(__xludf.DUMMYFUNCTION("""COMPUTED_VALUE"""),0.0)</f>
        <v>0</v>
      </c>
      <c r="I231" s="3">
        <f>IFERROR(__xludf.DUMMYFUNCTION("""COMPUTED_VALUE"""),0.0)</f>
        <v>0</v>
      </c>
      <c r="J231" s="3">
        <f>IFERROR(__xludf.DUMMYFUNCTION("""COMPUTED_VALUE"""),0.0)</f>
        <v>0</v>
      </c>
      <c r="K231" s="3">
        <f>IFERROR(__xludf.DUMMYFUNCTION("""COMPUTED_VALUE"""),0.0)</f>
        <v>0</v>
      </c>
      <c r="L231" s="3">
        <f>IFERROR(__xludf.DUMMYFUNCTION("""COMPUTED_VALUE"""),0.0)</f>
        <v>0</v>
      </c>
      <c r="M231" s="3">
        <f>IFERROR(__xludf.DUMMYFUNCTION("""COMPUTED_VALUE"""),0.0)</f>
        <v>0</v>
      </c>
      <c r="N231" s="3">
        <f>IFERROR(__xludf.DUMMYFUNCTION("""COMPUTED_VALUE"""),0.0)</f>
        <v>0</v>
      </c>
      <c r="O231" s="3">
        <f>IFERROR(__xludf.DUMMYFUNCTION("""COMPUTED_VALUE"""),0.0)</f>
        <v>0</v>
      </c>
      <c r="P231" s="3">
        <f>IFERROR(__xludf.DUMMYFUNCTION("""COMPUTED_VALUE"""),0.0)</f>
        <v>0</v>
      </c>
      <c r="Q231" s="3">
        <f>IFERROR(__xludf.DUMMYFUNCTION("""COMPUTED_VALUE"""),0.0)</f>
        <v>0</v>
      </c>
      <c r="R231" s="3">
        <f>IFERROR(__xludf.DUMMYFUNCTION("""COMPUTED_VALUE"""),0.0)</f>
        <v>0</v>
      </c>
      <c r="S231" s="3">
        <f>IFERROR(__xludf.DUMMYFUNCTION("""COMPUTED_VALUE"""),0.0)</f>
        <v>0</v>
      </c>
      <c r="T231" s="3">
        <f>IFERROR(__xludf.DUMMYFUNCTION("""COMPUTED_VALUE"""),0.0)</f>
        <v>0</v>
      </c>
      <c r="U231" s="3">
        <f>IFERROR(__xludf.DUMMYFUNCTION("""COMPUTED_VALUE"""),0.0)</f>
        <v>0</v>
      </c>
      <c r="V231" s="3">
        <f>IFERROR(__xludf.DUMMYFUNCTION("""COMPUTED_VALUE"""),0.0)</f>
        <v>0</v>
      </c>
      <c r="W231" s="3">
        <f>IFERROR(__xludf.DUMMYFUNCTION("""COMPUTED_VALUE"""),0.0)</f>
        <v>0</v>
      </c>
      <c r="X231" s="3">
        <f>IFERROR(__xludf.DUMMYFUNCTION("""COMPUTED_VALUE"""),0.0)</f>
        <v>0</v>
      </c>
      <c r="Y231" s="3">
        <f>IFERROR(__xludf.DUMMYFUNCTION("""COMPUTED_VALUE"""),0.0)</f>
        <v>0</v>
      </c>
      <c r="Z231" s="3">
        <f>IFERROR(__xludf.DUMMYFUNCTION("""COMPUTED_VALUE"""),0.0)</f>
        <v>0</v>
      </c>
      <c r="AA231" s="3">
        <f>IFERROR(__xludf.DUMMYFUNCTION("""COMPUTED_VALUE"""),0.0)</f>
        <v>0</v>
      </c>
      <c r="AB231" s="3">
        <f>IFERROR(__xludf.DUMMYFUNCTION("""COMPUTED_VALUE"""),0.0)</f>
        <v>0</v>
      </c>
      <c r="AC231" s="3">
        <f>IFERROR(__xludf.DUMMYFUNCTION("""COMPUTED_VALUE"""),0.0)</f>
        <v>0</v>
      </c>
      <c r="AD231" s="3">
        <f>IFERROR(__xludf.DUMMYFUNCTION("""COMPUTED_VALUE"""),0.0)</f>
        <v>0</v>
      </c>
      <c r="AE231" s="3">
        <f>IFERROR(__xludf.DUMMYFUNCTION("""COMPUTED_VALUE"""),0.0)</f>
        <v>0</v>
      </c>
      <c r="AF231" s="3">
        <f>IFERROR(__xludf.DUMMYFUNCTION("""COMPUTED_VALUE"""),0.0)</f>
        <v>0</v>
      </c>
      <c r="AG231" s="3">
        <f>IFERROR(__xludf.DUMMYFUNCTION("""COMPUTED_VALUE"""),0.0)</f>
        <v>0</v>
      </c>
      <c r="AH231" s="3">
        <f>IFERROR(__xludf.DUMMYFUNCTION("""COMPUTED_VALUE"""),0.0)</f>
        <v>0</v>
      </c>
      <c r="AI231" s="3">
        <f>IFERROR(__xludf.DUMMYFUNCTION("""COMPUTED_VALUE"""),0.0)</f>
        <v>0</v>
      </c>
      <c r="AJ231" s="3">
        <f>IFERROR(__xludf.DUMMYFUNCTION("""COMPUTED_VALUE"""),0.0)</f>
        <v>0</v>
      </c>
      <c r="AK231" s="3">
        <f>IFERROR(__xludf.DUMMYFUNCTION("""COMPUTED_VALUE"""),0.0)</f>
        <v>0</v>
      </c>
      <c r="AL231" s="3">
        <f>IFERROR(__xludf.DUMMYFUNCTION("""COMPUTED_VALUE"""),0.0)</f>
        <v>0</v>
      </c>
      <c r="AM231" s="3">
        <f>IFERROR(__xludf.DUMMYFUNCTION("""COMPUTED_VALUE"""),0.0)</f>
        <v>0</v>
      </c>
      <c r="AN231" s="3">
        <f>IFERROR(__xludf.DUMMYFUNCTION("""COMPUTED_VALUE"""),0.0)</f>
        <v>0</v>
      </c>
      <c r="AO231" s="3">
        <f>IFERROR(__xludf.DUMMYFUNCTION("""COMPUTED_VALUE"""),0.0)</f>
        <v>0</v>
      </c>
      <c r="AP231" s="3">
        <f>IFERROR(__xludf.DUMMYFUNCTION("""COMPUTED_VALUE"""),0.0)</f>
        <v>0</v>
      </c>
      <c r="AQ231" s="3">
        <f>IFERROR(__xludf.DUMMYFUNCTION("""COMPUTED_VALUE"""),0.0)</f>
        <v>0</v>
      </c>
      <c r="AR231" s="3">
        <f>IFERROR(__xludf.DUMMYFUNCTION("""COMPUTED_VALUE"""),0.0)</f>
        <v>0</v>
      </c>
      <c r="AS231" s="3">
        <f>IFERROR(__xludf.DUMMYFUNCTION("""COMPUTED_VALUE"""),0.0)</f>
        <v>0</v>
      </c>
      <c r="AT231" s="3">
        <f>IFERROR(__xludf.DUMMYFUNCTION("""COMPUTED_VALUE"""),0.0)</f>
        <v>0</v>
      </c>
      <c r="AU231" s="3">
        <f>IFERROR(__xludf.DUMMYFUNCTION("""COMPUTED_VALUE"""),0.0)</f>
        <v>0</v>
      </c>
      <c r="AV231" s="3">
        <f>IFERROR(__xludf.DUMMYFUNCTION("""COMPUTED_VALUE"""),0.0)</f>
        <v>0</v>
      </c>
      <c r="AW231" s="3">
        <f>IFERROR(__xludf.DUMMYFUNCTION("""COMPUTED_VALUE"""),0.0)</f>
        <v>0</v>
      </c>
      <c r="AX231" s="3">
        <f>IFERROR(__xludf.DUMMYFUNCTION("""COMPUTED_VALUE"""),0.0)</f>
        <v>0</v>
      </c>
      <c r="AY231" s="3">
        <f>IFERROR(__xludf.DUMMYFUNCTION("""COMPUTED_VALUE"""),0.0)</f>
        <v>0</v>
      </c>
      <c r="AZ231" s="3">
        <f>IFERROR(__xludf.DUMMYFUNCTION("""COMPUTED_VALUE"""),0.0)</f>
        <v>0</v>
      </c>
      <c r="BA231" s="3">
        <f>IFERROR(__xludf.DUMMYFUNCTION("""COMPUTED_VALUE"""),0.0)</f>
        <v>0</v>
      </c>
      <c r="BB231" s="3">
        <f>IFERROR(__xludf.DUMMYFUNCTION("""COMPUTED_VALUE"""),0.0)</f>
        <v>0</v>
      </c>
      <c r="BC231" s="3">
        <f>IFERROR(__xludf.DUMMYFUNCTION("""COMPUTED_VALUE"""),0.0)</f>
        <v>0</v>
      </c>
      <c r="BD231" s="3">
        <f>IFERROR(__xludf.DUMMYFUNCTION("""COMPUTED_VALUE"""),0.0)</f>
        <v>0</v>
      </c>
      <c r="BE231" s="3">
        <f>IFERROR(__xludf.DUMMYFUNCTION("""COMPUTED_VALUE"""),0.0)</f>
        <v>0</v>
      </c>
      <c r="BF231" s="3">
        <f>IFERROR(__xludf.DUMMYFUNCTION("""COMPUTED_VALUE"""),0.0)</f>
        <v>0</v>
      </c>
      <c r="BG231" s="3">
        <f>IFERROR(__xludf.DUMMYFUNCTION("""COMPUTED_VALUE"""),0.0)</f>
        <v>0</v>
      </c>
      <c r="BH231" s="3">
        <f>IFERROR(__xludf.DUMMYFUNCTION("""COMPUTED_VALUE"""),0.0)</f>
        <v>0</v>
      </c>
      <c r="BI231" s="3">
        <f>IFERROR(__xludf.DUMMYFUNCTION("""COMPUTED_VALUE"""),0.0)</f>
        <v>0</v>
      </c>
      <c r="BJ231" s="3">
        <f>IFERROR(__xludf.DUMMYFUNCTION("""COMPUTED_VALUE"""),0.0)</f>
        <v>0</v>
      </c>
      <c r="BK231" s="3">
        <f>IFERROR(__xludf.DUMMYFUNCTION("""COMPUTED_VALUE"""),0.0)</f>
        <v>0</v>
      </c>
      <c r="BL231" s="3">
        <f>IFERROR(__xludf.DUMMYFUNCTION("""COMPUTED_VALUE"""),0.0)</f>
        <v>0</v>
      </c>
      <c r="BM231" s="3">
        <f>IFERROR(__xludf.DUMMYFUNCTION("""COMPUTED_VALUE"""),0.0)</f>
        <v>0</v>
      </c>
      <c r="BN231" s="3">
        <f>IFERROR(__xludf.DUMMYFUNCTION("""COMPUTED_VALUE"""),0.0)</f>
        <v>0</v>
      </c>
      <c r="BO231" s="3">
        <f>IFERROR(__xludf.DUMMYFUNCTION("""COMPUTED_VALUE"""),0.0)</f>
        <v>0</v>
      </c>
      <c r="BP231" s="3">
        <f>IFERROR(__xludf.DUMMYFUNCTION("""COMPUTED_VALUE"""),0.0)</f>
        <v>0</v>
      </c>
      <c r="BQ231" s="3">
        <f>IFERROR(__xludf.DUMMYFUNCTION("""COMPUTED_VALUE"""),0.0)</f>
        <v>0</v>
      </c>
      <c r="BR231" s="3">
        <f>IFERROR(__xludf.DUMMYFUNCTION("""COMPUTED_VALUE"""),0.0)</f>
        <v>0</v>
      </c>
      <c r="BS231" s="3">
        <f>IFERROR(__xludf.DUMMYFUNCTION("""COMPUTED_VALUE"""),0.0)</f>
        <v>0</v>
      </c>
      <c r="BT231" s="3">
        <f>IFERROR(__xludf.DUMMYFUNCTION("""COMPUTED_VALUE"""),0.0)</f>
        <v>0</v>
      </c>
      <c r="BU231" s="3">
        <f>IFERROR(__xludf.DUMMYFUNCTION("""COMPUTED_VALUE"""),0.0)</f>
        <v>0</v>
      </c>
      <c r="BV231" s="3">
        <f>IFERROR(__xludf.DUMMYFUNCTION("""COMPUTED_VALUE"""),0.0)</f>
        <v>0</v>
      </c>
      <c r="BW231" s="3">
        <f>IFERROR(__xludf.DUMMYFUNCTION("""COMPUTED_VALUE"""),0.0)</f>
        <v>0</v>
      </c>
      <c r="BX231" s="3">
        <f>IFERROR(__xludf.DUMMYFUNCTION("""COMPUTED_VALUE"""),1.0)</f>
        <v>1</v>
      </c>
      <c r="BY231" s="3">
        <f>IFERROR(__xludf.DUMMYFUNCTION("""COMPUTED_VALUE"""),1.0)</f>
        <v>1</v>
      </c>
      <c r="BZ231" s="3">
        <f>IFERROR(__xludf.DUMMYFUNCTION("""COMPUTED_VALUE"""),1.0)</f>
        <v>1</v>
      </c>
      <c r="CA231" s="3">
        <f>IFERROR(__xludf.DUMMYFUNCTION("""COMPUTED_VALUE"""),1.0)</f>
        <v>1</v>
      </c>
      <c r="CB231" s="3">
        <f>IFERROR(__xludf.DUMMYFUNCTION("""COMPUTED_VALUE"""),1.0)</f>
        <v>1</v>
      </c>
    </row>
    <row r="232">
      <c r="A232" s="3" t="str">
        <f>IFERROR(__xludf.DUMMYFUNCTION("""COMPUTED_VALUE"""),"")</f>
        <v/>
      </c>
      <c r="B232" s="3" t="str">
        <f>IFERROR(__xludf.DUMMYFUNCTION("""COMPUTED_VALUE"""),"Zimbabwe")</f>
        <v>Zimbabwe</v>
      </c>
      <c r="C232" s="3">
        <f>IFERROR(__xludf.DUMMYFUNCTION("""COMPUTED_VALUE"""),-20.0)</f>
        <v>-20</v>
      </c>
      <c r="D232" s="3">
        <f>IFERROR(__xludf.DUMMYFUNCTION("""COMPUTED_VALUE"""),30.0)</f>
        <v>30</v>
      </c>
      <c r="E232" s="3">
        <f>IFERROR(__xludf.DUMMYFUNCTION("""COMPUTED_VALUE"""),0.0)</f>
        <v>0</v>
      </c>
      <c r="F232" s="3">
        <f>IFERROR(__xludf.DUMMYFUNCTION("""COMPUTED_VALUE"""),0.0)</f>
        <v>0</v>
      </c>
      <c r="G232" s="3">
        <f>IFERROR(__xludf.DUMMYFUNCTION("""COMPUTED_VALUE"""),0.0)</f>
        <v>0</v>
      </c>
      <c r="H232" s="3">
        <f>IFERROR(__xludf.DUMMYFUNCTION("""COMPUTED_VALUE"""),0.0)</f>
        <v>0</v>
      </c>
      <c r="I232" s="3">
        <f>IFERROR(__xludf.DUMMYFUNCTION("""COMPUTED_VALUE"""),0.0)</f>
        <v>0</v>
      </c>
      <c r="J232" s="3">
        <f>IFERROR(__xludf.DUMMYFUNCTION("""COMPUTED_VALUE"""),0.0)</f>
        <v>0</v>
      </c>
      <c r="K232" s="3">
        <f>IFERROR(__xludf.DUMMYFUNCTION("""COMPUTED_VALUE"""),0.0)</f>
        <v>0</v>
      </c>
      <c r="L232" s="3">
        <f>IFERROR(__xludf.DUMMYFUNCTION("""COMPUTED_VALUE"""),0.0)</f>
        <v>0</v>
      </c>
      <c r="M232" s="3">
        <f>IFERROR(__xludf.DUMMYFUNCTION("""COMPUTED_VALUE"""),0.0)</f>
        <v>0</v>
      </c>
      <c r="N232" s="3">
        <f>IFERROR(__xludf.DUMMYFUNCTION("""COMPUTED_VALUE"""),0.0)</f>
        <v>0</v>
      </c>
      <c r="O232" s="3">
        <f>IFERROR(__xludf.DUMMYFUNCTION("""COMPUTED_VALUE"""),0.0)</f>
        <v>0</v>
      </c>
      <c r="P232" s="3">
        <f>IFERROR(__xludf.DUMMYFUNCTION("""COMPUTED_VALUE"""),0.0)</f>
        <v>0</v>
      </c>
      <c r="Q232" s="3">
        <f>IFERROR(__xludf.DUMMYFUNCTION("""COMPUTED_VALUE"""),0.0)</f>
        <v>0</v>
      </c>
      <c r="R232" s="3">
        <f>IFERROR(__xludf.DUMMYFUNCTION("""COMPUTED_VALUE"""),0.0)</f>
        <v>0</v>
      </c>
      <c r="S232" s="3">
        <f>IFERROR(__xludf.DUMMYFUNCTION("""COMPUTED_VALUE"""),0.0)</f>
        <v>0</v>
      </c>
      <c r="T232" s="3">
        <f>IFERROR(__xludf.DUMMYFUNCTION("""COMPUTED_VALUE"""),0.0)</f>
        <v>0</v>
      </c>
      <c r="U232" s="3">
        <f>IFERROR(__xludf.DUMMYFUNCTION("""COMPUTED_VALUE"""),0.0)</f>
        <v>0</v>
      </c>
      <c r="V232" s="3">
        <f>IFERROR(__xludf.DUMMYFUNCTION("""COMPUTED_VALUE"""),0.0)</f>
        <v>0</v>
      </c>
      <c r="W232" s="3">
        <f>IFERROR(__xludf.DUMMYFUNCTION("""COMPUTED_VALUE"""),0.0)</f>
        <v>0</v>
      </c>
      <c r="X232" s="3">
        <f>IFERROR(__xludf.DUMMYFUNCTION("""COMPUTED_VALUE"""),0.0)</f>
        <v>0</v>
      </c>
      <c r="Y232" s="3">
        <f>IFERROR(__xludf.DUMMYFUNCTION("""COMPUTED_VALUE"""),0.0)</f>
        <v>0</v>
      </c>
      <c r="Z232" s="3">
        <f>IFERROR(__xludf.DUMMYFUNCTION("""COMPUTED_VALUE"""),0.0)</f>
        <v>0</v>
      </c>
      <c r="AA232" s="3">
        <f>IFERROR(__xludf.DUMMYFUNCTION("""COMPUTED_VALUE"""),0.0)</f>
        <v>0</v>
      </c>
      <c r="AB232" s="3">
        <f>IFERROR(__xludf.DUMMYFUNCTION("""COMPUTED_VALUE"""),0.0)</f>
        <v>0</v>
      </c>
      <c r="AC232" s="3">
        <f>IFERROR(__xludf.DUMMYFUNCTION("""COMPUTED_VALUE"""),0.0)</f>
        <v>0</v>
      </c>
      <c r="AD232" s="3">
        <f>IFERROR(__xludf.DUMMYFUNCTION("""COMPUTED_VALUE"""),0.0)</f>
        <v>0</v>
      </c>
      <c r="AE232" s="3">
        <f>IFERROR(__xludf.DUMMYFUNCTION("""COMPUTED_VALUE"""),0.0)</f>
        <v>0</v>
      </c>
      <c r="AF232" s="3">
        <f>IFERROR(__xludf.DUMMYFUNCTION("""COMPUTED_VALUE"""),0.0)</f>
        <v>0</v>
      </c>
      <c r="AG232" s="3">
        <f>IFERROR(__xludf.DUMMYFUNCTION("""COMPUTED_VALUE"""),0.0)</f>
        <v>0</v>
      </c>
      <c r="AH232" s="3">
        <f>IFERROR(__xludf.DUMMYFUNCTION("""COMPUTED_VALUE"""),0.0)</f>
        <v>0</v>
      </c>
      <c r="AI232" s="3">
        <f>IFERROR(__xludf.DUMMYFUNCTION("""COMPUTED_VALUE"""),0.0)</f>
        <v>0</v>
      </c>
      <c r="AJ232" s="3">
        <f>IFERROR(__xludf.DUMMYFUNCTION("""COMPUTED_VALUE"""),0.0)</f>
        <v>0</v>
      </c>
      <c r="AK232" s="3">
        <f>IFERROR(__xludf.DUMMYFUNCTION("""COMPUTED_VALUE"""),0.0)</f>
        <v>0</v>
      </c>
      <c r="AL232" s="3">
        <f>IFERROR(__xludf.DUMMYFUNCTION("""COMPUTED_VALUE"""),0.0)</f>
        <v>0</v>
      </c>
      <c r="AM232" s="3">
        <f>IFERROR(__xludf.DUMMYFUNCTION("""COMPUTED_VALUE"""),0.0)</f>
        <v>0</v>
      </c>
      <c r="AN232" s="3">
        <f>IFERROR(__xludf.DUMMYFUNCTION("""COMPUTED_VALUE"""),0.0)</f>
        <v>0</v>
      </c>
      <c r="AO232" s="3">
        <f>IFERROR(__xludf.DUMMYFUNCTION("""COMPUTED_VALUE"""),0.0)</f>
        <v>0</v>
      </c>
      <c r="AP232" s="3">
        <f>IFERROR(__xludf.DUMMYFUNCTION("""COMPUTED_VALUE"""),0.0)</f>
        <v>0</v>
      </c>
      <c r="AQ232" s="3">
        <f>IFERROR(__xludf.DUMMYFUNCTION("""COMPUTED_VALUE"""),0.0)</f>
        <v>0</v>
      </c>
      <c r="AR232" s="3">
        <f>IFERROR(__xludf.DUMMYFUNCTION("""COMPUTED_VALUE"""),0.0)</f>
        <v>0</v>
      </c>
      <c r="AS232" s="3">
        <f>IFERROR(__xludf.DUMMYFUNCTION("""COMPUTED_VALUE"""),0.0)</f>
        <v>0</v>
      </c>
      <c r="AT232" s="3">
        <f>IFERROR(__xludf.DUMMYFUNCTION("""COMPUTED_VALUE"""),0.0)</f>
        <v>0</v>
      </c>
      <c r="AU232" s="3">
        <f>IFERROR(__xludf.DUMMYFUNCTION("""COMPUTED_VALUE"""),0.0)</f>
        <v>0</v>
      </c>
      <c r="AV232" s="3">
        <f>IFERROR(__xludf.DUMMYFUNCTION("""COMPUTED_VALUE"""),0.0)</f>
        <v>0</v>
      </c>
      <c r="AW232" s="3">
        <f>IFERROR(__xludf.DUMMYFUNCTION("""COMPUTED_VALUE"""),0.0)</f>
        <v>0</v>
      </c>
      <c r="AX232" s="3">
        <f>IFERROR(__xludf.DUMMYFUNCTION("""COMPUTED_VALUE"""),0.0)</f>
        <v>0</v>
      </c>
      <c r="AY232" s="3">
        <f>IFERROR(__xludf.DUMMYFUNCTION("""COMPUTED_VALUE"""),0.0)</f>
        <v>0</v>
      </c>
      <c r="AZ232" s="3">
        <f>IFERROR(__xludf.DUMMYFUNCTION("""COMPUTED_VALUE"""),0.0)</f>
        <v>0</v>
      </c>
      <c r="BA232" s="3">
        <f>IFERROR(__xludf.DUMMYFUNCTION("""COMPUTED_VALUE"""),0.0)</f>
        <v>0</v>
      </c>
      <c r="BB232" s="3">
        <f>IFERROR(__xludf.DUMMYFUNCTION("""COMPUTED_VALUE"""),0.0)</f>
        <v>0</v>
      </c>
      <c r="BC232" s="3">
        <f>IFERROR(__xludf.DUMMYFUNCTION("""COMPUTED_VALUE"""),0.0)</f>
        <v>0</v>
      </c>
      <c r="BD232" s="3">
        <f>IFERROR(__xludf.DUMMYFUNCTION("""COMPUTED_VALUE"""),0.0)</f>
        <v>0</v>
      </c>
      <c r="BE232" s="3">
        <f>IFERROR(__xludf.DUMMYFUNCTION("""COMPUTED_VALUE"""),0.0)</f>
        <v>0</v>
      </c>
      <c r="BF232" s="3">
        <f>IFERROR(__xludf.DUMMYFUNCTION("""COMPUTED_VALUE"""),0.0)</f>
        <v>0</v>
      </c>
      <c r="BG232" s="3">
        <f>IFERROR(__xludf.DUMMYFUNCTION("""COMPUTED_VALUE"""),0.0)</f>
        <v>0</v>
      </c>
      <c r="BH232" s="3">
        <f>IFERROR(__xludf.DUMMYFUNCTION("""COMPUTED_VALUE"""),0.0)</f>
        <v>0</v>
      </c>
      <c r="BI232" s="3">
        <f>IFERROR(__xludf.DUMMYFUNCTION("""COMPUTED_VALUE"""),0.0)</f>
        <v>0</v>
      </c>
      <c r="BJ232" s="3">
        <f>IFERROR(__xludf.DUMMYFUNCTION("""COMPUTED_VALUE"""),0.0)</f>
        <v>0</v>
      </c>
      <c r="BK232" s="3">
        <f>IFERROR(__xludf.DUMMYFUNCTION("""COMPUTED_VALUE"""),0.0)</f>
        <v>0</v>
      </c>
      <c r="BL232" s="3">
        <f>IFERROR(__xludf.DUMMYFUNCTION("""COMPUTED_VALUE"""),0.0)</f>
        <v>0</v>
      </c>
      <c r="BM232" s="3">
        <f>IFERROR(__xludf.DUMMYFUNCTION("""COMPUTED_VALUE"""),0.0)</f>
        <v>0</v>
      </c>
      <c r="BN232" s="3">
        <f>IFERROR(__xludf.DUMMYFUNCTION("""COMPUTED_VALUE"""),1.0)</f>
        <v>1</v>
      </c>
      <c r="BO232" s="3">
        <f>IFERROR(__xludf.DUMMYFUNCTION("""COMPUTED_VALUE"""),1.0)</f>
        <v>1</v>
      </c>
      <c r="BP232" s="3">
        <f>IFERROR(__xludf.DUMMYFUNCTION("""COMPUTED_VALUE"""),1.0)</f>
        <v>1</v>
      </c>
      <c r="BQ232" s="3">
        <f>IFERROR(__xludf.DUMMYFUNCTION("""COMPUTED_VALUE"""),1.0)</f>
        <v>1</v>
      </c>
      <c r="BR232" s="3">
        <f>IFERROR(__xludf.DUMMYFUNCTION("""COMPUTED_VALUE"""),1.0)</f>
        <v>1</v>
      </c>
      <c r="BS232" s="3">
        <f>IFERROR(__xludf.DUMMYFUNCTION("""COMPUTED_VALUE"""),1.0)</f>
        <v>1</v>
      </c>
      <c r="BT232" s="3">
        <f>IFERROR(__xludf.DUMMYFUNCTION("""COMPUTED_VALUE"""),1.0)</f>
        <v>1</v>
      </c>
      <c r="BU232" s="3">
        <f>IFERROR(__xludf.DUMMYFUNCTION("""COMPUTED_VALUE"""),1.0)</f>
        <v>1</v>
      </c>
      <c r="BV232" s="3">
        <f>IFERROR(__xludf.DUMMYFUNCTION("""COMPUTED_VALUE"""),1.0)</f>
        <v>1</v>
      </c>
      <c r="BW232" s="3">
        <f>IFERROR(__xludf.DUMMYFUNCTION("""COMPUTED_VALUE"""),1.0)</f>
        <v>1</v>
      </c>
      <c r="BX232" s="3">
        <f>IFERROR(__xludf.DUMMYFUNCTION("""COMPUTED_VALUE"""),1.0)</f>
        <v>1</v>
      </c>
      <c r="BY232" s="3">
        <f>IFERROR(__xludf.DUMMYFUNCTION("""COMPUTED_VALUE"""),1.0)</f>
        <v>1</v>
      </c>
      <c r="BZ232" s="3">
        <f>IFERROR(__xludf.DUMMYFUNCTION("""COMPUTED_VALUE"""),1.0)</f>
        <v>1</v>
      </c>
      <c r="CA232" s="3">
        <f>IFERROR(__xludf.DUMMYFUNCTION("""COMPUTED_VALUE"""),1.0)</f>
        <v>1</v>
      </c>
      <c r="CB232" s="3">
        <f>IFERROR(__xludf.DUMMYFUNCTION("""COMPUTED_VALUE"""),1.0)</f>
        <v>1</v>
      </c>
    </row>
    <row r="233">
      <c r="A233" s="3" t="str">
        <f>IFERROR(__xludf.DUMMYFUNCTION("""COMPUTED_VALUE"""),"Diamond Princess")</f>
        <v>Diamond Princess</v>
      </c>
      <c r="B233" s="3" t="str">
        <f>IFERROR(__xludf.DUMMYFUNCTION("""COMPUTED_VALUE"""),"Canada")</f>
        <v>Canada</v>
      </c>
      <c r="C233" s="3">
        <f>IFERROR(__xludf.DUMMYFUNCTION("""COMPUTED_VALUE"""),0.0)</f>
        <v>0</v>
      </c>
      <c r="D233" s="3">
        <f>IFERROR(__xludf.DUMMYFUNCTION("""COMPUTED_VALUE"""),0.0)</f>
        <v>0</v>
      </c>
      <c r="E233" s="3">
        <f>IFERROR(__xludf.DUMMYFUNCTION("""COMPUTED_VALUE"""),0.0)</f>
        <v>0</v>
      </c>
      <c r="F233" s="3">
        <f>IFERROR(__xludf.DUMMYFUNCTION("""COMPUTED_VALUE"""),0.0)</f>
        <v>0</v>
      </c>
      <c r="G233" s="3">
        <f>IFERROR(__xludf.DUMMYFUNCTION("""COMPUTED_VALUE"""),0.0)</f>
        <v>0</v>
      </c>
      <c r="H233" s="3">
        <f>IFERROR(__xludf.DUMMYFUNCTION("""COMPUTED_VALUE"""),0.0)</f>
        <v>0</v>
      </c>
      <c r="I233" s="3">
        <f>IFERROR(__xludf.DUMMYFUNCTION("""COMPUTED_VALUE"""),0.0)</f>
        <v>0</v>
      </c>
      <c r="J233" s="3">
        <f>IFERROR(__xludf.DUMMYFUNCTION("""COMPUTED_VALUE"""),0.0)</f>
        <v>0</v>
      </c>
      <c r="K233" s="3">
        <f>IFERROR(__xludf.DUMMYFUNCTION("""COMPUTED_VALUE"""),0.0)</f>
        <v>0</v>
      </c>
      <c r="L233" s="3">
        <f>IFERROR(__xludf.DUMMYFUNCTION("""COMPUTED_VALUE"""),0.0)</f>
        <v>0</v>
      </c>
      <c r="M233" s="3">
        <f>IFERROR(__xludf.DUMMYFUNCTION("""COMPUTED_VALUE"""),0.0)</f>
        <v>0</v>
      </c>
      <c r="N233" s="3">
        <f>IFERROR(__xludf.DUMMYFUNCTION("""COMPUTED_VALUE"""),0.0)</f>
        <v>0</v>
      </c>
      <c r="O233" s="3">
        <f>IFERROR(__xludf.DUMMYFUNCTION("""COMPUTED_VALUE"""),0.0)</f>
        <v>0</v>
      </c>
      <c r="P233" s="3">
        <f>IFERROR(__xludf.DUMMYFUNCTION("""COMPUTED_VALUE"""),0.0)</f>
        <v>0</v>
      </c>
      <c r="Q233" s="3">
        <f>IFERROR(__xludf.DUMMYFUNCTION("""COMPUTED_VALUE"""),0.0)</f>
        <v>0</v>
      </c>
      <c r="R233" s="3">
        <f>IFERROR(__xludf.DUMMYFUNCTION("""COMPUTED_VALUE"""),0.0)</f>
        <v>0</v>
      </c>
      <c r="S233" s="3">
        <f>IFERROR(__xludf.DUMMYFUNCTION("""COMPUTED_VALUE"""),0.0)</f>
        <v>0</v>
      </c>
      <c r="T233" s="3">
        <f>IFERROR(__xludf.DUMMYFUNCTION("""COMPUTED_VALUE"""),0.0)</f>
        <v>0</v>
      </c>
      <c r="U233" s="3">
        <f>IFERROR(__xludf.DUMMYFUNCTION("""COMPUTED_VALUE"""),0.0)</f>
        <v>0</v>
      </c>
      <c r="V233" s="3">
        <f>IFERROR(__xludf.DUMMYFUNCTION("""COMPUTED_VALUE"""),0.0)</f>
        <v>0</v>
      </c>
      <c r="W233" s="3">
        <f>IFERROR(__xludf.DUMMYFUNCTION("""COMPUTED_VALUE"""),0.0)</f>
        <v>0</v>
      </c>
      <c r="X233" s="3">
        <f>IFERROR(__xludf.DUMMYFUNCTION("""COMPUTED_VALUE"""),0.0)</f>
        <v>0</v>
      </c>
      <c r="Y233" s="3">
        <f>IFERROR(__xludf.DUMMYFUNCTION("""COMPUTED_VALUE"""),0.0)</f>
        <v>0</v>
      </c>
      <c r="Z233" s="3">
        <f>IFERROR(__xludf.DUMMYFUNCTION("""COMPUTED_VALUE"""),0.0)</f>
        <v>0</v>
      </c>
      <c r="AA233" s="3">
        <f>IFERROR(__xludf.DUMMYFUNCTION("""COMPUTED_VALUE"""),0.0)</f>
        <v>0</v>
      </c>
      <c r="AB233" s="3">
        <f>IFERROR(__xludf.DUMMYFUNCTION("""COMPUTED_VALUE"""),0.0)</f>
        <v>0</v>
      </c>
      <c r="AC233" s="3">
        <f>IFERROR(__xludf.DUMMYFUNCTION("""COMPUTED_VALUE"""),0.0)</f>
        <v>0</v>
      </c>
      <c r="AD233" s="3">
        <f>IFERROR(__xludf.DUMMYFUNCTION("""COMPUTED_VALUE"""),0.0)</f>
        <v>0</v>
      </c>
      <c r="AE233" s="3">
        <f>IFERROR(__xludf.DUMMYFUNCTION("""COMPUTED_VALUE"""),0.0)</f>
        <v>0</v>
      </c>
      <c r="AF233" s="3">
        <f>IFERROR(__xludf.DUMMYFUNCTION("""COMPUTED_VALUE"""),0.0)</f>
        <v>0</v>
      </c>
      <c r="AG233" s="3">
        <f>IFERROR(__xludf.DUMMYFUNCTION("""COMPUTED_VALUE"""),0.0)</f>
        <v>0</v>
      </c>
      <c r="AH233" s="3">
        <f>IFERROR(__xludf.DUMMYFUNCTION("""COMPUTED_VALUE"""),0.0)</f>
        <v>0</v>
      </c>
      <c r="AI233" s="3">
        <f>IFERROR(__xludf.DUMMYFUNCTION("""COMPUTED_VALUE"""),0.0)</f>
        <v>0</v>
      </c>
      <c r="AJ233" s="3">
        <f>IFERROR(__xludf.DUMMYFUNCTION("""COMPUTED_VALUE"""),0.0)</f>
        <v>0</v>
      </c>
      <c r="AK233" s="3">
        <f>IFERROR(__xludf.DUMMYFUNCTION("""COMPUTED_VALUE"""),0.0)</f>
        <v>0</v>
      </c>
      <c r="AL233" s="3">
        <f>IFERROR(__xludf.DUMMYFUNCTION("""COMPUTED_VALUE"""),0.0)</f>
        <v>0</v>
      </c>
      <c r="AM233" s="3">
        <f>IFERROR(__xludf.DUMMYFUNCTION("""COMPUTED_VALUE"""),0.0)</f>
        <v>0</v>
      </c>
      <c r="AN233" s="3">
        <f>IFERROR(__xludf.DUMMYFUNCTION("""COMPUTED_VALUE"""),0.0)</f>
        <v>0</v>
      </c>
      <c r="AO233" s="3">
        <f>IFERROR(__xludf.DUMMYFUNCTION("""COMPUTED_VALUE"""),0.0)</f>
        <v>0</v>
      </c>
      <c r="AP233" s="3">
        <f>IFERROR(__xludf.DUMMYFUNCTION("""COMPUTED_VALUE"""),0.0)</f>
        <v>0</v>
      </c>
      <c r="AQ233" s="3">
        <f>IFERROR(__xludf.DUMMYFUNCTION("""COMPUTED_VALUE"""),0.0)</f>
        <v>0</v>
      </c>
      <c r="AR233" s="3">
        <f>IFERROR(__xludf.DUMMYFUNCTION("""COMPUTED_VALUE"""),0.0)</f>
        <v>0</v>
      </c>
      <c r="AS233" s="3">
        <f>IFERROR(__xludf.DUMMYFUNCTION("""COMPUTED_VALUE"""),0.0)</f>
        <v>0</v>
      </c>
      <c r="AT233" s="3">
        <f>IFERROR(__xludf.DUMMYFUNCTION("""COMPUTED_VALUE"""),0.0)</f>
        <v>0</v>
      </c>
      <c r="AU233" s="3">
        <f>IFERROR(__xludf.DUMMYFUNCTION("""COMPUTED_VALUE"""),0.0)</f>
        <v>0</v>
      </c>
      <c r="AV233" s="3">
        <f>IFERROR(__xludf.DUMMYFUNCTION("""COMPUTED_VALUE"""),0.0)</f>
        <v>0</v>
      </c>
      <c r="AW233" s="3">
        <f>IFERROR(__xludf.DUMMYFUNCTION("""COMPUTED_VALUE"""),0.0)</f>
        <v>0</v>
      </c>
      <c r="AX233" s="3">
        <f>IFERROR(__xludf.DUMMYFUNCTION("""COMPUTED_VALUE"""),0.0)</f>
        <v>0</v>
      </c>
      <c r="AY233" s="3">
        <f>IFERROR(__xludf.DUMMYFUNCTION("""COMPUTED_VALUE"""),0.0)</f>
        <v>0</v>
      </c>
      <c r="AZ233" s="3">
        <f>IFERROR(__xludf.DUMMYFUNCTION("""COMPUTED_VALUE"""),0.0)</f>
        <v>0</v>
      </c>
      <c r="BA233" s="3">
        <f>IFERROR(__xludf.DUMMYFUNCTION("""COMPUTED_VALUE"""),0.0)</f>
        <v>0</v>
      </c>
      <c r="BB233" s="3">
        <f>IFERROR(__xludf.DUMMYFUNCTION("""COMPUTED_VALUE"""),0.0)</f>
        <v>0</v>
      </c>
      <c r="BC233" s="3">
        <f>IFERROR(__xludf.DUMMYFUNCTION("""COMPUTED_VALUE"""),0.0)</f>
        <v>0</v>
      </c>
      <c r="BD233" s="3">
        <f>IFERROR(__xludf.DUMMYFUNCTION("""COMPUTED_VALUE"""),0.0)</f>
        <v>0</v>
      </c>
      <c r="BE233" s="3">
        <f>IFERROR(__xludf.DUMMYFUNCTION("""COMPUTED_VALUE"""),0.0)</f>
        <v>0</v>
      </c>
      <c r="BF233" s="3">
        <f>IFERROR(__xludf.DUMMYFUNCTION("""COMPUTED_VALUE"""),0.0)</f>
        <v>0</v>
      </c>
      <c r="BG233" s="3">
        <f>IFERROR(__xludf.DUMMYFUNCTION("""COMPUTED_VALUE"""),0.0)</f>
        <v>0</v>
      </c>
      <c r="BH233" s="3">
        <f>IFERROR(__xludf.DUMMYFUNCTION("""COMPUTED_VALUE"""),0.0)</f>
        <v>0</v>
      </c>
      <c r="BI233" s="3">
        <f>IFERROR(__xludf.DUMMYFUNCTION("""COMPUTED_VALUE"""),0.0)</f>
        <v>0</v>
      </c>
      <c r="BJ233" s="3">
        <f>IFERROR(__xludf.DUMMYFUNCTION("""COMPUTED_VALUE"""),0.0)</f>
        <v>0</v>
      </c>
      <c r="BK233" s="3">
        <f>IFERROR(__xludf.DUMMYFUNCTION("""COMPUTED_VALUE"""),0.0)</f>
        <v>0</v>
      </c>
      <c r="BL233" s="3">
        <f>IFERROR(__xludf.DUMMYFUNCTION("""COMPUTED_VALUE"""),0.0)</f>
        <v>0</v>
      </c>
      <c r="BM233" s="3">
        <f>IFERROR(__xludf.DUMMYFUNCTION("""COMPUTED_VALUE"""),1.0)</f>
        <v>1</v>
      </c>
      <c r="BN233" s="3">
        <f>IFERROR(__xludf.DUMMYFUNCTION("""COMPUTED_VALUE"""),1.0)</f>
        <v>1</v>
      </c>
      <c r="BO233" s="3">
        <f>IFERROR(__xludf.DUMMYFUNCTION("""COMPUTED_VALUE"""),1.0)</f>
        <v>1</v>
      </c>
      <c r="BP233" s="3">
        <f>IFERROR(__xludf.DUMMYFUNCTION("""COMPUTED_VALUE"""),1.0)</f>
        <v>1</v>
      </c>
      <c r="BQ233" s="3">
        <f>IFERROR(__xludf.DUMMYFUNCTION("""COMPUTED_VALUE"""),1.0)</f>
        <v>1</v>
      </c>
      <c r="BR233" s="3">
        <f>IFERROR(__xludf.DUMMYFUNCTION("""COMPUTED_VALUE"""),1.0)</f>
        <v>1</v>
      </c>
      <c r="BS233" s="3">
        <f>IFERROR(__xludf.DUMMYFUNCTION("""COMPUTED_VALUE"""),1.0)</f>
        <v>1</v>
      </c>
      <c r="BT233" s="3">
        <f>IFERROR(__xludf.DUMMYFUNCTION("""COMPUTED_VALUE"""),1.0)</f>
        <v>1</v>
      </c>
      <c r="BU233" s="3">
        <f>IFERROR(__xludf.DUMMYFUNCTION("""COMPUTED_VALUE"""),1.0)</f>
        <v>1</v>
      </c>
      <c r="BV233" s="3">
        <f>IFERROR(__xludf.DUMMYFUNCTION("""COMPUTED_VALUE"""),1.0)</f>
        <v>1</v>
      </c>
      <c r="BW233" s="3">
        <f>IFERROR(__xludf.DUMMYFUNCTION("""COMPUTED_VALUE"""),1.0)</f>
        <v>1</v>
      </c>
      <c r="BX233" s="3">
        <f>IFERROR(__xludf.DUMMYFUNCTION("""COMPUTED_VALUE"""),1.0)</f>
        <v>1</v>
      </c>
      <c r="BY233" s="3">
        <f>IFERROR(__xludf.DUMMYFUNCTION("""COMPUTED_VALUE"""),1.0)</f>
        <v>1</v>
      </c>
      <c r="BZ233" s="3">
        <f>IFERROR(__xludf.DUMMYFUNCTION("""COMPUTED_VALUE"""),1.0)</f>
        <v>1</v>
      </c>
      <c r="CA233" s="3">
        <f>IFERROR(__xludf.DUMMYFUNCTION("""COMPUTED_VALUE"""),1.0)</f>
        <v>1</v>
      </c>
      <c r="CB233" s="3">
        <f>IFERROR(__xludf.DUMMYFUNCTION("""COMPUTED_VALUE"""),1.0)</f>
        <v>1</v>
      </c>
    </row>
    <row r="234">
      <c r="A234" s="3" t="str">
        <f>IFERROR(__xludf.DUMMYFUNCTION("""COMPUTED_VALUE"""),"")</f>
        <v/>
      </c>
      <c r="B234" s="3" t="str">
        <f>IFERROR(__xludf.DUMMYFUNCTION("""COMPUTED_VALUE"""),"Dominica")</f>
        <v>Dominica</v>
      </c>
      <c r="C234" s="3">
        <f>IFERROR(__xludf.DUMMYFUNCTION("""COMPUTED_VALUE"""),15.415)</f>
        <v>15.415</v>
      </c>
      <c r="D234" s="3">
        <f>IFERROR(__xludf.DUMMYFUNCTION("""COMPUTED_VALUE"""),-61.371)</f>
        <v>-61.371</v>
      </c>
      <c r="E234" s="3">
        <f>IFERROR(__xludf.DUMMYFUNCTION("""COMPUTED_VALUE"""),0.0)</f>
        <v>0</v>
      </c>
      <c r="F234" s="3">
        <f>IFERROR(__xludf.DUMMYFUNCTION("""COMPUTED_VALUE"""),0.0)</f>
        <v>0</v>
      </c>
      <c r="G234" s="3">
        <f>IFERROR(__xludf.DUMMYFUNCTION("""COMPUTED_VALUE"""),0.0)</f>
        <v>0</v>
      </c>
      <c r="H234" s="3">
        <f>IFERROR(__xludf.DUMMYFUNCTION("""COMPUTED_VALUE"""),0.0)</f>
        <v>0</v>
      </c>
      <c r="I234" s="3">
        <f>IFERROR(__xludf.DUMMYFUNCTION("""COMPUTED_VALUE"""),0.0)</f>
        <v>0</v>
      </c>
      <c r="J234" s="3">
        <f>IFERROR(__xludf.DUMMYFUNCTION("""COMPUTED_VALUE"""),0.0)</f>
        <v>0</v>
      </c>
      <c r="K234" s="3">
        <f>IFERROR(__xludf.DUMMYFUNCTION("""COMPUTED_VALUE"""),0.0)</f>
        <v>0</v>
      </c>
      <c r="L234" s="3">
        <f>IFERROR(__xludf.DUMMYFUNCTION("""COMPUTED_VALUE"""),0.0)</f>
        <v>0</v>
      </c>
      <c r="M234" s="3">
        <f>IFERROR(__xludf.DUMMYFUNCTION("""COMPUTED_VALUE"""),0.0)</f>
        <v>0</v>
      </c>
      <c r="N234" s="3">
        <f>IFERROR(__xludf.DUMMYFUNCTION("""COMPUTED_VALUE"""),0.0)</f>
        <v>0</v>
      </c>
      <c r="O234" s="3">
        <f>IFERROR(__xludf.DUMMYFUNCTION("""COMPUTED_VALUE"""),0.0)</f>
        <v>0</v>
      </c>
      <c r="P234" s="3">
        <f>IFERROR(__xludf.DUMMYFUNCTION("""COMPUTED_VALUE"""),0.0)</f>
        <v>0</v>
      </c>
      <c r="Q234" s="3">
        <f>IFERROR(__xludf.DUMMYFUNCTION("""COMPUTED_VALUE"""),0.0)</f>
        <v>0</v>
      </c>
      <c r="R234" s="3">
        <f>IFERROR(__xludf.DUMMYFUNCTION("""COMPUTED_VALUE"""),0.0)</f>
        <v>0</v>
      </c>
      <c r="S234" s="3">
        <f>IFERROR(__xludf.DUMMYFUNCTION("""COMPUTED_VALUE"""),0.0)</f>
        <v>0</v>
      </c>
      <c r="T234" s="3">
        <f>IFERROR(__xludf.DUMMYFUNCTION("""COMPUTED_VALUE"""),0.0)</f>
        <v>0</v>
      </c>
      <c r="U234" s="3">
        <f>IFERROR(__xludf.DUMMYFUNCTION("""COMPUTED_VALUE"""),0.0)</f>
        <v>0</v>
      </c>
      <c r="V234" s="3">
        <f>IFERROR(__xludf.DUMMYFUNCTION("""COMPUTED_VALUE"""),0.0)</f>
        <v>0</v>
      </c>
      <c r="W234" s="3">
        <f>IFERROR(__xludf.DUMMYFUNCTION("""COMPUTED_VALUE"""),0.0)</f>
        <v>0</v>
      </c>
      <c r="X234" s="3">
        <f>IFERROR(__xludf.DUMMYFUNCTION("""COMPUTED_VALUE"""),0.0)</f>
        <v>0</v>
      </c>
      <c r="Y234" s="3">
        <f>IFERROR(__xludf.DUMMYFUNCTION("""COMPUTED_VALUE"""),0.0)</f>
        <v>0</v>
      </c>
      <c r="Z234" s="3">
        <f>IFERROR(__xludf.DUMMYFUNCTION("""COMPUTED_VALUE"""),0.0)</f>
        <v>0</v>
      </c>
      <c r="AA234" s="3">
        <f>IFERROR(__xludf.DUMMYFUNCTION("""COMPUTED_VALUE"""),0.0)</f>
        <v>0</v>
      </c>
      <c r="AB234" s="3">
        <f>IFERROR(__xludf.DUMMYFUNCTION("""COMPUTED_VALUE"""),0.0)</f>
        <v>0</v>
      </c>
      <c r="AC234" s="3">
        <f>IFERROR(__xludf.DUMMYFUNCTION("""COMPUTED_VALUE"""),0.0)</f>
        <v>0</v>
      </c>
      <c r="AD234" s="3">
        <f>IFERROR(__xludf.DUMMYFUNCTION("""COMPUTED_VALUE"""),0.0)</f>
        <v>0</v>
      </c>
      <c r="AE234" s="3">
        <f>IFERROR(__xludf.DUMMYFUNCTION("""COMPUTED_VALUE"""),0.0)</f>
        <v>0</v>
      </c>
      <c r="AF234" s="3">
        <f>IFERROR(__xludf.DUMMYFUNCTION("""COMPUTED_VALUE"""),0.0)</f>
        <v>0</v>
      </c>
      <c r="AG234" s="3">
        <f>IFERROR(__xludf.DUMMYFUNCTION("""COMPUTED_VALUE"""),0.0)</f>
        <v>0</v>
      </c>
      <c r="AH234" s="3">
        <f>IFERROR(__xludf.DUMMYFUNCTION("""COMPUTED_VALUE"""),0.0)</f>
        <v>0</v>
      </c>
      <c r="AI234" s="3">
        <f>IFERROR(__xludf.DUMMYFUNCTION("""COMPUTED_VALUE"""),0.0)</f>
        <v>0</v>
      </c>
      <c r="AJ234" s="3">
        <f>IFERROR(__xludf.DUMMYFUNCTION("""COMPUTED_VALUE"""),0.0)</f>
        <v>0</v>
      </c>
      <c r="AK234" s="3">
        <f>IFERROR(__xludf.DUMMYFUNCTION("""COMPUTED_VALUE"""),0.0)</f>
        <v>0</v>
      </c>
      <c r="AL234" s="3">
        <f>IFERROR(__xludf.DUMMYFUNCTION("""COMPUTED_VALUE"""),0.0)</f>
        <v>0</v>
      </c>
      <c r="AM234" s="3">
        <f>IFERROR(__xludf.DUMMYFUNCTION("""COMPUTED_VALUE"""),0.0)</f>
        <v>0</v>
      </c>
      <c r="AN234" s="3">
        <f>IFERROR(__xludf.DUMMYFUNCTION("""COMPUTED_VALUE"""),0.0)</f>
        <v>0</v>
      </c>
      <c r="AO234" s="3">
        <f>IFERROR(__xludf.DUMMYFUNCTION("""COMPUTED_VALUE"""),0.0)</f>
        <v>0</v>
      </c>
      <c r="AP234" s="3">
        <f>IFERROR(__xludf.DUMMYFUNCTION("""COMPUTED_VALUE"""),0.0)</f>
        <v>0</v>
      </c>
      <c r="AQ234" s="3">
        <f>IFERROR(__xludf.DUMMYFUNCTION("""COMPUTED_VALUE"""),0.0)</f>
        <v>0</v>
      </c>
      <c r="AR234" s="3">
        <f>IFERROR(__xludf.DUMMYFUNCTION("""COMPUTED_VALUE"""),0.0)</f>
        <v>0</v>
      </c>
      <c r="AS234" s="3">
        <f>IFERROR(__xludf.DUMMYFUNCTION("""COMPUTED_VALUE"""),0.0)</f>
        <v>0</v>
      </c>
      <c r="AT234" s="3">
        <f>IFERROR(__xludf.DUMMYFUNCTION("""COMPUTED_VALUE"""),0.0)</f>
        <v>0</v>
      </c>
      <c r="AU234" s="3">
        <f>IFERROR(__xludf.DUMMYFUNCTION("""COMPUTED_VALUE"""),0.0)</f>
        <v>0</v>
      </c>
      <c r="AV234" s="3">
        <f>IFERROR(__xludf.DUMMYFUNCTION("""COMPUTED_VALUE"""),0.0)</f>
        <v>0</v>
      </c>
      <c r="AW234" s="3">
        <f>IFERROR(__xludf.DUMMYFUNCTION("""COMPUTED_VALUE"""),0.0)</f>
        <v>0</v>
      </c>
      <c r="AX234" s="3">
        <f>IFERROR(__xludf.DUMMYFUNCTION("""COMPUTED_VALUE"""),0.0)</f>
        <v>0</v>
      </c>
      <c r="AY234" s="3">
        <f>IFERROR(__xludf.DUMMYFUNCTION("""COMPUTED_VALUE"""),0.0)</f>
        <v>0</v>
      </c>
      <c r="AZ234" s="3">
        <f>IFERROR(__xludf.DUMMYFUNCTION("""COMPUTED_VALUE"""),0.0)</f>
        <v>0</v>
      </c>
      <c r="BA234" s="3">
        <f>IFERROR(__xludf.DUMMYFUNCTION("""COMPUTED_VALUE"""),0.0)</f>
        <v>0</v>
      </c>
      <c r="BB234" s="3">
        <f>IFERROR(__xludf.DUMMYFUNCTION("""COMPUTED_VALUE"""),0.0)</f>
        <v>0</v>
      </c>
      <c r="BC234" s="3">
        <f>IFERROR(__xludf.DUMMYFUNCTION("""COMPUTED_VALUE"""),0.0)</f>
        <v>0</v>
      </c>
      <c r="BD234" s="3">
        <f>IFERROR(__xludf.DUMMYFUNCTION("""COMPUTED_VALUE"""),0.0)</f>
        <v>0</v>
      </c>
      <c r="BE234" s="3">
        <f>IFERROR(__xludf.DUMMYFUNCTION("""COMPUTED_VALUE"""),0.0)</f>
        <v>0</v>
      </c>
      <c r="BF234" s="3">
        <f>IFERROR(__xludf.DUMMYFUNCTION("""COMPUTED_VALUE"""),0.0)</f>
        <v>0</v>
      </c>
      <c r="BG234" s="3">
        <f>IFERROR(__xludf.DUMMYFUNCTION("""COMPUTED_VALUE"""),0.0)</f>
        <v>0</v>
      </c>
      <c r="BH234" s="3">
        <f>IFERROR(__xludf.DUMMYFUNCTION("""COMPUTED_VALUE"""),0.0)</f>
        <v>0</v>
      </c>
      <c r="BI234" s="3">
        <f>IFERROR(__xludf.DUMMYFUNCTION("""COMPUTED_VALUE"""),0.0)</f>
        <v>0</v>
      </c>
      <c r="BJ234" s="3">
        <f>IFERROR(__xludf.DUMMYFUNCTION("""COMPUTED_VALUE"""),0.0)</f>
        <v>0</v>
      </c>
      <c r="BK234" s="3">
        <f>IFERROR(__xludf.DUMMYFUNCTION("""COMPUTED_VALUE"""),0.0)</f>
        <v>0</v>
      </c>
      <c r="BL234" s="3">
        <f>IFERROR(__xludf.DUMMYFUNCTION("""COMPUTED_VALUE"""),0.0)</f>
        <v>0</v>
      </c>
      <c r="BM234" s="3">
        <f>IFERROR(__xludf.DUMMYFUNCTION("""COMPUTED_VALUE"""),0.0)</f>
        <v>0</v>
      </c>
      <c r="BN234" s="3">
        <f>IFERROR(__xludf.DUMMYFUNCTION("""COMPUTED_VALUE"""),0.0)</f>
        <v>0</v>
      </c>
      <c r="BO234" s="3">
        <f>IFERROR(__xludf.DUMMYFUNCTION("""COMPUTED_VALUE"""),0.0)</f>
        <v>0</v>
      </c>
      <c r="BP234" s="3">
        <f>IFERROR(__xludf.DUMMYFUNCTION("""COMPUTED_VALUE"""),0.0)</f>
        <v>0</v>
      </c>
      <c r="BQ234" s="3">
        <f>IFERROR(__xludf.DUMMYFUNCTION("""COMPUTED_VALUE"""),0.0)</f>
        <v>0</v>
      </c>
      <c r="BR234" s="3">
        <f>IFERROR(__xludf.DUMMYFUNCTION("""COMPUTED_VALUE"""),0.0)</f>
        <v>0</v>
      </c>
      <c r="BS234" s="3">
        <f>IFERROR(__xludf.DUMMYFUNCTION("""COMPUTED_VALUE"""),0.0)</f>
        <v>0</v>
      </c>
      <c r="BT234" s="3">
        <f>IFERROR(__xludf.DUMMYFUNCTION("""COMPUTED_VALUE"""),0.0)</f>
        <v>0</v>
      </c>
      <c r="BU234" s="3">
        <f>IFERROR(__xludf.DUMMYFUNCTION("""COMPUTED_VALUE"""),0.0)</f>
        <v>0</v>
      </c>
      <c r="BV234" s="3">
        <f>IFERROR(__xludf.DUMMYFUNCTION("""COMPUTED_VALUE"""),0.0)</f>
        <v>0</v>
      </c>
      <c r="BW234" s="3">
        <f>IFERROR(__xludf.DUMMYFUNCTION("""COMPUTED_VALUE"""),0.0)</f>
        <v>0</v>
      </c>
      <c r="BX234" s="3">
        <f>IFERROR(__xludf.DUMMYFUNCTION("""COMPUTED_VALUE"""),0.0)</f>
        <v>0</v>
      </c>
      <c r="BY234" s="3">
        <f>IFERROR(__xludf.DUMMYFUNCTION("""COMPUTED_VALUE"""),0.0)</f>
        <v>0</v>
      </c>
      <c r="BZ234" s="3">
        <f>IFERROR(__xludf.DUMMYFUNCTION("""COMPUTED_VALUE"""),0.0)</f>
        <v>0</v>
      </c>
      <c r="CA234" s="3">
        <f>IFERROR(__xludf.DUMMYFUNCTION("""COMPUTED_VALUE"""),0.0)</f>
        <v>0</v>
      </c>
      <c r="CB234" s="3">
        <f>IFERROR(__xludf.DUMMYFUNCTION("""COMPUTED_VALUE"""),0.0)</f>
        <v>0</v>
      </c>
    </row>
    <row r="235">
      <c r="A235" s="3" t="str">
        <f>IFERROR(__xludf.DUMMYFUNCTION("""COMPUTED_VALUE"""),"")</f>
        <v/>
      </c>
      <c r="B235" s="3" t="str">
        <f>IFERROR(__xludf.DUMMYFUNCTION("""COMPUTED_VALUE"""),"Grenada")</f>
        <v>Grenada</v>
      </c>
      <c r="C235" s="3">
        <f>IFERROR(__xludf.DUMMYFUNCTION("""COMPUTED_VALUE"""),12.1165)</f>
        <v>12.1165</v>
      </c>
      <c r="D235" s="3">
        <f>IFERROR(__xludf.DUMMYFUNCTION("""COMPUTED_VALUE"""),-61.679)</f>
        <v>-61.679</v>
      </c>
      <c r="E235" s="3">
        <f>IFERROR(__xludf.DUMMYFUNCTION("""COMPUTED_VALUE"""),0.0)</f>
        <v>0</v>
      </c>
      <c r="F235" s="3">
        <f>IFERROR(__xludf.DUMMYFUNCTION("""COMPUTED_VALUE"""),0.0)</f>
        <v>0</v>
      </c>
      <c r="G235" s="3">
        <f>IFERROR(__xludf.DUMMYFUNCTION("""COMPUTED_VALUE"""),0.0)</f>
        <v>0</v>
      </c>
      <c r="H235" s="3">
        <f>IFERROR(__xludf.DUMMYFUNCTION("""COMPUTED_VALUE"""),0.0)</f>
        <v>0</v>
      </c>
      <c r="I235" s="3">
        <f>IFERROR(__xludf.DUMMYFUNCTION("""COMPUTED_VALUE"""),0.0)</f>
        <v>0</v>
      </c>
      <c r="J235" s="3">
        <f>IFERROR(__xludf.DUMMYFUNCTION("""COMPUTED_VALUE"""),0.0)</f>
        <v>0</v>
      </c>
      <c r="K235" s="3">
        <f>IFERROR(__xludf.DUMMYFUNCTION("""COMPUTED_VALUE"""),0.0)</f>
        <v>0</v>
      </c>
      <c r="L235" s="3">
        <f>IFERROR(__xludf.DUMMYFUNCTION("""COMPUTED_VALUE"""),0.0)</f>
        <v>0</v>
      </c>
      <c r="M235" s="3">
        <f>IFERROR(__xludf.DUMMYFUNCTION("""COMPUTED_VALUE"""),0.0)</f>
        <v>0</v>
      </c>
      <c r="N235" s="3">
        <f>IFERROR(__xludf.DUMMYFUNCTION("""COMPUTED_VALUE"""),0.0)</f>
        <v>0</v>
      </c>
      <c r="O235" s="3">
        <f>IFERROR(__xludf.DUMMYFUNCTION("""COMPUTED_VALUE"""),0.0)</f>
        <v>0</v>
      </c>
      <c r="P235" s="3">
        <f>IFERROR(__xludf.DUMMYFUNCTION("""COMPUTED_VALUE"""),0.0)</f>
        <v>0</v>
      </c>
      <c r="Q235" s="3">
        <f>IFERROR(__xludf.DUMMYFUNCTION("""COMPUTED_VALUE"""),0.0)</f>
        <v>0</v>
      </c>
      <c r="R235" s="3">
        <f>IFERROR(__xludf.DUMMYFUNCTION("""COMPUTED_VALUE"""),0.0)</f>
        <v>0</v>
      </c>
      <c r="S235" s="3">
        <f>IFERROR(__xludf.DUMMYFUNCTION("""COMPUTED_VALUE"""),0.0)</f>
        <v>0</v>
      </c>
      <c r="T235" s="3">
        <f>IFERROR(__xludf.DUMMYFUNCTION("""COMPUTED_VALUE"""),0.0)</f>
        <v>0</v>
      </c>
      <c r="U235" s="3">
        <f>IFERROR(__xludf.DUMMYFUNCTION("""COMPUTED_VALUE"""),0.0)</f>
        <v>0</v>
      </c>
      <c r="V235" s="3">
        <f>IFERROR(__xludf.DUMMYFUNCTION("""COMPUTED_VALUE"""),0.0)</f>
        <v>0</v>
      </c>
      <c r="W235" s="3">
        <f>IFERROR(__xludf.DUMMYFUNCTION("""COMPUTED_VALUE"""),0.0)</f>
        <v>0</v>
      </c>
      <c r="X235" s="3">
        <f>IFERROR(__xludf.DUMMYFUNCTION("""COMPUTED_VALUE"""),0.0)</f>
        <v>0</v>
      </c>
      <c r="Y235" s="3">
        <f>IFERROR(__xludf.DUMMYFUNCTION("""COMPUTED_VALUE"""),0.0)</f>
        <v>0</v>
      </c>
      <c r="Z235" s="3">
        <f>IFERROR(__xludf.DUMMYFUNCTION("""COMPUTED_VALUE"""),0.0)</f>
        <v>0</v>
      </c>
      <c r="AA235" s="3">
        <f>IFERROR(__xludf.DUMMYFUNCTION("""COMPUTED_VALUE"""),0.0)</f>
        <v>0</v>
      </c>
      <c r="AB235" s="3">
        <f>IFERROR(__xludf.DUMMYFUNCTION("""COMPUTED_VALUE"""),0.0)</f>
        <v>0</v>
      </c>
      <c r="AC235" s="3">
        <f>IFERROR(__xludf.DUMMYFUNCTION("""COMPUTED_VALUE"""),0.0)</f>
        <v>0</v>
      </c>
      <c r="AD235" s="3">
        <f>IFERROR(__xludf.DUMMYFUNCTION("""COMPUTED_VALUE"""),0.0)</f>
        <v>0</v>
      </c>
      <c r="AE235" s="3">
        <f>IFERROR(__xludf.DUMMYFUNCTION("""COMPUTED_VALUE"""),0.0)</f>
        <v>0</v>
      </c>
      <c r="AF235" s="3">
        <f>IFERROR(__xludf.DUMMYFUNCTION("""COMPUTED_VALUE"""),0.0)</f>
        <v>0</v>
      </c>
      <c r="AG235" s="3">
        <f>IFERROR(__xludf.DUMMYFUNCTION("""COMPUTED_VALUE"""),0.0)</f>
        <v>0</v>
      </c>
      <c r="AH235" s="3">
        <f>IFERROR(__xludf.DUMMYFUNCTION("""COMPUTED_VALUE"""),0.0)</f>
        <v>0</v>
      </c>
      <c r="AI235" s="3">
        <f>IFERROR(__xludf.DUMMYFUNCTION("""COMPUTED_VALUE"""),0.0)</f>
        <v>0</v>
      </c>
      <c r="AJ235" s="3">
        <f>IFERROR(__xludf.DUMMYFUNCTION("""COMPUTED_VALUE"""),0.0)</f>
        <v>0</v>
      </c>
      <c r="AK235" s="3">
        <f>IFERROR(__xludf.DUMMYFUNCTION("""COMPUTED_VALUE"""),0.0)</f>
        <v>0</v>
      </c>
      <c r="AL235" s="3">
        <f>IFERROR(__xludf.DUMMYFUNCTION("""COMPUTED_VALUE"""),0.0)</f>
        <v>0</v>
      </c>
      <c r="AM235" s="3">
        <f>IFERROR(__xludf.DUMMYFUNCTION("""COMPUTED_VALUE"""),0.0)</f>
        <v>0</v>
      </c>
      <c r="AN235" s="3">
        <f>IFERROR(__xludf.DUMMYFUNCTION("""COMPUTED_VALUE"""),0.0)</f>
        <v>0</v>
      </c>
      <c r="AO235" s="3">
        <f>IFERROR(__xludf.DUMMYFUNCTION("""COMPUTED_VALUE"""),0.0)</f>
        <v>0</v>
      </c>
      <c r="AP235" s="3">
        <f>IFERROR(__xludf.DUMMYFUNCTION("""COMPUTED_VALUE"""),0.0)</f>
        <v>0</v>
      </c>
      <c r="AQ235" s="3">
        <f>IFERROR(__xludf.DUMMYFUNCTION("""COMPUTED_VALUE"""),0.0)</f>
        <v>0</v>
      </c>
      <c r="AR235" s="3">
        <f>IFERROR(__xludf.DUMMYFUNCTION("""COMPUTED_VALUE"""),0.0)</f>
        <v>0</v>
      </c>
      <c r="AS235" s="3">
        <f>IFERROR(__xludf.DUMMYFUNCTION("""COMPUTED_VALUE"""),0.0)</f>
        <v>0</v>
      </c>
      <c r="AT235" s="3">
        <f>IFERROR(__xludf.DUMMYFUNCTION("""COMPUTED_VALUE"""),0.0)</f>
        <v>0</v>
      </c>
      <c r="AU235" s="3">
        <f>IFERROR(__xludf.DUMMYFUNCTION("""COMPUTED_VALUE"""),0.0)</f>
        <v>0</v>
      </c>
      <c r="AV235" s="3">
        <f>IFERROR(__xludf.DUMMYFUNCTION("""COMPUTED_VALUE"""),0.0)</f>
        <v>0</v>
      </c>
      <c r="AW235" s="3">
        <f>IFERROR(__xludf.DUMMYFUNCTION("""COMPUTED_VALUE"""),0.0)</f>
        <v>0</v>
      </c>
      <c r="AX235" s="3">
        <f>IFERROR(__xludf.DUMMYFUNCTION("""COMPUTED_VALUE"""),0.0)</f>
        <v>0</v>
      </c>
      <c r="AY235" s="3">
        <f>IFERROR(__xludf.DUMMYFUNCTION("""COMPUTED_VALUE"""),0.0)</f>
        <v>0</v>
      </c>
      <c r="AZ235" s="3">
        <f>IFERROR(__xludf.DUMMYFUNCTION("""COMPUTED_VALUE"""),0.0)</f>
        <v>0</v>
      </c>
      <c r="BA235" s="3">
        <f>IFERROR(__xludf.DUMMYFUNCTION("""COMPUTED_VALUE"""),0.0)</f>
        <v>0</v>
      </c>
      <c r="BB235" s="3">
        <f>IFERROR(__xludf.DUMMYFUNCTION("""COMPUTED_VALUE"""),0.0)</f>
        <v>0</v>
      </c>
      <c r="BC235" s="3">
        <f>IFERROR(__xludf.DUMMYFUNCTION("""COMPUTED_VALUE"""),0.0)</f>
        <v>0</v>
      </c>
      <c r="BD235" s="3">
        <f>IFERROR(__xludf.DUMMYFUNCTION("""COMPUTED_VALUE"""),0.0)</f>
        <v>0</v>
      </c>
      <c r="BE235" s="3">
        <f>IFERROR(__xludf.DUMMYFUNCTION("""COMPUTED_VALUE"""),0.0)</f>
        <v>0</v>
      </c>
      <c r="BF235" s="3">
        <f>IFERROR(__xludf.DUMMYFUNCTION("""COMPUTED_VALUE"""),0.0)</f>
        <v>0</v>
      </c>
      <c r="BG235" s="3">
        <f>IFERROR(__xludf.DUMMYFUNCTION("""COMPUTED_VALUE"""),0.0)</f>
        <v>0</v>
      </c>
      <c r="BH235" s="3">
        <f>IFERROR(__xludf.DUMMYFUNCTION("""COMPUTED_VALUE"""),0.0)</f>
        <v>0</v>
      </c>
      <c r="BI235" s="3">
        <f>IFERROR(__xludf.DUMMYFUNCTION("""COMPUTED_VALUE"""),0.0)</f>
        <v>0</v>
      </c>
      <c r="BJ235" s="3">
        <f>IFERROR(__xludf.DUMMYFUNCTION("""COMPUTED_VALUE"""),0.0)</f>
        <v>0</v>
      </c>
      <c r="BK235" s="3">
        <f>IFERROR(__xludf.DUMMYFUNCTION("""COMPUTED_VALUE"""),0.0)</f>
        <v>0</v>
      </c>
      <c r="BL235" s="3">
        <f>IFERROR(__xludf.DUMMYFUNCTION("""COMPUTED_VALUE"""),0.0)</f>
        <v>0</v>
      </c>
      <c r="BM235" s="3">
        <f>IFERROR(__xludf.DUMMYFUNCTION("""COMPUTED_VALUE"""),0.0)</f>
        <v>0</v>
      </c>
      <c r="BN235" s="3">
        <f>IFERROR(__xludf.DUMMYFUNCTION("""COMPUTED_VALUE"""),0.0)</f>
        <v>0</v>
      </c>
      <c r="BO235" s="3">
        <f>IFERROR(__xludf.DUMMYFUNCTION("""COMPUTED_VALUE"""),0.0)</f>
        <v>0</v>
      </c>
      <c r="BP235" s="3">
        <f>IFERROR(__xludf.DUMMYFUNCTION("""COMPUTED_VALUE"""),0.0)</f>
        <v>0</v>
      </c>
      <c r="BQ235" s="3">
        <f>IFERROR(__xludf.DUMMYFUNCTION("""COMPUTED_VALUE"""),0.0)</f>
        <v>0</v>
      </c>
      <c r="BR235" s="3">
        <f>IFERROR(__xludf.DUMMYFUNCTION("""COMPUTED_VALUE"""),0.0)</f>
        <v>0</v>
      </c>
      <c r="BS235" s="3">
        <f>IFERROR(__xludf.DUMMYFUNCTION("""COMPUTED_VALUE"""),0.0)</f>
        <v>0</v>
      </c>
      <c r="BT235" s="3">
        <f>IFERROR(__xludf.DUMMYFUNCTION("""COMPUTED_VALUE"""),0.0)</f>
        <v>0</v>
      </c>
      <c r="BU235" s="3">
        <f>IFERROR(__xludf.DUMMYFUNCTION("""COMPUTED_VALUE"""),0.0)</f>
        <v>0</v>
      </c>
      <c r="BV235" s="3">
        <f>IFERROR(__xludf.DUMMYFUNCTION("""COMPUTED_VALUE"""),0.0)</f>
        <v>0</v>
      </c>
      <c r="BW235" s="3">
        <f>IFERROR(__xludf.DUMMYFUNCTION("""COMPUTED_VALUE"""),0.0)</f>
        <v>0</v>
      </c>
      <c r="BX235" s="3">
        <f>IFERROR(__xludf.DUMMYFUNCTION("""COMPUTED_VALUE"""),0.0)</f>
        <v>0</v>
      </c>
      <c r="BY235" s="3">
        <f>IFERROR(__xludf.DUMMYFUNCTION("""COMPUTED_VALUE"""),0.0)</f>
        <v>0</v>
      </c>
      <c r="BZ235" s="3">
        <f>IFERROR(__xludf.DUMMYFUNCTION("""COMPUTED_VALUE"""),0.0)</f>
        <v>0</v>
      </c>
      <c r="CA235" s="3">
        <f>IFERROR(__xludf.DUMMYFUNCTION("""COMPUTED_VALUE"""),0.0)</f>
        <v>0</v>
      </c>
      <c r="CB235" s="3">
        <f>IFERROR(__xludf.DUMMYFUNCTION("""COMPUTED_VALUE"""),0.0)</f>
        <v>0</v>
      </c>
    </row>
    <row r="236">
      <c r="A236" s="3" t="str">
        <f>IFERROR(__xludf.DUMMYFUNCTION("""COMPUTED_VALUE"""),"")</f>
        <v/>
      </c>
      <c r="B236" s="3" t="str">
        <f>IFERROR(__xludf.DUMMYFUNCTION("""COMPUTED_VALUE"""),"Mozambique")</f>
        <v>Mozambique</v>
      </c>
      <c r="C236" s="3">
        <f>IFERROR(__xludf.DUMMYFUNCTION("""COMPUTED_VALUE"""),-18.665695)</f>
        <v>-18.665695</v>
      </c>
      <c r="D236" s="3">
        <f>IFERROR(__xludf.DUMMYFUNCTION("""COMPUTED_VALUE"""),35.529562)</f>
        <v>35.529562</v>
      </c>
      <c r="E236" s="3">
        <f>IFERROR(__xludf.DUMMYFUNCTION("""COMPUTED_VALUE"""),0.0)</f>
        <v>0</v>
      </c>
      <c r="F236" s="3">
        <f>IFERROR(__xludf.DUMMYFUNCTION("""COMPUTED_VALUE"""),0.0)</f>
        <v>0</v>
      </c>
      <c r="G236" s="3">
        <f>IFERROR(__xludf.DUMMYFUNCTION("""COMPUTED_VALUE"""),0.0)</f>
        <v>0</v>
      </c>
      <c r="H236" s="3">
        <f>IFERROR(__xludf.DUMMYFUNCTION("""COMPUTED_VALUE"""),0.0)</f>
        <v>0</v>
      </c>
      <c r="I236" s="3">
        <f>IFERROR(__xludf.DUMMYFUNCTION("""COMPUTED_VALUE"""),0.0)</f>
        <v>0</v>
      </c>
      <c r="J236" s="3">
        <f>IFERROR(__xludf.DUMMYFUNCTION("""COMPUTED_VALUE"""),0.0)</f>
        <v>0</v>
      </c>
      <c r="K236" s="3">
        <f>IFERROR(__xludf.DUMMYFUNCTION("""COMPUTED_VALUE"""),0.0)</f>
        <v>0</v>
      </c>
      <c r="L236" s="3">
        <f>IFERROR(__xludf.DUMMYFUNCTION("""COMPUTED_VALUE"""),0.0)</f>
        <v>0</v>
      </c>
      <c r="M236" s="3">
        <f>IFERROR(__xludf.DUMMYFUNCTION("""COMPUTED_VALUE"""),0.0)</f>
        <v>0</v>
      </c>
      <c r="N236" s="3">
        <f>IFERROR(__xludf.DUMMYFUNCTION("""COMPUTED_VALUE"""),0.0)</f>
        <v>0</v>
      </c>
      <c r="O236" s="3">
        <f>IFERROR(__xludf.DUMMYFUNCTION("""COMPUTED_VALUE"""),0.0)</f>
        <v>0</v>
      </c>
      <c r="P236" s="3">
        <f>IFERROR(__xludf.DUMMYFUNCTION("""COMPUTED_VALUE"""),0.0)</f>
        <v>0</v>
      </c>
      <c r="Q236" s="3">
        <f>IFERROR(__xludf.DUMMYFUNCTION("""COMPUTED_VALUE"""),0.0)</f>
        <v>0</v>
      </c>
      <c r="R236" s="3">
        <f>IFERROR(__xludf.DUMMYFUNCTION("""COMPUTED_VALUE"""),0.0)</f>
        <v>0</v>
      </c>
      <c r="S236" s="3">
        <f>IFERROR(__xludf.DUMMYFUNCTION("""COMPUTED_VALUE"""),0.0)</f>
        <v>0</v>
      </c>
      <c r="T236" s="3">
        <f>IFERROR(__xludf.DUMMYFUNCTION("""COMPUTED_VALUE"""),0.0)</f>
        <v>0</v>
      </c>
      <c r="U236" s="3">
        <f>IFERROR(__xludf.DUMMYFUNCTION("""COMPUTED_VALUE"""),0.0)</f>
        <v>0</v>
      </c>
      <c r="V236" s="3">
        <f>IFERROR(__xludf.DUMMYFUNCTION("""COMPUTED_VALUE"""),0.0)</f>
        <v>0</v>
      </c>
      <c r="W236" s="3">
        <f>IFERROR(__xludf.DUMMYFUNCTION("""COMPUTED_VALUE"""),0.0)</f>
        <v>0</v>
      </c>
      <c r="X236" s="3">
        <f>IFERROR(__xludf.DUMMYFUNCTION("""COMPUTED_VALUE"""),0.0)</f>
        <v>0</v>
      </c>
      <c r="Y236" s="3">
        <f>IFERROR(__xludf.DUMMYFUNCTION("""COMPUTED_VALUE"""),0.0)</f>
        <v>0</v>
      </c>
      <c r="Z236" s="3">
        <f>IFERROR(__xludf.DUMMYFUNCTION("""COMPUTED_VALUE"""),0.0)</f>
        <v>0</v>
      </c>
      <c r="AA236" s="3">
        <f>IFERROR(__xludf.DUMMYFUNCTION("""COMPUTED_VALUE"""),0.0)</f>
        <v>0</v>
      </c>
      <c r="AB236" s="3">
        <f>IFERROR(__xludf.DUMMYFUNCTION("""COMPUTED_VALUE"""),0.0)</f>
        <v>0</v>
      </c>
      <c r="AC236" s="3">
        <f>IFERROR(__xludf.DUMMYFUNCTION("""COMPUTED_VALUE"""),0.0)</f>
        <v>0</v>
      </c>
      <c r="AD236" s="3">
        <f>IFERROR(__xludf.DUMMYFUNCTION("""COMPUTED_VALUE"""),0.0)</f>
        <v>0</v>
      </c>
      <c r="AE236" s="3">
        <f>IFERROR(__xludf.DUMMYFUNCTION("""COMPUTED_VALUE"""),0.0)</f>
        <v>0</v>
      </c>
      <c r="AF236" s="3">
        <f>IFERROR(__xludf.DUMMYFUNCTION("""COMPUTED_VALUE"""),0.0)</f>
        <v>0</v>
      </c>
      <c r="AG236" s="3">
        <f>IFERROR(__xludf.DUMMYFUNCTION("""COMPUTED_VALUE"""),0.0)</f>
        <v>0</v>
      </c>
      <c r="AH236" s="3">
        <f>IFERROR(__xludf.DUMMYFUNCTION("""COMPUTED_VALUE"""),0.0)</f>
        <v>0</v>
      </c>
      <c r="AI236" s="3">
        <f>IFERROR(__xludf.DUMMYFUNCTION("""COMPUTED_VALUE"""),0.0)</f>
        <v>0</v>
      </c>
      <c r="AJ236" s="3">
        <f>IFERROR(__xludf.DUMMYFUNCTION("""COMPUTED_VALUE"""),0.0)</f>
        <v>0</v>
      </c>
      <c r="AK236" s="3">
        <f>IFERROR(__xludf.DUMMYFUNCTION("""COMPUTED_VALUE"""),0.0)</f>
        <v>0</v>
      </c>
      <c r="AL236" s="3">
        <f>IFERROR(__xludf.DUMMYFUNCTION("""COMPUTED_VALUE"""),0.0)</f>
        <v>0</v>
      </c>
      <c r="AM236" s="3">
        <f>IFERROR(__xludf.DUMMYFUNCTION("""COMPUTED_VALUE"""),0.0)</f>
        <v>0</v>
      </c>
      <c r="AN236" s="3">
        <f>IFERROR(__xludf.DUMMYFUNCTION("""COMPUTED_VALUE"""),0.0)</f>
        <v>0</v>
      </c>
      <c r="AO236" s="3">
        <f>IFERROR(__xludf.DUMMYFUNCTION("""COMPUTED_VALUE"""),0.0)</f>
        <v>0</v>
      </c>
      <c r="AP236" s="3">
        <f>IFERROR(__xludf.DUMMYFUNCTION("""COMPUTED_VALUE"""),0.0)</f>
        <v>0</v>
      </c>
      <c r="AQ236" s="3">
        <f>IFERROR(__xludf.DUMMYFUNCTION("""COMPUTED_VALUE"""),0.0)</f>
        <v>0</v>
      </c>
      <c r="AR236" s="3">
        <f>IFERROR(__xludf.DUMMYFUNCTION("""COMPUTED_VALUE"""),0.0)</f>
        <v>0</v>
      </c>
      <c r="AS236" s="3">
        <f>IFERROR(__xludf.DUMMYFUNCTION("""COMPUTED_VALUE"""),0.0)</f>
        <v>0</v>
      </c>
      <c r="AT236" s="3">
        <f>IFERROR(__xludf.DUMMYFUNCTION("""COMPUTED_VALUE"""),0.0)</f>
        <v>0</v>
      </c>
      <c r="AU236" s="3">
        <f>IFERROR(__xludf.DUMMYFUNCTION("""COMPUTED_VALUE"""),0.0)</f>
        <v>0</v>
      </c>
      <c r="AV236" s="3">
        <f>IFERROR(__xludf.DUMMYFUNCTION("""COMPUTED_VALUE"""),0.0)</f>
        <v>0</v>
      </c>
      <c r="AW236" s="3">
        <f>IFERROR(__xludf.DUMMYFUNCTION("""COMPUTED_VALUE"""),0.0)</f>
        <v>0</v>
      </c>
      <c r="AX236" s="3">
        <f>IFERROR(__xludf.DUMMYFUNCTION("""COMPUTED_VALUE"""),0.0)</f>
        <v>0</v>
      </c>
      <c r="AY236" s="3">
        <f>IFERROR(__xludf.DUMMYFUNCTION("""COMPUTED_VALUE"""),0.0)</f>
        <v>0</v>
      </c>
      <c r="AZ236" s="3">
        <f>IFERROR(__xludf.DUMMYFUNCTION("""COMPUTED_VALUE"""),0.0)</f>
        <v>0</v>
      </c>
      <c r="BA236" s="3">
        <f>IFERROR(__xludf.DUMMYFUNCTION("""COMPUTED_VALUE"""),0.0)</f>
        <v>0</v>
      </c>
      <c r="BB236" s="3">
        <f>IFERROR(__xludf.DUMMYFUNCTION("""COMPUTED_VALUE"""),0.0)</f>
        <v>0</v>
      </c>
      <c r="BC236" s="3">
        <f>IFERROR(__xludf.DUMMYFUNCTION("""COMPUTED_VALUE"""),0.0)</f>
        <v>0</v>
      </c>
      <c r="BD236" s="3">
        <f>IFERROR(__xludf.DUMMYFUNCTION("""COMPUTED_VALUE"""),0.0)</f>
        <v>0</v>
      </c>
      <c r="BE236" s="3">
        <f>IFERROR(__xludf.DUMMYFUNCTION("""COMPUTED_VALUE"""),0.0)</f>
        <v>0</v>
      </c>
      <c r="BF236" s="3">
        <f>IFERROR(__xludf.DUMMYFUNCTION("""COMPUTED_VALUE"""),0.0)</f>
        <v>0</v>
      </c>
      <c r="BG236" s="3">
        <f>IFERROR(__xludf.DUMMYFUNCTION("""COMPUTED_VALUE"""),0.0)</f>
        <v>0</v>
      </c>
      <c r="BH236" s="3">
        <f>IFERROR(__xludf.DUMMYFUNCTION("""COMPUTED_VALUE"""),0.0)</f>
        <v>0</v>
      </c>
      <c r="BI236" s="3">
        <f>IFERROR(__xludf.DUMMYFUNCTION("""COMPUTED_VALUE"""),0.0)</f>
        <v>0</v>
      </c>
      <c r="BJ236" s="3">
        <f>IFERROR(__xludf.DUMMYFUNCTION("""COMPUTED_VALUE"""),0.0)</f>
        <v>0</v>
      </c>
      <c r="BK236" s="3">
        <f>IFERROR(__xludf.DUMMYFUNCTION("""COMPUTED_VALUE"""),0.0)</f>
        <v>0</v>
      </c>
      <c r="BL236" s="3">
        <f>IFERROR(__xludf.DUMMYFUNCTION("""COMPUTED_VALUE"""),0.0)</f>
        <v>0</v>
      </c>
      <c r="BM236" s="3">
        <f>IFERROR(__xludf.DUMMYFUNCTION("""COMPUTED_VALUE"""),0.0)</f>
        <v>0</v>
      </c>
      <c r="BN236" s="3">
        <f>IFERROR(__xludf.DUMMYFUNCTION("""COMPUTED_VALUE"""),0.0)</f>
        <v>0</v>
      </c>
      <c r="BO236" s="3">
        <f>IFERROR(__xludf.DUMMYFUNCTION("""COMPUTED_VALUE"""),0.0)</f>
        <v>0</v>
      </c>
      <c r="BP236" s="3">
        <f>IFERROR(__xludf.DUMMYFUNCTION("""COMPUTED_VALUE"""),0.0)</f>
        <v>0</v>
      </c>
      <c r="BQ236" s="3">
        <f>IFERROR(__xludf.DUMMYFUNCTION("""COMPUTED_VALUE"""),0.0)</f>
        <v>0</v>
      </c>
      <c r="BR236" s="3">
        <f>IFERROR(__xludf.DUMMYFUNCTION("""COMPUTED_VALUE"""),0.0)</f>
        <v>0</v>
      </c>
      <c r="BS236" s="3">
        <f>IFERROR(__xludf.DUMMYFUNCTION("""COMPUTED_VALUE"""),0.0)</f>
        <v>0</v>
      </c>
      <c r="BT236" s="3">
        <f>IFERROR(__xludf.DUMMYFUNCTION("""COMPUTED_VALUE"""),0.0)</f>
        <v>0</v>
      </c>
      <c r="BU236" s="3">
        <f>IFERROR(__xludf.DUMMYFUNCTION("""COMPUTED_VALUE"""),0.0)</f>
        <v>0</v>
      </c>
      <c r="BV236" s="3">
        <f>IFERROR(__xludf.DUMMYFUNCTION("""COMPUTED_VALUE"""),0.0)</f>
        <v>0</v>
      </c>
      <c r="BW236" s="3">
        <f>IFERROR(__xludf.DUMMYFUNCTION("""COMPUTED_VALUE"""),0.0)</f>
        <v>0</v>
      </c>
      <c r="BX236" s="3">
        <f>IFERROR(__xludf.DUMMYFUNCTION("""COMPUTED_VALUE"""),0.0)</f>
        <v>0</v>
      </c>
      <c r="BY236" s="3">
        <f>IFERROR(__xludf.DUMMYFUNCTION("""COMPUTED_VALUE"""),0.0)</f>
        <v>0</v>
      </c>
      <c r="BZ236" s="3">
        <f>IFERROR(__xludf.DUMMYFUNCTION("""COMPUTED_VALUE"""),0.0)</f>
        <v>0</v>
      </c>
      <c r="CA236" s="3">
        <f>IFERROR(__xludf.DUMMYFUNCTION("""COMPUTED_VALUE"""),0.0)</f>
        <v>0</v>
      </c>
      <c r="CB236" s="3">
        <f>IFERROR(__xludf.DUMMYFUNCTION("""COMPUTED_VALUE"""),0.0)</f>
        <v>0</v>
      </c>
    </row>
    <row r="237">
      <c r="A237" s="3" t="str">
        <f>IFERROR(__xludf.DUMMYFUNCTION("""COMPUTED_VALUE"""),"")</f>
        <v/>
      </c>
      <c r="B237" s="3" t="str">
        <f>IFERROR(__xludf.DUMMYFUNCTION("""COMPUTED_VALUE"""),"Syria")</f>
        <v>Syria</v>
      </c>
      <c r="C237" s="3">
        <f>IFERROR(__xludf.DUMMYFUNCTION("""COMPUTED_VALUE"""),34.802075)</f>
        <v>34.802075</v>
      </c>
      <c r="D237" s="3">
        <f>IFERROR(__xludf.DUMMYFUNCTION("""COMPUTED_VALUE"""),38.996815)</f>
        <v>38.996815</v>
      </c>
      <c r="E237" s="3">
        <f>IFERROR(__xludf.DUMMYFUNCTION("""COMPUTED_VALUE"""),0.0)</f>
        <v>0</v>
      </c>
      <c r="F237" s="3">
        <f>IFERROR(__xludf.DUMMYFUNCTION("""COMPUTED_VALUE"""),0.0)</f>
        <v>0</v>
      </c>
      <c r="G237" s="3">
        <f>IFERROR(__xludf.DUMMYFUNCTION("""COMPUTED_VALUE"""),0.0)</f>
        <v>0</v>
      </c>
      <c r="H237" s="3">
        <f>IFERROR(__xludf.DUMMYFUNCTION("""COMPUTED_VALUE"""),0.0)</f>
        <v>0</v>
      </c>
      <c r="I237" s="3">
        <f>IFERROR(__xludf.DUMMYFUNCTION("""COMPUTED_VALUE"""),0.0)</f>
        <v>0</v>
      </c>
      <c r="J237" s="3">
        <f>IFERROR(__xludf.DUMMYFUNCTION("""COMPUTED_VALUE"""),0.0)</f>
        <v>0</v>
      </c>
      <c r="K237" s="3">
        <f>IFERROR(__xludf.DUMMYFUNCTION("""COMPUTED_VALUE"""),0.0)</f>
        <v>0</v>
      </c>
      <c r="L237" s="3">
        <f>IFERROR(__xludf.DUMMYFUNCTION("""COMPUTED_VALUE"""),0.0)</f>
        <v>0</v>
      </c>
      <c r="M237" s="3">
        <f>IFERROR(__xludf.DUMMYFUNCTION("""COMPUTED_VALUE"""),0.0)</f>
        <v>0</v>
      </c>
      <c r="N237" s="3">
        <f>IFERROR(__xludf.DUMMYFUNCTION("""COMPUTED_VALUE"""),0.0)</f>
        <v>0</v>
      </c>
      <c r="O237" s="3">
        <f>IFERROR(__xludf.DUMMYFUNCTION("""COMPUTED_VALUE"""),0.0)</f>
        <v>0</v>
      </c>
      <c r="P237" s="3">
        <f>IFERROR(__xludf.DUMMYFUNCTION("""COMPUTED_VALUE"""),0.0)</f>
        <v>0</v>
      </c>
      <c r="Q237" s="3">
        <f>IFERROR(__xludf.DUMMYFUNCTION("""COMPUTED_VALUE"""),0.0)</f>
        <v>0</v>
      </c>
      <c r="R237" s="3">
        <f>IFERROR(__xludf.DUMMYFUNCTION("""COMPUTED_VALUE"""),0.0)</f>
        <v>0</v>
      </c>
      <c r="S237" s="3">
        <f>IFERROR(__xludf.DUMMYFUNCTION("""COMPUTED_VALUE"""),0.0)</f>
        <v>0</v>
      </c>
      <c r="T237" s="3">
        <f>IFERROR(__xludf.DUMMYFUNCTION("""COMPUTED_VALUE"""),0.0)</f>
        <v>0</v>
      </c>
      <c r="U237" s="3">
        <f>IFERROR(__xludf.DUMMYFUNCTION("""COMPUTED_VALUE"""),0.0)</f>
        <v>0</v>
      </c>
      <c r="V237" s="3">
        <f>IFERROR(__xludf.DUMMYFUNCTION("""COMPUTED_VALUE"""),0.0)</f>
        <v>0</v>
      </c>
      <c r="W237" s="3">
        <f>IFERROR(__xludf.DUMMYFUNCTION("""COMPUTED_VALUE"""),0.0)</f>
        <v>0</v>
      </c>
      <c r="X237" s="3">
        <f>IFERROR(__xludf.DUMMYFUNCTION("""COMPUTED_VALUE"""),0.0)</f>
        <v>0</v>
      </c>
      <c r="Y237" s="3">
        <f>IFERROR(__xludf.DUMMYFUNCTION("""COMPUTED_VALUE"""),0.0)</f>
        <v>0</v>
      </c>
      <c r="Z237" s="3">
        <f>IFERROR(__xludf.DUMMYFUNCTION("""COMPUTED_VALUE"""),0.0)</f>
        <v>0</v>
      </c>
      <c r="AA237" s="3">
        <f>IFERROR(__xludf.DUMMYFUNCTION("""COMPUTED_VALUE"""),0.0)</f>
        <v>0</v>
      </c>
      <c r="AB237" s="3">
        <f>IFERROR(__xludf.DUMMYFUNCTION("""COMPUTED_VALUE"""),0.0)</f>
        <v>0</v>
      </c>
      <c r="AC237" s="3">
        <f>IFERROR(__xludf.DUMMYFUNCTION("""COMPUTED_VALUE"""),0.0)</f>
        <v>0</v>
      </c>
      <c r="AD237" s="3">
        <f>IFERROR(__xludf.DUMMYFUNCTION("""COMPUTED_VALUE"""),0.0)</f>
        <v>0</v>
      </c>
      <c r="AE237" s="3">
        <f>IFERROR(__xludf.DUMMYFUNCTION("""COMPUTED_VALUE"""),0.0)</f>
        <v>0</v>
      </c>
      <c r="AF237" s="3">
        <f>IFERROR(__xludf.DUMMYFUNCTION("""COMPUTED_VALUE"""),0.0)</f>
        <v>0</v>
      </c>
      <c r="AG237" s="3">
        <f>IFERROR(__xludf.DUMMYFUNCTION("""COMPUTED_VALUE"""),0.0)</f>
        <v>0</v>
      </c>
      <c r="AH237" s="3">
        <f>IFERROR(__xludf.DUMMYFUNCTION("""COMPUTED_VALUE"""),0.0)</f>
        <v>0</v>
      </c>
      <c r="AI237" s="3">
        <f>IFERROR(__xludf.DUMMYFUNCTION("""COMPUTED_VALUE"""),0.0)</f>
        <v>0</v>
      </c>
      <c r="AJ237" s="3">
        <f>IFERROR(__xludf.DUMMYFUNCTION("""COMPUTED_VALUE"""),0.0)</f>
        <v>0</v>
      </c>
      <c r="AK237" s="3">
        <f>IFERROR(__xludf.DUMMYFUNCTION("""COMPUTED_VALUE"""),0.0)</f>
        <v>0</v>
      </c>
      <c r="AL237" s="3">
        <f>IFERROR(__xludf.DUMMYFUNCTION("""COMPUTED_VALUE"""),0.0)</f>
        <v>0</v>
      </c>
      <c r="AM237" s="3">
        <f>IFERROR(__xludf.DUMMYFUNCTION("""COMPUTED_VALUE"""),0.0)</f>
        <v>0</v>
      </c>
      <c r="AN237" s="3">
        <f>IFERROR(__xludf.DUMMYFUNCTION("""COMPUTED_VALUE"""),0.0)</f>
        <v>0</v>
      </c>
      <c r="AO237" s="3">
        <f>IFERROR(__xludf.DUMMYFUNCTION("""COMPUTED_VALUE"""),0.0)</f>
        <v>0</v>
      </c>
      <c r="AP237" s="3">
        <f>IFERROR(__xludf.DUMMYFUNCTION("""COMPUTED_VALUE"""),0.0)</f>
        <v>0</v>
      </c>
      <c r="AQ237" s="3">
        <f>IFERROR(__xludf.DUMMYFUNCTION("""COMPUTED_VALUE"""),0.0)</f>
        <v>0</v>
      </c>
      <c r="AR237" s="3">
        <f>IFERROR(__xludf.DUMMYFUNCTION("""COMPUTED_VALUE"""),0.0)</f>
        <v>0</v>
      </c>
      <c r="AS237" s="3">
        <f>IFERROR(__xludf.DUMMYFUNCTION("""COMPUTED_VALUE"""),0.0)</f>
        <v>0</v>
      </c>
      <c r="AT237" s="3">
        <f>IFERROR(__xludf.DUMMYFUNCTION("""COMPUTED_VALUE"""),0.0)</f>
        <v>0</v>
      </c>
      <c r="AU237" s="3">
        <f>IFERROR(__xludf.DUMMYFUNCTION("""COMPUTED_VALUE"""),0.0)</f>
        <v>0</v>
      </c>
      <c r="AV237" s="3">
        <f>IFERROR(__xludf.DUMMYFUNCTION("""COMPUTED_VALUE"""),0.0)</f>
        <v>0</v>
      </c>
      <c r="AW237" s="3">
        <f>IFERROR(__xludf.DUMMYFUNCTION("""COMPUTED_VALUE"""),0.0)</f>
        <v>0</v>
      </c>
      <c r="AX237" s="3">
        <f>IFERROR(__xludf.DUMMYFUNCTION("""COMPUTED_VALUE"""),0.0)</f>
        <v>0</v>
      </c>
      <c r="AY237" s="3">
        <f>IFERROR(__xludf.DUMMYFUNCTION("""COMPUTED_VALUE"""),0.0)</f>
        <v>0</v>
      </c>
      <c r="AZ237" s="3">
        <f>IFERROR(__xludf.DUMMYFUNCTION("""COMPUTED_VALUE"""),0.0)</f>
        <v>0</v>
      </c>
      <c r="BA237" s="3">
        <f>IFERROR(__xludf.DUMMYFUNCTION("""COMPUTED_VALUE"""),0.0)</f>
        <v>0</v>
      </c>
      <c r="BB237" s="3">
        <f>IFERROR(__xludf.DUMMYFUNCTION("""COMPUTED_VALUE"""),0.0)</f>
        <v>0</v>
      </c>
      <c r="BC237" s="3">
        <f>IFERROR(__xludf.DUMMYFUNCTION("""COMPUTED_VALUE"""),0.0)</f>
        <v>0</v>
      </c>
      <c r="BD237" s="3">
        <f>IFERROR(__xludf.DUMMYFUNCTION("""COMPUTED_VALUE"""),0.0)</f>
        <v>0</v>
      </c>
      <c r="BE237" s="3">
        <f>IFERROR(__xludf.DUMMYFUNCTION("""COMPUTED_VALUE"""),0.0)</f>
        <v>0</v>
      </c>
      <c r="BF237" s="3">
        <f>IFERROR(__xludf.DUMMYFUNCTION("""COMPUTED_VALUE"""),0.0)</f>
        <v>0</v>
      </c>
      <c r="BG237" s="3">
        <f>IFERROR(__xludf.DUMMYFUNCTION("""COMPUTED_VALUE"""),0.0)</f>
        <v>0</v>
      </c>
      <c r="BH237" s="3">
        <f>IFERROR(__xludf.DUMMYFUNCTION("""COMPUTED_VALUE"""),0.0)</f>
        <v>0</v>
      </c>
      <c r="BI237" s="3">
        <f>IFERROR(__xludf.DUMMYFUNCTION("""COMPUTED_VALUE"""),0.0)</f>
        <v>0</v>
      </c>
      <c r="BJ237" s="3">
        <f>IFERROR(__xludf.DUMMYFUNCTION("""COMPUTED_VALUE"""),0.0)</f>
        <v>0</v>
      </c>
      <c r="BK237" s="3">
        <f>IFERROR(__xludf.DUMMYFUNCTION("""COMPUTED_VALUE"""),0.0)</f>
        <v>0</v>
      </c>
      <c r="BL237" s="3">
        <f>IFERROR(__xludf.DUMMYFUNCTION("""COMPUTED_VALUE"""),0.0)</f>
        <v>0</v>
      </c>
      <c r="BM237" s="3">
        <f>IFERROR(__xludf.DUMMYFUNCTION("""COMPUTED_VALUE"""),0.0)</f>
        <v>0</v>
      </c>
      <c r="BN237" s="3">
        <f>IFERROR(__xludf.DUMMYFUNCTION("""COMPUTED_VALUE"""),0.0)</f>
        <v>0</v>
      </c>
      <c r="BO237" s="3">
        <f>IFERROR(__xludf.DUMMYFUNCTION("""COMPUTED_VALUE"""),0.0)</f>
        <v>0</v>
      </c>
      <c r="BP237" s="3">
        <f>IFERROR(__xludf.DUMMYFUNCTION("""COMPUTED_VALUE"""),0.0)</f>
        <v>0</v>
      </c>
      <c r="BQ237" s="3">
        <f>IFERROR(__xludf.DUMMYFUNCTION("""COMPUTED_VALUE"""),0.0)</f>
        <v>0</v>
      </c>
      <c r="BR237" s="3">
        <f>IFERROR(__xludf.DUMMYFUNCTION("""COMPUTED_VALUE"""),0.0)</f>
        <v>0</v>
      </c>
      <c r="BS237" s="3">
        <f>IFERROR(__xludf.DUMMYFUNCTION("""COMPUTED_VALUE"""),0.0)</f>
        <v>0</v>
      </c>
      <c r="BT237" s="3">
        <f>IFERROR(__xludf.DUMMYFUNCTION("""COMPUTED_VALUE"""),1.0)</f>
        <v>1</v>
      </c>
      <c r="BU237" s="3">
        <f>IFERROR(__xludf.DUMMYFUNCTION("""COMPUTED_VALUE"""),2.0)</f>
        <v>2</v>
      </c>
      <c r="BV237" s="3">
        <f>IFERROR(__xludf.DUMMYFUNCTION("""COMPUTED_VALUE"""),2.0)</f>
        <v>2</v>
      </c>
      <c r="BW237" s="3">
        <f>IFERROR(__xludf.DUMMYFUNCTION("""COMPUTED_VALUE"""),2.0)</f>
        <v>2</v>
      </c>
      <c r="BX237" s="3">
        <f>IFERROR(__xludf.DUMMYFUNCTION("""COMPUTED_VALUE"""),2.0)</f>
        <v>2</v>
      </c>
      <c r="BY237" s="3">
        <f>IFERROR(__xludf.DUMMYFUNCTION("""COMPUTED_VALUE"""),2.0)</f>
        <v>2</v>
      </c>
      <c r="BZ237" s="3">
        <f>IFERROR(__xludf.DUMMYFUNCTION("""COMPUTED_VALUE"""),2.0)</f>
        <v>2</v>
      </c>
      <c r="CA237" s="3">
        <f>IFERROR(__xludf.DUMMYFUNCTION("""COMPUTED_VALUE"""),2.0)</f>
        <v>2</v>
      </c>
      <c r="CB237" s="3">
        <f>IFERROR(__xludf.DUMMYFUNCTION("""COMPUTED_VALUE"""),2.0)</f>
        <v>2</v>
      </c>
    </row>
    <row r="238">
      <c r="A238" s="3" t="str">
        <f>IFERROR(__xludf.DUMMYFUNCTION("""COMPUTED_VALUE"""),"")</f>
        <v/>
      </c>
      <c r="B238" s="3" t="str">
        <f>IFERROR(__xludf.DUMMYFUNCTION("""COMPUTED_VALUE"""),"Timor-Leste")</f>
        <v>Timor-Leste</v>
      </c>
      <c r="C238" s="3">
        <f>IFERROR(__xludf.DUMMYFUNCTION("""COMPUTED_VALUE"""),-8.874217)</f>
        <v>-8.874217</v>
      </c>
      <c r="D238" s="3">
        <f>IFERROR(__xludf.DUMMYFUNCTION("""COMPUTED_VALUE"""),125.727539)</f>
        <v>125.727539</v>
      </c>
      <c r="E238" s="3">
        <f>IFERROR(__xludf.DUMMYFUNCTION("""COMPUTED_VALUE"""),0.0)</f>
        <v>0</v>
      </c>
      <c r="F238" s="3">
        <f>IFERROR(__xludf.DUMMYFUNCTION("""COMPUTED_VALUE"""),0.0)</f>
        <v>0</v>
      </c>
      <c r="G238" s="3">
        <f>IFERROR(__xludf.DUMMYFUNCTION("""COMPUTED_VALUE"""),0.0)</f>
        <v>0</v>
      </c>
      <c r="H238" s="3">
        <f>IFERROR(__xludf.DUMMYFUNCTION("""COMPUTED_VALUE"""),0.0)</f>
        <v>0</v>
      </c>
      <c r="I238" s="3">
        <f>IFERROR(__xludf.DUMMYFUNCTION("""COMPUTED_VALUE"""),0.0)</f>
        <v>0</v>
      </c>
      <c r="J238" s="3">
        <f>IFERROR(__xludf.DUMMYFUNCTION("""COMPUTED_VALUE"""),0.0)</f>
        <v>0</v>
      </c>
      <c r="K238" s="3">
        <f>IFERROR(__xludf.DUMMYFUNCTION("""COMPUTED_VALUE"""),0.0)</f>
        <v>0</v>
      </c>
      <c r="L238" s="3">
        <f>IFERROR(__xludf.DUMMYFUNCTION("""COMPUTED_VALUE"""),0.0)</f>
        <v>0</v>
      </c>
      <c r="M238" s="3">
        <f>IFERROR(__xludf.DUMMYFUNCTION("""COMPUTED_VALUE"""),0.0)</f>
        <v>0</v>
      </c>
      <c r="N238" s="3">
        <f>IFERROR(__xludf.DUMMYFUNCTION("""COMPUTED_VALUE"""),0.0)</f>
        <v>0</v>
      </c>
      <c r="O238" s="3">
        <f>IFERROR(__xludf.DUMMYFUNCTION("""COMPUTED_VALUE"""),0.0)</f>
        <v>0</v>
      </c>
      <c r="P238" s="3">
        <f>IFERROR(__xludf.DUMMYFUNCTION("""COMPUTED_VALUE"""),0.0)</f>
        <v>0</v>
      </c>
      <c r="Q238" s="3">
        <f>IFERROR(__xludf.DUMMYFUNCTION("""COMPUTED_VALUE"""),0.0)</f>
        <v>0</v>
      </c>
      <c r="R238" s="3">
        <f>IFERROR(__xludf.DUMMYFUNCTION("""COMPUTED_VALUE"""),0.0)</f>
        <v>0</v>
      </c>
      <c r="S238" s="3">
        <f>IFERROR(__xludf.DUMMYFUNCTION("""COMPUTED_VALUE"""),0.0)</f>
        <v>0</v>
      </c>
      <c r="T238" s="3">
        <f>IFERROR(__xludf.DUMMYFUNCTION("""COMPUTED_VALUE"""),0.0)</f>
        <v>0</v>
      </c>
      <c r="U238" s="3">
        <f>IFERROR(__xludf.DUMMYFUNCTION("""COMPUTED_VALUE"""),0.0)</f>
        <v>0</v>
      </c>
      <c r="V238" s="3">
        <f>IFERROR(__xludf.DUMMYFUNCTION("""COMPUTED_VALUE"""),0.0)</f>
        <v>0</v>
      </c>
      <c r="W238" s="3">
        <f>IFERROR(__xludf.DUMMYFUNCTION("""COMPUTED_VALUE"""),0.0)</f>
        <v>0</v>
      </c>
      <c r="X238" s="3">
        <f>IFERROR(__xludf.DUMMYFUNCTION("""COMPUTED_VALUE"""),0.0)</f>
        <v>0</v>
      </c>
      <c r="Y238" s="3">
        <f>IFERROR(__xludf.DUMMYFUNCTION("""COMPUTED_VALUE"""),0.0)</f>
        <v>0</v>
      </c>
      <c r="Z238" s="3">
        <f>IFERROR(__xludf.DUMMYFUNCTION("""COMPUTED_VALUE"""),0.0)</f>
        <v>0</v>
      </c>
      <c r="AA238" s="3">
        <f>IFERROR(__xludf.DUMMYFUNCTION("""COMPUTED_VALUE"""),0.0)</f>
        <v>0</v>
      </c>
      <c r="AB238" s="3">
        <f>IFERROR(__xludf.DUMMYFUNCTION("""COMPUTED_VALUE"""),0.0)</f>
        <v>0</v>
      </c>
      <c r="AC238" s="3">
        <f>IFERROR(__xludf.DUMMYFUNCTION("""COMPUTED_VALUE"""),0.0)</f>
        <v>0</v>
      </c>
      <c r="AD238" s="3">
        <f>IFERROR(__xludf.DUMMYFUNCTION("""COMPUTED_VALUE"""),0.0)</f>
        <v>0</v>
      </c>
      <c r="AE238" s="3">
        <f>IFERROR(__xludf.DUMMYFUNCTION("""COMPUTED_VALUE"""),0.0)</f>
        <v>0</v>
      </c>
      <c r="AF238" s="3">
        <f>IFERROR(__xludf.DUMMYFUNCTION("""COMPUTED_VALUE"""),0.0)</f>
        <v>0</v>
      </c>
      <c r="AG238" s="3">
        <f>IFERROR(__xludf.DUMMYFUNCTION("""COMPUTED_VALUE"""),0.0)</f>
        <v>0</v>
      </c>
      <c r="AH238" s="3">
        <f>IFERROR(__xludf.DUMMYFUNCTION("""COMPUTED_VALUE"""),0.0)</f>
        <v>0</v>
      </c>
      <c r="AI238" s="3">
        <f>IFERROR(__xludf.DUMMYFUNCTION("""COMPUTED_VALUE"""),0.0)</f>
        <v>0</v>
      </c>
      <c r="AJ238" s="3">
        <f>IFERROR(__xludf.DUMMYFUNCTION("""COMPUTED_VALUE"""),0.0)</f>
        <v>0</v>
      </c>
      <c r="AK238" s="3">
        <f>IFERROR(__xludf.DUMMYFUNCTION("""COMPUTED_VALUE"""),0.0)</f>
        <v>0</v>
      </c>
      <c r="AL238" s="3">
        <f>IFERROR(__xludf.DUMMYFUNCTION("""COMPUTED_VALUE"""),0.0)</f>
        <v>0</v>
      </c>
      <c r="AM238" s="3">
        <f>IFERROR(__xludf.DUMMYFUNCTION("""COMPUTED_VALUE"""),0.0)</f>
        <v>0</v>
      </c>
      <c r="AN238" s="3">
        <f>IFERROR(__xludf.DUMMYFUNCTION("""COMPUTED_VALUE"""),0.0)</f>
        <v>0</v>
      </c>
      <c r="AO238" s="3">
        <f>IFERROR(__xludf.DUMMYFUNCTION("""COMPUTED_VALUE"""),0.0)</f>
        <v>0</v>
      </c>
      <c r="AP238" s="3">
        <f>IFERROR(__xludf.DUMMYFUNCTION("""COMPUTED_VALUE"""),0.0)</f>
        <v>0</v>
      </c>
      <c r="AQ238" s="3">
        <f>IFERROR(__xludf.DUMMYFUNCTION("""COMPUTED_VALUE"""),0.0)</f>
        <v>0</v>
      </c>
      <c r="AR238" s="3">
        <f>IFERROR(__xludf.DUMMYFUNCTION("""COMPUTED_VALUE"""),0.0)</f>
        <v>0</v>
      </c>
      <c r="AS238" s="3">
        <f>IFERROR(__xludf.DUMMYFUNCTION("""COMPUTED_VALUE"""),0.0)</f>
        <v>0</v>
      </c>
      <c r="AT238" s="3">
        <f>IFERROR(__xludf.DUMMYFUNCTION("""COMPUTED_VALUE"""),0.0)</f>
        <v>0</v>
      </c>
      <c r="AU238" s="3">
        <f>IFERROR(__xludf.DUMMYFUNCTION("""COMPUTED_VALUE"""),0.0)</f>
        <v>0</v>
      </c>
      <c r="AV238" s="3">
        <f>IFERROR(__xludf.DUMMYFUNCTION("""COMPUTED_VALUE"""),0.0)</f>
        <v>0</v>
      </c>
      <c r="AW238" s="3">
        <f>IFERROR(__xludf.DUMMYFUNCTION("""COMPUTED_VALUE"""),0.0)</f>
        <v>0</v>
      </c>
      <c r="AX238" s="3">
        <f>IFERROR(__xludf.DUMMYFUNCTION("""COMPUTED_VALUE"""),0.0)</f>
        <v>0</v>
      </c>
      <c r="AY238" s="3">
        <f>IFERROR(__xludf.DUMMYFUNCTION("""COMPUTED_VALUE"""),0.0)</f>
        <v>0</v>
      </c>
      <c r="AZ238" s="3">
        <f>IFERROR(__xludf.DUMMYFUNCTION("""COMPUTED_VALUE"""),0.0)</f>
        <v>0</v>
      </c>
      <c r="BA238" s="3">
        <f>IFERROR(__xludf.DUMMYFUNCTION("""COMPUTED_VALUE"""),0.0)</f>
        <v>0</v>
      </c>
      <c r="BB238" s="3">
        <f>IFERROR(__xludf.DUMMYFUNCTION("""COMPUTED_VALUE"""),0.0)</f>
        <v>0</v>
      </c>
      <c r="BC238" s="3">
        <f>IFERROR(__xludf.DUMMYFUNCTION("""COMPUTED_VALUE"""),0.0)</f>
        <v>0</v>
      </c>
      <c r="BD238" s="3">
        <f>IFERROR(__xludf.DUMMYFUNCTION("""COMPUTED_VALUE"""),0.0)</f>
        <v>0</v>
      </c>
      <c r="BE238" s="3">
        <f>IFERROR(__xludf.DUMMYFUNCTION("""COMPUTED_VALUE"""),0.0)</f>
        <v>0</v>
      </c>
      <c r="BF238" s="3">
        <f>IFERROR(__xludf.DUMMYFUNCTION("""COMPUTED_VALUE"""),0.0)</f>
        <v>0</v>
      </c>
      <c r="BG238" s="3">
        <f>IFERROR(__xludf.DUMMYFUNCTION("""COMPUTED_VALUE"""),0.0)</f>
        <v>0</v>
      </c>
      <c r="BH238" s="3">
        <f>IFERROR(__xludf.DUMMYFUNCTION("""COMPUTED_VALUE"""),0.0)</f>
        <v>0</v>
      </c>
      <c r="BI238" s="3">
        <f>IFERROR(__xludf.DUMMYFUNCTION("""COMPUTED_VALUE"""),0.0)</f>
        <v>0</v>
      </c>
      <c r="BJ238" s="3">
        <f>IFERROR(__xludf.DUMMYFUNCTION("""COMPUTED_VALUE"""),0.0)</f>
        <v>0</v>
      </c>
      <c r="BK238" s="3">
        <f>IFERROR(__xludf.DUMMYFUNCTION("""COMPUTED_VALUE"""),0.0)</f>
        <v>0</v>
      </c>
      <c r="BL238" s="3">
        <f>IFERROR(__xludf.DUMMYFUNCTION("""COMPUTED_VALUE"""),0.0)</f>
        <v>0</v>
      </c>
      <c r="BM238" s="3">
        <f>IFERROR(__xludf.DUMMYFUNCTION("""COMPUTED_VALUE"""),0.0)</f>
        <v>0</v>
      </c>
      <c r="BN238" s="3">
        <f>IFERROR(__xludf.DUMMYFUNCTION("""COMPUTED_VALUE"""),0.0)</f>
        <v>0</v>
      </c>
      <c r="BO238" s="3">
        <f>IFERROR(__xludf.DUMMYFUNCTION("""COMPUTED_VALUE"""),0.0)</f>
        <v>0</v>
      </c>
      <c r="BP238" s="3">
        <f>IFERROR(__xludf.DUMMYFUNCTION("""COMPUTED_VALUE"""),0.0)</f>
        <v>0</v>
      </c>
      <c r="BQ238" s="3">
        <f>IFERROR(__xludf.DUMMYFUNCTION("""COMPUTED_VALUE"""),0.0)</f>
        <v>0</v>
      </c>
      <c r="BR238" s="3">
        <f>IFERROR(__xludf.DUMMYFUNCTION("""COMPUTED_VALUE"""),0.0)</f>
        <v>0</v>
      </c>
      <c r="BS238" s="3">
        <f>IFERROR(__xludf.DUMMYFUNCTION("""COMPUTED_VALUE"""),0.0)</f>
        <v>0</v>
      </c>
      <c r="BT238" s="3">
        <f>IFERROR(__xludf.DUMMYFUNCTION("""COMPUTED_VALUE"""),0.0)</f>
        <v>0</v>
      </c>
      <c r="BU238" s="3">
        <f>IFERROR(__xludf.DUMMYFUNCTION("""COMPUTED_VALUE"""),0.0)</f>
        <v>0</v>
      </c>
      <c r="BV238" s="3">
        <f>IFERROR(__xludf.DUMMYFUNCTION("""COMPUTED_VALUE"""),0.0)</f>
        <v>0</v>
      </c>
      <c r="BW238" s="3">
        <f>IFERROR(__xludf.DUMMYFUNCTION("""COMPUTED_VALUE"""),0.0)</f>
        <v>0</v>
      </c>
      <c r="BX238" s="3">
        <f>IFERROR(__xludf.DUMMYFUNCTION("""COMPUTED_VALUE"""),0.0)</f>
        <v>0</v>
      </c>
      <c r="BY238" s="3">
        <f>IFERROR(__xludf.DUMMYFUNCTION("""COMPUTED_VALUE"""),0.0)</f>
        <v>0</v>
      </c>
      <c r="BZ238" s="3">
        <f>IFERROR(__xludf.DUMMYFUNCTION("""COMPUTED_VALUE"""),0.0)</f>
        <v>0</v>
      </c>
      <c r="CA238" s="3">
        <f>IFERROR(__xludf.DUMMYFUNCTION("""COMPUTED_VALUE"""),0.0)</f>
        <v>0</v>
      </c>
      <c r="CB238" s="3">
        <f>IFERROR(__xludf.DUMMYFUNCTION("""COMPUTED_VALUE"""),0.0)</f>
        <v>0</v>
      </c>
    </row>
    <row r="239">
      <c r="A239" s="3" t="str">
        <f>IFERROR(__xludf.DUMMYFUNCTION("""COMPUTED_VALUE"""),"")</f>
        <v/>
      </c>
      <c r="B239" s="3" t="str">
        <f>IFERROR(__xludf.DUMMYFUNCTION("""COMPUTED_VALUE"""),"Belize")</f>
        <v>Belize</v>
      </c>
      <c r="C239" s="3">
        <f>IFERROR(__xludf.DUMMYFUNCTION("""COMPUTED_VALUE"""),13.1939)</f>
        <v>13.1939</v>
      </c>
      <c r="D239" s="3">
        <f>IFERROR(__xludf.DUMMYFUNCTION("""COMPUTED_VALUE"""),-59.5432)</f>
        <v>-59.5432</v>
      </c>
      <c r="E239" s="3">
        <f>IFERROR(__xludf.DUMMYFUNCTION("""COMPUTED_VALUE"""),0.0)</f>
        <v>0</v>
      </c>
      <c r="F239" s="3">
        <f>IFERROR(__xludf.DUMMYFUNCTION("""COMPUTED_VALUE"""),0.0)</f>
        <v>0</v>
      </c>
      <c r="G239" s="3">
        <f>IFERROR(__xludf.DUMMYFUNCTION("""COMPUTED_VALUE"""),0.0)</f>
        <v>0</v>
      </c>
      <c r="H239" s="3">
        <f>IFERROR(__xludf.DUMMYFUNCTION("""COMPUTED_VALUE"""),0.0)</f>
        <v>0</v>
      </c>
      <c r="I239" s="3">
        <f>IFERROR(__xludf.DUMMYFUNCTION("""COMPUTED_VALUE"""),0.0)</f>
        <v>0</v>
      </c>
      <c r="J239" s="3">
        <f>IFERROR(__xludf.DUMMYFUNCTION("""COMPUTED_VALUE"""),0.0)</f>
        <v>0</v>
      </c>
      <c r="K239" s="3">
        <f>IFERROR(__xludf.DUMMYFUNCTION("""COMPUTED_VALUE"""),0.0)</f>
        <v>0</v>
      </c>
      <c r="L239" s="3">
        <f>IFERROR(__xludf.DUMMYFUNCTION("""COMPUTED_VALUE"""),0.0)</f>
        <v>0</v>
      </c>
      <c r="M239" s="3">
        <f>IFERROR(__xludf.DUMMYFUNCTION("""COMPUTED_VALUE"""),0.0)</f>
        <v>0</v>
      </c>
      <c r="N239" s="3">
        <f>IFERROR(__xludf.DUMMYFUNCTION("""COMPUTED_VALUE"""),0.0)</f>
        <v>0</v>
      </c>
      <c r="O239" s="3">
        <f>IFERROR(__xludf.DUMMYFUNCTION("""COMPUTED_VALUE"""),0.0)</f>
        <v>0</v>
      </c>
      <c r="P239" s="3">
        <f>IFERROR(__xludf.DUMMYFUNCTION("""COMPUTED_VALUE"""),0.0)</f>
        <v>0</v>
      </c>
      <c r="Q239" s="3">
        <f>IFERROR(__xludf.DUMMYFUNCTION("""COMPUTED_VALUE"""),0.0)</f>
        <v>0</v>
      </c>
      <c r="R239" s="3">
        <f>IFERROR(__xludf.DUMMYFUNCTION("""COMPUTED_VALUE"""),0.0)</f>
        <v>0</v>
      </c>
      <c r="S239" s="3">
        <f>IFERROR(__xludf.DUMMYFUNCTION("""COMPUTED_VALUE"""),0.0)</f>
        <v>0</v>
      </c>
      <c r="T239" s="3">
        <f>IFERROR(__xludf.DUMMYFUNCTION("""COMPUTED_VALUE"""),0.0)</f>
        <v>0</v>
      </c>
      <c r="U239" s="3">
        <f>IFERROR(__xludf.DUMMYFUNCTION("""COMPUTED_VALUE"""),0.0)</f>
        <v>0</v>
      </c>
      <c r="V239" s="3">
        <f>IFERROR(__xludf.DUMMYFUNCTION("""COMPUTED_VALUE"""),0.0)</f>
        <v>0</v>
      </c>
      <c r="W239" s="3">
        <f>IFERROR(__xludf.DUMMYFUNCTION("""COMPUTED_VALUE"""),0.0)</f>
        <v>0</v>
      </c>
      <c r="X239" s="3">
        <f>IFERROR(__xludf.DUMMYFUNCTION("""COMPUTED_VALUE"""),0.0)</f>
        <v>0</v>
      </c>
      <c r="Y239" s="3">
        <f>IFERROR(__xludf.DUMMYFUNCTION("""COMPUTED_VALUE"""),0.0)</f>
        <v>0</v>
      </c>
      <c r="Z239" s="3">
        <f>IFERROR(__xludf.DUMMYFUNCTION("""COMPUTED_VALUE"""),0.0)</f>
        <v>0</v>
      </c>
      <c r="AA239" s="3">
        <f>IFERROR(__xludf.DUMMYFUNCTION("""COMPUTED_VALUE"""),0.0)</f>
        <v>0</v>
      </c>
      <c r="AB239" s="3">
        <f>IFERROR(__xludf.DUMMYFUNCTION("""COMPUTED_VALUE"""),0.0)</f>
        <v>0</v>
      </c>
      <c r="AC239" s="3">
        <f>IFERROR(__xludf.DUMMYFUNCTION("""COMPUTED_VALUE"""),0.0)</f>
        <v>0</v>
      </c>
      <c r="AD239" s="3">
        <f>IFERROR(__xludf.DUMMYFUNCTION("""COMPUTED_VALUE"""),0.0)</f>
        <v>0</v>
      </c>
      <c r="AE239" s="3">
        <f>IFERROR(__xludf.DUMMYFUNCTION("""COMPUTED_VALUE"""),0.0)</f>
        <v>0</v>
      </c>
      <c r="AF239" s="3">
        <f>IFERROR(__xludf.DUMMYFUNCTION("""COMPUTED_VALUE"""),0.0)</f>
        <v>0</v>
      </c>
      <c r="AG239" s="3">
        <f>IFERROR(__xludf.DUMMYFUNCTION("""COMPUTED_VALUE"""),0.0)</f>
        <v>0</v>
      </c>
      <c r="AH239" s="3">
        <f>IFERROR(__xludf.DUMMYFUNCTION("""COMPUTED_VALUE"""),0.0)</f>
        <v>0</v>
      </c>
      <c r="AI239" s="3">
        <f>IFERROR(__xludf.DUMMYFUNCTION("""COMPUTED_VALUE"""),0.0)</f>
        <v>0</v>
      </c>
      <c r="AJ239" s="3">
        <f>IFERROR(__xludf.DUMMYFUNCTION("""COMPUTED_VALUE"""),0.0)</f>
        <v>0</v>
      </c>
      <c r="AK239" s="3">
        <f>IFERROR(__xludf.DUMMYFUNCTION("""COMPUTED_VALUE"""),0.0)</f>
        <v>0</v>
      </c>
      <c r="AL239" s="3">
        <f>IFERROR(__xludf.DUMMYFUNCTION("""COMPUTED_VALUE"""),0.0)</f>
        <v>0</v>
      </c>
      <c r="AM239" s="3">
        <f>IFERROR(__xludf.DUMMYFUNCTION("""COMPUTED_VALUE"""),0.0)</f>
        <v>0</v>
      </c>
      <c r="AN239" s="3">
        <f>IFERROR(__xludf.DUMMYFUNCTION("""COMPUTED_VALUE"""),0.0)</f>
        <v>0</v>
      </c>
      <c r="AO239" s="3">
        <f>IFERROR(__xludf.DUMMYFUNCTION("""COMPUTED_VALUE"""),0.0)</f>
        <v>0</v>
      </c>
      <c r="AP239" s="3">
        <f>IFERROR(__xludf.DUMMYFUNCTION("""COMPUTED_VALUE"""),0.0)</f>
        <v>0</v>
      </c>
      <c r="AQ239" s="3">
        <f>IFERROR(__xludf.DUMMYFUNCTION("""COMPUTED_VALUE"""),0.0)</f>
        <v>0</v>
      </c>
      <c r="AR239" s="3">
        <f>IFERROR(__xludf.DUMMYFUNCTION("""COMPUTED_VALUE"""),0.0)</f>
        <v>0</v>
      </c>
      <c r="AS239" s="3">
        <f>IFERROR(__xludf.DUMMYFUNCTION("""COMPUTED_VALUE"""),0.0)</f>
        <v>0</v>
      </c>
      <c r="AT239" s="3">
        <f>IFERROR(__xludf.DUMMYFUNCTION("""COMPUTED_VALUE"""),0.0)</f>
        <v>0</v>
      </c>
      <c r="AU239" s="3">
        <f>IFERROR(__xludf.DUMMYFUNCTION("""COMPUTED_VALUE"""),0.0)</f>
        <v>0</v>
      </c>
      <c r="AV239" s="3">
        <f>IFERROR(__xludf.DUMMYFUNCTION("""COMPUTED_VALUE"""),0.0)</f>
        <v>0</v>
      </c>
      <c r="AW239" s="3">
        <f>IFERROR(__xludf.DUMMYFUNCTION("""COMPUTED_VALUE"""),0.0)</f>
        <v>0</v>
      </c>
      <c r="AX239" s="3">
        <f>IFERROR(__xludf.DUMMYFUNCTION("""COMPUTED_VALUE"""),0.0)</f>
        <v>0</v>
      </c>
      <c r="AY239" s="3">
        <f>IFERROR(__xludf.DUMMYFUNCTION("""COMPUTED_VALUE"""),0.0)</f>
        <v>0</v>
      </c>
      <c r="AZ239" s="3">
        <f>IFERROR(__xludf.DUMMYFUNCTION("""COMPUTED_VALUE"""),0.0)</f>
        <v>0</v>
      </c>
      <c r="BA239" s="3">
        <f>IFERROR(__xludf.DUMMYFUNCTION("""COMPUTED_VALUE"""),0.0)</f>
        <v>0</v>
      </c>
      <c r="BB239" s="3">
        <f>IFERROR(__xludf.DUMMYFUNCTION("""COMPUTED_VALUE"""),0.0)</f>
        <v>0</v>
      </c>
      <c r="BC239" s="3">
        <f>IFERROR(__xludf.DUMMYFUNCTION("""COMPUTED_VALUE"""),0.0)</f>
        <v>0</v>
      </c>
      <c r="BD239" s="3">
        <f>IFERROR(__xludf.DUMMYFUNCTION("""COMPUTED_VALUE"""),0.0)</f>
        <v>0</v>
      </c>
      <c r="BE239" s="3">
        <f>IFERROR(__xludf.DUMMYFUNCTION("""COMPUTED_VALUE"""),0.0)</f>
        <v>0</v>
      </c>
      <c r="BF239" s="3">
        <f>IFERROR(__xludf.DUMMYFUNCTION("""COMPUTED_VALUE"""),0.0)</f>
        <v>0</v>
      </c>
      <c r="BG239" s="3">
        <f>IFERROR(__xludf.DUMMYFUNCTION("""COMPUTED_VALUE"""),0.0)</f>
        <v>0</v>
      </c>
      <c r="BH239" s="3">
        <f>IFERROR(__xludf.DUMMYFUNCTION("""COMPUTED_VALUE"""),0.0)</f>
        <v>0</v>
      </c>
      <c r="BI239" s="3">
        <f>IFERROR(__xludf.DUMMYFUNCTION("""COMPUTED_VALUE"""),0.0)</f>
        <v>0</v>
      </c>
      <c r="BJ239" s="3">
        <f>IFERROR(__xludf.DUMMYFUNCTION("""COMPUTED_VALUE"""),0.0)</f>
        <v>0</v>
      </c>
      <c r="BK239" s="3">
        <f>IFERROR(__xludf.DUMMYFUNCTION("""COMPUTED_VALUE"""),0.0)</f>
        <v>0</v>
      </c>
      <c r="BL239" s="3">
        <f>IFERROR(__xludf.DUMMYFUNCTION("""COMPUTED_VALUE"""),0.0)</f>
        <v>0</v>
      </c>
      <c r="BM239" s="3">
        <f>IFERROR(__xludf.DUMMYFUNCTION("""COMPUTED_VALUE"""),0.0)</f>
        <v>0</v>
      </c>
      <c r="BN239" s="3">
        <f>IFERROR(__xludf.DUMMYFUNCTION("""COMPUTED_VALUE"""),0.0)</f>
        <v>0</v>
      </c>
      <c r="BO239" s="3">
        <f>IFERROR(__xludf.DUMMYFUNCTION("""COMPUTED_VALUE"""),0.0)</f>
        <v>0</v>
      </c>
      <c r="BP239" s="3">
        <f>IFERROR(__xludf.DUMMYFUNCTION("""COMPUTED_VALUE"""),0.0)</f>
        <v>0</v>
      </c>
      <c r="BQ239" s="3">
        <f>IFERROR(__xludf.DUMMYFUNCTION("""COMPUTED_VALUE"""),0.0)</f>
        <v>0</v>
      </c>
      <c r="BR239" s="3">
        <f>IFERROR(__xludf.DUMMYFUNCTION("""COMPUTED_VALUE"""),0.0)</f>
        <v>0</v>
      </c>
      <c r="BS239" s="3">
        <f>IFERROR(__xludf.DUMMYFUNCTION("""COMPUTED_VALUE"""),0.0)</f>
        <v>0</v>
      </c>
      <c r="BT239" s="3">
        <f>IFERROR(__xludf.DUMMYFUNCTION("""COMPUTED_VALUE"""),0.0)</f>
        <v>0</v>
      </c>
      <c r="BU239" s="3">
        <f>IFERROR(__xludf.DUMMYFUNCTION("""COMPUTED_VALUE"""),0.0)</f>
        <v>0</v>
      </c>
      <c r="BV239" s="3">
        <f>IFERROR(__xludf.DUMMYFUNCTION("""COMPUTED_VALUE"""),0.0)</f>
        <v>0</v>
      </c>
      <c r="BW239" s="3">
        <f>IFERROR(__xludf.DUMMYFUNCTION("""COMPUTED_VALUE"""),0.0)</f>
        <v>0</v>
      </c>
      <c r="BX239" s="3">
        <f>IFERROR(__xludf.DUMMYFUNCTION("""COMPUTED_VALUE"""),0.0)</f>
        <v>0</v>
      </c>
      <c r="BY239" s="3">
        <f>IFERROR(__xludf.DUMMYFUNCTION("""COMPUTED_VALUE"""),0.0)</f>
        <v>0</v>
      </c>
      <c r="BZ239" s="3">
        <f>IFERROR(__xludf.DUMMYFUNCTION("""COMPUTED_VALUE"""),0.0)</f>
        <v>0</v>
      </c>
      <c r="CA239" s="3">
        <f>IFERROR(__xludf.DUMMYFUNCTION("""COMPUTED_VALUE"""),0.0)</f>
        <v>0</v>
      </c>
      <c r="CB239" s="3">
        <f>IFERROR(__xludf.DUMMYFUNCTION("""COMPUTED_VALUE"""),1.0)</f>
        <v>1</v>
      </c>
    </row>
    <row r="240">
      <c r="A240" s="3" t="str">
        <f>IFERROR(__xludf.DUMMYFUNCTION("""COMPUTED_VALUE"""),"Recovered")</f>
        <v>Recovered</v>
      </c>
      <c r="B240" s="3" t="str">
        <f>IFERROR(__xludf.DUMMYFUNCTION("""COMPUTED_VALUE"""),"Canada")</f>
        <v>Canada</v>
      </c>
      <c r="C240" s="3">
        <f>IFERROR(__xludf.DUMMYFUNCTION("""COMPUTED_VALUE"""),0.0)</f>
        <v>0</v>
      </c>
      <c r="D240" s="3">
        <f>IFERROR(__xludf.DUMMYFUNCTION("""COMPUTED_VALUE"""),0.0)</f>
        <v>0</v>
      </c>
      <c r="E240" s="3">
        <f>IFERROR(__xludf.DUMMYFUNCTION("""COMPUTED_VALUE"""),0.0)</f>
        <v>0</v>
      </c>
      <c r="F240" s="3">
        <f>IFERROR(__xludf.DUMMYFUNCTION("""COMPUTED_VALUE"""),0.0)</f>
        <v>0</v>
      </c>
      <c r="G240" s="3">
        <f>IFERROR(__xludf.DUMMYFUNCTION("""COMPUTED_VALUE"""),0.0)</f>
        <v>0</v>
      </c>
      <c r="H240" s="3">
        <f>IFERROR(__xludf.DUMMYFUNCTION("""COMPUTED_VALUE"""),0.0)</f>
        <v>0</v>
      </c>
      <c r="I240" s="3">
        <f>IFERROR(__xludf.DUMMYFUNCTION("""COMPUTED_VALUE"""),0.0)</f>
        <v>0</v>
      </c>
      <c r="J240" s="3">
        <f>IFERROR(__xludf.DUMMYFUNCTION("""COMPUTED_VALUE"""),0.0)</f>
        <v>0</v>
      </c>
      <c r="K240" s="3">
        <f>IFERROR(__xludf.DUMMYFUNCTION("""COMPUTED_VALUE"""),0.0)</f>
        <v>0</v>
      </c>
      <c r="L240" s="3">
        <f>IFERROR(__xludf.DUMMYFUNCTION("""COMPUTED_VALUE"""),0.0)</f>
        <v>0</v>
      </c>
      <c r="M240" s="3">
        <f>IFERROR(__xludf.DUMMYFUNCTION("""COMPUTED_VALUE"""),0.0)</f>
        <v>0</v>
      </c>
      <c r="N240" s="3">
        <f>IFERROR(__xludf.DUMMYFUNCTION("""COMPUTED_VALUE"""),0.0)</f>
        <v>0</v>
      </c>
      <c r="O240" s="3">
        <f>IFERROR(__xludf.DUMMYFUNCTION("""COMPUTED_VALUE"""),0.0)</f>
        <v>0</v>
      </c>
      <c r="P240" s="3">
        <f>IFERROR(__xludf.DUMMYFUNCTION("""COMPUTED_VALUE"""),0.0)</f>
        <v>0</v>
      </c>
      <c r="Q240" s="3">
        <f>IFERROR(__xludf.DUMMYFUNCTION("""COMPUTED_VALUE"""),0.0)</f>
        <v>0</v>
      </c>
      <c r="R240" s="3">
        <f>IFERROR(__xludf.DUMMYFUNCTION("""COMPUTED_VALUE"""),0.0)</f>
        <v>0</v>
      </c>
      <c r="S240" s="3">
        <f>IFERROR(__xludf.DUMMYFUNCTION("""COMPUTED_VALUE"""),0.0)</f>
        <v>0</v>
      </c>
      <c r="T240" s="3">
        <f>IFERROR(__xludf.DUMMYFUNCTION("""COMPUTED_VALUE"""),0.0)</f>
        <v>0</v>
      </c>
      <c r="U240" s="3">
        <f>IFERROR(__xludf.DUMMYFUNCTION("""COMPUTED_VALUE"""),0.0)</f>
        <v>0</v>
      </c>
      <c r="V240" s="3">
        <f>IFERROR(__xludf.DUMMYFUNCTION("""COMPUTED_VALUE"""),0.0)</f>
        <v>0</v>
      </c>
      <c r="W240" s="3">
        <f>IFERROR(__xludf.DUMMYFUNCTION("""COMPUTED_VALUE"""),0.0)</f>
        <v>0</v>
      </c>
      <c r="X240" s="3">
        <f>IFERROR(__xludf.DUMMYFUNCTION("""COMPUTED_VALUE"""),0.0)</f>
        <v>0</v>
      </c>
      <c r="Y240" s="3">
        <f>IFERROR(__xludf.DUMMYFUNCTION("""COMPUTED_VALUE"""),0.0)</f>
        <v>0</v>
      </c>
      <c r="Z240" s="3">
        <f>IFERROR(__xludf.DUMMYFUNCTION("""COMPUTED_VALUE"""),0.0)</f>
        <v>0</v>
      </c>
      <c r="AA240" s="3">
        <f>IFERROR(__xludf.DUMMYFUNCTION("""COMPUTED_VALUE"""),0.0)</f>
        <v>0</v>
      </c>
      <c r="AB240" s="3">
        <f>IFERROR(__xludf.DUMMYFUNCTION("""COMPUTED_VALUE"""),0.0)</f>
        <v>0</v>
      </c>
      <c r="AC240" s="3">
        <f>IFERROR(__xludf.DUMMYFUNCTION("""COMPUTED_VALUE"""),0.0)</f>
        <v>0</v>
      </c>
      <c r="AD240" s="3">
        <f>IFERROR(__xludf.DUMMYFUNCTION("""COMPUTED_VALUE"""),0.0)</f>
        <v>0</v>
      </c>
      <c r="AE240" s="3">
        <f>IFERROR(__xludf.DUMMYFUNCTION("""COMPUTED_VALUE"""),0.0)</f>
        <v>0</v>
      </c>
      <c r="AF240" s="3">
        <f>IFERROR(__xludf.DUMMYFUNCTION("""COMPUTED_VALUE"""),0.0)</f>
        <v>0</v>
      </c>
      <c r="AG240" s="3">
        <f>IFERROR(__xludf.DUMMYFUNCTION("""COMPUTED_VALUE"""),0.0)</f>
        <v>0</v>
      </c>
      <c r="AH240" s="3">
        <f>IFERROR(__xludf.DUMMYFUNCTION("""COMPUTED_VALUE"""),0.0)</f>
        <v>0</v>
      </c>
      <c r="AI240" s="3">
        <f>IFERROR(__xludf.DUMMYFUNCTION("""COMPUTED_VALUE"""),0.0)</f>
        <v>0</v>
      </c>
      <c r="AJ240" s="3">
        <f>IFERROR(__xludf.DUMMYFUNCTION("""COMPUTED_VALUE"""),0.0)</f>
        <v>0</v>
      </c>
      <c r="AK240" s="3">
        <f>IFERROR(__xludf.DUMMYFUNCTION("""COMPUTED_VALUE"""),0.0)</f>
        <v>0</v>
      </c>
      <c r="AL240" s="3">
        <f>IFERROR(__xludf.DUMMYFUNCTION("""COMPUTED_VALUE"""),0.0)</f>
        <v>0</v>
      </c>
      <c r="AM240" s="3">
        <f>IFERROR(__xludf.DUMMYFUNCTION("""COMPUTED_VALUE"""),0.0)</f>
        <v>0</v>
      </c>
      <c r="AN240" s="3">
        <f>IFERROR(__xludf.DUMMYFUNCTION("""COMPUTED_VALUE"""),0.0)</f>
        <v>0</v>
      </c>
      <c r="AO240" s="3">
        <f>IFERROR(__xludf.DUMMYFUNCTION("""COMPUTED_VALUE"""),0.0)</f>
        <v>0</v>
      </c>
      <c r="AP240" s="3">
        <f>IFERROR(__xludf.DUMMYFUNCTION("""COMPUTED_VALUE"""),0.0)</f>
        <v>0</v>
      </c>
      <c r="AQ240" s="3">
        <f>IFERROR(__xludf.DUMMYFUNCTION("""COMPUTED_VALUE"""),0.0)</f>
        <v>0</v>
      </c>
      <c r="AR240" s="3">
        <f>IFERROR(__xludf.DUMMYFUNCTION("""COMPUTED_VALUE"""),0.0)</f>
        <v>0</v>
      </c>
      <c r="AS240" s="3">
        <f>IFERROR(__xludf.DUMMYFUNCTION("""COMPUTED_VALUE"""),0.0)</f>
        <v>0</v>
      </c>
      <c r="AT240" s="3">
        <f>IFERROR(__xludf.DUMMYFUNCTION("""COMPUTED_VALUE"""),0.0)</f>
        <v>0</v>
      </c>
      <c r="AU240" s="3">
        <f>IFERROR(__xludf.DUMMYFUNCTION("""COMPUTED_VALUE"""),0.0)</f>
        <v>0</v>
      </c>
      <c r="AV240" s="3">
        <f>IFERROR(__xludf.DUMMYFUNCTION("""COMPUTED_VALUE"""),0.0)</f>
        <v>0</v>
      </c>
      <c r="AW240" s="3">
        <f>IFERROR(__xludf.DUMMYFUNCTION("""COMPUTED_VALUE"""),0.0)</f>
        <v>0</v>
      </c>
      <c r="AX240" s="3">
        <f>IFERROR(__xludf.DUMMYFUNCTION("""COMPUTED_VALUE"""),0.0)</f>
        <v>0</v>
      </c>
      <c r="AY240" s="3">
        <f>IFERROR(__xludf.DUMMYFUNCTION("""COMPUTED_VALUE"""),0.0)</f>
        <v>0</v>
      </c>
      <c r="AZ240" s="3">
        <f>IFERROR(__xludf.DUMMYFUNCTION("""COMPUTED_VALUE"""),0.0)</f>
        <v>0</v>
      </c>
      <c r="BA240" s="3">
        <f>IFERROR(__xludf.DUMMYFUNCTION("""COMPUTED_VALUE"""),0.0)</f>
        <v>0</v>
      </c>
      <c r="BB240" s="3">
        <f>IFERROR(__xludf.DUMMYFUNCTION("""COMPUTED_VALUE"""),0.0)</f>
        <v>0</v>
      </c>
      <c r="BC240" s="3">
        <f>IFERROR(__xludf.DUMMYFUNCTION("""COMPUTED_VALUE"""),0.0)</f>
        <v>0</v>
      </c>
      <c r="BD240" s="3">
        <f>IFERROR(__xludf.DUMMYFUNCTION("""COMPUTED_VALUE"""),0.0)</f>
        <v>0</v>
      </c>
      <c r="BE240" s="3">
        <f>IFERROR(__xludf.DUMMYFUNCTION("""COMPUTED_VALUE"""),0.0)</f>
        <v>0</v>
      </c>
      <c r="BF240" s="3">
        <f>IFERROR(__xludf.DUMMYFUNCTION("""COMPUTED_VALUE"""),0.0)</f>
        <v>0</v>
      </c>
      <c r="BG240" s="3">
        <f>IFERROR(__xludf.DUMMYFUNCTION("""COMPUTED_VALUE"""),0.0)</f>
        <v>0</v>
      </c>
      <c r="BH240" s="3">
        <f>IFERROR(__xludf.DUMMYFUNCTION("""COMPUTED_VALUE"""),0.0)</f>
        <v>0</v>
      </c>
      <c r="BI240" s="3">
        <f>IFERROR(__xludf.DUMMYFUNCTION("""COMPUTED_VALUE"""),0.0)</f>
        <v>0</v>
      </c>
      <c r="BJ240" s="3">
        <f>IFERROR(__xludf.DUMMYFUNCTION("""COMPUTED_VALUE"""),0.0)</f>
        <v>0</v>
      </c>
      <c r="BK240" s="3">
        <f>IFERROR(__xludf.DUMMYFUNCTION("""COMPUTED_VALUE"""),0.0)</f>
        <v>0</v>
      </c>
      <c r="BL240" s="3">
        <f>IFERROR(__xludf.DUMMYFUNCTION("""COMPUTED_VALUE"""),0.0)</f>
        <v>0</v>
      </c>
      <c r="BM240" s="3">
        <f>IFERROR(__xludf.DUMMYFUNCTION("""COMPUTED_VALUE"""),0.0)</f>
        <v>0</v>
      </c>
      <c r="BN240" s="3">
        <f>IFERROR(__xludf.DUMMYFUNCTION("""COMPUTED_VALUE"""),0.0)</f>
        <v>0</v>
      </c>
      <c r="BO240" s="3">
        <f>IFERROR(__xludf.DUMMYFUNCTION("""COMPUTED_VALUE"""),0.0)</f>
        <v>0</v>
      </c>
      <c r="BP240" s="3">
        <f>IFERROR(__xludf.DUMMYFUNCTION("""COMPUTED_VALUE"""),0.0)</f>
        <v>0</v>
      </c>
      <c r="BQ240" s="3">
        <f>IFERROR(__xludf.DUMMYFUNCTION("""COMPUTED_VALUE"""),0.0)</f>
        <v>0</v>
      </c>
      <c r="BR240" s="3">
        <f>IFERROR(__xludf.DUMMYFUNCTION("""COMPUTED_VALUE"""),0.0)</f>
        <v>0</v>
      </c>
      <c r="BS240" s="3">
        <f>IFERROR(__xludf.DUMMYFUNCTION("""COMPUTED_VALUE"""),0.0)</f>
        <v>0</v>
      </c>
      <c r="BT240" s="3">
        <f>IFERROR(__xludf.DUMMYFUNCTION("""COMPUTED_VALUE"""),0.0)</f>
        <v>0</v>
      </c>
      <c r="BU240" s="3">
        <f>IFERROR(__xludf.DUMMYFUNCTION("""COMPUTED_VALUE"""),0.0)</f>
        <v>0</v>
      </c>
      <c r="BV240" s="3">
        <f>IFERROR(__xludf.DUMMYFUNCTION("""COMPUTED_VALUE"""),0.0)</f>
        <v>0</v>
      </c>
      <c r="BW240" s="3">
        <f>IFERROR(__xludf.DUMMYFUNCTION("""COMPUTED_VALUE"""),0.0)</f>
        <v>0</v>
      </c>
      <c r="BX240" s="3">
        <f>IFERROR(__xludf.DUMMYFUNCTION("""COMPUTED_VALUE"""),0.0)</f>
        <v>0</v>
      </c>
      <c r="BY240" s="3">
        <f>IFERROR(__xludf.DUMMYFUNCTION("""COMPUTED_VALUE"""),0.0)</f>
        <v>0</v>
      </c>
      <c r="BZ240" s="3">
        <f>IFERROR(__xludf.DUMMYFUNCTION("""COMPUTED_VALUE"""),0.0)</f>
        <v>0</v>
      </c>
      <c r="CA240" s="3">
        <f>IFERROR(__xludf.DUMMYFUNCTION("""COMPUTED_VALUE"""),0.0)</f>
        <v>0</v>
      </c>
      <c r="CB240" s="3">
        <f>IFERROR(__xludf.DUMMYFUNCTION("""COMPUTED_VALUE"""),0.0)</f>
        <v>0</v>
      </c>
    </row>
    <row r="241">
      <c r="A241" s="3" t="str">
        <f>IFERROR(__xludf.DUMMYFUNCTION("""COMPUTED_VALUE"""),"")</f>
        <v/>
      </c>
      <c r="B241" s="3" t="str">
        <f>IFERROR(__xludf.DUMMYFUNCTION("""COMPUTED_VALUE"""),"Laos")</f>
        <v>Laos</v>
      </c>
      <c r="C241" s="3">
        <f>IFERROR(__xludf.DUMMYFUNCTION("""COMPUTED_VALUE"""),19.85627)</f>
        <v>19.85627</v>
      </c>
      <c r="D241" s="3">
        <f>IFERROR(__xludf.DUMMYFUNCTION("""COMPUTED_VALUE"""),102.495496)</f>
        <v>102.495496</v>
      </c>
      <c r="E241" s="3">
        <f>IFERROR(__xludf.DUMMYFUNCTION("""COMPUTED_VALUE"""),0.0)</f>
        <v>0</v>
      </c>
      <c r="F241" s="3">
        <f>IFERROR(__xludf.DUMMYFUNCTION("""COMPUTED_VALUE"""),0.0)</f>
        <v>0</v>
      </c>
      <c r="G241" s="3">
        <f>IFERROR(__xludf.DUMMYFUNCTION("""COMPUTED_VALUE"""),0.0)</f>
        <v>0</v>
      </c>
      <c r="H241" s="3">
        <f>IFERROR(__xludf.DUMMYFUNCTION("""COMPUTED_VALUE"""),0.0)</f>
        <v>0</v>
      </c>
      <c r="I241" s="3">
        <f>IFERROR(__xludf.DUMMYFUNCTION("""COMPUTED_VALUE"""),0.0)</f>
        <v>0</v>
      </c>
      <c r="J241" s="3">
        <f>IFERROR(__xludf.DUMMYFUNCTION("""COMPUTED_VALUE"""),0.0)</f>
        <v>0</v>
      </c>
      <c r="K241" s="3">
        <f>IFERROR(__xludf.DUMMYFUNCTION("""COMPUTED_VALUE"""),0.0)</f>
        <v>0</v>
      </c>
      <c r="L241" s="3">
        <f>IFERROR(__xludf.DUMMYFUNCTION("""COMPUTED_VALUE"""),0.0)</f>
        <v>0</v>
      </c>
      <c r="M241" s="3">
        <f>IFERROR(__xludf.DUMMYFUNCTION("""COMPUTED_VALUE"""),0.0)</f>
        <v>0</v>
      </c>
      <c r="N241" s="3">
        <f>IFERROR(__xludf.DUMMYFUNCTION("""COMPUTED_VALUE"""),0.0)</f>
        <v>0</v>
      </c>
      <c r="O241" s="3">
        <f>IFERROR(__xludf.DUMMYFUNCTION("""COMPUTED_VALUE"""),0.0)</f>
        <v>0</v>
      </c>
      <c r="P241" s="3">
        <f>IFERROR(__xludf.DUMMYFUNCTION("""COMPUTED_VALUE"""),0.0)</f>
        <v>0</v>
      </c>
      <c r="Q241" s="3">
        <f>IFERROR(__xludf.DUMMYFUNCTION("""COMPUTED_VALUE"""),0.0)</f>
        <v>0</v>
      </c>
      <c r="R241" s="3">
        <f>IFERROR(__xludf.DUMMYFUNCTION("""COMPUTED_VALUE"""),0.0)</f>
        <v>0</v>
      </c>
      <c r="S241" s="3">
        <f>IFERROR(__xludf.DUMMYFUNCTION("""COMPUTED_VALUE"""),0.0)</f>
        <v>0</v>
      </c>
      <c r="T241" s="3">
        <f>IFERROR(__xludf.DUMMYFUNCTION("""COMPUTED_VALUE"""),0.0)</f>
        <v>0</v>
      </c>
      <c r="U241" s="3">
        <f>IFERROR(__xludf.DUMMYFUNCTION("""COMPUTED_VALUE"""),0.0)</f>
        <v>0</v>
      </c>
      <c r="V241" s="3">
        <f>IFERROR(__xludf.DUMMYFUNCTION("""COMPUTED_VALUE"""),0.0)</f>
        <v>0</v>
      </c>
      <c r="W241" s="3">
        <f>IFERROR(__xludf.DUMMYFUNCTION("""COMPUTED_VALUE"""),0.0)</f>
        <v>0</v>
      </c>
      <c r="X241" s="3">
        <f>IFERROR(__xludf.DUMMYFUNCTION("""COMPUTED_VALUE"""),0.0)</f>
        <v>0</v>
      </c>
      <c r="Y241" s="3">
        <f>IFERROR(__xludf.DUMMYFUNCTION("""COMPUTED_VALUE"""),0.0)</f>
        <v>0</v>
      </c>
      <c r="Z241" s="3">
        <f>IFERROR(__xludf.DUMMYFUNCTION("""COMPUTED_VALUE"""),0.0)</f>
        <v>0</v>
      </c>
      <c r="AA241" s="3">
        <f>IFERROR(__xludf.DUMMYFUNCTION("""COMPUTED_VALUE"""),0.0)</f>
        <v>0</v>
      </c>
      <c r="AB241" s="3">
        <f>IFERROR(__xludf.DUMMYFUNCTION("""COMPUTED_VALUE"""),0.0)</f>
        <v>0</v>
      </c>
      <c r="AC241" s="3">
        <f>IFERROR(__xludf.DUMMYFUNCTION("""COMPUTED_VALUE"""),0.0)</f>
        <v>0</v>
      </c>
      <c r="AD241" s="3">
        <f>IFERROR(__xludf.DUMMYFUNCTION("""COMPUTED_VALUE"""),0.0)</f>
        <v>0</v>
      </c>
      <c r="AE241" s="3">
        <f>IFERROR(__xludf.DUMMYFUNCTION("""COMPUTED_VALUE"""),0.0)</f>
        <v>0</v>
      </c>
      <c r="AF241" s="3">
        <f>IFERROR(__xludf.DUMMYFUNCTION("""COMPUTED_VALUE"""),0.0)</f>
        <v>0</v>
      </c>
      <c r="AG241" s="3">
        <f>IFERROR(__xludf.DUMMYFUNCTION("""COMPUTED_VALUE"""),0.0)</f>
        <v>0</v>
      </c>
      <c r="AH241" s="3">
        <f>IFERROR(__xludf.DUMMYFUNCTION("""COMPUTED_VALUE"""),0.0)</f>
        <v>0</v>
      </c>
      <c r="AI241" s="3">
        <f>IFERROR(__xludf.DUMMYFUNCTION("""COMPUTED_VALUE"""),0.0)</f>
        <v>0</v>
      </c>
      <c r="AJ241" s="3">
        <f>IFERROR(__xludf.DUMMYFUNCTION("""COMPUTED_VALUE"""),0.0)</f>
        <v>0</v>
      </c>
      <c r="AK241" s="3">
        <f>IFERROR(__xludf.DUMMYFUNCTION("""COMPUTED_VALUE"""),0.0)</f>
        <v>0</v>
      </c>
      <c r="AL241" s="3">
        <f>IFERROR(__xludf.DUMMYFUNCTION("""COMPUTED_VALUE"""),0.0)</f>
        <v>0</v>
      </c>
      <c r="AM241" s="3">
        <f>IFERROR(__xludf.DUMMYFUNCTION("""COMPUTED_VALUE"""),0.0)</f>
        <v>0</v>
      </c>
      <c r="AN241" s="3">
        <f>IFERROR(__xludf.DUMMYFUNCTION("""COMPUTED_VALUE"""),0.0)</f>
        <v>0</v>
      </c>
      <c r="AO241" s="3">
        <f>IFERROR(__xludf.DUMMYFUNCTION("""COMPUTED_VALUE"""),0.0)</f>
        <v>0</v>
      </c>
      <c r="AP241" s="3">
        <f>IFERROR(__xludf.DUMMYFUNCTION("""COMPUTED_VALUE"""),0.0)</f>
        <v>0</v>
      </c>
      <c r="AQ241" s="3">
        <f>IFERROR(__xludf.DUMMYFUNCTION("""COMPUTED_VALUE"""),0.0)</f>
        <v>0</v>
      </c>
      <c r="AR241" s="3">
        <f>IFERROR(__xludf.DUMMYFUNCTION("""COMPUTED_VALUE"""),0.0)</f>
        <v>0</v>
      </c>
      <c r="AS241" s="3">
        <f>IFERROR(__xludf.DUMMYFUNCTION("""COMPUTED_VALUE"""),0.0)</f>
        <v>0</v>
      </c>
      <c r="AT241" s="3">
        <f>IFERROR(__xludf.DUMMYFUNCTION("""COMPUTED_VALUE"""),0.0)</f>
        <v>0</v>
      </c>
      <c r="AU241" s="3">
        <f>IFERROR(__xludf.DUMMYFUNCTION("""COMPUTED_VALUE"""),0.0)</f>
        <v>0</v>
      </c>
      <c r="AV241" s="3">
        <f>IFERROR(__xludf.DUMMYFUNCTION("""COMPUTED_VALUE"""),0.0)</f>
        <v>0</v>
      </c>
      <c r="AW241" s="3">
        <f>IFERROR(__xludf.DUMMYFUNCTION("""COMPUTED_VALUE"""),0.0)</f>
        <v>0</v>
      </c>
      <c r="AX241" s="3">
        <f>IFERROR(__xludf.DUMMYFUNCTION("""COMPUTED_VALUE"""),0.0)</f>
        <v>0</v>
      </c>
      <c r="AY241" s="3">
        <f>IFERROR(__xludf.DUMMYFUNCTION("""COMPUTED_VALUE"""),0.0)</f>
        <v>0</v>
      </c>
      <c r="AZ241" s="3">
        <f>IFERROR(__xludf.DUMMYFUNCTION("""COMPUTED_VALUE"""),0.0)</f>
        <v>0</v>
      </c>
      <c r="BA241" s="3">
        <f>IFERROR(__xludf.DUMMYFUNCTION("""COMPUTED_VALUE"""),0.0)</f>
        <v>0</v>
      </c>
      <c r="BB241" s="3">
        <f>IFERROR(__xludf.DUMMYFUNCTION("""COMPUTED_VALUE"""),0.0)</f>
        <v>0</v>
      </c>
      <c r="BC241" s="3">
        <f>IFERROR(__xludf.DUMMYFUNCTION("""COMPUTED_VALUE"""),0.0)</f>
        <v>0</v>
      </c>
      <c r="BD241" s="3">
        <f>IFERROR(__xludf.DUMMYFUNCTION("""COMPUTED_VALUE"""),0.0)</f>
        <v>0</v>
      </c>
      <c r="BE241" s="3">
        <f>IFERROR(__xludf.DUMMYFUNCTION("""COMPUTED_VALUE"""),0.0)</f>
        <v>0</v>
      </c>
      <c r="BF241" s="3">
        <f>IFERROR(__xludf.DUMMYFUNCTION("""COMPUTED_VALUE"""),0.0)</f>
        <v>0</v>
      </c>
      <c r="BG241" s="3">
        <f>IFERROR(__xludf.DUMMYFUNCTION("""COMPUTED_VALUE"""),0.0)</f>
        <v>0</v>
      </c>
      <c r="BH241" s="3">
        <f>IFERROR(__xludf.DUMMYFUNCTION("""COMPUTED_VALUE"""),0.0)</f>
        <v>0</v>
      </c>
      <c r="BI241" s="3">
        <f>IFERROR(__xludf.DUMMYFUNCTION("""COMPUTED_VALUE"""),0.0)</f>
        <v>0</v>
      </c>
      <c r="BJ241" s="3">
        <f>IFERROR(__xludf.DUMMYFUNCTION("""COMPUTED_VALUE"""),0.0)</f>
        <v>0</v>
      </c>
      <c r="BK241" s="3">
        <f>IFERROR(__xludf.DUMMYFUNCTION("""COMPUTED_VALUE"""),0.0)</f>
        <v>0</v>
      </c>
      <c r="BL241" s="3">
        <f>IFERROR(__xludf.DUMMYFUNCTION("""COMPUTED_VALUE"""),0.0)</f>
        <v>0</v>
      </c>
      <c r="BM241" s="3">
        <f>IFERROR(__xludf.DUMMYFUNCTION("""COMPUTED_VALUE"""),0.0)</f>
        <v>0</v>
      </c>
      <c r="BN241" s="3">
        <f>IFERROR(__xludf.DUMMYFUNCTION("""COMPUTED_VALUE"""),0.0)</f>
        <v>0</v>
      </c>
      <c r="BO241" s="3">
        <f>IFERROR(__xludf.DUMMYFUNCTION("""COMPUTED_VALUE"""),0.0)</f>
        <v>0</v>
      </c>
      <c r="BP241" s="3">
        <f>IFERROR(__xludf.DUMMYFUNCTION("""COMPUTED_VALUE"""),0.0)</f>
        <v>0</v>
      </c>
      <c r="BQ241" s="3">
        <f>IFERROR(__xludf.DUMMYFUNCTION("""COMPUTED_VALUE"""),0.0)</f>
        <v>0</v>
      </c>
      <c r="BR241" s="3">
        <f>IFERROR(__xludf.DUMMYFUNCTION("""COMPUTED_VALUE"""),0.0)</f>
        <v>0</v>
      </c>
      <c r="BS241" s="3">
        <f>IFERROR(__xludf.DUMMYFUNCTION("""COMPUTED_VALUE"""),0.0)</f>
        <v>0</v>
      </c>
      <c r="BT241" s="3">
        <f>IFERROR(__xludf.DUMMYFUNCTION("""COMPUTED_VALUE"""),0.0)</f>
        <v>0</v>
      </c>
      <c r="BU241" s="3">
        <f>IFERROR(__xludf.DUMMYFUNCTION("""COMPUTED_VALUE"""),0.0)</f>
        <v>0</v>
      </c>
      <c r="BV241" s="3">
        <f>IFERROR(__xludf.DUMMYFUNCTION("""COMPUTED_VALUE"""),0.0)</f>
        <v>0</v>
      </c>
      <c r="BW241" s="3">
        <f>IFERROR(__xludf.DUMMYFUNCTION("""COMPUTED_VALUE"""),0.0)</f>
        <v>0</v>
      </c>
      <c r="BX241" s="3">
        <f>IFERROR(__xludf.DUMMYFUNCTION("""COMPUTED_VALUE"""),0.0)</f>
        <v>0</v>
      </c>
      <c r="BY241" s="3">
        <f>IFERROR(__xludf.DUMMYFUNCTION("""COMPUTED_VALUE"""),0.0)</f>
        <v>0</v>
      </c>
      <c r="BZ241" s="3">
        <f>IFERROR(__xludf.DUMMYFUNCTION("""COMPUTED_VALUE"""),0.0)</f>
        <v>0</v>
      </c>
      <c r="CA241" s="3">
        <f>IFERROR(__xludf.DUMMYFUNCTION("""COMPUTED_VALUE"""),0.0)</f>
        <v>0</v>
      </c>
      <c r="CB241" s="3">
        <f>IFERROR(__xludf.DUMMYFUNCTION("""COMPUTED_VALUE"""),0.0)</f>
        <v>0</v>
      </c>
    </row>
    <row r="242">
      <c r="A242" s="3" t="str">
        <f>IFERROR(__xludf.DUMMYFUNCTION("""COMPUTED_VALUE"""),"")</f>
        <v/>
      </c>
      <c r="B242" s="3" t="str">
        <f>IFERROR(__xludf.DUMMYFUNCTION("""COMPUTED_VALUE"""),"Libya")</f>
        <v>Libya</v>
      </c>
      <c r="C242" s="3">
        <f>IFERROR(__xludf.DUMMYFUNCTION("""COMPUTED_VALUE"""),26.3351)</f>
        <v>26.3351</v>
      </c>
      <c r="D242" s="3">
        <f>IFERROR(__xludf.DUMMYFUNCTION("""COMPUTED_VALUE"""),17.228331)</f>
        <v>17.228331</v>
      </c>
      <c r="E242" s="3">
        <f>IFERROR(__xludf.DUMMYFUNCTION("""COMPUTED_VALUE"""),0.0)</f>
        <v>0</v>
      </c>
      <c r="F242" s="3">
        <f>IFERROR(__xludf.DUMMYFUNCTION("""COMPUTED_VALUE"""),0.0)</f>
        <v>0</v>
      </c>
      <c r="G242" s="3">
        <f>IFERROR(__xludf.DUMMYFUNCTION("""COMPUTED_VALUE"""),0.0)</f>
        <v>0</v>
      </c>
      <c r="H242" s="3">
        <f>IFERROR(__xludf.DUMMYFUNCTION("""COMPUTED_VALUE"""),0.0)</f>
        <v>0</v>
      </c>
      <c r="I242" s="3">
        <f>IFERROR(__xludf.DUMMYFUNCTION("""COMPUTED_VALUE"""),0.0)</f>
        <v>0</v>
      </c>
      <c r="J242" s="3">
        <f>IFERROR(__xludf.DUMMYFUNCTION("""COMPUTED_VALUE"""),0.0)</f>
        <v>0</v>
      </c>
      <c r="K242" s="3">
        <f>IFERROR(__xludf.DUMMYFUNCTION("""COMPUTED_VALUE"""),0.0)</f>
        <v>0</v>
      </c>
      <c r="L242" s="3">
        <f>IFERROR(__xludf.DUMMYFUNCTION("""COMPUTED_VALUE"""),0.0)</f>
        <v>0</v>
      </c>
      <c r="M242" s="3">
        <f>IFERROR(__xludf.DUMMYFUNCTION("""COMPUTED_VALUE"""),0.0)</f>
        <v>0</v>
      </c>
      <c r="N242" s="3">
        <f>IFERROR(__xludf.DUMMYFUNCTION("""COMPUTED_VALUE"""),0.0)</f>
        <v>0</v>
      </c>
      <c r="O242" s="3">
        <f>IFERROR(__xludf.DUMMYFUNCTION("""COMPUTED_VALUE"""),0.0)</f>
        <v>0</v>
      </c>
      <c r="P242" s="3">
        <f>IFERROR(__xludf.DUMMYFUNCTION("""COMPUTED_VALUE"""),0.0)</f>
        <v>0</v>
      </c>
      <c r="Q242" s="3">
        <f>IFERROR(__xludf.DUMMYFUNCTION("""COMPUTED_VALUE"""),0.0)</f>
        <v>0</v>
      </c>
      <c r="R242" s="3">
        <f>IFERROR(__xludf.DUMMYFUNCTION("""COMPUTED_VALUE"""),0.0)</f>
        <v>0</v>
      </c>
      <c r="S242" s="3">
        <f>IFERROR(__xludf.DUMMYFUNCTION("""COMPUTED_VALUE"""),0.0)</f>
        <v>0</v>
      </c>
      <c r="T242" s="3">
        <f>IFERROR(__xludf.DUMMYFUNCTION("""COMPUTED_VALUE"""),0.0)</f>
        <v>0</v>
      </c>
      <c r="U242" s="3">
        <f>IFERROR(__xludf.DUMMYFUNCTION("""COMPUTED_VALUE"""),0.0)</f>
        <v>0</v>
      </c>
      <c r="V242" s="3">
        <f>IFERROR(__xludf.DUMMYFUNCTION("""COMPUTED_VALUE"""),0.0)</f>
        <v>0</v>
      </c>
      <c r="W242" s="3">
        <f>IFERROR(__xludf.DUMMYFUNCTION("""COMPUTED_VALUE"""),0.0)</f>
        <v>0</v>
      </c>
      <c r="X242" s="3">
        <f>IFERROR(__xludf.DUMMYFUNCTION("""COMPUTED_VALUE"""),0.0)</f>
        <v>0</v>
      </c>
      <c r="Y242" s="3">
        <f>IFERROR(__xludf.DUMMYFUNCTION("""COMPUTED_VALUE"""),0.0)</f>
        <v>0</v>
      </c>
      <c r="Z242" s="3">
        <f>IFERROR(__xludf.DUMMYFUNCTION("""COMPUTED_VALUE"""),0.0)</f>
        <v>0</v>
      </c>
      <c r="AA242" s="3">
        <f>IFERROR(__xludf.DUMMYFUNCTION("""COMPUTED_VALUE"""),0.0)</f>
        <v>0</v>
      </c>
      <c r="AB242" s="3">
        <f>IFERROR(__xludf.DUMMYFUNCTION("""COMPUTED_VALUE"""),0.0)</f>
        <v>0</v>
      </c>
      <c r="AC242" s="3">
        <f>IFERROR(__xludf.DUMMYFUNCTION("""COMPUTED_VALUE"""),0.0)</f>
        <v>0</v>
      </c>
      <c r="AD242" s="3">
        <f>IFERROR(__xludf.DUMMYFUNCTION("""COMPUTED_VALUE"""),0.0)</f>
        <v>0</v>
      </c>
      <c r="AE242" s="3">
        <f>IFERROR(__xludf.DUMMYFUNCTION("""COMPUTED_VALUE"""),0.0)</f>
        <v>0</v>
      </c>
      <c r="AF242" s="3">
        <f>IFERROR(__xludf.DUMMYFUNCTION("""COMPUTED_VALUE"""),0.0)</f>
        <v>0</v>
      </c>
      <c r="AG242" s="3">
        <f>IFERROR(__xludf.DUMMYFUNCTION("""COMPUTED_VALUE"""),0.0)</f>
        <v>0</v>
      </c>
      <c r="AH242" s="3">
        <f>IFERROR(__xludf.DUMMYFUNCTION("""COMPUTED_VALUE"""),0.0)</f>
        <v>0</v>
      </c>
      <c r="AI242" s="3">
        <f>IFERROR(__xludf.DUMMYFUNCTION("""COMPUTED_VALUE"""),0.0)</f>
        <v>0</v>
      </c>
      <c r="AJ242" s="3">
        <f>IFERROR(__xludf.DUMMYFUNCTION("""COMPUTED_VALUE"""),0.0)</f>
        <v>0</v>
      </c>
      <c r="AK242" s="3">
        <f>IFERROR(__xludf.DUMMYFUNCTION("""COMPUTED_VALUE"""),0.0)</f>
        <v>0</v>
      </c>
      <c r="AL242" s="3">
        <f>IFERROR(__xludf.DUMMYFUNCTION("""COMPUTED_VALUE"""),0.0)</f>
        <v>0</v>
      </c>
      <c r="AM242" s="3">
        <f>IFERROR(__xludf.DUMMYFUNCTION("""COMPUTED_VALUE"""),0.0)</f>
        <v>0</v>
      </c>
      <c r="AN242" s="3">
        <f>IFERROR(__xludf.DUMMYFUNCTION("""COMPUTED_VALUE"""),0.0)</f>
        <v>0</v>
      </c>
      <c r="AO242" s="3">
        <f>IFERROR(__xludf.DUMMYFUNCTION("""COMPUTED_VALUE"""),0.0)</f>
        <v>0</v>
      </c>
      <c r="AP242" s="3">
        <f>IFERROR(__xludf.DUMMYFUNCTION("""COMPUTED_VALUE"""),0.0)</f>
        <v>0</v>
      </c>
      <c r="AQ242" s="3">
        <f>IFERROR(__xludf.DUMMYFUNCTION("""COMPUTED_VALUE"""),0.0)</f>
        <v>0</v>
      </c>
      <c r="AR242" s="3">
        <f>IFERROR(__xludf.DUMMYFUNCTION("""COMPUTED_VALUE"""),0.0)</f>
        <v>0</v>
      </c>
      <c r="AS242" s="3">
        <f>IFERROR(__xludf.DUMMYFUNCTION("""COMPUTED_VALUE"""),0.0)</f>
        <v>0</v>
      </c>
      <c r="AT242" s="3">
        <f>IFERROR(__xludf.DUMMYFUNCTION("""COMPUTED_VALUE"""),0.0)</f>
        <v>0</v>
      </c>
      <c r="AU242" s="3">
        <f>IFERROR(__xludf.DUMMYFUNCTION("""COMPUTED_VALUE"""),0.0)</f>
        <v>0</v>
      </c>
      <c r="AV242" s="3">
        <f>IFERROR(__xludf.DUMMYFUNCTION("""COMPUTED_VALUE"""),0.0)</f>
        <v>0</v>
      </c>
      <c r="AW242" s="3">
        <f>IFERROR(__xludf.DUMMYFUNCTION("""COMPUTED_VALUE"""),0.0)</f>
        <v>0</v>
      </c>
      <c r="AX242" s="3">
        <f>IFERROR(__xludf.DUMMYFUNCTION("""COMPUTED_VALUE"""),0.0)</f>
        <v>0</v>
      </c>
      <c r="AY242" s="3">
        <f>IFERROR(__xludf.DUMMYFUNCTION("""COMPUTED_VALUE"""),0.0)</f>
        <v>0</v>
      </c>
      <c r="AZ242" s="3">
        <f>IFERROR(__xludf.DUMMYFUNCTION("""COMPUTED_VALUE"""),0.0)</f>
        <v>0</v>
      </c>
      <c r="BA242" s="3">
        <f>IFERROR(__xludf.DUMMYFUNCTION("""COMPUTED_VALUE"""),0.0)</f>
        <v>0</v>
      </c>
      <c r="BB242" s="3">
        <f>IFERROR(__xludf.DUMMYFUNCTION("""COMPUTED_VALUE"""),0.0)</f>
        <v>0</v>
      </c>
      <c r="BC242" s="3">
        <f>IFERROR(__xludf.DUMMYFUNCTION("""COMPUTED_VALUE"""),0.0)</f>
        <v>0</v>
      </c>
      <c r="BD242" s="3">
        <f>IFERROR(__xludf.DUMMYFUNCTION("""COMPUTED_VALUE"""),0.0)</f>
        <v>0</v>
      </c>
      <c r="BE242" s="3">
        <f>IFERROR(__xludf.DUMMYFUNCTION("""COMPUTED_VALUE"""),0.0)</f>
        <v>0</v>
      </c>
      <c r="BF242" s="3">
        <f>IFERROR(__xludf.DUMMYFUNCTION("""COMPUTED_VALUE"""),0.0)</f>
        <v>0</v>
      </c>
      <c r="BG242" s="3">
        <f>IFERROR(__xludf.DUMMYFUNCTION("""COMPUTED_VALUE"""),0.0)</f>
        <v>0</v>
      </c>
      <c r="BH242" s="3">
        <f>IFERROR(__xludf.DUMMYFUNCTION("""COMPUTED_VALUE"""),0.0)</f>
        <v>0</v>
      </c>
      <c r="BI242" s="3">
        <f>IFERROR(__xludf.DUMMYFUNCTION("""COMPUTED_VALUE"""),0.0)</f>
        <v>0</v>
      </c>
      <c r="BJ242" s="3">
        <f>IFERROR(__xludf.DUMMYFUNCTION("""COMPUTED_VALUE"""),0.0)</f>
        <v>0</v>
      </c>
      <c r="BK242" s="3">
        <f>IFERROR(__xludf.DUMMYFUNCTION("""COMPUTED_VALUE"""),0.0)</f>
        <v>0</v>
      </c>
      <c r="BL242" s="3">
        <f>IFERROR(__xludf.DUMMYFUNCTION("""COMPUTED_VALUE"""),0.0)</f>
        <v>0</v>
      </c>
      <c r="BM242" s="3">
        <f>IFERROR(__xludf.DUMMYFUNCTION("""COMPUTED_VALUE"""),0.0)</f>
        <v>0</v>
      </c>
      <c r="BN242" s="3">
        <f>IFERROR(__xludf.DUMMYFUNCTION("""COMPUTED_VALUE"""),0.0)</f>
        <v>0</v>
      </c>
      <c r="BO242" s="3">
        <f>IFERROR(__xludf.DUMMYFUNCTION("""COMPUTED_VALUE"""),0.0)</f>
        <v>0</v>
      </c>
      <c r="BP242" s="3">
        <f>IFERROR(__xludf.DUMMYFUNCTION("""COMPUTED_VALUE"""),0.0)</f>
        <v>0</v>
      </c>
      <c r="BQ242" s="3">
        <f>IFERROR(__xludf.DUMMYFUNCTION("""COMPUTED_VALUE"""),0.0)</f>
        <v>0</v>
      </c>
      <c r="BR242" s="3">
        <f>IFERROR(__xludf.DUMMYFUNCTION("""COMPUTED_VALUE"""),0.0)</f>
        <v>0</v>
      </c>
      <c r="BS242" s="3">
        <f>IFERROR(__xludf.DUMMYFUNCTION("""COMPUTED_VALUE"""),0.0)</f>
        <v>0</v>
      </c>
      <c r="BT242" s="3">
        <f>IFERROR(__xludf.DUMMYFUNCTION("""COMPUTED_VALUE"""),0.0)</f>
        <v>0</v>
      </c>
      <c r="BU242" s="3">
        <f>IFERROR(__xludf.DUMMYFUNCTION("""COMPUTED_VALUE"""),0.0)</f>
        <v>0</v>
      </c>
      <c r="BV242" s="3">
        <f>IFERROR(__xludf.DUMMYFUNCTION("""COMPUTED_VALUE"""),0.0)</f>
        <v>0</v>
      </c>
      <c r="BW242" s="3">
        <f>IFERROR(__xludf.DUMMYFUNCTION("""COMPUTED_VALUE"""),0.0)</f>
        <v>0</v>
      </c>
      <c r="BX242" s="3">
        <f>IFERROR(__xludf.DUMMYFUNCTION("""COMPUTED_VALUE"""),1.0)</f>
        <v>1</v>
      </c>
      <c r="BY242" s="3">
        <f>IFERROR(__xludf.DUMMYFUNCTION("""COMPUTED_VALUE"""),1.0)</f>
        <v>1</v>
      </c>
      <c r="BZ242" s="3">
        <f>IFERROR(__xludf.DUMMYFUNCTION("""COMPUTED_VALUE"""),1.0)</f>
        <v>1</v>
      </c>
      <c r="CA242" s="3">
        <f>IFERROR(__xludf.DUMMYFUNCTION("""COMPUTED_VALUE"""),1.0)</f>
        <v>1</v>
      </c>
      <c r="CB242" s="3">
        <f>IFERROR(__xludf.DUMMYFUNCTION("""COMPUTED_VALUE"""),1.0)</f>
        <v>1</v>
      </c>
    </row>
    <row r="243">
      <c r="A243" s="3" t="str">
        <f>IFERROR(__xludf.DUMMYFUNCTION("""COMPUTED_VALUE"""),"")</f>
        <v/>
      </c>
      <c r="B243" s="3" t="str">
        <f>IFERROR(__xludf.DUMMYFUNCTION("""COMPUTED_VALUE"""),"West Bank and Gaza")</f>
        <v>West Bank and Gaza</v>
      </c>
      <c r="C243" s="3">
        <f>IFERROR(__xludf.DUMMYFUNCTION("""COMPUTED_VALUE"""),31.9522)</f>
        <v>31.9522</v>
      </c>
      <c r="D243" s="3">
        <f>IFERROR(__xludf.DUMMYFUNCTION("""COMPUTED_VALUE"""),35.2332)</f>
        <v>35.2332</v>
      </c>
      <c r="E243" s="3">
        <f>IFERROR(__xludf.DUMMYFUNCTION("""COMPUTED_VALUE"""),0.0)</f>
        <v>0</v>
      </c>
      <c r="F243" s="3">
        <f>IFERROR(__xludf.DUMMYFUNCTION("""COMPUTED_VALUE"""),0.0)</f>
        <v>0</v>
      </c>
      <c r="G243" s="3">
        <f>IFERROR(__xludf.DUMMYFUNCTION("""COMPUTED_VALUE"""),0.0)</f>
        <v>0</v>
      </c>
      <c r="H243" s="3">
        <f>IFERROR(__xludf.DUMMYFUNCTION("""COMPUTED_VALUE"""),0.0)</f>
        <v>0</v>
      </c>
      <c r="I243" s="3">
        <f>IFERROR(__xludf.DUMMYFUNCTION("""COMPUTED_VALUE"""),0.0)</f>
        <v>0</v>
      </c>
      <c r="J243" s="3">
        <f>IFERROR(__xludf.DUMMYFUNCTION("""COMPUTED_VALUE"""),0.0)</f>
        <v>0</v>
      </c>
      <c r="K243" s="3">
        <f>IFERROR(__xludf.DUMMYFUNCTION("""COMPUTED_VALUE"""),0.0)</f>
        <v>0</v>
      </c>
      <c r="L243" s="3">
        <f>IFERROR(__xludf.DUMMYFUNCTION("""COMPUTED_VALUE"""),0.0)</f>
        <v>0</v>
      </c>
      <c r="M243" s="3">
        <f>IFERROR(__xludf.DUMMYFUNCTION("""COMPUTED_VALUE"""),0.0)</f>
        <v>0</v>
      </c>
      <c r="N243" s="3">
        <f>IFERROR(__xludf.DUMMYFUNCTION("""COMPUTED_VALUE"""),0.0)</f>
        <v>0</v>
      </c>
      <c r="O243" s="3">
        <f>IFERROR(__xludf.DUMMYFUNCTION("""COMPUTED_VALUE"""),0.0)</f>
        <v>0</v>
      </c>
      <c r="P243" s="3">
        <f>IFERROR(__xludf.DUMMYFUNCTION("""COMPUTED_VALUE"""),0.0)</f>
        <v>0</v>
      </c>
      <c r="Q243" s="3">
        <f>IFERROR(__xludf.DUMMYFUNCTION("""COMPUTED_VALUE"""),0.0)</f>
        <v>0</v>
      </c>
      <c r="R243" s="3">
        <f>IFERROR(__xludf.DUMMYFUNCTION("""COMPUTED_VALUE"""),0.0)</f>
        <v>0</v>
      </c>
      <c r="S243" s="3">
        <f>IFERROR(__xludf.DUMMYFUNCTION("""COMPUTED_VALUE"""),0.0)</f>
        <v>0</v>
      </c>
      <c r="T243" s="3">
        <f>IFERROR(__xludf.DUMMYFUNCTION("""COMPUTED_VALUE"""),0.0)</f>
        <v>0</v>
      </c>
      <c r="U243" s="3">
        <f>IFERROR(__xludf.DUMMYFUNCTION("""COMPUTED_VALUE"""),0.0)</f>
        <v>0</v>
      </c>
      <c r="V243" s="3">
        <f>IFERROR(__xludf.DUMMYFUNCTION("""COMPUTED_VALUE"""),0.0)</f>
        <v>0</v>
      </c>
      <c r="W243" s="3">
        <f>IFERROR(__xludf.DUMMYFUNCTION("""COMPUTED_VALUE"""),0.0)</f>
        <v>0</v>
      </c>
      <c r="X243" s="3">
        <f>IFERROR(__xludf.DUMMYFUNCTION("""COMPUTED_VALUE"""),0.0)</f>
        <v>0</v>
      </c>
      <c r="Y243" s="3">
        <f>IFERROR(__xludf.DUMMYFUNCTION("""COMPUTED_VALUE"""),0.0)</f>
        <v>0</v>
      </c>
      <c r="Z243" s="3">
        <f>IFERROR(__xludf.DUMMYFUNCTION("""COMPUTED_VALUE"""),0.0)</f>
        <v>0</v>
      </c>
      <c r="AA243" s="3">
        <f>IFERROR(__xludf.DUMMYFUNCTION("""COMPUTED_VALUE"""),0.0)</f>
        <v>0</v>
      </c>
      <c r="AB243" s="3">
        <f>IFERROR(__xludf.DUMMYFUNCTION("""COMPUTED_VALUE"""),0.0)</f>
        <v>0</v>
      </c>
      <c r="AC243" s="3">
        <f>IFERROR(__xludf.DUMMYFUNCTION("""COMPUTED_VALUE"""),0.0)</f>
        <v>0</v>
      </c>
      <c r="AD243" s="3">
        <f>IFERROR(__xludf.DUMMYFUNCTION("""COMPUTED_VALUE"""),0.0)</f>
        <v>0</v>
      </c>
      <c r="AE243" s="3">
        <f>IFERROR(__xludf.DUMMYFUNCTION("""COMPUTED_VALUE"""),0.0)</f>
        <v>0</v>
      </c>
      <c r="AF243" s="3">
        <f>IFERROR(__xludf.DUMMYFUNCTION("""COMPUTED_VALUE"""),0.0)</f>
        <v>0</v>
      </c>
      <c r="AG243" s="3">
        <f>IFERROR(__xludf.DUMMYFUNCTION("""COMPUTED_VALUE"""),0.0)</f>
        <v>0</v>
      </c>
      <c r="AH243" s="3">
        <f>IFERROR(__xludf.DUMMYFUNCTION("""COMPUTED_VALUE"""),0.0)</f>
        <v>0</v>
      </c>
      <c r="AI243" s="3">
        <f>IFERROR(__xludf.DUMMYFUNCTION("""COMPUTED_VALUE"""),0.0)</f>
        <v>0</v>
      </c>
      <c r="AJ243" s="3">
        <f>IFERROR(__xludf.DUMMYFUNCTION("""COMPUTED_VALUE"""),0.0)</f>
        <v>0</v>
      </c>
      <c r="AK243" s="3">
        <f>IFERROR(__xludf.DUMMYFUNCTION("""COMPUTED_VALUE"""),0.0)</f>
        <v>0</v>
      </c>
      <c r="AL243" s="3">
        <f>IFERROR(__xludf.DUMMYFUNCTION("""COMPUTED_VALUE"""),0.0)</f>
        <v>0</v>
      </c>
      <c r="AM243" s="3">
        <f>IFERROR(__xludf.DUMMYFUNCTION("""COMPUTED_VALUE"""),0.0)</f>
        <v>0</v>
      </c>
      <c r="AN243" s="3">
        <f>IFERROR(__xludf.DUMMYFUNCTION("""COMPUTED_VALUE"""),0.0)</f>
        <v>0</v>
      </c>
      <c r="AO243" s="3">
        <f>IFERROR(__xludf.DUMMYFUNCTION("""COMPUTED_VALUE"""),0.0)</f>
        <v>0</v>
      </c>
      <c r="AP243" s="3">
        <f>IFERROR(__xludf.DUMMYFUNCTION("""COMPUTED_VALUE"""),0.0)</f>
        <v>0</v>
      </c>
      <c r="AQ243" s="3">
        <f>IFERROR(__xludf.DUMMYFUNCTION("""COMPUTED_VALUE"""),0.0)</f>
        <v>0</v>
      </c>
      <c r="AR243" s="3">
        <f>IFERROR(__xludf.DUMMYFUNCTION("""COMPUTED_VALUE"""),0.0)</f>
        <v>0</v>
      </c>
      <c r="AS243" s="3">
        <f>IFERROR(__xludf.DUMMYFUNCTION("""COMPUTED_VALUE"""),0.0)</f>
        <v>0</v>
      </c>
      <c r="AT243" s="3">
        <f>IFERROR(__xludf.DUMMYFUNCTION("""COMPUTED_VALUE"""),0.0)</f>
        <v>0</v>
      </c>
      <c r="AU243" s="3">
        <f>IFERROR(__xludf.DUMMYFUNCTION("""COMPUTED_VALUE"""),0.0)</f>
        <v>0</v>
      </c>
      <c r="AV243" s="3">
        <f>IFERROR(__xludf.DUMMYFUNCTION("""COMPUTED_VALUE"""),0.0)</f>
        <v>0</v>
      </c>
      <c r="AW243" s="3">
        <f>IFERROR(__xludf.DUMMYFUNCTION("""COMPUTED_VALUE"""),0.0)</f>
        <v>0</v>
      </c>
      <c r="AX243" s="3">
        <f>IFERROR(__xludf.DUMMYFUNCTION("""COMPUTED_VALUE"""),0.0)</f>
        <v>0</v>
      </c>
      <c r="AY243" s="3">
        <f>IFERROR(__xludf.DUMMYFUNCTION("""COMPUTED_VALUE"""),0.0)</f>
        <v>0</v>
      </c>
      <c r="AZ243" s="3">
        <f>IFERROR(__xludf.DUMMYFUNCTION("""COMPUTED_VALUE"""),0.0)</f>
        <v>0</v>
      </c>
      <c r="BA243" s="3">
        <f>IFERROR(__xludf.DUMMYFUNCTION("""COMPUTED_VALUE"""),0.0)</f>
        <v>0</v>
      </c>
      <c r="BB243" s="3">
        <f>IFERROR(__xludf.DUMMYFUNCTION("""COMPUTED_VALUE"""),0.0)</f>
        <v>0</v>
      </c>
      <c r="BC243" s="3">
        <f>IFERROR(__xludf.DUMMYFUNCTION("""COMPUTED_VALUE"""),0.0)</f>
        <v>0</v>
      </c>
      <c r="BD243" s="3">
        <f>IFERROR(__xludf.DUMMYFUNCTION("""COMPUTED_VALUE"""),0.0)</f>
        <v>0</v>
      </c>
      <c r="BE243" s="3">
        <f>IFERROR(__xludf.DUMMYFUNCTION("""COMPUTED_VALUE"""),0.0)</f>
        <v>0</v>
      </c>
      <c r="BF243" s="3">
        <f>IFERROR(__xludf.DUMMYFUNCTION("""COMPUTED_VALUE"""),0.0)</f>
        <v>0</v>
      </c>
      <c r="BG243" s="3">
        <f>IFERROR(__xludf.DUMMYFUNCTION("""COMPUTED_VALUE"""),0.0)</f>
        <v>0</v>
      </c>
      <c r="BH243" s="3">
        <f>IFERROR(__xludf.DUMMYFUNCTION("""COMPUTED_VALUE"""),0.0)</f>
        <v>0</v>
      </c>
      <c r="BI243" s="3">
        <f>IFERROR(__xludf.DUMMYFUNCTION("""COMPUTED_VALUE"""),0.0)</f>
        <v>0</v>
      </c>
      <c r="BJ243" s="3">
        <f>IFERROR(__xludf.DUMMYFUNCTION("""COMPUTED_VALUE"""),0.0)</f>
        <v>0</v>
      </c>
      <c r="BK243" s="3">
        <f>IFERROR(__xludf.DUMMYFUNCTION("""COMPUTED_VALUE"""),0.0)</f>
        <v>0</v>
      </c>
      <c r="BL243" s="3">
        <f>IFERROR(__xludf.DUMMYFUNCTION("""COMPUTED_VALUE"""),0.0)</f>
        <v>0</v>
      </c>
      <c r="BM243" s="3">
        <f>IFERROR(__xludf.DUMMYFUNCTION("""COMPUTED_VALUE"""),0.0)</f>
        <v>0</v>
      </c>
      <c r="BN243" s="3">
        <f>IFERROR(__xludf.DUMMYFUNCTION("""COMPUTED_VALUE"""),0.0)</f>
        <v>0</v>
      </c>
      <c r="BO243" s="3">
        <f>IFERROR(__xludf.DUMMYFUNCTION("""COMPUTED_VALUE"""),0.0)</f>
        <v>0</v>
      </c>
      <c r="BP243" s="3">
        <f>IFERROR(__xludf.DUMMYFUNCTION("""COMPUTED_VALUE"""),0.0)</f>
        <v>0</v>
      </c>
      <c r="BQ243" s="3">
        <f>IFERROR(__xludf.DUMMYFUNCTION("""COMPUTED_VALUE"""),1.0)</f>
        <v>1</v>
      </c>
      <c r="BR243" s="3">
        <f>IFERROR(__xludf.DUMMYFUNCTION("""COMPUTED_VALUE"""),1.0)</f>
        <v>1</v>
      </c>
      <c r="BS243" s="3">
        <f>IFERROR(__xludf.DUMMYFUNCTION("""COMPUTED_VALUE"""),1.0)</f>
        <v>1</v>
      </c>
      <c r="BT243" s="3">
        <f>IFERROR(__xludf.DUMMYFUNCTION("""COMPUTED_VALUE"""),1.0)</f>
        <v>1</v>
      </c>
      <c r="BU243" s="3">
        <f>IFERROR(__xludf.DUMMYFUNCTION("""COMPUTED_VALUE"""),1.0)</f>
        <v>1</v>
      </c>
      <c r="BV243" s="3">
        <f>IFERROR(__xludf.DUMMYFUNCTION("""COMPUTED_VALUE"""),1.0)</f>
        <v>1</v>
      </c>
      <c r="BW243" s="3">
        <f>IFERROR(__xludf.DUMMYFUNCTION("""COMPUTED_VALUE"""),1.0)</f>
        <v>1</v>
      </c>
      <c r="BX243" s="3">
        <f>IFERROR(__xludf.DUMMYFUNCTION("""COMPUTED_VALUE"""),1.0)</f>
        <v>1</v>
      </c>
      <c r="BY243" s="3">
        <f>IFERROR(__xludf.DUMMYFUNCTION("""COMPUTED_VALUE"""),1.0)</f>
        <v>1</v>
      </c>
      <c r="BZ243" s="3">
        <f>IFERROR(__xludf.DUMMYFUNCTION("""COMPUTED_VALUE"""),1.0)</f>
        <v>1</v>
      </c>
      <c r="CA243" s="3">
        <f>IFERROR(__xludf.DUMMYFUNCTION("""COMPUTED_VALUE"""),1.0)</f>
        <v>1</v>
      </c>
      <c r="CB243" s="3">
        <f>IFERROR(__xludf.DUMMYFUNCTION("""COMPUTED_VALUE"""),1.0)</f>
        <v>1</v>
      </c>
    </row>
    <row r="244">
      <c r="A244" s="3" t="str">
        <f>IFERROR(__xludf.DUMMYFUNCTION("""COMPUTED_VALUE"""),"")</f>
        <v/>
      </c>
      <c r="B244" s="3" t="str">
        <f>IFERROR(__xludf.DUMMYFUNCTION("""COMPUTED_VALUE"""),"Guinea-Bissau")</f>
        <v>Guinea-Bissau</v>
      </c>
      <c r="C244" s="3">
        <f>IFERROR(__xludf.DUMMYFUNCTION("""COMPUTED_VALUE"""),11.8037)</f>
        <v>11.8037</v>
      </c>
      <c r="D244" s="3">
        <f>IFERROR(__xludf.DUMMYFUNCTION("""COMPUTED_VALUE"""),-15.1804)</f>
        <v>-15.1804</v>
      </c>
      <c r="E244" s="3">
        <f>IFERROR(__xludf.DUMMYFUNCTION("""COMPUTED_VALUE"""),0.0)</f>
        <v>0</v>
      </c>
      <c r="F244" s="3">
        <f>IFERROR(__xludf.DUMMYFUNCTION("""COMPUTED_VALUE"""),0.0)</f>
        <v>0</v>
      </c>
      <c r="G244" s="3">
        <f>IFERROR(__xludf.DUMMYFUNCTION("""COMPUTED_VALUE"""),0.0)</f>
        <v>0</v>
      </c>
      <c r="H244" s="3">
        <f>IFERROR(__xludf.DUMMYFUNCTION("""COMPUTED_VALUE"""),0.0)</f>
        <v>0</v>
      </c>
      <c r="I244" s="3">
        <f>IFERROR(__xludf.DUMMYFUNCTION("""COMPUTED_VALUE"""),0.0)</f>
        <v>0</v>
      </c>
      <c r="J244" s="3">
        <f>IFERROR(__xludf.DUMMYFUNCTION("""COMPUTED_VALUE"""),0.0)</f>
        <v>0</v>
      </c>
      <c r="K244" s="3">
        <f>IFERROR(__xludf.DUMMYFUNCTION("""COMPUTED_VALUE"""),0.0)</f>
        <v>0</v>
      </c>
      <c r="L244" s="3">
        <f>IFERROR(__xludf.DUMMYFUNCTION("""COMPUTED_VALUE"""),0.0)</f>
        <v>0</v>
      </c>
      <c r="M244" s="3">
        <f>IFERROR(__xludf.DUMMYFUNCTION("""COMPUTED_VALUE"""),0.0)</f>
        <v>0</v>
      </c>
      <c r="N244" s="3">
        <f>IFERROR(__xludf.DUMMYFUNCTION("""COMPUTED_VALUE"""),0.0)</f>
        <v>0</v>
      </c>
      <c r="O244" s="3">
        <f>IFERROR(__xludf.DUMMYFUNCTION("""COMPUTED_VALUE"""),0.0)</f>
        <v>0</v>
      </c>
      <c r="P244" s="3">
        <f>IFERROR(__xludf.DUMMYFUNCTION("""COMPUTED_VALUE"""),0.0)</f>
        <v>0</v>
      </c>
      <c r="Q244" s="3">
        <f>IFERROR(__xludf.DUMMYFUNCTION("""COMPUTED_VALUE"""),0.0)</f>
        <v>0</v>
      </c>
      <c r="R244" s="3">
        <f>IFERROR(__xludf.DUMMYFUNCTION("""COMPUTED_VALUE"""),0.0)</f>
        <v>0</v>
      </c>
      <c r="S244" s="3">
        <f>IFERROR(__xludf.DUMMYFUNCTION("""COMPUTED_VALUE"""),0.0)</f>
        <v>0</v>
      </c>
      <c r="T244" s="3">
        <f>IFERROR(__xludf.DUMMYFUNCTION("""COMPUTED_VALUE"""),0.0)</f>
        <v>0</v>
      </c>
      <c r="U244" s="3">
        <f>IFERROR(__xludf.DUMMYFUNCTION("""COMPUTED_VALUE"""),0.0)</f>
        <v>0</v>
      </c>
      <c r="V244" s="3">
        <f>IFERROR(__xludf.DUMMYFUNCTION("""COMPUTED_VALUE"""),0.0)</f>
        <v>0</v>
      </c>
      <c r="W244" s="3">
        <f>IFERROR(__xludf.DUMMYFUNCTION("""COMPUTED_VALUE"""),0.0)</f>
        <v>0</v>
      </c>
      <c r="X244" s="3">
        <f>IFERROR(__xludf.DUMMYFUNCTION("""COMPUTED_VALUE"""),0.0)</f>
        <v>0</v>
      </c>
      <c r="Y244" s="3">
        <f>IFERROR(__xludf.DUMMYFUNCTION("""COMPUTED_VALUE"""),0.0)</f>
        <v>0</v>
      </c>
      <c r="Z244" s="3">
        <f>IFERROR(__xludf.DUMMYFUNCTION("""COMPUTED_VALUE"""),0.0)</f>
        <v>0</v>
      </c>
      <c r="AA244" s="3">
        <f>IFERROR(__xludf.DUMMYFUNCTION("""COMPUTED_VALUE"""),0.0)</f>
        <v>0</v>
      </c>
      <c r="AB244" s="3">
        <f>IFERROR(__xludf.DUMMYFUNCTION("""COMPUTED_VALUE"""),0.0)</f>
        <v>0</v>
      </c>
      <c r="AC244" s="3">
        <f>IFERROR(__xludf.DUMMYFUNCTION("""COMPUTED_VALUE"""),0.0)</f>
        <v>0</v>
      </c>
      <c r="AD244" s="3">
        <f>IFERROR(__xludf.DUMMYFUNCTION("""COMPUTED_VALUE"""),0.0)</f>
        <v>0</v>
      </c>
      <c r="AE244" s="3">
        <f>IFERROR(__xludf.DUMMYFUNCTION("""COMPUTED_VALUE"""),0.0)</f>
        <v>0</v>
      </c>
      <c r="AF244" s="3">
        <f>IFERROR(__xludf.DUMMYFUNCTION("""COMPUTED_VALUE"""),0.0)</f>
        <v>0</v>
      </c>
      <c r="AG244" s="3">
        <f>IFERROR(__xludf.DUMMYFUNCTION("""COMPUTED_VALUE"""),0.0)</f>
        <v>0</v>
      </c>
      <c r="AH244" s="3">
        <f>IFERROR(__xludf.DUMMYFUNCTION("""COMPUTED_VALUE"""),0.0)</f>
        <v>0</v>
      </c>
      <c r="AI244" s="3">
        <f>IFERROR(__xludf.DUMMYFUNCTION("""COMPUTED_VALUE"""),0.0)</f>
        <v>0</v>
      </c>
      <c r="AJ244" s="3">
        <f>IFERROR(__xludf.DUMMYFUNCTION("""COMPUTED_VALUE"""),0.0)</f>
        <v>0</v>
      </c>
      <c r="AK244" s="3">
        <f>IFERROR(__xludf.DUMMYFUNCTION("""COMPUTED_VALUE"""),0.0)</f>
        <v>0</v>
      </c>
      <c r="AL244" s="3">
        <f>IFERROR(__xludf.DUMMYFUNCTION("""COMPUTED_VALUE"""),0.0)</f>
        <v>0</v>
      </c>
      <c r="AM244" s="3">
        <f>IFERROR(__xludf.DUMMYFUNCTION("""COMPUTED_VALUE"""),0.0)</f>
        <v>0</v>
      </c>
      <c r="AN244" s="3">
        <f>IFERROR(__xludf.DUMMYFUNCTION("""COMPUTED_VALUE"""),0.0)</f>
        <v>0</v>
      </c>
      <c r="AO244" s="3">
        <f>IFERROR(__xludf.DUMMYFUNCTION("""COMPUTED_VALUE"""),0.0)</f>
        <v>0</v>
      </c>
      <c r="AP244" s="3">
        <f>IFERROR(__xludf.DUMMYFUNCTION("""COMPUTED_VALUE"""),0.0)</f>
        <v>0</v>
      </c>
      <c r="AQ244" s="3">
        <f>IFERROR(__xludf.DUMMYFUNCTION("""COMPUTED_VALUE"""),0.0)</f>
        <v>0</v>
      </c>
      <c r="AR244" s="3">
        <f>IFERROR(__xludf.DUMMYFUNCTION("""COMPUTED_VALUE"""),0.0)</f>
        <v>0</v>
      </c>
      <c r="AS244" s="3">
        <f>IFERROR(__xludf.DUMMYFUNCTION("""COMPUTED_VALUE"""),0.0)</f>
        <v>0</v>
      </c>
      <c r="AT244" s="3">
        <f>IFERROR(__xludf.DUMMYFUNCTION("""COMPUTED_VALUE"""),0.0)</f>
        <v>0</v>
      </c>
      <c r="AU244" s="3">
        <f>IFERROR(__xludf.DUMMYFUNCTION("""COMPUTED_VALUE"""),0.0)</f>
        <v>0</v>
      </c>
      <c r="AV244" s="3">
        <f>IFERROR(__xludf.DUMMYFUNCTION("""COMPUTED_VALUE"""),0.0)</f>
        <v>0</v>
      </c>
      <c r="AW244" s="3">
        <f>IFERROR(__xludf.DUMMYFUNCTION("""COMPUTED_VALUE"""),0.0)</f>
        <v>0</v>
      </c>
      <c r="AX244" s="3">
        <f>IFERROR(__xludf.DUMMYFUNCTION("""COMPUTED_VALUE"""),0.0)</f>
        <v>0</v>
      </c>
      <c r="AY244" s="3">
        <f>IFERROR(__xludf.DUMMYFUNCTION("""COMPUTED_VALUE"""),0.0)</f>
        <v>0</v>
      </c>
      <c r="AZ244" s="3">
        <f>IFERROR(__xludf.DUMMYFUNCTION("""COMPUTED_VALUE"""),0.0)</f>
        <v>0</v>
      </c>
      <c r="BA244" s="3">
        <f>IFERROR(__xludf.DUMMYFUNCTION("""COMPUTED_VALUE"""),0.0)</f>
        <v>0</v>
      </c>
      <c r="BB244" s="3">
        <f>IFERROR(__xludf.DUMMYFUNCTION("""COMPUTED_VALUE"""),0.0)</f>
        <v>0</v>
      </c>
      <c r="BC244" s="3">
        <f>IFERROR(__xludf.DUMMYFUNCTION("""COMPUTED_VALUE"""),0.0)</f>
        <v>0</v>
      </c>
      <c r="BD244" s="3">
        <f>IFERROR(__xludf.DUMMYFUNCTION("""COMPUTED_VALUE"""),0.0)</f>
        <v>0</v>
      </c>
      <c r="BE244" s="3">
        <f>IFERROR(__xludf.DUMMYFUNCTION("""COMPUTED_VALUE"""),0.0)</f>
        <v>0</v>
      </c>
      <c r="BF244" s="3">
        <f>IFERROR(__xludf.DUMMYFUNCTION("""COMPUTED_VALUE"""),0.0)</f>
        <v>0</v>
      </c>
      <c r="BG244" s="3">
        <f>IFERROR(__xludf.DUMMYFUNCTION("""COMPUTED_VALUE"""),0.0)</f>
        <v>0</v>
      </c>
      <c r="BH244" s="3">
        <f>IFERROR(__xludf.DUMMYFUNCTION("""COMPUTED_VALUE"""),0.0)</f>
        <v>0</v>
      </c>
      <c r="BI244" s="3">
        <f>IFERROR(__xludf.DUMMYFUNCTION("""COMPUTED_VALUE"""),0.0)</f>
        <v>0</v>
      </c>
      <c r="BJ244" s="3">
        <f>IFERROR(__xludf.DUMMYFUNCTION("""COMPUTED_VALUE"""),0.0)</f>
        <v>0</v>
      </c>
      <c r="BK244" s="3">
        <f>IFERROR(__xludf.DUMMYFUNCTION("""COMPUTED_VALUE"""),0.0)</f>
        <v>0</v>
      </c>
      <c r="BL244" s="3">
        <f>IFERROR(__xludf.DUMMYFUNCTION("""COMPUTED_VALUE"""),0.0)</f>
        <v>0</v>
      </c>
      <c r="BM244" s="3">
        <f>IFERROR(__xludf.DUMMYFUNCTION("""COMPUTED_VALUE"""),0.0)</f>
        <v>0</v>
      </c>
      <c r="BN244" s="3">
        <f>IFERROR(__xludf.DUMMYFUNCTION("""COMPUTED_VALUE"""),0.0)</f>
        <v>0</v>
      </c>
      <c r="BO244" s="3">
        <f>IFERROR(__xludf.DUMMYFUNCTION("""COMPUTED_VALUE"""),0.0)</f>
        <v>0</v>
      </c>
      <c r="BP244" s="3">
        <f>IFERROR(__xludf.DUMMYFUNCTION("""COMPUTED_VALUE"""),0.0)</f>
        <v>0</v>
      </c>
      <c r="BQ244" s="3">
        <f>IFERROR(__xludf.DUMMYFUNCTION("""COMPUTED_VALUE"""),0.0)</f>
        <v>0</v>
      </c>
      <c r="BR244" s="3">
        <f>IFERROR(__xludf.DUMMYFUNCTION("""COMPUTED_VALUE"""),0.0)</f>
        <v>0</v>
      </c>
      <c r="BS244" s="3">
        <f>IFERROR(__xludf.DUMMYFUNCTION("""COMPUTED_VALUE"""),0.0)</f>
        <v>0</v>
      </c>
      <c r="BT244" s="3">
        <f>IFERROR(__xludf.DUMMYFUNCTION("""COMPUTED_VALUE"""),0.0)</f>
        <v>0</v>
      </c>
      <c r="BU244" s="3">
        <f>IFERROR(__xludf.DUMMYFUNCTION("""COMPUTED_VALUE"""),0.0)</f>
        <v>0</v>
      </c>
      <c r="BV244" s="3">
        <f>IFERROR(__xludf.DUMMYFUNCTION("""COMPUTED_VALUE"""),0.0)</f>
        <v>0</v>
      </c>
      <c r="BW244" s="3">
        <f>IFERROR(__xludf.DUMMYFUNCTION("""COMPUTED_VALUE"""),0.0)</f>
        <v>0</v>
      </c>
      <c r="BX244" s="3">
        <f>IFERROR(__xludf.DUMMYFUNCTION("""COMPUTED_VALUE"""),0.0)</f>
        <v>0</v>
      </c>
      <c r="BY244" s="3">
        <f>IFERROR(__xludf.DUMMYFUNCTION("""COMPUTED_VALUE"""),0.0)</f>
        <v>0</v>
      </c>
      <c r="BZ244" s="3">
        <f>IFERROR(__xludf.DUMMYFUNCTION("""COMPUTED_VALUE"""),0.0)</f>
        <v>0</v>
      </c>
      <c r="CA244" s="3">
        <f>IFERROR(__xludf.DUMMYFUNCTION("""COMPUTED_VALUE"""),0.0)</f>
        <v>0</v>
      </c>
      <c r="CB244" s="3">
        <f>IFERROR(__xludf.DUMMYFUNCTION("""COMPUTED_VALUE"""),0.0)</f>
        <v>0</v>
      </c>
    </row>
    <row r="245">
      <c r="A245" s="3" t="str">
        <f>IFERROR(__xludf.DUMMYFUNCTION("""COMPUTED_VALUE"""),"")</f>
        <v/>
      </c>
      <c r="B245" s="3" t="str">
        <f>IFERROR(__xludf.DUMMYFUNCTION("""COMPUTED_VALUE"""),"Mali")</f>
        <v>Mali</v>
      </c>
      <c r="C245" s="3">
        <f>IFERROR(__xludf.DUMMYFUNCTION("""COMPUTED_VALUE"""),17.570692)</f>
        <v>17.570692</v>
      </c>
      <c r="D245" s="3">
        <f>IFERROR(__xludf.DUMMYFUNCTION("""COMPUTED_VALUE"""),-3.996166)</f>
        <v>-3.996166</v>
      </c>
      <c r="E245" s="3">
        <f>IFERROR(__xludf.DUMMYFUNCTION("""COMPUTED_VALUE"""),0.0)</f>
        <v>0</v>
      </c>
      <c r="F245" s="3">
        <f>IFERROR(__xludf.DUMMYFUNCTION("""COMPUTED_VALUE"""),0.0)</f>
        <v>0</v>
      </c>
      <c r="G245" s="3">
        <f>IFERROR(__xludf.DUMMYFUNCTION("""COMPUTED_VALUE"""),0.0)</f>
        <v>0</v>
      </c>
      <c r="H245" s="3">
        <f>IFERROR(__xludf.DUMMYFUNCTION("""COMPUTED_VALUE"""),0.0)</f>
        <v>0</v>
      </c>
      <c r="I245" s="3">
        <f>IFERROR(__xludf.DUMMYFUNCTION("""COMPUTED_VALUE"""),0.0)</f>
        <v>0</v>
      </c>
      <c r="J245" s="3">
        <f>IFERROR(__xludf.DUMMYFUNCTION("""COMPUTED_VALUE"""),0.0)</f>
        <v>0</v>
      </c>
      <c r="K245" s="3">
        <f>IFERROR(__xludf.DUMMYFUNCTION("""COMPUTED_VALUE"""),0.0)</f>
        <v>0</v>
      </c>
      <c r="L245" s="3">
        <f>IFERROR(__xludf.DUMMYFUNCTION("""COMPUTED_VALUE"""),0.0)</f>
        <v>0</v>
      </c>
      <c r="M245" s="3">
        <f>IFERROR(__xludf.DUMMYFUNCTION("""COMPUTED_VALUE"""),0.0)</f>
        <v>0</v>
      </c>
      <c r="N245" s="3">
        <f>IFERROR(__xludf.DUMMYFUNCTION("""COMPUTED_VALUE"""),0.0)</f>
        <v>0</v>
      </c>
      <c r="O245" s="3">
        <f>IFERROR(__xludf.DUMMYFUNCTION("""COMPUTED_VALUE"""),0.0)</f>
        <v>0</v>
      </c>
      <c r="P245" s="3">
        <f>IFERROR(__xludf.DUMMYFUNCTION("""COMPUTED_VALUE"""),0.0)</f>
        <v>0</v>
      </c>
      <c r="Q245" s="3">
        <f>IFERROR(__xludf.DUMMYFUNCTION("""COMPUTED_VALUE"""),0.0)</f>
        <v>0</v>
      </c>
      <c r="R245" s="3">
        <f>IFERROR(__xludf.DUMMYFUNCTION("""COMPUTED_VALUE"""),0.0)</f>
        <v>0</v>
      </c>
      <c r="S245" s="3">
        <f>IFERROR(__xludf.DUMMYFUNCTION("""COMPUTED_VALUE"""),0.0)</f>
        <v>0</v>
      </c>
      <c r="T245" s="3">
        <f>IFERROR(__xludf.DUMMYFUNCTION("""COMPUTED_VALUE"""),0.0)</f>
        <v>0</v>
      </c>
      <c r="U245" s="3">
        <f>IFERROR(__xludf.DUMMYFUNCTION("""COMPUTED_VALUE"""),0.0)</f>
        <v>0</v>
      </c>
      <c r="V245" s="3">
        <f>IFERROR(__xludf.DUMMYFUNCTION("""COMPUTED_VALUE"""),0.0)</f>
        <v>0</v>
      </c>
      <c r="W245" s="3">
        <f>IFERROR(__xludf.DUMMYFUNCTION("""COMPUTED_VALUE"""),0.0)</f>
        <v>0</v>
      </c>
      <c r="X245" s="3">
        <f>IFERROR(__xludf.DUMMYFUNCTION("""COMPUTED_VALUE"""),0.0)</f>
        <v>0</v>
      </c>
      <c r="Y245" s="3">
        <f>IFERROR(__xludf.DUMMYFUNCTION("""COMPUTED_VALUE"""),0.0)</f>
        <v>0</v>
      </c>
      <c r="Z245" s="3">
        <f>IFERROR(__xludf.DUMMYFUNCTION("""COMPUTED_VALUE"""),0.0)</f>
        <v>0</v>
      </c>
      <c r="AA245" s="3">
        <f>IFERROR(__xludf.DUMMYFUNCTION("""COMPUTED_VALUE"""),0.0)</f>
        <v>0</v>
      </c>
      <c r="AB245" s="3">
        <f>IFERROR(__xludf.DUMMYFUNCTION("""COMPUTED_VALUE"""),0.0)</f>
        <v>0</v>
      </c>
      <c r="AC245" s="3">
        <f>IFERROR(__xludf.DUMMYFUNCTION("""COMPUTED_VALUE"""),0.0)</f>
        <v>0</v>
      </c>
      <c r="AD245" s="3">
        <f>IFERROR(__xludf.DUMMYFUNCTION("""COMPUTED_VALUE"""),0.0)</f>
        <v>0</v>
      </c>
      <c r="AE245" s="3">
        <f>IFERROR(__xludf.DUMMYFUNCTION("""COMPUTED_VALUE"""),0.0)</f>
        <v>0</v>
      </c>
      <c r="AF245" s="3">
        <f>IFERROR(__xludf.DUMMYFUNCTION("""COMPUTED_VALUE"""),0.0)</f>
        <v>0</v>
      </c>
      <c r="AG245" s="3">
        <f>IFERROR(__xludf.DUMMYFUNCTION("""COMPUTED_VALUE"""),0.0)</f>
        <v>0</v>
      </c>
      <c r="AH245" s="3">
        <f>IFERROR(__xludf.DUMMYFUNCTION("""COMPUTED_VALUE"""),0.0)</f>
        <v>0</v>
      </c>
      <c r="AI245" s="3">
        <f>IFERROR(__xludf.DUMMYFUNCTION("""COMPUTED_VALUE"""),0.0)</f>
        <v>0</v>
      </c>
      <c r="AJ245" s="3">
        <f>IFERROR(__xludf.DUMMYFUNCTION("""COMPUTED_VALUE"""),0.0)</f>
        <v>0</v>
      </c>
      <c r="AK245" s="3">
        <f>IFERROR(__xludf.DUMMYFUNCTION("""COMPUTED_VALUE"""),0.0)</f>
        <v>0</v>
      </c>
      <c r="AL245" s="3">
        <f>IFERROR(__xludf.DUMMYFUNCTION("""COMPUTED_VALUE"""),0.0)</f>
        <v>0</v>
      </c>
      <c r="AM245" s="3">
        <f>IFERROR(__xludf.DUMMYFUNCTION("""COMPUTED_VALUE"""),0.0)</f>
        <v>0</v>
      </c>
      <c r="AN245" s="3">
        <f>IFERROR(__xludf.DUMMYFUNCTION("""COMPUTED_VALUE"""),0.0)</f>
        <v>0</v>
      </c>
      <c r="AO245" s="3">
        <f>IFERROR(__xludf.DUMMYFUNCTION("""COMPUTED_VALUE"""),0.0)</f>
        <v>0</v>
      </c>
      <c r="AP245" s="3">
        <f>IFERROR(__xludf.DUMMYFUNCTION("""COMPUTED_VALUE"""),0.0)</f>
        <v>0</v>
      </c>
      <c r="AQ245" s="3">
        <f>IFERROR(__xludf.DUMMYFUNCTION("""COMPUTED_VALUE"""),0.0)</f>
        <v>0</v>
      </c>
      <c r="AR245" s="3">
        <f>IFERROR(__xludf.DUMMYFUNCTION("""COMPUTED_VALUE"""),0.0)</f>
        <v>0</v>
      </c>
      <c r="AS245" s="3">
        <f>IFERROR(__xludf.DUMMYFUNCTION("""COMPUTED_VALUE"""),0.0)</f>
        <v>0</v>
      </c>
      <c r="AT245" s="3">
        <f>IFERROR(__xludf.DUMMYFUNCTION("""COMPUTED_VALUE"""),0.0)</f>
        <v>0</v>
      </c>
      <c r="AU245" s="3">
        <f>IFERROR(__xludf.DUMMYFUNCTION("""COMPUTED_VALUE"""),0.0)</f>
        <v>0</v>
      </c>
      <c r="AV245" s="3">
        <f>IFERROR(__xludf.DUMMYFUNCTION("""COMPUTED_VALUE"""),0.0)</f>
        <v>0</v>
      </c>
      <c r="AW245" s="3">
        <f>IFERROR(__xludf.DUMMYFUNCTION("""COMPUTED_VALUE"""),0.0)</f>
        <v>0</v>
      </c>
      <c r="AX245" s="3">
        <f>IFERROR(__xludf.DUMMYFUNCTION("""COMPUTED_VALUE"""),0.0)</f>
        <v>0</v>
      </c>
      <c r="AY245" s="3">
        <f>IFERROR(__xludf.DUMMYFUNCTION("""COMPUTED_VALUE"""),0.0)</f>
        <v>0</v>
      </c>
      <c r="AZ245" s="3">
        <f>IFERROR(__xludf.DUMMYFUNCTION("""COMPUTED_VALUE"""),0.0)</f>
        <v>0</v>
      </c>
      <c r="BA245" s="3">
        <f>IFERROR(__xludf.DUMMYFUNCTION("""COMPUTED_VALUE"""),0.0)</f>
        <v>0</v>
      </c>
      <c r="BB245" s="3">
        <f>IFERROR(__xludf.DUMMYFUNCTION("""COMPUTED_VALUE"""),0.0)</f>
        <v>0</v>
      </c>
      <c r="BC245" s="3">
        <f>IFERROR(__xludf.DUMMYFUNCTION("""COMPUTED_VALUE"""),0.0)</f>
        <v>0</v>
      </c>
      <c r="BD245" s="3">
        <f>IFERROR(__xludf.DUMMYFUNCTION("""COMPUTED_VALUE"""),0.0)</f>
        <v>0</v>
      </c>
      <c r="BE245" s="3">
        <f>IFERROR(__xludf.DUMMYFUNCTION("""COMPUTED_VALUE"""),0.0)</f>
        <v>0</v>
      </c>
      <c r="BF245" s="3">
        <f>IFERROR(__xludf.DUMMYFUNCTION("""COMPUTED_VALUE"""),0.0)</f>
        <v>0</v>
      </c>
      <c r="BG245" s="3">
        <f>IFERROR(__xludf.DUMMYFUNCTION("""COMPUTED_VALUE"""),0.0)</f>
        <v>0</v>
      </c>
      <c r="BH245" s="3">
        <f>IFERROR(__xludf.DUMMYFUNCTION("""COMPUTED_VALUE"""),0.0)</f>
        <v>0</v>
      </c>
      <c r="BI245" s="3">
        <f>IFERROR(__xludf.DUMMYFUNCTION("""COMPUTED_VALUE"""),0.0)</f>
        <v>0</v>
      </c>
      <c r="BJ245" s="3">
        <f>IFERROR(__xludf.DUMMYFUNCTION("""COMPUTED_VALUE"""),0.0)</f>
        <v>0</v>
      </c>
      <c r="BK245" s="3">
        <f>IFERROR(__xludf.DUMMYFUNCTION("""COMPUTED_VALUE"""),0.0)</f>
        <v>0</v>
      </c>
      <c r="BL245" s="3">
        <f>IFERROR(__xludf.DUMMYFUNCTION("""COMPUTED_VALUE"""),0.0)</f>
        <v>0</v>
      </c>
      <c r="BM245" s="3">
        <f>IFERROR(__xludf.DUMMYFUNCTION("""COMPUTED_VALUE"""),0.0)</f>
        <v>0</v>
      </c>
      <c r="BN245" s="3">
        <f>IFERROR(__xludf.DUMMYFUNCTION("""COMPUTED_VALUE"""),0.0)</f>
        <v>0</v>
      </c>
      <c r="BO245" s="3">
        <f>IFERROR(__xludf.DUMMYFUNCTION("""COMPUTED_VALUE"""),0.0)</f>
        <v>0</v>
      </c>
      <c r="BP245" s="3">
        <f>IFERROR(__xludf.DUMMYFUNCTION("""COMPUTED_VALUE"""),0.0)</f>
        <v>0</v>
      </c>
      <c r="BQ245" s="3">
        <f>IFERROR(__xludf.DUMMYFUNCTION("""COMPUTED_VALUE"""),0.0)</f>
        <v>0</v>
      </c>
      <c r="BR245" s="3">
        <f>IFERROR(__xludf.DUMMYFUNCTION("""COMPUTED_VALUE"""),0.0)</f>
        <v>0</v>
      </c>
      <c r="BS245" s="3">
        <f>IFERROR(__xludf.DUMMYFUNCTION("""COMPUTED_VALUE"""),0.0)</f>
        <v>0</v>
      </c>
      <c r="BT245" s="3">
        <f>IFERROR(__xludf.DUMMYFUNCTION("""COMPUTED_VALUE"""),1.0)</f>
        <v>1</v>
      </c>
      <c r="BU245" s="3">
        <f>IFERROR(__xludf.DUMMYFUNCTION("""COMPUTED_VALUE"""),2.0)</f>
        <v>2</v>
      </c>
      <c r="BV245" s="3">
        <f>IFERROR(__xludf.DUMMYFUNCTION("""COMPUTED_VALUE"""),2.0)</f>
        <v>2</v>
      </c>
      <c r="BW245" s="3">
        <f>IFERROR(__xludf.DUMMYFUNCTION("""COMPUTED_VALUE"""),3.0)</f>
        <v>3</v>
      </c>
      <c r="BX245" s="3">
        <f>IFERROR(__xludf.DUMMYFUNCTION("""COMPUTED_VALUE"""),3.0)</f>
        <v>3</v>
      </c>
      <c r="BY245" s="3">
        <f>IFERROR(__xludf.DUMMYFUNCTION("""COMPUTED_VALUE"""),3.0)</f>
        <v>3</v>
      </c>
      <c r="BZ245" s="3">
        <f>IFERROR(__xludf.DUMMYFUNCTION("""COMPUTED_VALUE"""),3.0)</f>
        <v>3</v>
      </c>
      <c r="CA245" s="3">
        <f>IFERROR(__xludf.DUMMYFUNCTION("""COMPUTED_VALUE"""),5.0)</f>
        <v>5</v>
      </c>
      <c r="CB245" s="3">
        <f>IFERROR(__xludf.DUMMYFUNCTION("""COMPUTED_VALUE"""),5.0)</f>
        <v>5</v>
      </c>
    </row>
    <row r="246">
      <c r="A246" s="3" t="str">
        <f>IFERROR(__xludf.DUMMYFUNCTION("""COMPUTED_VALUE"""),"")</f>
        <v/>
      </c>
      <c r="B246" s="3" t="str">
        <f>IFERROR(__xludf.DUMMYFUNCTION("""COMPUTED_VALUE"""),"Saint Kitts and Nevis")</f>
        <v>Saint Kitts and Nevis</v>
      </c>
      <c r="C246" s="3">
        <f>IFERROR(__xludf.DUMMYFUNCTION("""COMPUTED_VALUE"""),17.357822)</f>
        <v>17.357822</v>
      </c>
      <c r="D246" s="3">
        <f>IFERROR(__xludf.DUMMYFUNCTION("""COMPUTED_VALUE"""),-62.782998)</f>
        <v>-62.782998</v>
      </c>
      <c r="E246" s="3">
        <f>IFERROR(__xludf.DUMMYFUNCTION("""COMPUTED_VALUE"""),0.0)</f>
        <v>0</v>
      </c>
      <c r="F246" s="3">
        <f>IFERROR(__xludf.DUMMYFUNCTION("""COMPUTED_VALUE"""),0.0)</f>
        <v>0</v>
      </c>
      <c r="G246" s="3">
        <f>IFERROR(__xludf.DUMMYFUNCTION("""COMPUTED_VALUE"""),0.0)</f>
        <v>0</v>
      </c>
      <c r="H246" s="3">
        <f>IFERROR(__xludf.DUMMYFUNCTION("""COMPUTED_VALUE"""),0.0)</f>
        <v>0</v>
      </c>
      <c r="I246" s="3">
        <f>IFERROR(__xludf.DUMMYFUNCTION("""COMPUTED_VALUE"""),0.0)</f>
        <v>0</v>
      </c>
      <c r="J246" s="3">
        <f>IFERROR(__xludf.DUMMYFUNCTION("""COMPUTED_VALUE"""),0.0)</f>
        <v>0</v>
      </c>
      <c r="K246" s="3">
        <f>IFERROR(__xludf.DUMMYFUNCTION("""COMPUTED_VALUE"""),0.0)</f>
        <v>0</v>
      </c>
      <c r="L246" s="3">
        <f>IFERROR(__xludf.DUMMYFUNCTION("""COMPUTED_VALUE"""),0.0)</f>
        <v>0</v>
      </c>
      <c r="M246" s="3">
        <f>IFERROR(__xludf.DUMMYFUNCTION("""COMPUTED_VALUE"""),0.0)</f>
        <v>0</v>
      </c>
      <c r="N246" s="3">
        <f>IFERROR(__xludf.DUMMYFUNCTION("""COMPUTED_VALUE"""),0.0)</f>
        <v>0</v>
      </c>
      <c r="O246" s="3">
        <f>IFERROR(__xludf.DUMMYFUNCTION("""COMPUTED_VALUE"""),0.0)</f>
        <v>0</v>
      </c>
      <c r="P246" s="3">
        <f>IFERROR(__xludf.DUMMYFUNCTION("""COMPUTED_VALUE"""),0.0)</f>
        <v>0</v>
      </c>
      <c r="Q246" s="3">
        <f>IFERROR(__xludf.DUMMYFUNCTION("""COMPUTED_VALUE"""),0.0)</f>
        <v>0</v>
      </c>
      <c r="R246" s="3">
        <f>IFERROR(__xludf.DUMMYFUNCTION("""COMPUTED_VALUE"""),0.0)</f>
        <v>0</v>
      </c>
      <c r="S246" s="3">
        <f>IFERROR(__xludf.DUMMYFUNCTION("""COMPUTED_VALUE"""),0.0)</f>
        <v>0</v>
      </c>
      <c r="T246" s="3">
        <f>IFERROR(__xludf.DUMMYFUNCTION("""COMPUTED_VALUE"""),0.0)</f>
        <v>0</v>
      </c>
      <c r="U246" s="3">
        <f>IFERROR(__xludf.DUMMYFUNCTION("""COMPUTED_VALUE"""),0.0)</f>
        <v>0</v>
      </c>
      <c r="V246" s="3">
        <f>IFERROR(__xludf.DUMMYFUNCTION("""COMPUTED_VALUE"""),0.0)</f>
        <v>0</v>
      </c>
      <c r="W246" s="3">
        <f>IFERROR(__xludf.DUMMYFUNCTION("""COMPUTED_VALUE"""),0.0)</f>
        <v>0</v>
      </c>
      <c r="X246" s="3">
        <f>IFERROR(__xludf.DUMMYFUNCTION("""COMPUTED_VALUE"""),0.0)</f>
        <v>0</v>
      </c>
      <c r="Y246" s="3">
        <f>IFERROR(__xludf.DUMMYFUNCTION("""COMPUTED_VALUE"""),0.0)</f>
        <v>0</v>
      </c>
      <c r="Z246" s="3">
        <f>IFERROR(__xludf.DUMMYFUNCTION("""COMPUTED_VALUE"""),0.0)</f>
        <v>0</v>
      </c>
      <c r="AA246" s="3">
        <f>IFERROR(__xludf.DUMMYFUNCTION("""COMPUTED_VALUE"""),0.0)</f>
        <v>0</v>
      </c>
      <c r="AB246" s="3">
        <f>IFERROR(__xludf.DUMMYFUNCTION("""COMPUTED_VALUE"""),0.0)</f>
        <v>0</v>
      </c>
      <c r="AC246" s="3">
        <f>IFERROR(__xludf.DUMMYFUNCTION("""COMPUTED_VALUE"""),0.0)</f>
        <v>0</v>
      </c>
      <c r="AD246" s="3">
        <f>IFERROR(__xludf.DUMMYFUNCTION("""COMPUTED_VALUE"""),0.0)</f>
        <v>0</v>
      </c>
      <c r="AE246" s="3">
        <f>IFERROR(__xludf.DUMMYFUNCTION("""COMPUTED_VALUE"""),0.0)</f>
        <v>0</v>
      </c>
      <c r="AF246" s="3">
        <f>IFERROR(__xludf.DUMMYFUNCTION("""COMPUTED_VALUE"""),0.0)</f>
        <v>0</v>
      </c>
      <c r="AG246" s="3">
        <f>IFERROR(__xludf.DUMMYFUNCTION("""COMPUTED_VALUE"""),0.0)</f>
        <v>0</v>
      </c>
      <c r="AH246" s="3">
        <f>IFERROR(__xludf.DUMMYFUNCTION("""COMPUTED_VALUE"""),0.0)</f>
        <v>0</v>
      </c>
      <c r="AI246" s="3">
        <f>IFERROR(__xludf.DUMMYFUNCTION("""COMPUTED_VALUE"""),0.0)</f>
        <v>0</v>
      </c>
      <c r="AJ246" s="3">
        <f>IFERROR(__xludf.DUMMYFUNCTION("""COMPUTED_VALUE"""),0.0)</f>
        <v>0</v>
      </c>
      <c r="AK246" s="3">
        <f>IFERROR(__xludf.DUMMYFUNCTION("""COMPUTED_VALUE"""),0.0)</f>
        <v>0</v>
      </c>
      <c r="AL246" s="3">
        <f>IFERROR(__xludf.DUMMYFUNCTION("""COMPUTED_VALUE"""),0.0)</f>
        <v>0</v>
      </c>
      <c r="AM246" s="3">
        <f>IFERROR(__xludf.DUMMYFUNCTION("""COMPUTED_VALUE"""),0.0)</f>
        <v>0</v>
      </c>
      <c r="AN246" s="3">
        <f>IFERROR(__xludf.DUMMYFUNCTION("""COMPUTED_VALUE"""),0.0)</f>
        <v>0</v>
      </c>
      <c r="AO246" s="3">
        <f>IFERROR(__xludf.DUMMYFUNCTION("""COMPUTED_VALUE"""),0.0)</f>
        <v>0</v>
      </c>
      <c r="AP246" s="3">
        <f>IFERROR(__xludf.DUMMYFUNCTION("""COMPUTED_VALUE"""),0.0)</f>
        <v>0</v>
      </c>
      <c r="AQ246" s="3">
        <f>IFERROR(__xludf.DUMMYFUNCTION("""COMPUTED_VALUE"""),0.0)</f>
        <v>0</v>
      </c>
      <c r="AR246" s="3">
        <f>IFERROR(__xludf.DUMMYFUNCTION("""COMPUTED_VALUE"""),0.0)</f>
        <v>0</v>
      </c>
      <c r="AS246" s="3">
        <f>IFERROR(__xludf.DUMMYFUNCTION("""COMPUTED_VALUE"""),0.0)</f>
        <v>0</v>
      </c>
      <c r="AT246" s="3">
        <f>IFERROR(__xludf.DUMMYFUNCTION("""COMPUTED_VALUE"""),0.0)</f>
        <v>0</v>
      </c>
      <c r="AU246" s="3">
        <f>IFERROR(__xludf.DUMMYFUNCTION("""COMPUTED_VALUE"""),0.0)</f>
        <v>0</v>
      </c>
      <c r="AV246" s="3">
        <f>IFERROR(__xludf.DUMMYFUNCTION("""COMPUTED_VALUE"""),0.0)</f>
        <v>0</v>
      </c>
      <c r="AW246" s="3">
        <f>IFERROR(__xludf.DUMMYFUNCTION("""COMPUTED_VALUE"""),0.0)</f>
        <v>0</v>
      </c>
      <c r="AX246" s="3">
        <f>IFERROR(__xludf.DUMMYFUNCTION("""COMPUTED_VALUE"""),0.0)</f>
        <v>0</v>
      </c>
      <c r="AY246" s="3">
        <f>IFERROR(__xludf.DUMMYFUNCTION("""COMPUTED_VALUE"""),0.0)</f>
        <v>0</v>
      </c>
      <c r="AZ246" s="3">
        <f>IFERROR(__xludf.DUMMYFUNCTION("""COMPUTED_VALUE"""),0.0)</f>
        <v>0</v>
      </c>
      <c r="BA246" s="3">
        <f>IFERROR(__xludf.DUMMYFUNCTION("""COMPUTED_VALUE"""),0.0)</f>
        <v>0</v>
      </c>
      <c r="BB246" s="3">
        <f>IFERROR(__xludf.DUMMYFUNCTION("""COMPUTED_VALUE"""),0.0)</f>
        <v>0</v>
      </c>
      <c r="BC246" s="3">
        <f>IFERROR(__xludf.DUMMYFUNCTION("""COMPUTED_VALUE"""),0.0)</f>
        <v>0</v>
      </c>
      <c r="BD246" s="3">
        <f>IFERROR(__xludf.DUMMYFUNCTION("""COMPUTED_VALUE"""),0.0)</f>
        <v>0</v>
      </c>
      <c r="BE246" s="3">
        <f>IFERROR(__xludf.DUMMYFUNCTION("""COMPUTED_VALUE"""),0.0)</f>
        <v>0</v>
      </c>
      <c r="BF246" s="3">
        <f>IFERROR(__xludf.DUMMYFUNCTION("""COMPUTED_VALUE"""),0.0)</f>
        <v>0</v>
      </c>
      <c r="BG246" s="3">
        <f>IFERROR(__xludf.DUMMYFUNCTION("""COMPUTED_VALUE"""),0.0)</f>
        <v>0</v>
      </c>
      <c r="BH246" s="3">
        <f>IFERROR(__xludf.DUMMYFUNCTION("""COMPUTED_VALUE"""),0.0)</f>
        <v>0</v>
      </c>
      <c r="BI246" s="3">
        <f>IFERROR(__xludf.DUMMYFUNCTION("""COMPUTED_VALUE"""),0.0)</f>
        <v>0</v>
      </c>
      <c r="BJ246" s="3">
        <f>IFERROR(__xludf.DUMMYFUNCTION("""COMPUTED_VALUE"""),0.0)</f>
        <v>0</v>
      </c>
      <c r="BK246" s="3">
        <f>IFERROR(__xludf.DUMMYFUNCTION("""COMPUTED_VALUE"""),0.0)</f>
        <v>0</v>
      </c>
      <c r="BL246" s="3">
        <f>IFERROR(__xludf.DUMMYFUNCTION("""COMPUTED_VALUE"""),0.0)</f>
        <v>0</v>
      </c>
      <c r="BM246" s="3">
        <f>IFERROR(__xludf.DUMMYFUNCTION("""COMPUTED_VALUE"""),0.0)</f>
        <v>0</v>
      </c>
      <c r="BN246" s="3">
        <f>IFERROR(__xludf.DUMMYFUNCTION("""COMPUTED_VALUE"""),0.0)</f>
        <v>0</v>
      </c>
      <c r="BO246" s="3">
        <f>IFERROR(__xludf.DUMMYFUNCTION("""COMPUTED_VALUE"""),0.0)</f>
        <v>0</v>
      </c>
      <c r="BP246" s="3">
        <f>IFERROR(__xludf.DUMMYFUNCTION("""COMPUTED_VALUE"""),0.0)</f>
        <v>0</v>
      </c>
      <c r="BQ246" s="3">
        <f>IFERROR(__xludf.DUMMYFUNCTION("""COMPUTED_VALUE"""),0.0)</f>
        <v>0</v>
      </c>
      <c r="BR246" s="3">
        <f>IFERROR(__xludf.DUMMYFUNCTION("""COMPUTED_VALUE"""),0.0)</f>
        <v>0</v>
      </c>
      <c r="BS246" s="3">
        <f>IFERROR(__xludf.DUMMYFUNCTION("""COMPUTED_VALUE"""),0.0)</f>
        <v>0</v>
      </c>
      <c r="BT246" s="3">
        <f>IFERROR(__xludf.DUMMYFUNCTION("""COMPUTED_VALUE"""),0.0)</f>
        <v>0</v>
      </c>
      <c r="BU246" s="3">
        <f>IFERROR(__xludf.DUMMYFUNCTION("""COMPUTED_VALUE"""),0.0)</f>
        <v>0</v>
      </c>
      <c r="BV246" s="3">
        <f>IFERROR(__xludf.DUMMYFUNCTION("""COMPUTED_VALUE"""),0.0)</f>
        <v>0</v>
      </c>
      <c r="BW246" s="3">
        <f>IFERROR(__xludf.DUMMYFUNCTION("""COMPUTED_VALUE"""),0.0)</f>
        <v>0</v>
      </c>
      <c r="BX246" s="3">
        <f>IFERROR(__xludf.DUMMYFUNCTION("""COMPUTED_VALUE"""),0.0)</f>
        <v>0</v>
      </c>
      <c r="BY246" s="3">
        <f>IFERROR(__xludf.DUMMYFUNCTION("""COMPUTED_VALUE"""),0.0)</f>
        <v>0</v>
      </c>
      <c r="BZ246" s="3">
        <f>IFERROR(__xludf.DUMMYFUNCTION("""COMPUTED_VALUE"""),0.0)</f>
        <v>0</v>
      </c>
      <c r="CA246" s="3">
        <f>IFERROR(__xludf.DUMMYFUNCTION("""COMPUTED_VALUE"""),0.0)</f>
        <v>0</v>
      </c>
      <c r="CB246" s="3">
        <f>IFERROR(__xludf.DUMMYFUNCTION("""COMPUTED_VALUE"""),0.0)</f>
        <v>0</v>
      </c>
    </row>
    <row r="247">
      <c r="A247" s="3" t="str">
        <f>IFERROR(__xludf.DUMMYFUNCTION("""COMPUTED_VALUE"""),"Northwest Territories")</f>
        <v>Northwest Territories</v>
      </c>
      <c r="B247" s="3" t="str">
        <f>IFERROR(__xludf.DUMMYFUNCTION("""COMPUTED_VALUE"""),"Canada")</f>
        <v>Canada</v>
      </c>
      <c r="C247" s="3">
        <f>IFERROR(__xludf.DUMMYFUNCTION("""COMPUTED_VALUE"""),64.8255)</f>
        <v>64.8255</v>
      </c>
      <c r="D247" s="3">
        <f>IFERROR(__xludf.DUMMYFUNCTION("""COMPUTED_VALUE"""),-124.8457)</f>
        <v>-124.8457</v>
      </c>
      <c r="E247" s="3">
        <f>IFERROR(__xludf.DUMMYFUNCTION("""COMPUTED_VALUE"""),0.0)</f>
        <v>0</v>
      </c>
      <c r="F247" s="3">
        <f>IFERROR(__xludf.DUMMYFUNCTION("""COMPUTED_VALUE"""),0.0)</f>
        <v>0</v>
      </c>
      <c r="G247" s="3">
        <f>IFERROR(__xludf.DUMMYFUNCTION("""COMPUTED_VALUE"""),0.0)</f>
        <v>0</v>
      </c>
      <c r="H247" s="3">
        <f>IFERROR(__xludf.DUMMYFUNCTION("""COMPUTED_VALUE"""),0.0)</f>
        <v>0</v>
      </c>
      <c r="I247" s="3">
        <f>IFERROR(__xludf.DUMMYFUNCTION("""COMPUTED_VALUE"""),0.0)</f>
        <v>0</v>
      </c>
      <c r="J247" s="3">
        <f>IFERROR(__xludf.DUMMYFUNCTION("""COMPUTED_VALUE"""),0.0)</f>
        <v>0</v>
      </c>
      <c r="K247" s="3">
        <f>IFERROR(__xludf.DUMMYFUNCTION("""COMPUTED_VALUE"""),0.0)</f>
        <v>0</v>
      </c>
      <c r="L247" s="3">
        <f>IFERROR(__xludf.DUMMYFUNCTION("""COMPUTED_VALUE"""),0.0)</f>
        <v>0</v>
      </c>
      <c r="M247" s="3">
        <f>IFERROR(__xludf.DUMMYFUNCTION("""COMPUTED_VALUE"""),0.0)</f>
        <v>0</v>
      </c>
      <c r="N247" s="3">
        <f>IFERROR(__xludf.DUMMYFUNCTION("""COMPUTED_VALUE"""),0.0)</f>
        <v>0</v>
      </c>
      <c r="O247" s="3">
        <f>IFERROR(__xludf.DUMMYFUNCTION("""COMPUTED_VALUE"""),0.0)</f>
        <v>0</v>
      </c>
      <c r="P247" s="3">
        <f>IFERROR(__xludf.DUMMYFUNCTION("""COMPUTED_VALUE"""),0.0)</f>
        <v>0</v>
      </c>
      <c r="Q247" s="3">
        <f>IFERROR(__xludf.DUMMYFUNCTION("""COMPUTED_VALUE"""),0.0)</f>
        <v>0</v>
      </c>
      <c r="R247" s="3">
        <f>IFERROR(__xludf.DUMMYFUNCTION("""COMPUTED_VALUE"""),0.0)</f>
        <v>0</v>
      </c>
      <c r="S247" s="3">
        <f>IFERROR(__xludf.DUMMYFUNCTION("""COMPUTED_VALUE"""),0.0)</f>
        <v>0</v>
      </c>
      <c r="T247" s="3">
        <f>IFERROR(__xludf.DUMMYFUNCTION("""COMPUTED_VALUE"""),0.0)</f>
        <v>0</v>
      </c>
      <c r="U247" s="3">
        <f>IFERROR(__xludf.DUMMYFUNCTION("""COMPUTED_VALUE"""),0.0)</f>
        <v>0</v>
      </c>
      <c r="V247" s="3">
        <f>IFERROR(__xludf.DUMMYFUNCTION("""COMPUTED_VALUE"""),0.0)</f>
        <v>0</v>
      </c>
      <c r="W247" s="3">
        <f>IFERROR(__xludf.DUMMYFUNCTION("""COMPUTED_VALUE"""),0.0)</f>
        <v>0</v>
      </c>
      <c r="X247" s="3">
        <f>IFERROR(__xludf.DUMMYFUNCTION("""COMPUTED_VALUE"""),0.0)</f>
        <v>0</v>
      </c>
      <c r="Y247" s="3">
        <f>IFERROR(__xludf.DUMMYFUNCTION("""COMPUTED_VALUE"""),0.0)</f>
        <v>0</v>
      </c>
      <c r="Z247" s="3">
        <f>IFERROR(__xludf.DUMMYFUNCTION("""COMPUTED_VALUE"""),0.0)</f>
        <v>0</v>
      </c>
      <c r="AA247" s="3">
        <f>IFERROR(__xludf.DUMMYFUNCTION("""COMPUTED_VALUE"""),0.0)</f>
        <v>0</v>
      </c>
      <c r="AB247" s="3">
        <f>IFERROR(__xludf.DUMMYFUNCTION("""COMPUTED_VALUE"""),0.0)</f>
        <v>0</v>
      </c>
      <c r="AC247" s="3">
        <f>IFERROR(__xludf.DUMMYFUNCTION("""COMPUTED_VALUE"""),0.0)</f>
        <v>0</v>
      </c>
      <c r="AD247" s="3">
        <f>IFERROR(__xludf.DUMMYFUNCTION("""COMPUTED_VALUE"""),0.0)</f>
        <v>0</v>
      </c>
      <c r="AE247" s="3">
        <f>IFERROR(__xludf.DUMMYFUNCTION("""COMPUTED_VALUE"""),0.0)</f>
        <v>0</v>
      </c>
      <c r="AF247" s="3">
        <f>IFERROR(__xludf.DUMMYFUNCTION("""COMPUTED_VALUE"""),0.0)</f>
        <v>0</v>
      </c>
      <c r="AG247" s="3">
        <f>IFERROR(__xludf.DUMMYFUNCTION("""COMPUTED_VALUE"""),0.0)</f>
        <v>0</v>
      </c>
      <c r="AH247" s="3">
        <f>IFERROR(__xludf.DUMMYFUNCTION("""COMPUTED_VALUE"""),0.0)</f>
        <v>0</v>
      </c>
      <c r="AI247" s="3">
        <f>IFERROR(__xludf.DUMMYFUNCTION("""COMPUTED_VALUE"""),0.0)</f>
        <v>0</v>
      </c>
      <c r="AJ247" s="3">
        <f>IFERROR(__xludf.DUMMYFUNCTION("""COMPUTED_VALUE"""),0.0)</f>
        <v>0</v>
      </c>
      <c r="AK247" s="3">
        <f>IFERROR(__xludf.DUMMYFUNCTION("""COMPUTED_VALUE"""),0.0)</f>
        <v>0</v>
      </c>
      <c r="AL247" s="3">
        <f>IFERROR(__xludf.DUMMYFUNCTION("""COMPUTED_VALUE"""),0.0)</f>
        <v>0</v>
      </c>
      <c r="AM247" s="3">
        <f>IFERROR(__xludf.DUMMYFUNCTION("""COMPUTED_VALUE"""),0.0)</f>
        <v>0</v>
      </c>
      <c r="AN247" s="3">
        <f>IFERROR(__xludf.DUMMYFUNCTION("""COMPUTED_VALUE"""),0.0)</f>
        <v>0</v>
      </c>
      <c r="AO247" s="3">
        <f>IFERROR(__xludf.DUMMYFUNCTION("""COMPUTED_VALUE"""),0.0)</f>
        <v>0</v>
      </c>
      <c r="AP247" s="3">
        <f>IFERROR(__xludf.DUMMYFUNCTION("""COMPUTED_VALUE"""),0.0)</f>
        <v>0</v>
      </c>
      <c r="AQ247" s="3">
        <f>IFERROR(__xludf.DUMMYFUNCTION("""COMPUTED_VALUE"""),0.0)</f>
        <v>0</v>
      </c>
      <c r="AR247" s="3">
        <f>IFERROR(__xludf.DUMMYFUNCTION("""COMPUTED_VALUE"""),0.0)</f>
        <v>0</v>
      </c>
      <c r="AS247" s="3">
        <f>IFERROR(__xludf.DUMMYFUNCTION("""COMPUTED_VALUE"""),0.0)</f>
        <v>0</v>
      </c>
      <c r="AT247" s="3">
        <f>IFERROR(__xludf.DUMMYFUNCTION("""COMPUTED_VALUE"""),0.0)</f>
        <v>0</v>
      </c>
      <c r="AU247" s="3">
        <f>IFERROR(__xludf.DUMMYFUNCTION("""COMPUTED_VALUE"""),0.0)</f>
        <v>0</v>
      </c>
      <c r="AV247" s="3">
        <f>IFERROR(__xludf.DUMMYFUNCTION("""COMPUTED_VALUE"""),0.0)</f>
        <v>0</v>
      </c>
      <c r="AW247" s="3">
        <f>IFERROR(__xludf.DUMMYFUNCTION("""COMPUTED_VALUE"""),0.0)</f>
        <v>0</v>
      </c>
      <c r="AX247" s="3">
        <f>IFERROR(__xludf.DUMMYFUNCTION("""COMPUTED_VALUE"""),0.0)</f>
        <v>0</v>
      </c>
      <c r="AY247" s="3">
        <f>IFERROR(__xludf.DUMMYFUNCTION("""COMPUTED_VALUE"""),0.0)</f>
        <v>0</v>
      </c>
      <c r="AZ247" s="3">
        <f>IFERROR(__xludf.DUMMYFUNCTION("""COMPUTED_VALUE"""),0.0)</f>
        <v>0</v>
      </c>
      <c r="BA247" s="3">
        <f>IFERROR(__xludf.DUMMYFUNCTION("""COMPUTED_VALUE"""),0.0)</f>
        <v>0</v>
      </c>
      <c r="BB247" s="3">
        <f>IFERROR(__xludf.DUMMYFUNCTION("""COMPUTED_VALUE"""),0.0)</f>
        <v>0</v>
      </c>
      <c r="BC247" s="3">
        <f>IFERROR(__xludf.DUMMYFUNCTION("""COMPUTED_VALUE"""),0.0)</f>
        <v>0</v>
      </c>
      <c r="BD247" s="3">
        <f>IFERROR(__xludf.DUMMYFUNCTION("""COMPUTED_VALUE"""),0.0)</f>
        <v>0</v>
      </c>
      <c r="BE247" s="3">
        <f>IFERROR(__xludf.DUMMYFUNCTION("""COMPUTED_VALUE"""),0.0)</f>
        <v>0</v>
      </c>
      <c r="BF247" s="3">
        <f>IFERROR(__xludf.DUMMYFUNCTION("""COMPUTED_VALUE"""),0.0)</f>
        <v>0</v>
      </c>
      <c r="BG247" s="3">
        <f>IFERROR(__xludf.DUMMYFUNCTION("""COMPUTED_VALUE"""),0.0)</f>
        <v>0</v>
      </c>
      <c r="BH247" s="3">
        <f>IFERROR(__xludf.DUMMYFUNCTION("""COMPUTED_VALUE"""),0.0)</f>
        <v>0</v>
      </c>
      <c r="BI247" s="3">
        <f>IFERROR(__xludf.DUMMYFUNCTION("""COMPUTED_VALUE"""),0.0)</f>
        <v>0</v>
      </c>
      <c r="BJ247" s="3">
        <f>IFERROR(__xludf.DUMMYFUNCTION("""COMPUTED_VALUE"""),0.0)</f>
        <v>0</v>
      </c>
      <c r="BK247" s="3">
        <f>IFERROR(__xludf.DUMMYFUNCTION("""COMPUTED_VALUE"""),0.0)</f>
        <v>0</v>
      </c>
      <c r="BL247" s="3">
        <f>IFERROR(__xludf.DUMMYFUNCTION("""COMPUTED_VALUE"""),0.0)</f>
        <v>0</v>
      </c>
      <c r="BM247" s="3">
        <f>IFERROR(__xludf.DUMMYFUNCTION("""COMPUTED_VALUE"""),0.0)</f>
        <v>0</v>
      </c>
      <c r="BN247" s="3">
        <f>IFERROR(__xludf.DUMMYFUNCTION("""COMPUTED_VALUE"""),0.0)</f>
        <v>0</v>
      </c>
      <c r="BO247" s="3">
        <f>IFERROR(__xludf.DUMMYFUNCTION("""COMPUTED_VALUE"""),0.0)</f>
        <v>0</v>
      </c>
      <c r="BP247" s="3">
        <f>IFERROR(__xludf.DUMMYFUNCTION("""COMPUTED_VALUE"""),0.0)</f>
        <v>0</v>
      </c>
      <c r="BQ247" s="3">
        <f>IFERROR(__xludf.DUMMYFUNCTION("""COMPUTED_VALUE"""),0.0)</f>
        <v>0</v>
      </c>
      <c r="BR247" s="3">
        <f>IFERROR(__xludf.DUMMYFUNCTION("""COMPUTED_VALUE"""),0.0)</f>
        <v>0</v>
      </c>
      <c r="BS247" s="3">
        <f>IFERROR(__xludf.DUMMYFUNCTION("""COMPUTED_VALUE"""),0.0)</f>
        <v>0</v>
      </c>
      <c r="BT247" s="3">
        <f>IFERROR(__xludf.DUMMYFUNCTION("""COMPUTED_VALUE"""),0.0)</f>
        <v>0</v>
      </c>
      <c r="BU247" s="3">
        <f>IFERROR(__xludf.DUMMYFUNCTION("""COMPUTED_VALUE"""),0.0)</f>
        <v>0</v>
      </c>
      <c r="BV247" s="3">
        <f>IFERROR(__xludf.DUMMYFUNCTION("""COMPUTED_VALUE"""),0.0)</f>
        <v>0</v>
      </c>
      <c r="BW247" s="3">
        <f>IFERROR(__xludf.DUMMYFUNCTION("""COMPUTED_VALUE"""),0.0)</f>
        <v>0</v>
      </c>
      <c r="BX247" s="3">
        <f>IFERROR(__xludf.DUMMYFUNCTION("""COMPUTED_VALUE"""),0.0)</f>
        <v>0</v>
      </c>
      <c r="BY247" s="3">
        <f>IFERROR(__xludf.DUMMYFUNCTION("""COMPUTED_VALUE"""),0.0)</f>
        <v>0</v>
      </c>
      <c r="BZ247" s="3">
        <f>IFERROR(__xludf.DUMMYFUNCTION("""COMPUTED_VALUE"""),0.0)</f>
        <v>0</v>
      </c>
      <c r="CA247" s="3">
        <f>IFERROR(__xludf.DUMMYFUNCTION("""COMPUTED_VALUE"""),0.0)</f>
        <v>0</v>
      </c>
      <c r="CB247" s="3">
        <f>IFERROR(__xludf.DUMMYFUNCTION("""COMPUTED_VALUE"""),0.0)</f>
        <v>0</v>
      </c>
    </row>
    <row r="248">
      <c r="A248" s="3" t="str">
        <f>IFERROR(__xludf.DUMMYFUNCTION("""COMPUTED_VALUE"""),"Yukon")</f>
        <v>Yukon</v>
      </c>
      <c r="B248" s="3" t="str">
        <f>IFERROR(__xludf.DUMMYFUNCTION("""COMPUTED_VALUE"""),"Canada")</f>
        <v>Canada</v>
      </c>
      <c r="C248" s="3">
        <f>IFERROR(__xludf.DUMMYFUNCTION("""COMPUTED_VALUE"""),64.2823)</f>
        <v>64.2823</v>
      </c>
      <c r="D248" s="3">
        <f>IFERROR(__xludf.DUMMYFUNCTION("""COMPUTED_VALUE"""),-135.0)</f>
        <v>-135</v>
      </c>
      <c r="E248" s="3">
        <f>IFERROR(__xludf.DUMMYFUNCTION("""COMPUTED_VALUE"""),0.0)</f>
        <v>0</v>
      </c>
      <c r="F248" s="3">
        <f>IFERROR(__xludf.DUMMYFUNCTION("""COMPUTED_VALUE"""),0.0)</f>
        <v>0</v>
      </c>
      <c r="G248" s="3">
        <f>IFERROR(__xludf.DUMMYFUNCTION("""COMPUTED_VALUE"""),0.0)</f>
        <v>0</v>
      </c>
      <c r="H248" s="3">
        <f>IFERROR(__xludf.DUMMYFUNCTION("""COMPUTED_VALUE"""),0.0)</f>
        <v>0</v>
      </c>
      <c r="I248" s="3">
        <f>IFERROR(__xludf.DUMMYFUNCTION("""COMPUTED_VALUE"""),0.0)</f>
        <v>0</v>
      </c>
      <c r="J248" s="3">
        <f>IFERROR(__xludf.DUMMYFUNCTION("""COMPUTED_VALUE"""),0.0)</f>
        <v>0</v>
      </c>
      <c r="K248" s="3">
        <f>IFERROR(__xludf.DUMMYFUNCTION("""COMPUTED_VALUE"""),0.0)</f>
        <v>0</v>
      </c>
      <c r="L248" s="3">
        <f>IFERROR(__xludf.DUMMYFUNCTION("""COMPUTED_VALUE"""),0.0)</f>
        <v>0</v>
      </c>
      <c r="M248" s="3">
        <f>IFERROR(__xludf.DUMMYFUNCTION("""COMPUTED_VALUE"""),0.0)</f>
        <v>0</v>
      </c>
      <c r="N248" s="3">
        <f>IFERROR(__xludf.DUMMYFUNCTION("""COMPUTED_VALUE"""),0.0)</f>
        <v>0</v>
      </c>
      <c r="O248" s="3">
        <f>IFERROR(__xludf.DUMMYFUNCTION("""COMPUTED_VALUE"""),0.0)</f>
        <v>0</v>
      </c>
      <c r="P248" s="3">
        <f>IFERROR(__xludf.DUMMYFUNCTION("""COMPUTED_VALUE"""),0.0)</f>
        <v>0</v>
      </c>
      <c r="Q248" s="3">
        <f>IFERROR(__xludf.DUMMYFUNCTION("""COMPUTED_VALUE"""),0.0)</f>
        <v>0</v>
      </c>
      <c r="R248" s="3">
        <f>IFERROR(__xludf.DUMMYFUNCTION("""COMPUTED_VALUE"""),0.0)</f>
        <v>0</v>
      </c>
      <c r="S248" s="3">
        <f>IFERROR(__xludf.DUMMYFUNCTION("""COMPUTED_VALUE"""),0.0)</f>
        <v>0</v>
      </c>
      <c r="T248" s="3">
        <f>IFERROR(__xludf.DUMMYFUNCTION("""COMPUTED_VALUE"""),0.0)</f>
        <v>0</v>
      </c>
      <c r="U248" s="3">
        <f>IFERROR(__xludf.DUMMYFUNCTION("""COMPUTED_VALUE"""),0.0)</f>
        <v>0</v>
      </c>
      <c r="V248" s="3">
        <f>IFERROR(__xludf.DUMMYFUNCTION("""COMPUTED_VALUE"""),0.0)</f>
        <v>0</v>
      </c>
      <c r="W248" s="3">
        <f>IFERROR(__xludf.DUMMYFUNCTION("""COMPUTED_VALUE"""),0.0)</f>
        <v>0</v>
      </c>
      <c r="X248" s="3">
        <f>IFERROR(__xludf.DUMMYFUNCTION("""COMPUTED_VALUE"""),0.0)</f>
        <v>0</v>
      </c>
      <c r="Y248" s="3">
        <f>IFERROR(__xludf.DUMMYFUNCTION("""COMPUTED_VALUE"""),0.0)</f>
        <v>0</v>
      </c>
      <c r="Z248" s="3">
        <f>IFERROR(__xludf.DUMMYFUNCTION("""COMPUTED_VALUE"""),0.0)</f>
        <v>0</v>
      </c>
      <c r="AA248" s="3">
        <f>IFERROR(__xludf.DUMMYFUNCTION("""COMPUTED_VALUE"""),0.0)</f>
        <v>0</v>
      </c>
      <c r="AB248" s="3">
        <f>IFERROR(__xludf.DUMMYFUNCTION("""COMPUTED_VALUE"""),0.0)</f>
        <v>0</v>
      </c>
      <c r="AC248" s="3">
        <f>IFERROR(__xludf.DUMMYFUNCTION("""COMPUTED_VALUE"""),0.0)</f>
        <v>0</v>
      </c>
      <c r="AD248" s="3">
        <f>IFERROR(__xludf.DUMMYFUNCTION("""COMPUTED_VALUE"""),0.0)</f>
        <v>0</v>
      </c>
      <c r="AE248" s="3">
        <f>IFERROR(__xludf.DUMMYFUNCTION("""COMPUTED_VALUE"""),0.0)</f>
        <v>0</v>
      </c>
      <c r="AF248" s="3">
        <f>IFERROR(__xludf.DUMMYFUNCTION("""COMPUTED_VALUE"""),0.0)</f>
        <v>0</v>
      </c>
      <c r="AG248" s="3">
        <f>IFERROR(__xludf.DUMMYFUNCTION("""COMPUTED_VALUE"""),0.0)</f>
        <v>0</v>
      </c>
      <c r="AH248" s="3">
        <f>IFERROR(__xludf.DUMMYFUNCTION("""COMPUTED_VALUE"""),0.0)</f>
        <v>0</v>
      </c>
      <c r="AI248" s="3">
        <f>IFERROR(__xludf.DUMMYFUNCTION("""COMPUTED_VALUE"""),0.0)</f>
        <v>0</v>
      </c>
      <c r="AJ248" s="3">
        <f>IFERROR(__xludf.DUMMYFUNCTION("""COMPUTED_VALUE"""),0.0)</f>
        <v>0</v>
      </c>
      <c r="AK248" s="3">
        <f>IFERROR(__xludf.DUMMYFUNCTION("""COMPUTED_VALUE"""),0.0)</f>
        <v>0</v>
      </c>
      <c r="AL248" s="3">
        <f>IFERROR(__xludf.DUMMYFUNCTION("""COMPUTED_VALUE"""),0.0)</f>
        <v>0</v>
      </c>
      <c r="AM248" s="3">
        <f>IFERROR(__xludf.DUMMYFUNCTION("""COMPUTED_VALUE"""),0.0)</f>
        <v>0</v>
      </c>
      <c r="AN248" s="3">
        <f>IFERROR(__xludf.DUMMYFUNCTION("""COMPUTED_VALUE"""),0.0)</f>
        <v>0</v>
      </c>
      <c r="AO248" s="3">
        <f>IFERROR(__xludf.DUMMYFUNCTION("""COMPUTED_VALUE"""),0.0)</f>
        <v>0</v>
      </c>
      <c r="AP248" s="3">
        <f>IFERROR(__xludf.DUMMYFUNCTION("""COMPUTED_VALUE"""),0.0)</f>
        <v>0</v>
      </c>
      <c r="AQ248" s="3">
        <f>IFERROR(__xludf.DUMMYFUNCTION("""COMPUTED_VALUE"""),0.0)</f>
        <v>0</v>
      </c>
      <c r="AR248" s="3">
        <f>IFERROR(__xludf.DUMMYFUNCTION("""COMPUTED_VALUE"""),0.0)</f>
        <v>0</v>
      </c>
      <c r="AS248" s="3">
        <f>IFERROR(__xludf.DUMMYFUNCTION("""COMPUTED_VALUE"""),0.0)</f>
        <v>0</v>
      </c>
      <c r="AT248" s="3">
        <f>IFERROR(__xludf.DUMMYFUNCTION("""COMPUTED_VALUE"""),0.0)</f>
        <v>0</v>
      </c>
      <c r="AU248" s="3">
        <f>IFERROR(__xludf.DUMMYFUNCTION("""COMPUTED_VALUE"""),0.0)</f>
        <v>0</v>
      </c>
      <c r="AV248" s="3">
        <f>IFERROR(__xludf.DUMMYFUNCTION("""COMPUTED_VALUE"""),0.0)</f>
        <v>0</v>
      </c>
      <c r="AW248" s="3">
        <f>IFERROR(__xludf.DUMMYFUNCTION("""COMPUTED_VALUE"""),0.0)</f>
        <v>0</v>
      </c>
      <c r="AX248" s="3">
        <f>IFERROR(__xludf.DUMMYFUNCTION("""COMPUTED_VALUE"""),0.0)</f>
        <v>0</v>
      </c>
      <c r="AY248" s="3">
        <f>IFERROR(__xludf.DUMMYFUNCTION("""COMPUTED_VALUE"""),0.0)</f>
        <v>0</v>
      </c>
      <c r="AZ248" s="3">
        <f>IFERROR(__xludf.DUMMYFUNCTION("""COMPUTED_VALUE"""),0.0)</f>
        <v>0</v>
      </c>
      <c r="BA248" s="3">
        <f>IFERROR(__xludf.DUMMYFUNCTION("""COMPUTED_VALUE"""),0.0)</f>
        <v>0</v>
      </c>
      <c r="BB248" s="3">
        <f>IFERROR(__xludf.DUMMYFUNCTION("""COMPUTED_VALUE"""),0.0)</f>
        <v>0</v>
      </c>
      <c r="BC248" s="3">
        <f>IFERROR(__xludf.DUMMYFUNCTION("""COMPUTED_VALUE"""),0.0)</f>
        <v>0</v>
      </c>
      <c r="BD248" s="3">
        <f>IFERROR(__xludf.DUMMYFUNCTION("""COMPUTED_VALUE"""),0.0)</f>
        <v>0</v>
      </c>
      <c r="BE248" s="3">
        <f>IFERROR(__xludf.DUMMYFUNCTION("""COMPUTED_VALUE"""),0.0)</f>
        <v>0</v>
      </c>
      <c r="BF248" s="3">
        <f>IFERROR(__xludf.DUMMYFUNCTION("""COMPUTED_VALUE"""),0.0)</f>
        <v>0</v>
      </c>
      <c r="BG248" s="3">
        <f>IFERROR(__xludf.DUMMYFUNCTION("""COMPUTED_VALUE"""),0.0)</f>
        <v>0</v>
      </c>
      <c r="BH248" s="3">
        <f>IFERROR(__xludf.DUMMYFUNCTION("""COMPUTED_VALUE"""),0.0)</f>
        <v>0</v>
      </c>
      <c r="BI248" s="3">
        <f>IFERROR(__xludf.DUMMYFUNCTION("""COMPUTED_VALUE"""),0.0)</f>
        <v>0</v>
      </c>
      <c r="BJ248" s="3">
        <f>IFERROR(__xludf.DUMMYFUNCTION("""COMPUTED_VALUE"""),0.0)</f>
        <v>0</v>
      </c>
      <c r="BK248" s="3">
        <f>IFERROR(__xludf.DUMMYFUNCTION("""COMPUTED_VALUE"""),0.0)</f>
        <v>0</v>
      </c>
      <c r="BL248" s="3">
        <f>IFERROR(__xludf.DUMMYFUNCTION("""COMPUTED_VALUE"""),0.0)</f>
        <v>0</v>
      </c>
      <c r="BM248" s="3">
        <f>IFERROR(__xludf.DUMMYFUNCTION("""COMPUTED_VALUE"""),0.0)</f>
        <v>0</v>
      </c>
      <c r="BN248" s="3">
        <f>IFERROR(__xludf.DUMMYFUNCTION("""COMPUTED_VALUE"""),0.0)</f>
        <v>0</v>
      </c>
      <c r="BO248" s="3">
        <f>IFERROR(__xludf.DUMMYFUNCTION("""COMPUTED_VALUE"""),0.0)</f>
        <v>0</v>
      </c>
      <c r="BP248" s="3">
        <f>IFERROR(__xludf.DUMMYFUNCTION("""COMPUTED_VALUE"""),0.0)</f>
        <v>0</v>
      </c>
      <c r="BQ248" s="3">
        <f>IFERROR(__xludf.DUMMYFUNCTION("""COMPUTED_VALUE"""),0.0)</f>
        <v>0</v>
      </c>
      <c r="BR248" s="3">
        <f>IFERROR(__xludf.DUMMYFUNCTION("""COMPUTED_VALUE"""),0.0)</f>
        <v>0</v>
      </c>
      <c r="BS248" s="3">
        <f>IFERROR(__xludf.DUMMYFUNCTION("""COMPUTED_VALUE"""),0.0)</f>
        <v>0</v>
      </c>
      <c r="BT248" s="3">
        <f>IFERROR(__xludf.DUMMYFUNCTION("""COMPUTED_VALUE"""),0.0)</f>
        <v>0</v>
      </c>
      <c r="BU248" s="3">
        <f>IFERROR(__xludf.DUMMYFUNCTION("""COMPUTED_VALUE"""),0.0)</f>
        <v>0</v>
      </c>
      <c r="BV248" s="3">
        <f>IFERROR(__xludf.DUMMYFUNCTION("""COMPUTED_VALUE"""),0.0)</f>
        <v>0</v>
      </c>
      <c r="BW248" s="3">
        <f>IFERROR(__xludf.DUMMYFUNCTION("""COMPUTED_VALUE"""),0.0)</f>
        <v>0</v>
      </c>
      <c r="BX248" s="3">
        <f>IFERROR(__xludf.DUMMYFUNCTION("""COMPUTED_VALUE"""),0.0)</f>
        <v>0</v>
      </c>
      <c r="BY248" s="3">
        <f>IFERROR(__xludf.DUMMYFUNCTION("""COMPUTED_VALUE"""),0.0)</f>
        <v>0</v>
      </c>
      <c r="BZ248" s="3">
        <f>IFERROR(__xludf.DUMMYFUNCTION("""COMPUTED_VALUE"""),0.0)</f>
        <v>0</v>
      </c>
      <c r="CA248" s="3">
        <f>IFERROR(__xludf.DUMMYFUNCTION("""COMPUTED_VALUE"""),0.0)</f>
        <v>0</v>
      </c>
      <c r="CB248" s="3">
        <f>IFERROR(__xludf.DUMMYFUNCTION("""COMPUTED_VALUE"""),0.0)</f>
        <v>0</v>
      </c>
    </row>
    <row r="249">
      <c r="A249" s="3" t="str">
        <f>IFERROR(__xludf.DUMMYFUNCTION("""COMPUTED_VALUE"""),"")</f>
        <v/>
      </c>
      <c r="B249" s="3" t="str">
        <f>IFERROR(__xludf.DUMMYFUNCTION("""COMPUTED_VALUE"""),"Kosovo")</f>
        <v>Kosovo</v>
      </c>
      <c r="C249" s="3">
        <f>IFERROR(__xludf.DUMMYFUNCTION("""COMPUTED_VALUE"""),42.602636)</f>
        <v>42.602636</v>
      </c>
      <c r="D249" s="3">
        <f>IFERROR(__xludf.DUMMYFUNCTION("""COMPUTED_VALUE"""),20.902977)</f>
        <v>20.902977</v>
      </c>
      <c r="E249" s="3">
        <f>IFERROR(__xludf.DUMMYFUNCTION("""COMPUTED_VALUE"""),0.0)</f>
        <v>0</v>
      </c>
      <c r="F249" s="3">
        <f>IFERROR(__xludf.DUMMYFUNCTION("""COMPUTED_VALUE"""),0.0)</f>
        <v>0</v>
      </c>
      <c r="G249" s="3">
        <f>IFERROR(__xludf.DUMMYFUNCTION("""COMPUTED_VALUE"""),0.0)</f>
        <v>0</v>
      </c>
      <c r="H249" s="3">
        <f>IFERROR(__xludf.DUMMYFUNCTION("""COMPUTED_VALUE"""),0.0)</f>
        <v>0</v>
      </c>
      <c r="I249" s="3">
        <f>IFERROR(__xludf.DUMMYFUNCTION("""COMPUTED_VALUE"""),0.0)</f>
        <v>0</v>
      </c>
      <c r="J249" s="3">
        <f>IFERROR(__xludf.DUMMYFUNCTION("""COMPUTED_VALUE"""),0.0)</f>
        <v>0</v>
      </c>
      <c r="K249" s="3">
        <f>IFERROR(__xludf.DUMMYFUNCTION("""COMPUTED_VALUE"""),0.0)</f>
        <v>0</v>
      </c>
      <c r="L249" s="3">
        <f>IFERROR(__xludf.DUMMYFUNCTION("""COMPUTED_VALUE"""),0.0)</f>
        <v>0</v>
      </c>
      <c r="M249" s="3">
        <f>IFERROR(__xludf.DUMMYFUNCTION("""COMPUTED_VALUE"""),0.0)</f>
        <v>0</v>
      </c>
      <c r="N249" s="3">
        <f>IFERROR(__xludf.DUMMYFUNCTION("""COMPUTED_VALUE"""),0.0)</f>
        <v>0</v>
      </c>
      <c r="O249" s="3">
        <f>IFERROR(__xludf.DUMMYFUNCTION("""COMPUTED_VALUE"""),0.0)</f>
        <v>0</v>
      </c>
      <c r="P249" s="3">
        <f>IFERROR(__xludf.DUMMYFUNCTION("""COMPUTED_VALUE"""),0.0)</f>
        <v>0</v>
      </c>
      <c r="Q249" s="3">
        <f>IFERROR(__xludf.DUMMYFUNCTION("""COMPUTED_VALUE"""),0.0)</f>
        <v>0</v>
      </c>
      <c r="R249" s="3">
        <f>IFERROR(__xludf.DUMMYFUNCTION("""COMPUTED_VALUE"""),0.0)</f>
        <v>0</v>
      </c>
      <c r="S249" s="3">
        <f>IFERROR(__xludf.DUMMYFUNCTION("""COMPUTED_VALUE"""),0.0)</f>
        <v>0</v>
      </c>
      <c r="T249" s="3">
        <f>IFERROR(__xludf.DUMMYFUNCTION("""COMPUTED_VALUE"""),0.0)</f>
        <v>0</v>
      </c>
      <c r="U249" s="3">
        <f>IFERROR(__xludf.DUMMYFUNCTION("""COMPUTED_VALUE"""),0.0)</f>
        <v>0</v>
      </c>
      <c r="V249" s="3">
        <f>IFERROR(__xludf.DUMMYFUNCTION("""COMPUTED_VALUE"""),0.0)</f>
        <v>0</v>
      </c>
      <c r="W249" s="3">
        <f>IFERROR(__xludf.DUMMYFUNCTION("""COMPUTED_VALUE"""),0.0)</f>
        <v>0</v>
      </c>
      <c r="X249" s="3">
        <f>IFERROR(__xludf.DUMMYFUNCTION("""COMPUTED_VALUE"""),0.0)</f>
        <v>0</v>
      </c>
      <c r="Y249" s="3">
        <f>IFERROR(__xludf.DUMMYFUNCTION("""COMPUTED_VALUE"""),0.0)</f>
        <v>0</v>
      </c>
      <c r="Z249" s="3">
        <f>IFERROR(__xludf.DUMMYFUNCTION("""COMPUTED_VALUE"""),0.0)</f>
        <v>0</v>
      </c>
      <c r="AA249" s="3">
        <f>IFERROR(__xludf.DUMMYFUNCTION("""COMPUTED_VALUE"""),0.0)</f>
        <v>0</v>
      </c>
      <c r="AB249" s="3">
        <f>IFERROR(__xludf.DUMMYFUNCTION("""COMPUTED_VALUE"""),0.0)</f>
        <v>0</v>
      </c>
      <c r="AC249" s="3">
        <f>IFERROR(__xludf.DUMMYFUNCTION("""COMPUTED_VALUE"""),0.0)</f>
        <v>0</v>
      </c>
      <c r="AD249" s="3">
        <f>IFERROR(__xludf.DUMMYFUNCTION("""COMPUTED_VALUE"""),0.0)</f>
        <v>0</v>
      </c>
      <c r="AE249" s="3">
        <f>IFERROR(__xludf.DUMMYFUNCTION("""COMPUTED_VALUE"""),0.0)</f>
        <v>0</v>
      </c>
      <c r="AF249" s="3">
        <f>IFERROR(__xludf.DUMMYFUNCTION("""COMPUTED_VALUE"""),0.0)</f>
        <v>0</v>
      </c>
      <c r="AG249" s="3">
        <f>IFERROR(__xludf.DUMMYFUNCTION("""COMPUTED_VALUE"""),0.0)</f>
        <v>0</v>
      </c>
      <c r="AH249" s="3">
        <f>IFERROR(__xludf.DUMMYFUNCTION("""COMPUTED_VALUE"""),0.0)</f>
        <v>0</v>
      </c>
      <c r="AI249" s="3">
        <f>IFERROR(__xludf.DUMMYFUNCTION("""COMPUTED_VALUE"""),0.0)</f>
        <v>0</v>
      </c>
      <c r="AJ249" s="3">
        <f>IFERROR(__xludf.DUMMYFUNCTION("""COMPUTED_VALUE"""),0.0)</f>
        <v>0</v>
      </c>
      <c r="AK249" s="3">
        <f>IFERROR(__xludf.DUMMYFUNCTION("""COMPUTED_VALUE"""),0.0)</f>
        <v>0</v>
      </c>
      <c r="AL249" s="3">
        <f>IFERROR(__xludf.DUMMYFUNCTION("""COMPUTED_VALUE"""),0.0)</f>
        <v>0</v>
      </c>
      <c r="AM249" s="3">
        <f>IFERROR(__xludf.DUMMYFUNCTION("""COMPUTED_VALUE"""),0.0)</f>
        <v>0</v>
      </c>
      <c r="AN249" s="3">
        <f>IFERROR(__xludf.DUMMYFUNCTION("""COMPUTED_VALUE"""),0.0)</f>
        <v>0</v>
      </c>
      <c r="AO249" s="3">
        <f>IFERROR(__xludf.DUMMYFUNCTION("""COMPUTED_VALUE"""),0.0)</f>
        <v>0</v>
      </c>
      <c r="AP249" s="3">
        <f>IFERROR(__xludf.DUMMYFUNCTION("""COMPUTED_VALUE"""),0.0)</f>
        <v>0</v>
      </c>
      <c r="AQ249" s="3">
        <f>IFERROR(__xludf.DUMMYFUNCTION("""COMPUTED_VALUE"""),0.0)</f>
        <v>0</v>
      </c>
      <c r="AR249" s="3">
        <f>IFERROR(__xludf.DUMMYFUNCTION("""COMPUTED_VALUE"""),0.0)</f>
        <v>0</v>
      </c>
      <c r="AS249" s="3">
        <f>IFERROR(__xludf.DUMMYFUNCTION("""COMPUTED_VALUE"""),0.0)</f>
        <v>0</v>
      </c>
      <c r="AT249" s="3">
        <f>IFERROR(__xludf.DUMMYFUNCTION("""COMPUTED_VALUE"""),0.0)</f>
        <v>0</v>
      </c>
      <c r="AU249" s="3">
        <f>IFERROR(__xludf.DUMMYFUNCTION("""COMPUTED_VALUE"""),0.0)</f>
        <v>0</v>
      </c>
      <c r="AV249" s="3">
        <f>IFERROR(__xludf.DUMMYFUNCTION("""COMPUTED_VALUE"""),0.0)</f>
        <v>0</v>
      </c>
      <c r="AW249" s="3">
        <f>IFERROR(__xludf.DUMMYFUNCTION("""COMPUTED_VALUE"""),0.0)</f>
        <v>0</v>
      </c>
      <c r="AX249" s="3">
        <f>IFERROR(__xludf.DUMMYFUNCTION("""COMPUTED_VALUE"""),0.0)</f>
        <v>0</v>
      </c>
      <c r="AY249" s="3">
        <f>IFERROR(__xludf.DUMMYFUNCTION("""COMPUTED_VALUE"""),0.0)</f>
        <v>0</v>
      </c>
      <c r="AZ249" s="3">
        <f>IFERROR(__xludf.DUMMYFUNCTION("""COMPUTED_VALUE"""),0.0)</f>
        <v>0</v>
      </c>
      <c r="BA249" s="3">
        <f>IFERROR(__xludf.DUMMYFUNCTION("""COMPUTED_VALUE"""),0.0)</f>
        <v>0</v>
      </c>
      <c r="BB249" s="3">
        <f>IFERROR(__xludf.DUMMYFUNCTION("""COMPUTED_VALUE"""),0.0)</f>
        <v>0</v>
      </c>
      <c r="BC249" s="3">
        <f>IFERROR(__xludf.DUMMYFUNCTION("""COMPUTED_VALUE"""),0.0)</f>
        <v>0</v>
      </c>
      <c r="BD249" s="3">
        <f>IFERROR(__xludf.DUMMYFUNCTION("""COMPUTED_VALUE"""),0.0)</f>
        <v>0</v>
      </c>
      <c r="BE249" s="3">
        <f>IFERROR(__xludf.DUMMYFUNCTION("""COMPUTED_VALUE"""),0.0)</f>
        <v>0</v>
      </c>
      <c r="BF249" s="3">
        <f>IFERROR(__xludf.DUMMYFUNCTION("""COMPUTED_VALUE"""),0.0)</f>
        <v>0</v>
      </c>
      <c r="BG249" s="3">
        <f>IFERROR(__xludf.DUMMYFUNCTION("""COMPUTED_VALUE"""),0.0)</f>
        <v>0</v>
      </c>
      <c r="BH249" s="3">
        <f>IFERROR(__xludf.DUMMYFUNCTION("""COMPUTED_VALUE"""),0.0)</f>
        <v>0</v>
      </c>
      <c r="BI249" s="3">
        <f>IFERROR(__xludf.DUMMYFUNCTION("""COMPUTED_VALUE"""),0.0)</f>
        <v>0</v>
      </c>
      <c r="BJ249" s="3">
        <f>IFERROR(__xludf.DUMMYFUNCTION("""COMPUTED_VALUE"""),0.0)</f>
        <v>0</v>
      </c>
      <c r="BK249" s="3">
        <f>IFERROR(__xludf.DUMMYFUNCTION("""COMPUTED_VALUE"""),0.0)</f>
        <v>0</v>
      </c>
      <c r="BL249" s="3">
        <f>IFERROR(__xludf.DUMMYFUNCTION("""COMPUTED_VALUE"""),0.0)</f>
        <v>0</v>
      </c>
      <c r="BM249" s="3">
        <f>IFERROR(__xludf.DUMMYFUNCTION("""COMPUTED_VALUE"""),0.0)</f>
        <v>0</v>
      </c>
      <c r="BN249" s="3">
        <f>IFERROR(__xludf.DUMMYFUNCTION("""COMPUTED_VALUE"""),0.0)</f>
        <v>0</v>
      </c>
      <c r="BO249" s="3">
        <f>IFERROR(__xludf.DUMMYFUNCTION("""COMPUTED_VALUE"""),0.0)</f>
        <v>0</v>
      </c>
      <c r="BP249" s="3">
        <f>IFERROR(__xludf.DUMMYFUNCTION("""COMPUTED_VALUE"""),0.0)</f>
        <v>0</v>
      </c>
      <c r="BQ249" s="3">
        <f>IFERROR(__xludf.DUMMYFUNCTION("""COMPUTED_VALUE"""),1.0)</f>
        <v>1</v>
      </c>
      <c r="BR249" s="3">
        <f>IFERROR(__xludf.DUMMYFUNCTION("""COMPUTED_VALUE"""),1.0)</f>
        <v>1</v>
      </c>
      <c r="BS249" s="3">
        <f>IFERROR(__xludf.DUMMYFUNCTION("""COMPUTED_VALUE"""),1.0)</f>
        <v>1</v>
      </c>
      <c r="BT249" s="3">
        <f>IFERROR(__xludf.DUMMYFUNCTION("""COMPUTED_VALUE"""),1.0)</f>
        <v>1</v>
      </c>
      <c r="BU249" s="3">
        <f>IFERROR(__xludf.DUMMYFUNCTION("""COMPUTED_VALUE"""),1.0)</f>
        <v>1</v>
      </c>
      <c r="BV249" s="3">
        <f>IFERROR(__xludf.DUMMYFUNCTION("""COMPUTED_VALUE"""),1.0)</f>
        <v>1</v>
      </c>
      <c r="BW249" s="3">
        <f>IFERROR(__xludf.DUMMYFUNCTION("""COMPUTED_VALUE"""),1.0)</f>
        <v>1</v>
      </c>
      <c r="BX249" s="3">
        <f>IFERROR(__xludf.DUMMYFUNCTION("""COMPUTED_VALUE"""),1.0)</f>
        <v>1</v>
      </c>
      <c r="BY249" s="3">
        <f>IFERROR(__xludf.DUMMYFUNCTION("""COMPUTED_VALUE"""),1.0)</f>
        <v>1</v>
      </c>
      <c r="BZ249" s="3">
        <f>IFERROR(__xludf.DUMMYFUNCTION("""COMPUTED_VALUE"""),1.0)</f>
        <v>1</v>
      </c>
      <c r="CA249" s="3">
        <f>IFERROR(__xludf.DUMMYFUNCTION("""COMPUTED_VALUE"""),1.0)</f>
        <v>1</v>
      </c>
      <c r="CB249" s="3">
        <f>IFERROR(__xludf.DUMMYFUNCTION("""COMPUTED_VALUE"""),1.0)</f>
        <v>1</v>
      </c>
    </row>
    <row r="250">
      <c r="A250" s="3" t="str">
        <f>IFERROR(__xludf.DUMMYFUNCTION("""COMPUTED_VALUE"""),"")</f>
        <v/>
      </c>
      <c r="B250" s="3" t="str">
        <f>IFERROR(__xludf.DUMMYFUNCTION("""COMPUTED_VALUE"""),"Burma")</f>
        <v>Burma</v>
      </c>
      <c r="C250" s="3">
        <f>IFERROR(__xludf.DUMMYFUNCTION("""COMPUTED_VALUE"""),21.9162)</f>
        <v>21.9162</v>
      </c>
      <c r="D250" s="3">
        <f>IFERROR(__xludf.DUMMYFUNCTION("""COMPUTED_VALUE"""),95.956)</f>
        <v>95.956</v>
      </c>
      <c r="E250" s="3">
        <f>IFERROR(__xludf.DUMMYFUNCTION("""COMPUTED_VALUE"""),0.0)</f>
        <v>0</v>
      </c>
      <c r="F250" s="3">
        <f>IFERROR(__xludf.DUMMYFUNCTION("""COMPUTED_VALUE"""),0.0)</f>
        <v>0</v>
      </c>
      <c r="G250" s="3">
        <f>IFERROR(__xludf.DUMMYFUNCTION("""COMPUTED_VALUE"""),0.0)</f>
        <v>0</v>
      </c>
      <c r="H250" s="3">
        <f>IFERROR(__xludf.DUMMYFUNCTION("""COMPUTED_VALUE"""),0.0)</f>
        <v>0</v>
      </c>
      <c r="I250" s="3">
        <f>IFERROR(__xludf.DUMMYFUNCTION("""COMPUTED_VALUE"""),0.0)</f>
        <v>0</v>
      </c>
      <c r="J250" s="3">
        <f>IFERROR(__xludf.DUMMYFUNCTION("""COMPUTED_VALUE"""),0.0)</f>
        <v>0</v>
      </c>
      <c r="K250" s="3">
        <f>IFERROR(__xludf.DUMMYFUNCTION("""COMPUTED_VALUE"""),0.0)</f>
        <v>0</v>
      </c>
      <c r="L250" s="3">
        <f>IFERROR(__xludf.DUMMYFUNCTION("""COMPUTED_VALUE"""),0.0)</f>
        <v>0</v>
      </c>
      <c r="M250" s="3">
        <f>IFERROR(__xludf.DUMMYFUNCTION("""COMPUTED_VALUE"""),0.0)</f>
        <v>0</v>
      </c>
      <c r="N250" s="3">
        <f>IFERROR(__xludf.DUMMYFUNCTION("""COMPUTED_VALUE"""),0.0)</f>
        <v>0</v>
      </c>
      <c r="O250" s="3">
        <f>IFERROR(__xludf.DUMMYFUNCTION("""COMPUTED_VALUE"""),0.0)</f>
        <v>0</v>
      </c>
      <c r="P250" s="3">
        <f>IFERROR(__xludf.DUMMYFUNCTION("""COMPUTED_VALUE"""),0.0)</f>
        <v>0</v>
      </c>
      <c r="Q250" s="3">
        <f>IFERROR(__xludf.DUMMYFUNCTION("""COMPUTED_VALUE"""),0.0)</f>
        <v>0</v>
      </c>
      <c r="R250" s="3">
        <f>IFERROR(__xludf.DUMMYFUNCTION("""COMPUTED_VALUE"""),0.0)</f>
        <v>0</v>
      </c>
      <c r="S250" s="3">
        <f>IFERROR(__xludf.DUMMYFUNCTION("""COMPUTED_VALUE"""),0.0)</f>
        <v>0</v>
      </c>
      <c r="T250" s="3">
        <f>IFERROR(__xludf.DUMMYFUNCTION("""COMPUTED_VALUE"""),0.0)</f>
        <v>0</v>
      </c>
      <c r="U250" s="3">
        <f>IFERROR(__xludf.DUMMYFUNCTION("""COMPUTED_VALUE"""),0.0)</f>
        <v>0</v>
      </c>
      <c r="V250" s="3">
        <f>IFERROR(__xludf.DUMMYFUNCTION("""COMPUTED_VALUE"""),0.0)</f>
        <v>0</v>
      </c>
      <c r="W250" s="3">
        <f>IFERROR(__xludf.DUMMYFUNCTION("""COMPUTED_VALUE"""),0.0)</f>
        <v>0</v>
      </c>
      <c r="X250" s="3">
        <f>IFERROR(__xludf.DUMMYFUNCTION("""COMPUTED_VALUE"""),0.0)</f>
        <v>0</v>
      </c>
      <c r="Y250" s="3">
        <f>IFERROR(__xludf.DUMMYFUNCTION("""COMPUTED_VALUE"""),0.0)</f>
        <v>0</v>
      </c>
      <c r="Z250" s="3">
        <f>IFERROR(__xludf.DUMMYFUNCTION("""COMPUTED_VALUE"""),0.0)</f>
        <v>0</v>
      </c>
      <c r="AA250" s="3">
        <f>IFERROR(__xludf.DUMMYFUNCTION("""COMPUTED_VALUE"""),0.0)</f>
        <v>0</v>
      </c>
      <c r="AB250" s="3">
        <f>IFERROR(__xludf.DUMMYFUNCTION("""COMPUTED_VALUE"""),0.0)</f>
        <v>0</v>
      </c>
      <c r="AC250" s="3">
        <f>IFERROR(__xludf.DUMMYFUNCTION("""COMPUTED_VALUE"""),0.0)</f>
        <v>0</v>
      </c>
      <c r="AD250" s="3">
        <f>IFERROR(__xludf.DUMMYFUNCTION("""COMPUTED_VALUE"""),0.0)</f>
        <v>0</v>
      </c>
      <c r="AE250" s="3">
        <f>IFERROR(__xludf.DUMMYFUNCTION("""COMPUTED_VALUE"""),0.0)</f>
        <v>0</v>
      </c>
      <c r="AF250" s="3">
        <f>IFERROR(__xludf.DUMMYFUNCTION("""COMPUTED_VALUE"""),0.0)</f>
        <v>0</v>
      </c>
      <c r="AG250" s="3">
        <f>IFERROR(__xludf.DUMMYFUNCTION("""COMPUTED_VALUE"""),0.0)</f>
        <v>0</v>
      </c>
      <c r="AH250" s="3">
        <f>IFERROR(__xludf.DUMMYFUNCTION("""COMPUTED_VALUE"""),0.0)</f>
        <v>0</v>
      </c>
      <c r="AI250" s="3">
        <f>IFERROR(__xludf.DUMMYFUNCTION("""COMPUTED_VALUE"""),0.0)</f>
        <v>0</v>
      </c>
      <c r="AJ250" s="3">
        <f>IFERROR(__xludf.DUMMYFUNCTION("""COMPUTED_VALUE"""),0.0)</f>
        <v>0</v>
      </c>
      <c r="AK250" s="3">
        <f>IFERROR(__xludf.DUMMYFUNCTION("""COMPUTED_VALUE"""),0.0)</f>
        <v>0</v>
      </c>
      <c r="AL250" s="3">
        <f>IFERROR(__xludf.DUMMYFUNCTION("""COMPUTED_VALUE"""),0.0)</f>
        <v>0</v>
      </c>
      <c r="AM250" s="3">
        <f>IFERROR(__xludf.DUMMYFUNCTION("""COMPUTED_VALUE"""),0.0)</f>
        <v>0</v>
      </c>
      <c r="AN250" s="3">
        <f>IFERROR(__xludf.DUMMYFUNCTION("""COMPUTED_VALUE"""),0.0)</f>
        <v>0</v>
      </c>
      <c r="AO250" s="3">
        <f>IFERROR(__xludf.DUMMYFUNCTION("""COMPUTED_VALUE"""),0.0)</f>
        <v>0</v>
      </c>
      <c r="AP250" s="3">
        <f>IFERROR(__xludf.DUMMYFUNCTION("""COMPUTED_VALUE"""),0.0)</f>
        <v>0</v>
      </c>
      <c r="AQ250" s="3">
        <f>IFERROR(__xludf.DUMMYFUNCTION("""COMPUTED_VALUE"""),0.0)</f>
        <v>0</v>
      </c>
      <c r="AR250" s="3">
        <f>IFERROR(__xludf.DUMMYFUNCTION("""COMPUTED_VALUE"""),0.0)</f>
        <v>0</v>
      </c>
      <c r="AS250" s="3">
        <f>IFERROR(__xludf.DUMMYFUNCTION("""COMPUTED_VALUE"""),0.0)</f>
        <v>0</v>
      </c>
      <c r="AT250" s="3">
        <f>IFERROR(__xludf.DUMMYFUNCTION("""COMPUTED_VALUE"""),0.0)</f>
        <v>0</v>
      </c>
      <c r="AU250" s="3">
        <f>IFERROR(__xludf.DUMMYFUNCTION("""COMPUTED_VALUE"""),0.0)</f>
        <v>0</v>
      </c>
      <c r="AV250" s="3">
        <f>IFERROR(__xludf.DUMMYFUNCTION("""COMPUTED_VALUE"""),0.0)</f>
        <v>0</v>
      </c>
      <c r="AW250" s="3">
        <f>IFERROR(__xludf.DUMMYFUNCTION("""COMPUTED_VALUE"""),0.0)</f>
        <v>0</v>
      </c>
      <c r="AX250" s="3">
        <f>IFERROR(__xludf.DUMMYFUNCTION("""COMPUTED_VALUE"""),0.0)</f>
        <v>0</v>
      </c>
      <c r="AY250" s="3">
        <f>IFERROR(__xludf.DUMMYFUNCTION("""COMPUTED_VALUE"""),0.0)</f>
        <v>0</v>
      </c>
      <c r="AZ250" s="3">
        <f>IFERROR(__xludf.DUMMYFUNCTION("""COMPUTED_VALUE"""),0.0)</f>
        <v>0</v>
      </c>
      <c r="BA250" s="3">
        <f>IFERROR(__xludf.DUMMYFUNCTION("""COMPUTED_VALUE"""),0.0)</f>
        <v>0</v>
      </c>
      <c r="BB250" s="3">
        <f>IFERROR(__xludf.DUMMYFUNCTION("""COMPUTED_VALUE"""),0.0)</f>
        <v>0</v>
      </c>
      <c r="BC250" s="3">
        <f>IFERROR(__xludf.DUMMYFUNCTION("""COMPUTED_VALUE"""),0.0)</f>
        <v>0</v>
      </c>
      <c r="BD250" s="3">
        <f>IFERROR(__xludf.DUMMYFUNCTION("""COMPUTED_VALUE"""),0.0)</f>
        <v>0</v>
      </c>
      <c r="BE250" s="3">
        <f>IFERROR(__xludf.DUMMYFUNCTION("""COMPUTED_VALUE"""),0.0)</f>
        <v>0</v>
      </c>
      <c r="BF250" s="3">
        <f>IFERROR(__xludf.DUMMYFUNCTION("""COMPUTED_VALUE"""),0.0)</f>
        <v>0</v>
      </c>
      <c r="BG250" s="3">
        <f>IFERROR(__xludf.DUMMYFUNCTION("""COMPUTED_VALUE"""),0.0)</f>
        <v>0</v>
      </c>
      <c r="BH250" s="3">
        <f>IFERROR(__xludf.DUMMYFUNCTION("""COMPUTED_VALUE"""),0.0)</f>
        <v>0</v>
      </c>
      <c r="BI250" s="3">
        <f>IFERROR(__xludf.DUMMYFUNCTION("""COMPUTED_VALUE"""),0.0)</f>
        <v>0</v>
      </c>
      <c r="BJ250" s="3">
        <f>IFERROR(__xludf.DUMMYFUNCTION("""COMPUTED_VALUE"""),0.0)</f>
        <v>0</v>
      </c>
      <c r="BK250" s="3">
        <f>IFERROR(__xludf.DUMMYFUNCTION("""COMPUTED_VALUE"""),0.0)</f>
        <v>0</v>
      </c>
      <c r="BL250" s="3">
        <f>IFERROR(__xludf.DUMMYFUNCTION("""COMPUTED_VALUE"""),0.0)</f>
        <v>0</v>
      </c>
      <c r="BM250" s="3">
        <f>IFERROR(__xludf.DUMMYFUNCTION("""COMPUTED_VALUE"""),0.0)</f>
        <v>0</v>
      </c>
      <c r="BN250" s="3">
        <f>IFERROR(__xludf.DUMMYFUNCTION("""COMPUTED_VALUE"""),0.0)</f>
        <v>0</v>
      </c>
      <c r="BO250" s="3">
        <f>IFERROR(__xludf.DUMMYFUNCTION("""COMPUTED_VALUE"""),0.0)</f>
        <v>0</v>
      </c>
      <c r="BP250" s="3">
        <f>IFERROR(__xludf.DUMMYFUNCTION("""COMPUTED_VALUE"""),0.0)</f>
        <v>0</v>
      </c>
      <c r="BQ250" s="3">
        <f>IFERROR(__xludf.DUMMYFUNCTION("""COMPUTED_VALUE"""),0.0)</f>
        <v>0</v>
      </c>
      <c r="BR250" s="3">
        <f>IFERROR(__xludf.DUMMYFUNCTION("""COMPUTED_VALUE"""),0.0)</f>
        <v>0</v>
      </c>
      <c r="BS250" s="3">
        <f>IFERROR(__xludf.DUMMYFUNCTION("""COMPUTED_VALUE"""),0.0)</f>
        <v>0</v>
      </c>
      <c r="BT250" s="3">
        <f>IFERROR(__xludf.DUMMYFUNCTION("""COMPUTED_VALUE"""),0.0)</f>
        <v>0</v>
      </c>
      <c r="BU250" s="3">
        <f>IFERROR(__xludf.DUMMYFUNCTION("""COMPUTED_VALUE"""),0.0)</f>
        <v>0</v>
      </c>
      <c r="BV250" s="3">
        <f>IFERROR(__xludf.DUMMYFUNCTION("""COMPUTED_VALUE"""),1.0)</f>
        <v>1</v>
      </c>
      <c r="BW250" s="3">
        <f>IFERROR(__xludf.DUMMYFUNCTION("""COMPUTED_VALUE"""),1.0)</f>
        <v>1</v>
      </c>
      <c r="BX250" s="3">
        <f>IFERROR(__xludf.DUMMYFUNCTION("""COMPUTED_VALUE"""),1.0)</f>
        <v>1</v>
      </c>
      <c r="BY250" s="3">
        <f>IFERROR(__xludf.DUMMYFUNCTION("""COMPUTED_VALUE"""),1.0)</f>
        <v>1</v>
      </c>
      <c r="BZ250" s="3">
        <f>IFERROR(__xludf.DUMMYFUNCTION("""COMPUTED_VALUE"""),1.0)</f>
        <v>1</v>
      </c>
      <c r="CA250" s="3">
        <f>IFERROR(__xludf.DUMMYFUNCTION("""COMPUTED_VALUE"""),1.0)</f>
        <v>1</v>
      </c>
      <c r="CB250" s="3">
        <f>IFERROR(__xludf.DUMMYFUNCTION("""COMPUTED_VALUE"""),1.0)</f>
        <v>1</v>
      </c>
    </row>
    <row r="251">
      <c r="A251" s="3" t="str">
        <f>IFERROR(__xludf.DUMMYFUNCTION("""COMPUTED_VALUE"""),"Anguilla")</f>
        <v>Anguilla</v>
      </c>
      <c r="B251" s="3" t="str">
        <f>IFERROR(__xludf.DUMMYFUNCTION("""COMPUTED_VALUE"""),"United Kingdom")</f>
        <v>United Kingdom</v>
      </c>
      <c r="C251" s="3">
        <f>IFERROR(__xludf.DUMMYFUNCTION("""COMPUTED_VALUE"""),18.2206)</f>
        <v>18.2206</v>
      </c>
      <c r="D251" s="3">
        <f>IFERROR(__xludf.DUMMYFUNCTION("""COMPUTED_VALUE"""),-63.0686)</f>
        <v>-63.0686</v>
      </c>
      <c r="E251" s="3">
        <f>IFERROR(__xludf.DUMMYFUNCTION("""COMPUTED_VALUE"""),0.0)</f>
        <v>0</v>
      </c>
      <c r="F251" s="3">
        <f>IFERROR(__xludf.DUMMYFUNCTION("""COMPUTED_VALUE"""),0.0)</f>
        <v>0</v>
      </c>
      <c r="G251" s="3">
        <f>IFERROR(__xludf.DUMMYFUNCTION("""COMPUTED_VALUE"""),0.0)</f>
        <v>0</v>
      </c>
      <c r="H251" s="3">
        <f>IFERROR(__xludf.DUMMYFUNCTION("""COMPUTED_VALUE"""),0.0)</f>
        <v>0</v>
      </c>
      <c r="I251" s="3">
        <f>IFERROR(__xludf.DUMMYFUNCTION("""COMPUTED_VALUE"""),0.0)</f>
        <v>0</v>
      </c>
      <c r="J251" s="3">
        <f>IFERROR(__xludf.DUMMYFUNCTION("""COMPUTED_VALUE"""),0.0)</f>
        <v>0</v>
      </c>
      <c r="K251" s="3">
        <f>IFERROR(__xludf.DUMMYFUNCTION("""COMPUTED_VALUE"""),0.0)</f>
        <v>0</v>
      </c>
      <c r="L251" s="3">
        <f>IFERROR(__xludf.DUMMYFUNCTION("""COMPUTED_VALUE"""),0.0)</f>
        <v>0</v>
      </c>
      <c r="M251" s="3">
        <f>IFERROR(__xludf.DUMMYFUNCTION("""COMPUTED_VALUE"""),0.0)</f>
        <v>0</v>
      </c>
      <c r="N251" s="3">
        <f>IFERROR(__xludf.DUMMYFUNCTION("""COMPUTED_VALUE"""),0.0)</f>
        <v>0</v>
      </c>
      <c r="O251" s="3">
        <f>IFERROR(__xludf.DUMMYFUNCTION("""COMPUTED_VALUE"""),0.0)</f>
        <v>0</v>
      </c>
      <c r="P251" s="3">
        <f>IFERROR(__xludf.DUMMYFUNCTION("""COMPUTED_VALUE"""),0.0)</f>
        <v>0</v>
      </c>
      <c r="Q251" s="3">
        <f>IFERROR(__xludf.DUMMYFUNCTION("""COMPUTED_VALUE"""),0.0)</f>
        <v>0</v>
      </c>
      <c r="R251" s="3">
        <f>IFERROR(__xludf.DUMMYFUNCTION("""COMPUTED_VALUE"""),0.0)</f>
        <v>0</v>
      </c>
      <c r="S251" s="3">
        <f>IFERROR(__xludf.DUMMYFUNCTION("""COMPUTED_VALUE"""),0.0)</f>
        <v>0</v>
      </c>
      <c r="T251" s="3">
        <f>IFERROR(__xludf.DUMMYFUNCTION("""COMPUTED_VALUE"""),0.0)</f>
        <v>0</v>
      </c>
      <c r="U251" s="3">
        <f>IFERROR(__xludf.DUMMYFUNCTION("""COMPUTED_VALUE"""),0.0)</f>
        <v>0</v>
      </c>
      <c r="V251" s="3">
        <f>IFERROR(__xludf.DUMMYFUNCTION("""COMPUTED_VALUE"""),0.0)</f>
        <v>0</v>
      </c>
      <c r="W251" s="3">
        <f>IFERROR(__xludf.DUMMYFUNCTION("""COMPUTED_VALUE"""),0.0)</f>
        <v>0</v>
      </c>
      <c r="X251" s="3">
        <f>IFERROR(__xludf.DUMMYFUNCTION("""COMPUTED_VALUE"""),0.0)</f>
        <v>0</v>
      </c>
      <c r="Y251" s="3">
        <f>IFERROR(__xludf.DUMMYFUNCTION("""COMPUTED_VALUE"""),0.0)</f>
        <v>0</v>
      </c>
      <c r="Z251" s="3">
        <f>IFERROR(__xludf.DUMMYFUNCTION("""COMPUTED_VALUE"""),0.0)</f>
        <v>0</v>
      </c>
      <c r="AA251" s="3">
        <f>IFERROR(__xludf.DUMMYFUNCTION("""COMPUTED_VALUE"""),0.0)</f>
        <v>0</v>
      </c>
      <c r="AB251" s="3">
        <f>IFERROR(__xludf.DUMMYFUNCTION("""COMPUTED_VALUE"""),0.0)</f>
        <v>0</v>
      </c>
      <c r="AC251" s="3">
        <f>IFERROR(__xludf.DUMMYFUNCTION("""COMPUTED_VALUE"""),0.0)</f>
        <v>0</v>
      </c>
      <c r="AD251" s="3">
        <f>IFERROR(__xludf.DUMMYFUNCTION("""COMPUTED_VALUE"""),0.0)</f>
        <v>0</v>
      </c>
      <c r="AE251" s="3">
        <f>IFERROR(__xludf.DUMMYFUNCTION("""COMPUTED_VALUE"""),0.0)</f>
        <v>0</v>
      </c>
      <c r="AF251" s="3">
        <f>IFERROR(__xludf.DUMMYFUNCTION("""COMPUTED_VALUE"""),0.0)</f>
        <v>0</v>
      </c>
      <c r="AG251" s="3">
        <f>IFERROR(__xludf.DUMMYFUNCTION("""COMPUTED_VALUE"""),0.0)</f>
        <v>0</v>
      </c>
      <c r="AH251" s="3">
        <f>IFERROR(__xludf.DUMMYFUNCTION("""COMPUTED_VALUE"""),0.0)</f>
        <v>0</v>
      </c>
      <c r="AI251" s="3">
        <f>IFERROR(__xludf.DUMMYFUNCTION("""COMPUTED_VALUE"""),0.0)</f>
        <v>0</v>
      </c>
      <c r="AJ251" s="3">
        <f>IFERROR(__xludf.DUMMYFUNCTION("""COMPUTED_VALUE"""),0.0)</f>
        <v>0</v>
      </c>
      <c r="AK251" s="3">
        <f>IFERROR(__xludf.DUMMYFUNCTION("""COMPUTED_VALUE"""),0.0)</f>
        <v>0</v>
      </c>
      <c r="AL251" s="3">
        <f>IFERROR(__xludf.DUMMYFUNCTION("""COMPUTED_VALUE"""),0.0)</f>
        <v>0</v>
      </c>
      <c r="AM251" s="3">
        <f>IFERROR(__xludf.DUMMYFUNCTION("""COMPUTED_VALUE"""),0.0)</f>
        <v>0</v>
      </c>
      <c r="AN251" s="3">
        <f>IFERROR(__xludf.DUMMYFUNCTION("""COMPUTED_VALUE"""),0.0)</f>
        <v>0</v>
      </c>
      <c r="AO251" s="3">
        <f>IFERROR(__xludf.DUMMYFUNCTION("""COMPUTED_VALUE"""),0.0)</f>
        <v>0</v>
      </c>
      <c r="AP251" s="3">
        <f>IFERROR(__xludf.DUMMYFUNCTION("""COMPUTED_VALUE"""),0.0)</f>
        <v>0</v>
      </c>
      <c r="AQ251" s="3">
        <f>IFERROR(__xludf.DUMMYFUNCTION("""COMPUTED_VALUE"""),0.0)</f>
        <v>0</v>
      </c>
      <c r="AR251" s="3">
        <f>IFERROR(__xludf.DUMMYFUNCTION("""COMPUTED_VALUE"""),0.0)</f>
        <v>0</v>
      </c>
      <c r="AS251" s="3">
        <f>IFERROR(__xludf.DUMMYFUNCTION("""COMPUTED_VALUE"""),0.0)</f>
        <v>0</v>
      </c>
      <c r="AT251" s="3">
        <f>IFERROR(__xludf.DUMMYFUNCTION("""COMPUTED_VALUE"""),0.0)</f>
        <v>0</v>
      </c>
      <c r="AU251" s="3">
        <f>IFERROR(__xludf.DUMMYFUNCTION("""COMPUTED_VALUE"""),0.0)</f>
        <v>0</v>
      </c>
      <c r="AV251" s="3">
        <f>IFERROR(__xludf.DUMMYFUNCTION("""COMPUTED_VALUE"""),0.0)</f>
        <v>0</v>
      </c>
      <c r="AW251" s="3">
        <f>IFERROR(__xludf.DUMMYFUNCTION("""COMPUTED_VALUE"""),0.0)</f>
        <v>0</v>
      </c>
      <c r="AX251" s="3">
        <f>IFERROR(__xludf.DUMMYFUNCTION("""COMPUTED_VALUE"""),0.0)</f>
        <v>0</v>
      </c>
      <c r="AY251" s="3">
        <f>IFERROR(__xludf.DUMMYFUNCTION("""COMPUTED_VALUE"""),0.0)</f>
        <v>0</v>
      </c>
      <c r="AZ251" s="3">
        <f>IFERROR(__xludf.DUMMYFUNCTION("""COMPUTED_VALUE"""),0.0)</f>
        <v>0</v>
      </c>
      <c r="BA251" s="3">
        <f>IFERROR(__xludf.DUMMYFUNCTION("""COMPUTED_VALUE"""),0.0)</f>
        <v>0</v>
      </c>
      <c r="BB251" s="3">
        <f>IFERROR(__xludf.DUMMYFUNCTION("""COMPUTED_VALUE"""),0.0)</f>
        <v>0</v>
      </c>
      <c r="BC251" s="3">
        <f>IFERROR(__xludf.DUMMYFUNCTION("""COMPUTED_VALUE"""),0.0)</f>
        <v>0</v>
      </c>
      <c r="BD251" s="3">
        <f>IFERROR(__xludf.DUMMYFUNCTION("""COMPUTED_VALUE"""),0.0)</f>
        <v>0</v>
      </c>
      <c r="BE251" s="3">
        <f>IFERROR(__xludf.DUMMYFUNCTION("""COMPUTED_VALUE"""),0.0)</f>
        <v>0</v>
      </c>
      <c r="BF251" s="3">
        <f>IFERROR(__xludf.DUMMYFUNCTION("""COMPUTED_VALUE"""),0.0)</f>
        <v>0</v>
      </c>
      <c r="BG251" s="3">
        <f>IFERROR(__xludf.DUMMYFUNCTION("""COMPUTED_VALUE"""),0.0)</f>
        <v>0</v>
      </c>
      <c r="BH251" s="3">
        <f>IFERROR(__xludf.DUMMYFUNCTION("""COMPUTED_VALUE"""),0.0)</f>
        <v>0</v>
      </c>
      <c r="BI251" s="3">
        <f>IFERROR(__xludf.DUMMYFUNCTION("""COMPUTED_VALUE"""),0.0)</f>
        <v>0</v>
      </c>
      <c r="BJ251" s="3">
        <f>IFERROR(__xludf.DUMMYFUNCTION("""COMPUTED_VALUE"""),0.0)</f>
        <v>0</v>
      </c>
      <c r="BK251" s="3">
        <f>IFERROR(__xludf.DUMMYFUNCTION("""COMPUTED_VALUE"""),0.0)</f>
        <v>0</v>
      </c>
      <c r="BL251" s="3">
        <f>IFERROR(__xludf.DUMMYFUNCTION("""COMPUTED_VALUE"""),0.0)</f>
        <v>0</v>
      </c>
      <c r="BM251" s="3">
        <f>IFERROR(__xludf.DUMMYFUNCTION("""COMPUTED_VALUE"""),0.0)</f>
        <v>0</v>
      </c>
      <c r="BN251" s="3">
        <f>IFERROR(__xludf.DUMMYFUNCTION("""COMPUTED_VALUE"""),0.0)</f>
        <v>0</v>
      </c>
      <c r="BO251" s="3">
        <f>IFERROR(__xludf.DUMMYFUNCTION("""COMPUTED_VALUE"""),0.0)</f>
        <v>0</v>
      </c>
      <c r="BP251" s="3">
        <f>IFERROR(__xludf.DUMMYFUNCTION("""COMPUTED_VALUE"""),0.0)</f>
        <v>0</v>
      </c>
      <c r="BQ251" s="3">
        <f>IFERROR(__xludf.DUMMYFUNCTION("""COMPUTED_VALUE"""),0.0)</f>
        <v>0</v>
      </c>
      <c r="BR251" s="3">
        <f>IFERROR(__xludf.DUMMYFUNCTION("""COMPUTED_VALUE"""),0.0)</f>
        <v>0</v>
      </c>
      <c r="BS251" s="3">
        <f>IFERROR(__xludf.DUMMYFUNCTION("""COMPUTED_VALUE"""),0.0)</f>
        <v>0</v>
      </c>
      <c r="BT251" s="3">
        <f>IFERROR(__xludf.DUMMYFUNCTION("""COMPUTED_VALUE"""),0.0)</f>
        <v>0</v>
      </c>
      <c r="BU251" s="3">
        <f>IFERROR(__xludf.DUMMYFUNCTION("""COMPUTED_VALUE"""),0.0)</f>
        <v>0</v>
      </c>
      <c r="BV251" s="3">
        <f>IFERROR(__xludf.DUMMYFUNCTION("""COMPUTED_VALUE"""),0.0)</f>
        <v>0</v>
      </c>
      <c r="BW251" s="3">
        <f>IFERROR(__xludf.DUMMYFUNCTION("""COMPUTED_VALUE"""),0.0)</f>
        <v>0</v>
      </c>
      <c r="BX251" s="3">
        <f>IFERROR(__xludf.DUMMYFUNCTION("""COMPUTED_VALUE"""),0.0)</f>
        <v>0</v>
      </c>
      <c r="BY251" s="3">
        <f>IFERROR(__xludf.DUMMYFUNCTION("""COMPUTED_VALUE"""),0.0)</f>
        <v>0</v>
      </c>
      <c r="BZ251" s="3">
        <f>IFERROR(__xludf.DUMMYFUNCTION("""COMPUTED_VALUE"""),0.0)</f>
        <v>0</v>
      </c>
      <c r="CA251" s="3">
        <f>IFERROR(__xludf.DUMMYFUNCTION("""COMPUTED_VALUE"""),0.0)</f>
        <v>0</v>
      </c>
      <c r="CB251" s="3">
        <f>IFERROR(__xludf.DUMMYFUNCTION("""COMPUTED_VALUE"""),0.0)</f>
        <v>0</v>
      </c>
    </row>
    <row r="252">
      <c r="A252" s="3" t="str">
        <f>IFERROR(__xludf.DUMMYFUNCTION("""COMPUTED_VALUE"""),"British Virgin Islands")</f>
        <v>British Virgin Islands</v>
      </c>
      <c r="B252" s="3" t="str">
        <f>IFERROR(__xludf.DUMMYFUNCTION("""COMPUTED_VALUE"""),"United Kingdom")</f>
        <v>United Kingdom</v>
      </c>
      <c r="C252" s="3">
        <f>IFERROR(__xludf.DUMMYFUNCTION("""COMPUTED_VALUE"""),18.4207)</f>
        <v>18.4207</v>
      </c>
      <c r="D252" s="3">
        <f>IFERROR(__xludf.DUMMYFUNCTION("""COMPUTED_VALUE"""),-64.64)</f>
        <v>-64.64</v>
      </c>
      <c r="E252" s="3">
        <f>IFERROR(__xludf.DUMMYFUNCTION("""COMPUTED_VALUE"""),0.0)</f>
        <v>0</v>
      </c>
      <c r="F252" s="3">
        <f>IFERROR(__xludf.DUMMYFUNCTION("""COMPUTED_VALUE"""),0.0)</f>
        <v>0</v>
      </c>
      <c r="G252" s="3">
        <f>IFERROR(__xludf.DUMMYFUNCTION("""COMPUTED_VALUE"""),0.0)</f>
        <v>0</v>
      </c>
      <c r="H252" s="3">
        <f>IFERROR(__xludf.DUMMYFUNCTION("""COMPUTED_VALUE"""),0.0)</f>
        <v>0</v>
      </c>
      <c r="I252" s="3">
        <f>IFERROR(__xludf.DUMMYFUNCTION("""COMPUTED_VALUE"""),0.0)</f>
        <v>0</v>
      </c>
      <c r="J252" s="3">
        <f>IFERROR(__xludf.DUMMYFUNCTION("""COMPUTED_VALUE"""),0.0)</f>
        <v>0</v>
      </c>
      <c r="K252" s="3">
        <f>IFERROR(__xludf.DUMMYFUNCTION("""COMPUTED_VALUE"""),0.0)</f>
        <v>0</v>
      </c>
      <c r="L252" s="3">
        <f>IFERROR(__xludf.DUMMYFUNCTION("""COMPUTED_VALUE"""),0.0)</f>
        <v>0</v>
      </c>
      <c r="M252" s="3">
        <f>IFERROR(__xludf.DUMMYFUNCTION("""COMPUTED_VALUE"""),0.0)</f>
        <v>0</v>
      </c>
      <c r="N252" s="3">
        <f>IFERROR(__xludf.DUMMYFUNCTION("""COMPUTED_VALUE"""),0.0)</f>
        <v>0</v>
      </c>
      <c r="O252" s="3">
        <f>IFERROR(__xludf.DUMMYFUNCTION("""COMPUTED_VALUE"""),0.0)</f>
        <v>0</v>
      </c>
      <c r="P252" s="3">
        <f>IFERROR(__xludf.DUMMYFUNCTION("""COMPUTED_VALUE"""),0.0)</f>
        <v>0</v>
      </c>
      <c r="Q252" s="3">
        <f>IFERROR(__xludf.DUMMYFUNCTION("""COMPUTED_VALUE"""),0.0)</f>
        <v>0</v>
      </c>
      <c r="R252" s="3">
        <f>IFERROR(__xludf.DUMMYFUNCTION("""COMPUTED_VALUE"""),0.0)</f>
        <v>0</v>
      </c>
      <c r="S252" s="3">
        <f>IFERROR(__xludf.DUMMYFUNCTION("""COMPUTED_VALUE"""),0.0)</f>
        <v>0</v>
      </c>
      <c r="T252" s="3">
        <f>IFERROR(__xludf.DUMMYFUNCTION("""COMPUTED_VALUE"""),0.0)</f>
        <v>0</v>
      </c>
      <c r="U252" s="3">
        <f>IFERROR(__xludf.DUMMYFUNCTION("""COMPUTED_VALUE"""),0.0)</f>
        <v>0</v>
      </c>
      <c r="V252" s="3">
        <f>IFERROR(__xludf.DUMMYFUNCTION("""COMPUTED_VALUE"""),0.0)</f>
        <v>0</v>
      </c>
      <c r="W252" s="3">
        <f>IFERROR(__xludf.DUMMYFUNCTION("""COMPUTED_VALUE"""),0.0)</f>
        <v>0</v>
      </c>
      <c r="X252" s="3">
        <f>IFERROR(__xludf.DUMMYFUNCTION("""COMPUTED_VALUE"""),0.0)</f>
        <v>0</v>
      </c>
      <c r="Y252" s="3">
        <f>IFERROR(__xludf.DUMMYFUNCTION("""COMPUTED_VALUE"""),0.0)</f>
        <v>0</v>
      </c>
      <c r="Z252" s="3">
        <f>IFERROR(__xludf.DUMMYFUNCTION("""COMPUTED_VALUE"""),0.0)</f>
        <v>0</v>
      </c>
      <c r="AA252" s="3">
        <f>IFERROR(__xludf.DUMMYFUNCTION("""COMPUTED_VALUE"""),0.0)</f>
        <v>0</v>
      </c>
      <c r="AB252" s="3">
        <f>IFERROR(__xludf.DUMMYFUNCTION("""COMPUTED_VALUE"""),0.0)</f>
        <v>0</v>
      </c>
      <c r="AC252" s="3">
        <f>IFERROR(__xludf.DUMMYFUNCTION("""COMPUTED_VALUE"""),0.0)</f>
        <v>0</v>
      </c>
      <c r="AD252" s="3">
        <f>IFERROR(__xludf.DUMMYFUNCTION("""COMPUTED_VALUE"""),0.0)</f>
        <v>0</v>
      </c>
      <c r="AE252" s="3">
        <f>IFERROR(__xludf.DUMMYFUNCTION("""COMPUTED_VALUE"""),0.0)</f>
        <v>0</v>
      </c>
      <c r="AF252" s="3">
        <f>IFERROR(__xludf.DUMMYFUNCTION("""COMPUTED_VALUE"""),0.0)</f>
        <v>0</v>
      </c>
      <c r="AG252" s="3">
        <f>IFERROR(__xludf.DUMMYFUNCTION("""COMPUTED_VALUE"""),0.0)</f>
        <v>0</v>
      </c>
      <c r="AH252" s="3">
        <f>IFERROR(__xludf.DUMMYFUNCTION("""COMPUTED_VALUE"""),0.0)</f>
        <v>0</v>
      </c>
      <c r="AI252" s="3">
        <f>IFERROR(__xludf.DUMMYFUNCTION("""COMPUTED_VALUE"""),0.0)</f>
        <v>0</v>
      </c>
      <c r="AJ252" s="3">
        <f>IFERROR(__xludf.DUMMYFUNCTION("""COMPUTED_VALUE"""),0.0)</f>
        <v>0</v>
      </c>
      <c r="AK252" s="3">
        <f>IFERROR(__xludf.DUMMYFUNCTION("""COMPUTED_VALUE"""),0.0)</f>
        <v>0</v>
      </c>
      <c r="AL252" s="3">
        <f>IFERROR(__xludf.DUMMYFUNCTION("""COMPUTED_VALUE"""),0.0)</f>
        <v>0</v>
      </c>
      <c r="AM252" s="3">
        <f>IFERROR(__xludf.DUMMYFUNCTION("""COMPUTED_VALUE"""),0.0)</f>
        <v>0</v>
      </c>
      <c r="AN252" s="3">
        <f>IFERROR(__xludf.DUMMYFUNCTION("""COMPUTED_VALUE"""),0.0)</f>
        <v>0</v>
      </c>
      <c r="AO252" s="3">
        <f>IFERROR(__xludf.DUMMYFUNCTION("""COMPUTED_VALUE"""),0.0)</f>
        <v>0</v>
      </c>
      <c r="AP252" s="3">
        <f>IFERROR(__xludf.DUMMYFUNCTION("""COMPUTED_VALUE"""),0.0)</f>
        <v>0</v>
      </c>
      <c r="AQ252" s="3">
        <f>IFERROR(__xludf.DUMMYFUNCTION("""COMPUTED_VALUE"""),0.0)</f>
        <v>0</v>
      </c>
      <c r="AR252" s="3">
        <f>IFERROR(__xludf.DUMMYFUNCTION("""COMPUTED_VALUE"""),0.0)</f>
        <v>0</v>
      </c>
      <c r="AS252" s="3">
        <f>IFERROR(__xludf.DUMMYFUNCTION("""COMPUTED_VALUE"""),0.0)</f>
        <v>0</v>
      </c>
      <c r="AT252" s="3">
        <f>IFERROR(__xludf.DUMMYFUNCTION("""COMPUTED_VALUE"""),0.0)</f>
        <v>0</v>
      </c>
      <c r="AU252" s="3">
        <f>IFERROR(__xludf.DUMMYFUNCTION("""COMPUTED_VALUE"""),0.0)</f>
        <v>0</v>
      </c>
      <c r="AV252" s="3">
        <f>IFERROR(__xludf.DUMMYFUNCTION("""COMPUTED_VALUE"""),0.0)</f>
        <v>0</v>
      </c>
      <c r="AW252" s="3">
        <f>IFERROR(__xludf.DUMMYFUNCTION("""COMPUTED_VALUE"""),0.0)</f>
        <v>0</v>
      </c>
      <c r="AX252" s="3">
        <f>IFERROR(__xludf.DUMMYFUNCTION("""COMPUTED_VALUE"""),0.0)</f>
        <v>0</v>
      </c>
      <c r="AY252" s="3">
        <f>IFERROR(__xludf.DUMMYFUNCTION("""COMPUTED_VALUE"""),0.0)</f>
        <v>0</v>
      </c>
      <c r="AZ252" s="3">
        <f>IFERROR(__xludf.DUMMYFUNCTION("""COMPUTED_VALUE"""),0.0)</f>
        <v>0</v>
      </c>
      <c r="BA252" s="3">
        <f>IFERROR(__xludf.DUMMYFUNCTION("""COMPUTED_VALUE"""),0.0)</f>
        <v>0</v>
      </c>
      <c r="BB252" s="3">
        <f>IFERROR(__xludf.DUMMYFUNCTION("""COMPUTED_VALUE"""),0.0)</f>
        <v>0</v>
      </c>
      <c r="BC252" s="3">
        <f>IFERROR(__xludf.DUMMYFUNCTION("""COMPUTED_VALUE"""),0.0)</f>
        <v>0</v>
      </c>
      <c r="BD252" s="3">
        <f>IFERROR(__xludf.DUMMYFUNCTION("""COMPUTED_VALUE"""),0.0)</f>
        <v>0</v>
      </c>
      <c r="BE252" s="3">
        <f>IFERROR(__xludf.DUMMYFUNCTION("""COMPUTED_VALUE"""),0.0)</f>
        <v>0</v>
      </c>
      <c r="BF252" s="3">
        <f>IFERROR(__xludf.DUMMYFUNCTION("""COMPUTED_VALUE"""),0.0)</f>
        <v>0</v>
      </c>
      <c r="BG252" s="3">
        <f>IFERROR(__xludf.DUMMYFUNCTION("""COMPUTED_VALUE"""),0.0)</f>
        <v>0</v>
      </c>
      <c r="BH252" s="3">
        <f>IFERROR(__xludf.DUMMYFUNCTION("""COMPUTED_VALUE"""),0.0)</f>
        <v>0</v>
      </c>
      <c r="BI252" s="3">
        <f>IFERROR(__xludf.DUMMYFUNCTION("""COMPUTED_VALUE"""),0.0)</f>
        <v>0</v>
      </c>
      <c r="BJ252" s="3">
        <f>IFERROR(__xludf.DUMMYFUNCTION("""COMPUTED_VALUE"""),0.0)</f>
        <v>0</v>
      </c>
      <c r="BK252" s="3">
        <f>IFERROR(__xludf.DUMMYFUNCTION("""COMPUTED_VALUE"""),0.0)</f>
        <v>0</v>
      </c>
      <c r="BL252" s="3">
        <f>IFERROR(__xludf.DUMMYFUNCTION("""COMPUTED_VALUE"""),0.0)</f>
        <v>0</v>
      </c>
      <c r="BM252" s="3">
        <f>IFERROR(__xludf.DUMMYFUNCTION("""COMPUTED_VALUE"""),0.0)</f>
        <v>0</v>
      </c>
      <c r="BN252" s="3">
        <f>IFERROR(__xludf.DUMMYFUNCTION("""COMPUTED_VALUE"""),0.0)</f>
        <v>0</v>
      </c>
      <c r="BO252" s="3">
        <f>IFERROR(__xludf.DUMMYFUNCTION("""COMPUTED_VALUE"""),0.0)</f>
        <v>0</v>
      </c>
      <c r="BP252" s="3">
        <f>IFERROR(__xludf.DUMMYFUNCTION("""COMPUTED_VALUE"""),0.0)</f>
        <v>0</v>
      </c>
      <c r="BQ252" s="3">
        <f>IFERROR(__xludf.DUMMYFUNCTION("""COMPUTED_VALUE"""),0.0)</f>
        <v>0</v>
      </c>
      <c r="BR252" s="3">
        <f>IFERROR(__xludf.DUMMYFUNCTION("""COMPUTED_VALUE"""),0.0)</f>
        <v>0</v>
      </c>
      <c r="BS252" s="3">
        <f>IFERROR(__xludf.DUMMYFUNCTION("""COMPUTED_VALUE"""),0.0)</f>
        <v>0</v>
      </c>
      <c r="BT252" s="3">
        <f>IFERROR(__xludf.DUMMYFUNCTION("""COMPUTED_VALUE"""),0.0)</f>
        <v>0</v>
      </c>
      <c r="BU252" s="3">
        <f>IFERROR(__xludf.DUMMYFUNCTION("""COMPUTED_VALUE"""),0.0)</f>
        <v>0</v>
      </c>
      <c r="BV252" s="3">
        <f>IFERROR(__xludf.DUMMYFUNCTION("""COMPUTED_VALUE"""),0.0)</f>
        <v>0</v>
      </c>
      <c r="BW252" s="3">
        <f>IFERROR(__xludf.DUMMYFUNCTION("""COMPUTED_VALUE"""),0.0)</f>
        <v>0</v>
      </c>
      <c r="BX252" s="3">
        <f>IFERROR(__xludf.DUMMYFUNCTION("""COMPUTED_VALUE"""),0.0)</f>
        <v>0</v>
      </c>
      <c r="BY252" s="3">
        <f>IFERROR(__xludf.DUMMYFUNCTION("""COMPUTED_VALUE"""),0.0)</f>
        <v>0</v>
      </c>
      <c r="BZ252" s="3">
        <f>IFERROR(__xludf.DUMMYFUNCTION("""COMPUTED_VALUE"""),0.0)</f>
        <v>0</v>
      </c>
      <c r="CA252" s="3">
        <f>IFERROR(__xludf.DUMMYFUNCTION("""COMPUTED_VALUE"""),0.0)</f>
        <v>0</v>
      </c>
      <c r="CB252" s="3">
        <f>IFERROR(__xludf.DUMMYFUNCTION("""COMPUTED_VALUE"""),0.0)</f>
        <v>0</v>
      </c>
    </row>
    <row r="253">
      <c r="A253" s="3" t="str">
        <f>IFERROR(__xludf.DUMMYFUNCTION("""COMPUTED_VALUE"""),"Turks and Caicos Islands")</f>
        <v>Turks and Caicos Islands</v>
      </c>
      <c r="B253" s="3" t="str">
        <f>IFERROR(__xludf.DUMMYFUNCTION("""COMPUTED_VALUE"""),"United Kingdom")</f>
        <v>United Kingdom</v>
      </c>
      <c r="C253" s="3">
        <f>IFERROR(__xludf.DUMMYFUNCTION("""COMPUTED_VALUE"""),21.694)</f>
        <v>21.694</v>
      </c>
      <c r="D253" s="3">
        <f>IFERROR(__xludf.DUMMYFUNCTION("""COMPUTED_VALUE"""),-71.7979)</f>
        <v>-71.7979</v>
      </c>
      <c r="E253" s="3">
        <f>IFERROR(__xludf.DUMMYFUNCTION("""COMPUTED_VALUE"""),0.0)</f>
        <v>0</v>
      </c>
      <c r="F253" s="3">
        <f>IFERROR(__xludf.DUMMYFUNCTION("""COMPUTED_VALUE"""),0.0)</f>
        <v>0</v>
      </c>
      <c r="G253" s="3">
        <f>IFERROR(__xludf.DUMMYFUNCTION("""COMPUTED_VALUE"""),0.0)</f>
        <v>0</v>
      </c>
      <c r="H253" s="3">
        <f>IFERROR(__xludf.DUMMYFUNCTION("""COMPUTED_VALUE"""),0.0)</f>
        <v>0</v>
      </c>
      <c r="I253" s="3">
        <f>IFERROR(__xludf.DUMMYFUNCTION("""COMPUTED_VALUE"""),0.0)</f>
        <v>0</v>
      </c>
      <c r="J253" s="3">
        <f>IFERROR(__xludf.DUMMYFUNCTION("""COMPUTED_VALUE"""),0.0)</f>
        <v>0</v>
      </c>
      <c r="K253" s="3">
        <f>IFERROR(__xludf.DUMMYFUNCTION("""COMPUTED_VALUE"""),0.0)</f>
        <v>0</v>
      </c>
      <c r="L253" s="3">
        <f>IFERROR(__xludf.DUMMYFUNCTION("""COMPUTED_VALUE"""),0.0)</f>
        <v>0</v>
      </c>
      <c r="M253" s="3">
        <f>IFERROR(__xludf.DUMMYFUNCTION("""COMPUTED_VALUE"""),0.0)</f>
        <v>0</v>
      </c>
      <c r="N253" s="3">
        <f>IFERROR(__xludf.DUMMYFUNCTION("""COMPUTED_VALUE"""),0.0)</f>
        <v>0</v>
      </c>
      <c r="O253" s="3">
        <f>IFERROR(__xludf.DUMMYFUNCTION("""COMPUTED_VALUE"""),0.0)</f>
        <v>0</v>
      </c>
      <c r="P253" s="3">
        <f>IFERROR(__xludf.DUMMYFUNCTION("""COMPUTED_VALUE"""),0.0)</f>
        <v>0</v>
      </c>
      <c r="Q253" s="3">
        <f>IFERROR(__xludf.DUMMYFUNCTION("""COMPUTED_VALUE"""),0.0)</f>
        <v>0</v>
      </c>
      <c r="R253" s="3">
        <f>IFERROR(__xludf.DUMMYFUNCTION("""COMPUTED_VALUE"""),0.0)</f>
        <v>0</v>
      </c>
      <c r="S253" s="3">
        <f>IFERROR(__xludf.DUMMYFUNCTION("""COMPUTED_VALUE"""),0.0)</f>
        <v>0</v>
      </c>
      <c r="T253" s="3">
        <f>IFERROR(__xludf.DUMMYFUNCTION("""COMPUTED_VALUE"""),0.0)</f>
        <v>0</v>
      </c>
      <c r="U253" s="3">
        <f>IFERROR(__xludf.DUMMYFUNCTION("""COMPUTED_VALUE"""),0.0)</f>
        <v>0</v>
      </c>
      <c r="V253" s="3">
        <f>IFERROR(__xludf.DUMMYFUNCTION("""COMPUTED_VALUE"""),0.0)</f>
        <v>0</v>
      </c>
      <c r="W253" s="3">
        <f>IFERROR(__xludf.DUMMYFUNCTION("""COMPUTED_VALUE"""),0.0)</f>
        <v>0</v>
      </c>
      <c r="X253" s="3">
        <f>IFERROR(__xludf.DUMMYFUNCTION("""COMPUTED_VALUE"""),0.0)</f>
        <v>0</v>
      </c>
      <c r="Y253" s="3">
        <f>IFERROR(__xludf.DUMMYFUNCTION("""COMPUTED_VALUE"""),0.0)</f>
        <v>0</v>
      </c>
      <c r="Z253" s="3">
        <f>IFERROR(__xludf.DUMMYFUNCTION("""COMPUTED_VALUE"""),0.0)</f>
        <v>0</v>
      </c>
      <c r="AA253" s="3">
        <f>IFERROR(__xludf.DUMMYFUNCTION("""COMPUTED_VALUE"""),0.0)</f>
        <v>0</v>
      </c>
      <c r="AB253" s="3">
        <f>IFERROR(__xludf.DUMMYFUNCTION("""COMPUTED_VALUE"""),0.0)</f>
        <v>0</v>
      </c>
      <c r="AC253" s="3">
        <f>IFERROR(__xludf.DUMMYFUNCTION("""COMPUTED_VALUE"""),0.0)</f>
        <v>0</v>
      </c>
      <c r="AD253" s="3">
        <f>IFERROR(__xludf.DUMMYFUNCTION("""COMPUTED_VALUE"""),0.0)</f>
        <v>0</v>
      </c>
      <c r="AE253" s="3">
        <f>IFERROR(__xludf.DUMMYFUNCTION("""COMPUTED_VALUE"""),0.0)</f>
        <v>0</v>
      </c>
      <c r="AF253" s="3">
        <f>IFERROR(__xludf.DUMMYFUNCTION("""COMPUTED_VALUE"""),0.0)</f>
        <v>0</v>
      </c>
      <c r="AG253" s="3">
        <f>IFERROR(__xludf.DUMMYFUNCTION("""COMPUTED_VALUE"""),0.0)</f>
        <v>0</v>
      </c>
      <c r="AH253" s="3">
        <f>IFERROR(__xludf.DUMMYFUNCTION("""COMPUTED_VALUE"""),0.0)</f>
        <v>0</v>
      </c>
      <c r="AI253" s="3">
        <f>IFERROR(__xludf.DUMMYFUNCTION("""COMPUTED_VALUE"""),0.0)</f>
        <v>0</v>
      </c>
      <c r="AJ253" s="3">
        <f>IFERROR(__xludf.DUMMYFUNCTION("""COMPUTED_VALUE"""),0.0)</f>
        <v>0</v>
      </c>
      <c r="AK253" s="3">
        <f>IFERROR(__xludf.DUMMYFUNCTION("""COMPUTED_VALUE"""),0.0)</f>
        <v>0</v>
      </c>
      <c r="AL253" s="3">
        <f>IFERROR(__xludf.DUMMYFUNCTION("""COMPUTED_VALUE"""),0.0)</f>
        <v>0</v>
      </c>
      <c r="AM253" s="3">
        <f>IFERROR(__xludf.DUMMYFUNCTION("""COMPUTED_VALUE"""),0.0)</f>
        <v>0</v>
      </c>
      <c r="AN253" s="3">
        <f>IFERROR(__xludf.DUMMYFUNCTION("""COMPUTED_VALUE"""),0.0)</f>
        <v>0</v>
      </c>
      <c r="AO253" s="3">
        <f>IFERROR(__xludf.DUMMYFUNCTION("""COMPUTED_VALUE"""),0.0)</f>
        <v>0</v>
      </c>
      <c r="AP253" s="3">
        <f>IFERROR(__xludf.DUMMYFUNCTION("""COMPUTED_VALUE"""),0.0)</f>
        <v>0</v>
      </c>
      <c r="AQ253" s="3">
        <f>IFERROR(__xludf.DUMMYFUNCTION("""COMPUTED_VALUE"""),0.0)</f>
        <v>0</v>
      </c>
      <c r="AR253" s="3">
        <f>IFERROR(__xludf.DUMMYFUNCTION("""COMPUTED_VALUE"""),0.0)</f>
        <v>0</v>
      </c>
      <c r="AS253" s="3">
        <f>IFERROR(__xludf.DUMMYFUNCTION("""COMPUTED_VALUE"""),0.0)</f>
        <v>0</v>
      </c>
      <c r="AT253" s="3">
        <f>IFERROR(__xludf.DUMMYFUNCTION("""COMPUTED_VALUE"""),0.0)</f>
        <v>0</v>
      </c>
      <c r="AU253" s="3">
        <f>IFERROR(__xludf.DUMMYFUNCTION("""COMPUTED_VALUE"""),0.0)</f>
        <v>0</v>
      </c>
      <c r="AV253" s="3">
        <f>IFERROR(__xludf.DUMMYFUNCTION("""COMPUTED_VALUE"""),0.0)</f>
        <v>0</v>
      </c>
      <c r="AW253" s="3">
        <f>IFERROR(__xludf.DUMMYFUNCTION("""COMPUTED_VALUE"""),0.0)</f>
        <v>0</v>
      </c>
      <c r="AX253" s="3">
        <f>IFERROR(__xludf.DUMMYFUNCTION("""COMPUTED_VALUE"""),0.0)</f>
        <v>0</v>
      </c>
      <c r="AY253" s="3">
        <f>IFERROR(__xludf.DUMMYFUNCTION("""COMPUTED_VALUE"""),0.0)</f>
        <v>0</v>
      </c>
      <c r="AZ253" s="3">
        <f>IFERROR(__xludf.DUMMYFUNCTION("""COMPUTED_VALUE"""),0.0)</f>
        <v>0</v>
      </c>
      <c r="BA253" s="3">
        <f>IFERROR(__xludf.DUMMYFUNCTION("""COMPUTED_VALUE"""),0.0)</f>
        <v>0</v>
      </c>
      <c r="BB253" s="3">
        <f>IFERROR(__xludf.DUMMYFUNCTION("""COMPUTED_VALUE"""),0.0)</f>
        <v>0</v>
      </c>
      <c r="BC253" s="3">
        <f>IFERROR(__xludf.DUMMYFUNCTION("""COMPUTED_VALUE"""),0.0)</f>
        <v>0</v>
      </c>
      <c r="BD253" s="3">
        <f>IFERROR(__xludf.DUMMYFUNCTION("""COMPUTED_VALUE"""),0.0)</f>
        <v>0</v>
      </c>
      <c r="BE253" s="3">
        <f>IFERROR(__xludf.DUMMYFUNCTION("""COMPUTED_VALUE"""),0.0)</f>
        <v>0</v>
      </c>
      <c r="BF253" s="3">
        <f>IFERROR(__xludf.DUMMYFUNCTION("""COMPUTED_VALUE"""),0.0)</f>
        <v>0</v>
      </c>
      <c r="BG253" s="3">
        <f>IFERROR(__xludf.DUMMYFUNCTION("""COMPUTED_VALUE"""),0.0)</f>
        <v>0</v>
      </c>
      <c r="BH253" s="3">
        <f>IFERROR(__xludf.DUMMYFUNCTION("""COMPUTED_VALUE"""),0.0)</f>
        <v>0</v>
      </c>
      <c r="BI253" s="3">
        <f>IFERROR(__xludf.DUMMYFUNCTION("""COMPUTED_VALUE"""),0.0)</f>
        <v>0</v>
      </c>
      <c r="BJ253" s="3">
        <f>IFERROR(__xludf.DUMMYFUNCTION("""COMPUTED_VALUE"""),0.0)</f>
        <v>0</v>
      </c>
      <c r="BK253" s="3">
        <f>IFERROR(__xludf.DUMMYFUNCTION("""COMPUTED_VALUE"""),0.0)</f>
        <v>0</v>
      </c>
      <c r="BL253" s="3">
        <f>IFERROR(__xludf.DUMMYFUNCTION("""COMPUTED_VALUE"""),0.0)</f>
        <v>0</v>
      </c>
      <c r="BM253" s="3">
        <f>IFERROR(__xludf.DUMMYFUNCTION("""COMPUTED_VALUE"""),0.0)</f>
        <v>0</v>
      </c>
      <c r="BN253" s="3">
        <f>IFERROR(__xludf.DUMMYFUNCTION("""COMPUTED_VALUE"""),0.0)</f>
        <v>0</v>
      </c>
      <c r="BO253" s="3">
        <f>IFERROR(__xludf.DUMMYFUNCTION("""COMPUTED_VALUE"""),0.0)</f>
        <v>0</v>
      </c>
      <c r="BP253" s="3">
        <f>IFERROR(__xludf.DUMMYFUNCTION("""COMPUTED_VALUE"""),0.0)</f>
        <v>0</v>
      </c>
      <c r="BQ253" s="3">
        <f>IFERROR(__xludf.DUMMYFUNCTION("""COMPUTED_VALUE"""),0.0)</f>
        <v>0</v>
      </c>
      <c r="BR253" s="3">
        <f>IFERROR(__xludf.DUMMYFUNCTION("""COMPUTED_VALUE"""),0.0)</f>
        <v>0</v>
      </c>
      <c r="BS253" s="3">
        <f>IFERROR(__xludf.DUMMYFUNCTION("""COMPUTED_VALUE"""),0.0)</f>
        <v>0</v>
      </c>
      <c r="BT253" s="3">
        <f>IFERROR(__xludf.DUMMYFUNCTION("""COMPUTED_VALUE"""),0.0)</f>
        <v>0</v>
      </c>
      <c r="BU253" s="3">
        <f>IFERROR(__xludf.DUMMYFUNCTION("""COMPUTED_VALUE"""),0.0)</f>
        <v>0</v>
      </c>
      <c r="BV253" s="3">
        <f>IFERROR(__xludf.DUMMYFUNCTION("""COMPUTED_VALUE"""),0.0)</f>
        <v>0</v>
      </c>
      <c r="BW253" s="3">
        <f>IFERROR(__xludf.DUMMYFUNCTION("""COMPUTED_VALUE"""),0.0)</f>
        <v>0</v>
      </c>
      <c r="BX253" s="3">
        <f>IFERROR(__xludf.DUMMYFUNCTION("""COMPUTED_VALUE"""),0.0)</f>
        <v>0</v>
      </c>
      <c r="BY253" s="3">
        <f>IFERROR(__xludf.DUMMYFUNCTION("""COMPUTED_VALUE"""),0.0)</f>
        <v>0</v>
      </c>
      <c r="BZ253" s="3">
        <f>IFERROR(__xludf.DUMMYFUNCTION("""COMPUTED_VALUE"""),0.0)</f>
        <v>0</v>
      </c>
      <c r="CA253" s="3">
        <f>IFERROR(__xludf.DUMMYFUNCTION("""COMPUTED_VALUE"""),1.0)</f>
        <v>1</v>
      </c>
      <c r="CB253" s="3">
        <f>IFERROR(__xludf.DUMMYFUNCTION("""COMPUTED_VALUE"""),1.0)</f>
        <v>1</v>
      </c>
    </row>
    <row r="254">
      <c r="A254" s="3" t="str">
        <f>IFERROR(__xludf.DUMMYFUNCTION("""COMPUTED_VALUE"""),"")</f>
        <v/>
      </c>
      <c r="B254" s="3" t="str">
        <f>IFERROR(__xludf.DUMMYFUNCTION("""COMPUTED_VALUE"""),"MS Zaandam")</f>
        <v>MS Zaandam</v>
      </c>
      <c r="C254" s="3">
        <f>IFERROR(__xludf.DUMMYFUNCTION("""COMPUTED_VALUE"""),0.0)</f>
        <v>0</v>
      </c>
      <c r="D254" s="3">
        <f>IFERROR(__xludf.DUMMYFUNCTION("""COMPUTED_VALUE"""),0.0)</f>
        <v>0</v>
      </c>
      <c r="E254" s="3">
        <f>IFERROR(__xludf.DUMMYFUNCTION("""COMPUTED_VALUE"""),0.0)</f>
        <v>0</v>
      </c>
      <c r="F254" s="3">
        <f>IFERROR(__xludf.DUMMYFUNCTION("""COMPUTED_VALUE"""),0.0)</f>
        <v>0</v>
      </c>
      <c r="G254" s="3">
        <f>IFERROR(__xludf.DUMMYFUNCTION("""COMPUTED_VALUE"""),0.0)</f>
        <v>0</v>
      </c>
      <c r="H254" s="3">
        <f>IFERROR(__xludf.DUMMYFUNCTION("""COMPUTED_VALUE"""),0.0)</f>
        <v>0</v>
      </c>
      <c r="I254" s="3">
        <f>IFERROR(__xludf.DUMMYFUNCTION("""COMPUTED_VALUE"""),0.0)</f>
        <v>0</v>
      </c>
      <c r="J254" s="3">
        <f>IFERROR(__xludf.DUMMYFUNCTION("""COMPUTED_VALUE"""),0.0)</f>
        <v>0</v>
      </c>
      <c r="K254" s="3">
        <f>IFERROR(__xludf.DUMMYFUNCTION("""COMPUTED_VALUE"""),0.0)</f>
        <v>0</v>
      </c>
      <c r="L254" s="3">
        <f>IFERROR(__xludf.DUMMYFUNCTION("""COMPUTED_VALUE"""),0.0)</f>
        <v>0</v>
      </c>
      <c r="M254" s="3">
        <f>IFERROR(__xludf.DUMMYFUNCTION("""COMPUTED_VALUE"""),0.0)</f>
        <v>0</v>
      </c>
      <c r="N254" s="3">
        <f>IFERROR(__xludf.DUMMYFUNCTION("""COMPUTED_VALUE"""),0.0)</f>
        <v>0</v>
      </c>
      <c r="O254" s="3">
        <f>IFERROR(__xludf.DUMMYFUNCTION("""COMPUTED_VALUE"""),0.0)</f>
        <v>0</v>
      </c>
      <c r="P254" s="3">
        <f>IFERROR(__xludf.DUMMYFUNCTION("""COMPUTED_VALUE"""),0.0)</f>
        <v>0</v>
      </c>
      <c r="Q254" s="3">
        <f>IFERROR(__xludf.DUMMYFUNCTION("""COMPUTED_VALUE"""),0.0)</f>
        <v>0</v>
      </c>
      <c r="R254" s="3">
        <f>IFERROR(__xludf.DUMMYFUNCTION("""COMPUTED_VALUE"""),0.0)</f>
        <v>0</v>
      </c>
      <c r="S254" s="3">
        <f>IFERROR(__xludf.DUMMYFUNCTION("""COMPUTED_VALUE"""),0.0)</f>
        <v>0</v>
      </c>
      <c r="T254" s="3">
        <f>IFERROR(__xludf.DUMMYFUNCTION("""COMPUTED_VALUE"""),0.0)</f>
        <v>0</v>
      </c>
      <c r="U254" s="3">
        <f>IFERROR(__xludf.DUMMYFUNCTION("""COMPUTED_VALUE"""),0.0)</f>
        <v>0</v>
      </c>
      <c r="V254" s="3">
        <f>IFERROR(__xludf.DUMMYFUNCTION("""COMPUTED_VALUE"""),0.0)</f>
        <v>0</v>
      </c>
      <c r="W254" s="3">
        <f>IFERROR(__xludf.DUMMYFUNCTION("""COMPUTED_VALUE"""),0.0)</f>
        <v>0</v>
      </c>
      <c r="X254" s="3">
        <f>IFERROR(__xludf.DUMMYFUNCTION("""COMPUTED_VALUE"""),0.0)</f>
        <v>0</v>
      </c>
      <c r="Y254" s="3">
        <f>IFERROR(__xludf.DUMMYFUNCTION("""COMPUTED_VALUE"""),0.0)</f>
        <v>0</v>
      </c>
      <c r="Z254" s="3">
        <f>IFERROR(__xludf.DUMMYFUNCTION("""COMPUTED_VALUE"""),0.0)</f>
        <v>0</v>
      </c>
      <c r="AA254" s="3">
        <f>IFERROR(__xludf.DUMMYFUNCTION("""COMPUTED_VALUE"""),0.0)</f>
        <v>0</v>
      </c>
      <c r="AB254" s="3">
        <f>IFERROR(__xludf.DUMMYFUNCTION("""COMPUTED_VALUE"""),0.0)</f>
        <v>0</v>
      </c>
      <c r="AC254" s="3">
        <f>IFERROR(__xludf.DUMMYFUNCTION("""COMPUTED_VALUE"""),0.0)</f>
        <v>0</v>
      </c>
      <c r="AD254" s="3">
        <f>IFERROR(__xludf.DUMMYFUNCTION("""COMPUTED_VALUE"""),0.0)</f>
        <v>0</v>
      </c>
      <c r="AE254" s="3">
        <f>IFERROR(__xludf.DUMMYFUNCTION("""COMPUTED_VALUE"""),0.0)</f>
        <v>0</v>
      </c>
      <c r="AF254" s="3">
        <f>IFERROR(__xludf.DUMMYFUNCTION("""COMPUTED_VALUE"""),0.0)</f>
        <v>0</v>
      </c>
      <c r="AG254" s="3">
        <f>IFERROR(__xludf.DUMMYFUNCTION("""COMPUTED_VALUE"""),0.0)</f>
        <v>0</v>
      </c>
      <c r="AH254" s="3">
        <f>IFERROR(__xludf.DUMMYFUNCTION("""COMPUTED_VALUE"""),0.0)</f>
        <v>0</v>
      </c>
      <c r="AI254" s="3">
        <f>IFERROR(__xludf.DUMMYFUNCTION("""COMPUTED_VALUE"""),0.0)</f>
        <v>0</v>
      </c>
      <c r="AJ254" s="3">
        <f>IFERROR(__xludf.DUMMYFUNCTION("""COMPUTED_VALUE"""),0.0)</f>
        <v>0</v>
      </c>
      <c r="AK254" s="3">
        <f>IFERROR(__xludf.DUMMYFUNCTION("""COMPUTED_VALUE"""),0.0)</f>
        <v>0</v>
      </c>
      <c r="AL254" s="3">
        <f>IFERROR(__xludf.DUMMYFUNCTION("""COMPUTED_VALUE"""),0.0)</f>
        <v>0</v>
      </c>
      <c r="AM254" s="3">
        <f>IFERROR(__xludf.DUMMYFUNCTION("""COMPUTED_VALUE"""),0.0)</f>
        <v>0</v>
      </c>
      <c r="AN254" s="3">
        <f>IFERROR(__xludf.DUMMYFUNCTION("""COMPUTED_VALUE"""),0.0)</f>
        <v>0</v>
      </c>
      <c r="AO254" s="3">
        <f>IFERROR(__xludf.DUMMYFUNCTION("""COMPUTED_VALUE"""),0.0)</f>
        <v>0</v>
      </c>
      <c r="AP254" s="3">
        <f>IFERROR(__xludf.DUMMYFUNCTION("""COMPUTED_VALUE"""),0.0)</f>
        <v>0</v>
      </c>
      <c r="AQ254" s="3">
        <f>IFERROR(__xludf.DUMMYFUNCTION("""COMPUTED_VALUE"""),0.0)</f>
        <v>0</v>
      </c>
      <c r="AR254" s="3">
        <f>IFERROR(__xludf.DUMMYFUNCTION("""COMPUTED_VALUE"""),0.0)</f>
        <v>0</v>
      </c>
      <c r="AS254" s="3">
        <f>IFERROR(__xludf.DUMMYFUNCTION("""COMPUTED_VALUE"""),0.0)</f>
        <v>0</v>
      </c>
      <c r="AT254" s="3">
        <f>IFERROR(__xludf.DUMMYFUNCTION("""COMPUTED_VALUE"""),0.0)</f>
        <v>0</v>
      </c>
      <c r="AU254" s="3">
        <f>IFERROR(__xludf.DUMMYFUNCTION("""COMPUTED_VALUE"""),0.0)</f>
        <v>0</v>
      </c>
      <c r="AV254" s="3">
        <f>IFERROR(__xludf.DUMMYFUNCTION("""COMPUTED_VALUE"""),0.0)</f>
        <v>0</v>
      </c>
      <c r="AW254" s="3">
        <f>IFERROR(__xludf.DUMMYFUNCTION("""COMPUTED_VALUE"""),0.0)</f>
        <v>0</v>
      </c>
      <c r="AX254" s="3">
        <f>IFERROR(__xludf.DUMMYFUNCTION("""COMPUTED_VALUE"""),0.0)</f>
        <v>0</v>
      </c>
      <c r="AY254" s="3">
        <f>IFERROR(__xludf.DUMMYFUNCTION("""COMPUTED_VALUE"""),0.0)</f>
        <v>0</v>
      </c>
      <c r="AZ254" s="3">
        <f>IFERROR(__xludf.DUMMYFUNCTION("""COMPUTED_VALUE"""),0.0)</f>
        <v>0</v>
      </c>
      <c r="BA254" s="3">
        <f>IFERROR(__xludf.DUMMYFUNCTION("""COMPUTED_VALUE"""),0.0)</f>
        <v>0</v>
      </c>
      <c r="BB254" s="3">
        <f>IFERROR(__xludf.DUMMYFUNCTION("""COMPUTED_VALUE"""),0.0)</f>
        <v>0</v>
      </c>
      <c r="BC254" s="3">
        <f>IFERROR(__xludf.DUMMYFUNCTION("""COMPUTED_VALUE"""),0.0)</f>
        <v>0</v>
      </c>
      <c r="BD254" s="3">
        <f>IFERROR(__xludf.DUMMYFUNCTION("""COMPUTED_VALUE"""),0.0)</f>
        <v>0</v>
      </c>
      <c r="BE254" s="3">
        <f>IFERROR(__xludf.DUMMYFUNCTION("""COMPUTED_VALUE"""),0.0)</f>
        <v>0</v>
      </c>
      <c r="BF254" s="3">
        <f>IFERROR(__xludf.DUMMYFUNCTION("""COMPUTED_VALUE"""),0.0)</f>
        <v>0</v>
      </c>
      <c r="BG254" s="3">
        <f>IFERROR(__xludf.DUMMYFUNCTION("""COMPUTED_VALUE"""),0.0)</f>
        <v>0</v>
      </c>
      <c r="BH254" s="3">
        <f>IFERROR(__xludf.DUMMYFUNCTION("""COMPUTED_VALUE"""),0.0)</f>
        <v>0</v>
      </c>
      <c r="BI254" s="3">
        <f>IFERROR(__xludf.DUMMYFUNCTION("""COMPUTED_VALUE"""),0.0)</f>
        <v>0</v>
      </c>
      <c r="BJ254" s="3">
        <f>IFERROR(__xludf.DUMMYFUNCTION("""COMPUTED_VALUE"""),0.0)</f>
        <v>0</v>
      </c>
      <c r="BK254" s="3">
        <f>IFERROR(__xludf.DUMMYFUNCTION("""COMPUTED_VALUE"""),0.0)</f>
        <v>0</v>
      </c>
      <c r="BL254" s="3">
        <f>IFERROR(__xludf.DUMMYFUNCTION("""COMPUTED_VALUE"""),0.0)</f>
        <v>0</v>
      </c>
      <c r="BM254" s="3">
        <f>IFERROR(__xludf.DUMMYFUNCTION("""COMPUTED_VALUE"""),0.0)</f>
        <v>0</v>
      </c>
      <c r="BN254" s="3">
        <f>IFERROR(__xludf.DUMMYFUNCTION("""COMPUTED_VALUE"""),0.0)</f>
        <v>0</v>
      </c>
      <c r="BO254" s="3">
        <f>IFERROR(__xludf.DUMMYFUNCTION("""COMPUTED_VALUE"""),0.0)</f>
        <v>0</v>
      </c>
      <c r="BP254" s="3">
        <f>IFERROR(__xludf.DUMMYFUNCTION("""COMPUTED_VALUE"""),0.0)</f>
        <v>0</v>
      </c>
      <c r="BQ254" s="3">
        <f>IFERROR(__xludf.DUMMYFUNCTION("""COMPUTED_VALUE"""),0.0)</f>
        <v>0</v>
      </c>
      <c r="BR254" s="3">
        <f>IFERROR(__xludf.DUMMYFUNCTION("""COMPUTED_VALUE"""),0.0)</f>
        <v>0</v>
      </c>
      <c r="BS254" s="3">
        <f>IFERROR(__xludf.DUMMYFUNCTION("""COMPUTED_VALUE"""),0.0)</f>
        <v>0</v>
      </c>
      <c r="BT254" s="3">
        <f>IFERROR(__xludf.DUMMYFUNCTION("""COMPUTED_VALUE"""),0.0)</f>
        <v>0</v>
      </c>
      <c r="BU254" s="3">
        <f>IFERROR(__xludf.DUMMYFUNCTION("""COMPUTED_VALUE"""),0.0)</f>
        <v>0</v>
      </c>
      <c r="BV254" s="3">
        <f>IFERROR(__xludf.DUMMYFUNCTION("""COMPUTED_VALUE"""),0.0)</f>
        <v>0</v>
      </c>
      <c r="BW254" s="3">
        <f>IFERROR(__xludf.DUMMYFUNCTION("""COMPUTED_VALUE"""),2.0)</f>
        <v>2</v>
      </c>
      <c r="BX254" s="3">
        <f>IFERROR(__xludf.DUMMYFUNCTION("""COMPUTED_VALUE"""),2.0)</f>
        <v>2</v>
      </c>
      <c r="BY254" s="3">
        <f>IFERROR(__xludf.DUMMYFUNCTION("""COMPUTED_VALUE"""),2.0)</f>
        <v>2</v>
      </c>
      <c r="BZ254" s="3">
        <f>IFERROR(__xludf.DUMMYFUNCTION("""COMPUTED_VALUE"""),2.0)</f>
        <v>2</v>
      </c>
      <c r="CA254" s="3">
        <f>IFERROR(__xludf.DUMMYFUNCTION("""COMPUTED_VALUE"""),2.0)</f>
        <v>2</v>
      </c>
      <c r="CB254" s="3">
        <f>IFERROR(__xludf.DUMMYFUNCTION("""COMPUTED_VALUE"""),2.0)</f>
        <v>2</v>
      </c>
    </row>
    <row r="255">
      <c r="A255" s="3" t="str">
        <f>IFERROR(__xludf.DUMMYFUNCTION("""COMPUTED_VALUE"""),"")</f>
        <v/>
      </c>
      <c r="B255" s="3" t="str">
        <f>IFERROR(__xludf.DUMMYFUNCTION("""COMPUTED_VALUE"""),"Botswana")</f>
        <v>Botswana</v>
      </c>
      <c r="C255" s="3">
        <f>IFERROR(__xludf.DUMMYFUNCTION("""COMPUTED_VALUE"""),-22.3285)</f>
        <v>-22.3285</v>
      </c>
      <c r="D255" s="3">
        <f>IFERROR(__xludf.DUMMYFUNCTION("""COMPUTED_VALUE"""),24.6849)</f>
        <v>24.6849</v>
      </c>
      <c r="E255" s="3">
        <f>IFERROR(__xludf.DUMMYFUNCTION("""COMPUTED_VALUE"""),0.0)</f>
        <v>0</v>
      </c>
      <c r="F255" s="3">
        <f>IFERROR(__xludf.DUMMYFUNCTION("""COMPUTED_VALUE"""),0.0)</f>
        <v>0</v>
      </c>
      <c r="G255" s="3">
        <f>IFERROR(__xludf.DUMMYFUNCTION("""COMPUTED_VALUE"""),0.0)</f>
        <v>0</v>
      </c>
      <c r="H255" s="3">
        <f>IFERROR(__xludf.DUMMYFUNCTION("""COMPUTED_VALUE"""),0.0)</f>
        <v>0</v>
      </c>
      <c r="I255" s="3">
        <f>IFERROR(__xludf.DUMMYFUNCTION("""COMPUTED_VALUE"""),0.0)</f>
        <v>0</v>
      </c>
      <c r="J255" s="3">
        <f>IFERROR(__xludf.DUMMYFUNCTION("""COMPUTED_VALUE"""),0.0)</f>
        <v>0</v>
      </c>
      <c r="K255" s="3">
        <f>IFERROR(__xludf.DUMMYFUNCTION("""COMPUTED_VALUE"""),0.0)</f>
        <v>0</v>
      </c>
      <c r="L255" s="3">
        <f>IFERROR(__xludf.DUMMYFUNCTION("""COMPUTED_VALUE"""),0.0)</f>
        <v>0</v>
      </c>
      <c r="M255" s="3">
        <f>IFERROR(__xludf.DUMMYFUNCTION("""COMPUTED_VALUE"""),0.0)</f>
        <v>0</v>
      </c>
      <c r="N255" s="3">
        <f>IFERROR(__xludf.DUMMYFUNCTION("""COMPUTED_VALUE"""),0.0)</f>
        <v>0</v>
      </c>
      <c r="O255" s="3">
        <f>IFERROR(__xludf.DUMMYFUNCTION("""COMPUTED_VALUE"""),0.0)</f>
        <v>0</v>
      </c>
      <c r="P255" s="3">
        <f>IFERROR(__xludf.DUMMYFUNCTION("""COMPUTED_VALUE"""),0.0)</f>
        <v>0</v>
      </c>
      <c r="Q255" s="3">
        <f>IFERROR(__xludf.DUMMYFUNCTION("""COMPUTED_VALUE"""),0.0)</f>
        <v>0</v>
      </c>
      <c r="R255" s="3">
        <f>IFERROR(__xludf.DUMMYFUNCTION("""COMPUTED_VALUE"""),0.0)</f>
        <v>0</v>
      </c>
      <c r="S255" s="3">
        <f>IFERROR(__xludf.DUMMYFUNCTION("""COMPUTED_VALUE"""),0.0)</f>
        <v>0</v>
      </c>
      <c r="T255" s="3">
        <f>IFERROR(__xludf.DUMMYFUNCTION("""COMPUTED_VALUE"""),0.0)</f>
        <v>0</v>
      </c>
      <c r="U255" s="3">
        <f>IFERROR(__xludf.DUMMYFUNCTION("""COMPUTED_VALUE"""),0.0)</f>
        <v>0</v>
      </c>
      <c r="V255" s="3">
        <f>IFERROR(__xludf.DUMMYFUNCTION("""COMPUTED_VALUE"""),0.0)</f>
        <v>0</v>
      </c>
      <c r="W255" s="3">
        <f>IFERROR(__xludf.DUMMYFUNCTION("""COMPUTED_VALUE"""),0.0)</f>
        <v>0</v>
      </c>
      <c r="X255" s="3">
        <f>IFERROR(__xludf.DUMMYFUNCTION("""COMPUTED_VALUE"""),0.0)</f>
        <v>0</v>
      </c>
      <c r="Y255" s="3">
        <f>IFERROR(__xludf.DUMMYFUNCTION("""COMPUTED_VALUE"""),0.0)</f>
        <v>0</v>
      </c>
      <c r="Z255" s="3">
        <f>IFERROR(__xludf.DUMMYFUNCTION("""COMPUTED_VALUE"""),0.0)</f>
        <v>0</v>
      </c>
      <c r="AA255" s="3">
        <f>IFERROR(__xludf.DUMMYFUNCTION("""COMPUTED_VALUE"""),0.0)</f>
        <v>0</v>
      </c>
      <c r="AB255" s="3">
        <f>IFERROR(__xludf.DUMMYFUNCTION("""COMPUTED_VALUE"""),0.0)</f>
        <v>0</v>
      </c>
      <c r="AC255" s="3">
        <f>IFERROR(__xludf.DUMMYFUNCTION("""COMPUTED_VALUE"""),0.0)</f>
        <v>0</v>
      </c>
      <c r="AD255" s="3">
        <f>IFERROR(__xludf.DUMMYFUNCTION("""COMPUTED_VALUE"""),0.0)</f>
        <v>0</v>
      </c>
      <c r="AE255" s="3">
        <f>IFERROR(__xludf.DUMMYFUNCTION("""COMPUTED_VALUE"""),0.0)</f>
        <v>0</v>
      </c>
      <c r="AF255" s="3">
        <f>IFERROR(__xludf.DUMMYFUNCTION("""COMPUTED_VALUE"""),0.0)</f>
        <v>0</v>
      </c>
      <c r="AG255" s="3">
        <f>IFERROR(__xludf.DUMMYFUNCTION("""COMPUTED_VALUE"""),0.0)</f>
        <v>0</v>
      </c>
      <c r="AH255" s="3">
        <f>IFERROR(__xludf.DUMMYFUNCTION("""COMPUTED_VALUE"""),0.0)</f>
        <v>0</v>
      </c>
      <c r="AI255" s="3">
        <f>IFERROR(__xludf.DUMMYFUNCTION("""COMPUTED_VALUE"""),0.0)</f>
        <v>0</v>
      </c>
      <c r="AJ255" s="3">
        <f>IFERROR(__xludf.DUMMYFUNCTION("""COMPUTED_VALUE"""),0.0)</f>
        <v>0</v>
      </c>
      <c r="AK255" s="3">
        <f>IFERROR(__xludf.DUMMYFUNCTION("""COMPUTED_VALUE"""),0.0)</f>
        <v>0</v>
      </c>
      <c r="AL255" s="3">
        <f>IFERROR(__xludf.DUMMYFUNCTION("""COMPUTED_VALUE"""),0.0)</f>
        <v>0</v>
      </c>
      <c r="AM255" s="3">
        <f>IFERROR(__xludf.DUMMYFUNCTION("""COMPUTED_VALUE"""),0.0)</f>
        <v>0</v>
      </c>
      <c r="AN255" s="3">
        <f>IFERROR(__xludf.DUMMYFUNCTION("""COMPUTED_VALUE"""),0.0)</f>
        <v>0</v>
      </c>
      <c r="AO255" s="3">
        <f>IFERROR(__xludf.DUMMYFUNCTION("""COMPUTED_VALUE"""),0.0)</f>
        <v>0</v>
      </c>
      <c r="AP255" s="3">
        <f>IFERROR(__xludf.DUMMYFUNCTION("""COMPUTED_VALUE"""),0.0)</f>
        <v>0</v>
      </c>
      <c r="AQ255" s="3">
        <f>IFERROR(__xludf.DUMMYFUNCTION("""COMPUTED_VALUE"""),0.0)</f>
        <v>0</v>
      </c>
      <c r="AR255" s="3">
        <f>IFERROR(__xludf.DUMMYFUNCTION("""COMPUTED_VALUE"""),0.0)</f>
        <v>0</v>
      </c>
      <c r="AS255" s="3">
        <f>IFERROR(__xludf.DUMMYFUNCTION("""COMPUTED_VALUE"""),0.0)</f>
        <v>0</v>
      </c>
      <c r="AT255" s="3">
        <f>IFERROR(__xludf.DUMMYFUNCTION("""COMPUTED_VALUE"""),0.0)</f>
        <v>0</v>
      </c>
      <c r="AU255" s="3">
        <f>IFERROR(__xludf.DUMMYFUNCTION("""COMPUTED_VALUE"""),0.0)</f>
        <v>0</v>
      </c>
      <c r="AV255" s="3">
        <f>IFERROR(__xludf.DUMMYFUNCTION("""COMPUTED_VALUE"""),0.0)</f>
        <v>0</v>
      </c>
      <c r="AW255" s="3">
        <f>IFERROR(__xludf.DUMMYFUNCTION("""COMPUTED_VALUE"""),0.0)</f>
        <v>0</v>
      </c>
      <c r="AX255" s="3">
        <f>IFERROR(__xludf.DUMMYFUNCTION("""COMPUTED_VALUE"""),0.0)</f>
        <v>0</v>
      </c>
      <c r="AY255" s="3">
        <f>IFERROR(__xludf.DUMMYFUNCTION("""COMPUTED_VALUE"""),0.0)</f>
        <v>0</v>
      </c>
      <c r="AZ255" s="3">
        <f>IFERROR(__xludf.DUMMYFUNCTION("""COMPUTED_VALUE"""),0.0)</f>
        <v>0</v>
      </c>
      <c r="BA255" s="3">
        <f>IFERROR(__xludf.DUMMYFUNCTION("""COMPUTED_VALUE"""),0.0)</f>
        <v>0</v>
      </c>
      <c r="BB255" s="3">
        <f>IFERROR(__xludf.DUMMYFUNCTION("""COMPUTED_VALUE"""),0.0)</f>
        <v>0</v>
      </c>
      <c r="BC255" s="3">
        <f>IFERROR(__xludf.DUMMYFUNCTION("""COMPUTED_VALUE"""),0.0)</f>
        <v>0</v>
      </c>
      <c r="BD255" s="3">
        <f>IFERROR(__xludf.DUMMYFUNCTION("""COMPUTED_VALUE"""),0.0)</f>
        <v>0</v>
      </c>
      <c r="BE255" s="3">
        <f>IFERROR(__xludf.DUMMYFUNCTION("""COMPUTED_VALUE"""),0.0)</f>
        <v>0</v>
      </c>
      <c r="BF255" s="3">
        <f>IFERROR(__xludf.DUMMYFUNCTION("""COMPUTED_VALUE"""),0.0)</f>
        <v>0</v>
      </c>
      <c r="BG255" s="3">
        <f>IFERROR(__xludf.DUMMYFUNCTION("""COMPUTED_VALUE"""),0.0)</f>
        <v>0</v>
      </c>
      <c r="BH255" s="3">
        <f>IFERROR(__xludf.DUMMYFUNCTION("""COMPUTED_VALUE"""),0.0)</f>
        <v>0</v>
      </c>
      <c r="BI255" s="3">
        <f>IFERROR(__xludf.DUMMYFUNCTION("""COMPUTED_VALUE"""),0.0)</f>
        <v>0</v>
      </c>
      <c r="BJ255" s="3">
        <f>IFERROR(__xludf.DUMMYFUNCTION("""COMPUTED_VALUE"""),0.0)</f>
        <v>0</v>
      </c>
      <c r="BK255" s="3">
        <f>IFERROR(__xludf.DUMMYFUNCTION("""COMPUTED_VALUE"""),0.0)</f>
        <v>0</v>
      </c>
      <c r="BL255" s="3">
        <f>IFERROR(__xludf.DUMMYFUNCTION("""COMPUTED_VALUE"""),0.0)</f>
        <v>0</v>
      </c>
      <c r="BM255" s="3">
        <f>IFERROR(__xludf.DUMMYFUNCTION("""COMPUTED_VALUE"""),0.0)</f>
        <v>0</v>
      </c>
      <c r="BN255" s="3">
        <f>IFERROR(__xludf.DUMMYFUNCTION("""COMPUTED_VALUE"""),0.0)</f>
        <v>0</v>
      </c>
      <c r="BO255" s="3">
        <f>IFERROR(__xludf.DUMMYFUNCTION("""COMPUTED_VALUE"""),0.0)</f>
        <v>0</v>
      </c>
      <c r="BP255" s="3">
        <f>IFERROR(__xludf.DUMMYFUNCTION("""COMPUTED_VALUE"""),0.0)</f>
        <v>0</v>
      </c>
      <c r="BQ255" s="3">
        <f>IFERROR(__xludf.DUMMYFUNCTION("""COMPUTED_VALUE"""),0.0)</f>
        <v>0</v>
      </c>
      <c r="BR255" s="3">
        <f>IFERROR(__xludf.DUMMYFUNCTION("""COMPUTED_VALUE"""),0.0)</f>
        <v>0</v>
      </c>
      <c r="BS255" s="3">
        <f>IFERROR(__xludf.DUMMYFUNCTION("""COMPUTED_VALUE"""),0.0)</f>
        <v>0</v>
      </c>
      <c r="BT255" s="3">
        <f>IFERROR(__xludf.DUMMYFUNCTION("""COMPUTED_VALUE"""),0.0)</f>
        <v>0</v>
      </c>
      <c r="BU255" s="3">
        <f>IFERROR(__xludf.DUMMYFUNCTION("""COMPUTED_VALUE"""),0.0)</f>
        <v>0</v>
      </c>
      <c r="BV255" s="3">
        <f>IFERROR(__xludf.DUMMYFUNCTION("""COMPUTED_VALUE"""),1.0)</f>
        <v>1</v>
      </c>
      <c r="BW255" s="3">
        <f>IFERROR(__xludf.DUMMYFUNCTION("""COMPUTED_VALUE"""),1.0)</f>
        <v>1</v>
      </c>
      <c r="BX255" s="3">
        <f>IFERROR(__xludf.DUMMYFUNCTION("""COMPUTED_VALUE"""),1.0)</f>
        <v>1</v>
      </c>
      <c r="BY255" s="3">
        <f>IFERROR(__xludf.DUMMYFUNCTION("""COMPUTED_VALUE"""),1.0)</f>
        <v>1</v>
      </c>
      <c r="BZ255" s="3">
        <f>IFERROR(__xludf.DUMMYFUNCTION("""COMPUTED_VALUE"""),1.0)</f>
        <v>1</v>
      </c>
      <c r="CA255" s="3">
        <f>IFERROR(__xludf.DUMMYFUNCTION("""COMPUTED_VALUE"""),1.0)</f>
        <v>1</v>
      </c>
      <c r="CB255" s="3">
        <f>IFERROR(__xludf.DUMMYFUNCTION("""COMPUTED_VALUE"""),1.0)</f>
        <v>1</v>
      </c>
    </row>
    <row r="256">
      <c r="A256" s="3" t="str">
        <f>IFERROR(__xludf.DUMMYFUNCTION("""COMPUTED_VALUE"""),"")</f>
        <v/>
      </c>
      <c r="B256" s="3" t="str">
        <f>IFERROR(__xludf.DUMMYFUNCTION("""COMPUTED_VALUE"""),"Burundi")</f>
        <v>Burundi</v>
      </c>
      <c r="C256" s="3">
        <f>IFERROR(__xludf.DUMMYFUNCTION("""COMPUTED_VALUE"""),-3.3731)</f>
        <v>-3.3731</v>
      </c>
      <c r="D256" s="3">
        <f>IFERROR(__xludf.DUMMYFUNCTION("""COMPUTED_VALUE"""),29.9189)</f>
        <v>29.9189</v>
      </c>
      <c r="E256" s="3">
        <f>IFERROR(__xludf.DUMMYFUNCTION("""COMPUTED_VALUE"""),0.0)</f>
        <v>0</v>
      </c>
      <c r="F256" s="3">
        <f>IFERROR(__xludf.DUMMYFUNCTION("""COMPUTED_VALUE"""),0.0)</f>
        <v>0</v>
      </c>
      <c r="G256" s="3">
        <f>IFERROR(__xludf.DUMMYFUNCTION("""COMPUTED_VALUE"""),0.0)</f>
        <v>0</v>
      </c>
      <c r="H256" s="3">
        <f>IFERROR(__xludf.DUMMYFUNCTION("""COMPUTED_VALUE"""),0.0)</f>
        <v>0</v>
      </c>
      <c r="I256" s="3">
        <f>IFERROR(__xludf.DUMMYFUNCTION("""COMPUTED_VALUE"""),0.0)</f>
        <v>0</v>
      </c>
      <c r="J256" s="3">
        <f>IFERROR(__xludf.DUMMYFUNCTION("""COMPUTED_VALUE"""),0.0)</f>
        <v>0</v>
      </c>
      <c r="K256" s="3">
        <f>IFERROR(__xludf.DUMMYFUNCTION("""COMPUTED_VALUE"""),0.0)</f>
        <v>0</v>
      </c>
      <c r="L256" s="3">
        <f>IFERROR(__xludf.DUMMYFUNCTION("""COMPUTED_VALUE"""),0.0)</f>
        <v>0</v>
      </c>
      <c r="M256" s="3">
        <f>IFERROR(__xludf.DUMMYFUNCTION("""COMPUTED_VALUE"""),0.0)</f>
        <v>0</v>
      </c>
      <c r="N256" s="3">
        <f>IFERROR(__xludf.DUMMYFUNCTION("""COMPUTED_VALUE"""),0.0)</f>
        <v>0</v>
      </c>
      <c r="O256" s="3">
        <f>IFERROR(__xludf.DUMMYFUNCTION("""COMPUTED_VALUE"""),0.0)</f>
        <v>0</v>
      </c>
      <c r="P256" s="3">
        <f>IFERROR(__xludf.DUMMYFUNCTION("""COMPUTED_VALUE"""),0.0)</f>
        <v>0</v>
      </c>
      <c r="Q256" s="3">
        <f>IFERROR(__xludf.DUMMYFUNCTION("""COMPUTED_VALUE"""),0.0)</f>
        <v>0</v>
      </c>
      <c r="R256" s="3">
        <f>IFERROR(__xludf.DUMMYFUNCTION("""COMPUTED_VALUE"""),0.0)</f>
        <v>0</v>
      </c>
      <c r="S256" s="3">
        <f>IFERROR(__xludf.DUMMYFUNCTION("""COMPUTED_VALUE"""),0.0)</f>
        <v>0</v>
      </c>
      <c r="T256" s="3">
        <f>IFERROR(__xludf.DUMMYFUNCTION("""COMPUTED_VALUE"""),0.0)</f>
        <v>0</v>
      </c>
      <c r="U256" s="3">
        <f>IFERROR(__xludf.DUMMYFUNCTION("""COMPUTED_VALUE"""),0.0)</f>
        <v>0</v>
      </c>
      <c r="V256" s="3">
        <f>IFERROR(__xludf.DUMMYFUNCTION("""COMPUTED_VALUE"""),0.0)</f>
        <v>0</v>
      </c>
      <c r="W256" s="3">
        <f>IFERROR(__xludf.DUMMYFUNCTION("""COMPUTED_VALUE"""),0.0)</f>
        <v>0</v>
      </c>
      <c r="X256" s="3">
        <f>IFERROR(__xludf.DUMMYFUNCTION("""COMPUTED_VALUE"""),0.0)</f>
        <v>0</v>
      </c>
      <c r="Y256" s="3">
        <f>IFERROR(__xludf.DUMMYFUNCTION("""COMPUTED_VALUE"""),0.0)</f>
        <v>0</v>
      </c>
      <c r="Z256" s="3">
        <f>IFERROR(__xludf.DUMMYFUNCTION("""COMPUTED_VALUE"""),0.0)</f>
        <v>0</v>
      </c>
      <c r="AA256" s="3">
        <f>IFERROR(__xludf.DUMMYFUNCTION("""COMPUTED_VALUE"""),0.0)</f>
        <v>0</v>
      </c>
      <c r="AB256" s="3">
        <f>IFERROR(__xludf.DUMMYFUNCTION("""COMPUTED_VALUE"""),0.0)</f>
        <v>0</v>
      </c>
      <c r="AC256" s="3">
        <f>IFERROR(__xludf.DUMMYFUNCTION("""COMPUTED_VALUE"""),0.0)</f>
        <v>0</v>
      </c>
      <c r="AD256" s="3">
        <f>IFERROR(__xludf.DUMMYFUNCTION("""COMPUTED_VALUE"""),0.0)</f>
        <v>0</v>
      </c>
      <c r="AE256" s="3">
        <f>IFERROR(__xludf.DUMMYFUNCTION("""COMPUTED_VALUE"""),0.0)</f>
        <v>0</v>
      </c>
      <c r="AF256" s="3">
        <f>IFERROR(__xludf.DUMMYFUNCTION("""COMPUTED_VALUE"""),0.0)</f>
        <v>0</v>
      </c>
      <c r="AG256" s="3">
        <f>IFERROR(__xludf.DUMMYFUNCTION("""COMPUTED_VALUE"""),0.0)</f>
        <v>0</v>
      </c>
      <c r="AH256" s="3">
        <f>IFERROR(__xludf.DUMMYFUNCTION("""COMPUTED_VALUE"""),0.0)</f>
        <v>0</v>
      </c>
      <c r="AI256" s="3">
        <f>IFERROR(__xludf.DUMMYFUNCTION("""COMPUTED_VALUE"""),0.0)</f>
        <v>0</v>
      </c>
      <c r="AJ256" s="3">
        <f>IFERROR(__xludf.DUMMYFUNCTION("""COMPUTED_VALUE"""),0.0)</f>
        <v>0</v>
      </c>
      <c r="AK256" s="3">
        <f>IFERROR(__xludf.DUMMYFUNCTION("""COMPUTED_VALUE"""),0.0)</f>
        <v>0</v>
      </c>
      <c r="AL256" s="3">
        <f>IFERROR(__xludf.DUMMYFUNCTION("""COMPUTED_VALUE"""),0.0)</f>
        <v>0</v>
      </c>
      <c r="AM256" s="3">
        <f>IFERROR(__xludf.DUMMYFUNCTION("""COMPUTED_VALUE"""),0.0)</f>
        <v>0</v>
      </c>
      <c r="AN256" s="3">
        <f>IFERROR(__xludf.DUMMYFUNCTION("""COMPUTED_VALUE"""),0.0)</f>
        <v>0</v>
      </c>
      <c r="AO256" s="3">
        <f>IFERROR(__xludf.DUMMYFUNCTION("""COMPUTED_VALUE"""),0.0)</f>
        <v>0</v>
      </c>
      <c r="AP256" s="3">
        <f>IFERROR(__xludf.DUMMYFUNCTION("""COMPUTED_VALUE"""),0.0)</f>
        <v>0</v>
      </c>
      <c r="AQ256" s="3">
        <f>IFERROR(__xludf.DUMMYFUNCTION("""COMPUTED_VALUE"""),0.0)</f>
        <v>0</v>
      </c>
      <c r="AR256" s="3">
        <f>IFERROR(__xludf.DUMMYFUNCTION("""COMPUTED_VALUE"""),0.0)</f>
        <v>0</v>
      </c>
      <c r="AS256" s="3">
        <f>IFERROR(__xludf.DUMMYFUNCTION("""COMPUTED_VALUE"""),0.0)</f>
        <v>0</v>
      </c>
      <c r="AT256" s="3">
        <f>IFERROR(__xludf.DUMMYFUNCTION("""COMPUTED_VALUE"""),0.0)</f>
        <v>0</v>
      </c>
      <c r="AU256" s="3">
        <f>IFERROR(__xludf.DUMMYFUNCTION("""COMPUTED_VALUE"""),0.0)</f>
        <v>0</v>
      </c>
      <c r="AV256" s="3">
        <f>IFERROR(__xludf.DUMMYFUNCTION("""COMPUTED_VALUE"""),0.0)</f>
        <v>0</v>
      </c>
      <c r="AW256" s="3">
        <f>IFERROR(__xludf.DUMMYFUNCTION("""COMPUTED_VALUE"""),0.0)</f>
        <v>0</v>
      </c>
      <c r="AX256" s="3">
        <f>IFERROR(__xludf.DUMMYFUNCTION("""COMPUTED_VALUE"""),0.0)</f>
        <v>0</v>
      </c>
      <c r="AY256" s="3">
        <f>IFERROR(__xludf.DUMMYFUNCTION("""COMPUTED_VALUE"""),0.0)</f>
        <v>0</v>
      </c>
      <c r="AZ256" s="3">
        <f>IFERROR(__xludf.DUMMYFUNCTION("""COMPUTED_VALUE"""),0.0)</f>
        <v>0</v>
      </c>
      <c r="BA256" s="3">
        <f>IFERROR(__xludf.DUMMYFUNCTION("""COMPUTED_VALUE"""),0.0)</f>
        <v>0</v>
      </c>
      <c r="BB256" s="3">
        <f>IFERROR(__xludf.DUMMYFUNCTION("""COMPUTED_VALUE"""),0.0)</f>
        <v>0</v>
      </c>
      <c r="BC256" s="3">
        <f>IFERROR(__xludf.DUMMYFUNCTION("""COMPUTED_VALUE"""),0.0)</f>
        <v>0</v>
      </c>
      <c r="BD256" s="3">
        <f>IFERROR(__xludf.DUMMYFUNCTION("""COMPUTED_VALUE"""),0.0)</f>
        <v>0</v>
      </c>
      <c r="BE256" s="3">
        <f>IFERROR(__xludf.DUMMYFUNCTION("""COMPUTED_VALUE"""),0.0)</f>
        <v>0</v>
      </c>
      <c r="BF256" s="3">
        <f>IFERROR(__xludf.DUMMYFUNCTION("""COMPUTED_VALUE"""),0.0)</f>
        <v>0</v>
      </c>
      <c r="BG256" s="3">
        <f>IFERROR(__xludf.DUMMYFUNCTION("""COMPUTED_VALUE"""),0.0)</f>
        <v>0</v>
      </c>
      <c r="BH256" s="3">
        <f>IFERROR(__xludf.DUMMYFUNCTION("""COMPUTED_VALUE"""),0.0)</f>
        <v>0</v>
      </c>
      <c r="BI256" s="3">
        <f>IFERROR(__xludf.DUMMYFUNCTION("""COMPUTED_VALUE"""),0.0)</f>
        <v>0</v>
      </c>
      <c r="BJ256" s="3">
        <f>IFERROR(__xludf.DUMMYFUNCTION("""COMPUTED_VALUE"""),0.0)</f>
        <v>0</v>
      </c>
      <c r="BK256" s="3">
        <f>IFERROR(__xludf.DUMMYFUNCTION("""COMPUTED_VALUE"""),0.0)</f>
        <v>0</v>
      </c>
      <c r="BL256" s="3">
        <f>IFERROR(__xludf.DUMMYFUNCTION("""COMPUTED_VALUE"""),0.0)</f>
        <v>0</v>
      </c>
      <c r="BM256" s="3">
        <f>IFERROR(__xludf.DUMMYFUNCTION("""COMPUTED_VALUE"""),0.0)</f>
        <v>0</v>
      </c>
      <c r="BN256" s="3">
        <f>IFERROR(__xludf.DUMMYFUNCTION("""COMPUTED_VALUE"""),0.0)</f>
        <v>0</v>
      </c>
      <c r="BO256" s="3">
        <f>IFERROR(__xludf.DUMMYFUNCTION("""COMPUTED_VALUE"""),0.0)</f>
        <v>0</v>
      </c>
      <c r="BP256" s="3">
        <f>IFERROR(__xludf.DUMMYFUNCTION("""COMPUTED_VALUE"""),0.0)</f>
        <v>0</v>
      </c>
      <c r="BQ256" s="3">
        <f>IFERROR(__xludf.DUMMYFUNCTION("""COMPUTED_VALUE"""),0.0)</f>
        <v>0</v>
      </c>
      <c r="BR256" s="3">
        <f>IFERROR(__xludf.DUMMYFUNCTION("""COMPUTED_VALUE"""),0.0)</f>
        <v>0</v>
      </c>
      <c r="BS256" s="3">
        <f>IFERROR(__xludf.DUMMYFUNCTION("""COMPUTED_VALUE"""),0.0)</f>
        <v>0</v>
      </c>
      <c r="BT256" s="3">
        <f>IFERROR(__xludf.DUMMYFUNCTION("""COMPUTED_VALUE"""),0.0)</f>
        <v>0</v>
      </c>
      <c r="BU256" s="3">
        <f>IFERROR(__xludf.DUMMYFUNCTION("""COMPUTED_VALUE"""),0.0)</f>
        <v>0</v>
      </c>
      <c r="BV256" s="3">
        <f>IFERROR(__xludf.DUMMYFUNCTION("""COMPUTED_VALUE"""),0.0)</f>
        <v>0</v>
      </c>
      <c r="BW256" s="3">
        <f>IFERROR(__xludf.DUMMYFUNCTION("""COMPUTED_VALUE"""),0.0)</f>
        <v>0</v>
      </c>
      <c r="BX256" s="3">
        <f>IFERROR(__xludf.DUMMYFUNCTION("""COMPUTED_VALUE"""),0.0)</f>
        <v>0</v>
      </c>
      <c r="BY256" s="3">
        <f>IFERROR(__xludf.DUMMYFUNCTION("""COMPUTED_VALUE"""),0.0)</f>
        <v>0</v>
      </c>
      <c r="BZ256" s="3">
        <f>IFERROR(__xludf.DUMMYFUNCTION("""COMPUTED_VALUE"""),0.0)</f>
        <v>0</v>
      </c>
      <c r="CA256" s="3">
        <f>IFERROR(__xludf.DUMMYFUNCTION("""COMPUTED_VALUE"""),0.0)</f>
        <v>0</v>
      </c>
      <c r="CB256" s="3">
        <f>IFERROR(__xludf.DUMMYFUNCTION("""COMPUTED_VALUE"""),0.0)</f>
        <v>0</v>
      </c>
    </row>
    <row r="257">
      <c r="A257" s="3" t="str">
        <f>IFERROR(__xludf.DUMMYFUNCTION("""COMPUTED_VALUE"""),"")</f>
        <v/>
      </c>
      <c r="B257" s="3" t="str">
        <f>IFERROR(__xludf.DUMMYFUNCTION("""COMPUTED_VALUE"""),"Sierra Leone")</f>
        <v>Sierra Leone</v>
      </c>
      <c r="C257" s="3">
        <f>IFERROR(__xludf.DUMMYFUNCTION("""COMPUTED_VALUE"""),8.460555)</f>
        <v>8.460555</v>
      </c>
      <c r="D257" s="3">
        <f>IFERROR(__xludf.DUMMYFUNCTION("""COMPUTED_VALUE"""),-11.779889)</f>
        <v>-11.779889</v>
      </c>
      <c r="E257" s="3">
        <f>IFERROR(__xludf.DUMMYFUNCTION("""COMPUTED_VALUE"""),0.0)</f>
        <v>0</v>
      </c>
      <c r="F257" s="3">
        <f>IFERROR(__xludf.DUMMYFUNCTION("""COMPUTED_VALUE"""),0.0)</f>
        <v>0</v>
      </c>
      <c r="G257" s="3">
        <f>IFERROR(__xludf.DUMMYFUNCTION("""COMPUTED_VALUE"""),0.0)</f>
        <v>0</v>
      </c>
      <c r="H257" s="3">
        <f>IFERROR(__xludf.DUMMYFUNCTION("""COMPUTED_VALUE"""),0.0)</f>
        <v>0</v>
      </c>
      <c r="I257" s="3">
        <f>IFERROR(__xludf.DUMMYFUNCTION("""COMPUTED_VALUE"""),0.0)</f>
        <v>0</v>
      </c>
      <c r="J257" s="3">
        <f>IFERROR(__xludf.DUMMYFUNCTION("""COMPUTED_VALUE"""),0.0)</f>
        <v>0</v>
      </c>
      <c r="K257" s="3">
        <f>IFERROR(__xludf.DUMMYFUNCTION("""COMPUTED_VALUE"""),0.0)</f>
        <v>0</v>
      </c>
      <c r="L257" s="3">
        <f>IFERROR(__xludf.DUMMYFUNCTION("""COMPUTED_VALUE"""),0.0)</f>
        <v>0</v>
      </c>
      <c r="M257" s="3">
        <f>IFERROR(__xludf.DUMMYFUNCTION("""COMPUTED_VALUE"""),0.0)</f>
        <v>0</v>
      </c>
      <c r="N257" s="3">
        <f>IFERROR(__xludf.DUMMYFUNCTION("""COMPUTED_VALUE"""),0.0)</f>
        <v>0</v>
      </c>
      <c r="O257" s="3">
        <f>IFERROR(__xludf.DUMMYFUNCTION("""COMPUTED_VALUE"""),0.0)</f>
        <v>0</v>
      </c>
      <c r="P257" s="3">
        <f>IFERROR(__xludf.DUMMYFUNCTION("""COMPUTED_VALUE"""),0.0)</f>
        <v>0</v>
      </c>
      <c r="Q257" s="3">
        <f>IFERROR(__xludf.DUMMYFUNCTION("""COMPUTED_VALUE"""),0.0)</f>
        <v>0</v>
      </c>
      <c r="R257" s="3">
        <f>IFERROR(__xludf.DUMMYFUNCTION("""COMPUTED_VALUE"""),0.0)</f>
        <v>0</v>
      </c>
      <c r="S257" s="3">
        <f>IFERROR(__xludf.DUMMYFUNCTION("""COMPUTED_VALUE"""),0.0)</f>
        <v>0</v>
      </c>
      <c r="T257" s="3">
        <f>IFERROR(__xludf.DUMMYFUNCTION("""COMPUTED_VALUE"""),0.0)</f>
        <v>0</v>
      </c>
      <c r="U257" s="3">
        <f>IFERROR(__xludf.DUMMYFUNCTION("""COMPUTED_VALUE"""),0.0)</f>
        <v>0</v>
      </c>
      <c r="V257" s="3">
        <f>IFERROR(__xludf.DUMMYFUNCTION("""COMPUTED_VALUE"""),0.0)</f>
        <v>0</v>
      </c>
      <c r="W257" s="3">
        <f>IFERROR(__xludf.DUMMYFUNCTION("""COMPUTED_VALUE"""),0.0)</f>
        <v>0</v>
      </c>
      <c r="X257" s="3">
        <f>IFERROR(__xludf.DUMMYFUNCTION("""COMPUTED_VALUE"""),0.0)</f>
        <v>0</v>
      </c>
      <c r="Y257" s="3">
        <f>IFERROR(__xludf.DUMMYFUNCTION("""COMPUTED_VALUE"""),0.0)</f>
        <v>0</v>
      </c>
      <c r="Z257" s="3">
        <f>IFERROR(__xludf.DUMMYFUNCTION("""COMPUTED_VALUE"""),0.0)</f>
        <v>0</v>
      </c>
      <c r="AA257" s="3">
        <f>IFERROR(__xludf.DUMMYFUNCTION("""COMPUTED_VALUE"""),0.0)</f>
        <v>0</v>
      </c>
      <c r="AB257" s="3">
        <f>IFERROR(__xludf.DUMMYFUNCTION("""COMPUTED_VALUE"""),0.0)</f>
        <v>0</v>
      </c>
      <c r="AC257" s="3">
        <f>IFERROR(__xludf.DUMMYFUNCTION("""COMPUTED_VALUE"""),0.0)</f>
        <v>0</v>
      </c>
      <c r="AD257" s="3">
        <f>IFERROR(__xludf.DUMMYFUNCTION("""COMPUTED_VALUE"""),0.0)</f>
        <v>0</v>
      </c>
      <c r="AE257" s="3">
        <f>IFERROR(__xludf.DUMMYFUNCTION("""COMPUTED_VALUE"""),0.0)</f>
        <v>0</v>
      </c>
      <c r="AF257" s="3">
        <f>IFERROR(__xludf.DUMMYFUNCTION("""COMPUTED_VALUE"""),0.0)</f>
        <v>0</v>
      </c>
      <c r="AG257" s="3">
        <f>IFERROR(__xludf.DUMMYFUNCTION("""COMPUTED_VALUE"""),0.0)</f>
        <v>0</v>
      </c>
      <c r="AH257" s="3">
        <f>IFERROR(__xludf.DUMMYFUNCTION("""COMPUTED_VALUE"""),0.0)</f>
        <v>0</v>
      </c>
      <c r="AI257" s="3">
        <f>IFERROR(__xludf.DUMMYFUNCTION("""COMPUTED_VALUE"""),0.0)</f>
        <v>0</v>
      </c>
      <c r="AJ257" s="3">
        <f>IFERROR(__xludf.DUMMYFUNCTION("""COMPUTED_VALUE"""),0.0)</f>
        <v>0</v>
      </c>
      <c r="AK257" s="3">
        <f>IFERROR(__xludf.DUMMYFUNCTION("""COMPUTED_VALUE"""),0.0)</f>
        <v>0</v>
      </c>
      <c r="AL257" s="3">
        <f>IFERROR(__xludf.DUMMYFUNCTION("""COMPUTED_VALUE"""),0.0)</f>
        <v>0</v>
      </c>
      <c r="AM257" s="3">
        <f>IFERROR(__xludf.DUMMYFUNCTION("""COMPUTED_VALUE"""),0.0)</f>
        <v>0</v>
      </c>
      <c r="AN257" s="3">
        <f>IFERROR(__xludf.DUMMYFUNCTION("""COMPUTED_VALUE"""),0.0)</f>
        <v>0</v>
      </c>
      <c r="AO257" s="3">
        <f>IFERROR(__xludf.DUMMYFUNCTION("""COMPUTED_VALUE"""),0.0)</f>
        <v>0</v>
      </c>
      <c r="AP257" s="3">
        <f>IFERROR(__xludf.DUMMYFUNCTION("""COMPUTED_VALUE"""),0.0)</f>
        <v>0</v>
      </c>
      <c r="AQ257" s="3">
        <f>IFERROR(__xludf.DUMMYFUNCTION("""COMPUTED_VALUE"""),0.0)</f>
        <v>0</v>
      </c>
      <c r="AR257" s="3">
        <f>IFERROR(__xludf.DUMMYFUNCTION("""COMPUTED_VALUE"""),0.0)</f>
        <v>0</v>
      </c>
      <c r="AS257" s="3">
        <f>IFERROR(__xludf.DUMMYFUNCTION("""COMPUTED_VALUE"""),0.0)</f>
        <v>0</v>
      </c>
      <c r="AT257" s="3">
        <f>IFERROR(__xludf.DUMMYFUNCTION("""COMPUTED_VALUE"""),0.0)</f>
        <v>0</v>
      </c>
      <c r="AU257" s="3">
        <f>IFERROR(__xludf.DUMMYFUNCTION("""COMPUTED_VALUE"""),0.0)</f>
        <v>0</v>
      </c>
      <c r="AV257" s="3">
        <f>IFERROR(__xludf.DUMMYFUNCTION("""COMPUTED_VALUE"""),0.0)</f>
        <v>0</v>
      </c>
      <c r="AW257" s="3">
        <f>IFERROR(__xludf.DUMMYFUNCTION("""COMPUTED_VALUE"""),0.0)</f>
        <v>0</v>
      </c>
      <c r="AX257" s="3">
        <f>IFERROR(__xludf.DUMMYFUNCTION("""COMPUTED_VALUE"""),0.0)</f>
        <v>0</v>
      </c>
      <c r="AY257" s="3">
        <f>IFERROR(__xludf.DUMMYFUNCTION("""COMPUTED_VALUE"""),0.0)</f>
        <v>0</v>
      </c>
      <c r="AZ257" s="3">
        <f>IFERROR(__xludf.DUMMYFUNCTION("""COMPUTED_VALUE"""),0.0)</f>
        <v>0</v>
      </c>
      <c r="BA257" s="3">
        <f>IFERROR(__xludf.DUMMYFUNCTION("""COMPUTED_VALUE"""),0.0)</f>
        <v>0</v>
      </c>
      <c r="BB257" s="3">
        <f>IFERROR(__xludf.DUMMYFUNCTION("""COMPUTED_VALUE"""),0.0)</f>
        <v>0</v>
      </c>
      <c r="BC257" s="3">
        <f>IFERROR(__xludf.DUMMYFUNCTION("""COMPUTED_VALUE"""),0.0)</f>
        <v>0</v>
      </c>
      <c r="BD257" s="3">
        <f>IFERROR(__xludf.DUMMYFUNCTION("""COMPUTED_VALUE"""),0.0)</f>
        <v>0</v>
      </c>
      <c r="BE257" s="3">
        <f>IFERROR(__xludf.DUMMYFUNCTION("""COMPUTED_VALUE"""),0.0)</f>
        <v>0</v>
      </c>
      <c r="BF257" s="3">
        <f>IFERROR(__xludf.DUMMYFUNCTION("""COMPUTED_VALUE"""),0.0)</f>
        <v>0</v>
      </c>
      <c r="BG257" s="3">
        <f>IFERROR(__xludf.DUMMYFUNCTION("""COMPUTED_VALUE"""),0.0)</f>
        <v>0</v>
      </c>
      <c r="BH257" s="3">
        <f>IFERROR(__xludf.DUMMYFUNCTION("""COMPUTED_VALUE"""),0.0)</f>
        <v>0</v>
      </c>
      <c r="BI257" s="3">
        <f>IFERROR(__xludf.DUMMYFUNCTION("""COMPUTED_VALUE"""),0.0)</f>
        <v>0</v>
      </c>
      <c r="BJ257" s="3">
        <f>IFERROR(__xludf.DUMMYFUNCTION("""COMPUTED_VALUE"""),0.0)</f>
        <v>0</v>
      </c>
      <c r="BK257" s="3">
        <f>IFERROR(__xludf.DUMMYFUNCTION("""COMPUTED_VALUE"""),0.0)</f>
        <v>0</v>
      </c>
      <c r="BL257" s="3">
        <f>IFERROR(__xludf.DUMMYFUNCTION("""COMPUTED_VALUE"""),0.0)</f>
        <v>0</v>
      </c>
      <c r="BM257" s="3">
        <f>IFERROR(__xludf.DUMMYFUNCTION("""COMPUTED_VALUE"""),0.0)</f>
        <v>0</v>
      </c>
      <c r="BN257" s="3">
        <f>IFERROR(__xludf.DUMMYFUNCTION("""COMPUTED_VALUE"""),0.0)</f>
        <v>0</v>
      </c>
      <c r="BO257" s="3">
        <f>IFERROR(__xludf.DUMMYFUNCTION("""COMPUTED_VALUE"""),0.0)</f>
        <v>0</v>
      </c>
      <c r="BP257" s="3">
        <f>IFERROR(__xludf.DUMMYFUNCTION("""COMPUTED_VALUE"""),0.0)</f>
        <v>0</v>
      </c>
      <c r="BQ257" s="3">
        <f>IFERROR(__xludf.DUMMYFUNCTION("""COMPUTED_VALUE"""),0.0)</f>
        <v>0</v>
      </c>
      <c r="BR257" s="3">
        <f>IFERROR(__xludf.DUMMYFUNCTION("""COMPUTED_VALUE"""),0.0)</f>
        <v>0</v>
      </c>
      <c r="BS257" s="3">
        <f>IFERROR(__xludf.DUMMYFUNCTION("""COMPUTED_VALUE"""),0.0)</f>
        <v>0</v>
      </c>
      <c r="BT257" s="3">
        <f>IFERROR(__xludf.DUMMYFUNCTION("""COMPUTED_VALUE"""),0.0)</f>
        <v>0</v>
      </c>
      <c r="BU257" s="3">
        <f>IFERROR(__xludf.DUMMYFUNCTION("""COMPUTED_VALUE"""),0.0)</f>
        <v>0</v>
      </c>
      <c r="BV257" s="3">
        <f>IFERROR(__xludf.DUMMYFUNCTION("""COMPUTED_VALUE"""),0.0)</f>
        <v>0</v>
      </c>
      <c r="BW257" s="3">
        <f>IFERROR(__xludf.DUMMYFUNCTION("""COMPUTED_VALUE"""),0.0)</f>
        <v>0</v>
      </c>
      <c r="BX257" s="3">
        <f>IFERROR(__xludf.DUMMYFUNCTION("""COMPUTED_VALUE"""),0.0)</f>
        <v>0</v>
      </c>
      <c r="BY257" s="3">
        <f>IFERROR(__xludf.DUMMYFUNCTION("""COMPUTED_VALUE"""),0.0)</f>
        <v>0</v>
      </c>
      <c r="BZ257" s="3">
        <f>IFERROR(__xludf.DUMMYFUNCTION("""COMPUTED_VALUE"""),0.0)</f>
        <v>0</v>
      </c>
      <c r="CA257" s="3">
        <f>IFERROR(__xludf.DUMMYFUNCTION("""COMPUTED_VALUE"""),0.0)</f>
        <v>0</v>
      </c>
      <c r="CB257" s="3">
        <f>IFERROR(__xludf.DUMMYFUNCTION("""COMPUTED_VALUE"""),0.0)</f>
        <v>0</v>
      </c>
    </row>
    <row r="258">
      <c r="A258" s="3" t="str">
        <f>IFERROR(__xludf.DUMMYFUNCTION("""COMPUTED_VALUE"""),"Bonaire, Sint Eustatius and Saba")</f>
        <v>Bonaire, Sint Eustatius and Saba</v>
      </c>
      <c r="B258" s="3" t="str">
        <f>IFERROR(__xludf.DUMMYFUNCTION("""COMPUTED_VALUE"""),"Netherlands")</f>
        <v>Netherlands</v>
      </c>
      <c r="C258" s="3">
        <f>IFERROR(__xludf.DUMMYFUNCTION("""COMPUTED_VALUE"""),12.1784)</f>
        <v>12.1784</v>
      </c>
      <c r="D258" s="3">
        <f>IFERROR(__xludf.DUMMYFUNCTION("""COMPUTED_VALUE"""),-68.2385)</f>
        <v>-68.2385</v>
      </c>
      <c r="E258" s="3">
        <f>IFERROR(__xludf.DUMMYFUNCTION("""COMPUTED_VALUE"""),0.0)</f>
        <v>0</v>
      </c>
      <c r="F258" s="3">
        <f>IFERROR(__xludf.DUMMYFUNCTION("""COMPUTED_VALUE"""),0.0)</f>
        <v>0</v>
      </c>
      <c r="G258" s="3">
        <f>IFERROR(__xludf.DUMMYFUNCTION("""COMPUTED_VALUE"""),0.0)</f>
        <v>0</v>
      </c>
      <c r="H258" s="3">
        <f>IFERROR(__xludf.DUMMYFUNCTION("""COMPUTED_VALUE"""),0.0)</f>
        <v>0</v>
      </c>
      <c r="I258" s="3">
        <f>IFERROR(__xludf.DUMMYFUNCTION("""COMPUTED_VALUE"""),0.0)</f>
        <v>0</v>
      </c>
      <c r="J258" s="3">
        <f>IFERROR(__xludf.DUMMYFUNCTION("""COMPUTED_VALUE"""),0.0)</f>
        <v>0</v>
      </c>
      <c r="K258" s="3">
        <f>IFERROR(__xludf.DUMMYFUNCTION("""COMPUTED_VALUE"""),0.0)</f>
        <v>0</v>
      </c>
      <c r="L258" s="3">
        <f>IFERROR(__xludf.DUMMYFUNCTION("""COMPUTED_VALUE"""),0.0)</f>
        <v>0</v>
      </c>
      <c r="M258" s="3">
        <f>IFERROR(__xludf.DUMMYFUNCTION("""COMPUTED_VALUE"""),0.0)</f>
        <v>0</v>
      </c>
      <c r="N258" s="3">
        <f>IFERROR(__xludf.DUMMYFUNCTION("""COMPUTED_VALUE"""),0.0)</f>
        <v>0</v>
      </c>
      <c r="O258" s="3">
        <f>IFERROR(__xludf.DUMMYFUNCTION("""COMPUTED_VALUE"""),0.0)</f>
        <v>0</v>
      </c>
      <c r="P258" s="3">
        <f>IFERROR(__xludf.DUMMYFUNCTION("""COMPUTED_VALUE"""),0.0)</f>
        <v>0</v>
      </c>
      <c r="Q258" s="3">
        <f>IFERROR(__xludf.DUMMYFUNCTION("""COMPUTED_VALUE"""),0.0)</f>
        <v>0</v>
      </c>
      <c r="R258" s="3">
        <f>IFERROR(__xludf.DUMMYFUNCTION("""COMPUTED_VALUE"""),0.0)</f>
        <v>0</v>
      </c>
      <c r="S258" s="3">
        <f>IFERROR(__xludf.DUMMYFUNCTION("""COMPUTED_VALUE"""),0.0)</f>
        <v>0</v>
      </c>
      <c r="T258" s="3">
        <f>IFERROR(__xludf.DUMMYFUNCTION("""COMPUTED_VALUE"""),0.0)</f>
        <v>0</v>
      </c>
      <c r="U258" s="3">
        <f>IFERROR(__xludf.DUMMYFUNCTION("""COMPUTED_VALUE"""),0.0)</f>
        <v>0</v>
      </c>
      <c r="V258" s="3">
        <f>IFERROR(__xludf.DUMMYFUNCTION("""COMPUTED_VALUE"""),0.0)</f>
        <v>0</v>
      </c>
      <c r="W258" s="3">
        <f>IFERROR(__xludf.DUMMYFUNCTION("""COMPUTED_VALUE"""),0.0)</f>
        <v>0</v>
      </c>
      <c r="X258" s="3">
        <f>IFERROR(__xludf.DUMMYFUNCTION("""COMPUTED_VALUE"""),0.0)</f>
        <v>0</v>
      </c>
      <c r="Y258" s="3">
        <f>IFERROR(__xludf.DUMMYFUNCTION("""COMPUTED_VALUE"""),0.0)</f>
        <v>0</v>
      </c>
      <c r="Z258" s="3">
        <f>IFERROR(__xludf.DUMMYFUNCTION("""COMPUTED_VALUE"""),0.0)</f>
        <v>0</v>
      </c>
      <c r="AA258" s="3">
        <f>IFERROR(__xludf.DUMMYFUNCTION("""COMPUTED_VALUE"""),0.0)</f>
        <v>0</v>
      </c>
      <c r="AB258" s="3">
        <f>IFERROR(__xludf.DUMMYFUNCTION("""COMPUTED_VALUE"""),0.0)</f>
        <v>0</v>
      </c>
      <c r="AC258" s="3">
        <f>IFERROR(__xludf.DUMMYFUNCTION("""COMPUTED_VALUE"""),0.0)</f>
        <v>0</v>
      </c>
      <c r="AD258" s="3">
        <f>IFERROR(__xludf.DUMMYFUNCTION("""COMPUTED_VALUE"""),0.0)</f>
        <v>0</v>
      </c>
      <c r="AE258" s="3">
        <f>IFERROR(__xludf.DUMMYFUNCTION("""COMPUTED_VALUE"""),0.0)</f>
        <v>0</v>
      </c>
      <c r="AF258" s="3">
        <f>IFERROR(__xludf.DUMMYFUNCTION("""COMPUTED_VALUE"""),0.0)</f>
        <v>0</v>
      </c>
      <c r="AG258" s="3">
        <f>IFERROR(__xludf.DUMMYFUNCTION("""COMPUTED_VALUE"""),0.0)</f>
        <v>0</v>
      </c>
      <c r="AH258" s="3">
        <f>IFERROR(__xludf.DUMMYFUNCTION("""COMPUTED_VALUE"""),0.0)</f>
        <v>0</v>
      </c>
      <c r="AI258" s="3">
        <f>IFERROR(__xludf.DUMMYFUNCTION("""COMPUTED_VALUE"""),0.0)</f>
        <v>0</v>
      </c>
      <c r="AJ258" s="3">
        <f>IFERROR(__xludf.DUMMYFUNCTION("""COMPUTED_VALUE"""),0.0)</f>
        <v>0</v>
      </c>
      <c r="AK258" s="3">
        <f>IFERROR(__xludf.DUMMYFUNCTION("""COMPUTED_VALUE"""),0.0)</f>
        <v>0</v>
      </c>
      <c r="AL258" s="3">
        <f>IFERROR(__xludf.DUMMYFUNCTION("""COMPUTED_VALUE"""),0.0)</f>
        <v>0</v>
      </c>
      <c r="AM258" s="3">
        <f>IFERROR(__xludf.DUMMYFUNCTION("""COMPUTED_VALUE"""),0.0)</f>
        <v>0</v>
      </c>
      <c r="AN258" s="3">
        <f>IFERROR(__xludf.DUMMYFUNCTION("""COMPUTED_VALUE"""),0.0)</f>
        <v>0</v>
      </c>
      <c r="AO258" s="3">
        <f>IFERROR(__xludf.DUMMYFUNCTION("""COMPUTED_VALUE"""),0.0)</f>
        <v>0</v>
      </c>
      <c r="AP258" s="3">
        <f>IFERROR(__xludf.DUMMYFUNCTION("""COMPUTED_VALUE"""),0.0)</f>
        <v>0</v>
      </c>
      <c r="AQ258" s="3">
        <f>IFERROR(__xludf.DUMMYFUNCTION("""COMPUTED_VALUE"""),0.0)</f>
        <v>0</v>
      </c>
      <c r="AR258" s="3">
        <f>IFERROR(__xludf.DUMMYFUNCTION("""COMPUTED_VALUE"""),0.0)</f>
        <v>0</v>
      </c>
      <c r="AS258" s="3">
        <f>IFERROR(__xludf.DUMMYFUNCTION("""COMPUTED_VALUE"""),0.0)</f>
        <v>0</v>
      </c>
      <c r="AT258" s="3">
        <f>IFERROR(__xludf.DUMMYFUNCTION("""COMPUTED_VALUE"""),0.0)</f>
        <v>0</v>
      </c>
      <c r="AU258" s="3">
        <f>IFERROR(__xludf.DUMMYFUNCTION("""COMPUTED_VALUE"""),0.0)</f>
        <v>0</v>
      </c>
      <c r="AV258" s="3">
        <f>IFERROR(__xludf.DUMMYFUNCTION("""COMPUTED_VALUE"""),0.0)</f>
        <v>0</v>
      </c>
      <c r="AW258" s="3">
        <f>IFERROR(__xludf.DUMMYFUNCTION("""COMPUTED_VALUE"""),0.0)</f>
        <v>0</v>
      </c>
      <c r="AX258" s="3">
        <f>IFERROR(__xludf.DUMMYFUNCTION("""COMPUTED_VALUE"""),0.0)</f>
        <v>0</v>
      </c>
      <c r="AY258" s="3">
        <f>IFERROR(__xludf.DUMMYFUNCTION("""COMPUTED_VALUE"""),0.0)</f>
        <v>0</v>
      </c>
      <c r="AZ258" s="3">
        <f>IFERROR(__xludf.DUMMYFUNCTION("""COMPUTED_VALUE"""),0.0)</f>
        <v>0</v>
      </c>
      <c r="BA258" s="3">
        <f>IFERROR(__xludf.DUMMYFUNCTION("""COMPUTED_VALUE"""),0.0)</f>
        <v>0</v>
      </c>
      <c r="BB258" s="3">
        <f>IFERROR(__xludf.DUMMYFUNCTION("""COMPUTED_VALUE"""),0.0)</f>
        <v>0</v>
      </c>
      <c r="BC258" s="3">
        <f>IFERROR(__xludf.DUMMYFUNCTION("""COMPUTED_VALUE"""),0.0)</f>
        <v>0</v>
      </c>
      <c r="BD258" s="3">
        <f>IFERROR(__xludf.DUMMYFUNCTION("""COMPUTED_VALUE"""),0.0)</f>
        <v>0</v>
      </c>
      <c r="BE258" s="3">
        <f>IFERROR(__xludf.DUMMYFUNCTION("""COMPUTED_VALUE"""),0.0)</f>
        <v>0</v>
      </c>
      <c r="BF258" s="3">
        <f>IFERROR(__xludf.DUMMYFUNCTION("""COMPUTED_VALUE"""),0.0)</f>
        <v>0</v>
      </c>
      <c r="BG258" s="3">
        <f>IFERROR(__xludf.DUMMYFUNCTION("""COMPUTED_VALUE"""),0.0)</f>
        <v>0</v>
      </c>
      <c r="BH258" s="3">
        <f>IFERROR(__xludf.DUMMYFUNCTION("""COMPUTED_VALUE"""),0.0)</f>
        <v>0</v>
      </c>
      <c r="BI258" s="3">
        <f>IFERROR(__xludf.DUMMYFUNCTION("""COMPUTED_VALUE"""),0.0)</f>
        <v>0</v>
      </c>
      <c r="BJ258" s="3">
        <f>IFERROR(__xludf.DUMMYFUNCTION("""COMPUTED_VALUE"""),0.0)</f>
        <v>0</v>
      </c>
      <c r="BK258" s="3">
        <f>IFERROR(__xludf.DUMMYFUNCTION("""COMPUTED_VALUE"""),0.0)</f>
        <v>0</v>
      </c>
      <c r="BL258" s="3">
        <f>IFERROR(__xludf.DUMMYFUNCTION("""COMPUTED_VALUE"""),0.0)</f>
        <v>0</v>
      </c>
      <c r="BM258" s="3">
        <f>IFERROR(__xludf.DUMMYFUNCTION("""COMPUTED_VALUE"""),0.0)</f>
        <v>0</v>
      </c>
      <c r="BN258" s="3">
        <f>IFERROR(__xludf.DUMMYFUNCTION("""COMPUTED_VALUE"""),0.0)</f>
        <v>0</v>
      </c>
      <c r="BO258" s="3">
        <f>IFERROR(__xludf.DUMMYFUNCTION("""COMPUTED_VALUE"""),0.0)</f>
        <v>0</v>
      </c>
      <c r="BP258" s="3">
        <f>IFERROR(__xludf.DUMMYFUNCTION("""COMPUTED_VALUE"""),0.0)</f>
        <v>0</v>
      </c>
      <c r="BQ258" s="3">
        <f>IFERROR(__xludf.DUMMYFUNCTION("""COMPUTED_VALUE"""),0.0)</f>
        <v>0</v>
      </c>
      <c r="BR258" s="3">
        <f>IFERROR(__xludf.DUMMYFUNCTION("""COMPUTED_VALUE"""),0.0)</f>
        <v>0</v>
      </c>
      <c r="BS258" s="3">
        <f>IFERROR(__xludf.DUMMYFUNCTION("""COMPUTED_VALUE"""),0.0)</f>
        <v>0</v>
      </c>
      <c r="BT258" s="3">
        <f>IFERROR(__xludf.DUMMYFUNCTION("""COMPUTED_VALUE"""),0.0)</f>
        <v>0</v>
      </c>
      <c r="BU258" s="3">
        <f>IFERROR(__xludf.DUMMYFUNCTION("""COMPUTED_VALUE"""),0.0)</f>
        <v>0</v>
      </c>
      <c r="BV258" s="3">
        <f>IFERROR(__xludf.DUMMYFUNCTION("""COMPUTED_VALUE"""),0.0)</f>
        <v>0</v>
      </c>
      <c r="BW258" s="3">
        <f>IFERROR(__xludf.DUMMYFUNCTION("""COMPUTED_VALUE"""),0.0)</f>
        <v>0</v>
      </c>
      <c r="BX258" s="3">
        <f>IFERROR(__xludf.DUMMYFUNCTION("""COMPUTED_VALUE"""),0.0)</f>
        <v>0</v>
      </c>
      <c r="BY258" s="3">
        <f>IFERROR(__xludf.DUMMYFUNCTION("""COMPUTED_VALUE"""),0.0)</f>
        <v>0</v>
      </c>
      <c r="BZ258" s="3">
        <f>IFERROR(__xludf.DUMMYFUNCTION("""COMPUTED_VALUE"""),0.0)</f>
        <v>0</v>
      </c>
      <c r="CA258" s="3">
        <f>IFERROR(__xludf.DUMMYFUNCTION("""COMPUTED_VALUE"""),0.0)</f>
        <v>0</v>
      </c>
      <c r="CB258" s="3">
        <f>IFERROR(__xludf.DUMMYFUNCTION("""COMPUTED_VALUE"""),0.0)</f>
        <v>0</v>
      </c>
    </row>
    <row r="259">
      <c r="A259" s="3" t="str">
        <f>IFERROR(__xludf.DUMMYFUNCTION("""COMPUTED_VALUE"""),"")</f>
        <v/>
      </c>
      <c r="B259" s="3" t="str">
        <f>IFERROR(__xludf.DUMMYFUNCTION("""COMPUTED_VALUE"""),"Malawi")</f>
        <v>Malawi</v>
      </c>
      <c r="C259" s="3">
        <f>IFERROR(__xludf.DUMMYFUNCTION("""COMPUTED_VALUE"""),-13.2543079999999)</f>
        <v>-13.254308</v>
      </c>
      <c r="D259" s="3">
        <f>IFERROR(__xludf.DUMMYFUNCTION("""COMPUTED_VALUE"""),34.301525)</f>
        <v>34.301525</v>
      </c>
      <c r="E259" s="3">
        <f>IFERROR(__xludf.DUMMYFUNCTION("""COMPUTED_VALUE"""),0.0)</f>
        <v>0</v>
      </c>
      <c r="F259" s="3">
        <f>IFERROR(__xludf.DUMMYFUNCTION("""COMPUTED_VALUE"""),0.0)</f>
        <v>0</v>
      </c>
      <c r="G259" s="3">
        <f>IFERROR(__xludf.DUMMYFUNCTION("""COMPUTED_VALUE"""),0.0)</f>
        <v>0</v>
      </c>
      <c r="H259" s="3">
        <f>IFERROR(__xludf.DUMMYFUNCTION("""COMPUTED_VALUE"""),0.0)</f>
        <v>0</v>
      </c>
      <c r="I259" s="3">
        <f>IFERROR(__xludf.DUMMYFUNCTION("""COMPUTED_VALUE"""),0.0)</f>
        <v>0</v>
      </c>
      <c r="J259" s="3">
        <f>IFERROR(__xludf.DUMMYFUNCTION("""COMPUTED_VALUE"""),0.0)</f>
        <v>0</v>
      </c>
      <c r="K259" s="3">
        <f>IFERROR(__xludf.DUMMYFUNCTION("""COMPUTED_VALUE"""),0.0)</f>
        <v>0</v>
      </c>
      <c r="L259" s="3">
        <f>IFERROR(__xludf.DUMMYFUNCTION("""COMPUTED_VALUE"""),0.0)</f>
        <v>0</v>
      </c>
      <c r="M259" s="3">
        <f>IFERROR(__xludf.DUMMYFUNCTION("""COMPUTED_VALUE"""),0.0)</f>
        <v>0</v>
      </c>
      <c r="N259" s="3">
        <f>IFERROR(__xludf.DUMMYFUNCTION("""COMPUTED_VALUE"""),0.0)</f>
        <v>0</v>
      </c>
      <c r="O259" s="3">
        <f>IFERROR(__xludf.DUMMYFUNCTION("""COMPUTED_VALUE"""),0.0)</f>
        <v>0</v>
      </c>
      <c r="P259" s="3">
        <f>IFERROR(__xludf.DUMMYFUNCTION("""COMPUTED_VALUE"""),0.0)</f>
        <v>0</v>
      </c>
      <c r="Q259" s="3">
        <f>IFERROR(__xludf.DUMMYFUNCTION("""COMPUTED_VALUE"""),0.0)</f>
        <v>0</v>
      </c>
      <c r="R259" s="3">
        <f>IFERROR(__xludf.DUMMYFUNCTION("""COMPUTED_VALUE"""),0.0)</f>
        <v>0</v>
      </c>
      <c r="S259" s="3">
        <f>IFERROR(__xludf.DUMMYFUNCTION("""COMPUTED_VALUE"""),0.0)</f>
        <v>0</v>
      </c>
      <c r="T259" s="3">
        <f>IFERROR(__xludf.DUMMYFUNCTION("""COMPUTED_VALUE"""),0.0)</f>
        <v>0</v>
      </c>
      <c r="U259" s="3">
        <f>IFERROR(__xludf.DUMMYFUNCTION("""COMPUTED_VALUE"""),0.0)</f>
        <v>0</v>
      </c>
      <c r="V259" s="3">
        <f>IFERROR(__xludf.DUMMYFUNCTION("""COMPUTED_VALUE"""),0.0)</f>
        <v>0</v>
      </c>
      <c r="W259" s="3">
        <f>IFERROR(__xludf.DUMMYFUNCTION("""COMPUTED_VALUE"""),0.0)</f>
        <v>0</v>
      </c>
      <c r="X259" s="3">
        <f>IFERROR(__xludf.DUMMYFUNCTION("""COMPUTED_VALUE"""),0.0)</f>
        <v>0</v>
      </c>
      <c r="Y259" s="3">
        <f>IFERROR(__xludf.DUMMYFUNCTION("""COMPUTED_VALUE"""),0.0)</f>
        <v>0</v>
      </c>
      <c r="Z259" s="3">
        <f>IFERROR(__xludf.DUMMYFUNCTION("""COMPUTED_VALUE"""),0.0)</f>
        <v>0</v>
      </c>
      <c r="AA259" s="3">
        <f>IFERROR(__xludf.DUMMYFUNCTION("""COMPUTED_VALUE"""),0.0)</f>
        <v>0</v>
      </c>
      <c r="AB259" s="3">
        <f>IFERROR(__xludf.DUMMYFUNCTION("""COMPUTED_VALUE"""),0.0)</f>
        <v>0</v>
      </c>
      <c r="AC259" s="3">
        <f>IFERROR(__xludf.DUMMYFUNCTION("""COMPUTED_VALUE"""),0.0)</f>
        <v>0</v>
      </c>
      <c r="AD259" s="3">
        <f>IFERROR(__xludf.DUMMYFUNCTION("""COMPUTED_VALUE"""),0.0)</f>
        <v>0</v>
      </c>
      <c r="AE259" s="3">
        <f>IFERROR(__xludf.DUMMYFUNCTION("""COMPUTED_VALUE"""),0.0)</f>
        <v>0</v>
      </c>
      <c r="AF259" s="3">
        <f>IFERROR(__xludf.DUMMYFUNCTION("""COMPUTED_VALUE"""),0.0)</f>
        <v>0</v>
      </c>
      <c r="AG259" s="3">
        <f>IFERROR(__xludf.DUMMYFUNCTION("""COMPUTED_VALUE"""),0.0)</f>
        <v>0</v>
      </c>
      <c r="AH259" s="3">
        <f>IFERROR(__xludf.DUMMYFUNCTION("""COMPUTED_VALUE"""),0.0)</f>
        <v>0</v>
      </c>
      <c r="AI259" s="3">
        <f>IFERROR(__xludf.DUMMYFUNCTION("""COMPUTED_VALUE"""),0.0)</f>
        <v>0</v>
      </c>
      <c r="AJ259" s="3">
        <f>IFERROR(__xludf.DUMMYFUNCTION("""COMPUTED_VALUE"""),0.0)</f>
        <v>0</v>
      </c>
      <c r="AK259" s="3">
        <f>IFERROR(__xludf.DUMMYFUNCTION("""COMPUTED_VALUE"""),0.0)</f>
        <v>0</v>
      </c>
      <c r="AL259" s="3">
        <f>IFERROR(__xludf.DUMMYFUNCTION("""COMPUTED_VALUE"""),0.0)</f>
        <v>0</v>
      </c>
      <c r="AM259" s="3">
        <f>IFERROR(__xludf.DUMMYFUNCTION("""COMPUTED_VALUE"""),0.0)</f>
        <v>0</v>
      </c>
      <c r="AN259" s="3">
        <f>IFERROR(__xludf.DUMMYFUNCTION("""COMPUTED_VALUE"""),0.0)</f>
        <v>0</v>
      </c>
      <c r="AO259" s="3">
        <f>IFERROR(__xludf.DUMMYFUNCTION("""COMPUTED_VALUE"""),0.0)</f>
        <v>0</v>
      </c>
      <c r="AP259" s="3">
        <f>IFERROR(__xludf.DUMMYFUNCTION("""COMPUTED_VALUE"""),0.0)</f>
        <v>0</v>
      </c>
      <c r="AQ259" s="3">
        <f>IFERROR(__xludf.DUMMYFUNCTION("""COMPUTED_VALUE"""),0.0)</f>
        <v>0</v>
      </c>
      <c r="AR259" s="3">
        <f>IFERROR(__xludf.DUMMYFUNCTION("""COMPUTED_VALUE"""),0.0)</f>
        <v>0</v>
      </c>
      <c r="AS259" s="3">
        <f>IFERROR(__xludf.DUMMYFUNCTION("""COMPUTED_VALUE"""),0.0)</f>
        <v>0</v>
      </c>
      <c r="AT259" s="3">
        <f>IFERROR(__xludf.DUMMYFUNCTION("""COMPUTED_VALUE"""),0.0)</f>
        <v>0</v>
      </c>
      <c r="AU259" s="3">
        <f>IFERROR(__xludf.DUMMYFUNCTION("""COMPUTED_VALUE"""),0.0)</f>
        <v>0</v>
      </c>
      <c r="AV259" s="3">
        <f>IFERROR(__xludf.DUMMYFUNCTION("""COMPUTED_VALUE"""),0.0)</f>
        <v>0</v>
      </c>
      <c r="AW259" s="3">
        <f>IFERROR(__xludf.DUMMYFUNCTION("""COMPUTED_VALUE"""),0.0)</f>
        <v>0</v>
      </c>
      <c r="AX259" s="3">
        <f>IFERROR(__xludf.DUMMYFUNCTION("""COMPUTED_VALUE"""),0.0)</f>
        <v>0</v>
      </c>
      <c r="AY259" s="3">
        <f>IFERROR(__xludf.DUMMYFUNCTION("""COMPUTED_VALUE"""),0.0)</f>
        <v>0</v>
      </c>
      <c r="AZ259" s="3">
        <f>IFERROR(__xludf.DUMMYFUNCTION("""COMPUTED_VALUE"""),0.0)</f>
        <v>0</v>
      </c>
      <c r="BA259" s="3">
        <f>IFERROR(__xludf.DUMMYFUNCTION("""COMPUTED_VALUE"""),0.0)</f>
        <v>0</v>
      </c>
      <c r="BB259" s="3">
        <f>IFERROR(__xludf.DUMMYFUNCTION("""COMPUTED_VALUE"""),0.0)</f>
        <v>0</v>
      </c>
      <c r="BC259" s="3">
        <f>IFERROR(__xludf.DUMMYFUNCTION("""COMPUTED_VALUE"""),0.0)</f>
        <v>0</v>
      </c>
      <c r="BD259" s="3">
        <f>IFERROR(__xludf.DUMMYFUNCTION("""COMPUTED_VALUE"""),0.0)</f>
        <v>0</v>
      </c>
      <c r="BE259" s="3">
        <f>IFERROR(__xludf.DUMMYFUNCTION("""COMPUTED_VALUE"""),0.0)</f>
        <v>0</v>
      </c>
      <c r="BF259" s="3">
        <f>IFERROR(__xludf.DUMMYFUNCTION("""COMPUTED_VALUE"""),0.0)</f>
        <v>0</v>
      </c>
      <c r="BG259" s="3">
        <f>IFERROR(__xludf.DUMMYFUNCTION("""COMPUTED_VALUE"""),0.0)</f>
        <v>0</v>
      </c>
      <c r="BH259" s="3">
        <f>IFERROR(__xludf.DUMMYFUNCTION("""COMPUTED_VALUE"""),0.0)</f>
        <v>0</v>
      </c>
      <c r="BI259" s="3">
        <f>IFERROR(__xludf.DUMMYFUNCTION("""COMPUTED_VALUE"""),0.0)</f>
        <v>0</v>
      </c>
      <c r="BJ259" s="3">
        <f>IFERROR(__xludf.DUMMYFUNCTION("""COMPUTED_VALUE"""),0.0)</f>
        <v>0</v>
      </c>
      <c r="BK259" s="3">
        <f>IFERROR(__xludf.DUMMYFUNCTION("""COMPUTED_VALUE"""),0.0)</f>
        <v>0</v>
      </c>
      <c r="BL259" s="3">
        <f>IFERROR(__xludf.DUMMYFUNCTION("""COMPUTED_VALUE"""),0.0)</f>
        <v>0</v>
      </c>
      <c r="BM259" s="3">
        <f>IFERROR(__xludf.DUMMYFUNCTION("""COMPUTED_VALUE"""),0.0)</f>
        <v>0</v>
      </c>
      <c r="BN259" s="3">
        <f>IFERROR(__xludf.DUMMYFUNCTION("""COMPUTED_VALUE"""),0.0)</f>
        <v>0</v>
      </c>
      <c r="BO259" s="3">
        <f>IFERROR(__xludf.DUMMYFUNCTION("""COMPUTED_VALUE"""),0.0)</f>
        <v>0</v>
      </c>
      <c r="BP259" s="3">
        <f>IFERROR(__xludf.DUMMYFUNCTION("""COMPUTED_VALUE"""),0.0)</f>
        <v>0</v>
      </c>
      <c r="BQ259" s="3">
        <f>IFERROR(__xludf.DUMMYFUNCTION("""COMPUTED_VALUE"""),0.0)</f>
        <v>0</v>
      </c>
      <c r="BR259" s="3">
        <f>IFERROR(__xludf.DUMMYFUNCTION("""COMPUTED_VALUE"""),0.0)</f>
        <v>0</v>
      </c>
      <c r="BS259" s="3">
        <f>IFERROR(__xludf.DUMMYFUNCTION("""COMPUTED_VALUE"""),0.0)</f>
        <v>0</v>
      </c>
      <c r="BT259" s="3">
        <f>IFERROR(__xludf.DUMMYFUNCTION("""COMPUTED_VALUE"""),0.0)</f>
        <v>0</v>
      </c>
      <c r="BU259" s="3">
        <f>IFERROR(__xludf.DUMMYFUNCTION("""COMPUTED_VALUE"""),0.0)</f>
        <v>0</v>
      </c>
      <c r="BV259" s="3">
        <f>IFERROR(__xludf.DUMMYFUNCTION("""COMPUTED_VALUE"""),0.0)</f>
        <v>0</v>
      </c>
      <c r="BW259" s="3">
        <f>IFERROR(__xludf.DUMMYFUNCTION("""COMPUTED_VALUE"""),0.0)</f>
        <v>0</v>
      </c>
      <c r="BX259" s="3">
        <f>IFERROR(__xludf.DUMMYFUNCTION("""COMPUTED_VALUE"""),0.0)</f>
        <v>0</v>
      </c>
      <c r="BY259" s="3">
        <f>IFERROR(__xludf.DUMMYFUNCTION("""COMPUTED_VALUE"""),0.0)</f>
        <v>0</v>
      </c>
      <c r="BZ259" s="3">
        <f>IFERROR(__xludf.DUMMYFUNCTION("""COMPUTED_VALUE"""),0.0)</f>
        <v>0</v>
      </c>
      <c r="CA259" s="3">
        <f>IFERROR(__xludf.DUMMYFUNCTION("""COMPUTED_VALUE"""),0.0)</f>
        <v>0</v>
      </c>
      <c r="CB259" s="3">
        <f>IFERROR(__xludf.DUMMYFUNCTION("""COMPUTED_VALUE"""),0.0)</f>
        <v>0</v>
      </c>
    </row>
    <row r="260">
      <c r="A260" s="3" t="str">
        <f>IFERROR(__xludf.DUMMYFUNCTION("""COMPUTED_VALUE"""),"Falkland Islands (Islas Malvinas)")</f>
        <v>Falkland Islands (Islas Malvinas)</v>
      </c>
      <c r="B260" s="3" t="str">
        <f>IFERROR(__xludf.DUMMYFUNCTION("""COMPUTED_VALUE"""),"United Kingdom")</f>
        <v>United Kingdom</v>
      </c>
      <c r="C260" s="3">
        <f>IFERROR(__xludf.DUMMYFUNCTION("""COMPUTED_VALUE"""),-51.7963)</f>
        <v>-51.7963</v>
      </c>
      <c r="D260" s="3">
        <f>IFERROR(__xludf.DUMMYFUNCTION("""COMPUTED_VALUE"""),-59.5236)</f>
        <v>-59.5236</v>
      </c>
      <c r="E260" s="3">
        <f>IFERROR(__xludf.DUMMYFUNCTION("""COMPUTED_VALUE"""),0.0)</f>
        <v>0</v>
      </c>
      <c r="F260" s="3">
        <f>IFERROR(__xludf.DUMMYFUNCTION("""COMPUTED_VALUE"""),0.0)</f>
        <v>0</v>
      </c>
      <c r="G260" s="3">
        <f>IFERROR(__xludf.DUMMYFUNCTION("""COMPUTED_VALUE"""),0.0)</f>
        <v>0</v>
      </c>
      <c r="H260" s="3">
        <f>IFERROR(__xludf.DUMMYFUNCTION("""COMPUTED_VALUE"""),0.0)</f>
        <v>0</v>
      </c>
      <c r="I260" s="3">
        <f>IFERROR(__xludf.DUMMYFUNCTION("""COMPUTED_VALUE"""),0.0)</f>
        <v>0</v>
      </c>
      <c r="J260" s="3">
        <f>IFERROR(__xludf.DUMMYFUNCTION("""COMPUTED_VALUE"""),0.0)</f>
        <v>0</v>
      </c>
      <c r="K260" s="3">
        <f>IFERROR(__xludf.DUMMYFUNCTION("""COMPUTED_VALUE"""),0.0)</f>
        <v>0</v>
      </c>
      <c r="L260" s="3">
        <f>IFERROR(__xludf.DUMMYFUNCTION("""COMPUTED_VALUE"""),0.0)</f>
        <v>0</v>
      </c>
      <c r="M260" s="3">
        <f>IFERROR(__xludf.DUMMYFUNCTION("""COMPUTED_VALUE"""),0.0)</f>
        <v>0</v>
      </c>
      <c r="N260" s="3">
        <f>IFERROR(__xludf.DUMMYFUNCTION("""COMPUTED_VALUE"""),0.0)</f>
        <v>0</v>
      </c>
      <c r="O260" s="3">
        <f>IFERROR(__xludf.DUMMYFUNCTION("""COMPUTED_VALUE"""),0.0)</f>
        <v>0</v>
      </c>
      <c r="P260" s="3">
        <f>IFERROR(__xludf.DUMMYFUNCTION("""COMPUTED_VALUE"""),0.0)</f>
        <v>0</v>
      </c>
      <c r="Q260" s="3">
        <f>IFERROR(__xludf.DUMMYFUNCTION("""COMPUTED_VALUE"""),0.0)</f>
        <v>0</v>
      </c>
      <c r="R260" s="3">
        <f>IFERROR(__xludf.DUMMYFUNCTION("""COMPUTED_VALUE"""),0.0)</f>
        <v>0</v>
      </c>
      <c r="S260" s="3">
        <f>IFERROR(__xludf.DUMMYFUNCTION("""COMPUTED_VALUE"""),0.0)</f>
        <v>0</v>
      </c>
      <c r="T260" s="3">
        <f>IFERROR(__xludf.DUMMYFUNCTION("""COMPUTED_VALUE"""),0.0)</f>
        <v>0</v>
      </c>
      <c r="U260" s="3">
        <f>IFERROR(__xludf.DUMMYFUNCTION("""COMPUTED_VALUE"""),0.0)</f>
        <v>0</v>
      </c>
      <c r="V260" s="3">
        <f>IFERROR(__xludf.DUMMYFUNCTION("""COMPUTED_VALUE"""),0.0)</f>
        <v>0</v>
      </c>
      <c r="W260" s="3">
        <f>IFERROR(__xludf.DUMMYFUNCTION("""COMPUTED_VALUE"""),0.0)</f>
        <v>0</v>
      </c>
      <c r="X260" s="3">
        <f>IFERROR(__xludf.DUMMYFUNCTION("""COMPUTED_VALUE"""),0.0)</f>
        <v>0</v>
      </c>
      <c r="Y260" s="3">
        <f>IFERROR(__xludf.DUMMYFUNCTION("""COMPUTED_VALUE"""),0.0)</f>
        <v>0</v>
      </c>
      <c r="Z260" s="3">
        <f>IFERROR(__xludf.DUMMYFUNCTION("""COMPUTED_VALUE"""),0.0)</f>
        <v>0</v>
      </c>
      <c r="AA260" s="3">
        <f>IFERROR(__xludf.DUMMYFUNCTION("""COMPUTED_VALUE"""),0.0)</f>
        <v>0</v>
      </c>
      <c r="AB260" s="3">
        <f>IFERROR(__xludf.DUMMYFUNCTION("""COMPUTED_VALUE"""),0.0)</f>
        <v>0</v>
      </c>
      <c r="AC260" s="3">
        <f>IFERROR(__xludf.DUMMYFUNCTION("""COMPUTED_VALUE"""),0.0)</f>
        <v>0</v>
      </c>
      <c r="AD260" s="3">
        <f>IFERROR(__xludf.DUMMYFUNCTION("""COMPUTED_VALUE"""),0.0)</f>
        <v>0</v>
      </c>
      <c r="AE260" s="3">
        <f>IFERROR(__xludf.DUMMYFUNCTION("""COMPUTED_VALUE"""),0.0)</f>
        <v>0</v>
      </c>
      <c r="AF260" s="3">
        <f>IFERROR(__xludf.DUMMYFUNCTION("""COMPUTED_VALUE"""),0.0)</f>
        <v>0</v>
      </c>
      <c r="AG260" s="3">
        <f>IFERROR(__xludf.DUMMYFUNCTION("""COMPUTED_VALUE"""),0.0)</f>
        <v>0</v>
      </c>
      <c r="AH260" s="3">
        <f>IFERROR(__xludf.DUMMYFUNCTION("""COMPUTED_VALUE"""),0.0)</f>
        <v>0</v>
      </c>
      <c r="AI260" s="3">
        <f>IFERROR(__xludf.DUMMYFUNCTION("""COMPUTED_VALUE"""),0.0)</f>
        <v>0</v>
      </c>
      <c r="AJ260" s="3">
        <f>IFERROR(__xludf.DUMMYFUNCTION("""COMPUTED_VALUE"""),0.0)</f>
        <v>0</v>
      </c>
      <c r="AK260" s="3">
        <f>IFERROR(__xludf.DUMMYFUNCTION("""COMPUTED_VALUE"""),0.0)</f>
        <v>0</v>
      </c>
      <c r="AL260" s="3">
        <f>IFERROR(__xludf.DUMMYFUNCTION("""COMPUTED_VALUE"""),0.0)</f>
        <v>0</v>
      </c>
      <c r="AM260" s="3">
        <f>IFERROR(__xludf.DUMMYFUNCTION("""COMPUTED_VALUE"""),0.0)</f>
        <v>0</v>
      </c>
      <c r="AN260" s="3">
        <f>IFERROR(__xludf.DUMMYFUNCTION("""COMPUTED_VALUE"""),0.0)</f>
        <v>0</v>
      </c>
      <c r="AO260" s="3">
        <f>IFERROR(__xludf.DUMMYFUNCTION("""COMPUTED_VALUE"""),0.0)</f>
        <v>0</v>
      </c>
      <c r="AP260" s="3">
        <f>IFERROR(__xludf.DUMMYFUNCTION("""COMPUTED_VALUE"""),0.0)</f>
        <v>0</v>
      </c>
      <c r="AQ260" s="3">
        <f>IFERROR(__xludf.DUMMYFUNCTION("""COMPUTED_VALUE"""),0.0)</f>
        <v>0</v>
      </c>
      <c r="AR260" s="3">
        <f>IFERROR(__xludf.DUMMYFUNCTION("""COMPUTED_VALUE"""),0.0)</f>
        <v>0</v>
      </c>
      <c r="AS260" s="3">
        <f>IFERROR(__xludf.DUMMYFUNCTION("""COMPUTED_VALUE"""),0.0)</f>
        <v>0</v>
      </c>
      <c r="AT260" s="3">
        <f>IFERROR(__xludf.DUMMYFUNCTION("""COMPUTED_VALUE"""),0.0)</f>
        <v>0</v>
      </c>
      <c r="AU260" s="3">
        <f>IFERROR(__xludf.DUMMYFUNCTION("""COMPUTED_VALUE"""),0.0)</f>
        <v>0</v>
      </c>
      <c r="AV260" s="3">
        <f>IFERROR(__xludf.DUMMYFUNCTION("""COMPUTED_VALUE"""),0.0)</f>
        <v>0</v>
      </c>
      <c r="AW260" s="3">
        <f>IFERROR(__xludf.DUMMYFUNCTION("""COMPUTED_VALUE"""),0.0)</f>
        <v>0</v>
      </c>
      <c r="AX260" s="3">
        <f>IFERROR(__xludf.DUMMYFUNCTION("""COMPUTED_VALUE"""),0.0)</f>
        <v>0</v>
      </c>
      <c r="AY260" s="3">
        <f>IFERROR(__xludf.DUMMYFUNCTION("""COMPUTED_VALUE"""),0.0)</f>
        <v>0</v>
      </c>
      <c r="AZ260" s="3">
        <f>IFERROR(__xludf.DUMMYFUNCTION("""COMPUTED_VALUE"""),0.0)</f>
        <v>0</v>
      </c>
      <c r="BA260" s="3">
        <f>IFERROR(__xludf.DUMMYFUNCTION("""COMPUTED_VALUE"""),0.0)</f>
        <v>0</v>
      </c>
      <c r="BB260" s="3">
        <f>IFERROR(__xludf.DUMMYFUNCTION("""COMPUTED_VALUE"""),0.0)</f>
        <v>0</v>
      </c>
      <c r="BC260" s="3">
        <f>IFERROR(__xludf.DUMMYFUNCTION("""COMPUTED_VALUE"""),0.0)</f>
        <v>0</v>
      </c>
      <c r="BD260" s="3">
        <f>IFERROR(__xludf.DUMMYFUNCTION("""COMPUTED_VALUE"""),0.0)</f>
        <v>0</v>
      </c>
      <c r="BE260" s="3">
        <f>IFERROR(__xludf.DUMMYFUNCTION("""COMPUTED_VALUE"""),0.0)</f>
        <v>0</v>
      </c>
      <c r="BF260" s="3">
        <f>IFERROR(__xludf.DUMMYFUNCTION("""COMPUTED_VALUE"""),0.0)</f>
        <v>0</v>
      </c>
      <c r="BG260" s="3">
        <f>IFERROR(__xludf.DUMMYFUNCTION("""COMPUTED_VALUE"""),0.0)</f>
        <v>0</v>
      </c>
      <c r="BH260" s="3">
        <f>IFERROR(__xludf.DUMMYFUNCTION("""COMPUTED_VALUE"""),0.0)</f>
        <v>0</v>
      </c>
      <c r="BI260" s="3">
        <f>IFERROR(__xludf.DUMMYFUNCTION("""COMPUTED_VALUE"""),0.0)</f>
        <v>0</v>
      </c>
      <c r="BJ260" s="3">
        <f>IFERROR(__xludf.DUMMYFUNCTION("""COMPUTED_VALUE"""),0.0)</f>
        <v>0</v>
      </c>
      <c r="BK260" s="3">
        <f>IFERROR(__xludf.DUMMYFUNCTION("""COMPUTED_VALUE"""),0.0)</f>
        <v>0</v>
      </c>
      <c r="BL260" s="3">
        <f>IFERROR(__xludf.DUMMYFUNCTION("""COMPUTED_VALUE"""),0.0)</f>
        <v>0</v>
      </c>
      <c r="BM260" s="3">
        <f>IFERROR(__xludf.DUMMYFUNCTION("""COMPUTED_VALUE"""),0.0)</f>
        <v>0</v>
      </c>
      <c r="BN260" s="3">
        <f>IFERROR(__xludf.DUMMYFUNCTION("""COMPUTED_VALUE"""),0.0)</f>
        <v>0</v>
      </c>
      <c r="BO260" s="3">
        <f>IFERROR(__xludf.DUMMYFUNCTION("""COMPUTED_VALUE"""),0.0)</f>
        <v>0</v>
      </c>
      <c r="BP260" s="3">
        <f>IFERROR(__xludf.DUMMYFUNCTION("""COMPUTED_VALUE"""),0.0)</f>
        <v>0</v>
      </c>
      <c r="BQ260" s="3">
        <f>IFERROR(__xludf.DUMMYFUNCTION("""COMPUTED_VALUE"""),0.0)</f>
        <v>0</v>
      </c>
      <c r="BR260" s="3">
        <f>IFERROR(__xludf.DUMMYFUNCTION("""COMPUTED_VALUE"""),0.0)</f>
        <v>0</v>
      </c>
      <c r="BS260" s="3">
        <f>IFERROR(__xludf.DUMMYFUNCTION("""COMPUTED_VALUE"""),0.0)</f>
        <v>0</v>
      </c>
      <c r="BT260" s="3">
        <f>IFERROR(__xludf.DUMMYFUNCTION("""COMPUTED_VALUE"""),0.0)</f>
        <v>0</v>
      </c>
      <c r="BU260" s="3">
        <f>IFERROR(__xludf.DUMMYFUNCTION("""COMPUTED_VALUE"""),0.0)</f>
        <v>0</v>
      </c>
      <c r="BV260" s="3">
        <f>IFERROR(__xludf.DUMMYFUNCTION("""COMPUTED_VALUE"""),0.0)</f>
        <v>0</v>
      </c>
      <c r="BW260" s="3">
        <f>IFERROR(__xludf.DUMMYFUNCTION("""COMPUTED_VALUE"""),0.0)</f>
        <v>0</v>
      </c>
      <c r="BX260" s="3">
        <f>IFERROR(__xludf.DUMMYFUNCTION("""COMPUTED_VALUE"""),0.0)</f>
        <v>0</v>
      </c>
      <c r="BY260" s="3">
        <f>IFERROR(__xludf.DUMMYFUNCTION("""COMPUTED_VALUE"""),0.0)</f>
        <v>0</v>
      </c>
      <c r="BZ260" s="3">
        <f>IFERROR(__xludf.DUMMYFUNCTION("""COMPUTED_VALUE"""),0.0)</f>
        <v>0</v>
      </c>
      <c r="CA260" s="3">
        <f>IFERROR(__xludf.DUMMYFUNCTION("""COMPUTED_VALUE"""),0.0)</f>
        <v>0</v>
      </c>
      <c r="CB260" s="3">
        <f>IFERROR(__xludf.DUMMYFUNCTION("""COMPUTED_VALUE"""),0.0)</f>
        <v>0</v>
      </c>
    </row>
    <row r="261">
      <c r="A261" s="3" t="str">
        <f>IFERROR(__xludf.DUMMYFUNCTION("""COMPUTED_VALUE"""),"Saint Pierre and Miquelon")</f>
        <v>Saint Pierre and Miquelon</v>
      </c>
      <c r="B261" s="3" t="str">
        <f>IFERROR(__xludf.DUMMYFUNCTION("""COMPUTED_VALUE"""),"France")</f>
        <v>France</v>
      </c>
      <c r="C261" s="3">
        <f>IFERROR(__xludf.DUMMYFUNCTION("""COMPUTED_VALUE"""),46.8852)</f>
        <v>46.8852</v>
      </c>
      <c r="D261" s="3">
        <f>IFERROR(__xludf.DUMMYFUNCTION("""COMPUTED_VALUE"""),-56.3159)</f>
        <v>-56.3159</v>
      </c>
      <c r="E261" s="3">
        <f>IFERROR(__xludf.DUMMYFUNCTION("""COMPUTED_VALUE"""),0.0)</f>
        <v>0</v>
      </c>
      <c r="F261" s="3">
        <f>IFERROR(__xludf.DUMMYFUNCTION("""COMPUTED_VALUE"""),0.0)</f>
        <v>0</v>
      </c>
      <c r="G261" s="3">
        <f>IFERROR(__xludf.DUMMYFUNCTION("""COMPUTED_VALUE"""),0.0)</f>
        <v>0</v>
      </c>
      <c r="H261" s="3">
        <f>IFERROR(__xludf.DUMMYFUNCTION("""COMPUTED_VALUE"""),0.0)</f>
        <v>0</v>
      </c>
      <c r="I261" s="3">
        <f>IFERROR(__xludf.DUMMYFUNCTION("""COMPUTED_VALUE"""),0.0)</f>
        <v>0</v>
      </c>
      <c r="J261" s="3">
        <f>IFERROR(__xludf.DUMMYFUNCTION("""COMPUTED_VALUE"""),0.0)</f>
        <v>0</v>
      </c>
      <c r="K261" s="3">
        <f>IFERROR(__xludf.DUMMYFUNCTION("""COMPUTED_VALUE"""),0.0)</f>
        <v>0</v>
      </c>
      <c r="L261" s="3">
        <f>IFERROR(__xludf.DUMMYFUNCTION("""COMPUTED_VALUE"""),0.0)</f>
        <v>0</v>
      </c>
      <c r="M261" s="3">
        <f>IFERROR(__xludf.DUMMYFUNCTION("""COMPUTED_VALUE"""),0.0)</f>
        <v>0</v>
      </c>
      <c r="N261" s="3">
        <f>IFERROR(__xludf.DUMMYFUNCTION("""COMPUTED_VALUE"""),0.0)</f>
        <v>0</v>
      </c>
      <c r="O261" s="3">
        <f>IFERROR(__xludf.DUMMYFUNCTION("""COMPUTED_VALUE"""),0.0)</f>
        <v>0</v>
      </c>
      <c r="P261" s="3">
        <f>IFERROR(__xludf.DUMMYFUNCTION("""COMPUTED_VALUE"""),0.0)</f>
        <v>0</v>
      </c>
      <c r="Q261" s="3">
        <f>IFERROR(__xludf.DUMMYFUNCTION("""COMPUTED_VALUE"""),0.0)</f>
        <v>0</v>
      </c>
      <c r="R261" s="3">
        <f>IFERROR(__xludf.DUMMYFUNCTION("""COMPUTED_VALUE"""),0.0)</f>
        <v>0</v>
      </c>
      <c r="S261" s="3">
        <f>IFERROR(__xludf.DUMMYFUNCTION("""COMPUTED_VALUE"""),0.0)</f>
        <v>0</v>
      </c>
      <c r="T261" s="3">
        <f>IFERROR(__xludf.DUMMYFUNCTION("""COMPUTED_VALUE"""),0.0)</f>
        <v>0</v>
      </c>
      <c r="U261" s="3">
        <f>IFERROR(__xludf.DUMMYFUNCTION("""COMPUTED_VALUE"""),0.0)</f>
        <v>0</v>
      </c>
      <c r="V261" s="3">
        <f>IFERROR(__xludf.DUMMYFUNCTION("""COMPUTED_VALUE"""),0.0)</f>
        <v>0</v>
      </c>
      <c r="W261" s="3">
        <f>IFERROR(__xludf.DUMMYFUNCTION("""COMPUTED_VALUE"""),0.0)</f>
        <v>0</v>
      </c>
      <c r="X261" s="3">
        <f>IFERROR(__xludf.DUMMYFUNCTION("""COMPUTED_VALUE"""),0.0)</f>
        <v>0</v>
      </c>
      <c r="Y261" s="3">
        <f>IFERROR(__xludf.DUMMYFUNCTION("""COMPUTED_VALUE"""),0.0)</f>
        <v>0</v>
      </c>
      <c r="Z261" s="3">
        <f>IFERROR(__xludf.DUMMYFUNCTION("""COMPUTED_VALUE"""),0.0)</f>
        <v>0</v>
      </c>
      <c r="AA261" s="3">
        <f>IFERROR(__xludf.DUMMYFUNCTION("""COMPUTED_VALUE"""),0.0)</f>
        <v>0</v>
      </c>
      <c r="AB261" s="3">
        <f>IFERROR(__xludf.DUMMYFUNCTION("""COMPUTED_VALUE"""),0.0)</f>
        <v>0</v>
      </c>
      <c r="AC261" s="3">
        <f>IFERROR(__xludf.DUMMYFUNCTION("""COMPUTED_VALUE"""),0.0)</f>
        <v>0</v>
      </c>
      <c r="AD261" s="3">
        <f>IFERROR(__xludf.DUMMYFUNCTION("""COMPUTED_VALUE"""),0.0)</f>
        <v>0</v>
      </c>
      <c r="AE261" s="3">
        <f>IFERROR(__xludf.DUMMYFUNCTION("""COMPUTED_VALUE"""),0.0)</f>
        <v>0</v>
      </c>
      <c r="AF261" s="3">
        <f>IFERROR(__xludf.DUMMYFUNCTION("""COMPUTED_VALUE"""),0.0)</f>
        <v>0</v>
      </c>
      <c r="AG261" s="3">
        <f>IFERROR(__xludf.DUMMYFUNCTION("""COMPUTED_VALUE"""),0.0)</f>
        <v>0</v>
      </c>
      <c r="AH261" s="3">
        <f>IFERROR(__xludf.DUMMYFUNCTION("""COMPUTED_VALUE"""),0.0)</f>
        <v>0</v>
      </c>
      <c r="AI261" s="3">
        <f>IFERROR(__xludf.DUMMYFUNCTION("""COMPUTED_VALUE"""),0.0)</f>
        <v>0</v>
      </c>
      <c r="AJ261" s="3">
        <f>IFERROR(__xludf.DUMMYFUNCTION("""COMPUTED_VALUE"""),0.0)</f>
        <v>0</v>
      </c>
      <c r="AK261" s="3">
        <f>IFERROR(__xludf.DUMMYFUNCTION("""COMPUTED_VALUE"""),0.0)</f>
        <v>0</v>
      </c>
      <c r="AL261" s="3">
        <f>IFERROR(__xludf.DUMMYFUNCTION("""COMPUTED_VALUE"""),0.0)</f>
        <v>0</v>
      </c>
      <c r="AM261" s="3">
        <f>IFERROR(__xludf.DUMMYFUNCTION("""COMPUTED_VALUE"""),0.0)</f>
        <v>0</v>
      </c>
      <c r="AN261" s="3">
        <f>IFERROR(__xludf.DUMMYFUNCTION("""COMPUTED_VALUE"""),0.0)</f>
        <v>0</v>
      </c>
      <c r="AO261" s="3">
        <f>IFERROR(__xludf.DUMMYFUNCTION("""COMPUTED_VALUE"""),0.0)</f>
        <v>0</v>
      </c>
      <c r="AP261" s="3">
        <f>IFERROR(__xludf.DUMMYFUNCTION("""COMPUTED_VALUE"""),0.0)</f>
        <v>0</v>
      </c>
      <c r="AQ261" s="3">
        <f>IFERROR(__xludf.DUMMYFUNCTION("""COMPUTED_VALUE"""),0.0)</f>
        <v>0</v>
      </c>
      <c r="AR261" s="3">
        <f>IFERROR(__xludf.DUMMYFUNCTION("""COMPUTED_VALUE"""),0.0)</f>
        <v>0</v>
      </c>
      <c r="AS261" s="3">
        <f>IFERROR(__xludf.DUMMYFUNCTION("""COMPUTED_VALUE"""),0.0)</f>
        <v>0</v>
      </c>
      <c r="AT261" s="3">
        <f>IFERROR(__xludf.DUMMYFUNCTION("""COMPUTED_VALUE"""),0.0)</f>
        <v>0</v>
      </c>
      <c r="AU261" s="3">
        <f>IFERROR(__xludf.DUMMYFUNCTION("""COMPUTED_VALUE"""),0.0)</f>
        <v>0</v>
      </c>
      <c r="AV261" s="3">
        <f>IFERROR(__xludf.DUMMYFUNCTION("""COMPUTED_VALUE"""),0.0)</f>
        <v>0</v>
      </c>
      <c r="AW261" s="3">
        <f>IFERROR(__xludf.DUMMYFUNCTION("""COMPUTED_VALUE"""),0.0)</f>
        <v>0</v>
      </c>
      <c r="AX261" s="3">
        <f>IFERROR(__xludf.DUMMYFUNCTION("""COMPUTED_VALUE"""),0.0)</f>
        <v>0</v>
      </c>
      <c r="AY261" s="3">
        <f>IFERROR(__xludf.DUMMYFUNCTION("""COMPUTED_VALUE"""),0.0)</f>
        <v>0</v>
      </c>
      <c r="AZ261" s="3">
        <f>IFERROR(__xludf.DUMMYFUNCTION("""COMPUTED_VALUE"""),0.0)</f>
        <v>0</v>
      </c>
      <c r="BA261" s="3">
        <f>IFERROR(__xludf.DUMMYFUNCTION("""COMPUTED_VALUE"""),0.0)</f>
        <v>0</v>
      </c>
      <c r="BB261" s="3">
        <f>IFERROR(__xludf.DUMMYFUNCTION("""COMPUTED_VALUE"""),0.0)</f>
        <v>0</v>
      </c>
      <c r="BC261" s="3">
        <f>IFERROR(__xludf.DUMMYFUNCTION("""COMPUTED_VALUE"""),0.0)</f>
        <v>0</v>
      </c>
      <c r="BD261" s="3">
        <f>IFERROR(__xludf.DUMMYFUNCTION("""COMPUTED_VALUE"""),0.0)</f>
        <v>0</v>
      </c>
      <c r="BE261" s="3">
        <f>IFERROR(__xludf.DUMMYFUNCTION("""COMPUTED_VALUE"""),0.0)</f>
        <v>0</v>
      </c>
      <c r="BF261" s="3">
        <f>IFERROR(__xludf.DUMMYFUNCTION("""COMPUTED_VALUE"""),0.0)</f>
        <v>0</v>
      </c>
      <c r="BG261" s="3">
        <f>IFERROR(__xludf.DUMMYFUNCTION("""COMPUTED_VALUE"""),0.0)</f>
        <v>0</v>
      </c>
      <c r="BH261" s="3">
        <f>IFERROR(__xludf.DUMMYFUNCTION("""COMPUTED_VALUE"""),0.0)</f>
        <v>0</v>
      </c>
      <c r="BI261" s="3">
        <f>IFERROR(__xludf.DUMMYFUNCTION("""COMPUTED_VALUE"""),0.0)</f>
        <v>0</v>
      </c>
      <c r="BJ261" s="3">
        <f>IFERROR(__xludf.DUMMYFUNCTION("""COMPUTED_VALUE"""),0.0)</f>
        <v>0</v>
      </c>
      <c r="BK261" s="3">
        <f>IFERROR(__xludf.DUMMYFUNCTION("""COMPUTED_VALUE"""),0.0)</f>
        <v>0</v>
      </c>
      <c r="BL261" s="3">
        <f>IFERROR(__xludf.DUMMYFUNCTION("""COMPUTED_VALUE"""),0.0)</f>
        <v>0</v>
      </c>
      <c r="BM261" s="3">
        <f>IFERROR(__xludf.DUMMYFUNCTION("""COMPUTED_VALUE"""),0.0)</f>
        <v>0</v>
      </c>
      <c r="BN261" s="3">
        <f>IFERROR(__xludf.DUMMYFUNCTION("""COMPUTED_VALUE"""),0.0)</f>
        <v>0</v>
      </c>
      <c r="BO261" s="3">
        <f>IFERROR(__xludf.DUMMYFUNCTION("""COMPUTED_VALUE"""),0.0)</f>
        <v>0</v>
      </c>
      <c r="BP261" s="3">
        <f>IFERROR(__xludf.DUMMYFUNCTION("""COMPUTED_VALUE"""),0.0)</f>
        <v>0</v>
      </c>
      <c r="BQ261" s="3">
        <f>IFERROR(__xludf.DUMMYFUNCTION("""COMPUTED_VALUE"""),0.0)</f>
        <v>0</v>
      </c>
      <c r="BR261" s="3">
        <f>IFERROR(__xludf.DUMMYFUNCTION("""COMPUTED_VALUE"""),0.0)</f>
        <v>0</v>
      </c>
      <c r="BS261" s="3">
        <f>IFERROR(__xludf.DUMMYFUNCTION("""COMPUTED_VALUE"""),0.0)</f>
        <v>0</v>
      </c>
      <c r="BT261" s="3">
        <f>IFERROR(__xludf.DUMMYFUNCTION("""COMPUTED_VALUE"""),0.0)</f>
        <v>0</v>
      </c>
      <c r="BU261" s="3">
        <f>IFERROR(__xludf.DUMMYFUNCTION("""COMPUTED_VALUE"""),0.0)</f>
        <v>0</v>
      </c>
      <c r="BV261" s="3">
        <f>IFERROR(__xludf.DUMMYFUNCTION("""COMPUTED_VALUE"""),0.0)</f>
        <v>0</v>
      </c>
      <c r="BW261" s="3">
        <f>IFERROR(__xludf.DUMMYFUNCTION("""COMPUTED_VALUE"""),0.0)</f>
        <v>0</v>
      </c>
      <c r="BX261" s="3">
        <f>IFERROR(__xludf.DUMMYFUNCTION("""COMPUTED_VALUE"""),0.0)</f>
        <v>0</v>
      </c>
      <c r="BY261" s="3">
        <f>IFERROR(__xludf.DUMMYFUNCTION("""COMPUTED_VALUE"""),0.0)</f>
        <v>0</v>
      </c>
      <c r="BZ261" s="3">
        <f>IFERROR(__xludf.DUMMYFUNCTION("""COMPUTED_VALUE"""),0.0)</f>
        <v>0</v>
      </c>
      <c r="CA261" s="3">
        <f>IFERROR(__xludf.DUMMYFUNCTION("""COMPUTED_VALUE"""),0.0)</f>
        <v>0</v>
      </c>
      <c r="CB261" s="3">
        <f>IFERROR(__xludf.DUMMYFUNCTION("""COMPUTED_VALUE"""),0.0)</f>
        <v>0</v>
      </c>
    </row>
    <row r="262">
      <c r="A262" s="3" t="str">
        <f>IFERROR(__xludf.DUMMYFUNCTION("""COMPUTED_VALUE"""),"")</f>
        <v/>
      </c>
      <c r="B262" s="3" t="str">
        <f>IFERROR(__xludf.DUMMYFUNCTION("""COMPUTED_VALUE"""),"South Sudan")</f>
        <v>South Sudan</v>
      </c>
      <c r="C262" s="3">
        <f>IFERROR(__xludf.DUMMYFUNCTION("""COMPUTED_VALUE"""),6.877)</f>
        <v>6.877</v>
      </c>
      <c r="D262" s="3">
        <f>IFERROR(__xludf.DUMMYFUNCTION("""COMPUTED_VALUE"""),31.307)</f>
        <v>31.307</v>
      </c>
      <c r="E262" s="3">
        <f>IFERROR(__xludf.DUMMYFUNCTION("""COMPUTED_VALUE"""),0.0)</f>
        <v>0</v>
      </c>
      <c r="F262" s="3">
        <f>IFERROR(__xludf.DUMMYFUNCTION("""COMPUTED_VALUE"""),0.0)</f>
        <v>0</v>
      </c>
      <c r="G262" s="3">
        <f>IFERROR(__xludf.DUMMYFUNCTION("""COMPUTED_VALUE"""),0.0)</f>
        <v>0</v>
      </c>
      <c r="H262" s="3">
        <f>IFERROR(__xludf.DUMMYFUNCTION("""COMPUTED_VALUE"""),0.0)</f>
        <v>0</v>
      </c>
      <c r="I262" s="3">
        <f>IFERROR(__xludf.DUMMYFUNCTION("""COMPUTED_VALUE"""),0.0)</f>
        <v>0</v>
      </c>
      <c r="J262" s="3">
        <f>IFERROR(__xludf.DUMMYFUNCTION("""COMPUTED_VALUE"""),0.0)</f>
        <v>0</v>
      </c>
      <c r="K262" s="3">
        <f>IFERROR(__xludf.DUMMYFUNCTION("""COMPUTED_VALUE"""),0.0)</f>
        <v>0</v>
      </c>
      <c r="L262" s="3">
        <f>IFERROR(__xludf.DUMMYFUNCTION("""COMPUTED_VALUE"""),0.0)</f>
        <v>0</v>
      </c>
      <c r="M262" s="3">
        <f>IFERROR(__xludf.DUMMYFUNCTION("""COMPUTED_VALUE"""),0.0)</f>
        <v>0</v>
      </c>
      <c r="N262" s="3">
        <f>IFERROR(__xludf.DUMMYFUNCTION("""COMPUTED_VALUE"""),0.0)</f>
        <v>0</v>
      </c>
      <c r="O262" s="3">
        <f>IFERROR(__xludf.DUMMYFUNCTION("""COMPUTED_VALUE"""),0.0)</f>
        <v>0</v>
      </c>
      <c r="P262" s="3">
        <f>IFERROR(__xludf.DUMMYFUNCTION("""COMPUTED_VALUE"""),0.0)</f>
        <v>0</v>
      </c>
      <c r="Q262" s="3">
        <f>IFERROR(__xludf.DUMMYFUNCTION("""COMPUTED_VALUE"""),0.0)</f>
        <v>0</v>
      </c>
      <c r="R262" s="3">
        <f>IFERROR(__xludf.DUMMYFUNCTION("""COMPUTED_VALUE"""),0.0)</f>
        <v>0</v>
      </c>
      <c r="S262" s="3">
        <f>IFERROR(__xludf.DUMMYFUNCTION("""COMPUTED_VALUE"""),0.0)</f>
        <v>0</v>
      </c>
      <c r="T262" s="3">
        <f>IFERROR(__xludf.DUMMYFUNCTION("""COMPUTED_VALUE"""),0.0)</f>
        <v>0</v>
      </c>
      <c r="U262" s="3">
        <f>IFERROR(__xludf.DUMMYFUNCTION("""COMPUTED_VALUE"""),0.0)</f>
        <v>0</v>
      </c>
      <c r="V262" s="3">
        <f>IFERROR(__xludf.DUMMYFUNCTION("""COMPUTED_VALUE"""),0.0)</f>
        <v>0</v>
      </c>
      <c r="W262" s="3">
        <f>IFERROR(__xludf.DUMMYFUNCTION("""COMPUTED_VALUE"""),0.0)</f>
        <v>0</v>
      </c>
      <c r="X262" s="3">
        <f>IFERROR(__xludf.DUMMYFUNCTION("""COMPUTED_VALUE"""),0.0)</f>
        <v>0</v>
      </c>
      <c r="Y262" s="3">
        <f>IFERROR(__xludf.DUMMYFUNCTION("""COMPUTED_VALUE"""),0.0)</f>
        <v>0</v>
      </c>
      <c r="Z262" s="3">
        <f>IFERROR(__xludf.DUMMYFUNCTION("""COMPUTED_VALUE"""),0.0)</f>
        <v>0</v>
      </c>
      <c r="AA262" s="3">
        <f>IFERROR(__xludf.DUMMYFUNCTION("""COMPUTED_VALUE"""),0.0)</f>
        <v>0</v>
      </c>
      <c r="AB262" s="3">
        <f>IFERROR(__xludf.DUMMYFUNCTION("""COMPUTED_VALUE"""),0.0)</f>
        <v>0</v>
      </c>
      <c r="AC262" s="3">
        <f>IFERROR(__xludf.DUMMYFUNCTION("""COMPUTED_VALUE"""),0.0)</f>
        <v>0</v>
      </c>
      <c r="AD262" s="3">
        <f>IFERROR(__xludf.DUMMYFUNCTION("""COMPUTED_VALUE"""),0.0)</f>
        <v>0</v>
      </c>
      <c r="AE262" s="3">
        <f>IFERROR(__xludf.DUMMYFUNCTION("""COMPUTED_VALUE"""),0.0)</f>
        <v>0</v>
      </c>
      <c r="AF262" s="3">
        <f>IFERROR(__xludf.DUMMYFUNCTION("""COMPUTED_VALUE"""),0.0)</f>
        <v>0</v>
      </c>
      <c r="AG262" s="3">
        <f>IFERROR(__xludf.DUMMYFUNCTION("""COMPUTED_VALUE"""),0.0)</f>
        <v>0</v>
      </c>
      <c r="AH262" s="3">
        <f>IFERROR(__xludf.DUMMYFUNCTION("""COMPUTED_VALUE"""),0.0)</f>
        <v>0</v>
      </c>
      <c r="AI262" s="3">
        <f>IFERROR(__xludf.DUMMYFUNCTION("""COMPUTED_VALUE"""),0.0)</f>
        <v>0</v>
      </c>
      <c r="AJ262" s="3">
        <f>IFERROR(__xludf.DUMMYFUNCTION("""COMPUTED_VALUE"""),0.0)</f>
        <v>0</v>
      </c>
      <c r="AK262" s="3">
        <f>IFERROR(__xludf.DUMMYFUNCTION("""COMPUTED_VALUE"""),0.0)</f>
        <v>0</v>
      </c>
      <c r="AL262" s="3">
        <f>IFERROR(__xludf.DUMMYFUNCTION("""COMPUTED_VALUE"""),0.0)</f>
        <v>0</v>
      </c>
      <c r="AM262" s="3">
        <f>IFERROR(__xludf.DUMMYFUNCTION("""COMPUTED_VALUE"""),0.0)</f>
        <v>0</v>
      </c>
      <c r="AN262" s="3">
        <f>IFERROR(__xludf.DUMMYFUNCTION("""COMPUTED_VALUE"""),0.0)</f>
        <v>0</v>
      </c>
      <c r="AO262" s="3">
        <f>IFERROR(__xludf.DUMMYFUNCTION("""COMPUTED_VALUE"""),0.0)</f>
        <v>0</v>
      </c>
      <c r="AP262" s="3">
        <f>IFERROR(__xludf.DUMMYFUNCTION("""COMPUTED_VALUE"""),0.0)</f>
        <v>0</v>
      </c>
      <c r="AQ262" s="3">
        <f>IFERROR(__xludf.DUMMYFUNCTION("""COMPUTED_VALUE"""),0.0)</f>
        <v>0</v>
      </c>
      <c r="AR262" s="3">
        <f>IFERROR(__xludf.DUMMYFUNCTION("""COMPUTED_VALUE"""),0.0)</f>
        <v>0</v>
      </c>
      <c r="AS262" s="3">
        <f>IFERROR(__xludf.DUMMYFUNCTION("""COMPUTED_VALUE"""),0.0)</f>
        <v>0</v>
      </c>
      <c r="AT262" s="3">
        <f>IFERROR(__xludf.DUMMYFUNCTION("""COMPUTED_VALUE"""),0.0)</f>
        <v>0</v>
      </c>
      <c r="AU262" s="3">
        <f>IFERROR(__xludf.DUMMYFUNCTION("""COMPUTED_VALUE"""),0.0)</f>
        <v>0</v>
      </c>
      <c r="AV262" s="3">
        <f>IFERROR(__xludf.DUMMYFUNCTION("""COMPUTED_VALUE"""),0.0)</f>
        <v>0</v>
      </c>
      <c r="AW262" s="3">
        <f>IFERROR(__xludf.DUMMYFUNCTION("""COMPUTED_VALUE"""),0.0)</f>
        <v>0</v>
      </c>
      <c r="AX262" s="3">
        <f>IFERROR(__xludf.DUMMYFUNCTION("""COMPUTED_VALUE"""),0.0)</f>
        <v>0</v>
      </c>
      <c r="AY262" s="3">
        <f>IFERROR(__xludf.DUMMYFUNCTION("""COMPUTED_VALUE"""),0.0)</f>
        <v>0</v>
      </c>
      <c r="AZ262" s="3">
        <f>IFERROR(__xludf.DUMMYFUNCTION("""COMPUTED_VALUE"""),0.0)</f>
        <v>0</v>
      </c>
      <c r="BA262" s="3">
        <f>IFERROR(__xludf.DUMMYFUNCTION("""COMPUTED_VALUE"""),0.0)</f>
        <v>0</v>
      </c>
      <c r="BB262" s="3">
        <f>IFERROR(__xludf.DUMMYFUNCTION("""COMPUTED_VALUE"""),0.0)</f>
        <v>0</v>
      </c>
      <c r="BC262" s="3">
        <f>IFERROR(__xludf.DUMMYFUNCTION("""COMPUTED_VALUE"""),0.0)</f>
        <v>0</v>
      </c>
      <c r="BD262" s="3">
        <f>IFERROR(__xludf.DUMMYFUNCTION("""COMPUTED_VALUE"""),0.0)</f>
        <v>0</v>
      </c>
      <c r="BE262" s="3">
        <f>IFERROR(__xludf.DUMMYFUNCTION("""COMPUTED_VALUE"""),0.0)</f>
        <v>0</v>
      </c>
      <c r="BF262" s="3">
        <f>IFERROR(__xludf.DUMMYFUNCTION("""COMPUTED_VALUE"""),0.0)</f>
        <v>0</v>
      </c>
      <c r="BG262" s="3">
        <f>IFERROR(__xludf.DUMMYFUNCTION("""COMPUTED_VALUE"""),0.0)</f>
        <v>0</v>
      </c>
      <c r="BH262" s="3">
        <f>IFERROR(__xludf.DUMMYFUNCTION("""COMPUTED_VALUE"""),0.0)</f>
        <v>0</v>
      </c>
      <c r="BI262" s="3">
        <f>IFERROR(__xludf.DUMMYFUNCTION("""COMPUTED_VALUE"""),0.0)</f>
        <v>0</v>
      </c>
      <c r="BJ262" s="3">
        <f>IFERROR(__xludf.DUMMYFUNCTION("""COMPUTED_VALUE"""),0.0)</f>
        <v>0</v>
      </c>
      <c r="BK262" s="3">
        <f>IFERROR(__xludf.DUMMYFUNCTION("""COMPUTED_VALUE"""),0.0)</f>
        <v>0</v>
      </c>
      <c r="BL262" s="3">
        <f>IFERROR(__xludf.DUMMYFUNCTION("""COMPUTED_VALUE"""),0.0)</f>
        <v>0</v>
      </c>
      <c r="BM262" s="3">
        <f>IFERROR(__xludf.DUMMYFUNCTION("""COMPUTED_VALUE"""),0.0)</f>
        <v>0</v>
      </c>
      <c r="BN262" s="3">
        <f>IFERROR(__xludf.DUMMYFUNCTION("""COMPUTED_VALUE"""),0.0)</f>
        <v>0</v>
      </c>
      <c r="BO262" s="3">
        <f>IFERROR(__xludf.DUMMYFUNCTION("""COMPUTED_VALUE"""),0.0)</f>
        <v>0</v>
      </c>
      <c r="BP262" s="3">
        <f>IFERROR(__xludf.DUMMYFUNCTION("""COMPUTED_VALUE"""),0.0)</f>
        <v>0</v>
      </c>
      <c r="BQ262" s="3">
        <f>IFERROR(__xludf.DUMMYFUNCTION("""COMPUTED_VALUE"""),0.0)</f>
        <v>0</v>
      </c>
      <c r="BR262" s="3">
        <f>IFERROR(__xludf.DUMMYFUNCTION("""COMPUTED_VALUE"""),0.0)</f>
        <v>0</v>
      </c>
      <c r="BS262" s="3">
        <f>IFERROR(__xludf.DUMMYFUNCTION("""COMPUTED_VALUE"""),0.0)</f>
        <v>0</v>
      </c>
      <c r="BT262" s="3">
        <f>IFERROR(__xludf.DUMMYFUNCTION("""COMPUTED_VALUE"""),0.0)</f>
        <v>0</v>
      </c>
      <c r="BU262" s="3">
        <f>IFERROR(__xludf.DUMMYFUNCTION("""COMPUTED_VALUE"""),0.0)</f>
        <v>0</v>
      </c>
      <c r="BV262" s="3">
        <f>IFERROR(__xludf.DUMMYFUNCTION("""COMPUTED_VALUE"""),0.0)</f>
        <v>0</v>
      </c>
      <c r="BW262" s="3">
        <f>IFERROR(__xludf.DUMMYFUNCTION("""COMPUTED_VALUE"""),0.0)</f>
        <v>0</v>
      </c>
      <c r="BX262" s="3">
        <f>IFERROR(__xludf.DUMMYFUNCTION("""COMPUTED_VALUE"""),0.0)</f>
        <v>0</v>
      </c>
      <c r="BY262" s="3">
        <f>IFERROR(__xludf.DUMMYFUNCTION("""COMPUTED_VALUE"""),0.0)</f>
        <v>0</v>
      </c>
      <c r="BZ262" s="3">
        <f>IFERROR(__xludf.DUMMYFUNCTION("""COMPUTED_VALUE"""),0.0)</f>
        <v>0</v>
      </c>
      <c r="CA262" s="3">
        <f>IFERROR(__xludf.DUMMYFUNCTION("""COMPUTED_VALUE"""),0.0)</f>
        <v>0</v>
      </c>
      <c r="CB262" s="3">
        <f>IFERROR(__xludf.DUMMYFUNCTION("""COMPUTED_VALUE"""),0.0)</f>
        <v>0</v>
      </c>
    </row>
    <row r="263">
      <c r="A263" s="3" t="str">
        <f>IFERROR(__xludf.DUMMYFUNCTION("""COMPUTED_VALUE"""),"")</f>
        <v/>
      </c>
      <c r="B263" s="3" t="str">
        <f>IFERROR(__xludf.DUMMYFUNCTION("""COMPUTED_VALUE"""),"Western Sahara")</f>
        <v>Western Sahara</v>
      </c>
      <c r="C263" s="3">
        <f>IFERROR(__xludf.DUMMYFUNCTION("""COMPUTED_VALUE"""),24.2155)</f>
        <v>24.2155</v>
      </c>
      <c r="D263" s="3">
        <f>IFERROR(__xludf.DUMMYFUNCTION("""COMPUTED_VALUE"""),-12.8858)</f>
        <v>-12.8858</v>
      </c>
      <c r="E263" s="3">
        <f>IFERROR(__xludf.DUMMYFUNCTION("""COMPUTED_VALUE"""),0.0)</f>
        <v>0</v>
      </c>
      <c r="F263" s="3">
        <f>IFERROR(__xludf.DUMMYFUNCTION("""COMPUTED_VALUE"""),0.0)</f>
        <v>0</v>
      </c>
      <c r="G263" s="3">
        <f>IFERROR(__xludf.DUMMYFUNCTION("""COMPUTED_VALUE"""),0.0)</f>
        <v>0</v>
      </c>
      <c r="H263" s="3">
        <f>IFERROR(__xludf.DUMMYFUNCTION("""COMPUTED_VALUE"""),0.0)</f>
        <v>0</v>
      </c>
      <c r="I263" s="3">
        <f>IFERROR(__xludf.DUMMYFUNCTION("""COMPUTED_VALUE"""),0.0)</f>
        <v>0</v>
      </c>
      <c r="J263" s="3">
        <f>IFERROR(__xludf.DUMMYFUNCTION("""COMPUTED_VALUE"""),0.0)</f>
        <v>0</v>
      </c>
      <c r="K263" s="3">
        <f>IFERROR(__xludf.DUMMYFUNCTION("""COMPUTED_VALUE"""),0.0)</f>
        <v>0</v>
      </c>
      <c r="L263" s="3">
        <f>IFERROR(__xludf.DUMMYFUNCTION("""COMPUTED_VALUE"""),0.0)</f>
        <v>0</v>
      </c>
      <c r="M263" s="3">
        <f>IFERROR(__xludf.DUMMYFUNCTION("""COMPUTED_VALUE"""),0.0)</f>
        <v>0</v>
      </c>
      <c r="N263" s="3">
        <f>IFERROR(__xludf.DUMMYFUNCTION("""COMPUTED_VALUE"""),0.0)</f>
        <v>0</v>
      </c>
      <c r="O263" s="3">
        <f>IFERROR(__xludf.DUMMYFUNCTION("""COMPUTED_VALUE"""),0.0)</f>
        <v>0</v>
      </c>
      <c r="P263" s="3">
        <f>IFERROR(__xludf.DUMMYFUNCTION("""COMPUTED_VALUE"""),0.0)</f>
        <v>0</v>
      </c>
      <c r="Q263" s="3">
        <f>IFERROR(__xludf.DUMMYFUNCTION("""COMPUTED_VALUE"""),0.0)</f>
        <v>0</v>
      </c>
      <c r="R263" s="3">
        <f>IFERROR(__xludf.DUMMYFUNCTION("""COMPUTED_VALUE"""),0.0)</f>
        <v>0</v>
      </c>
      <c r="S263" s="3">
        <f>IFERROR(__xludf.DUMMYFUNCTION("""COMPUTED_VALUE"""),0.0)</f>
        <v>0</v>
      </c>
      <c r="T263" s="3">
        <f>IFERROR(__xludf.DUMMYFUNCTION("""COMPUTED_VALUE"""),0.0)</f>
        <v>0</v>
      </c>
      <c r="U263" s="3">
        <f>IFERROR(__xludf.DUMMYFUNCTION("""COMPUTED_VALUE"""),0.0)</f>
        <v>0</v>
      </c>
      <c r="V263" s="3">
        <f>IFERROR(__xludf.DUMMYFUNCTION("""COMPUTED_VALUE"""),0.0)</f>
        <v>0</v>
      </c>
      <c r="W263" s="3">
        <f>IFERROR(__xludf.DUMMYFUNCTION("""COMPUTED_VALUE"""),0.0)</f>
        <v>0</v>
      </c>
      <c r="X263" s="3">
        <f>IFERROR(__xludf.DUMMYFUNCTION("""COMPUTED_VALUE"""),0.0)</f>
        <v>0</v>
      </c>
      <c r="Y263" s="3">
        <f>IFERROR(__xludf.DUMMYFUNCTION("""COMPUTED_VALUE"""),0.0)</f>
        <v>0</v>
      </c>
      <c r="Z263" s="3">
        <f>IFERROR(__xludf.DUMMYFUNCTION("""COMPUTED_VALUE"""),0.0)</f>
        <v>0</v>
      </c>
      <c r="AA263" s="3">
        <f>IFERROR(__xludf.DUMMYFUNCTION("""COMPUTED_VALUE"""),0.0)</f>
        <v>0</v>
      </c>
      <c r="AB263" s="3">
        <f>IFERROR(__xludf.DUMMYFUNCTION("""COMPUTED_VALUE"""),0.0)</f>
        <v>0</v>
      </c>
      <c r="AC263" s="3">
        <f>IFERROR(__xludf.DUMMYFUNCTION("""COMPUTED_VALUE"""),0.0)</f>
        <v>0</v>
      </c>
      <c r="AD263" s="3">
        <f>IFERROR(__xludf.DUMMYFUNCTION("""COMPUTED_VALUE"""),0.0)</f>
        <v>0</v>
      </c>
      <c r="AE263" s="3">
        <f>IFERROR(__xludf.DUMMYFUNCTION("""COMPUTED_VALUE"""),0.0)</f>
        <v>0</v>
      </c>
      <c r="AF263" s="3">
        <f>IFERROR(__xludf.DUMMYFUNCTION("""COMPUTED_VALUE"""),0.0)</f>
        <v>0</v>
      </c>
      <c r="AG263" s="3">
        <f>IFERROR(__xludf.DUMMYFUNCTION("""COMPUTED_VALUE"""),0.0)</f>
        <v>0</v>
      </c>
      <c r="AH263" s="3">
        <f>IFERROR(__xludf.DUMMYFUNCTION("""COMPUTED_VALUE"""),0.0)</f>
        <v>0</v>
      </c>
      <c r="AI263" s="3">
        <f>IFERROR(__xludf.DUMMYFUNCTION("""COMPUTED_VALUE"""),0.0)</f>
        <v>0</v>
      </c>
      <c r="AJ263" s="3">
        <f>IFERROR(__xludf.DUMMYFUNCTION("""COMPUTED_VALUE"""),0.0)</f>
        <v>0</v>
      </c>
      <c r="AK263" s="3">
        <f>IFERROR(__xludf.DUMMYFUNCTION("""COMPUTED_VALUE"""),0.0)</f>
        <v>0</v>
      </c>
      <c r="AL263" s="3">
        <f>IFERROR(__xludf.DUMMYFUNCTION("""COMPUTED_VALUE"""),0.0)</f>
        <v>0</v>
      </c>
      <c r="AM263" s="3">
        <f>IFERROR(__xludf.DUMMYFUNCTION("""COMPUTED_VALUE"""),0.0)</f>
        <v>0</v>
      </c>
      <c r="AN263" s="3">
        <f>IFERROR(__xludf.DUMMYFUNCTION("""COMPUTED_VALUE"""),0.0)</f>
        <v>0</v>
      </c>
      <c r="AO263" s="3">
        <f>IFERROR(__xludf.DUMMYFUNCTION("""COMPUTED_VALUE"""),0.0)</f>
        <v>0</v>
      </c>
      <c r="AP263" s="3">
        <f>IFERROR(__xludf.DUMMYFUNCTION("""COMPUTED_VALUE"""),0.0)</f>
        <v>0</v>
      </c>
      <c r="AQ263" s="3">
        <f>IFERROR(__xludf.DUMMYFUNCTION("""COMPUTED_VALUE"""),0.0)</f>
        <v>0</v>
      </c>
      <c r="AR263" s="3">
        <f>IFERROR(__xludf.DUMMYFUNCTION("""COMPUTED_VALUE"""),0.0)</f>
        <v>0</v>
      </c>
      <c r="AS263" s="3">
        <f>IFERROR(__xludf.DUMMYFUNCTION("""COMPUTED_VALUE"""),0.0)</f>
        <v>0</v>
      </c>
      <c r="AT263" s="3">
        <f>IFERROR(__xludf.DUMMYFUNCTION("""COMPUTED_VALUE"""),0.0)</f>
        <v>0</v>
      </c>
      <c r="AU263" s="3">
        <f>IFERROR(__xludf.DUMMYFUNCTION("""COMPUTED_VALUE"""),0.0)</f>
        <v>0</v>
      </c>
      <c r="AV263" s="3">
        <f>IFERROR(__xludf.DUMMYFUNCTION("""COMPUTED_VALUE"""),0.0)</f>
        <v>0</v>
      </c>
      <c r="AW263" s="3">
        <f>IFERROR(__xludf.DUMMYFUNCTION("""COMPUTED_VALUE"""),0.0)</f>
        <v>0</v>
      </c>
      <c r="AX263" s="3">
        <f>IFERROR(__xludf.DUMMYFUNCTION("""COMPUTED_VALUE"""),0.0)</f>
        <v>0</v>
      </c>
      <c r="AY263" s="3">
        <f>IFERROR(__xludf.DUMMYFUNCTION("""COMPUTED_VALUE"""),0.0)</f>
        <v>0</v>
      </c>
      <c r="AZ263" s="3">
        <f>IFERROR(__xludf.DUMMYFUNCTION("""COMPUTED_VALUE"""),0.0)</f>
        <v>0</v>
      </c>
      <c r="BA263" s="3">
        <f>IFERROR(__xludf.DUMMYFUNCTION("""COMPUTED_VALUE"""),0.0)</f>
        <v>0</v>
      </c>
      <c r="BB263" s="3">
        <f>IFERROR(__xludf.DUMMYFUNCTION("""COMPUTED_VALUE"""),0.0)</f>
        <v>0</v>
      </c>
      <c r="BC263" s="3">
        <f>IFERROR(__xludf.DUMMYFUNCTION("""COMPUTED_VALUE"""),0.0)</f>
        <v>0</v>
      </c>
      <c r="BD263" s="3">
        <f>IFERROR(__xludf.DUMMYFUNCTION("""COMPUTED_VALUE"""),0.0)</f>
        <v>0</v>
      </c>
      <c r="BE263" s="3">
        <f>IFERROR(__xludf.DUMMYFUNCTION("""COMPUTED_VALUE"""),0.0)</f>
        <v>0</v>
      </c>
      <c r="BF263" s="3">
        <f>IFERROR(__xludf.DUMMYFUNCTION("""COMPUTED_VALUE"""),0.0)</f>
        <v>0</v>
      </c>
      <c r="BG263" s="3">
        <f>IFERROR(__xludf.DUMMYFUNCTION("""COMPUTED_VALUE"""),0.0)</f>
        <v>0</v>
      </c>
      <c r="BH263" s="3">
        <f>IFERROR(__xludf.DUMMYFUNCTION("""COMPUTED_VALUE"""),0.0)</f>
        <v>0</v>
      </c>
      <c r="BI263" s="3">
        <f>IFERROR(__xludf.DUMMYFUNCTION("""COMPUTED_VALUE"""),0.0)</f>
        <v>0</v>
      </c>
      <c r="BJ263" s="3">
        <f>IFERROR(__xludf.DUMMYFUNCTION("""COMPUTED_VALUE"""),0.0)</f>
        <v>0</v>
      </c>
      <c r="BK263" s="3">
        <f>IFERROR(__xludf.DUMMYFUNCTION("""COMPUTED_VALUE"""),0.0)</f>
        <v>0</v>
      </c>
      <c r="BL263" s="3">
        <f>IFERROR(__xludf.DUMMYFUNCTION("""COMPUTED_VALUE"""),0.0)</f>
        <v>0</v>
      </c>
      <c r="BM263" s="3">
        <f>IFERROR(__xludf.DUMMYFUNCTION("""COMPUTED_VALUE"""),0.0)</f>
        <v>0</v>
      </c>
      <c r="BN263" s="3">
        <f>IFERROR(__xludf.DUMMYFUNCTION("""COMPUTED_VALUE"""),0.0)</f>
        <v>0</v>
      </c>
      <c r="BO263" s="3">
        <f>IFERROR(__xludf.DUMMYFUNCTION("""COMPUTED_VALUE"""),0.0)</f>
        <v>0</v>
      </c>
      <c r="BP263" s="3">
        <f>IFERROR(__xludf.DUMMYFUNCTION("""COMPUTED_VALUE"""),0.0)</f>
        <v>0</v>
      </c>
      <c r="BQ263" s="3">
        <f>IFERROR(__xludf.DUMMYFUNCTION("""COMPUTED_VALUE"""),0.0)</f>
        <v>0</v>
      </c>
      <c r="BR263" s="3">
        <f>IFERROR(__xludf.DUMMYFUNCTION("""COMPUTED_VALUE"""),0.0)</f>
        <v>0</v>
      </c>
      <c r="BS263" s="3">
        <f>IFERROR(__xludf.DUMMYFUNCTION("""COMPUTED_VALUE"""),0.0)</f>
        <v>0</v>
      </c>
      <c r="BT263" s="3">
        <f>IFERROR(__xludf.DUMMYFUNCTION("""COMPUTED_VALUE"""),0.0)</f>
        <v>0</v>
      </c>
      <c r="BU263" s="3">
        <f>IFERROR(__xludf.DUMMYFUNCTION("""COMPUTED_VALUE"""),0.0)</f>
        <v>0</v>
      </c>
      <c r="BV263" s="3">
        <f>IFERROR(__xludf.DUMMYFUNCTION("""COMPUTED_VALUE"""),0.0)</f>
        <v>0</v>
      </c>
      <c r="BW263" s="3">
        <f>IFERROR(__xludf.DUMMYFUNCTION("""COMPUTED_VALUE"""),0.0)</f>
        <v>0</v>
      </c>
      <c r="BX263" s="3">
        <f>IFERROR(__xludf.DUMMYFUNCTION("""COMPUTED_VALUE"""),0.0)</f>
        <v>0</v>
      </c>
      <c r="BY263" s="3">
        <f>IFERROR(__xludf.DUMMYFUNCTION("""COMPUTED_VALUE"""),0.0)</f>
        <v>0</v>
      </c>
      <c r="BZ263" s="3">
        <f>IFERROR(__xludf.DUMMYFUNCTION("""COMPUTED_VALUE"""),0.0)</f>
        <v>0</v>
      </c>
      <c r="CA263" s="3">
        <f>IFERROR(__xludf.DUMMYFUNCTION("""COMPUTED_VALUE"""),0.0)</f>
        <v>0</v>
      </c>
      <c r="CB263" s="3">
        <f>IFERROR(__xludf.DUMMYFUNCTION("""COMPUTED_VALUE"""),0.0)</f>
        <v>0</v>
      </c>
    </row>
    <row r="264">
      <c r="A264" s="3" t="str">
        <f>IFERROR(__xludf.DUMMYFUNCTION("""COMPUTED_VALUE"""),"")</f>
        <v/>
      </c>
      <c r="B264" s="3" t="str">
        <f>IFERROR(__xludf.DUMMYFUNCTION("""COMPUTED_VALUE"""),"Sao Tome and Principe")</f>
        <v>Sao Tome and Principe</v>
      </c>
      <c r="C264" s="3">
        <f>IFERROR(__xludf.DUMMYFUNCTION("""COMPUTED_VALUE"""),0.18636)</f>
        <v>0.18636</v>
      </c>
      <c r="D264" s="3">
        <f>IFERROR(__xludf.DUMMYFUNCTION("""COMPUTED_VALUE"""),6.613081)</f>
        <v>6.613081</v>
      </c>
      <c r="E264" s="3">
        <f>IFERROR(__xludf.DUMMYFUNCTION("""COMPUTED_VALUE"""),0.0)</f>
        <v>0</v>
      </c>
      <c r="F264" s="3">
        <f>IFERROR(__xludf.DUMMYFUNCTION("""COMPUTED_VALUE"""),0.0)</f>
        <v>0</v>
      </c>
      <c r="G264" s="3">
        <f>IFERROR(__xludf.DUMMYFUNCTION("""COMPUTED_VALUE"""),0.0)</f>
        <v>0</v>
      </c>
      <c r="H264" s="3">
        <f>IFERROR(__xludf.DUMMYFUNCTION("""COMPUTED_VALUE"""),0.0)</f>
        <v>0</v>
      </c>
      <c r="I264" s="3">
        <f>IFERROR(__xludf.DUMMYFUNCTION("""COMPUTED_VALUE"""),0.0)</f>
        <v>0</v>
      </c>
      <c r="J264" s="3">
        <f>IFERROR(__xludf.DUMMYFUNCTION("""COMPUTED_VALUE"""),0.0)</f>
        <v>0</v>
      </c>
      <c r="K264" s="3">
        <f>IFERROR(__xludf.DUMMYFUNCTION("""COMPUTED_VALUE"""),0.0)</f>
        <v>0</v>
      </c>
      <c r="L264" s="3">
        <f>IFERROR(__xludf.DUMMYFUNCTION("""COMPUTED_VALUE"""),0.0)</f>
        <v>0</v>
      </c>
      <c r="M264" s="3">
        <f>IFERROR(__xludf.DUMMYFUNCTION("""COMPUTED_VALUE"""),0.0)</f>
        <v>0</v>
      </c>
      <c r="N264" s="3">
        <f>IFERROR(__xludf.DUMMYFUNCTION("""COMPUTED_VALUE"""),0.0)</f>
        <v>0</v>
      </c>
      <c r="O264" s="3">
        <f>IFERROR(__xludf.DUMMYFUNCTION("""COMPUTED_VALUE"""),0.0)</f>
        <v>0</v>
      </c>
      <c r="P264" s="3">
        <f>IFERROR(__xludf.DUMMYFUNCTION("""COMPUTED_VALUE"""),0.0)</f>
        <v>0</v>
      </c>
      <c r="Q264" s="3">
        <f>IFERROR(__xludf.DUMMYFUNCTION("""COMPUTED_VALUE"""),0.0)</f>
        <v>0</v>
      </c>
      <c r="R264" s="3">
        <f>IFERROR(__xludf.DUMMYFUNCTION("""COMPUTED_VALUE"""),0.0)</f>
        <v>0</v>
      </c>
      <c r="S264" s="3">
        <f>IFERROR(__xludf.DUMMYFUNCTION("""COMPUTED_VALUE"""),0.0)</f>
        <v>0</v>
      </c>
      <c r="T264" s="3">
        <f>IFERROR(__xludf.DUMMYFUNCTION("""COMPUTED_VALUE"""),0.0)</f>
        <v>0</v>
      </c>
      <c r="U264" s="3">
        <f>IFERROR(__xludf.DUMMYFUNCTION("""COMPUTED_VALUE"""),0.0)</f>
        <v>0</v>
      </c>
      <c r="V264" s="3">
        <f>IFERROR(__xludf.DUMMYFUNCTION("""COMPUTED_VALUE"""),0.0)</f>
        <v>0</v>
      </c>
      <c r="W264" s="3">
        <f>IFERROR(__xludf.DUMMYFUNCTION("""COMPUTED_VALUE"""),0.0)</f>
        <v>0</v>
      </c>
      <c r="X264" s="3">
        <f>IFERROR(__xludf.DUMMYFUNCTION("""COMPUTED_VALUE"""),0.0)</f>
        <v>0</v>
      </c>
      <c r="Y264" s="3">
        <f>IFERROR(__xludf.DUMMYFUNCTION("""COMPUTED_VALUE"""),0.0)</f>
        <v>0</v>
      </c>
      <c r="Z264" s="3">
        <f>IFERROR(__xludf.DUMMYFUNCTION("""COMPUTED_VALUE"""),0.0)</f>
        <v>0</v>
      </c>
      <c r="AA264" s="3">
        <f>IFERROR(__xludf.DUMMYFUNCTION("""COMPUTED_VALUE"""),0.0)</f>
        <v>0</v>
      </c>
      <c r="AB264" s="3">
        <f>IFERROR(__xludf.DUMMYFUNCTION("""COMPUTED_VALUE"""),0.0)</f>
        <v>0</v>
      </c>
      <c r="AC264" s="3">
        <f>IFERROR(__xludf.DUMMYFUNCTION("""COMPUTED_VALUE"""),0.0)</f>
        <v>0</v>
      </c>
      <c r="AD264" s="3">
        <f>IFERROR(__xludf.DUMMYFUNCTION("""COMPUTED_VALUE"""),0.0)</f>
        <v>0</v>
      </c>
      <c r="AE264" s="3">
        <f>IFERROR(__xludf.DUMMYFUNCTION("""COMPUTED_VALUE"""),0.0)</f>
        <v>0</v>
      </c>
      <c r="AF264" s="3">
        <f>IFERROR(__xludf.DUMMYFUNCTION("""COMPUTED_VALUE"""),0.0)</f>
        <v>0</v>
      </c>
      <c r="AG264" s="3">
        <f>IFERROR(__xludf.DUMMYFUNCTION("""COMPUTED_VALUE"""),0.0)</f>
        <v>0</v>
      </c>
      <c r="AH264" s="3">
        <f>IFERROR(__xludf.DUMMYFUNCTION("""COMPUTED_VALUE"""),0.0)</f>
        <v>0</v>
      </c>
      <c r="AI264" s="3">
        <f>IFERROR(__xludf.DUMMYFUNCTION("""COMPUTED_VALUE"""),0.0)</f>
        <v>0</v>
      </c>
      <c r="AJ264" s="3">
        <f>IFERROR(__xludf.DUMMYFUNCTION("""COMPUTED_VALUE"""),0.0)</f>
        <v>0</v>
      </c>
      <c r="AK264" s="3">
        <f>IFERROR(__xludf.DUMMYFUNCTION("""COMPUTED_VALUE"""),0.0)</f>
        <v>0</v>
      </c>
      <c r="AL264" s="3">
        <f>IFERROR(__xludf.DUMMYFUNCTION("""COMPUTED_VALUE"""),0.0)</f>
        <v>0</v>
      </c>
      <c r="AM264" s="3">
        <f>IFERROR(__xludf.DUMMYFUNCTION("""COMPUTED_VALUE"""),0.0)</f>
        <v>0</v>
      </c>
      <c r="AN264" s="3">
        <f>IFERROR(__xludf.DUMMYFUNCTION("""COMPUTED_VALUE"""),0.0)</f>
        <v>0</v>
      </c>
      <c r="AO264" s="3">
        <f>IFERROR(__xludf.DUMMYFUNCTION("""COMPUTED_VALUE"""),0.0)</f>
        <v>0</v>
      </c>
      <c r="AP264" s="3">
        <f>IFERROR(__xludf.DUMMYFUNCTION("""COMPUTED_VALUE"""),0.0)</f>
        <v>0</v>
      </c>
      <c r="AQ264" s="3">
        <f>IFERROR(__xludf.DUMMYFUNCTION("""COMPUTED_VALUE"""),0.0)</f>
        <v>0</v>
      </c>
      <c r="AR264" s="3">
        <f>IFERROR(__xludf.DUMMYFUNCTION("""COMPUTED_VALUE"""),0.0)</f>
        <v>0</v>
      </c>
      <c r="AS264" s="3">
        <f>IFERROR(__xludf.DUMMYFUNCTION("""COMPUTED_VALUE"""),0.0)</f>
        <v>0</v>
      </c>
      <c r="AT264" s="3">
        <f>IFERROR(__xludf.DUMMYFUNCTION("""COMPUTED_VALUE"""),0.0)</f>
        <v>0</v>
      </c>
      <c r="AU264" s="3">
        <f>IFERROR(__xludf.DUMMYFUNCTION("""COMPUTED_VALUE"""),0.0)</f>
        <v>0</v>
      </c>
      <c r="AV264" s="3">
        <f>IFERROR(__xludf.DUMMYFUNCTION("""COMPUTED_VALUE"""),0.0)</f>
        <v>0</v>
      </c>
      <c r="AW264" s="3">
        <f>IFERROR(__xludf.DUMMYFUNCTION("""COMPUTED_VALUE"""),0.0)</f>
        <v>0</v>
      </c>
      <c r="AX264" s="3">
        <f>IFERROR(__xludf.DUMMYFUNCTION("""COMPUTED_VALUE"""),0.0)</f>
        <v>0</v>
      </c>
      <c r="AY264" s="3">
        <f>IFERROR(__xludf.DUMMYFUNCTION("""COMPUTED_VALUE"""),0.0)</f>
        <v>0</v>
      </c>
      <c r="AZ264" s="3">
        <f>IFERROR(__xludf.DUMMYFUNCTION("""COMPUTED_VALUE"""),0.0)</f>
        <v>0</v>
      </c>
      <c r="BA264" s="3">
        <f>IFERROR(__xludf.DUMMYFUNCTION("""COMPUTED_VALUE"""),0.0)</f>
        <v>0</v>
      </c>
      <c r="BB264" s="3">
        <f>IFERROR(__xludf.DUMMYFUNCTION("""COMPUTED_VALUE"""),0.0)</f>
        <v>0</v>
      </c>
      <c r="BC264" s="3">
        <f>IFERROR(__xludf.DUMMYFUNCTION("""COMPUTED_VALUE"""),0.0)</f>
        <v>0</v>
      </c>
      <c r="BD264" s="3">
        <f>IFERROR(__xludf.DUMMYFUNCTION("""COMPUTED_VALUE"""),0.0)</f>
        <v>0</v>
      </c>
      <c r="BE264" s="3">
        <f>IFERROR(__xludf.DUMMYFUNCTION("""COMPUTED_VALUE"""),0.0)</f>
        <v>0</v>
      </c>
      <c r="BF264" s="3">
        <f>IFERROR(__xludf.DUMMYFUNCTION("""COMPUTED_VALUE"""),0.0)</f>
        <v>0</v>
      </c>
      <c r="BG264" s="3">
        <f>IFERROR(__xludf.DUMMYFUNCTION("""COMPUTED_VALUE"""),0.0)</f>
        <v>0</v>
      </c>
      <c r="BH264" s="3">
        <f>IFERROR(__xludf.DUMMYFUNCTION("""COMPUTED_VALUE"""),0.0)</f>
        <v>0</v>
      </c>
      <c r="BI264" s="3">
        <f>IFERROR(__xludf.DUMMYFUNCTION("""COMPUTED_VALUE"""),0.0)</f>
        <v>0</v>
      </c>
      <c r="BJ264" s="3">
        <f>IFERROR(__xludf.DUMMYFUNCTION("""COMPUTED_VALUE"""),0.0)</f>
        <v>0</v>
      </c>
      <c r="BK264" s="3">
        <f>IFERROR(__xludf.DUMMYFUNCTION("""COMPUTED_VALUE"""),0.0)</f>
        <v>0</v>
      </c>
      <c r="BL264" s="3">
        <f>IFERROR(__xludf.DUMMYFUNCTION("""COMPUTED_VALUE"""),0.0)</f>
        <v>0</v>
      </c>
      <c r="BM264" s="3">
        <f>IFERROR(__xludf.DUMMYFUNCTION("""COMPUTED_VALUE"""),0.0)</f>
        <v>0</v>
      </c>
      <c r="BN264" s="3">
        <f>IFERROR(__xludf.DUMMYFUNCTION("""COMPUTED_VALUE"""),0.0)</f>
        <v>0</v>
      </c>
      <c r="BO264" s="3">
        <f>IFERROR(__xludf.DUMMYFUNCTION("""COMPUTED_VALUE"""),0.0)</f>
        <v>0</v>
      </c>
      <c r="BP264" s="3">
        <f>IFERROR(__xludf.DUMMYFUNCTION("""COMPUTED_VALUE"""),0.0)</f>
        <v>0</v>
      </c>
      <c r="BQ264" s="3">
        <f>IFERROR(__xludf.DUMMYFUNCTION("""COMPUTED_VALUE"""),0.0)</f>
        <v>0</v>
      </c>
      <c r="BR264" s="3">
        <f>IFERROR(__xludf.DUMMYFUNCTION("""COMPUTED_VALUE"""),0.0)</f>
        <v>0</v>
      </c>
      <c r="BS264" s="3">
        <f>IFERROR(__xludf.DUMMYFUNCTION("""COMPUTED_VALUE"""),0.0)</f>
        <v>0</v>
      </c>
      <c r="BT264" s="3">
        <f>IFERROR(__xludf.DUMMYFUNCTION("""COMPUTED_VALUE"""),0.0)</f>
        <v>0</v>
      </c>
      <c r="BU264" s="3">
        <f>IFERROR(__xludf.DUMMYFUNCTION("""COMPUTED_VALUE"""),0.0)</f>
        <v>0</v>
      </c>
      <c r="BV264" s="3">
        <f>IFERROR(__xludf.DUMMYFUNCTION("""COMPUTED_VALUE"""),0.0)</f>
        <v>0</v>
      </c>
      <c r="BW264" s="3">
        <f>IFERROR(__xludf.DUMMYFUNCTION("""COMPUTED_VALUE"""),0.0)</f>
        <v>0</v>
      </c>
      <c r="BX264" s="3">
        <f>IFERROR(__xludf.DUMMYFUNCTION("""COMPUTED_VALUE"""),0.0)</f>
        <v>0</v>
      </c>
      <c r="BY264" s="3">
        <f>IFERROR(__xludf.DUMMYFUNCTION("""COMPUTED_VALUE"""),0.0)</f>
        <v>0</v>
      </c>
      <c r="BZ264" s="3">
        <f>IFERROR(__xludf.DUMMYFUNCTION("""COMPUTED_VALUE"""),0.0)</f>
        <v>0</v>
      </c>
      <c r="CA264" s="3">
        <f>IFERROR(__xludf.DUMMYFUNCTION("""COMPUTED_VALUE"""),0.0)</f>
        <v>0</v>
      </c>
      <c r="CB264" s="3">
        <f>IFERROR(__xludf.DUMMYFUNCTION("""COMPUTED_VALUE"""),0.0)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tr">
        <f>deaths!B1</f>
        <v>Country/Region</v>
      </c>
      <c r="C1" s="1" t="str">
        <f>deaths!C1</f>
        <v>Lat</v>
      </c>
      <c r="D1" s="1" t="str">
        <f>deaths!D1</f>
        <v>Long</v>
      </c>
      <c r="E1" s="1">
        <f>deaths!E1</f>
        <v>43852</v>
      </c>
      <c r="F1" s="1">
        <f>deaths!F1</f>
        <v>43853</v>
      </c>
      <c r="G1" s="1">
        <f>deaths!G1</f>
        <v>43854</v>
      </c>
      <c r="H1" s="1">
        <f>deaths!H1</f>
        <v>43855</v>
      </c>
      <c r="I1" s="1">
        <f>deaths!I1</f>
        <v>43856</v>
      </c>
      <c r="J1" s="1">
        <f>deaths!J1</f>
        <v>43857</v>
      </c>
      <c r="K1" s="1">
        <f>deaths!K1</f>
        <v>43858</v>
      </c>
      <c r="L1" s="1">
        <f>deaths!L1</f>
        <v>43859</v>
      </c>
      <c r="M1" s="1">
        <f>deaths!M1</f>
        <v>43860</v>
      </c>
      <c r="N1" s="1">
        <f>deaths!N1</f>
        <v>43861</v>
      </c>
      <c r="O1" s="1">
        <f>deaths!O1</f>
        <v>43862</v>
      </c>
      <c r="P1" s="1">
        <f>deaths!P1</f>
        <v>43863</v>
      </c>
      <c r="Q1" s="1">
        <f>deaths!Q1</f>
        <v>43864</v>
      </c>
      <c r="R1" s="1">
        <f>deaths!R1</f>
        <v>43865</v>
      </c>
      <c r="S1" s="1">
        <f>deaths!S1</f>
        <v>43866</v>
      </c>
      <c r="T1" s="1">
        <f>deaths!T1</f>
        <v>43867</v>
      </c>
      <c r="U1" s="1">
        <f>deaths!U1</f>
        <v>43868</v>
      </c>
      <c r="V1" s="1">
        <f>deaths!V1</f>
        <v>43869</v>
      </c>
      <c r="W1" s="1">
        <f>deaths!W1</f>
        <v>43870</v>
      </c>
      <c r="X1" s="1">
        <f>deaths!X1</f>
        <v>43871</v>
      </c>
      <c r="Y1" s="1">
        <f>deaths!Y1</f>
        <v>43872</v>
      </c>
      <c r="Z1" s="1">
        <f>deaths!Z1</f>
        <v>43873</v>
      </c>
      <c r="AA1" s="1">
        <f>deaths!AA1</f>
        <v>43874</v>
      </c>
      <c r="AB1" s="1">
        <f>deaths!AB1</f>
        <v>43875</v>
      </c>
      <c r="AC1" s="1">
        <f>deaths!AC1</f>
        <v>43876</v>
      </c>
      <c r="AD1" s="1">
        <f>deaths!AD1</f>
        <v>43877</v>
      </c>
      <c r="AE1" s="1">
        <f>deaths!AE1</f>
        <v>43878</v>
      </c>
      <c r="AF1" s="1">
        <f>deaths!AF1</f>
        <v>43879</v>
      </c>
      <c r="AG1" s="1">
        <f>deaths!AG1</f>
        <v>43880</v>
      </c>
      <c r="AH1" s="1">
        <f>deaths!AH1</f>
        <v>43881</v>
      </c>
      <c r="AI1" s="1">
        <f>deaths!AI1</f>
        <v>43882</v>
      </c>
      <c r="AJ1" s="1">
        <f>deaths!AJ1</f>
        <v>43883</v>
      </c>
      <c r="AK1" s="1">
        <f>deaths!AK1</f>
        <v>43884</v>
      </c>
      <c r="AL1" s="1">
        <f>deaths!AL1</f>
        <v>43885</v>
      </c>
      <c r="AM1" s="1">
        <f>deaths!AM1</f>
        <v>43886</v>
      </c>
      <c r="AN1" s="1">
        <f>deaths!AN1</f>
        <v>43887</v>
      </c>
      <c r="AO1" s="1">
        <f>deaths!AO1</f>
        <v>43888</v>
      </c>
      <c r="AP1" s="1">
        <f>deaths!AP1</f>
        <v>43889</v>
      </c>
      <c r="AQ1" s="1">
        <f>deaths!AQ1</f>
        <v>43890</v>
      </c>
      <c r="AR1" s="1">
        <f>deaths!AR1</f>
        <v>43891</v>
      </c>
      <c r="AS1" s="1">
        <f>deaths!AS1</f>
        <v>43892</v>
      </c>
      <c r="AT1" s="1">
        <f>deaths!AT1</f>
        <v>43893</v>
      </c>
      <c r="AU1" s="1">
        <f>deaths!AU1</f>
        <v>43894</v>
      </c>
      <c r="AV1" s="1">
        <f>deaths!AV1</f>
        <v>43895</v>
      </c>
      <c r="AW1" s="1">
        <f>deaths!AW1</f>
        <v>43896</v>
      </c>
      <c r="AX1" s="1">
        <f>deaths!AX1</f>
        <v>43897</v>
      </c>
      <c r="AY1" s="1">
        <f>deaths!AY1</f>
        <v>43898</v>
      </c>
      <c r="AZ1" s="1">
        <f>deaths!AZ1</f>
        <v>43899</v>
      </c>
      <c r="BA1" s="1">
        <f>deaths!BA1</f>
        <v>43900</v>
      </c>
      <c r="BB1" s="1">
        <f>deaths!BB1</f>
        <v>43901</v>
      </c>
      <c r="BC1" s="1">
        <f>deaths!BC1</f>
        <v>43902</v>
      </c>
      <c r="BD1" s="1">
        <f>deaths!BD1</f>
        <v>43903</v>
      </c>
      <c r="BE1" s="1">
        <f>deaths!BE1</f>
        <v>43904</v>
      </c>
      <c r="BF1" s="1">
        <f>deaths!BF1</f>
        <v>43905</v>
      </c>
      <c r="BG1" s="1">
        <f>deaths!BG1</f>
        <v>43906</v>
      </c>
      <c r="BH1" s="1">
        <f>deaths!BH1</f>
        <v>43907</v>
      </c>
      <c r="BI1" s="1">
        <f>deaths!BI1</f>
        <v>43908</v>
      </c>
      <c r="BJ1" s="1">
        <f>deaths!BJ1</f>
        <v>43909</v>
      </c>
      <c r="BK1" s="1">
        <f>deaths!BK1</f>
        <v>43910</v>
      </c>
      <c r="BL1" s="1">
        <f>deaths!BL1</f>
        <v>43911</v>
      </c>
      <c r="BM1" s="1">
        <f>deaths!BM1</f>
        <v>43912</v>
      </c>
      <c r="BN1" s="1">
        <f>deaths!BN1</f>
        <v>43913</v>
      </c>
      <c r="BO1" s="1">
        <f>deaths!BO1</f>
        <v>43914</v>
      </c>
      <c r="BP1" s="1">
        <f>deaths!BP1</f>
        <v>43915</v>
      </c>
      <c r="BQ1" s="1">
        <f>deaths!BQ1</f>
        <v>43916</v>
      </c>
      <c r="BR1" s="1">
        <f>deaths!BR1</f>
        <v>43917</v>
      </c>
      <c r="BS1" s="1">
        <f>deaths!BS1</f>
        <v>43918</v>
      </c>
      <c r="BT1" s="1">
        <f>deaths!BT1</f>
        <v>43919</v>
      </c>
      <c r="BU1" s="1">
        <f>deaths!BU1</f>
        <v>43920</v>
      </c>
      <c r="BV1" s="1">
        <f>deaths!BV1</f>
        <v>43921</v>
      </c>
      <c r="BW1" s="1">
        <f>deaths!BW1</f>
        <v>43922</v>
      </c>
      <c r="BX1" s="1">
        <f>deaths!BX1</f>
        <v>43923</v>
      </c>
      <c r="BY1" s="1">
        <f>deaths!BY1</f>
        <v>43924</v>
      </c>
      <c r="BZ1" s="1">
        <f>deaths!BZ1</f>
        <v>43925</v>
      </c>
      <c r="CA1" s="1">
        <f>deaths!CA1</f>
        <v>43926</v>
      </c>
      <c r="CB1" s="1">
        <f>deaths!CB1</f>
        <v>43927</v>
      </c>
      <c r="CC1" s="1" t="str">
        <f>deaths!CC1</f>
        <v/>
      </c>
    </row>
    <row r="2">
      <c r="B2" s="1" t="str">
        <f>deaths!B2</f>
        <v>Afghanistan</v>
      </c>
      <c r="C2" s="4">
        <f>deaths!C2</f>
        <v>33</v>
      </c>
      <c r="D2" s="4">
        <f>deaths!D2</f>
        <v>65</v>
      </c>
      <c r="E2" s="5">
        <f>deaths!E2</f>
        <v>0</v>
      </c>
      <c r="F2" s="5">
        <f>deaths!F2-deaths!E2</f>
        <v>0</v>
      </c>
      <c r="G2" s="5">
        <f>deaths!G2-deaths!F2</f>
        <v>0</v>
      </c>
      <c r="H2" s="5">
        <f>deaths!H2-deaths!G2</f>
        <v>0</v>
      </c>
      <c r="I2" s="5">
        <f>deaths!I2-deaths!H2</f>
        <v>0</v>
      </c>
      <c r="J2" s="5">
        <f>deaths!J2-deaths!I2</f>
        <v>0</v>
      </c>
      <c r="K2" s="5">
        <f>deaths!K2-deaths!J2</f>
        <v>0</v>
      </c>
      <c r="L2" s="5">
        <f>deaths!L2-deaths!K2</f>
        <v>0</v>
      </c>
      <c r="M2" s="5">
        <f>deaths!M2-deaths!L2</f>
        <v>0</v>
      </c>
      <c r="N2" s="5">
        <f>deaths!N2-deaths!M2</f>
        <v>0</v>
      </c>
      <c r="O2" s="5">
        <f>deaths!O2-deaths!N2</f>
        <v>0</v>
      </c>
      <c r="P2" s="5">
        <f>deaths!P2-deaths!O2</f>
        <v>0</v>
      </c>
      <c r="Q2" s="5">
        <f>deaths!Q2-deaths!P2</f>
        <v>0</v>
      </c>
      <c r="R2" s="5">
        <f>deaths!R2-deaths!Q2</f>
        <v>0</v>
      </c>
      <c r="S2" s="5">
        <f>deaths!S2-deaths!R2</f>
        <v>0</v>
      </c>
      <c r="T2" s="5">
        <f>deaths!T2-deaths!S2</f>
        <v>0</v>
      </c>
      <c r="U2" s="5">
        <f>deaths!U2-deaths!T2</f>
        <v>0</v>
      </c>
      <c r="V2" s="5">
        <f>deaths!V2-deaths!U2</f>
        <v>0</v>
      </c>
      <c r="W2" s="5">
        <f>deaths!W2-deaths!V2</f>
        <v>0</v>
      </c>
      <c r="X2" s="5">
        <f>deaths!X2-deaths!W2</f>
        <v>0</v>
      </c>
      <c r="Y2" s="5">
        <f>deaths!Y2-deaths!X2</f>
        <v>0</v>
      </c>
      <c r="Z2" s="5">
        <f>deaths!Z2-deaths!Y2</f>
        <v>0</v>
      </c>
      <c r="AA2" s="5">
        <f>deaths!AA2-deaths!Z2</f>
        <v>0</v>
      </c>
      <c r="AB2" s="5">
        <f>deaths!AB2-deaths!AA2</f>
        <v>0</v>
      </c>
      <c r="AC2" s="5">
        <f>deaths!AC2-deaths!AB2</f>
        <v>0</v>
      </c>
      <c r="AD2" s="5">
        <f>deaths!AD2-deaths!AC2</f>
        <v>0</v>
      </c>
      <c r="AE2" s="5">
        <f>deaths!AE2-deaths!AD2</f>
        <v>0</v>
      </c>
      <c r="AF2" s="5">
        <f>deaths!AF2-deaths!AE2</f>
        <v>0</v>
      </c>
      <c r="AG2" s="5">
        <f>deaths!AG2-deaths!AF2</f>
        <v>0</v>
      </c>
      <c r="AH2" s="5">
        <f>deaths!AH2-deaths!AG2</f>
        <v>0</v>
      </c>
      <c r="AI2" s="5">
        <f>deaths!AI2-deaths!AH2</f>
        <v>0</v>
      </c>
      <c r="AJ2" s="5">
        <f>deaths!AJ2-deaths!AI2</f>
        <v>0</v>
      </c>
      <c r="AK2" s="5">
        <f>deaths!AK2-deaths!AJ2</f>
        <v>0</v>
      </c>
      <c r="AL2" s="5">
        <f>deaths!AL2-deaths!AK2</f>
        <v>0</v>
      </c>
      <c r="AM2" s="5">
        <f>deaths!AM2-deaths!AL2</f>
        <v>0</v>
      </c>
      <c r="AN2" s="5">
        <f>deaths!AN2-deaths!AM2</f>
        <v>0</v>
      </c>
      <c r="AO2" s="5">
        <f>deaths!AO2-deaths!AN2</f>
        <v>0</v>
      </c>
      <c r="AP2" s="5">
        <f>deaths!AP2-deaths!AO2</f>
        <v>0</v>
      </c>
      <c r="AQ2" s="5">
        <f>deaths!AQ2-deaths!AP2</f>
        <v>0</v>
      </c>
      <c r="AR2" s="5">
        <f>deaths!AR2-deaths!AQ2</f>
        <v>0</v>
      </c>
      <c r="AS2" s="5">
        <f>deaths!AS2-deaths!AR2</f>
        <v>0</v>
      </c>
      <c r="AT2" s="5">
        <f>deaths!AT2-deaths!AS2</f>
        <v>0</v>
      </c>
      <c r="AU2" s="5">
        <f>deaths!AU2-deaths!AT2</f>
        <v>0</v>
      </c>
      <c r="AV2" s="5">
        <f>deaths!AV2-deaths!AU2</f>
        <v>0</v>
      </c>
      <c r="AW2" s="5">
        <f>deaths!AW2-deaths!AV2</f>
        <v>0</v>
      </c>
      <c r="AX2" s="5">
        <f>deaths!AX2-deaths!AW2</f>
        <v>0</v>
      </c>
      <c r="AY2" s="5">
        <f>deaths!AY2-deaths!AX2</f>
        <v>0</v>
      </c>
      <c r="AZ2" s="5">
        <f>deaths!AZ2-deaths!AY2</f>
        <v>0</v>
      </c>
      <c r="BA2" s="5">
        <f>deaths!BA2-deaths!AZ2</f>
        <v>0</v>
      </c>
      <c r="BB2" s="5">
        <f>deaths!BB2-deaths!BA2</f>
        <v>0</v>
      </c>
      <c r="BC2" s="5">
        <f>deaths!BC2-deaths!BB2</f>
        <v>0</v>
      </c>
      <c r="BD2" s="5">
        <f>deaths!BD2-deaths!BC2</f>
        <v>0</v>
      </c>
      <c r="BE2" s="5">
        <f>deaths!BE2-deaths!BD2</f>
        <v>0</v>
      </c>
      <c r="BF2" s="5">
        <f>deaths!BF2-deaths!BE2</f>
        <v>0</v>
      </c>
      <c r="BG2" s="5">
        <f>deaths!BG2-deaths!BF2</f>
        <v>0</v>
      </c>
      <c r="BH2" s="5">
        <f>deaths!BH2-deaths!BG2</f>
        <v>0</v>
      </c>
      <c r="BI2" s="5">
        <f>deaths!BI2-deaths!BH2</f>
        <v>0</v>
      </c>
      <c r="BJ2" s="5">
        <f>deaths!BJ2-deaths!BI2</f>
        <v>0</v>
      </c>
      <c r="BK2" s="5">
        <f>deaths!BK2-deaths!BJ2</f>
        <v>0</v>
      </c>
      <c r="BL2" s="5">
        <f>deaths!BL2-deaths!BK2</f>
        <v>0</v>
      </c>
      <c r="BM2" s="5">
        <f>deaths!BM2-deaths!BL2</f>
        <v>1</v>
      </c>
      <c r="BN2" s="5">
        <f>deaths!BN2-deaths!BM2</f>
        <v>0</v>
      </c>
      <c r="BO2" s="5">
        <f>deaths!BO2-deaths!BN2</f>
        <v>0</v>
      </c>
      <c r="BP2" s="5">
        <f>deaths!BP2-deaths!BO2</f>
        <v>1</v>
      </c>
      <c r="BQ2" s="5">
        <f>deaths!BQ2-deaths!BP2</f>
        <v>2</v>
      </c>
      <c r="BR2" s="5">
        <f>deaths!BR2-deaths!BQ2</f>
        <v>0</v>
      </c>
      <c r="BS2" s="5">
        <f>deaths!BS2-deaths!BR2</f>
        <v>0</v>
      </c>
      <c r="BT2" s="5">
        <f>deaths!BT2-deaths!BS2</f>
        <v>0</v>
      </c>
      <c r="BU2" s="5">
        <f>deaths!BU2-deaths!BT2</f>
        <v>0</v>
      </c>
      <c r="BV2" s="5">
        <f>deaths!BV2-deaths!BU2</f>
        <v>0</v>
      </c>
      <c r="BW2" s="5">
        <f>deaths!BW2-deaths!BV2</f>
        <v>0</v>
      </c>
      <c r="BX2" s="5">
        <f>deaths!BX2-deaths!BW2</f>
        <v>2</v>
      </c>
      <c r="BY2" s="5">
        <f>deaths!BY2-deaths!BX2</f>
        <v>0</v>
      </c>
      <c r="BZ2" s="1">
        <f>deaths!BZ2</f>
        <v>7</v>
      </c>
      <c r="CA2" s="1">
        <f>deaths!CA2</f>
        <v>7</v>
      </c>
      <c r="CB2" s="1">
        <f>deaths!CB2</f>
        <v>11</v>
      </c>
      <c r="CC2" s="1" t="str">
        <f>deaths!CC2</f>
        <v/>
      </c>
    </row>
    <row r="3">
      <c r="B3" s="1" t="str">
        <f>deaths!B3</f>
        <v>Albania</v>
      </c>
      <c r="C3" s="4">
        <f>deaths!C3</f>
        <v>41.1533</v>
      </c>
      <c r="D3" s="4">
        <f>deaths!D3</f>
        <v>20.1683</v>
      </c>
      <c r="E3" s="5">
        <f>deaths!E3</f>
        <v>0</v>
      </c>
      <c r="F3" s="5">
        <f>deaths!F3-deaths!E3</f>
        <v>0</v>
      </c>
      <c r="G3" s="5">
        <f>deaths!G3-deaths!F3</f>
        <v>0</v>
      </c>
      <c r="H3" s="5">
        <f>deaths!H3-deaths!G3</f>
        <v>0</v>
      </c>
      <c r="I3" s="5">
        <f>deaths!I3-deaths!H3</f>
        <v>0</v>
      </c>
      <c r="J3" s="5">
        <f>deaths!J3-deaths!I3</f>
        <v>0</v>
      </c>
      <c r="K3" s="5">
        <f>deaths!K3-deaths!J3</f>
        <v>0</v>
      </c>
      <c r="L3" s="5">
        <f>deaths!L3-deaths!K3</f>
        <v>0</v>
      </c>
      <c r="M3" s="5">
        <f>deaths!M3-deaths!L3</f>
        <v>0</v>
      </c>
      <c r="N3" s="5">
        <f>deaths!N3-deaths!M3</f>
        <v>0</v>
      </c>
      <c r="O3" s="5">
        <f>deaths!O3-deaths!N3</f>
        <v>0</v>
      </c>
      <c r="P3" s="5">
        <f>deaths!P3-deaths!O3</f>
        <v>0</v>
      </c>
      <c r="Q3" s="5">
        <f>deaths!Q3-deaths!P3</f>
        <v>0</v>
      </c>
      <c r="R3" s="5">
        <f>deaths!R3-deaths!Q3</f>
        <v>0</v>
      </c>
      <c r="S3" s="5">
        <f>deaths!S3-deaths!R3</f>
        <v>0</v>
      </c>
      <c r="T3" s="5">
        <f>deaths!T3-deaths!S3</f>
        <v>0</v>
      </c>
      <c r="U3" s="5">
        <f>deaths!U3-deaths!T3</f>
        <v>0</v>
      </c>
      <c r="V3" s="5">
        <f>deaths!V3-deaths!U3</f>
        <v>0</v>
      </c>
      <c r="W3" s="5">
        <f>deaths!W3-deaths!V3</f>
        <v>0</v>
      </c>
      <c r="X3" s="5">
        <f>deaths!X3-deaths!W3</f>
        <v>0</v>
      </c>
      <c r="Y3" s="5">
        <f>deaths!Y3-deaths!X3</f>
        <v>0</v>
      </c>
      <c r="Z3" s="5">
        <f>deaths!Z3-deaths!Y3</f>
        <v>0</v>
      </c>
      <c r="AA3" s="5">
        <f>deaths!AA3-deaths!Z3</f>
        <v>0</v>
      </c>
      <c r="AB3" s="5">
        <f>deaths!AB3-deaths!AA3</f>
        <v>0</v>
      </c>
      <c r="AC3" s="5">
        <f>deaths!AC3-deaths!AB3</f>
        <v>0</v>
      </c>
      <c r="AD3" s="5">
        <f>deaths!AD3-deaths!AC3</f>
        <v>0</v>
      </c>
      <c r="AE3" s="5">
        <f>deaths!AE3-deaths!AD3</f>
        <v>0</v>
      </c>
      <c r="AF3" s="5">
        <f>deaths!AF3-deaths!AE3</f>
        <v>0</v>
      </c>
      <c r="AG3" s="5">
        <f>deaths!AG3-deaths!AF3</f>
        <v>0</v>
      </c>
      <c r="AH3" s="5">
        <f>deaths!AH3-deaths!AG3</f>
        <v>0</v>
      </c>
      <c r="AI3" s="5">
        <f>deaths!AI3-deaths!AH3</f>
        <v>0</v>
      </c>
      <c r="AJ3" s="5">
        <f>deaths!AJ3-deaths!AI3</f>
        <v>0</v>
      </c>
      <c r="AK3" s="5">
        <f>deaths!AK3-deaths!AJ3</f>
        <v>0</v>
      </c>
      <c r="AL3" s="5">
        <f>deaths!AL3-deaths!AK3</f>
        <v>0</v>
      </c>
      <c r="AM3" s="5">
        <f>deaths!AM3-deaths!AL3</f>
        <v>0</v>
      </c>
      <c r="AN3" s="5">
        <f>deaths!AN3-deaths!AM3</f>
        <v>0</v>
      </c>
      <c r="AO3" s="5">
        <f>deaths!AO3-deaths!AN3</f>
        <v>0</v>
      </c>
      <c r="AP3" s="5">
        <f>deaths!AP3-deaths!AO3</f>
        <v>0</v>
      </c>
      <c r="AQ3" s="5">
        <f>deaths!AQ3-deaths!AP3</f>
        <v>0</v>
      </c>
      <c r="AR3" s="5">
        <f>deaths!AR3-deaths!AQ3</f>
        <v>0</v>
      </c>
      <c r="AS3" s="5">
        <f>deaths!AS3-deaths!AR3</f>
        <v>0</v>
      </c>
      <c r="AT3" s="5">
        <f>deaths!AT3-deaths!AS3</f>
        <v>0</v>
      </c>
      <c r="AU3" s="5">
        <f>deaths!AU3-deaths!AT3</f>
        <v>0</v>
      </c>
      <c r="AV3" s="5">
        <f>deaths!AV3-deaths!AU3</f>
        <v>0</v>
      </c>
      <c r="AW3" s="5">
        <f>deaths!AW3-deaths!AV3</f>
        <v>0</v>
      </c>
      <c r="AX3" s="5">
        <f>deaths!AX3-deaths!AW3</f>
        <v>0</v>
      </c>
      <c r="AY3" s="5">
        <f>deaths!AY3-deaths!AX3</f>
        <v>0</v>
      </c>
      <c r="AZ3" s="5">
        <f>deaths!AZ3-deaths!AY3</f>
        <v>0</v>
      </c>
      <c r="BA3" s="5">
        <f>deaths!BA3-deaths!AZ3</f>
        <v>0</v>
      </c>
      <c r="BB3" s="5">
        <f>deaths!BB3-deaths!BA3</f>
        <v>1</v>
      </c>
      <c r="BC3" s="5">
        <f>deaths!BC3-deaths!BB3</f>
        <v>0</v>
      </c>
      <c r="BD3" s="5">
        <f>deaths!BD3-deaths!BC3</f>
        <v>0</v>
      </c>
      <c r="BE3" s="5">
        <f>deaths!BE3-deaths!BD3</f>
        <v>0</v>
      </c>
      <c r="BF3" s="5">
        <f>deaths!BF3-deaths!BE3</f>
        <v>0</v>
      </c>
      <c r="BG3" s="5">
        <f>deaths!BG3-deaths!BF3</f>
        <v>0</v>
      </c>
      <c r="BH3" s="5">
        <f>deaths!BH3-deaths!BG3</f>
        <v>0</v>
      </c>
      <c r="BI3" s="5">
        <f>deaths!BI3-deaths!BH3</f>
        <v>1</v>
      </c>
      <c r="BJ3" s="5">
        <f>deaths!BJ3-deaths!BI3</f>
        <v>0</v>
      </c>
      <c r="BK3" s="5">
        <f>deaths!BK3-deaths!BJ3</f>
        <v>0</v>
      </c>
      <c r="BL3" s="5">
        <f>deaths!BL3-deaths!BK3</f>
        <v>0</v>
      </c>
      <c r="BM3" s="5">
        <f>deaths!BM3-deaths!BL3</f>
        <v>0</v>
      </c>
      <c r="BN3" s="5">
        <f>deaths!BN3-deaths!BM3</f>
        <v>2</v>
      </c>
      <c r="BO3" s="5">
        <f>deaths!BO3-deaths!BN3</f>
        <v>1</v>
      </c>
      <c r="BP3" s="5">
        <f>deaths!BP3-deaths!BO3</f>
        <v>0</v>
      </c>
      <c r="BQ3" s="5">
        <f>deaths!BQ3-deaths!BP3</f>
        <v>1</v>
      </c>
      <c r="BR3" s="5">
        <f>deaths!BR3-deaths!BQ3</f>
        <v>2</v>
      </c>
      <c r="BS3" s="5">
        <f>deaths!BS3-deaths!BR3</f>
        <v>2</v>
      </c>
      <c r="BT3" s="5">
        <f>deaths!BT3-deaths!BS3</f>
        <v>0</v>
      </c>
      <c r="BU3" s="5">
        <f>deaths!BU3-deaths!BT3</f>
        <v>1</v>
      </c>
      <c r="BV3" s="5">
        <f>deaths!BV3-deaths!BU3</f>
        <v>4</v>
      </c>
      <c r="BW3" s="5">
        <f>deaths!BW3-deaths!BV3</f>
        <v>0</v>
      </c>
      <c r="BX3" s="5">
        <f>deaths!BX3-deaths!BW3</f>
        <v>1</v>
      </c>
      <c r="BY3" s="5">
        <f>deaths!BY3-deaths!BX3</f>
        <v>1</v>
      </c>
      <c r="BZ3" s="1">
        <f>deaths!BZ3</f>
        <v>20</v>
      </c>
      <c r="CA3" s="1">
        <f>deaths!CA3</f>
        <v>20</v>
      </c>
      <c r="CB3" s="1">
        <f>deaths!CB3</f>
        <v>21</v>
      </c>
      <c r="CC3" s="1" t="str">
        <f>deaths!CC3</f>
        <v/>
      </c>
    </row>
    <row r="4">
      <c r="B4" s="1" t="str">
        <f>deaths!B4</f>
        <v>Algeria</v>
      </c>
      <c r="C4" s="4">
        <f>deaths!C4</f>
        <v>28.0339</v>
      </c>
      <c r="D4" s="4">
        <f>deaths!D4</f>
        <v>1.6596</v>
      </c>
      <c r="E4" s="5">
        <f>deaths!E4</f>
        <v>0</v>
      </c>
      <c r="F4" s="5">
        <f>deaths!F4-deaths!E4</f>
        <v>0</v>
      </c>
      <c r="G4" s="5">
        <f>deaths!G4-deaths!F4</f>
        <v>0</v>
      </c>
      <c r="H4" s="5">
        <f>deaths!H4-deaths!G4</f>
        <v>0</v>
      </c>
      <c r="I4" s="5">
        <f>deaths!I4-deaths!H4</f>
        <v>0</v>
      </c>
      <c r="J4" s="5">
        <f>deaths!J4-deaths!I4</f>
        <v>0</v>
      </c>
      <c r="K4" s="5">
        <f>deaths!K4-deaths!J4</f>
        <v>0</v>
      </c>
      <c r="L4" s="5">
        <f>deaths!L4-deaths!K4</f>
        <v>0</v>
      </c>
      <c r="M4" s="5">
        <f>deaths!M4-deaths!L4</f>
        <v>0</v>
      </c>
      <c r="N4" s="5">
        <f>deaths!N4-deaths!M4</f>
        <v>0</v>
      </c>
      <c r="O4" s="5">
        <f>deaths!O4-deaths!N4</f>
        <v>0</v>
      </c>
      <c r="P4" s="5">
        <f>deaths!P4-deaths!O4</f>
        <v>0</v>
      </c>
      <c r="Q4" s="5">
        <f>deaths!Q4-deaths!P4</f>
        <v>0</v>
      </c>
      <c r="R4" s="5">
        <f>deaths!R4-deaths!Q4</f>
        <v>0</v>
      </c>
      <c r="S4" s="5">
        <f>deaths!S4-deaths!R4</f>
        <v>0</v>
      </c>
      <c r="T4" s="5">
        <f>deaths!T4-deaths!S4</f>
        <v>0</v>
      </c>
      <c r="U4" s="5">
        <f>deaths!U4-deaths!T4</f>
        <v>0</v>
      </c>
      <c r="V4" s="5">
        <f>deaths!V4-deaths!U4</f>
        <v>0</v>
      </c>
      <c r="W4" s="5">
        <f>deaths!W4-deaths!V4</f>
        <v>0</v>
      </c>
      <c r="X4" s="5">
        <f>deaths!X4-deaths!W4</f>
        <v>0</v>
      </c>
      <c r="Y4" s="5">
        <f>deaths!Y4-deaths!X4</f>
        <v>0</v>
      </c>
      <c r="Z4" s="5">
        <f>deaths!Z4-deaths!Y4</f>
        <v>0</v>
      </c>
      <c r="AA4" s="5">
        <f>deaths!AA4-deaths!Z4</f>
        <v>0</v>
      </c>
      <c r="AB4" s="5">
        <f>deaths!AB4-deaths!AA4</f>
        <v>0</v>
      </c>
      <c r="AC4" s="5">
        <f>deaths!AC4-deaths!AB4</f>
        <v>0</v>
      </c>
      <c r="AD4" s="5">
        <f>deaths!AD4-deaths!AC4</f>
        <v>0</v>
      </c>
      <c r="AE4" s="5">
        <f>deaths!AE4-deaths!AD4</f>
        <v>0</v>
      </c>
      <c r="AF4" s="5">
        <f>deaths!AF4-deaths!AE4</f>
        <v>0</v>
      </c>
      <c r="AG4" s="5">
        <f>deaths!AG4-deaths!AF4</f>
        <v>0</v>
      </c>
      <c r="AH4" s="5">
        <f>deaths!AH4-deaths!AG4</f>
        <v>0</v>
      </c>
      <c r="AI4" s="5">
        <f>deaths!AI4-deaths!AH4</f>
        <v>0</v>
      </c>
      <c r="AJ4" s="5">
        <f>deaths!AJ4-deaths!AI4</f>
        <v>0</v>
      </c>
      <c r="AK4" s="5">
        <f>deaths!AK4-deaths!AJ4</f>
        <v>0</v>
      </c>
      <c r="AL4" s="5">
        <f>deaths!AL4-deaths!AK4</f>
        <v>0</v>
      </c>
      <c r="AM4" s="5">
        <f>deaths!AM4-deaths!AL4</f>
        <v>0</v>
      </c>
      <c r="AN4" s="5">
        <f>deaths!AN4-deaths!AM4</f>
        <v>0</v>
      </c>
      <c r="AO4" s="5">
        <f>deaths!AO4-deaths!AN4</f>
        <v>0</v>
      </c>
      <c r="AP4" s="5">
        <f>deaths!AP4-deaths!AO4</f>
        <v>0</v>
      </c>
      <c r="AQ4" s="5">
        <f>deaths!AQ4-deaths!AP4</f>
        <v>0</v>
      </c>
      <c r="AR4" s="5">
        <f>deaths!AR4-deaths!AQ4</f>
        <v>0</v>
      </c>
      <c r="AS4" s="5">
        <f>deaths!AS4-deaths!AR4</f>
        <v>0</v>
      </c>
      <c r="AT4" s="5">
        <f>deaths!AT4-deaths!AS4</f>
        <v>0</v>
      </c>
      <c r="AU4" s="5">
        <f>deaths!AU4-deaths!AT4</f>
        <v>0</v>
      </c>
      <c r="AV4" s="5">
        <f>deaths!AV4-deaths!AU4</f>
        <v>0</v>
      </c>
      <c r="AW4" s="5">
        <f>deaths!AW4-deaths!AV4</f>
        <v>0</v>
      </c>
      <c r="AX4" s="5">
        <f>deaths!AX4-deaths!AW4</f>
        <v>0</v>
      </c>
      <c r="AY4" s="5">
        <f>deaths!AY4-deaths!AX4</f>
        <v>0</v>
      </c>
      <c r="AZ4" s="5">
        <f>deaths!AZ4-deaths!AY4</f>
        <v>0</v>
      </c>
      <c r="BA4" s="5">
        <f>deaths!BA4-deaths!AZ4</f>
        <v>0</v>
      </c>
      <c r="BB4" s="5">
        <f>deaths!BB4-deaths!BA4</f>
        <v>0</v>
      </c>
      <c r="BC4" s="5">
        <f>deaths!BC4-deaths!BB4</f>
        <v>1</v>
      </c>
      <c r="BD4" s="5">
        <f>deaths!BD4-deaths!BC4</f>
        <v>1</v>
      </c>
      <c r="BE4" s="5">
        <f>deaths!BE4-deaths!BD4</f>
        <v>1</v>
      </c>
      <c r="BF4" s="5">
        <f>deaths!BF4-deaths!BE4</f>
        <v>1</v>
      </c>
      <c r="BG4" s="5">
        <f>deaths!BG4-deaths!BF4</f>
        <v>0</v>
      </c>
      <c r="BH4" s="5">
        <f>deaths!BH4-deaths!BG4</f>
        <v>0</v>
      </c>
      <c r="BI4" s="5">
        <f>deaths!BI4-deaths!BH4</f>
        <v>3</v>
      </c>
      <c r="BJ4" s="5">
        <f>deaths!BJ4-deaths!BI4</f>
        <v>2</v>
      </c>
      <c r="BK4" s="5">
        <f>deaths!BK4-deaths!BJ4</f>
        <v>2</v>
      </c>
      <c r="BL4" s="5">
        <f>deaths!BL4-deaths!BK4</f>
        <v>4</v>
      </c>
      <c r="BM4" s="5">
        <f>deaths!BM4-deaths!BL4</f>
        <v>2</v>
      </c>
      <c r="BN4" s="5">
        <f>deaths!BN4-deaths!BM4</f>
        <v>0</v>
      </c>
      <c r="BO4" s="5">
        <f>deaths!BO4-deaths!BN4</f>
        <v>2</v>
      </c>
      <c r="BP4" s="5">
        <f>deaths!BP4-deaths!BO4</f>
        <v>2</v>
      </c>
      <c r="BQ4" s="5">
        <f>deaths!BQ4-deaths!BP4</f>
        <v>4</v>
      </c>
      <c r="BR4" s="5">
        <f>deaths!BR4-deaths!BQ4</f>
        <v>1</v>
      </c>
      <c r="BS4" s="5">
        <f>deaths!BS4-deaths!BR4</f>
        <v>3</v>
      </c>
      <c r="BT4" s="5">
        <f>deaths!BT4-deaths!BS4</f>
        <v>2</v>
      </c>
      <c r="BU4" s="5">
        <f>deaths!BU4-deaths!BT4</f>
        <v>4</v>
      </c>
      <c r="BV4" s="5">
        <f>deaths!BV4-deaths!BU4</f>
        <v>9</v>
      </c>
      <c r="BW4" s="5">
        <f>deaths!BW4-deaths!BV4</f>
        <v>14</v>
      </c>
      <c r="BX4" s="5">
        <f>deaths!BX4-deaths!BW4</f>
        <v>28</v>
      </c>
      <c r="BY4" s="5">
        <f>deaths!BY4-deaths!BX4</f>
        <v>19</v>
      </c>
      <c r="BZ4" s="1">
        <f>deaths!BZ4</f>
        <v>130</v>
      </c>
      <c r="CA4" s="1">
        <f>deaths!CA4</f>
        <v>152</v>
      </c>
      <c r="CB4" s="1">
        <f>deaths!CB4</f>
        <v>173</v>
      </c>
      <c r="CC4" s="1" t="str">
        <f>deaths!CC4</f>
        <v/>
      </c>
    </row>
    <row r="5">
      <c r="B5" s="1" t="str">
        <f>deaths!B5</f>
        <v>Andorra</v>
      </c>
      <c r="C5" s="4">
        <f>deaths!C5</f>
        <v>42.5063</v>
      </c>
      <c r="D5" s="4">
        <f>deaths!D5</f>
        <v>1.5218</v>
      </c>
      <c r="E5" s="5">
        <f>deaths!E5</f>
        <v>0</v>
      </c>
      <c r="F5" s="5">
        <f>deaths!F5-deaths!E5</f>
        <v>0</v>
      </c>
      <c r="G5" s="5">
        <f>deaths!G5-deaths!F5</f>
        <v>0</v>
      </c>
      <c r="H5" s="5">
        <f>deaths!H5-deaths!G5</f>
        <v>0</v>
      </c>
      <c r="I5" s="5">
        <f>deaths!I5-deaths!H5</f>
        <v>0</v>
      </c>
      <c r="J5" s="5">
        <f>deaths!J5-deaths!I5</f>
        <v>0</v>
      </c>
      <c r="K5" s="5">
        <f>deaths!K5-deaths!J5</f>
        <v>0</v>
      </c>
      <c r="L5" s="5">
        <f>deaths!L5-deaths!K5</f>
        <v>0</v>
      </c>
      <c r="M5" s="5">
        <f>deaths!M5-deaths!L5</f>
        <v>0</v>
      </c>
      <c r="N5" s="5">
        <f>deaths!N5-deaths!M5</f>
        <v>0</v>
      </c>
      <c r="O5" s="5">
        <f>deaths!O5-deaths!N5</f>
        <v>0</v>
      </c>
      <c r="P5" s="5">
        <f>deaths!P5-deaths!O5</f>
        <v>0</v>
      </c>
      <c r="Q5" s="5">
        <f>deaths!Q5-deaths!P5</f>
        <v>0</v>
      </c>
      <c r="R5" s="5">
        <f>deaths!R5-deaths!Q5</f>
        <v>0</v>
      </c>
      <c r="S5" s="5">
        <f>deaths!S5-deaths!R5</f>
        <v>0</v>
      </c>
      <c r="T5" s="5">
        <f>deaths!T5-deaths!S5</f>
        <v>0</v>
      </c>
      <c r="U5" s="5">
        <f>deaths!U5-deaths!T5</f>
        <v>0</v>
      </c>
      <c r="V5" s="5">
        <f>deaths!V5-deaths!U5</f>
        <v>0</v>
      </c>
      <c r="W5" s="5">
        <f>deaths!W5-deaths!V5</f>
        <v>0</v>
      </c>
      <c r="X5" s="5">
        <f>deaths!X5-deaths!W5</f>
        <v>0</v>
      </c>
      <c r="Y5" s="5">
        <f>deaths!Y5-deaths!X5</f>
        <v>0</v>
      </c>
      <c r="Z5" s="5">
        <f>deaths!Z5-deaths!Y5</f>
        <v>0</v>
      </c>
      <c r="AA5" s="5">
        <f>deaths!AA5-deaths!Z5</f>
        <v>0</v>
      </c>
      <c r="AB5" s="5">
        <f>deaths!AB5-deaths!AA5</f>
        <v>0</v>
      </c>
      <c r="AC5" s="5">
        <f>deaths!AC5-deaths!AB5</f>
        <v>0</v>
      </c>
      <c r="AD5" s="5">
        <f>deaths!AD5-deaths!AC5</f>
        <v>0</v>
      </c>
      <c r="AE5" s="5">
        <f>deaths!AE5-deaths!AD5</f>
        <v>0</v>
      </c>
      <c r="AF5" s="5">
        <f>deaths!AF5-deaths!AE5</f>
        <v>0</v>
      </c>
      <c r="AG5" s="5">
        <f>deaths!AG5-deaths!AF5</f>
        <v>0</v>
      </c>
      <c r="AH5" s="5">
        <f>deaths!AH5-deaths!AG5</f>
        <v>0</v>
      </c>
      <c r="AI5" s="5">
        <f>deaths!AI5-deaths!AH5</f>
        <v>0</v>
      </c>
      <c r="AJ5" s="5">
        <f>deaths!AJ5-deaths!AI5</f>
        <v>0</v>
      </c>
      <c r="AK5" s="5">
        <f>deaths!AK5-deaths!AJ5</f>
        <v>0</v>
      </c>
      <c r="AL5" s="5">
        <f>deaths!AL5-deaths!AK5</f>
        <v>0</v>
      </c>
      <c r="AM5" s="5">
        <f>deaths!AM5-deaths!AL5</f>
        <v>0</v>
      </c>
      <c r="AN5" s="5">
        <f>deaths!AN5-deaths!AM5</f>
        <v>0</v>
      </c>
      <c r="AO5" s="5">
        <f>deaths!AO5-deaths!AN5</f>
        <v>0</v>
      </c>
      <c r="AP5" s="5">
        <f>deaths!AP5-deaths!AO5</f>
        <v>0</v>
      </c>
      <c r="AQ5" s="5">
        <f>deaths!AQ5-deaths!AP5</f>
        <v>0</v>
      </c>
      <c r="AR5" s="5">
        <f>deaths!AR5-deaths!AQ5</f>
        <v>0</v>
      </c>
      <c r="AS5" s="5">
        <f>deaths!AS5-deaths!AR5</f>
        <v>0</v>
      </c>
      <c r="AT5" s="5">
        <f>deaths!AT5-deaths!AS5</f>
        <v>0</v>
      </c>
      <c r="AU5" s="5">
        <f>deaths!AU5-deaths!AT5</f>
        <v>0</v>
      </c>
      <c r="AV5" s="5">
        <f>deaths!AV5-deaths!AU5</f>
        <v>0</v>
      </c>
      <c r="AW5" s="5">
        <f>deaths!AW5-deaths!AV5</f>
        <v>0</v>
      </c>
      <c r="AX5" s="5">
        <f>deaths!AX5-deaths!AW5</f>
        <v>0</v>
      </c>
      <c r="AY5" s="5">
        <f>deaths!AY5-deaths!AX5</f>
        <v>0</v>
      </c>
      <c r="AZ5" s="5">
        <f>deaths!AZ5-deaths!AY5</f>
        <v>0</v>
      </c>
      <c r="BA5" s="5">
        <f>deaths!BA5-deaths!AZ5</f>
        <v>0</v>
      </c>
      <c r="BB5" s="5">
        <f>deaths!BB5-deaths!BA5</f>
        <v>0</v>
      </c>
      <c r="BC5" s="5">
        <f>deaths!BC5-deaths!BB5</f>
        <v>0</v>
      </c>
      <c r="BD5" s="5">
        <f>deaths!BD5-deaths!BC5</f>
        <v>0</v>
      </c>
      <c r="BE5" s="5">
        <f>deaths!BE5-deaths!BD5</f>
        <v>0</v>
      </c>
      <c r="BF5" s="5">
        <f>deaths!BF5-deaths!BE5</f>
        <v>0</v>
      </c>
      <c r="BG5" s="5">
        <f>deaths!BG5-deaths!BF5</f>
        <v>0</v>
      </c>
      <c r="BH5" s="5">
        <f>deaths!BH5-deaths!BG5</f>
        <v>0</v>
      </c>
      <c r="BI5" s="5">
        <f>deaths!BI5-deaths!BH5</f>
        <v>0</v>
      </c>
      <c r="BJ5" s="5">
        <f>deaths!BJ5-deaths!BI5</f>
        <v>0</v>
      </c>
      <c r="BK5" s="5">
        <f>deaths!BK5-deaths!BJ5</f>
        <v>0</v>
      </c>
      <c r="BL5" s="5">
        <f>deaths!BL5-deaths!BK5</f>
        <v>0</v>
      </c>
      <c r="BM5" s="5">
        <f>deaths!BM5-deaths!BL5</f>
        <v>1</v>
      </c>
      <c r="BN5" s="5">
        <f>deaths!BN5-deaths!BM5</f>
        <v>0</v>
      </c>
      <c r="BO5" s="5">
        <f>deaths!BO5-deaths!BN5</f>
        <v>0</v>
      </c>
      <c r="BP5" s="5">
        <f>deaths!BP5-deaths!BO5</f>
        <v>0</v>
      </c>
      <c r="BQ5" s="5">
        <f>deaths!BQ5-deaths!BP5</f>
        <v>2</v>
      </c>
      <c r="BR5" s="5">
        <f>deaths!BR5-deaths!BQ5</f>
        <v>0</v>
      </c>
      <c r="BS5" s="5">
        <f>deaths!BS5-deaths!BR5</f>
        <v>0</v>
      </c>
      <c r="BT5" s="5">
        <f>deaths!BT5-deaths!BS5</f>
        <v>3</v>
      </c>
      <c r="BU5" s="5">
        <f>deaths!BU5-deaths!BT5</f>
        <v>2</v>
      </c>
      <c r="BV5" s="5">
        <f>deaths!BV5-deaths!BU5</f>
        <v>4</v>
      </c>
      <c r="BW5" s="5">
        <f>deaths!BW5-deaths!BV5</f>
        <v>2</v>
      </c>
      <c r="BX5" s="5">
        <f>deaths!BX5-deaths!BW5</f>
        <v>1</v>
      </c>
      <c r="BY5" s="5">
        <f>deaths!BY5-deaths!BX5</f>
        <v>1</v>
      </c>
      <c r="BZ5" s="1">
        <f>deaths!BZ5</f>
        <v>17</v>
      </c>
      <c r="CA5" s="1">
        <f>deaths!CA5</f>
        <v>18</v>
      </c>
      <c r="CB5" s="1">
        <f>deaths!CB5</f>
        <v>21</v>
      </c>
      <c r="CC5" s="1" t="str">
        <f>deaths!CC5</f>
        <v/>
      </c>
    </row>
    <row r="6">
      <c r="B6" s="1" t="str">
        <f>deaths!B6</f>
        <v>Angola</v>
      </c>
      <c r="C6" s="4">
        <f>deaths!C6</f>
        <v>-11.2027</v>
      </c>
      <c r="D6" s="4">
        <f>deaths!D6</f>
        <v>17.8739</v>
      </c>
      <c r="E6" s="5">
        <f>deaths!E6</f>
        <v>0</v>
      </c>
      <c r="F6" s="5">
        <f>deaths!F6-deaths!E6</f>
        <v>0</v>
      </c>
      <c r="G6" s="5">
        <f>deaths!G6-deaths!F6</f>
        <v>0</v>
      </c>
      <c r="H6" s="5">
        <f>deaths!H6-deaths!G6</f>
        <v>0</v>
      </c>
      <c r="I6" s="5">
        <f>deaths!I6-deaths!H6</f>
        <v>0</v>
      </c>
      <c r="J6" s="5">
        <f>deaths!J6-deaths!I6</f>
        <v>0</v>
      </c>
      <c r="K6" s="5">
        <f>deaths!K6-deaths!J6</f>
        <v>0</v>
      </c>
      <c r="L6" s="5">
        <f>deaths!L6-deaths!K6</f>
        <v>0</v>
      </c>
      <c r="M6" s="5">
        <f>deaths!M6-deaths!L6</f>
        <v>0</v>
      </c>
      <c r="N6" s="5">
        <f>deaths!N6-deaths!M6</f>
        <v>0</v>
      </c>
      <c r="O6" s="5">
        <f>deaths!O6-deaths!N6</f>
        <v>0</v>
      </c>
      <c r="P6" s="5">
        <f>deaths!P6-deaths!O6</f>
        <v>0</v>
      </c>
      <c r="Q6" s="5">
        <f>deaths!Q6-deaths!P6</f>
        <v>0</v>
      </c>
      <c r="R6" s="5">
        <f>deaths!R6-deaths!Q6</f>
        <v>0</v>
      </c>
      <c r="S6" s="5">
        <f>deaths!S6-deaths!R6</f>
        <v>0</v>
      </c>
      <c r="T6" s="5">
        <f>deaths!T6-deaths!S6</f>
        <v>0</v>
      </c>
      <c r="U6" s="5">
        <f>deaths!U6-deaths!T6</f>
        <v>0</v>
      </c>
      <c r="V6" s="5">
        <f>deaths!V6-deaths!U6</f>
        <v>0</v>
      </c>
      <c r="W6" s="5">
        <f>deaths!W6-deaths!V6</f>
        <v>0</v>
      </c>
      <c r="X6" s="5">
        <f>deaths!X6-deaths!W6</f>
        <v>0</v>
      </c>
      <c r="Y6" s="5">
        <f>deaths!Y6-deaths!X6</f>
        <v>0</v>
      </c>
      <c r="Z6" s="5">
        <f>deaths!Z6-deaths!Y6</f>
        <v>0</v>
      </c>
      <c r="AA6" s="5">
        <f>deaths!AA6-deaths!Z6</f>
        <v>0</v>
      </c>
      <c r="AB6" s="5">
        <f>deaths!AB6-deaths!AA6</f>
        <v>0</v>
      </c>
      <c r="AC6" s="5">
        <f>deaths!AC6-deaths!AB6</f>
        <v>0</v>
      </c>
      <c r="AD6" s="5">
        <f>deaths!AD6-deaths!AC6</f>
        <v>0</v>
      </c>
      <c r="AE6" s="5">
        <f>deaths!AE6-deaths!AD6</f>
        <v>0</v>
      </c>
      <c r="AF6" s="5">
        <f>deaths!AF6-deaths!AE6</f>
        <v>0</v>
      </c>
      <c r="AG6" s="5">
        <f>deaths!AG6-deaths!AF6</f>
        <v>0</v>
      </c>
      <c r="AH6" s="5">
        <f>deaths!AH6-deaths!AG6</f>
        <v>0</v>
      </c>
      <c r="AI6" s="5">
        <f>deaths!AI6-deaths!AH6</f>
        <v>0</v>
      </c>
      <c r="AJ6" s="5">
        <f>deaths!AJ6-deaths!AI6</f>
        <v>0</v>
      </c>
      <c r="AK6" s="5">
        <f>deaths!AK6-deaths!AJ6</f>
        <v>0</v>
      </c>
      <c r="AL6" s="5">
        <f>deaths!AL6-deaths!AK6</f>
        <v>0</v>
      </c>
      <c r="AM6" s="5">
        <f>deaths!AM6-deaths!AL6</f>
        <v>0</v>
      </c>
      <c r="AN6" s="5">
        <f>deaths!AN6-deaths!AM6</f>
        <v>0</v>
      </c>
      <c r="AO6" s="5">
        <f>deaths!AO6-deaths!AN6</f>
        <v>0</v>
      </c>
      <c r="AP6" s="5">
        <f>deaths!AP6-deaths!AO6</f>
        <v>0</v>
      </c>
      <c r="AQ6" s="5">
        <f>deaths!AQ6-deaths!AP6</f>
        <v>0</v>
      </c>
      <c r="AR6" s="5">
        <f>deaths!AR6-deaths!AQ6</f>
        <v>0</v>
      </c>
      <c r="AS6" s="5">
        <f>deaths!AS6-deaths!AR6</f>
        <v>0</v>
      </c>
      <c r="AT6" s="5">
        <f>deaths!AT6-deaths!AS6</f>
        <v>0</v>
      </c>
      <c r="AU6" s="5">
        <f>deaths!AU6-deaths!AT6</f>
        <v>0</v>
      </c>
      <c r="AV6" s="5">
        <f>deaths!AV6-deaths!AU6</f>
        <v>0</v>
      </c>
      <c r="AW6" s="5">
        <f>deaths!AW6-deaths!AV6</f>
        <v>0</v>
      </c>
      <c r="AX6" s="5">
        <f>deaths!AX6-deaths!AW6</f>
        <v>0</v>
      </c>
      <c r="AY6" s="5">
        <f>deaths!AY6-deaths!AX6</f>
        <v>0</v>
      </c>
      <c r="AZ6" s="5">
        <f>deaths!AZ6-deaths!AY6</f>
        <v>0</v>
      </c>
      <c r="BA6" s="5">
        <f>deaths!BA6-deaths!AZ6</f>
        <v>0</v>
      </c>
      <c r="BB6" s="5">
        <f>deaths!BB6-deaths!BA6</f>
        <v>0</v>
      </c>
      <c r="BC6" s="5">
        <f>deaths!BC6-deaths!BB6</f>
        <v>0</v>
      </c>
      <c r="BD6" s="5">
        <f>deaths!BD6-deaths!BC6</f>
        <v>0</v>
      </c>
      <c r="BE6" s="5">
        <f>deaths!BE6-deaths!BD6</f>
        <v>0</v>
      </c>
      <c r="BF6" s="5">
        <f>deaths!BF6-deaths!BE6</f>
        <v>0</v>
      </c>
      <c r="BG6" s="5">
        <f>deaths!BG6-deaths!BF6</f>
        <v>0</v>
      </c>
      <c r="BH6" s="5">
        <f>deaths!BH6-deaths!BG6</f>
        <v>0</v>
      </c>
      <c r="BI6" s="5">
        <f>deaths!BI6-deaths!BH6</f>
        <v>0</v>
      </c>
      <c r="BJ6" s="5">
        <f>deaths!BJ6-deaths!BI6</f>
        <v>0</v>
      </c>
      <c r="BK6" s="5">
        <f>deaths!BK6-deaths!BJ6</f>
        <v>0</v>
      </c>
      <c r="BL6" s="5">
        <f>deaths!BL6-deaths!BK6</f>
        <v>0</v>
      </c>
      <c r="BM6" s="5">
        <f>deaths!BM6-deaths!BL6</f>
        <v>0</v>
      </c>
      <c r="BN6" s="5">
        <f>deaths!BN6-deaths!BM6</f>
        <v>0</v>
      </c>
      <c r="BO6" s="5">
        <f>deaths!BO6-deaths!BN6</f>
        <v>0</v>
      </c>
      <c r="BP6" s="5">
        <f>deaths!BP6-deaths!BO6</f>
        <v>0</v>
      </c>
      <c r="BQ6" s="5">
        <f>deaths!BQ6-deaths!BP6</f>
        <v>0</v>
      </c>
      <c r="BR6" s="5">
        <f>deaths!BR6-deaths!BQ6</f>
        <v>0</v>
      </c>
      <c r="BS6" s="5">
        <f>deaths!BS6-deaths!BR6</f>
        <v>0</v>
      </c>
      <c r="BT6" s="5">
        <f>deaths!BT6-deaths!BS6</f>
        <v>2</v>
      </c>
      <c r="BU6" s="5">
        <f>deaths!BU6-deaths!BT6</f>
        <v>0</v>
      </c>
      <c r="BV6" s="5">
        <f>deaths!BV6-deaths!BU6</f>
        <v>0</v>
      </c>
      <c r="BW6" s="5">
        <f>deaths!BW6-deaths!BV6</f>
        <v>0</v>
      </c>
      <c r="BX6" s="5">
        <f>deaths!BX6-deaths!BW6</f>
        <v>0</v>
      </c>
      <c r="BY6" s="5">
        <f>deaths!BY6-deaths!BX6</f>
        <v>0</v>
      </c>
      <c r="BZ6" s="1">
        <f>deaths!BZ6</f>
        <v>2</v>
      </c>
      <c r="CA6" s="1">
        <f>deaths!CA6</f>
        <v>2</v>
      </c>
      <c r="CB6" s="1">
        <f>deaths!CB6</f>
        <v>2</v>
      </c>
      <c r="CC6" s="1" t="str">
        <f>deaths!CC6</f>
        <v/>
      </c>
    </row>
    <row r="7">
      <c r="B7" s="1" t="str">
        <f>deaths!B7</f>
        <v>Antigua and Barbuda</v>
      </c>
      <c r="C7" s="4">
        <f>deaths!C7</f>
        <v>17.0608</v>
      </c>
      <c r="D7" s="4">
        <f>deaths!D7</f>
        <v>-61.7964</v>
      </c>
      <c r="E7" s="5">
        <f>deaths!E7</f>
        <v>0</v>
      </c>
      <c r="F7" s="5">
        <f>deaths!F7-deaths!E7</f>
        <v>0</v>
      </c>
      <c r="G7" s="5">
        <f>deaths!G7-deaths!F7</f>
        <v>0</v>
      </c>
      <c r="H7" s="5">
        <f>deaths!H7-deaths!G7</f>
        <v>0</v>
      </c>
      <c r="I7" s="5">
        <f>deaths!I7-deaths!H7</f>
        <v>0</v>
      </c>
      <c r="J7" s="5">
        <f>deaths!J7-deaths!I7</f>
        <v>0</v>
      </c>
      <c r="K7" s="5">
        <f>deaths!K7-deaths!J7</f>
        <v>0</v>
      </c>
      <c r="L7" s="5">
        <f>deaths!L7-deaths!K7</f>
        <v>0</v>
      </c>
      <c r="M7" s="5">
        <f>deaths!M7-deaths!L7</f>
        <v>0</v>
      </c>
      <c r="N7" s="5">
        <f>deaths!N7-deaths!M7</f>
        <v>0</v>
      </c>
      <c r="O7" s="5">
        <f>deaths!O7-deaths!N7</f>
        <v>0</v>
      </c>
      <c r="P7" s="5">
        <f>deaths!P7-deaths!O7</f>
        <v>0</v>
      </c>
      <c r="Q7" s="5">
        <f>deaths!Q7-deaths!P7</f>
        <v>0</v>
      </c>
      <c r="R7" s="5">
        <f>deaths!R7-deaths!Q7</f>
        <v>0</v>
      </c>
      <c r="S7" s="5">
        <f>deaths!S7-deaths!R7</f>
        <v>0</v>
      </c>
      <c r="T7" s="5">
        <f>deaths!T7-deaths!S7</f>
        <v>0</v>
      </c>
      <c r="U7" s="5">
        <f>deaths!U7-deaths!T7</f>
        <v>0</v>
      </c>
      <c r="V7" s="5">
        <f>deaths!V7-deaths!U7</f>
        <v>0</v>
      </c>
      <c r="W7" s="5">
        <f>deaths!W7-deaths!V7</f>
        <v>0</v>
      </c>
      <c r="X7" s="5">
        <f>deaths!X7-deaths!W7</f>
        <v>0</v>
      </c>
      <c r="Y7" s="5">
        <f>deaths!Y7-deaths!X7</f>
        <v>0</v>
      </c>
      <c r="Z7" s="5">
        <f>deaths!Z7-deaths!Y7</f>
        <v>0</v>
      </c>
      <c r="AA7" s="5">
        <f>deaths!AA7-deaths!Z7</f>
        <v>0</v>
      </c>
      <c r="AB7" s="5">
        <f>deaths!AB7-deaths!AA7</f>
        <v>0</v>
      </c>
      <c r="AC7" s="5">
        <f>deaths!AC7-deaths!AB7</f>
        <v>0</v>
      </c>
      <c r="AD7" s="5">
        <f>deaths!AD7-deaths!AC7</f>
        <v>0</v>
      </c>
      <c r="AE7" s="5">
        <f>deaths!AE7-deaths!AD7</f>
        <v>0</v>
      </c>
      <c r="AF7" s="5">
        <f>deaths!AF7-deaths!AE7</f>
        <v>0</v>
      </c>
      <c r="AG7" s="5">
        <f>deaths!AG7-deaths!AF7</f>
        <v>0</v>
      </c>
      <c r="AH7" s="5">
        <f>deaths!AH7-deaths!AG7</f>
        <v>0</v>
      </c>
      <c r="AI7" s="5">
        <f>deaths!AI7-deaths!AH7</f>
        <v>0</v>
      </c>
      <c r="AJ7" s="5">
        <f>deaths!AJ7-deaths!AI7</f>
        <v>0</v>
      </c>
      <c r="AK7" s="5">
        <f>deaths!AK7-deaths!AJ7</f>
        <v>0</v>
      </c>
      <c r="AL7" s="5">
        <f>deaths!AL7-deaths!AK7</f>
        <v>0</v>
      </c>
      <c r="AM7" s="5">
        <f>deaths!AM7-deaths!AL7</f>
        <v>0</v>
      </c>
      <c r="AN7" s="5">
        <f>deaths!AN7-deaths!AM7</f>
        <v>0</v>
      </c>
      <c r="AO7" s="5">
        <f>deaths!AO7-deaths!AN7</f>
        <v>0</v>
      </c>
      <c r="AP7" s="5">
        <f>deaths!AP7-deaths!AO7</f>
        <v>0</v>
      </c>
      <c r="AQ7" s="5">
        <f>deaths!AQ7-deaths!AP7</f>
        <v>0</v>
      </c>
      <c r="AR7" s="5">
        <f>deaths!AR7-deaths!AQ7</f>
        <v>0</v>
      </c>
      <c r="AS7" s="5">
        <f>deaths!AS7-deaths!AR7</f>
        <v>0</v>
      </c>
      <c r="AT7" s="5">
        <f>deaths!AT7-deaths!AS7</f>
        <v>0</v>
      </c>
      <c r="AU7" s="5">
        <f>deaths!AU7-deaths!AT7</f>
        <v>0</v>
      </c>
      <c r="AV7" s="5">
        <f>deaths!AV7-deaths!AU7</f>
        <v>0</v>
      </c>
      <c r="AW7" s="5">
        <f>deaths!AW7-deaths!AV7</f>
        <v>0</v>
      </c>
      <c r="AX7" s="5">
        <f>deaths!AX7-deaths!AW7</f>
        <v>0</v>
      </c>
      <c r="AY7" s="5">
        <f>deaths!AY7-deaths!AX7</f>
        <v>0</v>
      </c>
      <c r="AZ7" s="5">
        <f>deaths!AZ7-deaths!AY7</f>
        <v>0</v>
      </c>
      <c r="BA7" s="5">
        <f>deaths!BA7-deaths!AZ7</f>
        <v>0</v>
      </c>
      <c r="BB7" s="5">
        <f>deaths!BB7-deaths!BA7</f>
        <v>0</v>
      </c>
      <c r="BC7" s="5">
        <f>deaths!BC7-deaths!BB7</f>
        <v>0</v>
      </c>
      <c r="BD7" s="5">
        <f>deaths!BD7-deaths!BC7</f>
        <v>0</v>
      </c>
      <c r="BE7" s="5">
        <f>deaths!BE7-deaths!BD7</f>
        <v>0</v>
      </c>
      <c r="BF7" s="5">
        <f>deaths!BF7-deaths!BE7</f>
        <v>0</v>
      </c>
      <c r="BG7" s="5">
        <f>deaths!BG7-deaths!BF7</f>
        <v>0</v>
      </c>
      <c r="BH7" s="5">
        <f>deaths!BH7-deaths!BG7</f>
        <v>0</v>
      </c>
      <c r="BI7" s="5">
        <f>deaths!BI7-deaths!BH7</f>
        <v>0</v>
      </c>
      <c r="BJ7" s="5">
        <f>deaths!BJ7-deaths!BI7</f>
        <v>0</v>
      </c>
      <c r="BK7" s="5">
        <f>deaths!BK7-deaths!BJ7</f>
        <v>0</v>
      </c>
      <c r="BL7" s="5">
        <f>deaths!BL7-deaths!BK7</f>
        <v>0</v>
      </c>
      <c r="BM7" s="5">
        <f>deaths!BM7-deaths!BL7</f>
        <v>0</v>
      </c>
      <c r="BN7" s="5">
        <f>deaths!BN7-deaths!BM7</f>
        <v>0</v>
      </c>
      <c r="BO7" s="5">
        <f>deaths!BO7-deaths!BN7</f>
        <v>0</v>
      </c>
      <c r="BP7" s="5">
        <f>deaths!BP7-deaths!BO7</f>
        <v>0</v>
      </c>
      <c r="BQ7" s="5">
        <f>deaths!BQ7-deaths!BP7</f>
        <v>0</v>
      </c>
      <c r="BR7" s="5">
        <f>deaths!BR7-deaths!BQ7</f>
        <v>0</v>
      </c>
      <c r="BS7" s="5">
        <f>deaths!BS7-deaths!BR7</f>
        <v>0</v>
      </c>
      <c r="BT7" s="5">
        <f>deaths!BT7-deaths!BS7</f>
        <v>0</v>
      </c>
      <c r="BU7" s="5">
        <f>deaths!BU7-deaths!BT7</f>
        <v>0</v>
      </c>
      <c r="BV7" s="5">
        <f>deaths!BV7-deaths!BU7</f>
        <v>0</v>
      </c>
      <c r="BW7" s="5">
        <f>deaths!BW7-deaths!BV7</f>
        <v>0</v>
      </c>
      <c r="BX7" s="5">
        <f>deaths!BX7-deaths!BW7</f>
        <v>0</v>
      </c>
      <c r="BY7" s="5">
        <f>deaths!BY7-deaths!BX7</f>
        <v>0</v>
      </c>
      <c r="BZ7" s="1">
        <f>deaths!BZ7</f>
        <v>0</v>
      </c>
      <c r="CA7" s="1">
        <f>deaths!CA7</f>
        <v>0</v>
      </c>
      <c r="CB7" s="1">
        <f>deaths!CB7</f>
        <v>0</v>
      </c>
      <c r="CC7" s="1" t="str">
        <f>deaths!CC7</f>
        <v/>
      </c>
    </row>
    <row r="8">
      <c r="B8" s="1" t="str">
        <f>deaths!B8</f>
        <v>Argentina</v>
      </c>
      <c r="C8" s="4">
        <f>deaths!C8</f>
        <v>-38.4161</v>
      </c>
      <c r="D8" s="4">
        <f>deaths!D8</f>
        <v>-63.6167</v>
      </c>
      <c r="E8" s="5">
        <f>deaths!E8</f>
        <v>0</v>
      </c>
      <c r="F8" s="5">
        <f>deaths!F8-deaths!E8</f>
        <v>0</v>
      </c>
      <c r="G8" s="5">
        <f>deaths!G8-deaths!F8</f>
        <v>0</v>
      </c>
      <c r="H8" s="5">
        <f>deaths!H8-deaths!G8</f>
        <v>0</v>
      </c>
      <c r="I8" s="5">
        <f>deaths!I8-deaths!H8</f>
        <v>0</v>
      </c>
      <c r="J8" s="5">
        <f>deaths!J8-deaths!I8</f>
        <v>0</v>
      </c>
      <c r="K8" s="5">
        <f>deaths!K8-deaths!J8</f>
        <v>0</v>
      </c>
      <c r="L8" s="5">
        <f>deaths!L8-deaths!K8</f>
        <v>0</v>
      </c>
      <c r="M8" s="5">
        <f>deaths!M8-deaths!L8</f>
        <v>0</v>
      </c>
      <c r="N8" s="5">
        <f>deaths!N8-deaths!M8</f>
        <v>0</v>
      </c>
      <c r="O8" s="5">
        <f>deaths!O8-deaths!N8</f>
        <v>0</v>
      </c>
      <c r="P8" s="5">
        <f>deaths!P8-deaths!O8</f>
        <v>0</v>
      </c>
      <c r="Q8" s="5">
        <f>deaths!Q8-deaths!P8</f>
        <v>0</v>
      </c>
      <c r="R8" s="5">
        <f>deaths!R8-deaths!Q8</f>
        <v>0</v>
      </c>
      <c r="S8" s="5">
        <f>deaths!S8-deaths!R8</f>
        <v>0</v>
      </c>
      <c r="T8" s="5">
        <f>deaths!T8-deaths!S8</f>
        <v>0</v>
      </c>
      <c r="U8" s="5">
        <f>deaths!U8-deaths!T8</f>
        <v>0</v>
      </c>
      <c r="V8" s="5">
        <f>deaths!V8-deaths!U8</f>
        <v>0</v>
      </c>
      <c r="W8" s="5">
        <f>deaths!W8-deaths!V8</f>
        <v>0</v>
      </c>
      <c r="X8" s="5">
        <f>deaths!X8-deaths!W8</f>
        <v>0</v>
      </c>
      <c r="Y8" s="5">
        <f>deaths!Y8-deaths!X8</f>
        <v>0</v>
      </c>
      <c r="Z8" s="5">
        <f>deaths!Z8-deaths!Y8</f>
        <v>0</v>
      </c>
      <c r="AA8" s="5">
        <f>deaths!AA8-deaths!Z8</f>
        <v>0</v>
      </c>
      <c r="AB8" s="5">
        <f>deaths!AB8-deaths!AA8</f>
        <v>0</v>
      </c>
      <c r="AC8" s="5">
        <f>deaths!AC8-deaths!AB8</f>
        <v>0</v>
      </c>
      <c r="AD8" s="5">
        <f>deaths!AD8-deaths!AC8</f>
        <v>0</v>
      </c>
      <c r="AE8" s="5">
        <f>deaths!AE8-deaths!AD8</f>
        <v>0</v>
      </c>
      <c r="AF8" s="5">
        <f>deaths!AF8-deaths!AE8</f>
        <v>0</v>
      </c>
      <c r="AG8" s="5">
        <f>deaths!AG8-deaths!AF8</f>
        <v>0</v>
      </c>
      <c r="AH8" s="5">
        <f>deaths!AH8-deaths!AG8</f>
        <v>0</v>
      </c>
      <c r="AI8" s="5">
        <f>deaths!AI8-deaths!AH8</f>
        <v>0</v>
      </c>
      <c r="AJ8" s="5">
        <f>deaths!AJ8-deaths!AI8</f>
        <v>0</v>
      </c>
      <c r="AK8" s="5">
        <f>deaths!AK8-deaths!AJ8</f>
        <v>0</v>
      </c>
      <c r="AL8" s="5">
        <f>deaths!AL8-deaths!AK8</f>
        <v>0</v>
      </c>
      <c r="AM8" s="5">
        <f>deaths!AM8-deaths!AL8</f>
        <v>0</v>
      </c>
      <c r="AN8" s="5">
        <f>deaths!AN8-deaths!AM8</f>
        <v>0</v>
      </c>
      <c r="AO8" s="5">
        <f>deaths!AO8-deaths!AN8</f>
        <v>0</v>
      </c>
      <c r="AP8" s="5">
        <f>deaths!AP8-deaths!AO8</f>
        <v>0</v>
      </c>
      <c r="AQ8" s="5">
        <f>deaths!AQ8-deaths!AP8</f>
        <v>0</v>
      </c>
      <c r="AR8" s="5">
        <f>deaths!AR8-deaths!AQ8</f>
        <v>0</v>
      </c>
      <c r="AS8" s="5">
        <f>deaths!AS8-deaths!AR8</f>
        <v>0</v>
      </c>
      <c r="AT8" s="5">
        <f>deaths!AT8-deaths!AS8</f>
        <v>0</v>
      </c>
      <c r="AU8" s="5">
        <f>deaths!AU8-deaths!AT8</f>
        <v>0</v>
      </c>
      <c r="AV8" s="5">
        <f>deaths!AV8-deaths!AU8</f>
        <v>0</v>
      </c>
      <c r="AW8" s="5">
        <f>deaths!AW8-deaths!AV8</f>
        <v>0</v>
      </c>
      <c r="AX8" s="5">
        <f>deaths!AX8-deaths!AW8</f>
        <v>0</v>
      </c>
      <c r="AY8" s="5">
        <f>deaths!AY8-deaths!AX8</f>
        <v>1</v>
      </c>
      <c r="AZ8" s="5">
        <f>deaths!AZ8-deaths!AY8</f>
        <v>0</v>
      </c>
      <c r="BA8" s="5">
        <f>deaths!BA8-deaths!AZ8</f>
        <v>0</v>
      </c>
      <c r="BB8" s="5">
        <f>deaths!BB8-deaths!BA8</f>
        <v>0</v>
      </c>
      <c r="BC8" s="5">
        <f>deaths!BC8-deaths!BB8</f>
        <v>0</v>
      </c>
      <c r="BD8" s="5">
        <f>deaths!BD8-deaths!BC8</f>
        <v>1</v>
      </c>
      <c r="BE8" s="5">
        <f>deaths!BE8-deaths!BD8</f>
        <v>0</v>
      </c>
      <c r="BF8" s="5">
        <f>deaths!BF8-deaths!BE8</f>
        <v>0</v>
      </c>
      <c r="BG8" s="5">
        <f>deaths!BG8-deaths!BF8</f>
        <v>0</v>
      </c>
      <c r="BH8" s="5">
        <f>deaths!BH8-deaths!BG8</f>
        <v>0</v>
      </c>
      <c r="BI8" s="5">
        <f>deaths!BI8-deaths!BH8</f>
        <v>0</v>
      </c>
      <c r="BJ8" s="5">
        <f>deaths!BJ8-deaths!BI8</f>
        <v>1</v>
      </c>
      <c r="BK8" s="5">
        <f>deaths!BK8-deaths!BJ8</f>
        <v>0</v>
      </c>
      <c r="BL8" s="5">
        <f>deaths!BL8-deaths!BK8</f>
        <v>1</v>
      </c>
      <c r="BM8" s="5">
        <f>deaths!BM8-deaths!BL8</f>
        <v>0</v>
      </c>
      <c r="BN8" s="5">
        <f>deaths!BN8-deaths!BM8</f>
        <v>0</v>
      </c>
      <c r="BO8" s="5">
        <f>deaths!BO8-deaths!BN8</f>
        <v>2</v>
      </c>
      <c r="BP8" s="5">
        <f>deaths!BP8-deaths!BO8</f>
        <v>2</v>
      </c>
      <c r="BQ8" s="5">
        <f>deaths!BQ8-deaths!BP8</f>
        <v>1</v>
      </c>
      <c r="BR8" s="5">
        <f>deaths!BR8-deaths!BQ8</f>
        <v>4</v>
      </c>
      <c r="BS8" s="5">
        <f>deaths!BS8-deaths!BR8</f>
        <v>5</v>
      </c>
      <c r="BT8" s="5">
        <f>deaths!BT8-deaths!BS8</f>
        <v>1</v>
      </c>
      <c r="BU8" s="5">
        <f>deaths!BU8-deaths!BT8</f>
        <v>4</v>
      </c>
      <c r="BV8" s="5">
        <f>deaths!BV8-deaths!BU8</f>
        <v>4</v>
      </c>
      <c r="BW8" s="5">
        <f>deaths!BW8-deaths!BV8</f>
        <v>1</v>
      </c>
      <c r="BX8" s="5">
        <f>deaths!BX8-deaths!BW8</f>
        <v>8</v>
      </c>
      <c r="BY8" s="5">
        <f>deaths!BY8-deaths!BX8</f>
        <v>3</v>
      </c>
      <c r="BZ8" s="1">
        <f>deaths!BZ8</f>
        <v>43</v>
      </c>
      <c r="CA8" s="1">
        <f>deaths!CA8</f>
        <v>44</v>
      </c>
      <c r="CB8" s="1">
        <f>deaths!CB8</f>
        <v>48</v>
      </c>
      <c r="CC8" s="1" t="str">
        <f>deaths!CC8</f>
        <v/>
      </c>
    </row>
    <row r="9">
      <c r="B9" s="1" t="str">
        <f>deaths!B9</f>
        <v>Armenia</v>
      </c>
      <c r="C9" s="4">
        <f>deaths!C9</f>
        <v>40.0691</v>
      </c>
      <c r="D9" s="4">
        <f>deaths!D9</f>
        <v>45.0382</v>
      </c>
      <c r="E9" s="5">
        <f>deaths!E9</f>
        <v>0</v>
      </c>
      <c r="F9" s="5">
        <f>deaths!F9-deaths!E9</f>
        <v>0</v>
      </c>
      <c r="G9" s="5">
        <f>deaths!G9-deaths!F9</f>
        <v>0</v>
      </c>
      <c r="H9" s="5">
        <f>deaths!H9-deaths!G9</f>
        <v>0</v>
      </c>
      <c r="I9" s="5">
        <f>deaths!I9-deaths!H9</f>
        <v>0</v>
      </c>
      <c r="J9" s="5">
        <f>deaths!J9-deaths!I9</f>
        <v>0</v>
      </c>
      <c r="K9" s="5">
        <f>deaths!K9-deaths!J9</f>
        <v>0</v>
      </c>
      <c r="L9" s="5">
        <f>deaths!L9-deaths!K9</f>
        <v>0</v>
      </c>
      <c r="M9" s="5">
        <f>deaths!M9-deaths!L9</f>
        <v>0</v>
      </c>
      <c r="N9" s="5">
        <f>deaths!N9-deaths!M9</f>
        <v>0</v>
      </c>
      <c r="O9" s="5">
        <f>deaths!O9-deaths!N9</f>
        <v>0</v>
      </c>
      <c r="P9" s="5">
        <f>deaths!P9-deaths!O9</f>
        <v>0</v>
      </c>
      <c r="Q9" s="5">
        <f>deaths!Q9-deaths!P9</f>
        <v>0</v>
      </c>
      <c r="R9" s="5">
        <f>deaths!R9-deaths!Q9</f>
        <v>0</v>
      </c>
      <c r="S9" s="5">
        <f>deaths!S9-deaths!R9</f>
        <v>0</v>
      </c>
      <c r="T9" s="5">
        <f>deaths!T9-deaths!S9</f>
        <v>0</v>
      </c>
      <c r="U9" s="5">
        <f>deaths!U9-deaths!T9</f>
        <v>0</v>
      </c>
      <c r="V9" s="5">
        <f>deaths!V9-deaths!U9</f>
        <v>0</v>
      </c>
      <c r="W9" s="5">
        <f>deaths!W9-deaths!V9</f>
        <v>0</v>
      </c>
      <c r="X9" s="5">
        <f>deaths!X9-deaths!W9</f>
        <v>0</v>
      </c>
      <c r="Y9" s="5">
        <f>deaths!Y9-deaths!X9</f>
        <v>0</v>
      </c>
      <c r="Z9" s="5">
        <f>deaths!Z9-deaths!Y9</f>
        <v>0</v>
      </c>
      <c r="AA9" s="5">
        <f>deaths!AA9-deaths!Z9</f>
        <v>0</v>
      </c>
      <c r="AB9" s="5">
        <f>deaths!AB9-deaths!AA9</f>
        <v>0</v>
      </c>
      <c r="AC9" s="5">
        <f>deaths!AC9-deaths!AB9</f>
        <v>0</v>
      </c>
      <c r="AD9" s="5">
        <f>deaths!AD9-deaths!AC9</f>
        <v>0</v>
      </c>
      <c r="AE9" s="5">
        <f>deaths!AE9-deaths!AD9</f>
        <v>0</v>
      </c>
      <c r="AF9" s="5">
        <f>deaths!AF9-deaths!AE9</f>
        <v>0</v>
      </c>
      <c r="AG9" s="5">
        <f>deaths!AG9-deaths!AF9</f>
        <v>0</v>
      </c>
      <c r="AH9" s="5">
        <f>deaths!AH9-deaths!AG9</f>
        <v>0</v>
      </c>
      <c r="AI9" s="5">
        <f>deaths!AI9-deaths!AH9</f>
        <v>0</v>
      </c>
      <c r="AJ9" s="5">
        <f>deaths!AJ9-deaths!AI9</f>
        <v>0</v>
      </c>
      <c r="AK9" s="5">
        <f>deaths!AK9-deaths!AJ9</f>
        <v>0</v>
      </c>
      <c r="AL9" s="5">
        <f>deaths!AL9-deaths!AK9</f>
        <v>0</v>
      </c>
      <c r="AM9" s="5">
        <f>deaths!AM9-deaths!AL9</f>
        <v>0</v>
      </c>
      <c r="AN9" s="5">
        <f>deaths!AN9-deaths!AM9</f>
        <v>0</v>
      </c>
      <c r="AO9" s="5">
        <f>deaths!AO9-deaths!AN9</f>
        <v>0</v>
      </c>
      <c r="AP9" s="5">
        <f>deaths!AP9-deaths!AO9</f>
        <v>0</v>
      </c>
      <c r="AQ9" s="5">
        <f>deaths!AQ9-deaths!AP9</f>
        <v>0</v>
      </c>
      <c r="AR9" s="5">
        <f>deaths!AR9-deaths!AQ9</f>
        <v>0</v>
      </c>
      <c r="AS9" s="5">
        <f>deaths!AS9-deaths!AR9</f>
        <v>0</v>
      </c>
      <c r="AT9" s="5">
        <f>deaths!AT9-deaths!AS9</f>
        <v>0</v>
      </c>
      <c r="AU9" s="5">
        <f>deaths!AU9-deaths!AT9</f>
        <v>0</v>
      </c>
      <c r="AV9" s="5">
        <f>deaths!AV9-deaths!AU9</f>
        <v>0</v>
      </c>
      <c r="AW9" s="5">
        <f>deaths!AW9-deaths!AV9</f>
        <v>0</v>
      </c>
      <c r="AX9" s="5">
        <f>deaths!AX9-deaths!AW9</f>
        <v>0</v>
      </c>
      <c r="AY9" s="5">
        <f>deaths!AY9-deaths!AX9</f>
        <v>0</v>
      </c>
      <c r="AZ9" s="5">
        <f>deaths!AZ9-deaths!AY9</f>
        <v>0</v>
      </c>
      <c r="BA9" s="5">
        <f>deaths!BA9-deaths!AZ9</f>
        <v>0</v>
      </c>
      <c r="BB9" s="5">
        <f>deaths!BB9-deaths!BA9</f>
        <v>0</v>
      </c>
      <c r="BC9" s="5">
        <f>deaths!BC9-deaths!BB9</f>
        <v>0</v>
      </c>
      <c r="BD9" s="5">
        <f>deaths!BD9-deaths!BC9</f>
        <v>0</v>
      </c>
      <c r="BE9" s="5">
        <f>deaths!BE9-deaths!BD9</f>
        <v>0</v>
      </c>
      <c r="BF9" s="5">
        <f>deaths!BF9-deaths!BE9</f>
        <v>0</v>
      </c>
      <c r="BG9" s="5">
        <f>deaths!BG9-deaths!BF9</f>
        <v>0</v>
      </c>
      <c r="BH9" s="5">
        <f>deaths!BH9-deaths!BG9</f>
        <v>0</v>
      </c>
      <c r="BI9" s="5">
        <f>deaths!BI9-deaths!BH9</f>
        <v>0</v>
      </c>
      <c r="BJ9" s="5">
        <f>deaths!BJ9-deaths!BI9</f>
        <v>0</v>
      </c>
      <c r="BK9" s="5">
        <f>deaths!BK9-deaths!BJ9</f>
        <v>0</v>
      </c>
      <c r="BL9" s="5">
        <f>deaths!BL9-deaths!BK9</f>
        <v>0</v>
      </c>
      <c r="BM9" s="5">
        <f>deaths!BM9-deaths!BL9</f>
        <v>0</v>
      </c>
      <c r="BN9" s="5">
        <f>deaths!BN9-deaths!BM9</f>
        <v>0</v>
      </c>
      <c r="BO9" s="5">
        <f>deaths!BO9-deaths!BN9</f>
        <v>0</v>
      </c>
      <c r="BP9" s="5">
        <f>deaths!BP9-deaths!BO9</f>
        <v>0</v>
      </c>
      <c r="BQ9" s="5">
        <f>deaths!BQ9-deaths!BP9</f>
        <v>1</v>
      </c>
      <c r="BR9" s="5">
        <f>deaths!BR9-deaths!BQ9</f>
        <v>0</v>
      </c>
      <c r="BS9" s="5">
        <f>deaths!BS9-deaths!BR9</f>
        <v>0</v>
      </c>
      <c r="BT9" s="5">
        <f>deaths!BT9-deaths!BS9</f>
        <v>2</v>
      </c>
      <c r="BU9" s="5">
        <f>deaths!BU9-deaths!BT9</f>
        <v>0</v>
      </c>
      <c r="BV9" s="5">
        <f>deaths!BV9-deaths!BU9</f>
        <v>0</v>
      </c>
      <c r="BW9" s="5">
        <f>deaths!BW9-deaths!BV9</f>
        <v>1</v>
      </c>
      <c r="BX9" s="5">
        <f>deaths!BX9-deaths!BW9</f>
        <v>3</v>
      </c>
      <c r="BY9" s="5">
        <f>deaths!BY9-deaths!BX9</f>
        <v>0</v>
      </c>
      <c r="BZ9" s="1">
        <f>deaths!BZ9</f>
        <v>7</v>
      </c>
      <c r="CA9" s="1">
        <f>deaths!CA9</f>
        <v>7</v>
      </c>
      <c r="CB9" s="1">
        <f>deaths!CB9</f>
        <v>8</v>
      </c>
      <c r="CC9" s="1" t="str">
        <f>deaths!CC9</f>
        <v/>
      </c>
    </row>
    <row r="10">
      <c r="B10" s="1" t="str">
        <f>deaths!B10</f>
        <v>Australia</v>
      </c>
      <c r="C10" s="4">
        <f>deaths!C10</f>
        <v>-35.4735</v>
      </c>
      <c r="D10" s="4">
        <f>deaths!D10</f>
        <v>149.0124</v>
      </c>
      <c r="E10" s="5">
        <f>deaths!E10</f>
        <v>0</v>
      </c>
      <c r="F10" s="5">
        <f>deaths!F10-deaths!E10</f>
        <v>0</v>
      </c>
      <c r="G10" s="5">
        <f>deaths!G10-deaths!F10</f>
        <v>0</v>
      </c>
      <c r="H10" s="5">
        <f>deaths!H10-deaths!G10</f>
        <v>0</v>
      </c>
      <c r="I10" s="5">
        <f>deaths!I10-deaths!H10</f>
        <v>0</v>
      </c>
      <c r="J10" s="5">
        <f>deaths!J10-deaths!I10</f>
        <v>0</v>
      </c>
      <c r="K10" s="5">
        <f>deaths!K10-deaths!J10</f>
        <v>0</v>
      </c>
      <c r="L10" s="5">
        <f>deaths!L10-deaths!K10</f>
        <v>0</v>
      </c>
      <c r="M10" s="5">
        <f>deaths!M10-deaths!L10</f>
        <v>0</v>
      </c>
      <c r="N10" s="5">
        <f>deaths!N10-deaths!M10</f>
        <v>0</v>
      </c>
      <c r="O10" s="5">
        <f>deaths!O10-deaths!N10</f>
        <v>0</v>
      </c>
      <c r="P10" s="5">
        <f>deaths!P10-deaths!O10</f>
        <v>0</v>
      </c>
      <c r="Q10" s="5">
        <f>deaths!Q10-deaths!P10</f>
        <v>0</v>
      </c>
      <c r="R10" s="5">
        <f>deaths!R10-deaths!Q10</f>
        <v>0</v>
      </c>
      <c r="S10" s="5">
        <f>deaths!S10-deaths!R10</f>
        <v>0</v>
      </c>
      <c r="T10" s="5">
        <f>deaths!T10-deaths!S10</f>
        <v>0</v>
      </c>
      <c r="U10" s="5">
        <f>deaths!U10-deaths!T10</f>
        <v>0</v>
      </c>
      <c r="V10" s="5">
        <f>deaths!V10-deaths!U10</f>
        <v>0</v>
      </c>
      <c r="W10" s="5">
        <f>deaths!W10-deaths!V10</f>
        <v>0</v>
      </c>
      <c r="X10" s="5">
        <f>deaths!X10-deaths!W10</f>
        <v>0</v>
      </c>
      <c r="Y10" s="5">
        <f>deaths!Y10-deaths!X10</f>
        <v>0</v>
      </c>
      <c r="Z10" s="5">
        <f>deaths!Z10-deaths!Y10</f>
        <v>0</v>
      </c>
      <c r="AA10" s="5">
        <f>deaths!AA10-deaths!Z10</f>
        <v>0</v>
      </c>
      <c r="AB10" s="5">
        <f>deaths!AB10-deaths!AA10</f>
        <v>0</v>
      </c>
      <c r="AC10" s="5">
        <f>deaths!AC10-deaths!AB10</f>
        <v>0</v>
      </c>
      <c r="AD10" s="5">
        <f>deaths!AD10-deaths!AC10</f>
        <v>0</v>
      </c>
      <c r="AE10" s="5">
        <f>deaths!AE10-deaths!AD10</f>
        <v>0</v>
      </c>
      <c r="AF10" s="5">
        <f>deaths!AF10-deaths!AE10</f>
        <v>0</v>
      </c>
      <c r="AG10" s="5">
        <f>deaths!AG10-deaths!AF10</f>
        <v>0</v>
      </c>
      <c r="AH10" s="5">
        <f>deaths!AH10-deaths!AG10</f>
        <v>0</v>
      </c>
      <c r="AI10" s="5">
        <f>deaths!AI10-deaths!AH10</f>
        <v>0</v>
      </c>
      <c r="AJ10" s="5">
        <f>deaths!AJ10-deaths!AI10</f>
        <v>0</v>
      </c>
      <c r="AK10" s="5">
        <f>deaths!AK10-deaths!AJ10</f>
        <v>0</v>
      </c>
      <c r="AL10" s="5">
        <f>deaths!AL10-deaths!AK10</f>
        <v>0</v>
      </c>
      <c r="AM10" s="5">
        <f>deaths!AM10-deaths!AL10</f>
        <v>0</v>
      </c>
      <c r="AN10" s="5">
        <f>deaths!AN10-deaths!AM10</f>
        <v>0</v>
      </c>
      <c r="AO10" s="5">
        <f>deaths!AO10-deaths!AN10</f>
        <v>0</v>
      </c>
      <c r="AP10" s="5">
        <f>deaths!AP10-deaths!AO10</f>
        <v>0</v>
      </c>
      <c r="AQ10" s="5">
        <f>deaths!AQ10-deaths!AP10</f>
        <v>0</v>
      </c>
      <c r="AR10" s="5">
        <f>deaths!AR10-deaths!AQ10</f>
        <v>0</v>
      </c>
      <c r="AS10" s="5">
        <f>deaths!AS10-deaths!AR10</f>
        <v>0</v>
      </c>
      <c r="AT10" s="5">
        <f>deaths!AT10-deaths!AS10</f>
        <v>0</v>
      </c>
      <c r="AU10" s="5">
        <f>deaths!AU10-deaths!AT10</f>
        <v>0</v>
      </c>
      <c r="AV10" s="5">
        <f>deaths!AV10-deaths!AU10</f>
        <v>0</v>
      </c>
      <c r="AW10" s="5">
        <f>deaths!AW10-deaths!AV10</f>
        <v>0</v>
      </c>
      <c r="AX10" s="5">
        <f>deaths!AX10-deaths!AW10</f>
        <v>0</v>
      </c>
      <c r="AY10" s="5">
        <f>deaths!AY10-deaths!AX10</f>
        <v>0</v>
      </c>
      <c r="AZ10" s="5">
        <f>deaths!AZ10-deaths!AY10</f>
        <v>0</v>
      </c>
      <c r="BA10" s="5">
        <f>deaths!BA10-deaths!AZ10</f>
        <v>0</v>
      </c>
      <c r="BB10" s="5">
        <f>deaths!BB10-deaths!BA10</f>
        <v>0</v>
      </c>
      <c r="BC10" s="5">
        <f>deaths!BC10-deaths!BB10</f>
        <v>0</v>
      </c>
      <c r="BD10" s="5">
        <f>deaths!BD10-deaths!BC10</f>
        <v>0</v>
      </c>
      <c r="BE10" s="5">
        <f>deaths!BE10-deaths!BD10</f>
        <v>0</v>
      </c>
      <c r="BF10" s="5">
        <f>deaths!BF10-deaths!BE10</f>
        <v>0</v>
      </c>
      <c r="BG10" s="5">
        <f>deaths!BG10-deaths!BF10</f>
        <v>0</v>
      </c>
      <c r="BH10" s="5">
        <f>deaths!BH10-deaths!BG10</f>
        <v>0</v>
      </c>
      <c r="BI10" s="5">
        <f>deaths!BI10-deaths!BH10</f>
        <v>0</v>
      </c>
      <c r="BJ10" s="5">
        <f>deaths!BJ10-deaths!BI10</f>
        <v>0</v>
      </c>
      <c r="BK10" s="5">
        <f>deaths!BK10-deaths!BJ10</f>
        <v>0</v>
      </c>
      <c r="BL10" s="5">
        <f>deaths!BL10-deaths!BK10</f>
        <v>0</v>
      </c>
      <c r="BM10" s="5">
        <f>deaths!BM10-deaths!BL10</f>
        <v>0</v>
      </c>
      <c r="BN10" s="5">
        <f>deaths!BN10-deaths!BM10</f>
        <v>0</v>
      </c>
      <c r="BO10" s="5">
        <f>deaths!BO10-deaths!BN10</f>
        <v>0</v>
      </c>
      <c r="BP10" s="5">
        <f>deaths!BP10-deaths!BO10</f>
        <v>0</v>
      </c>
      <c r="BQ10" s="5">
        <f>deaths!BQ10-deaths!BP10</f>
        <v>0</v>
      </c>
      <c r="BR10" s="5">
        <f>deaths!BR10-deaths!BQ10</f>
        <v>0</v>
      </c>
      <c r="BS10" s="5">
        <f>deaths!BS10-deaths!BR10</f>
        <v>0</v>
      </c>
      <c r="BT10" s="5">
        <f>deaths!BT10-deaths!BS10</f>
        <v>0</v>
      </c>
      <c r="BU10" s="5">
        <f>deaths!BU10-deaths!BT10</f>
        <v>1</v>
      </c>
      <c r="BV10" s="5">
        <f>deaths!BV10-deaths!BU10</f>
        <v>0</v>
      </c>
      <c r="BW10" s="5">
        <f>deaths!BW10-deaths!BV10</f>
        <v>0</v>
      </c>
      <c r="BX10" s="5">
        <f>deaths!BX10-deaths!BW10</f>
        <v>0</v>
      </c>
      <c r="BY10" s="5">
        <f>deaths!BY10-deaths!BX10</f>
        <v>0</v>
      </c>
      <c r="BZ10" s="1">
        <f>deaths!BZ10</f>
        <v>2</v>
      </c>
      <c r="CA10" s="1">
        <f>deaths!CA10</f>
        <v>2</v>
      </c>
      <c r="CB10" s="1">
        <f>deaths!CB10</f>
        <v>2</v>
      </c>
      <c r="CC10" s="1" t="str">
        <f>deaths!CC10</f>
        <v/>
      </c>
    </row>
    <row r="11">
      <c r="B11" s="1" t="str">
        <f>deaths!B11</f>
        <v>Australia</v>
      </c>
      <c r="C11" s="4">
        <f>deaths!C11</f>
        <v>-33.8688</v>
      </c>
      <c r="D11" s="4">
        <f>deaths!D11</f>
        <v>151.2093</v>
      </c>
      <c r="E11" s="5">
        <f>deaths!E11</f>
        <v>0</v>
      </c>
      <c r="F11" s="5">
        <f>deaths!F11-deaths!E11</f>
        <v>0</v>
      </c>
      <c r="G11" s="5">
        <f>deaths!G11-deaths!F11</f>
        <v>0</v>
      </c>
      <c r="H11" s="5">
        <f>deaths!H11-deaths!G11</f>
        <v>0</v>
      </c>
      <c r="I11" s="5">
        <f>deaths!I11-deaths!H11</f>
        <v>0</v>
      </c>
      <c r="J11" s="5">
        <f>deaths!J11-deaths!I11</f>
        <v>0</v>
      </c>
      <c r="K11" s="5">
        <f>deaths!K11-deaths!J11</f>
        <v>0</v>
      </c>
      <c r="L11" s="5">
        <f>deaths!L11-deaths!K11</f>
        <v>0</v>
      </c>
      <c r="M11" s="5">
        <f>deaths!M11-deaths!L11</f>
        <v>0</v>
      </c>
      <c r="N11" s="5">
        <f>deaths!N11-deaths!M11</f>
        <v>0</v>
      </c>
      <c r="O11" s="5">
        <f>deaths!O11-deaths!N11</f>
        <v>0</v>
      </c>
      <c r="P11" s="5">
        <f>deaths!P11-deaths!O11</f>
        <v>0</v>
      </c>
      <c r="Q11" s="5">
        <f>deaths!Q11-deaths!P11</f>
        <v>0</v>
      </c>
      <c r="R11" s="5">
        <f>deaths!R11-deaths!Q11</f>
        <v>0</v>
      </c>
      <c r="S11" s="5">
        <f>deaths!S11-deaths!R11</f>
        <v>0</v>
      </c>
      <c r="T11" s="5">
        <f>deaths!T11-deaths!S11</f>
        <v>0</v>
      </c>
      <c r="U11" s="5">
        <f>deaths!U11-deaths!T11</f>
        <v>0</v>
      </c>
      <c r="V11" s="5">
        <f>deaths!V11-deaths!U11</f>
        <v>0</v>
      </c>
      <c r="W11" s="5">
        <f>deaths!W11-deaths!V11</f>
        <v>0</v>
      </c>
      <c r="X11" s="5">
        <f>deaths!X11-deaths!W11</f>
        <v>0</v>
      </c>
      <c r="Y11" s="5">
        <f>deaths!Y11-deaths!X11</f>
        <v>0</v>
      </c>
      <c r="Z11" s="5">
        <f>deaths!Z11-deaths!Y11</f>
        <v>0</v>
      </c>
      <c r="AA11" s="5">
        <f>deaths!AA11-deaths!Z11</f>
        <v>0</v>
      </c>
      <c r="AB11" s="5">
        <f>deaths!AB11-deaths!AA11</f>
        <v>0</v>
      </c>
      <c r="AC11" s="5">
        <f>deaths!AC11-deaths!AB11</f>
        <v>0</v>
      </c>
      <c r="AD11" s="5">
        <f>deaths!AD11-deaths!AC11</f>
        <v>0</v>
      </c>
      <c r="AE11" s="5">
        <f>deaths!AE11-deaths!AD11</f>
        <v>0</v>
      </c>
      <c r="AF11" s="5">
        <f>deaths!AF11-deaths!AE11</f>
        <v>0</v>
      </c>
      <c r="AG11" s="5">
        <f>deaths!AG11-deaths!AF11</f>
        <v>0</v>
      </c>
      <c r="AH11" s="5">
        <f>deaths!AH11-deaths!AG11</f>
        <v>0</v>
      </c>
      <c r="AI11" s="5">
        <f>deaths!AI11-deaths!AH11</f>
        <v>0</v>
      </c>
      <c r="AJ11" s="5">
        <f>deaths!AJ11-deaths!AI11</f>
        <v>0</v>
      </c>
      <c r="AK11" s="5">
        <f>deaths!AK11-deaths!AJ11</f>
        <v>0</v>
      </c>
      <c r="AL11" s="5">
        <f>deaths!AL11-deaths!AK11</f>
        <v>0</v>
      </c>
      <c r="AM11" s="5">
        <f>deaths!AM11-deaths!AL11</f>
        <v>0</v>
      </c>
      <c r="AN11" s="5">
        <f>deaths!AN11-deaths!AM11</f>
        <v>0</v>
      </c>
      <c r="AO11" s="5">
        <f>deaths!AO11-deaths!AN11</f>
        <v>0</v>
      </c>
      <c r="AP11" s="5">
        <f>deaths!AP11-deaths!AO11</f>
        <v>0</v>
      </c>
      <c r="AQ11" s="5">
        <f>deaths!AQ11-deaths!AP11</f>
        <v>0</v>
      </c>
      <c r="AR11" s="5">
        <f>deaths!AR11-deaths!AQ11</f>
        <v>0</v>
      </c>
      <c r="AS11" s="5">
        <f>deaths!AS11-deaths!AR11</f>
        <v>0</v>
      </c>
      <c r="AT11" s="5">
        <f>deaths!AT11-deaths!AS11</f>
        <v>0</v>
      </c>
      <c r="AU11" s="5">
        <f>deaths!AU11-deaths!AT11</f>
        <v>1</v>
      </c>
      <c r="AV11" s="5">
        <f>deaths!AV11-deaths!AU11</f>
        <v>0</v>
      </c>
      <c r="AW11" s="5">
        <f>deaths!AW11-deaths!AV11</f>
        <v>0</v>
      </c>
      <c r="AX11" s="5">
        <f>deaths!AX11-deaths!AW11</f>
        <v>0</v>
      </c>
      <c r="AY11" s="5">
        <f>deaths!AY11-deaths!AX11</f>
        <v>1</v>
      </c>
      <c r="AZ11" s="5">
        <f>deaths!AZ11-deaths!AY11</f>
        <v>0</v>
      </c>
      <c r="BA11" s="5">
        <f>deaths!BA11-deaths!AZ11</f>
        <v>0</v>
      </c>
      <c r="BB11" s="5">
        <f>deaths!BB11-deaths!BA11</f>
        <v>0</v>
      </c>
      <c r="BC11" s="5">
        <f>deaths!BC11-deaths!BB11</f>
        <v>0</v>
      </c>
      <c r="BD11" s="5">
        <f>deaths!BD11-deaths!BC11</f>
        <v>0</v>
      </c>
      <c r="BE11" s="5">
        <f>deaths!BE11-deaths!BD11</f>
        <v>0</v>
      </c>
      <c r="BF11" s="5">
        <f>deaths!BF11-deaths!BE11</f>
        <v>0</v>
      </c>
      <c r="BG11" s="5">
        <f>deaths!BG11-deaths!BF11</f>
        <v>0</v>
      </c>
      <c r="BH11" s="5">
        <f>deaths!BH11-deaths!BG11</f>
        <v>2</v>
      </c>
      <c r="BI11" s="5">
        <f>deaths!BI11-deaths!BH11</f>
        <v>1</v>
      </c>
      <c r="BJ11" s="5">
        <f>deaths!BJ11-deaths!BI11</f>
        <v>0</v>
      </c>
      <c r="BK11" s="5">
        <f>deaths!BK11-deaths!BJ11</f>
        <v>1</v>
      </c>
      <c r="BL11" s="5">
        <f>deaths!BL11-deaths!BK11</f>
        <v>0</v>
      </c>
      <c r="BM11" s="5">
        <f>deaths!BM11-deaths!BL11</f>
        <v>0</v>
      </c>
      <c r="BN11" s="5">
        <f>deaths!BN11-deaths!BM11</f>
        <v>0</v>
      </c>
      <c r="BO11" s="5">
        <f>deaths!BO11-deaths!BN11</f>
        <v>1</v>
      </c>
      <c r="BP11" s="5">
        <f>deaths!BP11-deaths!BO11</f>
        <v>0</v>
      </c>
      <c r="BQ11" s="5">
        <f>deaths!BQ11-deaths!BP11</f>
        <v>0</v>
      </c>
      <c r="BR11" s="5">
        <f>deaths!BR11-deaths!BQ11</f>
        <v>0</v>
      </c>
      <c r="BS11" s="5">
        <f>deaths!BS11-deaths!BR11</f>
        <v>1</v>
      </c>
      <c r="BT11" s="5">
        <f>deaths!BT11-deaths!BS11</f>
        <v>0</v>
      </c>
      <c r="BU11" s="5">
        <f>deaths!BU11-deaths!BT11</f>
        <v>0</v>
      </c>
      <c r="BV11" s="5">
        <f>deaths!BV11-deaths!BU11</f>
        <v>0</v>
      </c>
      <c r="BW11" s="5">
        <f>deaths!BW11-deaths!BV11</f>
        <v>1</v>
      </c>
      <c r="BX11" s="5">
        <f>deaths!BX11-deaths!BW11</f>
        <v>1</v>
      </c>
      <c r="BY11" s="5">
        <f>deaths!BY11-deaths!BX11</f>
        <v>2</v>
      </c>
      <c r="BZ11" s="1">
        <f>deaths!BZ11</f>
        <v>12</v>
      </c>
      <c r="CA11" s="1">
        <f>deaths!CA11</f>
        <v>16</v>
      </c>
      <c r="CB11" s="1">
        <f>deaths!CB11</f>
        <v>18</v>
      </c>
      <c r="CC11" s="1" t="str">
        <f>deaths!CC11</f>
        <v/>
      </c>
    </row>
    <row r="12">
      <c r="B12" s="1" t="str">
        <f>deaths!B12</f>
        <v>Australia</v>
      </c>
      <c r="C12" s="4">
        <f>deaths!C12</f>
        <v>-12.4634</v>
      </c>
      <c r="D12" s="4">
        <f>deaths!D12</f>
        <v>130.8456</v>
      </c>
      <c r="E12" s="5">
        <f>deaths!E12</f>
        <v>0</v>
      </c>
      <c r="F12" s="5">
        <f>deaths!F12-deaths!E12</f>
        <v>0</v>
      </c>
      <c r="G12" s="5">
        <f>deaths!G12-deaths!F12</f>
        <v>0</v>
      </c>
      <c r="H12" s="5">
        <f>deaths!H12-deaths!G12</f>
        <v>0</v>
      </c>
      <c r="I12" s="5">
        <f>deaths!I12-deaths!H12</f>
        <v>0</v>
      </c>
      <c r="J12" s="5">
        <f>deaths!J12-deaths!I12</f>
        <v>0</v>
      </c>
      <c r="K12" s="5">
        <f>deaths!K12-deaths!J12</f>
        <v>0</v>
      </c>
      <c r="L12" s="5">
        <f>deaths!L12-deaths!K12</f>
        <v>0</v>
      </c>
      <c r="M12" s="5">
        <f>deaths!M12-deaths!L12</f>
        <v>0</v>
      </c>
      <c r="N12" s="5">
        <f>deaths!N12-deaths!M12</f>
        <v>0</v>
      </c>
      <c r="O12" s="5">
        <f>deaths!O12-deaths!N12</f>
        <v>0</v>
      </c>
      <c r="P12" s="5">
        <f>deaths!P12-deaths!O12</f>
        <v>0</v>
      </c>
      <c r="Q12" s="5">
        <f>deaths!Q12-deaths!P12</f>
        <v>0</v>
      </c>
      <c r="R12" s="5">
        <f>deaths!R12-deaths!Q12</f>
        <v>0</v>
      </c>
      <c r="S12" s="5">
        <f>deaths!S12-deaths!R12</f>
        <v>0</v>
      </c>
      <c r="T12" s="5">
        <f>deaths!T12-deaths!S12</f>
        <v>0</v>
      </c>
      <c r="U12" s="5">
        <f>deaths!U12-deaths!T12</f>
        <v>0</v>
      </c>
      <c r="V12" s="5">
        <f>deaths!V12-deaths!U12</f>
        <v>0</v>
      </c>
      <c r="W12" s="5">
        <f>deaths!W12-deaths!V12</f>
        <v>0</v>
      </c>
      <c r="X12" s="5">
        <f>deaths!X12-deaths!W12</f>
        <v>0</v>
      </c>
      <c r="Y12" s="5">
        <f>deaths!Y12-deaths!X12</f>
        <v>0</v>
      </c>
      <c r="Z12" s="5">
        <f>deaths!Z12-deaths!Y12</f>
        <v>0</v>
      </c>
      <c r="AA12" s="5">
        <f>deaths!AA12-deaths!Z12</f>
        <v>0</v>
      </c>
      <c r="AB12" s="5">
        <f>deaths!AB12-deaths!AA12</f>
        <v>0</v>
      </c>
      <c r="AC12" s="5">
        <f>deaths!AC12-deaths!AB12</f>
        <v>0</v>
      </c>
      <c r="AD12" s="5">
        <f>deaths!AD12-deaths!AC12</f>
        <v>0</v>
      </c>
      <c r="AE12" s="5">
        <f>deaths!AE12-deaths!AD12</f>
        <v>0</v>
      </c>
      <c r="AF12" s="5">
        <f>deaths!AF12-deaths!AE12</f>
        <v>0</v>
      </c>
      <c r="AG12" s="5">
        <f>deaths!AG12-deaths!AF12</f>
        <v>0</v>
      </c>
      <c r="AH12" s="5">
        <f>deaths!AH12-deaths!AG12</f>
        <v>0</v>
      </c>
      <c r="AI12" s="5">
        <f>deaths!AI12-deaths!AH12</f>
        <v>0</v>
      </c>
      <c r="AJ12" s="5">
        <f>deaths!AJ12-deaths!AI12</f>
        <v>0</v>
      </c>
      <c r="AK12" s="5">
        <f>deaths!AK12-deaths!AJ12</f>
        <v>0</v>
      </c>
      <c r="AL12" s="5">
        <f>deaths!AL12-deaths!AK12</f>
        <v>0</v>
      </c>
      <c r="AM12" s="5">
        <f>deaths!AM12-deaths!AL12</f>
        <v>0</v>
      </c>
      <c r="AN12" s="5">
        <f>deaths!AN12-deaths!AM12</f>
        <v>0</v>
      </c>
      <c r="AO12" s="5">
        <f>deaths!AO12-deaths!AN12</f>
        <v>0</v>
      </c>
      <c r="AP12" s="5">
        <f>deaths!AP12-deaths!AO12</f>
        <v>0</v>
      </c>
      <c r="AQ12" s="5">
        <f>deaths!AQ12-deaths!AP12</f>
        <v>0</v>
      </c>
      <c r="AR12" s="5">
        <f>deaths!AR12-deaths!AQ12</f>
        <v>0</v>
      </c>
      <c r="AS12" s="5">
        <f>deaths!AS12-deaths!AR12</f>
        <v>0</v>
      </c>
      <c r="AT12" s="5">
        <f>deaths!AT12-deaths!AS12</f>
        <v>0</v>
      </c>
      <c r="AU12" s="5">
        <f>deaths!AU12-deaths!AT12</f>
        <v>0</v>
      </c>
      <c r="AV12" s="5">
        <f>deaths!AV12-deaths!AU12</f>
        <v>0</v>
      </c>
      <c r="AW12" s="5">
        <f>deaths!AW12-deaths!AV12</f>
        <v>0</v>
      </c>
      <c r="AX12" s="5">
        <f>deaths!AX12-deaths!AW12</f>
        <v>0</v>
      </c>
      <c r="AY12" s="5">
        <f>deaths!AY12-deaths!AX12</f>
        <v>0</v>
      </c>
      <c r="AZ12" s="5">
        <f>deaths!AZ12-deaths!AY12</f>
        <v>0</v>
      </c>
      <c r="BA12" s="5">
        <f>deaths!BA12-deaths!AZ12</f>
        <v>0</v>
      </c>
      <c r="BB12" s="5">
        <f>deaths!BB12-deaths!BA12</f>
        <v>0</v>
      </c>
      <c r="BC12" s="5">
        <f>deaths!BC12-deaths!BB12</f>
        <v>0</v>
      </c>
      <c r="BD12" s="5">
        <f>deaths!BD12-deaths!BC12</f>
        <v>0</v>
      </c>
      <c r="BE12" s="5">
        <f>deaths!BE12-deaths!BD12</f>
        <v>0</v>
      </c>
      <c r="BF12" s="5">
        <f>deaths!BF12-deaths!BE12</f>
        <v>0</v>
      </c>
      <c r="BG12" s="5">
        <f>deaths!BG12-deaths!BF12</f>
        <v>0</v>
      </c>
      <c r="BH12" s="5">
        <f>deaths!BH12-deaths!BG12</f>
        <v>0</v>
      </c>
      <c r="BI12" s="5">
        <f>deaths!BI12-deaths!BH12</f>
        <v>0</v>
      </c>
      <c r="BJ12" s="5">
        <f>deaths!BJ12-deaths!BI12</f>
        <v>0</v>
      </c>
      <c r="BK12" s="5">
        <f>deaths!BK12-deaths!BJ12</f>
        <v>0</v>
      </c>
      <c r="BL12" s="5">
        <f>deaths!BL12-deaths!BK12</f>
        <v>0</v>
      </c>
      <c r="BM12" s="5">
        <f>deaths!BM12-deaths!BL12</f>
        <v>0</v>
      </c>
      <c r="BN12" s="5">
        <f>deaths!BN12-deaths!BM12</f>
        <v>0</v>
      </c>
      <c r="BO12" s="5">
        <f>deaths!BO12-deaths!BN12</f>
        <v>0</v>
      </c>
      <c r="BP12" s="5">
        <f>deaths!BP12-deaths!BO12</f>
        <v>0</v>
      </c>
      <c r="BQ12" s="5">
        <f>deaths!BQ12-deaths!BP12</f>
        <v>0</v>
      </c>
      <c r="BR12" s="5">
        <f>deaths!BR12-deaths!BQ12</f>
        <v>0</v>
      </c>
      <c r="BS12" s="5">
        <f>deaths!BS12-deaths!BR12</f>
        <v>0</v>
      </c>
      <c r="BT12" s="5">
        <f>deaths!BT12-deaths!BS12</f>
        <v>0</v>
      </c>
      <c r="BU12" s="5">
        <f>deaths!BU12-deaths!BT12</f>
        <v>0</v>
      </c>
      <c r="BV12" s="5">
        <f>deaths!BV12-deaths!BU12</f>
        <v>0</v>
      </c>
      <c r="BW12" s="5">
        <f>deaths!BW12-deaths!BV12</f>
        <v>0</v>
      </c>
      <c r="BX12" s="5">
        <f>deaths!BX12-deaths!BW12</f>
        <v>0</v>
      </c>
      <c r="BY12" s="5">
        <f>deaths!BY12-deaths!BX12</f>
        <v>0</v>
      </c>
      <c r="BZ12" s="1">
        <f>deaths!BZ12</f>
        <v>0</v>
      </c>
      <c r="CA12" s="1">
        <f>deaths!CA12</f>
        <v>0</v>
      </c>
      <c r="CB12" s="1">
        <f>deaths!CB12</f>
        <v>0</v>
      </c>
      <c r="CC12" s="1" t="str">
        <f>deaths!CC12</f>
        <v/>
      </c>
    </row>
    <row r="13">
      <c r="B13" s="1" t="str">
        <f>deaths!B13</f>
        <v>Australia</v>
      </c>
      <c r="C13" s="4">
        <f>deaths!C13</f>
        <v>-28.0167</v>
      </c>
      <c r="D13" s="4">
        <f>deaths!D13</f>
        <v>153.4</v>
      </c>
      <c r="E13" s="5">
        <f>deaths!E13</f>
        <v>0</v>
      </c>
      <c r="F13" s="5">
        <f>deaths!F13-deaths!E13</f>
        <v>0</v>
      </c>
      <c r="G13" s="5">
        <f>deaths!G13-deaths!F13</f>
        <v>0</v>
      </c>
      <c r="H13" s="5">
        <f>deaths!H13-deaths!G13</f>
        <v>0</v>
      </c>
      <c r="I13" s="5">
        <f>deaths!I13-deaths!H13</f>
        <v>0</v>
      </c>
      <c r="J13" s="5">
        <f>deaths!J13-deaths!I13</f>
        <v>0</v>
      </c>
      <c r="K13" s="5">
        <f>deaths!K13-deaths!J13</f>
        <v>0</v>
      </c>
      <c r="L13" s="5">
        <f>deaths!L13-deaths!K13</f>
        <v>0</v>
      </c>
      <c r="M13" s="5">
        <f>deaths!M13-deaths!L13</f>
        <v>0</v>
      </c>
      <c r="N13" s="5">
        <f>deaths!N13-deaths!M13</f>
        <v>0</v>
      </c>
      <c r="O13" s="5">
        <f>deaths!O13-deaths!N13</f>
        <v>0</v>
      </c>
      <c r="P13" s="5">
        <f>deaths!P13-deaths!O13</f>
        <v>0</v>
      </c>
      <c r="Q13" s="5">
        <f>deaths!Q13-deaths!P13</f>
        <v>0</v>
      </c>
      <c r="R13" s="5">
        <f>deaths!R13-deaths!Q13</f>
        <v>0</v>
      </c>
      <c r="S13" s="5">
        <f>deaths!S13-deaths!R13</f>
        <v>0</v>
      </c>
      <c r="T13" s="5">
        <f>deaths!T13-deaths!S13</f>
        <v>0</v>
      </c>
      <c r="U13" s="5">
        <f>deaths!U13-deaths!T13</f>
        <v>0</v>
      </c>
      <c r="V13" s="5">
        <f>deaths!V13-deaths!U13</f>
        <v>0</v>
      </c>
      <c r="W13" s="5">
        <f>deaths!W13-deaths!V13</f>
        <v>0</v>
      </c>
      <c r="X13" s="5">
        <f>deaths!X13-deaths!W13</f>
        <v>0</v>
      </c>
      <c r="Y13" s="5">
        <f>deaths!Y13-deaths!X13</f>
        <v>0</v>
      </c>
      <c r="Z13" s="5">
        <f>deaths!Z13-deaths!Y13</f>
        <v>0</v>
      </c>
      <c r="AA13" s="5">
        <f>deaths!AA13-deaths!Z13</f>
        <v>0</v>
      </c>
      <c r="AB13" s="5">
        <f>deaths!AB13-deaths!AA13</f>
        <v>0</v>
      </c>
      <c r="AC13" s="5">
        <f>deaths!AC13-deaths!AB13</f>
        <v>0</v>
      </c>
      <c r="AD13" s="5">
        <f>deaths!AD13-deaths!AC13</f>
        <v>0</v>
      </c>
      <c r="AE13" s="5">
        <f>deaths!AE13-deaths!AD13</f>
        <v>0</v>
      </c>
      <c r="AF13" s="5">
        <f>deaths!AF13-deaths!AE13</f>
        <v>0</v>
      </c>
      <c r="AG13" s="5">
        <f>deaths!AG13-deaths!AF13</f>
        <v>0</v>
      </c>
      <c r="AH13" s="5">
        <f>deaths!AH13-deaths!AG13</f>
        <v>0</v>
      </c>
      <c r="AI13" s="5">
        <f>deaths!AI13-deaths!AH13</f>
        <v>0</v>
      </c>
      <c r="AJ13" s="5">
        <f>deaths!AJ13-deaths!AI13</f>
        <v>0</v>
      </c>
      <c r="AK13" s="5">
        <f>deaths!AK13-deaths!AJ13</f>
        <v>0</v>
      </c>
      <c r="AL13" s="5">
        <f>deaths!AL13-deaths!AK13</f>
        <v>0</v>
      </c>
      <c r="AM13" s="5">
        <f>deaths!AM13-deaths!AL13</f>
        <v>0</v>
      </c>
      <c r="AN13" s="5">
        <f>deaths!AN13-deaths!AM13</f>
        <v>0</v>
      </c>
      <c r="AO13" s="5">
        <f>deaths!AO13-deaths!AN13</f>
        <v>0</v>
      </c>
      <c r="AP13" s="5">
        <f>deaths!AP13-deaths!AO13</f>
        <v>0</v>
      </c>
      <c r="AQ13" s="5">
        <f>deaths!AQ13-deaths!AP13</f>
        <v>0</v>
      </c>
      <c r="AR13" s="5">
        <f>deaths!AR13-deaths!AQ13</f>
        <v>0</v>
      </c>
      <c r="AS13" s="5">
        <f>deaths!AS13-deaths!AR13</f>
        <v>0</v>
      </c>
      <c r="AT13" s="5">
        <f>deaths!AT13-deaths!AS13</f>
        <v>0</v>
      </c>
      <c r="AU13" s="5">
        <f>deaths!AU13-deaths!AT13</f>
        <v>0</v>
      </c>
      <c r="AV13" s="5">
        <f>deaths!AV13-deaths!AU13</f>
        <v>0</v>
      </c>
      <c r="AW13" s="5">
        <f>deaths!AW13-deaths!AV13</f>
        <v>0</v>
      </c>
      <c r="AX13" s="5">
        <f>deaths!AX13-deaths!AW13</f>
        <v>0</v>
      </c>
      <c r="AY13" s="5">
        <f>deaths!AY13-deaths!AX13</f>
        <v>0</v>
      </c>
      <c r="AZ13" s="5">
        <f>deaths!AZ13-deaths!AY13</f>
        <v>0</v>
      </c>
      <c r="BA13" s="5">
        <f>deaths!BA13-deaths!AZ13</f>
        <v>0</v>
      </c>
      <c r="BB13" s="5">
        <f>deaths!BB13-deaths!BA13</f>
        <v>0</v>
      </c>
      <c r="BC13" s="5">
        <f>deaths!BC13-deaths!BB13</f>
        <v>0</v>
      </c>
      <c r="BD13" s="5">
        <f>deaths!BD13-deaths!BC13</f>
        <v>0</v>
      </c>
      <c r="BE13" s="5">
        <f>deaths!BE13-deaths!BD13</f>
        <v>0</v>
      </c>
      <c r="BF13" s="5">
        <f>deaths!BF13-deaths!BE13</f>
        <v>0</v>
      </c>
      <c r="BG13" s="5">
        <f>deaths!BG13-deaths!BF13</f>
        <v>0</v>
      </c>
      <c r="BH13" s="5">
        <f>deaths!BH13-deaths!BG13</f>
        <v>0</v>
      </c>
      <c r="BI13" s="5">
        <f>deaths!BI13-deaths!BH13</f>
        <v>0</v>
      </c>
      <c r="BJ13" s="5">
        <f>deaths!BJ13-deaths!BI13</f>
        <v>0</v>
      </c>
      <c r="BK13" s="5">
        <f>deaths!BK13-deaths!BJ13</f>
        <v>0</v>
      </c>
      <c r="BL13" s="5">
        <f>deaths!BL13-deaths!BK13</f>
        <v>0</v>
      </c>
      <c r="BM13" s="5">
        <f>deaths!BM13-deaths!BL13</f>
        <v>0</v>
      </c>
      <c r="BN13" s="5">
        <f>deaths!BN13-deaths!BM13</f>
        <v>0</v>
      </c>
      <c r="BO13" s="5">
        <f>deaths!BO13-deaths!BN13</f>
        <v>0</v>
      </c>
      <c r="BP13" s="5">
        <f>deaths!BP13-deaths!BO13</f>
        <v>0</v>
      </c>
      <c r="BQ13" s="5">
        <f>deaths!BQ13-deaths!BP13</f>
        <v>1</v>
      </c>
      <c r="BR13" s="5">
        <f>deaths!BR13-deaths!BQ13</f>
        <v>0</v>
      </c>
      <c r="BS13" s="5">
        <f>deaths!BS13-deaths!BR13</f>
        <v>0</v>
      </c>
      <c r="BT13" s="5">
        <f>deaths!BT13-deaths!BS13</f>
        <v>1</v>
      </c>
      <c r="BU13" s="5">
        <f>deaths!BU13-deaths!BT13</f>
        <v>0</v>
      </c>
      <c r="BV13" s="5">
        <f>deaths!BV13-deaths!BU13</f>
        <v>0</v>
      </c>
      <c r="BW13" s="5">
        <f>deaths!BW13-deaths!BV13</f>
        <v>0</v>
      </c>
      <c r="BX13" s="5">
        <f>deaths!BX13-deaths!BW13</f>
        <v>2</v>
      </c>
      <c r="BY13" s="5">
        <f>deaths!BY13-deaths!BX13</f>
        <v>0</v>
      </c>
      <c r="BZ13" s="1">
        <f>deaths!BZ13</f>
        <v>4</v>
      </c>
      <c r="CA13" s="1">
        <f>deaths!CA13</f>
        <v>4</v>
      </c>
      <c r="CB13" s="1">
        <f>deaths!CB13</f>
        <v>4</v>
      </c>
      <c r="CC13" s="1" t="str">
        <f>deaths!CC13</f>
        <v/>
      </c>
    </row>
    <row r="14">
      <c r="B14" s="1" t="str">
        <f>deaths!B14</f>
        <v>Australia</v>
      </c>
      <c r="C14" s="4">
        <f>deaths!C14</f>
        <v>-34.9285</v>
      </c>
      <c r="D14" s="4">
        <f>deaths!D14</f>
        <v>138.6007</v>
      </c>
      <c r="E14" s="5">
        <f>deaths!E14</f>
        <v>0</v>
      </c>
      <c r="F14" s="5">
        <f>deaths!F14-deaths!E14</f>
        <v>0</v>
      </c>
      <c r="G14" s="5">
        <f>deaths!G14-deaths!F14</f>
        <v>0</v>
      </c>
      <c r="H14" s="5">
        <f>deaths!H14-deaths!G14</f>
        <v>0</v>
      </c>
      <c r="I14" s="5">
        <f>deaths!I14-deaths!H14</f>
        <v>0</v>
      </c>
      <c r="J14" s="5">
        <f>deaths!J14-deaths!I14</f>
        <v>0</v>
      </c>
      <c r="K14" s="5">
        <f>deaths!K14-deaths!J14</f>
        <v>0</v>
      </c>
      <c r="L14" s="5">
        <f>deaths!L14-deaths!K14</f>
        <v>0</v>
      </c>
      <c r="M14" s="5">
        <f>deaths!M14-deaths!L14</f>
        <v>0</v>
      </c>
      <c r="N14" s="5">
        <f>deaths!N14-deaths!M14</f>
        <v>0</v>
      </c>
      <c r="O14" s="5">
        <f>deaths!O14-deaths!N14</f>
        <v>0</v>
      </c>
      <c r="P14" s="5">
        <f>deaths!P14-deaths!O14</f>
        <v>0</v>
      </c>
      <c r="Q14" s="5">
        <f>deaths!Q14-deaths!P14</f>
        <v>0</v>
      </c>
      <c r="R14" s="5">
        <f>deaths!R14-deaths!Q14</f>
        <v>0</v>
      </c>
      <c r="S14" s="5">
        <f>deaths!S14-deaths!R14</f>
        <v>0</v>
      </c>
      <c r="T14" s="5">
        <f>deaths!T14-deaths!S14</f>
        <v>0</v>
      </c>
      <c r="U14" s="5">
        <f>deaths!U14-deaths!T14</f>
        <v>0</v>
      </c>
      <c r="V14" s="5">
        <f>deaths!V14-deaths!U14</f>
        <v>0</v>
      </c>
      <c r="W14" s="5">
        <f>deaths!W14-deaths!V14</f>
        <v>0</v>
      </c>
      <c r="X14" s="5">
        <f>deaths!X14-deaths!W14</f>
        <v>0</v>
      </c>
      <c r="Y14" s="5">
        <f>deaths!Y14-deaths!X14</f>
        <v>0</v>
      </c>
      <c r="Z14" s="5">
        <f>deaths!Z14-deaths!Y14</f>
        <v>0</v>
      </c>
      <c r="AA14" s="5">
        <f>deaths!AA14-deaths!Z14</f>
        <v>0</v>
      </c>
      <c r="AB14" s="5">
        <f>deaths!AB14-deaths!AA14</f>
        <v>0</v>
      </c>
      <c r="AC14" s="5">
        <f>deaths!AC14-deaths!AB14</f>
        <v>0</v>
      </c>
      <c r="AD14" s="5">
        <f>deaths!AD14-deaths!AC14</f>
        <v>0</v>
      </c>
      <c r="AE14" s="5">
        <f>deaths!AE14-deaths!AD14</f>
        <v>0</v>
      </c>
      <c r="AF14" s="5">
        <f>deaths!AF14-deaths!AE14</f>
        <v>0</v>
      </c>
      <c r="AG14" s="5">
        <f>deaths!AG14-deaths!AF14</f>
        <v>0</v>
      </c>
      <c r="AH14" s="5">
        <f>deaths!AH14-deaths!AG14</f>
        <v>0</v>
      </c>
      <c r="AI14" s="5">
        <f>deaths!AI14-deaths!AH14</f>
        <v>0</v>
      </c>
      <c r="AJ14" s="5">
        <f>deaths!AJ14-deaths!AI14</f>
        <v>0</v>
      </c>
      <c r="AK14" s="5">
        <f>deaths!AK14-deaths!AJ14</f>
        <v>0</v>
      </c>
      <c r="AL14" s="5">
        <f>deaths!AL14-deaths!AK14</f>
        <v>0</v>
      </c>
      <c r="AM14" s="5">
        <f>deaths!AM14-deaths!AL14</f>
        <v>0</v>
      </c>
      <c r="AN14" s="5">
        <f>deaths!AN14-deaths!AM14</f>
        <v>0</v>
      </c>
      <c r="AO14" s="5">
        <f>deaths!AO14-deaths!AN14</f>
        <v>0</v>
      </c>
      <c r="AP14" s="5">
        <f>deaths!AP14-deaths!AO14</f>
        <v>0</v>
      </c>
      <c r="AQ14" s="5">
        <f>deaths!AQ14-deaths!AP14</f>
        <v>0</v>
      </c>
      <c r="AR14" s="5">
        <f>deaths!AR14-deaths!AQ14</f>
        <v>0</v>
      </c>
      <c r="AS14" s="5">
        <f>deaths!AS14-deaths!AR14</f>
        <v>0</v>
      </c>
      <c r="AT14" s="5">
        <f>deaths!AT14-deaths!AS14</f>
        <v>0</v>
      </c>
      <c r="AU14" s="5">
        <f>deaths!AU14-deaths!AT14</f>
        <v>0</v>
      </c>
      <c r="AV14" s="5">
        <f>deaths!AV14-deaths!AU14</f>
        <v>0</v>
      </c>
      <c r="AW14" s="5">
        <f>deaths!AW14-deaths!AV14</f>
        <v>0</v>
      </c>
      <c r="AX14" s="5">
        <f>deaths!AX14-deaths!AW14</f>
        <v>0</v>
      </c>
      <c r="AY14" s="5">
        <f>deaths!AY14-deaths!AX14</f>
        <v>0</v>
      </c>
      <c r="AZ14" s="5">
        <f>deaths!AZ14-deaths!AY14</f>
        <v>0</v>
      </c>
      <c r="BA14" s="5">
        <f>deaths!BA14-deaths!AZ14</f>
        <v>0</v>
      </c>
      <c r="BB14" s="5">
        <f>deaths!BB14-deaths!BA14</f>
        <v>0</v>
      </c>
      <c r="BC14" s="5">
        <f>deaths!BC14-deaths!BB14</f>
        <v>0</v>
      </c>
      <c r="BD14" s="5">
        <f>deaths!BD14-deaths!BC14</f>
        <v>0</v>
      </c>
      <c r="BE14" s="5">
        <f>deaths!BE14-deaths!BD14</f>
        <v>0</v>
      </c>
      <c r="BF14" s="5">
        <f>deaths!BF14-deaths!BE14</f>
        <v>0</v>
      </c>
      <c r="BG14" s="5">
        <f>deaths!BG14-deaths!BF14</f>
        <v>0</v>
      </c>
      <c r="BH14" s="5">
        <f>deaths!BH14-deaths!BG14</f>
        <v>0</v>
      </c>
      <c r="BI14" s="5">
        <f>deaths!BI14-deaths!BH14</f>
        <v>0</v>
      </c>
      <c r="BJ14" s="5">
        <f>deaths!BJ14-deaths!BI14</f>
        <v>0</v>
      </c>
      <c r="BK14" s="5">
        <f>deaths!BK14-deaths!BJ14</f>
        <v>0</v>
      </c>
      <c r="BL14" s="5">
        <f>deaths!BL14-deaths!BK14</f>
        <v>0</v>
      </c>
      <c r="BM14" s="5">
        <f>deaths!BM14-deaths!BL14</f>
        <v>0</v>
      </c>
      <c r="BN14" s="5">
        <f>deaths!BN14-deaths!BM14</f>
        <v>0</v>
      </c>
      <c r="BO14" s="5">
        <f>deaths!BO14-deaths!BN14</f>
        <v>0</v>
      </c>
      <c r="BP14" s="5">
        <f>deaths!BP14-deaths!BO14</f>
        <v>0</v>
      </c>
      <c r="BQ14" s="5">
        <f>deaths!BQ14-deaths!BP14</f>
        <v>0</v>
      </c>
      <c r="BR14" s="5">
        <f>deaths!BR14-deaths!BQ14</f>
        <v>0</v>
      </c>
      <c r="BS14" s="5">
        <f>deaths!BS14-deaths!BR14</f>
        <v>0</v>
      </c>
      <c r="BT14" s="5">
        <f>deaths!BT14-deaths!BS14</f>
        <v>0</v>
      </c>
      <c r="BU14" s="5">
        <f>deaths!BU14-deaths!BT14</f>
        <v>0</v>
      </c>
      <c r="BV14" s="5">
        <f>deaths!BV14-deaths!BU14</f>
        <v>0</v>
      </c>
      <c r="BW14" s="5">
        <f>deaths!BW14-deaths!BV14</f>
        <v>0</v>
      </c>
      <c r="BX14" s="5">
        <f>deaths!BX14-deaths!BW14</f>
        <v>0</v>
      </c>
      <c r="BY14" s="5">
        <f>deaths!BY14-deaths!BX14</f>
        <v>0</v>
      </c>
      <c r="BZ14" s="1">
        <f>deaths!BZ14</f>
        <v>0</v>
      </c>
      <c r="CA14" s="1">
        <f>deaths!CA14</f>
        <v>0</v>
      </c>
      <c r="CB14" s="1">
        <f>deaths!CB14</f>
        <v>0</v>
      </c>
      <c r="CC14" s="1" t="str">
        <f>deaths!CC14</f>
        <v/>
      </c>
    </row>
    <row r="15">
      <c r="B15" s="1" t="str">
        <f>deaths!B15</f>
        <v>Australia</v>
      </c>
      <c r="C15" s="4">
        <f>deaths!C15</f>
        <v>-41.4545</v>
      </c>
      <c r="D15" s="4">
        <f>deaths!D15</f>
        <v>145.9707</v>
      </c>
      <c r="E15" s="5">
        <f>deaths!E15</f>
        <v>0</v>
      </c>
      <c r="F15" s="5">
        <f>deaths!F15-deaths!E15</f>
        <v>0</v>
      </c>
      <c r="G15" s="5">
        <f>deaths!G15-deaths!F15</f>
        <v>0</v>
      </c>
      <c r="H15" s="5">
        <f>deaths!H15-deaths!G15</f>
        <v>0</v>
      </c>
      <c r="I15" s="5">
        <f>deaths!I15-deaths!H15</f>
        <v>0</v>
      </c>
      <c r="J15" s="5">
        <f>deaths!J15-deaths!I15</f>
        <v>0</v>
      </c>
      <c r="K15" s="5">
        <f>deaths!K15-deaths!J15</f>
        <v>0</v>
      </c>
      <c r="L15" s="5">
        <f>deaths!L15-deaths!K15</f>
        <v>0</v>
      </c>
      <c r="M15" s="5">
        <f>deaths!M15-deaths!L15</f>
        <v>0</v>
      </c>
      <c r="N15" s="5">
        <f>deaths!N15-deaths!M15</f>
        <v>0</v>
      </c>
      <c r="O15" s="5">
        <f>deaths!O15-deaths!N15</f>
        <v>0</v>
      </c>
      <c r="P15" s="5">
        <f>deaths!P15-deaths!O15</f>
        <v>0</v>
      </c>
      <c r="Q15" s="5">
        <f>deaths!Q15-deaths!P15</f>
        <v>0</v>
      </c>
      <c r="R15" s="5">
        <f>deaths!R15-deaths!Q15</f>
        <v>0</v>
      </c>
      <c r="S15" s="5">
        <f>deaths!S15-deaths!R15</f>
        <v>0</v>
      </c>
      <c r="T15" s="5">
        <f>deaths!T15-deaths!S15</f>
        <v>0</v>
      </c>
      <c r="U15" s="5">
        <f>deaths!U15-deaths!T15</f>
        <v>0</v>
      </c>
      <c r="V15" s="5">
        <f>deaths!V15-deaths!U15</f>
        <v>0</v>
      </c>
      <c r="W15" s="5">
        <f>deaths!W15-deaths!V15</f>
        <v>0</v>
      </c>
      <c r="X15" s="5">
        <f>deaths!X15-deaths!W15</f>
        <v>0</v>
      </c>
      <c r="Y15" s="5">
        <f>deaths!Y15-deaths!X15</f>
        <v>0</v>
      </c>
      <c r="Z15" s="5">
        <f>deaths!Z15-deaths!Y15</f>
        <v>0</v>
      </c>
      <c r="AA15" s="5">
        <f>deaths!AA15-deaths!Z15</f>
        <v>0</v>
      </c>
      <c r="AB15" s="5">
        <f>deaths!AB15-deaths!AA15</f>
        <v>0</v>
      </c>
      <c r="AC15" s="5">
        <f>deaths!AC15-deaths!AB15</f>
        <v>0</v>
      </c>
      <c r="AD15" s="5">
        <f>deaths!AD15-deaths!AC15</f>
        <v>0</v>
      </c>
      <c r="AE15" s="5">
        <f>deaths!AE15-deaths!AD15</f>
        <v>0</v>
      </c>
      <c r="AF15" s="5">
        <f>deaths!AF15-deaths!AE15</f>
        <v>0</v>
      </c>
      <c r="AG15" s="5">
        <f>deaths!AG15-deaths!AF15</f>
        <v>0</v>
      </c>
      <c r="AH15" s="5">
        <f>deaths!AH15-deaths!AG15</f>
        <v>0</v>
      </c>
      <c r="AI15" s="5">
        <f>deaths!AI15-deaths!AH15</f>
        <v>0</v>
      </c>
      <c r="AJ15" s="5">
        <f>deaths!AJ15-deaths!AI15</f>
        <v>0</v>
      </c>
      <c r="AK15" s="5">
        <f>deaths!AK15-deaths!AJ15</f>
        <v>0</v>
      </c>
      <c r="AL15" s="5">
        <f>deaths!AL15-deaths!AK15</f>
        <v>0</v>
      </c>
      <c r="AM15" s="5">
        <f>deaths!AM15-deaths!AL15</f>
        <v>0</v>
      </c>
      <c r="AN15" s="5">
        <f>deaths!AN15-deaths!AM15</f>
        <v>0</v>
      </c>
      <c r="AO15" s="5">
        <f>deaths!AO15-deaths!AN15</f>
        <v>0</v>
      </c>
      <c r="AP15" s="5">
        <f>deaths!AP15-deaths!AO15</f>
        <v>0</v>
      </c>
      <c r="AQ15" s="5">
        <f>deaths!AQ15-deaths!AP15</f>
        <v>0</v>
      </c>
      <c r="AR15" s="5">
        <f>deaths!AR15-deaths!AQ15</f>
        <v>0</v>
      </c>
      <c r="AS15" s="5">
        <f>deaths!AS15-deaths!AR15</f>
        <v>0</v>
      </c>
      <c r="AT15" s="5">
        <f>deaths!AT15-deaths!AS15</f>
        <v>0</v>
      </c>
      <c r="AU15" s="5">
        <f>deaths!AU15-deaths!AT15</f>
        <v>0</v>
      </c>
      <c r="AV15" s="5">
        <f>deaths!AV15-deaths!AU15</f>
        <v>0</v>
      </c>
      <c r="AW15" s="5">
        <f>deaths!AW15-deaths!AV15</f>
        <v>0</v>
      </c>
      <c r="AX15" s="5">
        <f>deaths!AX15-deaths!AW15</f>
        <v>0</v>
      </c>
      <c r="AY15" s="5">
        <f>deaths!AY15-deaths!AX15</f>
        <v>0</v>
      </c>
      <c r="AZ15" s="5">
        <f>deaths!AZ15-deaths!AY15</f>
        <v>0</v>
      </c>
      <c r="BA15" s="5">
        <f>deaths!BA15-deaths!AZ15</f>
        <v>0</v>
      </c>
      <c r="BB15" s="5">
        <f>deaths!BB15-deaths!BA15</f>
        <v>0</v>
      </c>
      <c r="BC15" s="5">
        <f>deaths!BC15-deaths!BB15</f>
        <v>0</v>
      </c>
      <c r="BD15" s="5">
        <f>deaths!BD15-deaths!BC15</f>
        <v>0</v>
      </c>
      <c r="BE15" s="5">
        <f>deaths!BE15-deaths!BD15</f>
        <v>0</v>
      </c>
      <c r="BF15" s="5">
        <f>deaths!BF15-deaths!BE15</f>
        <v>0</v>
      </c>
      <c r="BG15" s="5">
        <f>deaths!BG15-deaths!BF15</f>
        <v>0</v>
      </c>
      <c r="BH15" s="5">
        <f>deaths!BH15-deaths!BG15</f>
        <v>0</v>
      </c>
      <c r="BI15" s="5">
        <f>deaths!BI15-deaths!BH15</f>
        <v>0</v>
      </c>
      <c r="BJ15" s="5">
        <f>deaths!BJ15-deaths!BI15</f>
        <v>0</v>
      </c>
      <c r="BK15" s="5">
        <f>deaths!BK15-deaths!BJ15</f>
        <v>0</v>
      </c>
      <c r="BL15" s="5">
        <f>deaths!BL15-deaths!BK15</f>
        <v>0</v>
      </c>
      <c r="BM15" s="5">
        <f>deaths!BM15-deaths!BL15</f>
        <v>0</v>
      </c>
      <c r="BN15" s="5">
        <f>deaths!BN15-deaths!BM15</f>
        <v>0</v>
      </c>
      <c r="BO15" s="5">
        <f>deaths!BO15-deaths!BN15</f>
        <v>0</v>
      </c>
      <c r="BP15" s="5">
        <f>deaths!BP15-deaths!BO15</f>
        <v>0</v>
      </c>
      <c r="BQ15" s="5">
        <f>deaths!BQ15-deaths!BP15</f>
        <v>0</v>
      </c>
      <c r="BR15" s="5">
        <f>deaths!BR15-deaths!BQ15</f>
        <v>0</v>
      </c>
      <c r="BS15" s="5">
        <f>deaths!BS15-deaths!BR15</f>
        <v>0</v>
      </c>
      <c r="BT15" s="5">
        <f>deaths!BT15-deaths!BS15</f>
        <v>0</v>
      </c>
      <c r="BU15" s="5">
        <f>deaths!BU15-deaths!BT15</f>
        <v>0</v>
      </c>
      <c r="BV15" s="5">
        <f>deaths!BV15-deaths!BU15</f>
        <v>1</v>
      </c>
      <c r="BW15" s="5">
        <f>deaths!BW15-deaths!BV15</f>
        <v>1</v>
      </c>
      <c r="BX15" s="5">
        <f>deaths!BX15-deaths!BW15</f>
        <v>0</v>
      </c>
      <c r="BY15" s="5">
        <f>deaths!BY15-deaths!BX15</f>
        <v>0</v>
      </c>
      <c r="BZ15" s="1">
        <f>deaths!BZ15</f>
        <v>2</v>
      </c>
      <c r="CA15" s="1">
        <f>deaths!CA15</f>
        <v>2</v>
      </c>
      <c r="CB15" s="1">
        <f>deaths!CB15</f>
        <v>2</v>
      </c>
      <c r="CC15" s="1" t="str">
        <f>deaths!CC15</f>
        <v/>
      </c>
    </row>
    <row r="16">
      <c r="B16" s="1" t="str">
        <f>deaths!B16</f>
        <v>Australia</v>
      </c>
      <c r="C16" s="4">
        <f>deaths!C16</f>
        <v>-37.8136</v>
      </c>
      <c r="D16" s="4">
        <f>deaths!D16</f>
        <v>144.9631</v>
      </c>
      <c r="E16" s="5">
        <f>deaths!E16</f>
        <v>0</v>
      </c>
      <c r="F16" s="5">
        <f>deaths!F16-deaths!E16</f>
        <v>0</v>
      </c>
      <c r="G16" s="5">
        <f>deaths!G16-deaths!F16</f>
        <v>0</v>
      </c>
      <c r="H16" s="5">
        <f>deaths!H16-deaths!G16</f>
        <v>0</v>
      </c>
      <c r="I16" s="5">
        <f>deaths!I16-deaths!H16</f>
        <v>0</v>
      </c>
      <c r="J16" s="5">
        <f>deaths!J16-deaths!I16</f>
        <v>0</v>
      </c>
      <c r="K16" s="5">
        <f>deaths!K16-deaths!J16</f>
        <v>0</v>
      </c>
      <c r="L16" s="5">
        <f>deaths!L16-deaths!K16</f>
        <v>0</v>
      </c>
      <c r="M16" s="5">
        <f>deaths!M16-deaths!L16</f>
        <v>0</v>
      </c>
      <c r="N16" s="5">
        <f>deaths!N16-deaths!M16</f>
        <v>0</v>
      </c>
      <c r="O16" s="5">
        <f>deaths!O16-deaths!N16</f>
        <v>0</v>
      </c>
      <c r="P16" s="5">
        <f>deaths!P16-deaths!O16</f>
        <v>0</v>
      </c>
      <c r="Q16" s="5">
        <f>deaths!Q16-deaths!P16</f>
        <v>0</v>
      </c>
      <c r="R16" s="5">
        <f>deaths!R16-deaths!Q16</f>
        <v>0</v>
      </c>
      <c r="S16" s="5">
        <f>deaths!S16-deaths!R16</f>
        <v>0</v>
      </c>
      <c r="T16" s="5">
        <f>deaths!T16-deaths!S16</f>
        <v>0</v>
      </c>
      <c r="U16" s="5">
        <f>deaths!U16-deaths!T16</f>
        <v>0</v>
      </c>
      <c r="V16" s="5">
        <f>deaths!V16-deaths!U16</f>
        <v>0</v>
      </c>
      <c r="W16" s="5">
        <f>deaths!W16-deaths!V16</f>
        <v>0</v>
      </c>
      <c r="X16" s="5">
        <f>deaths!X16-deaths!W16</f>
        <v>0</v>
      </c>
      <c r="Y16" s="5">
        <f>deaths!Y16-deaths!X16</f>
        <v>0</v>
      </c>
      <c r="Z16" s="5">
        <f>deaths!Z16-deaths!Y16</f>
        <v>0</v>
      </c>
      <c r="AA16" s="5">
        <f>deaths!AA16-deaths!Z16</f>
        <v>0</v>
      </c>
      <c r="AB16" s="5">
        <f>deaths!AB16-deaths!AA16</f>
        <v>0</v>
      </c>
      <c r="AC16" s="5">
        <f>deaths!AC16-deaths!AB16</f>
        <v>0</v>
      </c>
      <c r="AD16" s="5">
        <f>deaths!AD16-deaths!AC16</f>
        <v>0</v>
      </c>
      <c r="AE16" s="5">
        <f>deaths!AE16-deaths!AD16</f>
        <v>0</v>
      </c>
      <c r="AF16" s="5">
        <f>deaths!AF16-deaths!AE16</f>
        <v>0</v>
      </c>
      <c r="AG16" s="5">
        <f>deaths!AG16-deaths!AF16</f>
        <v>0</v>
      </c>
      <c r="AH16" s="5">
        <f>deaths!AH16-deaths!AG16</f>
        <v>0</v>
      </c>
      <c r="AI16" s="5">
        <f>deaths!AI16-deaths!AH16</f>
        <v>0</v>
      </c>
      <c r="AJ16" s="5">
        <f>deaths!AJ16-deaths!AI16</f>
        <v>0</v>
      </c>
      <c r="AK16" s="5">
        <f>deaths!AK16-deaths!AJ16</f>
        <v>0</v>
      </c>
      <c r="AL16" s="5">
        <f>deaths!AL16-deaths!AK16</f>
        <v>0</v>
      </c>
      <c r="AM16" s="5">
        <f>deaths!AM16-deaths!AL16</f>
        <v>0</v>
      </c>
      <c r="AN16" s="5">
        <f>deaths!AN16-deaths!AM16</f>
        <v>0</v>
      </c>
      <c r="AO16" s="5">
        <f>deaths!AO16-deaths!AN16</f>
        <v>0</v>
      </c>
      <c r="AP16" s="5">
        <f>deaths!AP16-deaths!AO16</f>
        <v>0</v>
      </c>
      <c r="AQ16" s="5">
        <f>deaths!AQ16-deaths!AP16</f>
        <v>0</v>
      </c>
      <c r="AR16" s="5">
        <f>deaths!AR16-deaths!AQ16</f>
        <v>0</v>
      </c>
      <c r="AS16" s="5">
        <f>deaths!AS16-deaths!AR16</f>
        <v>0</v>
      </c>
      <c r="AT16" s="5">
        <f>deaths!AT16-deaths!AS16</f>
        <v>0</v>
      </c>
      <c r="AU16" s="5">
        <f>deaths!AU16-deaths!AT16</f>
        <v>0</v>
      </c>
      <c r="AV16" s="5">
        <f>deaths!AV16-deaths!AU16</f>
        <v>0</v>
      </c>
      <c r="AW16" s="5">
        <f>deaths!AW16-deaths!AV16</f>
        <v>0</v>
      </c>
      <c r="AX16" s="5">
        <f>deaths!AX16-deaths!AW16</f>
        <v>0</v>
      </c>
      <c r="AY16" s="5">
        <f>deaths!AY16-deaths!AX16</f>
        <v>0</v>
      </c>
      <c r="AZ16" s="5">
        <f>deaths!AZ16-deaths!AY16</f>
        <v>0</v>
      </c>
      <c r="BA16" s="5">
        <f>deaths!BA16-deaths!AZ16</f>
        <v>0</v>
      </c>
      <c r="BB16" s="5">
        <f>deaths!BB16-deaths!BA16</f>
        <v>0</v>
      </c>
      <c r="BC16" s="5">
        <f>deaths!BC16-deaths!BB16</f>
        <v>0</v>
      </c>
      <c r="BD16" s="5">
        <f>deaths!BD16-deaths!BC16</f>
        <v>0</v>
      </c>
      <c r="BE16" s="5">
        <f>deaths!BE16-deaths!BD16</f>
        <v>0</v>
      </c>
      <c r="BF16" s="5">
        <f>deaths!BF16-deaths!BE16</f>
        <v>0</v>
      </c>
      <c r="BG16" s="5">
        <f>deaths!BG16-deaths!BF16</f>
        <v>0</v>
      </c>
      <c r="BH16" s="5">
        <f>deaths!BH16-deaths!BG16</f>
        <v>0</v>
      </c>
      <c r="BI16" s="5">
        <f>deaths!BI16-deaths!BH16</f>
        <v>0</v>
      </c>
      <c r="BJ16" s="5">
        <f>deaths!BJ16-deaths!BI16</f>
        <v>0</v>
      </c>
      <c r="BK16" s="5">
        <f>deaths!BK16-deaths!BJ16</f>
        <v>0</v>
      </c>
      <c r="BL16" s="5">
        <f>deaths!BL16-deaths!BK16</f>
        <v>0</v>
      </c>
      <c r="BM16" s="5">
        <f>deaths!BM16-deaths!BL16</f>
        <v>0</v>
      </c>
      <c r="BN16" s="5">
        <f>deaths!BN16-deaths!BM16</f>
        <v>0</v>
      </c>
      <c r="BO16" s="5">
        <f>deaths!BO16-deaths!BN16</f>
        <v>0</v>
      </c>
      <c r="BP16" s="5">
        <f>deaths!BP16-deaths!BO16</f>
        <v>0</v>
      </c>
      <c r="BQ16" s="5">
        <f>deaths!BQ16-deaths!BP16</f>
        <v>3</v>
      </c>
      <c r="BR16" s="5">
        <f>deaths!BR16-deaths!BQ16</f>
        <v>0</v>
      </c>
      <c r="BS16" s="5">
        <f>deaths!BS16-deaths!BR16</f>
        <v>0</v>
      </c>
      <c r="BT16" s="5">
        <f>deaths!BT16-deaths!BS16</f>
        <v>1</v>
      </c>
      <c r="BU16" s="5">
        <f>deaths!BU16-deaths!BT16</f>
        <v>0</v>
      </c>
      <c r="BV16" s="5">
        <f>deaths!BV16-deaths!BU16</f>
        <v>0</v>
      </c>
      <c r="BW16" s="5">
        <f>deaths!BW16-deaths!BV16</f>
        <v>0</v>
      </c>
      <c r="BX16" s="5">
        <f>deaths!BX16-deaths!BW16</f>
        <v>1</v>
      </c>
      <c r="BY16" s="5">
        <f>deaths!BY16-deaths!BX16</f>
        <v>2</v>
      </c>
      <c r="BZ16" s="1">
        <f>deaths!BZ16</f>
        <v>8</v>
      </c>
      <c r="CA16" s="1">
        <f>deaths!CA16</f>
        <v>8</v>
      </c>
      <c r="CB16" s="1">
        <f>deaths!CB16</f>
        <v>10</v>
      </c>
      <c r="CC16" s="1" t="str">
        <f>deaths!CC16</f>
        <v/>
      </c>
    </row>
    <row r="17">
      <c r="B17" s="1" t="str">
        <f>deaths!B17</f>
        <v>Australia</v>
      </c>
      <c r="C17" s="4">
        <f>deaths!C17</f>
        <v>-31.9505</v>
      </c>
      <c r="D17" s="4">
        <f>deaths!D17</f>
        <v>115.8605</v>
      </c>
      <c r="E17" s="5">
        <f>deaths!E17</f>
        <v>0</v>
      </c>
      <c r="F17" s="5">
        <f>deaths!F17-deaths!E17</f>
        <v>0</v>
      </c>
      <c r="G17" s="5">
        <f>deaths!G17-deaths!F17</f>
        <v>0</v>
      </c>
      <c r="H17" s="5">
        <f>deaths!H17-deaths!G17</f>
        <v>0</v>
      </c>
      <c r="I17" s="5">
        <f>deaths!I17-deaths!H17</f>
        <v>0</v>
      </c>
      <c r="J17" s="5">
        <f>deaths!J17-deaths!I17</f>
        <v>0</v>
      </c>
      <c r="K17" s="5">
        <f>deaths!K17-deaths!J17</f>
        <v>0</v>
      </c>
      <c r="L17" s="5">
        <f>deaths!L17-deaths!K17</f>
        <v>0</v>
      </c>
      <c r="M17" s="5">
        <f>deaths!M17-deaths!L17</f>
        <v>0</v>
      </c>
      <c r="N17" s="5">
        <f>deaths!N17-deaths!M17</f>
        <v>0</v>
      </c>
      <c r="O17" s="5">
        <f>deaths!O17-deaths!N17</f>
        <v>0</v>
      </c>
      <c r="P17" s="5">
        <f>deaths!P17-deaths!O17</f>
        <v>0</v>
      </c>
      <c r="Q17" s="5">
        <f>deaths!Q17-deaths!P17</f>
        <v>0</v>
      </c>
      <c r="R17" s="5">
        <f>deaths!R17-deaths!Q17</f>
        <v>0</v>
      </c>
      <c r="S17" s="5">
        <f>deaths!S17-deaths!R17</f>
        <v>0</v>
      </c>
      <c r="T17" s="5">
        <f>deaths!T17-deaths!S17</f>
        <v>0</v>
      </c>
      <c r="U17" s="5">
        <f>deaths!U17-deaths!T17</f>
        <v>0</v>
      </c>
      <c r="V17" s="5">
        <f>deaths!V17-deaths!U17</f>
        <v>0</v>
      </c>
      <c r="W17" s="5">
        <f>deaths!W17-deaths!V17</f>
        <v>0</v>
      </c>
      <c r="X17" s="5">
        <f>deaths!X17-deaths!W17</f>
        <v>0</v>
      </c>
      <c r="Y17" s="5">
        <f>deaths!Y17-deaths!X17</f>
        <v>0</v>
      </c>
      <c r="Z17" s="5">
        <f>deaths!Z17-deaths!Y17</f>
        <v>0</v>
      </c>
      <c r="AA17" s="5">
        <f>deaths!AA17-deaths!Z17</f>
        <v>0</v>
      </c>
      <c r="AB17" s="5">
        <f>deaths!AB17-deaths!AA17</f>
        <v>0</v>
      </c>
      <c r="AC17" s="5">
        <f>deaths!AC17-deaths!AB17</f>
        <v>0</v>
      </c>
      <c r="AD17" s="5">
        <f>deaths!AD17-deaths!AC17</f>
        <v>0</v>
      </c>
      <c r="AE17" s="5">
        <f>deaths!AE17-deaths!AD17</f>
        <v>0</v>
      </c>
      <c r="AF17" s="5">
        <f>deaths!AF17-deaths!AE17</f>
        <v>0</v>
      </c>
      <c r="AG17" s="5">
        <f>deaths!AG17-deaths!AF17</f>
        <v>0</v>
      </c>
      <c r="AH17" s="5">
        <f>deaths!AH17-deaths!AG17</f>
        <v>0</v>
      </c>
      <c r="AI17" s="5">
        <f>deaths!AI17-deaths!AH17</f>
        <v>0</v>
      </c>
      <c r="AJ17" s="5">
        <f>deaths!AJ17-deaths!AI17</f>
        <v>0</v>
      </c>
      <c r="AK17" s="5">
        <f>deaths!AK17-deaths!AJ17</f>
        <v>0</v>
      </c>
      <c r="AL17" s="5">
        <f>deaths!AL17-deaths!AK17</f>
        <v>0</v>
      </c>
      <c r="AM17" s="5">
        <f>deaths!AM17-deaths!AL17</f>
        <v>0</v>
      </c>
      <c r="AN17" s="5">
        <f>deaths!AN17-deaths!AM17</f>
        <v>0</v>
      </c>
      <c r="AO17" s="5">
        <f>deaths!AO17-deaths!AN17</f>
        <v>0</v>
      </c>
      <c r="AP17" s="5">
        <f>deaths!AP17-deaths!AO17</f>
        <v>0</v>
      </c>
      <c r="AQ17" s="5">
        <f>deaths!AQ17-deaths!AP17</f>
        <v>0</v>
      </c>
      <c r="AR17" s="5">
        <f>deaths!AR17-deaths!AQ17</f>
        <v>1</v>
      </c>
      <c r="AS17" s="5">
        <f>deaths!AS17-deaths!AR17</f>
        <v>0</v>
      </c>
      <c r="AT17" s="5">
        <f>deaths!AT17-deaths!AS17</f>
        <v>0</v>
      </c>
      <c r="AU17" s="5">
        <f>deaths!AU17-deaths!AT17</f>
        <v>0</v>
      </c>
      <c r="AV17" s="5">
        <f>deaths!AV17-deaths!AU17</f>
        <v>0</v>
      </c>
      <c r="AW17" s="5">
        <f>deaths!AW17-deaths!AV17</f>
        <v>0</v>
      </c>
      <c r="AX17" s="5">
        <f>deaths!AX17-deaths!AW17</f>
        <v>0</v>
      </c>
      <c r="AY17" s="5">
        <f>deaths!AY17-deaths!AX17</f>
        <v>0</v>
      </c>
      <c r="AZ17" s="5">
        <f>deaths!AZ17-deaths!AY17</f>
        <v>0</v>
      </c>
      <c r="BA17" s="5">
        <f>deaths!BA17-deaths!AZ17</f>
        <v>0</v>
      </c>
      <c r="BB17" s="5">
        <f>deaths!BB17-deaths!BA17</f>
        <v>0</v>
      </c>
      <c r="BC17" s="5">
        <f>deaths!BC17-deaths!BB17</f>
        <v>0</v>
      </c>
      <c r="BD17" s="5">
        <f>deaths!BD17-deaths!BC17</f>
        <v>0</v>
      </c>
      <c r="BE17" s="5">
        <f>deaths!BE17-deaths!BD17</f>
        <v>0</v>
      </c>
      <c r="BF17" s="5">
        <f>deaths!BF17-deaths!BE17</f>
        <v>0</v>
      </c>
      <c r="BG17" s="5">
        <f>deaths!BG17-deaths!BF17</f>
        <v>0</v>
      </c>
      <c r="BH17" s="5">
        <f>deaths!BH17-deaths!BG17</f>
        <v>0</v>
      </c>
      <c r="BI17" s="5">
        <f>deaths!BI17-deaths!BH17</f>
        <v>0</v>
      </c>
      <c r="BJ17" s="5">
        <f>deaths!BJ17-deaths!BI17</f>
        <v>0</v>
      </c>
      <c r="BK17" s="5">
        <f>deaths!BK17-deaths!BJ17</f>
        <v>0</v>
      </c>
      <c r="BL17" s="5">
        <f>deaths!BL17-deaths!BK17</f>
        <v>0</v>
      </c>
      <c r="BM17" s="5">
        <f>deaths!BM17-deaths!BL17</f>
        <v>0</v>
      </c>
      <c r="BN17" s="5">
        <f>deaths!BN17-deaths!BM17</f>
        <v>0</v>
      </c>
      <c r="BO17" s="5">
        <f>deaths!BO17-deaths!BN17</f>
        <v>0</v>
      </c>
      <c r="BP17" s="5">
        <f>deaths!BP17-deaths!BO17</f>
        <v>0</v>
      </c>
      <c r="BQ17" s="5">
        <f>deaths!BQ17-deaths!BP17</f>
        <v>1</v>
      </c>
      <c r="BR17" s="5">
        <f>deaths!BR17-deaths!BQ17</f>
        <v>0</v>
      </c>
      <c r="BS17" s="5">
        <f>deaths!BS17-deaths!BR17</f>
        <v>0</v>
      </c>
      <c r="BT17" s="5">
        <f>deaths!BT17-deaths!BS17</f>
        <v>0</v>
      </c>
      <c r="BU17" s="5">
        <f>deaths!BU17-deaths!BT17</f>
        <v>0</v>
      </c>
      <c r="BV17" s="5">
        <f>deaths!BV17-deaths!BU17</f>
        <v>0</v>
      </c>
      <c r="BW17" s="5">
        <f>deaths!BW17-deaths!BV17</f>
        <v>0</v>
      </c>
      <c r="BX17" s="5">
        <f>deaths!BX17-deaths!BW17</f>
        <v>0</v>
      </c>
      <c r="BY17" s="5">
        <f>deaths!BY17-deaths!BX17</f>
        <v>0</v>
      </c>
      <c r="BZ17" s="1">
        <f>deaths!BZ17</f>
        <v>2</v>
      </c>
      <c r="CA17" s="1">
        <f>deaths!CA17</f>
        <v>3</v>
      </c>
      <c r="CB17" s="1">
        <f>deaths!CB17</f>
        <v>4</v>
      </c>
      <c r="CC17" s="1" t="str">
        <f>deaths!CC17</f>
        <v/>
      </c>
    </row>
    <row r="18">
      <c r="B18" s="1" t="str">
        <f>deaths!B18</f>
        <v>Austria</v>
      </c>
      <c r="C18" s="4">
        <f>deaths!C18</f>
        <v>47.5162</v>
      </c>
      <c r="D18" s="4">
        <f>deaths!D18</f>
        <v>14.5501</v>
      </c>
      <c r="E18" s="5">
        <f>deaths!E18</f>
        <v>0</v>
      </c>
      <c r="F18" s="5">
        <f>deaths!F18-deaths!E18</f>
        <v>0</v>
      </c>
      <c r="G18" s="5">
        <f>deaths!G18-deaths!F18</f>
        <v>0</v>
      </c>
      <c r="H18" s="5">
        <f>deaths!H18-deaths!G18</f>
        <v>0</v>
      </c>
      <c r="I18" s="5">
        <f>deaths!I18-deaths!H18</f>
        <v>0</v>
      </c>
      <c r="J18" s="5">
        <f>deaths!J18-deaths!I18</f>
        <v>0</v>
      </c>
      <c r="K18" s="5">
        <f>deaths!K18-deaths!J18</f>
        <v>0</v>
      </c>
      <c r="L18" s="5">
        <f>deaths!L18-deaths!K18</f>
        <v>0</v>
      </c>
      <c r="M18" s="5">
        <f>deaths!M18-deaths!L18</f>
        <v>0</v>
      </c>
      <c r="N18" s="5">
        <f>deaths!N18-deaths!M18</f>
        <v>0</v>
      </c>
      <c r="O18" s="5">
        <f>deaths!O18-deaths!N18</f>
        <v>0</v>
      </c>
      <c r="P18" s="5">
        <f>deaths!P18-deaths!O18</f>
        <v>0</v>
      </c>
      <c r="Q18" s="5">
        <f>deaths!Q18-deaths!P18</f>
        <v>0</v>
      </c>
      <c r="R18" s="5">
        <f>deaths!R18-deaths!Q18</f>
        <v>0</v>
      </c>
      <c r="S18" s="5">
        <f>deaths!S18-deaths!R18</f>
        <v>0</v>
      </c>
      <c r="T18" s="5">
        <f>deaths!T18-deaths!S18</f>
        <v>0</v>
      </c>
      <c r="U18" s="5">
        <f>deaths!U18-deaths!T18</f>
        <v>0</v>
      </c>
      <c r="V18" s="5">
        <f>deaths!V18-deaths!U18</f>
        <v>0</v>
      </c>
      <c r="W18" s="5">
        <f>deaths!W18-deaths!V18</f>
        <v>0</v>
      </c>
      <c r="X18" s="5">
        <f>deaths!X18-deaths!W18</f>
        <v>0</v>
      </c>
      <c r="Y18" s="5">
        <f>deaths!Y18-deaths!X18</f>
        <v>0</v>
      </c>
      <c r="Z18" s="5">
        <f>deaths!Z18-deaths!Y18</f>
        <v>0</v>
      </c>
      <c r="AA18" s="5">
        <f>deaths!AA18-deaths!Z18</f>
        <v>0</v>
      </c>
      <c r="AB18" s="5">
        <f>deaths!AB18-deaths!AA18</f>
        <v>0</v>
      </c>
      <c r="AC18" s="5">
        <f>deaths!AC18-deaths!AB18</f>
        <v>0</v>
      </c>
      <c r="AD18" s="5">
        <f>deaths!AD18-deaths!AC18</f>
        <v>0</v>
      </c>
      <c r="AE18" s="5">
        <f>deaths!AE18-deaths!AD18</f>
        <v>0</v>
      </c>
      <c r="AF18" s="5">
        <f>deaths!AF18-deaths!AE18</f>
        <v>0</v>
      </c>
      <c r="AG18" s="5">
        <f>deaths!AG18-deaths!AF18</f>
        <v>0</v>
      </c>
      <c r="AH18" s="5">
        <f>deaths!AH18-deaths!AG18</f>
        <v>0</v>
      </c>
      <c r="AI18" s="5">
        <f>deaths!AI18-deaths!AH18</f>
        <v>0</v>
      </c>
      <c r="AJ18" s="5">
        <f>deaths!AJ18-deaths!AI18</f>
        <v>0</v>
      </c>
      <c r="AK18" s="5">
        <f>deaths!AK18-deaths!AJ18</f>
        <v>0</v>
      </c>
      <c r="AL18" s="5">
        <f>deaths!AL18-deaths!AK18</f>
        <v>0</v>
      </c>
      <c r="AM18" s="5">
        <f>deaths!AM18-deaths!AL18</f>
        <v>0</v>
      </c>
      <c r="AN18" s="5">
        <f>deaths!AN18-deaths!AM18</f>
        <v>0</v>
      </c>
      <c r="AO18" s="5">
        <f>deaths!AO18-deaths!AN18</f>
        <v>0</v>
      </c>
      <c r="AP18" s="5">
        <f>deaths!AP18-deaths!AO18</f>
        <v>0</v>
      </c>
      <c r="AQ18" s="5">
        <f>deaths!AQ18-deaths!AP18</f>
        <v>0</v>
      </c>
      <c r="AR18" s="5">
        <f>deaths!AR18-deaths!AQ18</f>
        <v>0</v>
      </c>
      <c r="AS18" s="5">
        <f>deaths!AS18-deaths!AR18</f>
        <v>0</v>
      </c>
      <c r="AT18" s="5">
        <f>deaths!AT18-deaths!AS18</f>
        <v>0</v>
      </c>
      <c r="AU18" s="5">
        <f>deaths!AU18-deaths!AT18</f>
        <v>0</v>
      </c>
      <c r="AV18" s="5">
        <f>deaths!AV18-deaths!AU18</f>
        <v>0</v>
      </c>
      <c r="AW18" s="5">
        <f>deaths!AW18-deaths!AV18</f>
        <v>0</v>
      </c>
      <c r="AX18" s="5">
        <f>deaths!AX18-deaths!AW18</f>
        <v>0</v>
      </c>
      <c r="AY18" s="5">
        <f>deaths!AY18-deaths!AX18</f>
        <v>0</v>
      </c>
      <c r="AZ18" s="5">
        <f>deaths!AZ18-deaths!AY18</f>
        <v>0</v>
      </c>
      <c r="BA18" s="5">
        <f>deaths!BA18-deaths!AZ18</f>
        <v>0</v>
      </c>
      <c r="BB18" s="5">
        <f>deaths!BB18-deaths!BA18</f>
        <v>0</v>
      </c>
      <c r="BC18" s="5">
        <f>deaths!BC18-deaths!BB18</f>
        <v>1</v>
      </c>
      <c r="BD18" s="5">
        <f>deaths!BD18-deaths!BC18</f>
        <v>0</v>
      </c>
      <c r="BE18" s="5">
        <f>deaths!BE18-deaths!BD18</f>
        <v>0</v>
      </c>
      <c r="BF18" s="5">
        <f>deaths!BF18-deaths!BE18</f>
        <v>0</v>
      </c>
      <c r="BG18" s="5">
        <f>deaths!BG18-deaths!BF18</f>
        <v>2</v>
      </c>
      <c r="BH18" s="5">
        <f>deaths!BH18-deaths!BG18</f>
        <v>0</v>
      </c>
      <c r="BI18" s="5">
        <f>deaths!BI18-deaths!BH18</f>
        <v>1</v>
      </c>
      <c r="BJ18" s="5">
        <f>deaths!BJ18-deaths!BI18</f>
        <v>2</v>
      </c>
      <c r="BK18" s="5">
        <f>deaths!BK18-deaths!BJ18</f>
        <v>0</v>
      </c>
      <c r="BL18" s="5">
        <f>deaths!BL18-deaths!BK18</f>
        <v>2</v>
      </c>
      <c r="BM18" s="5">
        <f>deaths!BM18-deaths!BL18</f>
        <v>8</v>
      </c>
      <c r="BN18" s="5">
        <f>deaths!BN18-deaths!BM18</f>
        <v>5</v>
      </c>
      <c r="BO18" s="5">
        <f>deaths!BO18-deaths!BN18</f>
        <v>7</v>
      </c>
      <c r="BP18" s="5">
        <f>deaths!BP18-deaths!BO18</f>
        <v>2</v>
      </c>
      <c r="BQ18" s="5">
        <f>deaths!BQ18-deaths!BP18</f>
        <v>19</v>
      </c>
      <c r="BR18" s="5">
        <f>deaths!BR18-deaths!BQ18</f>
        <v>9</v>
      </c>
      <c r="BS18" s="5">
        <f>deaths!BS18-deaths!BR18</f>
        <v>10</v>
      </c>
      <c r="BT18" s="5">
        <f>deaths!BT18-deaths!BS18</f>
        <v>18</v>
      </c>
      <c r="BU18" s="5">
        <f>deaths!BU18-deaths!BT18</f>
        <v>22</v>
      </c>
      <c r="BV18" s="5">
        <f>deaths!BV18-deaths!BU18</f>
        <v>20</v>
      </c>
      <c r="BW18" s="5">
        <f>deaths!BW18-deaths!BV18</f>
        <v>18</v>
      </c>
      <c r="BX18" s="5">
        <f>deaths!BX18-deaths!BW18</f>
        <v>12</v>
      </c>
      <c r="BY18" s="5">
        <f>deaths!BY18-deaths!BX18</f>
        <v>10</v>
      </c>
      <c r="BZ18" s="1">
        <f>deaths!BZ18</f>
        <v>186</v>
      </c>
      <c r="CA18" s="1">
        <f>deaths!CA18</f>
        <v>204</v>
      </c>
      <c r="CB18" s="1">
        <f>deaths!CB18</f>
        <v>220</v>
      </c>
      <c r="CC18" s="1" t="str">
        <f>deaths!CC18</f>
        <v/>
      </c>
    </row>
    <row r="19">
      <c r="B19" s="1" t="str">
        <f>deaths!B19</f>
        <v>Azerbaijan</v>
      </c>
      <c r="C19" s="4">
        <f>deaths!C19</f>
        <v>40.1431</v>
      </c>
      <c r="D19" s="4">
        <f>deaths!D19</f>
        <v>47.5769</v>
      </c>
      <c r="E19" s="5">
        <f>deaths!E19</f>
        <v>0</v>
      </c>
      <c r="F19" s="5">
        <f>deaths!F19-deaths!E19</f>
        <v>0</v>
      </c>
      <c r="G19" s="5">
        <f>deaths!G19-deaths!F19</f>
        <v>0</v>
      </c>
      <c r="H19" s="5">
        <f>deaths!H19-deaths!G19</f>
        <v>0</v>
      </c>
      <c r="I19" s="5">
        <f>deaths!I19-deaths!H19</f>
        <v>0</v>
      </c>
      <c r="J19" s="5">
        <f>deaths!J19-deaths!I19</f>
        <v>0</v>
      </c>
      <c r="K19" s="5">
        <f>deaths!K19-deaths!J19</f>
        <v>0</v>
      </c>
      <c r="L19" s="5">
        <f>deaths!L19-deaths!K19</f>
        <v>0</v>
      </c>
      <c r="M19" s="5">
        <f>deaths!M19-deaths!L19</f>
        <v>0</v>
      </c>
      <c r="N19" s="5">
        <f>deaths!N19-deaths!M19</f>
        <v>0</v>
      </c>
      <c r="O19" s="5">
        <f>deaths!O19-deaths!N19</f>
        <v>0</v>
      </c>
      <c r="P19" s="5">
        <f>deaths!P19-deaths!O19</f>
        <v>0</v>
      </c>
      <c r="Q19" s="5">
        <f>deaths!Q19-deaths!P19</f>
        <v>0</v>
      </c>
      <c r="R19" s="5">
        <f>deaths!R19-deaths!Q19</f>
        <v>0</v>
      </c>
      <c r="S19" s="5">
        <f>deaths!S19-deaths!R19</f>
        <v>0</v>
      </c>
      <c r="T19" s="5">
        <f>deaths!T19-deaths!S19</f>
        <v>0</v>
      </c>
      <c r="U19" s="5">
        <f>deaths!U19-deaths!T19</f>
        <v>0</v>
      </c>
      <c r="V19" s="5">
        <f>deaths!V19-deaths!U19</f>
        <v>0</v>
      </c>
      <c r="W19" s="5">
        <f>deaths!W19-deaths!V19</f>
        <v>0</v>
      </c>
      <c r="X19" s="5">
        <f>deaths!X19-deaths!W19</f>
        <v>0</v>
      </c>
      <c r="Y19" s="5">
        <f>deaths!Y19-deaths!X19</f>
        <v>0</v>
      </c>
      <c r="Z19" s="5">
        <f>deaths!Z19-deaths!Y19</f>
        <v>0</v>
      </c>
      <c r="AA19" s="5">
        <f>deaths!AA19-deaths!Z19</f>
        <v>0</v>
      </c>
      <c r="AB19" s="5">
        <f>deaths!AB19-deaths!AA19</f>
        <v>0</v>
      </c>
      <c r="AC19" s="5">
        <f>deaths!AC19-deaths!AB19</f>
        <v>0</v>
      </c>
      <c r="AD19" s="5">
        <f>deaths!AD19-deaths!AC19</f>
        <v>0</v>
      </c>
      <c r="AE19" s="5">
        <f>deaths!AE19-deaths!AD19</f>
        <v>0</v>
      </c>
      <c r="AF19" s="5">
        <f>deaths!AF19-deaths!AE19</f>
        <v>0</v>
      </c>
      <c r="AG19" s="5">
        <f>deaths!AG19-deaths!AF19</f>
        <v>0</v>
      </c>
      <c r="AH19" s="5">
        <f>deaths!AH19-deaths!AG19</f>
        <v>0</v>
      </c>
      <c r="AI19" s="5">
        <f>deaths!AI19-deaths!AH19</f>
        <v>0</v>
      </c>
      <c r="AJ19" s="5">
        <f>deaths!AJ19-deaths!AI19</f>
        <v>0</v>
      </c>
      <c r="AK19" s="5">
        <f>deaths!AK19-deaths!AJ19</f>
        <v>0</v>
      </c>
      <c r="AL19" s="5">
        <f>deaths!AL19-deaths!AK19</f>
        <v>0</v>
      </c>
      <c r="AM19" s="5">
        <f>deaths!AM19-deaths!AL19</f>
        <v>0</v>
      </c>
      <c r="AN19" s="5">
        <f>deaths!AN19-deaths!AM19</f>
        <v>0</v>
      </c>
      <c r="AO19" s="5">
        <f>deaths!AO19-deaths!AN19</f>
        <v>0</v>
      </c>
      <c r="AP19" s="5">
        <f>deaths!AP19-deaths!AO19</f>
        <v>0</v>
      </c>
      <c r="AQ19" s="5">
        <f>deaths!AQ19-deaths!AP19</f>
        <v>0</v>
      </c>
      <c r="AR19" s="5">
        <f>deaths!AR19-deaths!AQ19</f>
        <v>0</v>
      </c>
      <c r="AS19" s="5">
        <f>deaths!AS19-deaths!AR19</f>
        <v>0</v>
      </c>
      <c r="AT19" s="5">
        <f>deaths!AT19-deaths!AS19</f>
        <v>0</v>
      </c>
      <c r="AU19" s="5">
        <f>deaths!AU19-deaths!AT19</f>
        <v>0</v>
      </c>
      <c r="AV19" s="5">
        <f>deaths!AV19-deaths!AU19</f>
        <v>0</v>
      </c>
      <c r="AW19" s="5">
        <f>deaths!AW19-deaths!AV19</f>
        <v>0</v>
      </c>
      <c r="AX19" s="5">
        <f>deaths!AX19-deaths!AW19</f>
        <v>0</v>
      </c>
      <c r="AY19" s="5">
        <f>deaths!AY19-deaths!AX19</f>
        <v>0</v>
      </c>
      <c r="AZ19" s="5">
        <f>deaths!AZ19-deaths!AY19</f>
        <v>0</v>
      </c>
      <c r="BA19" s="5">
        <f>deaths!BA19-deaths!AZ19</f>
        <v>0</v>
      </c>
      <c r="BB19" s="5">
        <f>deaths!BB19-deaths!BA19</f>
        <v>0</v>
      </c>
      <c r="BC19" s="5">
        <f>deaths!BC19-deaths!BB19</f>
        <v>0</v>
      </c>
      <c r="BD19" s="5">
        <f>deaths!BD19-deaths!BC19</f>
        <v>1</v>
      </c>
      <c r="BE19" s="5">
        <f>deaths!BE19-deaths!BD19</f>
        <v>0</v>
      </c>
      <c r="BF19" s="5">
        <f>deaths!BF19-deaths!BE19</f>
        <v>0</v>
      </c>
      <c r="BG19" s="5">
        <f>deaths!BG19-deaths!BF19</f>
        <v>0</v>
      </c>
      <c r="BH19" s="5">
        <f>deaths!BH19-deaths!BG19</f>
        <v>0</v>
      </c>
      <c r="BI19" s="5">
        <f>deaths!BI19-deaths!BH19</f>
        <v>0</v>
      </c>
      <c r="BJ19" s="5">
        <f>deaths!BJ19-deaths!BI19</f>
        <v>0</v>
      </c>
      <c r="BK19" s="5">
        <f>deaths!BK19-deaths!BJ19</f>
        <v>0</v>
      </c>
      <c r="BL19" s="5">
        <f>deaths!BL19-deaths!BK19</f>
        <v>0</v>
      </c>
      <c r="BM19" s="5">
        <f>deaths!BM19-deaths!BL19</f>
        <v>0</v>
      </c>
      <c r="BN19" s="5">
        <f>deaths!BN19-deaths!BM19</f>
        <v>0</v>
      </c>
      <c r="BO19" s="5">
        <f>deaths!BO19-deaths!BN19</f>
        <v>0</v>
      </c>
      <c r="BP19" s="5">
        <f>deaths!BP19-deaths!BO19</f>
        <v>1</v>
      </c>
      <c r="BQ19" s="5">
        <f>deaths!BQ19-deaths!BP19</f>
        <v>1</v>
      </c>
      <c r="BR19" s="5">
        <f>deaths!BR19-deaths!BQ19</f>
        <v>0</v>
      </c>
      <c r="BS19" s="5">
        <f>deaths!BS19-deaths!BR19</f>
        <v>1</v>
      </c>
      <c r="BT19" s="5">
        <f>deaths!BT19-deaths!BS19</f>
        <v>0</v>
      </c>
      <c r="BU19" s="5">
        <f>deaths!BU19-deaths!BT19</f>
        <v>0</v>
      </c>
      <c r="BV19" s="5">
        <f>deaths!BV19-deaths!BU19</f>
        <v>1</v>
      </c>
      <c r="BW19" s="5">
        <f>deaths!BW19-deaths!BV19</f>
        <v>0</v>
      </c>
      <c r="BX19" s="5">
        <f>deaths!BX19-deaths!BW19</f>
        <v>0</v>
      </c>
      <c r="BY19" s="5">
        <f>deaths!BY19-deaths!BX19</f>
        <v>0</v>
      </c>
      <c r="BZ19" s="1">
        <f>deaths!BZ19</f>
        <v>5</v>
      </c>
      <c r="CA19" s="1">
        <f>deaths!CA19</f>
        <v>7</v>
      </c>
      <c r="CB19" s="1">
        <f>deaths!CB19</f>
        <v>7</v>
      </c>
      <c r="CC19" s="1" t="str">
        <f>deaths!CC19</f>
        <v/>
      </c>
    </row>
    <row r="20">
      <c r="B20" s="1" t="str">
        <f>deaths!B20</f>
        <v>Bahamas</v>
      </c>
      <c r="C20" s="4">
        <f>deaths!C20</f>
        <v>25.0343</v>
      </c>
      <c r="D20" s="4">
        <f>deaths!D20</f>
        <v>-77.3963</v>
      </c>
      <c r="E20" s="5">
        <f>deaths!E20</f>
        <v>0</v>
      </c>
      <c r="F20" s="5">
        <f>deaths!F20-deaths!E20</f>
        <v>0</v>
      </c>
      <c r="G20" s="5">
        <f>deaths!G20-deaths!F20</f>
        <v>0</v>
      </c>
      <c r="H20" s="5">
        <f>deaths!H20-deaths!G20</f>
        <v>0</v>
      </c>
      <c r="I20" s="5">
        <f>deaths!I20-deaths!H20</f>
        <v>0</v>
      </c>
      <c r="J20" s="5">
        <f>deaths!J20-deaths!I20</f>
        <v>0</v>
      </c>
      <c r="K20" s="5">
        <f>deaths!K20-deaths!J20</f>
        <v>0</v>
      </c>
      <c r="L20" s="5">
        <f>deaths!L20-deaths!K20</f>
        <v>0</v>
      </c>
      <c r="M20" s="5">
        <f>deaths!M20-deaths!L20</f>
        <v>0</v>
      </c>
      <c r="N20" s="5">
        <f>deaths!N20-deaths!M20</f>
        <v>0</v>
      </c>
      <c r="O20" s="5">
        <f>deaths!O20-deaths!N20</f>
        <v>0</v>
      </c>
      <c r="P20" s="5">
        <f>deaths!P20-deaths!O20</f>
        <v>0</v>
      </c>
      <c r="Q20" s="5">
        <f>deaths!Q20-deaths!P20</f>
        <v>0</v>
      </c>
      <c r="R20" s="5">
        <f>deaths!R20-deaths!Q20</f>
        <v>0</v>
      </c>
      <c r="S20" s="5">
        <f>deaths!S20-deaths!R20</f>
        <v>0</v>
      </c>
      <c r="T20" s="5">
        <f>deaths!T20-deaths!S20</f>
        <v>0</v>
      </c>
      <c r="U20" s="5">
        <f>deaths!U20-deaths!T20</f>
        <v>0</v>
      </c>
      <c r="V20" s="5">
        <f>deaths!V20-deaths!U20</f>
        <v>0</v>
      </c>
      <c r="W20" s="5">
        <f>deaths!W20-deaths!V20</f>
        <v>0</v>
      </c>
      <c r="X20" s="5">
        <f>deaths!X20-deaths!W20</f>
        <v>0</v>
      </c>
      <c r="Y20" s="5">
        <f>deaths!Y20-deaths!X20</f>
        <v>0</v>
      </c>
      <c r="Z20" s="5">
        <f>deaths!Z20-deaths!Y20</f>
        <v>0</v>
      </c>
      <c r="AA20" s="5">
        <f>deaths!AA20-deaths!Z20</f>
        <v>0</v>
      </c>
      <c r="AB20" s="5">
        <f>deaths!AB20-deaths!AA20</f>
        <v>0</v>
      </c>
      <c r="AC20" s="5">
        <f>deaths!AC20-deaths!AB20</f>
        <v>0</v>
      </c>
      <c r="AD20" s="5">
        <f>deaths!AD20-deaths!AC20</f>
        <v>0</v>
      </c>
      <c r="AE20" s="5">
        <f>deaths!AE20-deaths!AD20</f>
        <v>0</v>
      </c>
      <c r="AF20" s="5">
        <f>deaths!AF20-deaths!AE20</f>
        <v>0</v>
      </c>
      <c r="AG20" s="5">
        <f>deaths!AG20-deaths!AF20</f>
        <v>0</v>
      </c>
      <c r="AH20" s="5">
        <f>deaths!AH20-deaths!AG20</f>
        <v>0</v>
      </c>
      <c r="AI20" s="5">
        <f>deaths!AI20-deaths!AH20</f>
        <v>0</v>
      </c>
      <c r="AJ20" s="5">
        <f>deaths!AJ20-deaths!AI20</f>
        <v>0</v>
      </c>
      <c r="AK20" s="5">
        <f>deaths!AK20-deaths!AJ20</f>
        <v>0</v>
      </c>
      <c r="AL20" s="5">
        <f>deaths!AL20-deaths!AK20</f>
        <v>0</v>
      </c>
      <c r="AM20" s="5">
        <f>deaths!AM20-deaths!AL20</f>
        <v>0</v>
      </c>
      <c r="AN20" s="5">
        <f>deaths!AN20-deaths!AM20</f>
        <v>0</v>
      </c>
      <c r="AO20" s="5">
        <f>deaths!AO20-deaths!AN20</f>
        <v>0</v>
      </c>
      <c r="AP20" s="5">
        <f>deaths!AP20-deaths!AO20</f>
        <v>0</v>
      </c>
      <c r="AQ20" s="5">
        <f>deaths!AQ20-deaths!AP20</f>
        <v>0</v>
      </c>
      <c r="AR20" s="5">
        <f>deaths!AR20-deaths!AQ20</f>
        <v>0</v>
      </c>
      <c r="AS20" s="5">
        <f>deaths!AS20-deaths!AR20</f>
        <v>0</v>
      </c>
      <c r="AT20" s="5">
        <f>deaths!AT20-deaths!AS20</f>
        <v>0</v>
      </c>
      <c r="AU20" s="5">
        <f>deaths!AU20-deaths!AT20</f>
        <v>0</v>
      </c>
      <c r="AV20" s="5">
        <f>deaths!AV20-deaths!AU20</f>
        <v>0</v>
      </c>
      <c r="AW20" s="5">
        <f>deaths!AW20-deaths!AV20</f>
        <v>0</v>
      </c>
      <c r="AX20" s="5">
        <f>deaths!AX20-deaths!AW20</f>
        <v>0</v>
      </c>
      <c r="AY20" s="5">
        <f>deaths!AY20-deaths!AX20</f>
        <v>0</v>
      </c>
      <c r="AZ20" s="5">
        <f>deaths!AZ20-deaths!AY20</f>
        <v>0</v>
      </c>
      <c r="BA20" s="5">
        <f>deaths!BA20-deaths!AZ20</f>
        <v>0</v>
      </c>
      <c r="BB20" s="5">
        <f>deaths!BB20-deaths!BA20</f>
        <v>0</v>
      </c>
      <c r="BC20" s="5">
        <f>deaths!BC20-deaths!BB20</f>
        <v>0</v>
      </c>
      <c r="BD20" s="5">
        <f>deaths!BD20-deaths!BC20</f>
        <v>0</v>
      </c>
      <c r="BE20" s="5">
        <f>deaths!BE20-deaths!BD20</f>
        <v>0</v>
      </c>
      <c r="BF20" s="5">
        <f>deaths!BF20-deaths!BE20</f>
        <v>0</v>
      </c>
      <c r="BG20" s="5">
        <f>deaths!BG20-deaths!BF20</f>
        <v>0</v>
      </c>
      <c r="BH20" s="5">
        <f>deaths!BH20-deaths!BG20</f>
        <v>0</v>
      </c>
      <c r="BI20" s="5">
        <f>deaths!BI20-deaths!BH20</f>
        <v>0</v>
      </c>
      <c r="BJ20" s="5">
        <f>deaths!BJ20-deaths!BI20</f>
        <v>0</v>
      </c>
      <c r="BK20" s="5">
        <f>deaths!BK20-deaths!BJ20</f>
        <v>0</v>
      </c>
      <c r="BL20" s="5">
        <f>deaths!BL20-deaths!BK20</f>
        <v>0</v>
      </c>
      <c r="BM20" s="5">
        <f>deaths!BM20-deaths!BL20</f>
        <v>0</v>
      </c>
      <c r="BN20" s="5">
        <f>deaths!BN20-deaths!BM20</f>
        <v>0</v>
      </c>
      <c r="BO20" s="5">
        <f>deaths!BO20-deaths!BN20</f>
        <v>0</v>
      </c>
      <c r="BP20" s="5">
        <f>deaths!BP20-deaths!BO20</f>
        <v>0</v>
      </c>
      <c r="BQ20" s="5">
        <f>deaths!BQ20-deaths!BP20</f>
        <v>0</v>
      </c>
      <c r="BR20" s="5">
        <f>deaths!BR20-deaths!BQ20</f>
        <v>0</v>
      </c>
      <c r="BS20" s="5">
        <f>deaths!BS20-deaths!BR20</f>
        <v>0</v>
      </c>
      <c r="BT20" s="5">
        <f>deaths!BT20-deaths!BS20</f>
        <v>0</v>
      </c>
      <c r="BU20" s="5">
        <f>deaths!BU20-deaths!BT20</f>
        <v>0</v>
      </c>
      <c r="BV20" s="5">
        <f>deaths!BV20-deaths!BU20</f>
        <v>0</v>
      </c>
      <c r="BW20" s="5">
        <f>deaths!BW20-deaths!BV20</f>
        <v>1</v>
      </c>
      <c r="BX20" s="5">
        <f>deaths!BX20-deaths!BW20</f>
        <v>0</v>
      </c>
      <c r="BY20" s="5">
        <f>deaths!BY20-deaths!BX20</f>
        <v>0</v>
      </c>
      <c r="BZ20" s="1">
        <f>deaths!BZ20</f>
        <v>4</v>
      </c>
      <c r="CA20" s="1">
        <f>deaths!CA20</f>
        <v>4</v>
      </c>
      <c r="CB20" s="1">
        <f>deaths!CB20</f>
        <v>5</v>
      </c>
      <c r="CC20" s="1" t="str">
        <f>deaths!CC20</f>
        <v/>
      </c>
    </row>
    <row r="21">
      <c r="B21" s="1" t="str">
        <f>deaths!B21</f>
        <v>Bahrain</v>
      </c>
      <c r="C21" s="4">
        <f>deaths!C21</f>
        <v>26.0275</v>
      </c>
      <c r="D21" s="4">
        <f>deaths!D21</f>
        <v>50.55</v>
      </c>
      <c r="E21" s="5">
        <f>deaths!E21</f>
        <v>0</v>
      </c>
      <c r="F21" s="5">
        <f>deaths!F21-deaths!E21</f>
        <v>0</v>
      </c>
      <c r="G21" s="5">
        <f>deaths!G21-deaths!F21</f>
        <v>0</v>
      </c>
      <c r="H21" s="5">
        <f>deaths!H21-deaths!G21</f>
        <v>0</v>
      </c>
      <c r="I21" s="5">
        <f>deaths!I21-deaths!H21</f>
        <v>0</v>
      </c>
      <c r="J21" s="5">
        <f>deaths!J21-deaths!I21</f>
        <v>0</v>
      </c>
      <c r="K21" s="5">
        <f>deaths!K21-deaths!J21</f>
        <v>0</v>
      </c>
      <c r="L21" s="5">
        <f>deaths!L21-deaths!K21</f>
        <v>0</v>
      </c>
      <c r="M21" s="5">
        <f>deaths!M21-deaths!L21</f>
        <v>0</v>
      </c>
      <c r="N21" s="5">
        <f>deaths!N21-deaths!M21</f>
        <v>0</v>
      </c>
      <c r="O21" s="5">
        <f>deaths!O21-deaths!N21</f>
        <v>0</v>
      </c>
      <c r="P21" s="5">
        <f>deaths!P21-deaths!O21</f>
        <v>0</v>
      </c>
      <c r="Q21" s="5">
        <f>deaths!Q21-deaths!P21</f>
        <v>0</v>
      </c>
      <c r="R21" s="5">
        <f>deaths!R21-deaths!Q21</f>
        <v>0</v>
      </c>
      <c r="S21" s="5">
        <f>deaths!S21-deaths!R21</f>
        <v>0</v>
      </c>
      <c r="T21" s="5">
        <f>deaths!T21-deaths!S21</f>
        <v>0</v>
      </c>
      <c r="U21" s="5">
        <f>deaths!U21-deaths!T21</f>
        <v>0</v>
      </c>
      <c r="V21" s="5">
        <f>deaths!V21-deaths!U21</f>
        <v>0</v>
      </c>
      <c r="W21" s="5">
        <f>deaths!W21-deaths!V21</f>
        <v>0</v>
      </c>
      <c r="X21" s="5">
        <f>deaths!X21-deaths!W21</f>
        <v>0</v>
      </c>
      <c r="Y21" s="5">
        <f>deaths!Y21-deaths!X21</f>
        <v>0</v>
      </c>
      <c r="Z21" s="5">
        <f>deaths!Z21-deaths!Y21</f>
        <v>0</v>
      </c>
      <c r="AA21" s="5">
        <f>deaths!AA21-deaths!Z21</f>
        <v>0</v>
      </c>
      <c r="AB21" s="5">
        <f>deaths!AB21-deaths!AA21</f>
        <v>0</v>
      </c>
      <c r="AC21" s="5">
        <f>deaths!AC21-deaths!AB21</f>
        <v>0</v>
      </c>
      <c r="AD21" s="5">
        <f>deaths!AD21-deaths!AC21</f>
        <v>0</v>
      </c>
      <c r="AE21" s="5">
        <f>deaths!AE21-deaths!AD21</f>
        <v>0</v>
      </c>
      <c r="AF21" s="5">
        <f>deaths!AF21-deaths!AE21</f>
        <v>0</v>
      </c>
      <c r="AG21" s="5">
        <f>deaths!AG21-deaths!AF21</f>
        <v>0</v>
      </c>
      <c r="AH21" s="5">
        <f>deaths!AH21-deaths!AG21</f>
        <v>0</v>
      </c>
      <c r="AI21" s="5">
        <f>deaths!AI21-deaths!AH21</f>
        <v>0</v>
      </c>
      <c r="AJ21" s="5">
        <f>deaths!AJ21-deaths!AI21</f>
        <v>0</v>
      </c>
      <c r="AK21" s="5">
        <f>deaths!AK21-deaths!AJ21</f>
        <v>0</v>
      </c>
      <c r="AL21" s="5">
        <f>deaths!AL21-deaths!AK21</f>
        <v>0</v>
      </c>
      <c r="AM21" s="5">
        <f>deaths!AM21-deaths!AL21</f>
        <v>0</v>
      </c>
      <c r="AN21" s="5">
        <f>deaths!AN21-deaths!AM21</f>
        <v>0</v>
      </c>
      <c r="AO21" s="5">
        <f>deaths!AO21-deaths!AN21</f>
        <v>0</v>
      </c>
      <c r="AP21" s="5">
        <f>deaths!AP21-deaths!AO21</f>
        <v>0</v>
      </c>
      <c r="AQ21" s="5">
        <f>deaths!AQ21-deaths!AP21</f>
        <v>0</v>
      </c>
      <c r="AR21" s="5">
        <f>deaths!AR21-deaths!AQ21</f>
        <v>0</v>
      </c>
      <c r="AS21" s="5">
        <f>deaths!AS21-deaths!AR21</f>
        <v>0</v>
      </c>
      <c r="AT21" s="5">
        <f>deaths!AT21-deaths!AS21</f>
        <v>0</v>
      </c>
      <c r="AU21" s="5">
        <f>deaths!AU21-deaths!AT21</f>
        <v>0</v>
      </c>
      <c r="AV21" s="5">
        <f>deaths!AV21-deaths!AU21</f>
        <v>0</v>
      </c>
      <c r="AW21" s="5">
        <f>deaths!AW21-deaths!AV21</f>
        <v>0</v>
      </c>
      <c r="AX21" s="5">
        <f>deaths!AX21-deaths!AW21</f>
        <v>0</v>
      </c>
      <c r="AY21" s="5">
        <f>deaths!AY21-deaths!AX21</f>
        <v>0</v>
      </c>
      <c r="AZ21" s="5">
        <f>deaths!AZ21-deaths!AY21</f>
        <v>0</v>
      </c>
      <c r="BA21" s="5">
        <f>deaths!BA21-deaths!AZ21</f>
        <v>0</v>
      </c>
      <c r="BB21" s="5">
        <f>deaths!BB21-deaths!BA21</f>
        <v>0</v>
      </c>
      <c r="BC21" s="5">
        <f>deaths!BC21-deaths!BB21</f>
        <v>0</v>
      </c>
      <c r="BD21" s="5">
        <f>deaths!BD21-deaths!BC21</f>
        <v>0</v>
      </c>
      <c r="BE21" s="5">
        <f>deaths!BE21-deaths!BD21</f>
        <v>0</v>
      </c>
      <c r="BF21" s="5">
        <f>deaths!BF21-deaths!BE21</f>
        <v>0</v>
      </c>
      <c r="BG21" s="5">
        <f>deaths!BG21-deaths!BF21</f>
        <v>1</v>
      </c>
      <c r="BH21" s="5">
        <f>deaths!BH21-deaths!BG21</f>
        <v>0</v>
      </c>
      <c r="BI21" s="5">
        <f>deaths!BI21-deaths!BH21</f>
        <v>0</v>
      </c>
      <c r="BJ21" s="5">
        <f>deaths!BJ21-deaths!BI21</f>
        <v>0</v>
      </c>
      <c r="BK21" s="5">
        <f>deaths!BK21-deaths!BJ21</f>
        <v>0</v>
      </c>
      <c r="BL21" s="5">
        <f>deaths!BL21-deaths!BK21</f>
        <v>0</v>
      </c>
      <c r="BM21" s="5">
        <f>deaths!BM21-deaths!BL21</f>
        <v>1</v>
      </c>
      <c r="BN21" s="5">
        <f>deaths!BN21-deaths!BM21</f>
        <v>0</v>
      </c>
      <c r="BO21" s="5">
        <f>deaths!BO21-deaths!BN21</f>
        <v>1</v>
      </c>
      <c r="BP21" s="5">
        <f>deaths!BP21-deaths!BO21</f>
        <v>1</v>
      </c>
      <c r="BQ21" s="5">
        <f>deaths!BQ21-deaths!BP21</f>
        <v>0</v>
      </c>
      <c r="BR21" s="5">
        <f>deaths!BR21-deaths!BQ21</f>
        <v>0</v>
      </c>
      <c r="BS21" s="5">
        <f>deaths!BS21-deaths!BR21</f>
        <v>0</v>
      </c>
      <c r="BT21" s="5">
        <f>deaths!BT21-deaths!BS21</f>
        <v>0</v>
      </c>
      <c r="BU21" s="5">
        <f>deaths!BU21-deaths!BT21</f>
        <v>0</v>
      </c>
      <c r="BV21" s="5">
        <f>deaths!BV21-deaths!BU21</f>
        <v>0</v>
      </c>
      <c r="BW21" s="5">
        <f>deaths!BW21-deaths!BV21</f>
        <v>0</v>
      </c>
      <c r="BX21" s="5">
        <f>deaths!BX21-deaths!BW21</f>
        <v>0</v>
      </c>
      <c r="BY21" s="5">
        <f>deaths!BY21-deaths!BX21</f>
        <v>0</v>
      </c>
      <c r="BZ21" s="1">
        <f>deaths!BZ21</f>
        <v>4</v>
      </c>
      <c r="CA21" s="1">
        <f>deaths!CA21</f>
        <v>4</v>
      </c>
      <c r="CB21" s="1">
        <f>deaths!CB21</f>
        <v>4</v>
      </c>
      <c r="CC21" s="1" t="str">
        <f>deaths!CC21</f>
        <v/>
      </c>
    </row>
    <row r="22">
      <c r="B22" s="1" t="str">
        <f>deaths!B22</f>
        <v>Bangladesh</v>
      </c>
      <c r="C22" s="4">
        <f>deaths!C22</f>
        <v>23.685</v>
      </c>
      <c r="D22" s="4">
        <f>deaths!D22</f>
        <v>90.3563</v>
      </c>
      <c r="E22" s="5">
        <f>deaths!E22</f>
        <v>0</v>
      </c>
      <c r="F22" s="5">
        <f>deaths!F22-deaths!E22</f>
        <v>0</v>
      </c>
      <c r="G22" s="5">
        <f>deaths!G22-deaths!F22</f>
        <v>0</v>
      </c>
      <c r="H22" s="5">
        <f>deaths!H22-deaths!G22</f>
        <v>0</v>
      </c>
      <c r="I22" s="5">
        <f>deaths!I22-deaths!H22</f>
        <v>0</v>
      </c>
      <c r="J22" s="5">
        <f>deaths!J22-deaths!I22</f>
        <v>0</v>
      </c>
      <c r="K22" s="5">
        <f>deaths!K22-deaths!J22</f>
        <v>0</v>
      </c>
      <c r="L22" s="5">
        <f>deaths!L22-deaths!K22</f>
        <v>0</v>
      </c>
      <c r="M22" s="5">
        <f>deaths!M22-deaths!L22</f>
        <v>0</v>
      </c>
      <c r="N22" s="5">
        <f>deaths!N22-deaths!M22</f>
        <v>0</v>
      </c>
      <c r="O22" s="5">
        <f>deaths!O22-deaths!N22</f>
        <v>0</v>
      </c>
      <c r="P22" s="5">
        <f>deaths!P22-deaths!O22</f>
        <v>0</v>
      </c>
      <c r="Q22" s="5">
        <f>deaths!Q22-deaths!P22</f>
        <v>0</v>
      </c>
      <c r="R22" s="5">
        <f>deaths!R22-deaths!Q22</f>
        <v>0</v>
      </c>
      <c r="S22" s="5">
        <f>deaths!S22-deaths!R22</f>
        <v>0</v>
      </c>
      <c r="T22" s="5">
        <f>deaths!T22-deaths!S22</f>
        <v>0</v>
      </c>
      <c r="U22" s="5">
        <f>deaths!U22-deaths!T22</f>
        <v>0</v>
      </c>
      <c r="V22" s="5">
        <f>deaths!V22-deaths!U22</f>
        <v>0</v>
      </c>
      <c r="W22" s="5">
        <f>deaths!W22-deaths!V22</f>
        <v>0</v>
      </c>
      <c r="X22" s="5">
        <f>deaths!X22-deaths!W22</f>
        <v>0</v>
      </c>
      <c r="Y22" s="5">
        <f>deaths!Y22-deaths!X22</f>
        <v>0</v>
      </c>
      <c r="Z22" s="5">
        <f>deaths!Z22-deaths!Y22</f>
        <v>0</v>
      </c>
      <c r="AA22" s="5">
        <f>deaths!AA22-deaths!Z22</f>
        <v>0</v>
      </c>
      <c r="AB22" s="5">
        <f>deaths!AB22-deaths!AA22</f>
        <v>0</v>
      </c>
      <c r="AC22" s="5">
        <f>deaths!AC22-deaths!AB22</f>
        <v>0</v>
      </c>
      <c r="AD22" s="5">
        <f>deaths!AD22-deaths!AC22</f>
        <v>0</v>
      </c>
      <c r="AE22" s="5">
        <f>deaths!AE22-deaths!AD22</f>
        <v>0</v>
      </c>
      <c r="AF22" s="5">
        <f>deaths!AF22-deaths!AE22</f>
        <v>0</v>
      </c>
      <c r="AG22" s="5">
        <f>deaths!AG22-deaths!AF22</f>
        <v>0</v>
      </c>
      <c r="AH22" s="5">
        <f>deaths!AH22-deaths!AG22</f>
        <v>0</v>
      </c>
      <c r="AI22" s="5">
        <f>deaths!AI22-deaths!AH22</f>
        <v>0</v>
      </c>
      <c r="AJ22" s="5">
        <f>deaths!AJ22-deaths!AI22</f>
        <v>0</v>
      </c>
      <c r="AK22" s="5">
        <f>deaths!AK22-deaths!AJ22</f>
        <v>0</v>
      </c>
      <c r="AL22" s="5">
        <f>deaths!AL22-deaths!AK22</f>
        <v>0</v>
      </c>
      <c r="AM22" s="5">
        <f>deaths!AM22-deaths!AL22</f>
        <v>0</v>
      </c>
      <c r="AN22" s="5">
        <f>deaths!AN22-deaths!AM22</f>
        <v>0</v>
      </c>
      <c r="AO22" s="5">
        <f>deaths!AO22-deaths!AN22</f>
        <v>0</v>
      </c>
      <c r="AP22" s="5">
        <f>deaths!AP22-deaths!AO22</f>
        <v>0</v>
      </c>
      <c r="AQ22" s="5">
        <f>deaths!AQ22-deaths!AP22</f>
        <v>0</v>
      </c>
      <c r="AR22" s="5">
        <f>deaths!AR22-deaths!AQ22</f>
        <v>0</v>
      </c>
      <c r="AS22" s="5">
        <f>deaths!AS22-deaths!AR22</f>
        <v>0</v>
      </c>
      <c r="AT22" s="5">
        <f>deaths!AT22-deaths!AS22</f>
        <v>0</v>
      </c>
      <c r="AU22" s="5">
        <f>deaths!AU22-deaths!AT22</f>
        <v>0</v>
      </c>
      <c r="AV22" s="5">
        <f>deaths!AV22-deaths!AU22</f>
        <v>0</v>
      </c>
      <c r="AW22" s="5">
        <f>deaths!AW22-deaths!AV22</f>
        <v>0</v>
      </c>
      <c r="AX22" s="5">
        <f>deaths!AX22-deaths!AW22</f>
        <v>0</v>
      </c>
      <c r="AY22" s="5">
        <f>deaths!AY22-deaths!AX22</f>
        <v>0</v>
      </c>
      <c r="AZ22" s="5">
        <f>deaths!AZ22-deaths!AY22</f>
        <v>0</v>
      </c>
      <c r="BA22" s="5">
        <f>deaths!BA22-deaths!AZ22</f>
        <v>0</v>
      </c>
      <c r="BB22" s="5">
        <f>deaths!BB22-deaths!BA22</f>
        <v>0</v>
      </c>
      <c r="BC22" s="5">
        <f>deaths!BC22-deaths!BB22</f>
        <v>0</v>
      </c>
      <c r="BD22" s="5">
        <f>deaths!BD22-deaths!BC22</f>
        <v>0</v>
      </c>
      <c r="BE22" s="5">
        <f>deaths!BE22-deaths!BD22</f>
        <v>0</v>
      </c>
      <c r="BF22" s="5">
        <f>deaths!BF22-deaths!BE22</f>
        <v>0</v>
      </c>
      <c r="BG22" s="5">
        <f>deaths!BG22-deaths!BF22</f>
        <v>0</v>
      </c>
      <c r="BH22" s="5">
        <f>deaths!BH22-deaths!BG22</f>
        <v>0</v>
      </c>
      <c r="BI22" s="5">
        <f>deaths!BI22-deaths!BH22</f>
        <v>1</v>
      </c>
      <c r="BJ22" s="5">
        <f>deaths!BJ22-deaths!BI22</f>
        <v>0</v>
      </c>
      <c r="BK22" s="5">
        <f>deaths!BK22-deaths!BJ22</f>
        <v>0</v>
      </c>
      <c r="BL22" s="5">
        <f>deaths!BL22-deaths!BK22</f>
        <v>1</v>
      </c>
      <c r="BM22" s="5">
        <f>deaths!BM22-deaths!BL22</f>
        <v>0</v>
      </c>
      <c r="BN22" s="5">
        <f>deaths!BN22-deaths!BM22</f>
        <v>1</v>
      </c>
      <c r="BO22" s="5">
        <f>deaths!BO22-deaths!BN22</f>
        <v>1</v>
      </c>
      <c r="BP22" s="5">
        <f>deaths!BP22-deaths!BO22</f>
        <v>1</v>
      </c>
      <c r="BQ22" s="5">
        <f>deaths!BQ22-deaths!BP22</f>
        <v>0</v>
      </c>
      <c r="BR22" s="5">
        <f>deaths!BR22-deaths!BQ22</f>
        <v>0</v>
      </c>
      <c r="BS22" s="5">
        <f>deaths!BS22-deaths!BR22</f>
        <v>0</v>
      </c>
      <c r="BT22" s="5">
        <f>deaths!BT22-deaths!BS22</f>
        <v>0</v>
      </c>
      <c r="BU22" s="5">
        <f>deaths!BU22-deaths!BT22</f>
        <v>0</v>
      </c>
      <c r="BV22" s="5">
        <f>deaths!BV22-deaths!BU22</f>
        <v>0</v>
      </c>
      <c r="BW22" s="5">
        <f>deaths!BW22-deaths!BV22</f>
        <v>1</v>
      </c>
      <c r="BX22" s="5">
        <f>deaths!BX22-deaths!BW22</f>
        <v>0</v>
      </c>
      <c r="BY22" s="5">
        <f>deaths!BY22-deaths!BX22</f>
        <v>0</v>
      </c>
      <c r="BZ22" s="1">
        <f>deaths!BZ22</f>
        <v>8</v>
      </c>
      <c r="CA22" s="1">
        <f>deaths!CA22</f>
        <v>9</v>
      </c>
      <c r="CB22" s="1">
        <f>deaths!CB22</f>
        <v>12</v>
      </c>
      <c r="CC22" s="1" t="str">
        <f>deaths!CC22</f>
        <v/>
      </c>
    </row>
    <row r="23">
      <c r="B23" s="1" t="str">
        <f>deaths!B23</f>
        <v>Barbados</v>
      </c>
      <c r="C23" s="4">
        <f>deaths!C23</f>
        <v>13.1939</v>
      </c>
      <c r="D23" s="4">
        <f>deaths!D23</f>
        <v>-59.5432</v>
      </c>
      <c r="E23" s="5">
        <f>deaths!E23</f>
        <v>0</v>
      </c>
      <c r="F23" s="5">
        <f>deaths!F23-deaths!E23</f>
        <v>0</v>
      </c>
      <c r="G23" s="5">
        <f>deaths!G23-deaths!F23</f>
        <v>0</v>
      </c>
      <c r="H23" s="5">
        <f>deaths!H23-deaths!G23</f>
        <v>0</v>
      </c>
      <c r="I23" s="5">
        <f>deaths!I23-deaths!H23</f>
        <v>0</v>
      </c>
      <c r="J23" s="5">
        <f>deaths!J23-deaths!I23</f>
        <v>0</v>
      </c>
      <c r="K23" s="5">
        <f>deaths!K23-deaths!J23</f>
        <v>0</v>
      </c>
      <c r="L23" s="5">
        <f>deaths!L23-deaths!K23</f>
        <v>0</v>
      </c>
      <c r="M23" s="5">
        <f>deaths!M23-deaths!L23</f>
        <v>0</v>
      </c>
      <c r="N23" s="5">
        <f>deaths!N23-deaths!M23</f>
        <v>0</v>
      </c>
      <c r="O23" s="5">
        <f>deaths!O23-deaths!N23</f>
        <v>0</v>
      </c>
      <c r="P23" s="5">
        <f>deaths!P23-deaths!O23</f>
        <v>0</v>
      </c>
      <c r="Q23" s="5">
        <f>deaths!Q23-deaths!P23</f>
        <v>0</v>
      </c>
      <c r="R23" s="5">
        <f>deaths!R23-deaths!Q23</f>
        <v>0</v>
      </c>
      <c r="S23" s="5">
        <f>deaths!S23-deaths!R23</f>
        <v>0</v>
      </c>
      <c r="T23" s="5">
        <f>deaths!T23-deaths!S23</f>
        <v>0</v>
      </c>
      <c r="U23" s="5">
        <f>deaths!U23-deaths!T23</f>
        <v>0</v>
      </c>
      <c r="V23" s="5">
        <f>deaths!V23-deaths!U23</f>
        <v>0</v>
      </c>
      <c r="W23" s="5">
        <f>deaths!W23-deaths!V23</f>
        <v>0</v>
      </c>
      <c r="X23" s="5">
        <f>deaths!X23-deaths!W23</f>
        <v>0</v>
      </c>
      <c r="Y23" s="5">
        <f>deaths!Y23-deaths!X23</f>
        <v>0</v>
      </c>
      <c r="Z23" s="5">
        <f>deaths!Z23-deaths!Y23</f>
        <v>0</v>
      </c>
      <c r="AA23" s="5">
        <f>deaths!AA23-deaths!Z23</f>
        <v>0</v>
      </c>
      <c r="AB23" s="5">
        <f>deaths!AB23-deaths!AA23</f>
        <v>0</v>
      </c>
      <c r="AC23" s="5">
        <f>deaths!AC23-deaths!AB23</f>
        <v>0</v>
      </c>
      <c r="AD23" s="5">
        <f>deaths!AD23-deaths!AC23</f>
        <v>0</v>
      </c>
      <c r="AE23" s="5">
        <f>deaths!AE23-deaths!AD23</f>
        <v>0</v>
      </c>
      <c r="AF23" s="5">
        <f>deaths!AF23-deaths!AE23</f>
        <v>0</v>
      </c>
      <c r="AG23" s="5">
        <f>deaths!AG23-deaths!AF23</f>
        <v>0</v>
      </c>
      <c r="AH23" s="5">
        <f>deaths!AH23-deaths!AG23</f>
        <v>0</v>
      </c>
      <c r="AI23" s="5">
        <f>deaths!AI23-deaths!AH23</f>
        <v>0</v>
      </c>
      <c r="AJ23" s="5">
        <f>deaths!AJ23-deaths!AI23</f>
        <v>0</v>
      </c>
      <c r="AK23" s="5">
        <f>deaths!AK23-deaths!AJ23</f>
        <v>0</v>
      </c>
      <c r="AL23" s="5">
        <f>deaths!AL23-deaths!AK23</f>
        <v>0</v>
      </c>
      <c r="AM23" s="5">
        <f>deaths!AM23-deaths!AL23</f>
        <v>0</v>
      </c>
      <c r="AN23" s="5">
        <f>deaths!AN23-deaths!AM23</f>
        <v>0</v>
      </c>
      <c r="AO23" s="5">
        <f>deaths!AO23-deaths!AN23</f>
        <v>0</v>
      </c>
      <c r="AP23" s="5">
        <f>deaths!AP23-deaths!AO23</f>
        <v>0</v>
      </c>
      <c r="AQ23" s="5">
        <f>deaths!AQ23-deaths!AP23</f>
        <v>0</v>
      </c>
      <c r="AR23" s="5">
        <f>deaths!AR23-deaths!AQ23</f>
        <v>0</v>
      </c>
      <c r="AS23" s="5">
        <f>deaths!AS23-deaths!AR23</f>
        <v>0</v>
      </c>
      <c r="AT23" s="5">
        <f>deaths!AT23-deaths!AS23</f>
        <v>0</v>
      </c>
      <c r="AU23" s="5">
        <f>deaths!AU23-deaths!AT23</f>
        <v>0</v>
      </c>
      <c r="AV23" s="5">
        <f>deaths!AV23-deaths!AU23</f>
        <v>0</v>
      </c>
      <c r="AW23" s="5">
        <f>deaths!AW23-deaths!AV23</f>
        <v>0</v>
      </c>
      <c r="AX23" s="5">
        <f>deaths!AX23-deaths!AW23</f>
        <v>0</v>
      </c>
      <c r="AY23" s="5">
        <f>deaths!AY23-deaths!AX23</f>
        <v>0</v>
      </c>
      <c r="AZ23" s="5">
        <f>deaths!AZ23-deaths!AY23</f>
        <v>0</v>
      </c>
      <c r="BA23" s="5">
        <f>deaths!BA23-deaths!AZ23</f>
        <v>0</v>
      </c>
      <c r="BB23" s="5">
        <f>deaths!BB23-deaths!BA23</f>
        <v>0</v>
      </c>
      <c r="BC23" s="5">
        <f>deaths!BC23-deaths!BB23</f>
        <v>0</v>
      </c>
      <c r="BD23" s="5">
        <f>deaths!BD23-deaths!BC23</f>
        <v>0</v>
      </c>
      <c r="BE23" s="5">
        <f>deaths!BE23-deaths!BD23</f>
        <v>0</v>
      </c>
      <c r="BF23" s="5">
        <f>deaths!BF23-deaths!BE23</f>
        <v>0</v>
      </c>
      <c r="BG23" s="5">
        <f>deaths!BG23-deaths!BF23</f>
        <v>0</v>
      </c>
      <c r="BH23" s="5">
        <f>deaths!BH23-deaths!BG23</f>
        <v>0</v>
      </c>
      <c r="BI23" s="5">
        <f>deaths!BI23-deaths!BH23</f>
        <v>0</v>
      </c>
      <c r="BJ23" s="5">
        <f>deaths!BJ23-deaths!BI23</f>
        <v>0</v>
      </c>
      <c r="BK23" s="5">
        <f>deaths!BK23-deaths!BJ23</f>
        <v>0</v>
      </c>
      <c r="BL23" s="5">
        <f>deaths!BL23-deaths!BK23</f>
        <v>0</v>
      </c>
      <c r="BM23" s="5">
        <f>deaths!BM23-deaths!BL23</f>
        <v>0</v>
      </c>
      <c r="BN23" s="5">
        <f>deaths!BN23-deaths!BM23</f>
        <v>0</v>
      </c>
      <c r="BO23" s="5">
        <f>deaths!BO23-deaths!BN23</f>
        <v>0</v>
      </c>
      <c r="BP23" s="5">
        <f>deaths!BP23-deaths!BO23</f>
        <v>0</v>
      </c>
      <c r="BQ23" s="5">
        <f>deaths!BQ23-deaths!BP23</f>
        <v>0</v>
      </c>
      <c r="BR23" s="5">
        <f>deaths!BR23-deaths!BQ23</f>
        <v>0</v>
      </c>
      <c r="BS23" s="5">
        <f>deaths!BS23-deaths!BR23</f>
        <v>0</v>
      </c>
      <c r="BT23" s="5">
        <f>deaths!BT23-deaths!BS23</f>
        <v>0</v>
      </c>
      <c r="BU23" s="5">
        <f>deaths!BU23-deaths!BT23</f>
        <v>0</v>
      </c>
      <c r="BV23" s="5">
        <f>deaths!BV23-deaths!BU23</f>
        <v>0</v>
      </c>
      <c r="BW23" s="5">
        <f>deaths!BW23-deaths!BV23</f>
        <v>0</v>
      </c>
      <c r="BX23" s="5">
        <f>deaths!BX23-deaths!BW23</f>
        <v>0</v>
      </c>
      <c r="BY23" s="5">
        <f>deaths!BY23-deaths!BX23</f>
        <v>0</v>
      </c>
      <c r="BZ23" s="1">
        <f>deaths!BZ23</f>
        <v>0</v>
      </c>
      <c r="CA23" s="1">
        <f>deaths!CA23</f>
        <v>1</v>
      </c>
      <c r="CB23" s="1">
        <f>deaths!CB23</f>
        <v>2</v>
      </c>
      <c r="CC23" s="1" t="str">
        <f>deaths!CC23</f>
        <v/>
      </c>
    </row>
    <row r="24">
      <c r="B24" s="1" t="str">
        <f>deaths!B24</f>
        <v>Belarus</v>
      </c>
      <c r="C24" s="4">
        <f>deaths!C24</f>
        <v>53.7098</v>
      </c>
      <c r="D24" s="4">
        <f>deaths!D24</f>
        <v>27.9534</v>
      </c>
      <c r="E24" s="5">
        <f>deaths!E24</f>
        <v>0</v>
      </c>
      <c r="F24" s="5">
        <f>deaths!F24-deaths!E24</f>
        <v>0</v>
      </c>
      <c r="G24" s="5">
        <f>deaths!G24-deaths!F24</f>
        <v>0</v>
      </c>
      <c r="H24" s="5">
        <f>deaths!H24-deaths!G24</f>
        <v>0</v>
      </c>
      <c r="I24" s="5">
        <f>deaths!I24-deaths!H24</f>
        <v>0</v>
      </c>
      <c r="J24" s="5">
        <f>deaths!J24-deaths!I24</f>
        <v>0</v>
      </c>
      <c r="K24" s="5">
        <f>deaths!K24-deaths!J24</f>
        <v>0</v>
      </c>
      <c r="L24" s="5">
        <f>deaths!L24-deaths!K24</f>
        <v>0</v>
      </c>
      <c r="M24" s="5">
        <f>deaths!M24-deaths!L24</f>
        <v>0</v>
      </c>
      <c r="N24" s="5">
        <f>deaths!N24-deaths!M24</f>
        <v>0</v>
      </c>
      <c r="O24" s="5">
        <f>deaths!O24-deaths!N24</f>
        <v>0</v>
      </c>
      <c r="P24" s="5">
        <f>deaths!P24-deaths!O24</f>
        <v>0</v>
      </c>
      <c r="Q24" s="5">
        <f>deaths!Q24-deaths!P24</f>
        <v>0</v>
      </c>
      <c r="R24" s="5">
        <f>deaths!R24-deaths!Q24</f>
        <v>0</v>
      </c>
      <c r="S24" s="5">
        <f>deaths!S24-deaths!R24</f>
        <v>0</v>
      </c>
      <c r="T24" s="5">
        <f>deaths!T24-deaths!S24</f>
        <v>0</v>
      </c>
      <c r="U24" s="5">
        <f>deaths!U24-deaths!T24</f>
        <v>0</v>
      </c>
      <c r="V24" s="5">
        <f>deaths!V24-deaths!U24</f>
        <v>0</v>
      </c>
      <c r="W24" s="5">
        <f>deaths!W24-deaths!V24</f>
        <v>0</v>
      </c>
      <c r="X24" s="5">
        <f>deaths!X24-deaths!W24</f>
        <v>0</v>
      </c>
      <c r="Y24" s="5">
        <f>deaths!Y24-deaths!X24</f>
        <v>0</v>
      </c>
      <c r="Z24" s="5">
        <f>deaths!Z24-deaths!Y24</f>
        <v>0</v>
      </c>
      <c r="AA24" s="5">
        <f>deaths!AA24-deaths!Z24</f>
        <v>0</v>
      </c>
      <c r="AB24" s="5">
        <f>deaths!AB24-deaths!AA24</f>
        <v>0</v>
      </c>
      <c r="AC24" s="5">
        <f>deaths!AC24-deaths!AB24</f>
        <v>0</v>
      </c>
      <c r="AD24" s="5">
        <f>deaths!AD24-deaths!AC24</f>
        <v>0</v>
      </c>
      <c r="AE24" s="5">
        <f>deaths!AE24-deaths!AD24</f>
        <v>0</v>
      </c>
      <c r="AF24" s="5">
        <f>deaths!AF24-deaths!AE24</f>
        <v>0</v>
      </c>
      <c r="AG24" s="5">
        <f>deaths!AG24-deaths!AF24</f>
        <v>0</v>
      </c>
      <c r="AH24" s="5">
        <f>deaths!AH24-deaths!AG24</f>
        <v>0</v>
      </c>
      <c r="AI24" s="5">
        <f>deaths!AI24-deaths!AH24</f>
        <v>0</v>
      </c>
      <c r="AJ24" s="5">
        <f>deaths!AJ24-deaths!AI24</f>
        <v>0</v>
      </c>
      <c r="AK24" s="5">
        <f>deaths!AK24-deaths!AJ24</f>
        <v>0</v>
      </c>
      <c r="AL24" s="5">
        <f>deaths!AL24-deaths!AK24</f>
        <v>0</v>
      </c>
      <c r="AM24" s="5">
        <f>deaths!AM24-deaths!AL24</f>
        <v>0</v>
      </c>
      <c r="AN24" s="5">
        <f>deaths!AN24-deaths!AM24</f>
        <v>0</v>
      </c>
      <c r="AO24" s="5">
        <f>deaths!AO24-deaths!AN24</f>
        <v>0</v>
      </c>
      <c r="AP24" s="5">
        <f>deaths!AP24-deaths!AO24</f>
        <v>0</v>
      </c>
      <c r="AQ24" s="5">
        <f>deaths!AQ24-deaths!AP24</f>
        <v>0</v>
      </c>
      <c r="AR24" s="5">
        <f>deaths!AR24-deaths!AQ24</f>
        <v>0</v>
      </c>
      <c r="AS24" s="5">
        <f>deaths!AS24-deaths!AR24</f>
        <v>0</v>
      </c>
      <c r="AT24" s="5">
        <f>deaths!AT24-deaths!AS24</f>
        <v>0</v>
      </c>
      <c r="AU24" s="5">
        <f>deaths!AU24-deaths!AT24</f>
        <v>0</v>
      </c>
      <c r="AV24" s="5">
        <f>deaths!AV24-deaths!AU24</f>
        <v>0</v>
      </c>
      <c r="AW24" s="5">
        <f>deaths!AW24-deaths!AV24</f>
        <v>0</v>
      </c>
      <c r="AX24" s="5">
        <f>deaths!AX24-deaths!AW24</f>
        <v>0</v>
      </c>
      <c r="AY24" s="5">
        <f>deaths!AY24-deaths!AX24</f>
        <v>0</v>
      </c>
      <c r="AZ24" s="5">
        <f>deaths!AZ24-deaths!AY24</f>
        <v>0</v>
      </c>
      <c r="BA24" s="5">
        <f>deaths!BA24-deaths!AZ24</f>
        <v>0</v>
      </c>
      <c r="BB24" s="5">
        <f>deaths!BB24-deaths!BA24</f>
        <v>0</v>
      </c>
      <c r="BC24" s="5">
        <f>deaths!BC24-deaths!BB24</f>
        <v>0</v>
      </c>
      <c r="BD24" s="5">
        <f>deaths!BD24-deaths!BC24</f>
        <v>0</v>
      </c>
      <c r="BE24" s="5">
        <f>deaths!BE24-deaths!BD24</f>
        <v>0</v>
      </c>
      <c r="BF24" s="5">
        <f>deaths!BF24-deaths!BE24</f>
        <v>0</v>
      </c>
      <c r="BG24" s="5">
        <f>deaths!BG24-deaths!BF24</f>
        <v>0</v>
      </c>
      <c r="BH24" s="5">
        <f>deaths!BH24-deaths!BG24</f>
        <v>0</v>
      </c>
      <c r="BI24" s="5">
        <f>deaths!BI24-deaths!BH24</f>
        <v>0</v>
      </c>
      <c r="BJ24" s="5">
        <f>deaths!BJ24-deaths!BI24</f>
        <v>0</v>
      </c>
      <c r="BK24" s="5">
        <f>deaths!BK24-deaths!BJ24</f>
        <v>0</v>
      </c>
      <c r="BL24" s="5">
        <f>deaths!BL24-deaths!BK24</f>
        <v>0</v>
      </c>
      <c r="BM24" s="5">
        <f>deaths!BM24-deaths!BL24</f>
        <v>0</v>
      </c>
      <c r="BN24" s="5">
        <f>deaths!BN24-deaths!BM24</f>
        <v>0</v>
      </c>
      <c r="BO24" s="5">
        <f>deaths!BO24-deaths!BN24</f>
        <v>0</v>
      </c>
      <c r="BP24" s="5">
        <f>deaths!BP24-deaths!BO24</f>
        <v>0</v>
      </c>
      <c r="BQ24" s="5">
        <f>deaths!BQ24-deaths!BP24</f>
        <v>0</v>
      </c>
      <c r="BR24" s="5">
        <f>deaths!BR24-deaths!BQ24</f>
        <v>0</v>
      </c>
      <c r="BS24" s="5">
        <f>deaths!BS24-deaths!BR24</f>
        <v>0</v>
      </c>
      <c r="BT24" s="5">
        <f>deaths!BT24-deaths!BS24</f>
        <v>0</v>
      </c>
      <c r="BU24" s="5">
        <f>deaths!BU24-deaths!BT24</f>
        <v>0</v>
      </c>
      <c r="BV24" s="5">
        <f>deaths!BV24-deaths!BU24</f>
        <v>1</v>
      </c>
      <c r="BW24" s="5">
        <f>deaths!BW24-deaths!BV24</f>
        <v>1</v>
      </c>
      <c r="BX24" s="5">
        <f>deaths!BX24-deaths!BW24</f>
        <v>2</v>
      </c>
      <c r="BY24" s="5">
        <f>deaths!BY24-deaths!BX24</f>
        <v>0</v>
      </c>
      <c r="BZ24" s="1">
        <f>deaths!BZ24</f>
        <v>5</v>
      </c>
      <c r="CA24" s="1">
        <f>deaths!CA24</f>
        <v>8</v>
      </c>
      <c r="CB24" s="1">
        <f>deaths!CB24</f>
        <v>13</v>
      </c>
      <c r="CC24" s="1" t="str">
        <f>deaths!CC24</f>
        <v/>
      </c>
    </row>
    <row r="25">
      <c r="B25" s="1" t="str">
        <f>deaths!B25</f>
        <v>Belgium</v>
      </c>
      <c r="C25" s="4">
        <f>deaths!C25</f>
        <v>50.8333</v>
      </c>
      <c r="D25" s="4">
        <f>deaths!D25</f>
        <v>4</v>
      </c>
      <c r="E25" s="5">
        <f>deaths!E25</f>
        <v>0</v>
      </c>
      <c r="F25" s="5">
        <f>deaths!F25-deaths!E25</f>
        <v>0</v>
      </c>
      <c r="G25" s="5">
        <f>deaths!G25-deaths!F25</f>
        <v>0</v>
      </c>
      <c r="H25" s="5">
        <f>deaths!H25-deaths!G25</f>
        <v>0</v>
      </c>
      <c r="I25" s="5">
        <f>deaths!I25-deaths!H25</f>
        <v>0</v>
      </c>
      <c r="J25" s="5">
        <f>deaths!J25-deaths!I25</f>
        <v>0</v>
      </c>
      <c r="K25" s="5">
        <f>deaths!K25-deaths!J25</f>
        <v>0</v>
      </c>
      <c r="L25" s="5">
        <f>deaths!L25-deaths!K25</f>
        <v>0</v>
      </c>
      <c r="M25" s="5">
        <f>deaths!M25-deaths!L25</f>
        <v>0</v>
      </c>
      <c r="N25" s="5">
        <f>deaths!N25-deaths!M25</f>
        <v>0</v>
      </c>
      <c r="O25" s="5">
        <f>deaths!O25-deaths!N25</f>
        <v>0</v>
      </c>
      <c r="P25" s="5">
        <f>deaths!P25-deaths!O25</f>
        <v>0</v>
      </c>
      <c r="Q25" s="5">
        <f>deaths!Q25-deaths!P25</f>
        <v>0</v>
      </c>
      <c r="R25" s="5">
        <f>deaths!R25-deaths!Q25</f>
        <v>0</v>
      </c>
      <c r="S25" s="5">
        <f>deaths!S25-deaths!R25</f>
        <v>0</v>
      </c>
      <c r="T25" s="5">
        <f>deaths!T25-deaths!S25</f>
        <v>0</v>
      </c>
      <c r="U25" s="5">
        <f>deaths!U25-deaths!T25</f>
        <v>0</v>
      </c>
      <c r="V25" s="5">
        <f>deaths!V25-deaths!U25</f>
        <v>0</v>
      </c>
      <c r="W25" s="5">
        <f>deaths!W25-deaths!V25</f>
        <v>0</v>
      </c>
      <c r="X25" s="5">
        <f>deaths!X25-deaths!W25</f>
        <v>0</v>
      </c>
      <c r="Y25" s="5">
        <f>deaths!Y25-deaths!X25</f>
        <v>0</v>
      </c>
      <c r="Z25" s="5">
        <f>deaths!Z25-deaths!Y25</f>
        <v>0</v>
      </c>
      <c r="AA25" s="5">
        <f>deaths!AA25-deaths!Z25</f>
        <v>0</v>
      </c>
      <c r="AB25" s="5">
        <f>deaths!AB25-deaths!AA25</f>
        <v>0</v>
      </c>
      <c r="AC25" s="5">
        <f>deaths!AC25-deaths!AB25</f>
        <v>0</v>
      </c>
      <c r="AD25" s="5">
        <f>deaths!AD25-deaths!AC25</f>
        <v>0</v>
      </c>
      <c r="AE25" s="5">
        <f>deaths!AE25-deaths!AD25</f>
        <v>0</v>
      </c>
      <c r="AF25" s="5">
        <f>deaths!AF25-deaths!AE25</f>
        <v>0</v>
      </c>
      <c r="AG25" s="5">
        <f>deaths!AG25-deaths!AF25</f>
        <v>0</v>
      </c>
      <c r="AH25" s="5">
        <f>deaths!AH25-deaths!AG25</f>
        <v>0</v>
      </c>
      <c r="AI25" s="5">
        <f>deaths!AI25-deaths!AH25</f>
        <v>0</v>
      </c>
      <c r="AJ25" s="5">
        <f>deaths!AJ25-deaths!AI25</f>
        <v>0</v>
      </c>
      <c r="AK25" s="5">
        <f>deaths!AK25-deaths!AJ25</f>
        <v>0</v>
      </c>
      <c r="AL25" s="5">
        <f>deaths!AL25-deaths!AK25</f>
        <v>0</v>
      </c>
      <c r="AM25" s="5">
        <f>deaths!AM25-deaths!AL25</f>
        <v>0</v>
      </c>
      <c r="AN25" s="5">
        <f>deaths!AN25-deaths!AM25</f>
        <v>0</v>
      </c>
      <c r="AO25" s="5">
        <f>deaths!AO25-deaths!AN25</f>
        <v>0</v>
      </c>
      <c r="AP25" s="5">
        <f>deaths!AP25-deaths!AO25</f>
        <v>0</v>
      </c>
      <c r="AQ25" s="5">
        <f>deaths!AQ25-deaths!AP25</f>
        <v>0</v>
      </c>
      <c r="AR25" s="5">
        <f>deaths!AR25-deaths!AQ25</f>
        <v>0</v>
      </c>
      <c r="AS25" s="5">
        <f>deaths!AS25-deaths!AR25</f>
        <v>0</v>
      </c>
      <c r="AT25" s="5">
        <f>deaths!AT25-deaths!AS25</f>
        <v>0</v>
      </c>
      <c r="AU25" s="5">
        <f>deaths!AU25-deaths!AT25</f>
        <v>0</v>
      </c>
      <c r="AV25" s="5">
        <f>deaths!AV25-deaths!AU25</f>
        <v>0</v>
      </c>
      <c r="AW25" s="5">
        <f>deaths!AW25-deaths!AV25</f>
        <v>0</v>
      </c>
      <c r="AX25" s="5">
        <f>deaths!AX25-deaths!AW25</f>
        <v>0</v>
      </c>
      <c r="AY25" s="5">
        <f>deaths!AY25-deaths!AX25</f>
        <v>0</v>
      </c>
      <c r="AZ25" s="5">
        <f>deaths!AZ25-deaths!AY25</f>
        <v>0</v>
      </c>
      <c r="BA25" s="5">
        <f>deaths!BA25-deaths!AZ25</f>
        <v>0</v>
      </c>
      <c r="BB25" s="5">
        <f>deaths!BB25-deaths!BA25</f>
        <v>3</v>
      </c>
      <c r="BC25" s="5">
        <f>deaths!BC25-deaths!BB25</f>
        <v>0</v>
      </c>
      <c r="BD25" s="5">
        <f>deaths!BD25-deaths!BC25</f>
        <v>0</v>
      </c>
      <c r="BE25" s="5">
        <f>deaths!BE25-deaths!BD25</f>
        <v>1</v>
      </c>
      <c r="BF25" s="5">
        <f>deaths!BF25-deaths!BE25</f>
        <v>0</v>
      </c>
      <c r="BG25" s="5">
        <f>deaths!BG25-deaths!BF25</f>
        <v>1</v>
      </c>
      <c r="BH25" s="5">
        <f>deaths!BH25-deaths!BG25</f>
        <v>5</v>
      </c>
      <c r="BI25" s="5">
        <f>deaths!BI25-deaths!BH25</f>
        <v>4</v>
      </c>
      <c r="BJ25" s="5">
        <f>deaths!BJ25-deaths!BI25</f>
        <v>7</v>
      </c>
      <c r="BK25" s="5">
        <f>deaths!BK25-deaths!BJ25</f>
        <v>16</v>
      </c>
      <c r="BL25" s="5">
        <f>deaths!BL25-deaths!BK25</f>
        <v>30</v>
      </c>
      <c r="BM25" s="5">
        <f>deaths!BM25-deaths!BL25</f>
        <v>8</v>
      </c>
      <c r="BN25" s="5">
        <f>deaths!BN25-deaths!BM25</f>
        <v>13</v>
      </c>
      <c r="BO25" s="5">
        <f>deaths!BO25-deaths!BN25</f>
        <v>34</v>
      </c>
      <c r="BP25" s="5">
        <f>deaths!BP25-deaths!BO25</f>
        <v>56</v>
      </c>
      <c r="BQ25" s="5">
        <f>deaths!BQ25-deaths!BP25</f>
        <v>42</v>
      </c>
      <c r="BR25" s="5">
        <f>deaths!BR25-deaths!BQ25</f>
        <v>69</v>
      </c>
      <c r="BS25" s="5">
        <f>deaths!BS25-deaths!BR25</f>
        <v>64</v>
      </c>
      <c r="BT25" s="5">
        <f>deaths!BT25-deaths!BS25</f>
        <v>78</v>
      </c>
      <c r="BU25" s="5">
        <f>deaths!BU25-deaths!BT25</f>
        <v>82</v>
      </c>
      <c r="BV25" s="5">
        <f>deaths!BV25-deaths!BU25</f>
        <v>192</v>
      </c>
      <c r="BW25" s="5">
        <f>deaths!BW25-deaths!BV25</f>
        <v>123</v>
      </c>
      <c r="BX25" s="5">
        <f>deaths!BX25-deaths!BW25</f>
        <v>183</v>
      </c>
      <c r="BY25" s="5">
        <f>deaths!BY25-deaths!BX25</f>
        <v>132</v>
      </c>
      <c r="BZ25" s="1">
        <f>deaths!BZ25</f>
        <v>1283</v>
      </c>
      <c r="CA25" s="1">
        <f>deaths!CA25</f>
        <v>1447</v>
      </c>
      <c r="CB25" s="1">
        <f>deaths!CB25</f>
        <v>1632</v>
      </c>
      <c r="CC25" s="1" t="str">
        <f>deaths!CC25</f>
        <v/>
      </c>
    </row>
    <row r="26">
      <c r="B26" s="1" t="str">
        <f>deaths!B26</f>
        <v>Benin</v>
      </c>
      <c r="C26" s="4">
        <f>deaths!C26</f>
        <v>9.3077</v>
      </c>
      <c r="D26" s="4">
        <f>deaths!D26</f>
        <v>2.3158</v>
      </c>
      <c r="E26" s="5">
        <f>deaths!E26</f>
        <v>0</v>
      </c>
      <c r="F26" s="5">
        <f>deaths!F26-deaths!E26</f>
        <v>0</v>
      </c>
      <c r="G26" s="5">
        <f>deaths!G26-deaths!F26</f>
        <v>0</v>
      </c>
      <c r="H26" s="5">
        <f>deaths!H26-deaths!G26</f>
        <v>0</v>
      </c>
      <c r="I26" s="5">
        <f>deaths!I26-deaths!H26</f>
        <v>0</v>
      </c>
      <c r="J26" s="5">
        <f>deaths!J26-deaths!I26</f>
        <v>0</v>
      </c>
      <c r="K26" s="5">
        <f>deaths!K26-deaths!J26</f>
        <v>0</v>
      </c>
      <c r="L26" s="5">
        <f>deaths!L26-deaths!K26</f>
        <v>0</v>
      </c>
      <c r="M26" s="5">
        <f>deaths!M26-deaths!L26</f>
        <v>0</v>
      </c>
      <c r="N26" s="5">
        <f>deaths!N26-deaths!M26</f>
        <v>0</v>
      </c>
      <c r="O26" s="5">
        <f>deaths!O26-deaths!N26</f>
        <v>0</v>
      </c>
      <c r="P26" s="5">
        <f>deaths!P26-deaths!O26</f>
        <v>0</v>
      </c>
      <c r="Q26" s="5">
        <f>deaths!Q26-deaths!P26</f>
        <v>0</v>
      </c>
      <c r="R26" s="5">
        <f>deaths!R26-deaths!Q26</f>
        <v>0</v>
      </c>
      <c r="S26" s="5">
        <f>deaths!S26-deaths!R26</f>
        <v>0</v>
      </c>
      <c r="T26" s="5">
        <f>deaths!T26-deaths!S26</f>
        <v>0</v>
      </c>
      <c r="U26" s="5">
        <f>deaths!U26-deaths!T26</f>
        <v>0</v>
      </c>
      <c r="V26" s="5">
        <f>deaths!V26-deaths!U26</f>
        <v>0</v>
      </c>
      <c r="W26" s="5">
        <f>deaths!W26-deaths!V26</f>
        <v>0</v>
      </c>
      <c r="X26" s="5">
        <f>deaths!X26-deaths!W26</f>
        <v>0</v>
      </c>
      <c r="Y26" s="5">
        <f>deaths!Y26-deaths!X26</f>
        <v>0</v>
      </c>
      <c r="Z26" s="5">
        <f>deaths!Z26-deaths!Y26</f>
        <v>0</v>
      </c>
      <c r="AA26" s="5">
        <f>deaths!AA26-deaths!Z26</f>
        <v>0</v>
      </c>
      <c r="AB26" s="5">
        <f>deaths!AB26-deaths!AA26</f>
        <v>0</v>
      </c>
      <c r="AC26" s="5">
        <f>deaths!AC26-deaths!AB26</f>
        <v>0</v>
      </c>
      <c r="AD26" s="5">
        <f>deaths!AD26-deaths!AC26</f>
        <v>0</v>
      </c>
      <c r="AE26" s="5">
        <f>deaths!AE26-deaths!AD26</f>
        <v>0</v>
      </c>
      <c r="AF26" s="5">
        <f>deaths!AF26-deaths!AE26</f>
        <v>0</v>
      </c>
      <c r="AG26" s="5">
        <f>deaths!AG26-deaths!AF26</f>
        <v>0</v>
      </c>
      <c r="AH26" s="5">
        <f>deaths!AH26-deaths!AG26</f>
        <v>0</v>
      </c>
      <c r="AI26" s="5">
        <f>deaths!AI26-deaths!AH26</f>
        <v>0</v>
      </c>
      <c r="AJ26" s="5">
        <f>deaths!AJ26-deaths!AI26</f>
        <v>0</v>
      </c>
      <c r="AK26" s="5">
        <f>deaths!AK26-deaths!AJ26</f>
        <v>0</v>
      </c>
      <c r="AL26" s="5">
        <f>deaths!AL26-deaths!AK26</f>
        <v>0</v>
      </c>
      <c r="AM26" s="5">
        <f>deaths!AM26-deaths!AL26</f>
        <v>0</v>
      </c>
      <c r="AN26" s="5">
        <f>deaths!AN26-deaths!AM26</f>
        <v>0</v>
      </c>
      <c r="AO26" s="5">
        <f>deaths!AO26-deaths!AN26</f>
        <v>0</v>
      </c>
      <c r="AP26" s="5">
        <f>deaths!AP26-deaths!AO26</f>
        <v>0</v>
      </c>
      <c r="AQ26" s="5">
        <f>deaths!AQ26-deaths!AP26</f>
        <v>0</v>
      </c>
      <c r="AR26" s="5">
        <f>deaths!AR26-deaths!AQ26</f>
        <v>0</v>
      </c>
      <c r="AS26" s="5">
        <f>deaths!AS26-deaths!AR26</f>
        <v>0</v>
      </c>
      <c r="AT26" s="5">
        <f>deaths!AT26-deaths!AS26</f>
        <v>0</v>
      </c>
      <c r="AU26" s="5">
        <f>deaths!AU26-deaths!AT26</f>
        <v>0</v>
      </c>
      <c r="AV26" s="5">
        <f>deaths!AV26-deaths!AU26</f>
        <v>0</v>
      </c>
      <c r="AW26" s="5">
        <f>deaths!AW26-deaths!AV26</f>
        <v>0</v>
      </c>
      <c r="AX26" s="5">
        <f>deaths!AX26-deaths!AW26</f>
        <v>0</v>
      </c>
      <c r="AY26" s="5">
        <f>deaths!AY26-deaths!AX26</f>
        <v>0</v>
      </c>
      <c r="AZ26" s="5">
        <f>deaths!AZ26-deaths!AY26</f>
        <v>0</v>
      </c>
      <c r="BA26" s="5">
        <f>deaths!BA26-deaths!AZ26</f>
        <v>0</v>
      </c>
      <c r="BB26" s="5">
        <f>deaths!BB26-deaths!BA26</f>
        <v>0</v>
      </c>
      <c r="BC26" s="5">
        <f>deaths!BC26-deaths!BB26</f>
        <v>0</v>
      </c>
      <c r="BD26" s="5">
        <f>deaths!BD26-deaths!BC26</f>
        <v>0</v>
      </c>
      <c r="BE26" s="5">
        <f>deaths!BE26-deaths!BD26</f>
        <v>0</v>
      </c>
      <c r="BF26" s="5">
        <f>deaths!BF26-deaths!BE26</f>
        <v>0</v>
      </c>
      <c r="BG26" s="5">
        <f>deaths!BG26-deaths!BF26</f>
        <v>0</v>
      </c>
      <c r="BH26" s="5">
        <f>deaths!BH26-deaths!BG26</f>
        <v>0</v>
      </c>
      <c r="BI26" s="5">
        <f>deaths!BI26-deaths!BH26</f>
        <v>0</v>
      </c>
      <c r="BJ26" s="5">
        <f>deaths!BJ26-deaths!BI26</f>
        <v>0</v>
      </c>
      <c r="BK26" s="5">
        <f>deaths!BK26-deaths!BJ26</f>
        <v>0</v>
      </c>
      <c r="BL26" s="5">
        <f>deaths!BL26-deaths!BK26</f>
        <v>0</v>
      </c>
      <c r="BM26" s="5">
        <f>deaths!BM26-deaths!BL26</f>
        <v>0</v>
      </c>
      <c r="BN26" s="5">
        <f>deaths!BN26-deaths!BM26</f>
        <v>0</v>
      </c>
      <c r="BO26" s="5">
        <f>deaths!BO26-deaths!BN26</f>
        <v>0</v>
      </c>
      <c r="BP26" s="5">
        <f>deaths!BP26-deaths!BO26</f>
        <v>0</v>
      </c>
      <c r="BQ26" s="5">
        <f>deaths!BQ26-deaths!BP26</f>
        <v>0</v>
      </c>
      <c r="BR26" s="5">
        <f>deaths!BR26-deaths!BQ26</f>
        <v>0</v>
      </c>
      <c r="BS26" s="5">
        <f>deaths!BS26-deaths!BR26</f>
        <v>0</v>
      </c>
      <c r="BT26" s="5">
        <f>deaths!BT26-deaths!BS26</f>
        <v>0</v>
      </c>
      <c r="BU26" s="5">
        <f>deaths!BU26-deaths!BT26</f>
        <v>0</v>
      </c>
      <c r="BV26" s="5">
        <f>deaths!BV26-deaths!BU26</f>
        <v>0</v>
      </c>
      <c r="BW26" s="5">
        <f>deaths!BW26-deaths!BV26</f>
        <v>0</v>
      </c>
      <c r="BX26" s="5">
        <f>deaths!BX26-deaths!BW26</f>
        <v>0</v>
      </c>
      <c r="BY26" s="5">
        <f>deaths!BY26-deaths!BX26</f>
        <v>0</v>
      </c>
      <c r="BZ26" s="1">
        <f>deaths!BZ26</f>
        <v>0</v>
      </c>
      <c r="CA26" s="1">
        <f>deaths!CA26</f>
        <v>0</v>
      </c>
      <c r="CB26" s="1">
        <f>deaths!CB26</f>
        <v>1</v>
      </c>
      <c r="CC26" s="1" t="str">
        <f>deaths!CC26</f>
        <v/>
      </c>
    </row>
    <row r="27">
      <c r="B27" s="1" t="str">
        <f>deaths!B27</f>
        <v>Bhutan</v>
      </c>
      <c r="C27" s="4">
        <f>deaths!C27</f>
        <v>27.5142</v>
      </c>
      <c r="D27" s="4">
        <f>deaths!D27</f>
        <v>90.4336</v>
      </c>
      <c r="E27" s="5">
        <f>deaths!E27</f>
        <v>0</v>
      </c>
      <c r="F27" s="5">
        <f>deaths!F27-deaths!E27</f>
        <v>0</v>
      </c>
      <c r="G27" s="5">
        <f>deaths!G27-deaths!F27</f>
        <v>0</v>
      </c>
      <c r="H27" s="5">
        <f>deaths!H27-deaths!G27</f>
        <v>0</v>
      </c>
      <c r="I27" s="5">
        <f>deaths!I27-deaths!H27</f>
        <v>0</v>
      </c>
      <c r="J27" s="5">
        <f>deaths!J27-deaths!I27</f>
        <v>0</v>
      </c>
      <c r="K27" s="5">
        <f>deaths!K27-deaths!J27</f>
        <v>0</v>
      </c>
      <c r="L27" s="5">
        <f>deaths!L27-deaths!K27</f>
        <v>0</v>
      </c>
      <c r="M27" s="5">
        <f>deaths!M27-deaths!L27</f>
        <v>0</v>
      </c>
      <c r="N27" s="5">
        <f>deaths!N27-deaths!M27</f>
        <v>0</v>
      </c>
      <c r="O27" s="5">
        <f>deaths!O27-deaths!N27</f>
        <v>0</v>
      </c>
      <c r="P27" s="5">
        <f>deaths!P27-deaths!O27</f>
        <v>0</v>
      </c>
      <c r="Q27" s="5">
        <f>deaths!Q27-deaths!P27</f>
        <v>0</v>
      </c>
      <c r="R27" s="5">
        <f>deaths!R27-deaths!Q27</f>
        <v>0</v>
      </c>
      <c r="S27" s="5">
        <f>deaths!S27-deaths!R27</f>
        <v>0</v>
      </c>
      <c r="T27" s="5">
        <f>deaths!T27-deaths!S27</f>
        <v>0</v>
      </c>
      <c r="U27" s="5">
        <f>deaths!U27-deaths!T27</f>
        <v>0</v>
      </c>
      <c r="V27" s="5">
        <f>deaths!V27-deaths!U27</f>
        <v>0</v>
      </c>
      <c r="W27" s="5">
        <f>deaths!W27-deaths!V27</f>
        <v>0</v>
      </c>
      <c r="X27" s="5">
        <f>deaths!X27-deaths!W27</f>
        <v>0</v>
      </c>
      <c r="Y27" s="5">
        <f>deaths!Y27-deaths!X27</f>
        <v>0</v>
      </c>
      <c r="Z27" s="5">
        <f>deaths!Z27-deaths!Y27</f>
        <v>0</v>
      </c>
      <c r="AA27" s="5">
        <f>deaths!AA27-deaths!Z27</f>
        <v>0</v>
      </c>
      <c r="AB27" s="5">
        <f>deaths!AB27-deaths!AA27</f>
        <v>0</v>
      </c>
      <c r="AC27" s="5">
        <f>deaths!AC27-deaths!AB27</f>
        <v>0</v>
      </c>
      <c r="AD27" s="5">
        <f>deaths!AD27-deaths!AC27</f>
        <v>0</v>
      </c>
      <c r="AE27" s="5">
        <f>deaths!AE27-deaths!AD27</f>
        <v>0</v>
      </c>
      <c r="AF27" s="5">
        <f>deaths!AF27-deaths!AE27</f>
        <v>0</v>
      </c>
      <c r="AG27" s="5">
        <f>deaths!AG27-deaths!AF27</f>
        <v>0</v>
      </c>
      <c r="AH27" s="5">
        <f>deaths!AH27-deaths!AG27</f>
        <v>0</v>
      </c>
      <c r="AI27" s="5">
        <f>deaths!AI27-deaths!AH27</f>
        <v>0</v>
      </c>
      <c r="AJ27" s="5">
        <f>deaths!AJ27-deaths!AI27</f>
        <v>0</v>
      </c>
      <c r="AK27" s="5">
        <f>deaths!AK27-deaths!AJ27</f>
        <v>0</v>
      </c>
      <c r="AL27" s="5">
        <f>deaths!AL27-deaths!AK27</f>
        <v>0</v>
      </c>
      <c r="AM27" s="5">
        <f>deaths!AM27-deaths!AL27</f>
        <v>0</v>
      </c>
      <c r="AN27" s="5">
        <f>deaths!AN27-deaths!AM27</f>
        <v>0</v>
      </c>
      <c r="AO27" s="5">
        <f>deaths!AO27-deaths!AN27</f>
        <v>0</v>
      </c>
      <c r="AP27" s="5">
        <f>deaths!AP27-deaths!AO27</f>
        <v>0</v>
      </c>
      <c r="AQ27" s="5">
        <f>deaths!AQ27-deaths!AP27</f>
        <v>0</v>
      </c>
      <c r="AR27" s="5">
        <f>deaths!AR27-deaths!AQ27</f>
        <v>0</v>
      </c>
      <c r="AS27" s="5">
        <f>deaths!AS27-deaths!AR27</f>
        <v>0</v>
      </c>
      <c r="AT27" s="5">
        <f>deaths!AT27-deaths!AS27</f>
        <v>0</v>
      </c>
      <c r="AU27" s="5">
        <f>deaths!AU27-deaths!AT27</f>
        <v>0</v>
      </c>
      <c r="AV27" s="5">
        <f>deaths!AV27-deaths!AU27</f>
        <v>0</v>
      </c>
      <c r="AW27" s="5">
        <f>deaths!AW27-deaths!AV27</f>
        <v>0</v>
      </c>
      <c r="AX27" s="5">
        <f>deaths!AX27-deaths!AW27</f>
        <v>0</v>
      </c>
      <c r="AY27" s="5">
        <f>deaths!AY27-deaths!AX27</f>
        <v>0</v>
      </c>
      <c r="AZ27" s="5">
        <f>deaths!AZ27-deaths!AY27</f>
        <v>0</v>
      </c>
      <c r="BA27" s="5">
        <f>deaths!BA27-deaths!AZ27</f>
        <v>0</v>
      </c>
      <c r="BB27" s="5">
        <f>deaths!BB27-deaths!BA27</f>
        <v>0</v>
      </c>
      <c r="BC27" s="5">
        <f>deaths!BC27-deaths!BB27</f>
        <v>0</v>
      </c>
      <c r="BD27" s="5">
        <f>deaths!BD27-deaths!BC27</f>
        <v>0</v>
      </c>
      <c r="BE27" s="5">
        <f>deaths!BE27-deaths!BD27</f>
        <v>0</v>
      </c>
      <c r="BF27" s="5">
        <f>deaths!BF27-deaths!BE27</f>
        <v>0</v>
      </c>
      <c r="BG27" s="5">
        <f>deaths!BG27-deaths!BF27</f>
        <v>0</v>
      </c>
      <c r="BH27" s="5">
        <f>deaths!BH27-deaths!BG27</f>
        <v>0</v>
      </c>
      <c r="BI27" s="5">
        <f>deaths!BI27-deaths!BH27</f>
        <v>0</v>
      </c>
      <c r="BJ27" s="5">
        <f>deaths!BJ27-deaths!BI27</f>
        <v>0</v>
      </c>
      <c r="BK27" s="5">
        <f>deaths!BK27-deaths!BJ27</f>
        <v>0</v>
      </c>
      <c r="BL27" s="5">
        <f>deaths!BL27-deaths!BK27</f>
        <v>0</v>
      </c>
      <c r="BM27" s="5">
        <f>deaths!BM27-deaths!BL27</f>
        <v>0</v>
      </c>
      <c r="BN27" s="5">
        <f>deaths!BN27-deaths!BM27</f>
        <v>0</v>
      </c>
      <c r="BO27" s="5">
        <f>deaths!BO27-deaths!BN27</f>
        <v>0</v>
      </c>
      <c r="BP27" s="5">
        <f>deaths!BP27-deaths!BO27</f>
        <v>0</v>
      </c>
      <c r="BQ27" s="5">
        <f>deaths!BQ27-deaths!BP27</f>
        <v>0</v>
      </c>
      <c r="BR27" s="5">
        <f>deaths!BR27-deaths!BQ27</f>
        <v>0</v>
      </c>
      <c r="BS27" s="5">
        <f>deaths!BS27-deaths!BR27</f>
        <v>0</v>
      </c>
      <c r="BT27" s="5">
        <f>deaths!BT27-deaths!BS27</f>
        <v>0</v>
      </c>
      <c r="BU27" s="5">
        <f>deaths!BU27-deaths!BT27</f>
        <v>0</v>
      </c>
      <c r="BV27" s="5">
        <f>deaths!BV27-deaths!BU27</f>
        <v>0</v>
      </c>
      <c r="BW27" s="5">
        <f>deaths!BW27-deaths!BV27</f>
        <v>0</v>
      </c>
      <c r="BX27" s="5">
        <f>deaths!BX27-deaths!BW27</f>
        <v>0</v>
      </c>
      <c r="BY27" s="5">
        <f>deaths!BY27-deaths!BX27</f>
        <v>0</v>
      </c>
      <c r="BZ27" s="1">
        <f>deaths!BZ27</f>
        <v>0</v>
      </c>
      <c r="CA27" s="1">
        <f>deaths!CA27</f>
        <v>0</v>
      </c>
      <c r="CB27" s="1">
        <f>deaths!CB27</f>
        <v>0</v>
      </c>
      <c r="CC27" s="1" t="str">
        <f>deaths!CC27</f>
        <v/>
      </c>
    </row>
    <row r="28">
      <c r="B28" s="1" t="str">
        <f>deaths!B28</f>
        <v>Bolivia</v>
      </c>
      <c r="C28" s="4">
        <f>deaths!C28</f>
        <v>-16.2902</v>
      </c>
      <c r="D28" s="4">
        <f>deaths!D28</f>
        <v>-63.5887</v>
      </c>
      <c r="E28" s="5">
        <f>deaths!E28</f>
        <v>0</v>
      </c>
      <c r="F28" s="5">
        <f>deaths!F28-deaths!E28</f>
        <v>0</v>
      </c>
      <c r="G28" s="5">
        <f>deaths!G28-deaths!F28</f>
        <v>0</v>
      </c>
      <c r="H28" s="5">
        <f>deaths!H28-deaths!G28</f>
        <v>0</v>
      </c>
      <c r="I28" s="5">
        <f>deaths!I28-deaths!H28</f>
        <v>0</v>
      </c>
      <c r="J28" s="5">
        <f>deaths!J28-deaths!I28</f>
        <v>0</v>
      </c>
      <c r="K28" s="5">
        <f>deaths!K28-deaths!J28</f>
        <v>0</v>
      </c>
      <c r="L28" s="5">
        <f>deaths!L28-deaths!K28</f>
        <v>0</v>
      </c>
      <c r="M28" s="5">
        <f>deaths!M28-deaths!L28</f>
        <v>0</v>
      </c>
      <c r="N28" s="5">
        <f>deaths!N28-deaths!M28</f>
        <v>0</v>
      </c>
      <c r="O28" s="5">
        <f>deaths!O28-deaths!N28</f>
        <v>0</v>
      </c>
      <c r="P28" s="5">
        <f>deaths!P28-deaths!O28</f>
        <v>0</v>
      </c>
      <c r="Q28" s="5">
        <f>deaths!Q28-deaths!P28</f>
        <v>0</v>
      </c>
      <c r="R28" s="5">
        <f>deaths!R28-deaths!Q28</f>
        <v>0</v>
      </c>
      <c r="S28" s="5">
        <f>deaths!S28-deaths!R28</f>
        <v>0</v>
      </c>
      <c r="T28" s="5">
        <f>deaths!T28-deaths!S28</f>
        <v>0</v>
      </c>
      <c r="U28" s="5">
        <f>deaths!U28-deaths!T28</f>
        <v>0</v>
      </c>
      <c r="V28" s="5">
        <f>deaths!V28-deaths!U28</f>
        <v>0</v>
      </c>
      <c r="W28" s="5">
        <f>deaths!W28-deaths!V28</f>
        <v>0</v>
      </c>
      <c r="X28" s="5">
        <f>deaths!X28-deaths!W28</f>
        <v>0</v>
      </c>
      <c r="Y28" s="5">
        <f>deaths!Y28-deaths!X28</f>
        <v>0</v>
      </c>
      <c r="Z28" s="5">
        <f>deaths!Z28-deaths!Y28</f>
        <v>0</v>
      </c>
      <c r="AA28" s="5">
        <f>deaths!AA28-deaths!Z28</f>
        <v>0</v>
      </c>
      <c r="AB28" s="5">
        <f>deaths!AB28-deaths!AA28</f>
        <v>0</v>
      </c>
      <c r="AC28" s="5">
        <f>deaths!AC28-deaths!AB28</f>
        <v>0</v>
      </c>
      <c r="AD28" s="5">
        <f>deaths!AD28-deaths!AC28</f>
        <v>0</v>
      </c>
      <c r="AE28" s="5">
        <f>deaths!AE28-deaths!AD28</f>
        <v>0</v>
      </c>
      <c r="AF28" s="5">
        <f>deaths!AF28-deaths!AE28</f>
        <v>0</v>
      </c>
      <c r="AG28" s="5">
        <f>deaths!AG28-deaths!AF28</f>
        <v>0</v>
      </c>
      <c r="AH28" s="5">
        <f>deaths!AH28-deaths!AG28</f>
        <v>0</v>
      </c>
      <c r="AI28" s="5">
        <f>deaths!AI28-deaths!AH28</f>
        <v>0</v>
      </c>
      <c r="AJ28" s="5">
        <f>deaths!AJ28-deaths!AI28</f>
        <v>0</v>
      </c>
      <c r="AK28" s="5">
        <f>deaths!AK28-deaths!AJ28</f>
        <v>0</v>
      </c>
      <c r="AL28" s="5">
        <f>deaths!AL28-deaths!AK28</f>
        <v>0</v>
      </c>
      <c r="AM28" s="5">
        <f>deaths!AM28-deaths!AL28</f>
        <v>0</v>
      </c>
      <c r="AN28" s="5">
        <f>deaths!AN28-deaths!AM28</f>
        <v>0</v>
      </c>
      <c r="AO28" s="5">
        <f>deaths!AO28-deaths!AN28</f>
        <v>0</v>
      </c>
      <c r="AP28" s="5">
        <f>deaths!AP28-deaths!AO28</f>
        <v>0</v>
      </c>
      <c r="AQ28" s="5">
        <f>deaths!AQ28-deaths!AP28</f>
        <v>0</v>
      </c>
      <c r="AR28" s="5">
        <f>deaths!AR28-deaths!AQ28</f>
        <v>0</v>
      </c>
      <c r="AS28" s="5">
        <f>deaths!AS28-deaths!AR28</f>
        <v>0</v>
      </c>
      <c r="AT28" s="5">
        <f>deaths!AT28-deaths!AS28</f>
        <v>0</v>
      </c>
      <c r="AU28" s="5">
        <f>deaths!AU28-deaths!AT28</f>
        <v>0</v>
      </c>
      <c r="AV28" s="5">
        <f>deaths!AV28-deaths!AU28</f>
        <v>0</v>
      </c>
      <c r="AW28" s="5">
        <f>deaths!AW28-deaths!AV28</f>
        <v>0</v>
      </c>
      <c r="AX28" s="5">
        <f>deaths!AX28-deaths!AW28</f>
        <v>0</v>
      </c>
      <c r="AY28" s="5">
        <f>deaths!AY28-deaths!AX28</f>
        <v>0</v>
      </c>
      <c r="AZ28" s="5">
        <f>deaths!AZ28-deaths!AY28</f>
        <v>0</v>
      </c>
      <c r="BA28" s="5">
        <f>deaths!BA28-deaths!AZ28</f>
        <v>0</v>
      </c>
      <c r="BB28" s="5">
        <f>deaths!BB28-deaths!BA28</f>
        <v>0</v>
      </c>
      <c r="BC28" s="5">
        <f>deaths!BC28-deaths!BB28</f>
        <v>0</v>
      </c>
      <c r="BD28" s="5">
        <f>deaths!BD28-deaths!BC28</f>
        <v>0</v>
      </c>
      <c r="BE28" s="5">
        <f>deaths!BE28-deaths!BD28</f>
        <v>0</v>
      </c>
      <c r="BF28" s="5">
        <f>deaths!BF28-deaths!BE28</f>
        <v>0</v>
      </c>
      <c r="BG28" s="5">
        <f>deaths!BG28-deaths!BF28</f>
        <v>0</v>
      </c>
      <c r="BH28" s="5">
        <f>deaths!BH28-deaths!BG28</f>
        <v>0</v>
      </c>
      <c r="BI28" s="5">
        <f>deaths!BI28-deaths!BH28</f>
        <v>0</v>
      </c>
      <c r="BJ28" s="5">
        <f>deaths!BJ28-deaths!BI28</f>
        <v>0</v>
      </c>
      <c r="BK28" s="5">
        <f>deaths!BK28-deaths!BJ28</f>
        <v>0</v>
      </c>
      <c r="BL28" s="5">
        <f>deaths!BL28-deaths!BK28</f>
        <v>0</v>
      </c>
      <c r="BM28" s="5">
        <f>deaths!BM28-deaths!BL28</f>
        <v>0</v>
      </c>
      <c r="BN28" s="5">
        <f>deaths!BN28-deaths!BM28</f>
        <v>0</v>
      </c>
      <c r="BO28" s="5">
        <f>deaths!BO28-deaths!BN28</f>
        <v>0</v>
      </c>
      <c r="BP28" s="5">
        <f>deaths!BP28-deaths!BO28</f>
        <v>0</v>
      </c>
      <c r="BQ28" s="5">
        <f>deaths!BQ28-deaths!BP28</f>
        <v>0</v>
      </c>
      <c r="BR28" s="5">
        <f>deaths!BR28-deaths!BQ28</f>
        <v>0</v>
      </c>
      <c r="BS28" s="5">
        <f>deaths!BS28-deaths!BR28</f>
        <v>0</v>
      </c>
      <c r="BT28" s="5">
        <f>deaths!BT28-deaths!BS28</f>
        <v>1</v>
      </c>
      <c r="BU28" s="5">
        <f>deaths!BU28-deaths!BT28</f>
        <v>3</v>
      </c>
      <c r="BV28" s="5">
        <f>deaths!BV28-deaths!BU28</f>
        <v>2</v>
      </c>
      <c r="BW28" s="5">
        <f>deaths!BW28-deaths!BV28</f>
        <v>1</v>
      </c>
      <c r="BX28" s="5">
        <f>deaths!BX28-deaths!BW28</f>
        <v>1</v>
      </c>
      <c r="BY28" s="5">
        <f>deaths!BY28-deaths!BX28</f>
        <v>1</v>
      </c>
      <c r="BZ28" s="1">
        <f>deaths!BZ28</f>
        <v>10</v>
      </c>
      <c r="CA28" s="1">
        <f>deaths!CA28</f>
        <v>10</v>
      </c>
      <c r="CB28" s="1">
        <f>deaths!CB28</f>
        <v>11</v>
      </c>
      <c r="CC28" s="1" t="str">
        <f>deaths!CC28</f>
        <v/>
      </c>
    </row>
    <row r="29">
      <c r="B29" s="1" t="str">
        <f>deaths!B29</f>
        <v>Bosnia and Herzegovina</v>
      </c>
      <c r="C29" s="4">
        <f>deaths!C29</f>
        <v>43.9159</v>
      </c>
      <c r="D29" s="4">
        <f>deaths!D29</f>
        <v>17.6791</v>
      </c>
      <c r="E29" s="5">
        <f>deaths!E29</f>
        <v>0</v>
      </c>
      <c r="F29" s="5">
        <f>deaths!F29-deaths!E29</f>
        <v>0</v>
      </c>
      <c r="G29" s="5">
        <f>deaths!G29-deaths!F29</f>
        <v>0</v>
      </c>
      <c r="H29" s="5">
        <f>deaths!H29-deaths!G29</f>
        <v>0</v>
      </c>
      <c r="I29" s="5">
        <f>deaths!I29-deaths!H29</f>
        <v>0</v>
      </c>
      <c r="J29" s="5">
        <f>deaths!J29-deaths!I29</f>
        <v>0</v>
      </c>
      <c r="K29" s="5">
        <f>deaths!K29-deaths!J29</f>
        <v>0</v>
      </c>
      <c r="L29" s="5">
        <f>deaths!L29-deaths!K29</f>
        <v>0</v>
      </c>
      <c r="M29" s="5">
        <f>deaths!M29-deaths!L29</f>
        <v>0</v>
      </c>
      <c r="N29" s="5">
        <f>deaths!N29-deaths!M29</f>
        <v>0</v>
      </c>
      <c r="O29" s="5">
        <f>deaths!O29-deaths!N29</f>
        <v>0</v>
      </c>
      <c r="P29" s="5">
        <f>deaths!P29-deaths!O29</f>
        <v>0</v>
      </c>
      <c r="Q29" s="5">
        <f>deaths!Q29-deaths!P29</f>
        <v>0</v>
      </c>
      <c r="R29" s="5">
        <f>deaths!R29-deaths!Q29</f>
        <v>0</v>
      </c>
      <c r="S29" s="5">
        <f>deaths!S29-deaths!R29</f>
        <v>0</v>
      </c>
      <c r="T29" s="5">
        <f>deaths!T29-deaths!S29</f>
        <v>0</v>
      </c>
      <c r="U29" s="5">
        <f>deaths!U29-deaths!T29</f>
        <v>0</v>
      </c>
      <c r="V29" s="5">
        <f>deaths!V29-deaths!U29</f>
        <v>0</v>
      </c>
      <c r="W29" s="5">
        <f>deaths!W29-deaths!V29</f>
        <v>0</v>
      </c>
      <c r="X29" s="5">
        <f>deaths!X29-deaths!W29</f>
        <v>0</v>
      </c>
      <c r="Y29" s="5">
        <f>deaths!Y29-deaths!X29</f>
        <v>0</v>
      </c>
      <c r="Z29" s="5">
        <f>deaths!Z29-deaths!Y29</f>
        <v>0</v>
      </c>
      <c r="AA29" s="5">
        <f>deaths!AA29-deaths!Z29</f>
        <v>0</v>
      </c>
      <c r="AB29" s="5">
        <f>deaths!AB29-deaths!AA29</f>
        <v>0</v>
      </c>
      <c r="AC29" s="5">
        <f>deaths!AC29-deaths!AB29</f>
        <v>0</v>
      </c>
      <c r="AD29" s="5">
        <f>deaths!AD29-deaths!AC29</f>
        <v>0</v>
      </c>
      <c r="AE29" s="5">
        <f>deaths!AE29-deaths!AD29</f>
        <v>0</v>
      </c>
      <c r="AF29" s="5">
        <f>deaths!AF29-deaths!AE29</f>
        <v>0</v>
      </c>
      <c r="AG29" s="5">
        <f>deaths!AG29-deaths!AF29</f>
        <v>0</v>
      </c>
      <c r="AH29" s="5">
        <f>deaths!AH29-deaths!AG29</f>
        <v>0</v>
      </c>
      <c r="AI29" s="5">
        <f>deaths!AI29-deaths!AH29</f>
        <v>0</v>
      </c>
      <c r="AJ29" s="5">
        <f>deaths!AJ29-deaths!AI29</f>
        <v>0</v>
      </c>
      <c r="AK29" s="5">
        <f>deaths!AK29-deaths!AJ29</f>
        <v>0</v>
      </c>
      <c r="AL29" s="5">
        <f>deaths!AL29-deaths!AK29</f>
        <v>0</v>
      </c>
      <c r="AM29" s="5">
        <f>deaths!AM29-deaths!AL29</f>
        <v>0</v>
      </c>
      <c r="AN29" s="5">
        <f>deaths!AN29-deaths!AM29</f>
        <v>0</v>
      </c>
      <c r="AO29" s="5">
        <f>deaths!AO29-deaths!AN29</f>
        <v>0</v>
      </c>
      <c r="AP29" s="5">
        <f>deaths!AP29-deaths!AO29</f>
        <v>0</v>
      </c>
      <c r="AQ29" s="5">
        <f>deaths!AQ29-deaths!AP29</f>
        <v>0</v>
      </c>
      <c r="AR29" s="5">
        <f>deaths!AR29-deaths!AQ29</f>
        <v>0</v>
      </c>
      <c r="AS29" s="5">
        <f>deaths!AS29-deaths!AR29</f>
        <v>0</v>
      </c>
      <c r="AT29" s="5">
        <f>deaths!AT29-deaths!AS29</f>
        <v>0</v>
      </c>
      <c r="AU29" s="5">
        <f>deaths!AU29-deaths!AT29</f>
        <v>0</v>
      </c>
      <c r="AV29" s="5">
        <f>deaths!AV29-deaths!AU29</f>
        <v>0</v>
      </c>
      <c r="AW29" s="5">
        <f>deaths!AW29-deaths!AV29</f>
        <v>0</v>
      </c>
      <c r="AX29" s="5">
        <f>deaths!AX29-deaths!AW29</f>
        <v>0</v>
      </c>
      <c r="AY29" s="5">
        <f>deaths!AY29-deaths!AX29</f>
        <v>0</v>
      </c>
      <c r="AZ29" s="5">
        <f>deaths!AZ29-deaths!AY29</f>
        <v>0</v>
      </c>
      <c r="BA29" s="5">
        <f>deaths!BA29-deaths!AZ29</f>
        <v>0</v>
      </c>
      <c r="BB29" s="5">
        <f>deaths!BB29-deaths!BA29</f>
        <v>0</v>
      </c>
      <c r="BC29" s="5">
        <f>deaths!BC29-deaths!BB29</f>
        <v>0</v>
      </c>
      <c r="BD29" s="5">
        <f>deaths!BD29-deaths!BC29</f>
        <v>0</v>
      </c>
      <c r="BE29" s="5">
        <f>deaths!BE29-deaths!BD29</f>
        <v>0</v>
      </c>
      <c r="BF29" s="5">
        <f>deaths!BF29-deaths!BE29</f>
        <v>0</v>
      </c>
      <c r="BG29" s="5">
        <f>deaths!BG29-deaths!BF29</f>
        <v>0</v>
      </c>
      <c r="BH29" s="5">
        <f>deaths!BH29-deaths!BG29</f>
        <v>0</v>
      </c>
      <c r="BI29" s="5">
        <f>deaths!BI29-deaths!BH29</f>
        <v>0</v>
      </c>
      <c r="BJ29" s="5">
        <f>deaths!BJ29-deaths!BI29</f>
        <v>0</v>
      </c>
      <c r="BK29" s="5">
        <f>deaths!BK29-deaths!BJ29</f>
        <v>0</v>
      </c>
      <c r="BL29" s="5">
        <f>deaths!BL29-deaths!BK29</f>
        <v>1</v>
      </c>
      <c r="BM29" s="5">
        <f>deaths!BM29-deaths!BL29</f>
        <v>0</v>
      </c>
      <c r="BN29" s="5">
        <f>deaths!BN29-deaths!BM29</f>
        <v>0</v>
      </c>
      <c r="BO29" s="5">
        <f>deaths!BO29-deaths!BN29</f>
        <v>2</v>
      </c>
      <c r="BP29" s="5">
        <f>deaths!BP29-deaths!BO29</f>
        <v>0</v>
      </c>
      <c r="BQ29" s="5">
        <f>deaths!BQ29-deaths!BP29</f>
        <v>0</v>
      </c>
      <c r="BR29" s="5">
        <f>deaths!BR29-deaths!BQ29</f>
        <v>1</v>
      </c>
      <c r="BS29" s="5">
        <f>deaths!BS29-deaths!BR29</f>
        <v>1</v>
      </c>
      <c r="BT29" s="5">
        <f>deaths!BT29-deaths!BS29</f>
        <v>1</v>
      </c>
      <c r="BU29" s="5">
        <f>deaths!BU29-deaths!BT29</f>
        <v>4</v>
      </c>
      <c r="BV29" s="5">
        <f>deaths!BV29-deaths!BU29</f>
        <v>3</v>
      </c>
      <c r="BW29" s="5">
        <f>deaths!BW29-deaths!BV29</f>
        <v>0</v>
      </c>
      <c r="BX29" s="5">
        <f>deaths!BX29-deaths!BW29</f>
        <v>3</v>
      </c>
      <c r="BY29" s="5">
        <f>deaths!BY29-deaths!BX29</f>
        <v>1</v>
      </c>
      <c r="BZ29" s="1">
        <f>deaths!BZ29</f>
        <v>21</v>
      </c>
      <c r="CA29" s="1">
        <f>deaths!CA29</f>
        <v>23</v>
      </c>
      <c r="CB29" s="1">
        <f>deaths!CB29</f>
        <v>29</v>
      </c>
      <c r="CC29" s="1" t="str">
        <f>deaths!CC29</f>
        <v/>
      </c>
    </row>
    <row r="30">
      <c r="B30" s="1" t="str">
        <f>deaths!B30</f>
        <v>Brazil</v>
      </c>
      <c r="C30" s="4">
        <f>deaths!C30</f>
        <v>-14.235</v>
      </c>
      <c r="D30" s="4">
        <f>deaths!D30</f>
        <v>-51.9253</v>
      </c>
      <c r="E30" s="5">
        <f>deaths!E30</f>
        <v>0</v>
      </c>
      <c r="F30" s="5">
        <f>deaths!F30-deaths!E30</f>
        <v>0</v>
      </c>
      <c r="G30" s="5">
        <f>deaths!G30-deaths!F30</f>
        <v>0</v>
      </c>
      <c r="H30" s="5">
        <f>deaths!H30-deaths!G30</f>
        <v>0</v>
      </c>
      <c r="I30" s="5">
        <f>deaths!I30-deaths!H30</f>
        <v>0</v>
      </c>
      <c r="J30" s="5">
        <f>deaths!J30-deaths!I30</f>
        <v>0</v>
      </c>
      <c r="K30" s="5">
        <f>deaths!K30-deaths!J30</f>
        <v>0</v>
      </c>
      <c r="L30" s="5">
        <f>deaths!L30-deaths!K30</f>
        <v>0</v>
      </c>
      <c r="M30" s="5">
        <f>deaths!M30-deaths!L30</f>
        <v>0</v>
      </c>
      <c r="N30" s="5">
        <f>deaths!N30-deaths!M30</f>
        <v>0</v>
      </c>
      <c r="O30" s="5">
        <f>deaths!O30-deaths!N30</f>
        <v>0</v>
      </c>
      <c r="P30" s="5">
        <f>deaths!P30-deaths!O30</f>
        <v>0</v>
      </c>
      <c r="Q30" s="5">
        <f>deaths!Q30-deaths!P30</f>
        <v>0</v>
      </c>
      <c r="R30" s="5">
        <f>deaths!R30-deaths!Q30</f>
        <v>0</v>
      </c>
      <c r="S30" s="5">
        <f>deaths!S30-deaths!R30</f>
        <v>0</v>
      </c>
      <c r="T30" s="5">
        <f>deaths!T30-deaths!S30</f>
        <v>0</v>
      </c>
      <c r="U30" s="5">
        <f>deaths!U30-deaths!T30</f>
        <v>0</v>
      </c>
      <c r="V30" s="5">
        <f>deaths!V30-deaths!U30</f>
        <v>0</v>
      </c>
      <c r="W30" s="5">
        <f>deaths!W30-deaths!V30</f>
        <v>0</v>
      </c>
      <c r="X30" s="5">
        <f>deaths!X30-deaths!W30</f>
        <v>0</v>
      </c>
      <c r="Y30" s="5">
        <f>deaths!Y30-deaths!X30</f>
        <v>0</v>
      </c>
      <c r="Z30" s="5">
        <f>deaths!Z30-deaths!Y30</f>
        <v>0</v>
      </c>
      <c r="AA30" s="5">
        <f>deaths!AA30-deaths!Z30</f>
        <v>0</v>
      </c>
      <c r="AB30" s="5">
        <f>deaths!AB30-deaths!AA30</f>
        <v>0</v>
      </c>
      <c r="AC30" s="5">
        <f>deaths!AC30-deaths!AB30</f>
        <v>0</v>
      </c>
      <c r="AD30" s="5">
        <f>deaths!AD30-deaths!AC30</f>
        <v>0</v>
      </c>
      <c r="AE30" s="5">
        <f>deaths!AE30-deaths!AD30</f>
        <v>0</v>
      </c>
      <c r="AF30" s="5">
        <f>deaths!AF30-deaths!AE30</f>
        <v>0</v>
      </c>
      <c r="AG30" s="5">
        <f>deaths!AG30-deaths!AF30</f>
        <v>0</v>
      </c>
      <c r="AH30" s="5">
        <f>deaths!AH30-deaths!AG30</f>
        <v>0</v>
      </c>
      <c r="AI30" s="5">
        <f>deaths!AI30-deaths!AH30</f>
        <v>0</v>
      </c>
      <c r="AJ30" s="5">
        <f>deaths!AJ30-deaths!AI30</f>
        <v>0</v>
      </c>
      <c r="AK30" s="5">
        <f>deaths!AK30-deaths!AJ30</f>
        <v>0</v>
      </c>
      <c r="AL30" s="5">
        <f>deaths!AL30-deaths!AK30</f>
        <v>0</v>
      </c>
      <c r="AM30" s="5">
        <f>deaths!AM30-deaths!AL30</f>
        <v>0</v>
      </c>
      <c r="AN30" s="5">
        <f>deaths!AN30-deaths!AM30</f>
        <v>0</v>
      </c>
      <c r="AO30" s="5">
        <f>deaths!AO30-deaths!AN30</f>
        <v>0</v>
      </c>
      <c r="AP30" s="5">
        <f>deaths!AP30-deaths!AO30</f>
        <v>0</v>
      </c>
      <c r="AQ30" s="5">
        <f>deaths!AQ30-deaths!AP30</f>
        <v>0</v>
      </c>
      <c r="AR30" s="5">
        <f>deaths!AR30-deaths!AQ30</f>
        <v>0</v>
      </c>
      <c r="AS30" s="5">
        <f>deaths!AS30-deaths!AR30</f>
        <v>0</v>
      </c>
      <c r="AT30" s="5">
        <f>deaths!AT30-deaths!AS30</f>
        <v>0</v>
      </c>
      <c r="AU30" s="5">
        <f>deaths!AU30-deaths!AT30</f>
        <v>0</v>
      </c>
      <c r="AV30" s="5">
        <f>deaths!AV30-deaths!AU30</f>
        <v>0</v>
      </c>
      <c r="AW30" s="5">
        <f>deaths!AW30-deaths!AV30</f>
        <v>0</v>
      </c>
      <c r="AX30" s="5">
        <f>deaths!AX30-deaths!AW30</f>
        <v>0</v>
      </c>
      <c r="AY30" s="5">
        <f>deaths!AY30-deaths!AX30</f>
        <v>0</v>
      </c>
      <c r="AZ30" s="5">
        <f>deaths!AZ30-deaths!AY30</f>
        <v>0</v>
      </c>
      <c r="BA30" s="5">
        <f>deaths!BA30-deaths!AZ30</f>
        <v>0</v>
      </c>
      <c r="BB30" s="5">
        <f>deaths!BB30-deaths!BA30</f>
        <v>0</v>
      </c>
      <c r="BC30" s="5">
        <f>deaths!BC30-deaths!BB30</f>
        <v>0</v>
      </c>
      <c r="BD30" s="5">
        <f>deaths!BD30-deaths!BC30</f>
        <v>0</v>
      </c>
      <c r="BE30" s="5">
        <f>deaths!BE30-deaths!BD30</f>
        <v>0</v>
      </c>
      <c r="BF30" s="5">
        <f>deaths!BF30-deaths!BE30</f>
        <v>0</v>
      </c>
      <c r="BG30" s="5">
        <f>deaths!BG30-deaths!BF30</f>
        <v>0</v>
      </c>
      <c r="BH30" s="5">
        <f>deaths!BH30-deaths!BG30</f>
        <v>1</v>
      </c>
      <c r="BI30" s="5">
        <f>deaths!BI30-deaths!BH30</f>
        <v>2</v>
      </c>
      <c r="BJ30" s="5">
        <f>deaths!BJ30-deaths!BI30</f>
        <v>3</v>
      </c>
      <c r="BK30" s="5">
        <f>deaths!BK30-deaths!BJ30</f>
        <v>5</v>
      </c>
      <c r="BL30" s="5">
        <f>deaths!BL30-deaths!BK30</f>
        <v>4</v>
      </c>
      <c r="BM30" s="5">
        <f>deaths!BM30-deaths!BL30</f>
        <v>10</v>
      </c>
      <c r="BN30" s="5">
        <f>deaths!BN30-deaths!BM30</f>
        <v>9</v>
      </c>
      <c r="BO30" s="5">
        <f>deaths!BO30-deaths!BN30</f>
        <v>12</v>
      </c>
      <c r="BP30" s="5">
        <f>deaths!BP30-deaths!BO30</f>
        <v>13</v>
      </c>
      <c r="BQ30" s="5">
        <f>deaths!BQ30-deaths!BP30</f>
        <v>18</v>
      </c>
      <c r="BR30" s="5">
        <f>deaths!BR30-deaths!BQ30</f>
        <v>15</v>
      </c>
      <c r="BS30" s="5">
        <f>deaths!BS30-deaths!BR30</f>
        <v>19</v>
      </c>
      <c r="BT30" s="5">
        <f>deaths!BT30-deaths!BS30</f>
        <v>25</v>
      </c>
      <c r="BU30" s="5">
        <f>deaths!BU30-deaths!BT30</f>
        <v>23</v>
      </c>
      <c r="BV30" s="5">
        <f>deaths!BV30-deaths!BU30</f>
        <v>42</v>
      </c>
      <c r="BW30" s="5">
        <f>deaths!BW30-deaths!BV30</f>
        <v>39</v>
      </c>
      <c r="BX30" s="5">
        <f>deaths!BX30-deaths!BW30</f>
        <v>84</v>
      </c>
      <c r="BY30" s="5">
        <f>deaths!BY30-deaths!BX30</f>
        <v>35</v>
      </c>
      <c r="BZ30" s="1">
        <f>deaths!BZ30</f>
        <v>445</v>
      </c>
      <c r="CA30" s="1">
        <f>deaths!CA30</f>
        <v>486</v>
      </c>
      <c r="CB30" s="1">
        <f>deaths!CB30</f>
        <v>564</v>
      </c>
      <c r="CC30" s="1" t="str">
        <f>deaths!CC30</f>
        <v/>
      </c>
    </row>
    <row r="31">
      <c r="B31" s="1" t="str">
        <f>deaths!B31</f>
        <v>Brunei</v>
      </c>
      <c r="C31" s="4">
        <f>deaths!C31</f>
        <v>4.5353</v>
      </c>
      <c r="D31" s="4">
        <f>deaths!D31</f>
        <v>114.7277</v>
      </c>
      <c r="E31" s="5">
        <f>deaths!E31</f>
        <v>0</v>
      </c>
      <c r="F31" s="5">
        <f>deaths!F31-deaths!E31</f>
        <v>0</v>
      </c>
      <c r="G31" s="5">
        <f>deaths!G31-deaths!F31</f>
        <v>0</v>
      </c>
      <c r="H31" s="5">
        <f>deaths!H31-deaths!G31</f>
        <v>0</v>
      </c>
      <c r="I31" s="5">
        <f>deaths!I31-deaths!H31</f>
        <v>0</v>
      </c>
      <c r="J31" s="5">
        <f>deaths!J31-deaths!I31</f>
        <v>0</v>
      </c>
      <c r="K31" s="5">
        <f>deaths!K31-deaths!J31</f>
        <v>0</v>
      </c>
      <c r="L31" s="5">
        <f>deaths!L31-deaths!K31</f>
        <v>0</v>
      </c>
      <c r="M31" s="5">
        <f>deaths!M31-deaths!L31</f>
        <v>0</v>
      </c>
      <c r="N31" s="5">
        <f>deaths!N31-deaths!M31</f>
        <v>0</v>
      </c>
      <c r="O31" s="5">
        <f>deaths!O31-deaths!N31</f>
        <v>0</v>
      </c>
      <c r="P31" s="5">
        <f>deaths!P31-deaths!O31</f>
        <v>0</v>
      </c>
      <c r="Q31" s="5">
        <f>deaths!Q31-deaths!P31</f>
        <v>0</v>
      </c>
      <c r="R31" s="5">
        <f>deaths!R31-deaths!Q31</f>
        <v>0</v>
      </c>
      <c r="S31" s="5">
        <f>deaths!S31-deaths!R31</f>
        <v>0</v>
      </c>
      <c r="T31" s="5">
        <f>deaths!T31-deaths!S31</f>
        <v>0</v>
      </c>
      <c r="U31" s="5">
        <f>deaths!U31-deaths!T31</f>
        <v>0</v>
      </c>
      <c r="V31" s="5">
        <f>deaths!V31-deaths!U31</f>
        <v>0</v>
      </c>
      <c r="W31" s="5">
        <f>deaths!W31-deaths!V31</f>
        <v>0</v>
      </c>
      <c r="X31" s="5">
        <f>deaths!X31-deaths!W31</f>
        <v>0</v>
      </c>
      <c r="Y31" s="5">
        <f>deaths!Y31-deaths!X31</f>
        <v>0</v>
      </c>
      <c r="Z31" s="5">
        <f>deaths!Z31-deaths!Y31</f>
        <v>0</v>
      </c>
      <c r="AA31" s="5">
        <f>deaths!AA31-deaths!Z31</f>
        <v>0</v>
      </c>
      <c r="AB31" s="5">
        <f>deaths!AB31-deaths!AA31</f>
        <v>0</v>
      </c>
      <c r="AC31" s="5">
        <f>deaths!AC31-deaths!AB31</f>
        <v>0</v>
      </c>
      <c r="AD31" s="5">
        <f>deaths!AD31-deaths!AC31</f>
        <v>0</v>
      </c>
      <c r="AE31" s="5">
        <f>deaths!AE31-deaths!AD31</f>
        <v>0</v>
      </c>
      <c r="AF31" s="5">
        <f>deaths!AF31-deaths!AE31</f>
        <v>0</v>
      </c>
      <c r="AG31" s="5">
        <f>deaths!AG31-deaths!AF31</f>
        <v>0</v>
      </c>
      <c r="AH31" s="5">
        <f>deaths!AH31-deaths!AG31</f>
        <v>0</v>
      </c>
      <c r="AI31" s="5">
        <f>deaths!AI31-deaths!AH31</f>
        <v>0</v>
      </c>
      <c r="AJ31" s="5">
        <f>deaths!AJ31-deaths!AI31</f>
        <v>0</v>
      </c>
      <c r="AK31" s="5">
        <f>deaths!AK31-deaths!AJ31</f>
        <v>0</v>
      </c>
      <c r="AL31" s="5">
        <f>deaths!AL31-deaths!AK31</f>
        <v>0</v>
      </c>
      <c r="AM31" s="5">
        <f>deaths!AM31-deaths!AL31</f>
        <v>0</v>
      </c>
      <c r="AN31" s="5">
        <f>deaths!AN31-deaths!AM31</f>
        <v>0</v>
      </c>
      <c r="AO31" s="5">
        <f>deaths!AO31-deaths!AN31</f>
        <v>0</v>
      </c>
      <c r="AP31" s="5">
        <f>deaths!AP31-deaths!AO31</f>
        <v>0</v>
      </c>
      <c r="AQ31" s="5">
        <f>deaths!AQ31-deaths!AP31</f>
        <v>0</v>
      </c>
      <c r="AR31" s="5">
        <f>deaths!AR31-deaths!AQ31</f>
        <v>0</v>
      </c>
      <c r="AS31" s="5">
        <f>deaths!AS31-deaths!AR31</f>
        <v>0</v>
      </c>
      <c r="AT31" s="5">
        <f>deaths!AT31-deaths!AS31</f>
        <v>0</v>
      </c>
      <c r="AU31" s="5">
        <f>deaths!AU31-deaths!AT31</f>
        <v>0</v>
      </c>
      <c r="AV31" s="5">
        <f>deaths!AV31-deaths!AU31</f>
        <v>0</v>
      </c>
      <c r="AW31" s="5">
        <f>deaths!AW31-deaths!AV31</f>
        <v>0</v>
      </c>
      <c r="AX31" s="5">
        <f>deaths!AX31-deaths!AW31</f>
        <v>0</v>
      </c>
      <c r="AY31" s="5">
        <f>deaths!AY31-deaths!AX31</f>
        <v>0</v>
      </c>
      <c r="AZ31" s="5">
        <f>deaths!AZ31-deaths!AY31</f>
        <v>0</v>
      </c>
      <c r="BA31" s="5">
        <f>deaths!BA31-deaths!AZ31</f>
        <v>0</v>
      </c>
      <c r="BB31" s="5">
        <f>deaths!BB31-deaths!BA31</f>
        <v>0</v>
      </c>
      <c r="BC31" s="5">
        <f>deaths!BC31-deaths!BB31</f>
        <v>0</v>
      </c>
      <c r="BD31" s="5">
        <f>deaths!BD31-deaths!BC31</f>
        <v>0</v>
      </c>
      <c r="BE31" s="5">
        <f>deaths!BE31-deaths!BD31</f>
        <v>0</v>
      </c>
      <c r="BF31" s="5">
        <f>deaths!BF31-deaths!BE31</f>
        <v>0</v>
      </c>
      <c r="BG31" s="5">
        <f>deaths!BG31-deaths!BF31</f>
        <v>0</v>
      </c>
      <c r="BH31" s="5">
        <f>deaths!BH31-deaths!BG31</f>
        <v>0</v>
      </c>
      <c r="BI31" s="5">
        <f>deaths!BI31-deaths!BH31</f>
        <v>0</v>
      </c>
      <c r="BJ31" s="5">
        <f>deaths!BJ31-deaths!BI31</f>
        <v>0</v>
      </c>
      <c r="BK31" s="5">
        <f>deaths!BK31-deaths!BJ31</f>
        <v>0</v>
      </c>
      <c r="BL31" s="5">
        <f>deaths!BL31-deaths!BK31</f>
        <v>0</v>
      </c>
      <c r="BM31" s="5">
        <f>deaths!BM31-deaths!BL31</f>
        <v>0</v>
      </c>
      <c r="BN31" s="5">
        <f>deaths!BN31-deaths!BM31</f>
        <v>0</v>
      </c>
      <c r="BO31" s="5">
        <f>deaths!BO31-deaths!BN31</f>
        <v>0</v>
      </c>
      <c r="BP31" s="5">
        <f>deaths!BP31-deaths!BO31</f>
        <v>0</v>
      </c>
      <c r="BQ31" s="5">
        <f>deaths!BQ31-deaths!BP31</f>
        <v>0</v>
      </c>
      <c r="BR31" s="5">
        <f>deaths!BR31-deaths!BQ31</f>
        <v>0</v>
      </c>
      <c r="BS31" s="5">
        <f>deaths!BS31-deaths!BR31</f>
        <v>1</v>
      </c>
      <c r="BT31" s="5">
        <f>deaths!BT31-deaths!BS31</f>
        <v>0</v>
      </c>
      <c r="BU31" s="5">
        <f>deaths!BU31-deaths!BT31</f>
        <v>0</v>
      </c>
      <c r="BV31" s="5">
        <f>deaths!BV31-deaths!BU31</f>
        <v>0</v>
      </c>
      <c r="BW31" s="5">
        <f>deaths!BW31-deaths!BV31</f>
        <v>0</v>
      </c>
      <c r="BX31" s="5">
        <f>deaths!BX31-deaths!BW31</f>
        <v>0</v>
      </c>
      <c r="BY31" s="5">
        <f>deaths!BY31-deaths!BX31</f>
        <v>0</v>
      </c>
      <c r="BZ31" s="1">
        <f>deaths!BZ31</f>
        <v>1</v>
      </c>
      <c r="CA31" s="1">
        <f>deaths!CA31</f>
        <v>1</v>
      </c>
      <c r="CB31" s="1">
        <f>deaths!CB31</f>
        <v>1</v>
      </c>
      <c r="CC31" s="1" t="str">
        <f>deaths!CC31</f>
        <v/>
      </c>
    </row>
    <row r="32">
      <c r="B32" s="1" t="str">
        <f>deaths!B32</f>
        <v>Bulgaria</v>
      </c>
      <c r="C32" s="4">
        <f>deaths!C32</f>
        <v>42.7339</v>
      </c>
      <c r="D32" s="4">
        <f>deaths!D32</f>
        <v>25.4858</v>
      </c>
      <c r="E32" s="5">
        <f>deaths!E32</f>
        <v>0</v>
      </c>
      <c r="F32" s="5">
        <f>deaths!F32-deaths!E32</f>
        <v>0</v>
      </c>
      <c r="G32" s="5">
        <f>deaths!G32-deaths!F32</f>
        <v>0</v>
      </c>
      <c r="H32" s="5">
        <f>deaths!H32-deaths!G32</f>
        <v>0</v>
      </c>
      <c r="I32" s="5">
        <f>deaths!I32-deaths!H32</f>
        <v>0</v>
      </c>
      <c r="J32" s="5">
        <f>deaths!J32-deaths!I32</f>
        <v>0</v>
      </c>
      <c r="K32" s="5">
        <f>deaths!K32-deaths!J32</f>
        <v>0</v>
      </c>
      <c r="L32" s="5">
        <f>deaths!L32-deaths!K32</f>
        <v>0</v>
      </c>
      <c r="M32" s="5">
        <f>deaths!M32-deaths!L32</f>
        <v>0</v>
      </c>
      <c r="N32" s="5">
        <f>deaths!N32-deaths!M32</f>
        <v>0</v>
      </c>
      <c r="O32" s="5">
        <f>deaths!O32-deaths!N32</f>
        <v>0</v>
      </c>
      <c r="P32" s="5">
        <f>deaths!P32-deaths!O32</f>
        <v>0</v>
      </c>
      <c r="Q32" s="5">
        <f>deaths!Q32-deaths!P32</f>
        <v>0</v>
      </c>
      <c r="R32" s="5">
        <f>deaths!R32-deaths!Q32</f>
        <v>0</v>
      </c>
      <c r="S32" s="5">
        <f>deaths!S32-deaths!R32</f>
        <v>0</v>
      </c>
      <c r="T32" s="5">
        <f>deaths!T32-deaths!S32</f>
        <v>0</v>
      </c>
      <c r="U32" s="5">
        <f>deaths!U32-deaths!T32</f>
        <v>0</v>
      </c>
      <c r="V32" s="5">
        <f>deaths!V32-deaths!U32</f>
        <v>0</v>
      </c>
      <c r="W32" s="5">
        <f>deaths!W32-deaths!V32</f>
        <v>0</v>
      </c>
      <c r="X32" s="5">
        <f>deaths!X32-deaths!W32</f>
        <v>0</v>
      </c>
      <c r="Y32" s="5">
        <f>deaths!Y32-deaths!X32</f>
        <v>0</v>
      </c>
      <c r="Z32" s="5">
        <f>deaths!Z32-deaths!Y32</f>
        <v>0</v>
      </c>
      <c r="AA32" s="5">
        <f>deaths!AA32-deaths!Z32</f>
        <v>0</v>
      </c>
      <c r="AB32" s="5">
        <f>deaths!AB32-deaths!AA32</f>
        <v>0</v>
      </c>
      <c r="AC32" s="5">
        <f>deaths!AC32-deaths!AB32</f>
        <v>0</v>
      </c>
      <c r="AD32" s="5">
        <f>deaths!AD32-deaths!AC32</f>
        <v>0</v>
      </c>
      <c r="AE32" s="5">
        <f>deaths!AE32-deaths!AD32</f>
        <v>0</v>
      </c>
      <c r="AF32" s="5">
        <f>deaths!AF32-deaths!AE32</f>
        <v>0</v>
      </c>
      <c r="AG32" s="5">
        <f>deaths!AG32-deaths!AF32</f>
        <v>0</v>
      </c>
      <c r="AH32" s="5">
        <f>deaths!AH32-deaths!AG32</f>
        <v>0</v>
      </c>
      <c r="AI32" s="5">
        <f>deaths!AI32-deaths!AH32</f>
        <v>0</v>
      </c>
      <c r="AJ32" s="5">
        <f>deaths!AJ32-deaths!AI32</f>
        <v>0</v>
      </c>
      <c r="AK32" s="5">
        <f>deaths!AK32-deaths!AJ32</f>
        <v>0</v>
      </c>
      <c r="AL32" s="5">
        <f>deaths!AL32-deaths!AK32</f>
        <v>0</v>
      </c>
      <c r="AM32" s="5">
        <f>deaths!AM32-deaths!AL32</f>
        <v>0</v>
      </c>
      <c r="AN32" s="5">
        <f>deaths!AN32-deaths!AM32</f>
        <v>0</v>
      </c>
      <c r="AO32" s="5">
        <f>deaths!AO32-deaths!AN32</f>
        <v>0</v>
      </c>
      <c r="AP32" s="5">
        <f>deaths!AP32-deaths!AO32</f>
        <v>0</v>
      </c>
      <c r="AQ32" s="5">
        <f>deaths!AQ32-deaths!AP32</f>
        <v>0</v>
      </c>
      <c r="AR32" s="5">
        <f>deaths!AR32-deaths!AQ32</f>
        <v>0</v>
      </c>
      <c r="AS32" s="5">
        <f>deaths!AS32-deaths!AR32</f>
        <v>0</v>
      </c>
      <c r="AT32" s="5">
        <f>deaths!AT32-deaths!AS32</f>
        <v>0</v>
      </c>
      <c r="AU32" s="5">
        <f>deaths!AU32-deaths!AT32</f>
        <v>0</v>
      </c>
      <c r="AV32" s="5">
        <f>deaths!AV32-deaths!AU32</f>
        <v>0</v>
      </c>
      <c r="AW32" s="5">
        <f>deaths!AW32-deaths!AV32</f>
        <v>0</v>
      </c>
      <c r="AX32" s="5">
        <f>deaths!AX32-deaths!AW32</f>
        <v>0</v>
      </c>
      <c r="AY32" s="5">
        <f>deaths!AY32-deaths!AX32</f>
        <v>0</v>
      </c>
      <c r="AZ32" s="5">
        <f>deaths!AZ32-deaths!AY32</f>
        <v>0</v>
      </c>
      <c r="BA32" s="5">
        <f>deaths!BA32-deaths!AZ32</f>
        <v>0</v>
      </c>
      <c r="BB32" s="5">
        <f>deaths!BB32-deaths!BA32</f>
        <v>1</v>
      </c>
      <c r="BC32" s="5">
        <f>deaths!BC32-deaths!BB32</f>
        <v>0</v>
      </c>
      <c r="BD32" s="5">
        <f>deaths!BD32-deaths!BC32</f>
        <v>0</v>
      </c>
      <c r="BE32" s="5">
        <f>deaths!BE32-deaths!BD32</f>
        <v>1</v>
      </c>
      <c r="BF32" s="5">
        <f>deaths!BF32-deaths!BE32</f>
        <v>0</v>
      </c>
      <c r="BG32" s="5">
        <f>deaths!BG32-deaths!BF32</f>
        <v>0</v>
      </c>
      <c r="BH32" s="5">
        <f>deaths!BH32-deaths!BG32</f>
        <v>0</v>
      </c>
      <c r="BI32" s="5">
        <f>deaths!BI32-deaths!BH32</f>
        <v>0</v>
      </c>
      <c r="BJ32" s="5">
        <f>deaths!BJ32-deaths!BI32</f>
        <v>1</v>
      </c>
      <c r="BK32" s="5">
        <f>deaths!BK32-deaths!BJ32</f>
        <v>0</v>
      </c>
      <c r="BL32" s="5">
        <f>deaths!BL32-deaths!BK32</f>
        <v>0</v>
      </c>
      <c r="BM32" s="5">
        <f>deaths!BM32-deaths!BL32</f>
        <v>0</v>
      </c>
      <c r="BN32" s="5">
        <f>deaths!BN32-deaths!BM32</f>
        <v>0</v>
      </c>
      <c r="BO32" s="5">
        <f>deaths!BO32-deaths!BN32</f>
        <v>0</v>
      </c>
      <c r="BP32" s="5">
        <f>deaths!BP32-deaths!BO32</f>
        <v>0</v>
      </c>
      <c r="BQ32" s="5">
        <f>deaths!BQ32-deaths!BP32</f>
        <v>0</v>
      </c>
      <c r="BR32" s="5">
        <f>deaths!BR32-deaths!BQ32</f>
        <v>0</v>
      </c>
      <c r="BS32" s="5">
        <f>deaths!BS32-deaths!BR32</f>
        <v>4</v>
      </c>
      <c r="BT32" s="5">
        <f>deaths!BT32-deaths!BS32</f>
        <v>1</v>
      </c>
      <c r="BU32" s="5">
        <f>deaths!BU32-deaths!BT32</f>
        <v>0</v>
      </c>
      <c r="BV32" s="5">
        <f>deaths!BV32-deaths!BU32</f>
        <v>0</v>
      </c>
      <c r="BW32" s="5">
        <f>deaths!BW32-deaths!BV32</f>
        <v>2</v>
      </c>
      <c r="BX32" s="5">
        <f>deaths!BX32-deaths!BW32</f>
        <v>0</v>
      </c>
      <c r="BY32" s="5">
        <f>deaths!BY32-deaths!BX32</f>
        <v>4</v>
      </c>
      <c r="BZ32" s="1">
        <f>deaths!BZ32</f>
        <v>17</v>
      </c>
      <c r="CA32" s="1">
        <f>deaths!CA32</f>
        <v>20</v>
      </c>
      <c r="CB32" s="1">
        <f>deaths!CB32</f>
        <v>22</v>
      </c>
      <c r="CC32" s="1" t="str">
        <f>deaths!CC32</f>
        <v/>
      </c>
    </row>
    <row r="33">
      <c r="B33" s="1" t="str">
        <f>deaths!B33</f>
        <v>Burkina Faso</v>
      </c>
      <c r="C33" s="4">
        <f>deaths!C33</f>
        <v>12.2383</v>
      </c>
      <c r="D33" s="4">
        <f>deaths!D33</f>
        <v>-1.5616</v>
      </c>
      <c r="E33" s="5">
        <f>deaths!E33</f>
        <v>0</v>
      </c>
      <c r="F33" s="5">
        <f>deaths!F33-deaths!E33</f>
        <v>0</v>
      </c>
      <c r="G33" s="5">
        <f>deaths!G33-deaths!F33</f>
        <v>0</v>
      </c>
      <c r="H33" s="5">
        <f>deaths!H33-deaths!G33</f>
        <v>0</v>
      </c>
      <c r="I33" s="5">
        <f>deaths!I33-deaths!H33</f>
        <v>0</v>
      </c>
      <c r="J33" s="5">
        <f>deaths!J33-deaths!I33</f>
        <v>0</v>
      </c>
      <c r="K33" s="5">
        <f>deaths!K33-deaths!J33</f>
        <v>0</v>
      </c>
      <c r="L33" s="5">
        <f>deaths!L33-deaths!K33</f>
        <v>0</v>
      </c>
      <c r="M33" s="5">
        <f>deaths!M33-deaths!L33</f>
        <v>0</v>
      </c>
      <c r="N33" s="5">
        <f>deaths!N33-deaths!M33</f>
        <v>0</v>
      </c>
      <c r="O33" s="5">
        <f>deaths!O33-deaths!N33</f>
        <v>0</v>
      </c>
      <c r="P33" s="5">
        <f>deaths!P33-deaths!O33</f>
        <v>0</v>
      </c>
      <c r="Q33" s="5">
        <f>deaths!Q33-deaths!P33</f>
        <v>0</v>
      </c>
      <c r="R33" s="5">
        <f>deaths!R33-deaths!Q33</f>
        <v>0</v>
      </c>
      <c r="S33" s="5">
        <f>deaths!S33-deaths!R33</f>
        <v>0</v>
      </c>
      <c r="T33" s="5">
        <f>deaths!T33-deaths!S33</f>
        <v>0</v>
      </c>
      <c r="U33" s="5">
        <f>deaths!U33-deaths!T33</f>
        <v>0</v>
      </c>
      <c r="V33" s="5">
        <f>deaths!V33-deaths!U33</f>
        <v>0</v>
      </c>
      <c r="W33" s="5">
        <f>deaths!W33-deaths!V33</f>
        <v>0</v>
      </c>
      <c r="X33" s="5">
        <f>deaths!X33-deaths!W33</f>
        <v>0</v>
      </c>
      <c r="Y33" s="5">
        <f>deaths!Y33-deaths!X33</f>
        <v>0</v>
      </c>
      <c r="Z33" s="5">
        <f>deaths!Z33-deaths!Y33</f>
        <v>0</v>
      </c>
      <c r="AA33" s="5">
        <f>deaths!AA33-deaths!Z33</f>
        <v>0</v>
      </c>
      <c r="AB33" s="5">
        <f>deaths!AB33-deaths!AA33</f>
        <v>0</v>
      </c>
      <c r="AC33" s="5">
        <f>deaths!AC33-deaths!AB33</f>
        <v>0</v>
      </c>
      <c r="AD33" s="5">
        <f>deaths!AD33-deaths!AC33</f>
        <v>0</v>
      </c>
      <c r="AE33" s="5">
        <f>deaths!AE33-deaths!AD33</f>
        <v>0</v>
      </c>
      <c r="AF33" s="5">
        <f>deaths!AF33-deaths!AE33</f>
        <v>0</v>
      </c>
      <c r="AG33" s="5">
        <f>deaths!AG33-deaths!AF33</f>
        <v>0</v>
      </c>
      <c r="AH33" s="5">
        <f>deaths!AH33-deaths!AG33</f>
        <v>0</v>
      </c>
      <c r="AI33" s="5">
        <f>deaths!AI33-deaths!AH33</f>
        <v>0</v>
      </c>
      <c r="AJ33" s="5">
        <f>deaths!AJ33-deaths!AI33</f>
        <v>0</v>
      </c>
      <c r="AK33" s="5">
        <f>deaths!AK33-deaths!AJ33</f>
        <v>0</v>
      </c>
      <c r="AL33" s="5">
        <f>deaths!AL33-deaths!AK33</f>
        <v>0</v>
      </c>
      <c r="AM33" s="5">
        <f>deaths!AM33-deaths!AL33</f>
        <v>0</v>
      </c>
      <c r="AN33" s="5">
        <f>deaths!AN33-deaths!AM33</f>
        <v>0</v>
      </c>
      <c r="AO33" s="5">
        <f>deaths!AO33-deaths!AN33</f>
        <v>0</v>
      </c>
      <c r="AP33" s="5">
        <f>deaths!AP33-deaths!AO33</f>
        <v>0</v>
      </c>
      <c r="AQ33" s="5">
        <f>deaths!AQ33-deaths!AP33</f>
        <v>0</v>
      </c>
      <c r="AR33" s="5">
        <f>deaths!AR33-deaths!AQ33</f>
        <v>0</v>
      </c>
      <c r="AS33" s="5">
        <f>deaths!AS33-deaths!AR33</f>
        <v>0</v>
      </c>
      <c r="AT33" s="5">
        <f>deaths!AT33-deaths!AS33</f>
        <v>0</v>
      </c>
      <c r="AU33" s="5">
        <f>deaths!AU33-deaths!AT33</f>
        <v>0</v>
      </c>
      <c r="AV33" s="5">
        <f>deaths!AV33-deaths!AU33</f>
        <v>0</v>
      </c>
      <c r="AW33" s="5">
        <f>deaths!AW33-deaths!AV33</f>
        <v>0</v>
      </c>
      <c r="AX33" s="5">
        <f>deaths!AX33-deaths!AW33</f>
        <v>0</v>
      </c>
      <c r="AY33" s="5">
        <f>deaths!AY33-deaths!AX33</f>
        <v>0</v>
      </c>
      <c r="AZ33" s="5">
        <f>deaths!AZ33-deaths!AY33</f>
        <v>0</v>
      </c>
      <c r="BA33" s="5">
        <f>deaths!BA33-deaths!AZ33</f>
        <v>0</v>
      </c>
      <c r="BB33" s="5">
        <f>deaths!BB33-deaths!BA33</f>
        <v>0</v>
      </c>
      <c r="BC33" s="5">
        <f>deaths!BC33-deaths!BB33</f>
        <v>0</v>
      </c>
      <c r="BD33" s="5">
        <f>deaths!BD33-deaths!BC33</f>
        <v>0</v>
      </c>
      <c r="BE33" s="5">
        <f>deaths!BE33-deaths!BD33</f>
        <v>0</v>
      </c>
      <c r="BF33" s="5">
        <f>deaths!BF33-deaths!BE33</f>
        <v>0</v>
      </c>
      <c r="BG33" s="5">
        <f>deaths!BG33-deaths!BF33</f>
        <v>0</v>
      </c>
      <c r="BH33" s="5">
        <f>deaths!BH33-deaths!BG33</f>
        <v>0</v>
      </c>
      <c r="BI33" s="5">
        <f>deaths!BI33-deaths!BH33</f>
        <v>1</v>
      </c>
      <c r="BJ33" s="5">
        <f>deaths!BJ33-deaths!BI33</f>
        <v>0</v>
      </c>
      <c r="BK33" s="5">
        <f>deaths!BK33-deaths!BJ33</f>
        <v>0</v>
      </c>
      <c r="BL33" s="5">
        <f>deaths!BL33-deaths!BK33</f>
        <v>1</v>
      </c>
      <c r="BM33" s="5">
        <f>deaths!BM33-deaths!BL33</f>
        <v>2</v>
      </c>
      <c r="BN33" s="5">
        <f>deaths!BN33-deaths!BM33</f>
        <v>0</v>
      </c>
      <c r="BO33" s="5">
        <f>deaths!BO33-deaths!BN33</f>
        <v>0</v>
      </c>
      <c r="BP33" s="5">
        <f>deaths!BP33-deaths!BO33</f>
        <v>0</v>
      </c>
      <c r="BQ33" s="5">
        <f>deaths!BQ33-deaths!BP33</f>
        <v>3</v>
      </c>
      <c r="BR33" s="5">
        <f>deaths!BR33-deaths!BQ33</f>
        <v>2</v>
      </c>
      <c r="BS33" s="5">
        <f>deaths!BS33-deaths!BR33</f>
        <v>2</v>
      </c>
      <c r="BT33" s="5">
        <f>deaths!BT33-deaths!BS33</f>
        <v>1</v>
      </c>
      <c r="BU33" s="5">
        <f>deaths!BU33-deaths!BT33</f>
        <v>0</v>
      </c>
      <c r="BV33" s="5">
        <f>deaths!BV33-deaths!BU33</f>
        <v>2</v>
      </c>
      <c r="BW33" s="5">
        <f>deaths!BW33-deaths!BV33</f>
        <v>2</v>
      </c>
      <c r="BX33" s="5">
        <f>deaths!BX33-deaths!BW33</f>
        <v>0</v>
      </c>
      <c r="BY33" s="5">
        <f>deaths!BY33-deaths!BX33</f>
        <v>0</v>
      </c>
      <c r="BZ33" s="1">
        <f>deaths!BZ33</f>
        <v>16</v>
      </c>
      <c r="CA33" s="1">
        <f>deaths!CA33</f>
        <v>17</v>
      </c>
      <c r="CB33" s="1">
        <f>deaths!CB33</f>
        <v>18</v>
      </c>
      <c r="CC33" s="1" t="str">
        <f>deaths!CC33</f>
        <v/>
      </c>
    </row>
    <row r="34">
      <c r="B34" s="1" t="str">
        <f>deaths!B34</f>
        <v>Cabo Verde</v>
      </c>
      <c r="C34" s="4">
        <f>deaths!C34</f>
        <v>16.5388</v>
      </c>
      <c r="D34" s="4">
        <f>deaths!D34</f>
        <v>-23.0418</v>
      </c>
      <c r="E34" s="5">
        <f>deaths!E34</f>
        <v>0</v>
      </c>
      <c r="F34" s="5">
        <f>deaths!F34-deaths!E34</f>
        <v>0</v>
      </c>
      <c r="G34" s="5">
        <f>deaths!G34-deaths!F34</f>
        <v>0</v>
      </c>
      <c r="H34" s="5">
        <f>deaths!H34-deaths!G34</f>
        <v>0</v>
      </c>
      <c r="I34" s="5">
        <f>deaths!I34-deaths!H34</f>
        <v>0</v>
      </c>
      <c r="J34" s="5">
        <f>deaths!J34-deaths!I34</f>
        <v>0</v>
      </c>
      <c r="K34" s="5">
        <f>deaths!K34-deaths!J34</f>
        <v>0</v>
      </c>
      <c r="L34" s="5">
        <f>deaths!L34-deaths!K34</f>
        <v>0</v>
      </c>
      <c r="M34" s="5">
        <f>deaths!M34-deaths!L34</f>
        <v>0</v>
      </c>
      <c r="N34" s="5">
        <f>deaths!N34-deaths!M34</f>
        <v>0</v>
      </c>
      <c r="O34" s="5">
        <f>deaths!O34-deaths!N34</f>
        <v>0</v>
      </c>
      <c r="P34" s="5">
        <f>deaths!P34-deaths!O34</f>
        <v>0</v>
      </c>
      <c r="Q34" s="5">
        <f>deaths!Q34-deaths!P34</f>
        <v>0</v>
      </c>
      <c r="R34" s="5">
        <f>deaths!R34-deaths!Q34</f>
        <v>0</v>
      </c>
      <c r="S34" s="5">
        <f>deaths!S34-deaths!R34</f>
        <v>0</v>
      </c>
      <c r="T34" s="5">
        <f>deaths!T34-deaths!S34</f>
        <v>0</v>
      </c>
      <c r="U34" s="5">
        <f>deaths!U34-deaths!T34</f>
        <v>0</v>
      </c>
      <c r="V34" s="5">
        <f>deaths!V34-deaths!U34</f>
        <v>0</v>
      </c>
      <c r="W34" s="5">
        <f>deaths!W34-deaths!V34</f>
        <v>0</v>
      </c>
      <c r="X34" s="5">
        <f>deaths!X34-deaths!W34</f>
        <v>0</v>
      </c>
      <c r="Y34" s="5">
        <f>deaths!Y34-deaths!X34</f>
        <v>0</v>
      </c>
      <c r="Z34" s="5">
        <f>deaths!Z34-deaths!Y34</f>
        <v>0</v>
      </c>
      <c r="AA34" s="5">
        <f>deaths!AA34-deaths!Z34</f>
        <v>0</v>
      </c>
      <c r="AB34" s="5">
        <f>deaths!AB34-deaths!AA34</f>
        <v>0</v>
      </c>
      <c r="AC34" s="5">
        <f>deaths!AC34-deaths!AB34</f>
        <v>0</v>
      </c>
      <c r="AD34" s="5">
        <f>deaths!AD34-deaths!AC34</f>
        <v>0</v>
      </c>
      <c r="AE34" s="5">
        <f>deaths!AE34-deaths!AD34</f>
        <v>0</v>
      </c>
      <c r="AF34" s="5">
        <f>deaths!AF34-deaths!AE34</f>
        <v>0</v>
      </c>
      <c r="AG34" s="5">
        <f>deaths!AG34-deaths!AF34</f>
        <v>0</v>
      </c>
      <c r="AH34" s="5">
        <f>deaths!AH34-deaths!AG34</f>
        <v>0</v>
      </c>
      <c r="AI34" s="5">
        <f>deaths!AI34-deaths!AH34</f>
        <v>0</v>
      </c>
      <c r="AJ34" s="5">
        <f>deaths!AJ34-deaths!AI34</f>
        <v>0</v>
      </c>
      <c r="AK34" s="5">
        <f>deaths!AK34-deaths!AJ34</f>
        <v>0</v>
      </c>
      <c r="AL34" s="5">
        <f>deaths!AL34-deaths!AK34</f>
        <v>0</v>
      </c>
      <c r="AM34" s="5">
        <f>deaths!AM34-deaths!AL34</f>
        <v>0</v>
      </c>
      <c r="AN34" s="5">
        <f>deaths!AN34-deaths!AM34</f>
        <v>0</v>
      </c>
      <c r="AO34" s="5">
        <f>deaths!AO34-deaths!AN34</f>
        <v>0</v>
      </c>
      <c r="AP34" s="5">
        <f>deaths!AP34-deaths!AO34</f>
        <v>0</v>
      </c>
      <c r="AQ34" s="5">
        <f>deaths!AQ34-deaths!AP34</f>
        <v>0</v>
      </c>
      <c r="AR34" s="5">
        <f>deaths!AR34-deaths!AQ34</f>
        <v>0</v>
      </c>
      <c r="AS34" s="5">
        <f>deaths!AS34-deaths!AR34</f>
        <v>0</v>
      </c>
      <c r="AT34" s="5">
        <f>deaths!AT34-deaths!AS34</f>
        <v>0</v>
      </c>
      <c r="AU34" s="5">
        <f>deaths!AU34-deaths!AT34</f>
        <v>0</v>
      </c>
      <c r="AV34" s="5">
        <f>deaths!AV34-deaths!AU34</f>
        <v>0</v>
      </c>
      <c r="AW34" s="5">
        <f>deaths!AW34-deaths!AV34</f>
        <v>0</v>
      </c>
      <c r="AX34" s="5">
        <f>deaths!AX34-deaths!AW34</f>
        <v>0</v>
      </c>
      <c r="AY34" s="5">
        <f>deaths!AY34-deaths!AX34</f>
        <v>0</v>
      </c>
      <c r="AZ34" s="5">
        <f>deaths!AZ34-deaths!AY34</f>
        <v>0</v>
      </c>
      <c r="BA34" s="5">
        <f>deaths!BA34-deaths!AZ34</f>
        <v>0</v>
      </c>
      <c r="BB34" s="5">
        <f>deaths!BB34-deaths!BA34</f>
        <v>0</v>
      </c>
      <c r="BC34" s="5">
        <f>deaths!BC34-deaths!BB34</f>
        <v>0</v>
      </c>
      <c r="BD34" s="5">
        <f>deaths!BD34-deaths!BC34</f>
        <v>0</v>
      </c>
      <c r="BE34" s="5">
        <f>deaths!BE34-deaths!BD34</f>
        <v>0</v>
      </c>
      <c r="BF34" s="5">
        <f>deaths!BF34-deaths!BE34</f>
        <v>0</v>
      </c>
      <c r="BG34" s="5">
        <f>deaths!BG34-deaths!BF34</f>
        <v>0</v>
      </c>
      <c r="BH34" s="5">
        <f>deaths!BH34-deaths!BG34</f>
        <v>0</v>
      </c>
      <c r="BI34" s="5">
        <f>deaths!BI34-deaths!BH34</f>
        <v>0</v>
      </c>
      <c r="BJ34" s="5">
        <f>deaths!BJ34-deaths!BI34</f>
        <v>0</v>
      </c>
      <c r="BK34" s="5">
        <f>deaths!BK34-deaths!BJ34</f>
        <v>0</v>
      </c>
      <c r="BL34" s="5">
        <f>deaths!BL34-deaths!BK34</f>
        <v>0</v>
      </c>
      <c r="BM34" s="5">
        <f>deaths!BM34-deaths!BL34</f>
        <v>0</v>
      </c>
      <c r="BN34" s="5">
        <f>deaths!BN34-deaths!BM34</f>
        <v>0</v>
      </c>
      <c r="BO34" s="5">
        <f>deaths!BO34-deaths!BN34</f>
        <v>1</v>
      </c>
      <c r="BP34" s="5">
        <f>deaths!BP34-deaths!BO34</f>
        <v>0</v>
      </c>
      <c r="BQ34" s="5">
        <f>deaths!BQ34-deaths!BP34</f>
        <v>0</v>
      </c>
      <c r="BR34" s="5">
        <f>deaths!BR34-deaths!BQ34</f>
        <v>0</v>
      </c>
      <c r="BS34" s="5">
        <f>deaths!BS34-deaths!BR34</f>
        <v>0</v>
      </c>
      <c r="BT34" s="5">
        <f>deaths!BT34-deaths!BS34</f>
        <v>0</v>
      </c>
      <c r="BU34" s="5">
        <f>deaths!BU34-deaths!BT34</f>
        <v>0</v>
      </c>
      <c r="BV34" s="5">
        <f>deaths!BV34-deaths!BU34</f>
        <v>0</v>
      </c>
      <c r="BW34" s="5">
        <f>deaths!BW34-deaths!BV34</f>
        <v>0</v>
      </c>
      <c r="BX34" s="5">
        <f>deaths!BX34-deaths!BW34</f>
        <v>0</v>
      </c>
      <c r="BY34" s="5">
        <f>deaths!BY34-deaths!BX34</f>
        <v>0</v>
      </c>
      <c r="BZ34" s="1">
        <f>deaths!BZ34</f>
        <v>1</v>
      </c>
      <c r="CA34" s="1">
        <f>deaths!CA34</f>
        <v>1</v>
      </c>
      <c r="CB34" s="1">
        <f>deaths!CB34</f>
        <v>1</v>
      </c>
      <c r="CC34" s="1" t="str">
        <f>deaths!CC34</f>
        <v/>
      </c>
    </row>
    <row r="35">
      <c r="B35" s="1" t="str">
        <f>deaths!B35</f>
        <v>Cambodia</v>
      </c>
      <c r="C35" s="4">
        <f>deaths!C35</f>
        <v>11.55</v>
      </c>
      <c r="D35" s="4">
        <f>deaths!D35</f>
        <v>104.9167</v>
      </c>
      <c r="E35" s="5">
        <f>deaths!E35</f>
        <v>0</v>
      </c>
      <c r="F35" s="5">
        <f>deaths!F35-deaths!E35</f>
        <v>0</v>
      </c>
      <c r="G35" s="5">
        <f>deaths!G35-deaths!F35</f>
        <v>0</v>
      </c>
      <c r="H35" s="5">
        <f>deaths!H35-deaths!G35</f>
        <v>0</v>
      </c>
      <c r="I35" s="5">
        <f>deaths!I35-deaths!H35</f>
        <v>0</v>
      </c>
      <c r="J35" s="5">
        <f>deaths!J35-deaths!I35</f>
        <v>0</v>
      </c>
      <c r="K35" s="5">
        <f>deaths!K35-deaths!J35</f>
        <v>0</v>
      </c>
      <c r="L35" s="5">
        <f>deaths!L35-deaths!K35</f>
        <v>0</v>
      </c>
      <c r="M35" s="5">
        <f>deaths!M35-deaths!L35</f>
        <v>0</v>
      </c>
      <c r="N35" s="5">
        <f>deaths!N35-deaths!M35</f>
        <v>0</v>
      </c>
      <c r="O35" s="5">
        <f>deaths!O35-deaths!N35</f>
        <v>0</v>
      </c>
      <c r="P35" s="5">
        <f>deaths!P35-deaths!O35</f>
        <v>0</v>
      </c>
      <c r="Q35" s="5">
        <f>deaths!Q35-deaths!P35</f>
        <v>0</v>
      </c>
      <c r="R35" s="5">
        <f>deaths!R35-deaths!Q35</f>
        <v>0</v>
      </c>
      <c r="S35" s="5">
        <f>deaths!S35-deaths!R35</f>
        <v>0</v>
      </c>
      <c r="T35" s="5">
        <f>deaths!T35-deaths!S35</f>
        <v>0</v>
      </c>
      <c r="U35" s="5">
        <f>deaths!U35-deaths!T35</f>
        <v>0</v>
      </c>
      <c r="V35" s="5">
        <f>deaths!V35-deaths!U35</f>
        <v>0</v>
      </c>
      <c r="W35" s="5">
        <f>deaths!W35-deaths!V35</f>
        <v>0</v>
      </c>
      <c r="X35" s="5">
        <f>deaths!X35-deaths!W35</f>
        <v>0</v>
      </c>
      <c r="Y35" s="5">
        <f>deaths!Y35-deaths!X35</f>
        <v>0</v>
      </c>
      <c r="Z35" s="5">
        <f>deaths!Z35-deaths!Y35</f>
        <v>0</v>
      </c>
      <c r="AA35" s="5">
        <f>deaths!AA35-deaths!Z35</f>
        <v>0</v>
      </c>
      <c r="AB35" s="5">
        <f>deaths!AB35-deaths!AA35</f>
        <v>0</v>
      </c>
      <c r="AC35" s="5">
        <f>deaths!AC35-deaths!AB35</f>
        <v>0</v>
      </c>
      <c r="AD35" s="5">
        <f>deaths!AD35-deaths!AC35</f>
        <v>0</v>
      </c>
      <c r="AE35" s="5">
        <f>deaths!AE35-deaths!AD35</f>
        <v>0</v>
      </c>
      <c r="AF35" s="5">
        <f>deaths!AF35-deaths!AE35</f>
        <v>0</v>
      </c>
      <c r="AG35" s="5">
        <f>deaths!AG35-deaths!AF35</f>
        <v>0</v>
      </c>
      <c r="AH35" s="5">
        <f>deaths!AH35-deaths!AG35</f>
        <v>0</v>
      </c>
      <c r="AI35" s="5">
        <f>deaths!AI35-deaths!AH35</f>
        <v>0</v>
      </c>
      <c r="AJ35" s="5">
        <f>deaths!AJ35-deaths!AI35</f>
        <v>0</v>
      </c>
      <c r="AK35" s="5">
        <f>deaths!AK35-deaths!AJ35</f>
        <v>0</v>
      </c>
      <c r="AL35" s="5">
        <f>deaths!AL35-deaths!AK35</f>
        <v>0</v>
      </c>
      <c r="AM35" s="5">
        <f>deaths!AM35-deaths!AL35</f>
        <v>0</v>
      </c>
      <c r="AN35" s="5">
        <f>deaths!AN35-deaths!AM35</f>
        <v>0</v>
      </c>
      <c r="AO35" s="5">
        <f>deaths!AO35-deaths!AN35</f>
        <v>0</v>
      </c>
      <c r="AP35" s="5">
        <f>deaths!AP35-deaths!AO35</f>
        <v>0</v>
      </c>
      <c r="AQ35" s="5">
        <f>deaths!AQ35-deaths!AP35</f>
        <v>0</v>
      </c>
      <c r="AR35" s="5">
        <f>deaths!AR35-deaths!AQ35</f>
        <v>0</v>
      </c>
      <c r="AS35" s="5">
        <f>deaths!AS35-deaths!AR35</f>
        <v>0</v>
      </c>
      <c r="AT35" s="5">
        <f>deaths!AT35-deaths!AS35</f>
        <v>0</v>
      </c>
      <c r="AU35" s="5">
        <f>deaths!AU35-deaths!AT35</f>
        <v>0</v>
      </c>
      <c r="AV35" s="5">
        <f>deaths!AV35-deaths!AU35</f>
        <v>0</v>
      </c>
      <c r="AW35" s="5">
        <f>deaths!AW35-deaths!AV35</f>
        <v>0</v>
      </c>
      <c r="AX35" s="5">
        <f>deaths!AX35-deaths!AW35</f>
        <v>0</v>
      </c>
      <c r="AY35" s="5">
        <f>deaths!AY35-deaths!AX35</f>
        <v>0</v>
      </c>
      <c r="AZ35" s="5">
        <f>deaths!AZ35-deaths!AY35</f>
        <v>0</v>
      </c>
      <c r="BA35" s="5">
        <f>deaths!BA35-deaths!AZ35</f>
        <v>0</v>
      </c>
      <c r="BB35" s="5">
        <f>deaths!BB35-deaths!BA35</f>
        <v>0</v>
      </c>
      <c r="BC35" s="5">
        <f>deaths!BC35-deaths!BB35</f>
        <v>0</v>
      </c>
      <c r="BD35" s="5">
        <f>deaths!BD35-deaths!BC35</f>
        <v>0</v>
      </c>
      <c r="BE35" s="5">
        <f>deaths!BE35-deaths!BD35</f>
        <v>0</v>
      </c>
      <c r="BF35" s="5">
        <f>deaths!BF35-deaths!BE35</f>
        <v>0</v>
      </c>
      <c r="BG35" s="5">
        <f>deaths!BG35-deaths!BF35</f>
        <v>0</v>
      </c>
      <c r="BH35" s="5">
        <f>deaths!BH35-deaths!BG35</f>
        <v>0</v>
      </c>
      <c r="BI35" s="5">
        <f>deaths!BI35-deaths!BH35</f>
        <v>0</v>
      </c>
      <c r="BJ35" s="5">
        <f>deaths!BJ35-deaths!BI35</f>
        <v>0</v>
      </c>
      <c r="BK35" s="5">
        <f>deaths!BK35-deaths!BJ35</f>
        <v>0</v>
      </c>
      <c r="BL35" s="5">
        <f>deaths!BL35-deaths!BK35</f>
        <v>0</v>
      </c>
      <c r="BM35" s="5">
        <f>deaths!BM35-deaths!BL35</f>
        <v>0</v>
      </c>
      <c r="BN35" s="5">
        <f>deaths!BN35-deaths!BM35</f>
        <v>0</v>
      </c>
      <c r="BO35" s="5">
        <f>deaths!BO35-deaths!BN35</f>
        <v>0</v>
      </c>
      <c r="BP35" s="5">
        <f>deaths!BP35-deaths!BO35</f>
        <v>0</v>
      </c>
      <c r="BQ35" s="5">
        <f>deaths!BQ35-deaths!BP35</f>
        <v>0</v>
      </c>
      <c r="BR35" s="5">
        <f>deaths!BR35-deaths!BQ35</f>
        <v>0</v>
      </c>
      <c r="BS35" s="5">
        <f>deaths!BS35-deaths!BR35</f>
        <v>0</v>
      </c>
      <c r="BT35" s="5">
        <f>deaths!BT35-deaths!BS35</f>
        <v>0</v>
      </c>
      <c r="BU35" s="5">
        <f>deaths!BU35-deaths!BT35</f>
        <v>0</v>
      </c>
      <c r="BV35" s="5">
        <f>deaths!BV35-deaths!BU35</f>
        <v>0</v>
      </c>
      <c r="BW35" s="5">
        <f>deaths!BW35-deaths!BV35</f>
        <v>0</v>
      </c>
      <c r="BX35" s="5">
        <f>deaths!BX35-deaths!BW35</f>
        <v>0</v>
      </c>
      <c r="BY35" s="5">
        <f>deaths!BY35-deaths!BX35</f>
        <v>0</v>
      </c>
      <c r="BZ35" s="1">
        <f>deaths!BZ35</f>
        <v>0</v>
      </c>
      <c r="CA35" s="1">
        <f>deaths!CA35</f>
        <v>0</v>
      </c>
      <c r="CB35" s="1">
        <f>deaths!CB35</f>
        <v>0</v>
      </c>
      <c r="CC35" s="1" t="str">
        <f>deaths!CC35</f>
        <v/>
      </c>
    </row>
    <row r="36">
      <c r="B36" s="1" t="str">
        <f>deaths!B36</f>
        <v>Cameroon</v>
      </c>
      <c r="C36" s="4">
        <f>deaths!C36</f>
        <v>3.848</v>
      </c>
      <c r="D36" s="4">
        <f>deaths!D36</f>
        <v>11.5021</v>
      </c>
      <c r="E36" s="5">
        <f>deaths!E36</f>
        <v>0</v>
      </c>
      <c r="F36" s="5">
        <f>deaths!F36-deaths!E36</f>
        <v>0</v>
      </c>
      <c r="G36" s="5">
        <f>deaths!G36-deaths!F36</f>
        <v>0</v>
      </c>
      <c r="H36" s="5">
        <f>deaths!H36-deaths!G36</f>
        <v>0</v>
      </c>
      <c r="I36" s="5">
        <f>deaths!I36-deaths!H36</f>
        <v>0</v>
      </c>
      <c r="J36" s="5">
        <f>deaths!J36-deaths!I36</f>
        <v>0</v>
      </c>
      <c r="K36" s="5">
        <f>deaths!K36-deaths!J36</f>
        <v>0</v>
      </c>
      <c r="L36" s="5">
        <f>deaths!L36-deaths!K36</f>
        <v>0</v>
      </c>
      <c r="M36" s="5">
        <f>deaths!M36-deaths!L36</f>
        <v>0</v>
      </c>
      <c r="N36" s="5">
        <f>deaths!N36-deaths!M36</f>
        <v>0</v>
      </c>
      <c r="O36" s="5">
        <f>deaths!O36-deaths!N36</f>
        <v>0</v>
      </c>
      <c r="P36" s="5">
        <f>deaths!P36-deaths!O36</f>
        <v>0</v>
      </c>
      <c r="Q36" s="5">
        <f>deaths!Q36-deaths!P36</f>
        <v>0</v>
      </c>
      <c r="R36" s="5">
        <f>deaths!R36-deaths!Q36</f>
        <v>0</v>
      </c>
      <c r="S36" s="5">
        <f>deaths!S36-deaths!R36</f>
        <v>0</v>
      </c>
      <c r="T36" s="5">
        <f>deaths!T36-deaths!S36</f>
        <v>0</v>
      </c>
      <c r="U36" s="5">
        <f>deaths!U36-deaths!T36</f>
        <v>0</v>
      </c>
      <c r="V36" s="5">
        <f>deaths!V36-deaths!U36</f>
        <v>0</v>
      </c>
      <c r="W36" s="5">
        <f>deaths!W36-deaths!V36</f>
        <v>0</v>
      </c>
      <c r="X36" s="5">
        <f>deaths!X36-deaths!W36</f>
        <v>0</v>
      </c>
      <c r="Y36" s="5">
        <f>deaths!Y36-deaths!X36</f>
        <v>0</v>
      </c>
      <c r="Z36" s="5">
        <f>deaths!Z36-deaths!Y36</f>
        <v>0</v>
      </c>
      <c r="AA36" s="5">
        <f>deaths!AA36-deaths!Z36</f>
        <v>0</v>
      </c>
      <c r="AB36" s="5">
        <f>deaths!AB36-deaths!AA36</f>
        <v>0</v>
      </c>
      <c r="AC36" s="5">
        <f>deaths!AC36-deaths!AB36</f>
        <v>0</v>
      </c>
      <c r="AD36" s="5">
        <f>deaths!AD36-deaths!AC36</f>
        <v>0</v>
      </c>
      <c r="AE36" s="5">
        <f>deaths!AE36-deaths!AD36</f>
        <v>0</v>
      </c>
      <c r="AF36" s="5">
        <f>deaths!AF36-deaths!AE36</f>
        <v>0</v>
      </c>
      <c r="AG36" s="5">
        <f>deaths!AG36-deaths!AF36</f>
        <v>0</v>
      </c>
      <c r="AH36" s="5">
        <f>deaths!AH36-deaths!AG36</f>
        <v>0</v>
      </c>
      <c r="AI36" s="5">
        <f>deaths!AI36-deaths!AH36</f>
        <v>0</v>
      </c>
      <c r="AJ36" s="5">
        <f>deaths!AJ36-deaths!AI36</f>
        <v>0</v>
      </c>
      <c r="AK36" s="5">
        <f>deaths!AK36-deaths!AJ36</f>
        <v>0</v>
      </c>
      <c r="AL36" s="5">
        <f>deaths!AL36-deaths!AK36</f>
        <v>0</v>
      </c>
      <c r="AM36" s="5">
        <f>deaths!AM36-deaths!AL36</f>
        <v>0</v>
      </c>
      <c r="AN36" s="5">
        <f>deaths!AN36-deaths!AM36</f>
        <v>0</v>
      </c>
      <c r="AO36" s="5">
        <f>deaths!AO36-deaths!AN36</f>
        <v>0</v>
      </c>
      <c r="AP36" s="5">
        <f>deaths!AP36-deaths!AO36</f>
        <v>0</v>
      </c>
      <c r="AQ36" s="5">
        <f>deaths!AQ36-deaths!AP36</f>
        <v>0</v>
      </c>
      <c r="AR36" s="5">
        <f>deaths!AR36-deaths!AQ36</f>
        <v>0</v>
      </c>
      <c r="AS36" s="5">
        <f>deaths!AS36-deaths!AR36</f>
        <v>0</v>
      </c>
      <c r="AT36" s="5">
        <f>deaths!AT36-deaths!AS36</f>
        <v>0</v>
      </c>
      <c r="AU36" s="5">
        <f>deaths!AU36-deaths!AT36</f>
        <v>0</v>
      </c>
      <c r="AV36" s="5">
        <f>deaths!AV36-deaths!AU36</f>
        <v>0</v>
      </c>
      <c r="AW36" s="5">
        <f>deaths!AW36-deaths!AV36</f>
        <v>0</v>
      </c>
      <c r="AX36" s="5">
        <f>deaths!AX36-deaths!AW36</f>
        <v>0</v>
      </c>
      <c r="AY36" s="5">
        <f>deaths!AY36-deaths!AX36</f>
        <v>0</v>
      </c>
      <c r="AZ36" s="5">
        <f>deaths!AZ36-deaths!AY36</f>
        <v>0</v>
      </c>
      <c r="BA36" s="5">
        <f>deaths!BA36-deaths!AZ36</f>
        <v>0</v>
      </c>
      <c r="BB36" s="5">
        <f>deaths!BB36-deaths!BA36</f>
        <v>0</v>
      </c>
      <c r="BC36" s="5">
        <f>deaths!BC36-deaths!BB36</f>
        <v>0</v>
      </c>
      <c r="BD36" s="5">
        <f>deaths!BD36-deaths!BC36</f>
        <v>0</v>
      </c>
      <c r="BE36" s="5">
        <f>deaths!BE36-deaths!BD36</f>
        <v>0</v>
      </c>
      <c r="BF36" s="5">
        <f>deaths!BF36-deaths!BE36</f>
        <v>0</v>
      </c>
      <c r="BG36" s="5">
        <f>deaths!BG36-deaths!BF36</f>
        <v>0</v>
      </c>
      <c r="BH36" s="5">
        <f>deaths!BH36-deaths!BG36</f>
        <v>0</v>
      </c>
      <c r="BI36" s="5">
        <f>deaths!BI36-deaths!BH36</f>
        <v>0</v>
      </c>
      <c r="BJ36" s="5">
        <f>deaths!BJ36-deaths!BI36</f>
        <v>0</v>
      </c>
      <c r="BK36" s="5">
        <f>deaths!BK36-deaths!BJ36</f>
        <v>0</v>
      </c>
      <c r="BL36" s="5">
        <f>deaths!BL36-deaths!BK36</f>
        <v>0</v>
      </c>
      <c r="BM36" s="5">
        <f>deaths!BM36-deaths!BL36</f>
        <v>0</v>
      </c>
      <c r="BN36" s="5">
        <f>deaths!BN36-deaths!BM36</f>
        <v>0</v>
      </c>
      <c r="BO36" s="5">
        <f>deaths!BO36-deaths!BN36</f>
        <v>0</v>
      </c>
      <c r="BP36" s="5">
        <f>deaths!BP36-deaths!BO36</f>
        <v>1</v>
      </c>
      <c r="BQ36" s="5">
        <f>deaths!BQ36-deaths!BP36</f>
        <v>0</v>
      </c>
      <c r="BR36" s="5">
        <f>deaths!BR36-deaths!BQ36</f>
        <v>1</v>
      </c>
      <c r="BS36" s="5">
        <f>deaths!BS36-deaths!BR36</f>
        <v>0</v>
      </c>
      <c r="BT36" s="5">
        <f>deaths!BT36-deaths!BS36</f>
        <v>4</v>
      </c>
      <c r="BU36" s="5">
        <f>deaths!BU36-deaths!BT36</f>
        <v>0</v>
      </c>
      <c r="BV36" s="5">
        <f>deaths!BV36-deaths!BU36</f>
        <v>0</v>
      </c>
      <c r="BW36" s="5">
        <f>deaths!BW36-deaths!BV36</f>
        <v>0</v>
      </c>
      <c r="BX36" s="5">
        <f>deaths!BX36-deaths!BW36</f>
        <v>1</v>
      </c>
      <c r="BY36" s="5">
        <f>deaths!BY36-deaths!BX36</f>
        <v>1</v>
      </c>
      <c r="BZ36" s="1">
        <f>deaths!BZ36</f>
        <v>9</v>
      </c>
      <c r="CA36" s="1">
        <f>deaths!CA36</f>
        <v>9</v>
      </c>
      <c r="CB36" s="1">
        <f>deaths!CB36</f>
        <v>9</v>
      </c>
      <c r="CC36" s="1" t="str">
        <f>deaths!CC36</f>
        <v/>
      </c>
    </row>
    <row r="37">
      <c r="B37" s="1" t="str">
        <f>deaths!B37</f>
        <v>Canada</v>
      </c>
      <c r="C37" s="4">
        <f>deaths!C37</f>
        <v>53.9333</v>
      </c>
      <c r="D37" s="4">
        <f>deaths!D37</f>
        <v>-116.5765</v>
      </c>
      <c r="E37" s="5">
        <f>deaths!E37</f>
        <v>0</v>
      </c>
      <c r="F37" s="5">
        <f>deaths!F37-deaths!E37</f>
        <v>0</v>
      </c>
      <c r="G37" s="5">
        <f>deaths!G37-deaths!F37</f>
        <v>0</v>
      </c>
      <c r="H37" s="5">
        <f>deaths!H37-deaths!G37</f>
        <v>0</v>
      </c>
      <c r="I37" s="5">
        <f>deaths!I37-deaths!H37</f>
        <v>0</v>
      </c>
      <c r="J37" s="5">
        <f>deaths!J37-deaths!I37</f>
        <v>0</v>
      </c>
      <c r="K37" s="5">
        <f>deaths!K37-deaths!J37</f>
        <v>0</v>
      </c>
      <c r="L37" s="5">
        <f>deaths!L37-deaths!K37</f>
        <v>0</v>
      </c>
      <c r="M37" s="5">
        <f>deaths!M37-deaths!L37</f>
        <v>0</v>
      </c>
      <c r="N37" s="5">
        <f>deaths!N37-deaths!M37</f>
        <v>0</v>
      </c>
      <c r="O37" s="5">
        <f>deaths!O37-deaths!N37</f>
        <v>0</v>
      </c>
      <c r="P37" s="5">
        <f>deaths!P37-deaths!O37</f>
        <v>0</v>
      </c>
      <c r="Q37" s="5">
        <f>deaths!Q37-deaths!P37</f>
        <v>0</v>
      </c>
      <c r="R37" s="5">
        <f>deaths!R37-deaths!Q37</f>
        <v>0</v>
      </c>
      <c r="S37" s="5">
        <f>deaths!S37-deaths!R37</f>
        <v>0</v>
      </c>
      <c r="T37" s="5">
        <f>deaths!T37-deaths!S37</f>
        <v>0</v>
      </c>
      <c r="U37" s="5">
        <f>deaths!U37-deaths!T37</f>
        <v>0</v>
      </c>
      <c r="V37" s="5">
        <f>deaths!V37-deaths!U37</f>
        <v>0</v>
      </c>
      <c r="W37" s="5">
        <f>deaths!W37-deaths!V37</f>
        <v>0</v>
      </c>
      <c r="X37" s="5">
        <f>deaths!X37-deaths!W37</f>
        <v>0</v>
      </c>
      <c r="Y37" s="5">
        <f>deaths!Y37-deaths!X37</f>
        <v>0</v>
      </c>
      <c r="Z37" s="5">
        <f>deaths!Z37-deaths!Y37</f>
        <v>0</v>
      </c>
      <c r="AA37" s="5">
        <f>deaths!AA37-deaths!Z37</f>
        <v>0</v>
      </c>
      <c r="AB37" s="5">
        <f>deaths!AB37-deaths!AA37</f>
        <v>0</v>
      </c>
      <c r="AC37" s="5">
        <f>deaths!AC37-deaths!AB37</f>
        <v>0</v>
      </c>
      <c r="AD37" s="5">
        <f>deaths!AD37-deaths!AC37</f>
        <v>0</v>
      </c>
      <c r="AE37" s="5">
        <f>deaths!AE37-deaths!AD37</f>
        <v>0</v>
      </c>
      <c r="AF37" s="5">
        <f>deaths!AF37-deaths!AE37</f>
        <v>0</v>
      </c>
      <c r="AG37" s="5">
        <f>deaths!AG37-deaths!AF37</f>
        <v>0</v>
      </c>
      <c r="AH37" s="5">
        <f>deaths!AH37-deaths!AG37</f>
        <v>0</v>
      </c>
      <c r="AI37" s="5">
        <f>deaths!AI37-deaths!AH37</f>
        <v>0</v>
      </c>
      <c r="AJ37" s="5">
        <f>deaths!AJ37-deaths!AI37</f>
        <v>0</v>
      </c>
      <c r="AK37" s="5">
        <f>deaths!AK37-deaths!AJ37</f>
        <v>0</v>
      </c>
      <c r="AL37" s="5">
        <f>deaths!AL37-deaths!AK37</f>
        <v>0</v>
      </c>
      <c r="AM37" s="5">
        <f>deaths!AM37-deaths!AL37</f>
        <v>0</v>
      </c>
      <c r="AN37" s="5">
        <f>deaths!AN37-deaths!AM37</f>
        <v>0</v>
      </c>
      <c r="AO37" s="5">
        <f>deaths!AO37-deaths!AN37</f>
        <v>0</v>
      </c>
      <c r="AP37" s="5">
        <f>deaths!AP37-deaths!AO37</f>
        <v>0</v>
      </c>
      <c r="AQ37" s="5">
        <f>deaths!AQ37-deaths!AP37</f>
        <v>0</v>
      </c>
      <c r="AR37" s="5">
        <f>deaths!AR37-deaths!AQ37</f>
        <v>0</v>
      </c>
      <c r="AS37" s="5">
        <f>deaths!AS37-deaths!AR37</f>
        <v>0</v>
      </c>
      <c r="AT37" s="5">
        <f>deaths!AT37-deaths!AS37</f>
        <v>0</v>
      </c>
      <c r="AU37" s="5">
        <f>deaths!AU37-deaths!AT37</f>
        <v>0</v>
      </c>
      <c r="AV37" s="5">
        <f>deaths!AV37-deaths!AU37</f>
        <v>0</v>
      </c>
      <c r="AW37" s="5">
        <f>deaths!AW37-deaths!AV37</f>
        <v>0</v>
      </c>
      <c r="AX37" s="5">
        <f>deaths!AX37-deaths!AW37</f>
        <v>0</v>
      </c>
      <c r="AY37" s="5">
        <f>deaths!AY37-deaths!AX37</f>
        <v>0</v>
      </c>
      <c r="AZ37" s="5">
        <f>deaths!AZ37-deaths!AY37</f>
        <v>0</v>
      </c>
      <c r="BA37" s="5">
        <f>deaths!BA37-deaths!AZ37</f>
        <v>0</v>
      </c>
      <c r="BB37" s="5">
        <f>deaths!BB37-deaths!BA37</f>
        <v>0</v>
      </c>
      <c r="BC37" s="5">
        <f>deaths!BC37-deaths!BB37</f>
        <v>0</v>
      </c>
      <c r="BD37" s="5">
        <f>deaths!BD37-deaths!BC37</f>
        <v>0</v>
      </c>
      <c r="BE37" s="5">
        <f>deaths!BE37-deaths!BD37</f>
        <v>0</v>
      </c>
      <c r="BF37" s="5">
        <f>deaths!BF37-deaths!BE37</f>
        <v>0</v>
      </c>
      <c r="BG37" s="5">
        <f>deaths!BG37-deaths!BF37</f>
        <v>0</v>
      </c>
      <c r="BH37" s="5">
        <f>deaths!BH37-deaths!BG37</f>
        <v>0</v>
      </c>
      <c r="BI37" s="5">
        <f>deaths!BI37-deaths!BH37</f>
        <v>0</v>
      </c>
      <c r="BJ37" s="5">
        <f>deaths!BJ37-deaths!BI37</f>
        <v>0</v>
      </c>
      <c r="BK37" s="5">
        <f>deaths!BK37-deaths!BJ37</f>
        <v>1</v>
      </c>
      <c r="BL37" s="5">
        <f>deaths!BL37-deaths!BK37</f>
        <v>0</v>
      </c>
      <c r="BM37" s="5">
        <f>deaths!BM37-deaths!BL37</f>
        <v>0</v>
      </c>
      <c r="BN37" s="5">
        <f>deaths!BN37-deaths!BM37</f>
        <v>0</v>
      </c>
      <c r="BO37" s="5">
        <f>deaths!BO37-deaths!BN37</f>
        <v>0</v>
      </c>
      <c r="BP37" s="5">
        <f>deaths!BP37-deaths!BO37</f>
        <v>1</v>
      </c>
      <c r="BQ37" s="5">
        <f>deaths!BQ37-deaths!BP37</f>
        <v>0</v>
      </c>
      <c r="BR37" s="5">
        <f>deaths!BR37-deaths!BQ37</f>
        <v>0</v>
      </c>
      <c r="BS37" s="5">
        <f>deaths!BS37-deaths!BR37</f>
        <v>0</v>
      </c>
      <c r="BT37" s="5">
        <f>deaths!BT37-deaths!BS37</f>
        <v>0</v>
      </c>
      <c r="BU37" s="5">
        <f>deaths!BU37-deaths!BT37</f>
        <v>1</v>
      </c>
      <c r="BV37" s="5">
        <f>deaths!BV37-deaths!BU37</f>
        <v>5</v>
      </c>
      <c r="BW37" s="5">
        <f>deaths!BW37-deaths!BV37</f>
        <v>1</v>
      </c>
      <c r="BX37" s="5">
        <f>deaths!BX37-deaths!BW37</f>
        <v>4</v>
      </c>
      <c r="BY37" s="5">
        <f>deaths!BY37-deaths!BX37</f>
        <v>0</v>
      </c>
      <c r="BZ37" s="1">
        <f>deaths!BZ37</f>
        <v>18</v>
      </c>
      <c r="CA37" s="1">
        <f>deaths!CA37</f>
        <v>20</v>
      </c>
      <c r="CB37" s="1">
        <f>deaths!CB37</f>
        <v>23</v>
      </c>
      <c r="CC37" s="1" t="str">
        <f>deaths!CC37</f>
        <v/>
      </c>
    </row>
    <row r="38">
      <c r="B38" s="1" t="str">
        <f>deaths!B38</f>
        <v>Canada</v>
      </c>
      <c r="C38" s="4">
        <f>deaths!C38</f>
        <v>49.2827</v>
      </c>
      <c r="D38" s="4">
        <f>deaths!D38</f>
        <v>-123.1207</v>
      </c>
      <c r="E38" s="5">
        <f>deaths!E38</f>
        <v>0</v>
      </c>
      <c r="F38" s="5">
        <f>deaths!F38-deaths!E38</f>
        <v>0</v>
      </c>
      <c r="G38" s="5">
        <f>deaths!G38-deaths!F38</f>
        <v>0</v>
      </c>
      <c r="H38" s="5">
        <f>deaths!H38-deaths!G38</f>
        <v>0</v>
      </c>
      <c r="I38" s="5">
        <f>deaths!I38-deaths!H38</f>
        <v>0</v>
      </c>
      <c r="J38" s="5">
        <f>deaths!J38-deaths!I38</f>
        <v>0</v>
      </c>
      <c r="K38" s="5">
        <f>deaths!K38-deaths!J38</f>
        <v>0</v>
      </c>
      <c r="L38" s="5">
        <f>deaths!L38-deaths!K38</f>
        <v>0</v>
      </c>
      <c r="M38" s="5">
        <f>deaths!M38-deaths!L38</f>
        <v>0</v>
      </c>
      <c r="N38" s="5">
        <f>deaths!N38-deaths!M38</f>
        <v>0</v>
      </c>
      <c r="O38" s="5">
        <f>deaths!O38-deaths!N38</f>
        <v>0</v>
      </c>
      <c r="P38" s="5">
        <f>deaths!P38-deaths!O38</f>
        <v>0</v>
      </c>
      <c r="Q38" s="5">
        <f>deaths!Q38-deaths!P38</f>
        <v>0</v>
      </c>
      <c r="R38" s="5">
        <f>deaths!R38-deaths!Q38</f>
        <v>0</v>
      </c>
      <c r="S38" s="5">
        <f>deaths!S38-deaths!R38</f>
        <v>0</v>
      </c>
      <c r="T38" s="5">
        <f>deaths!T38-deaths!S38</f>
        <v>0</v>
      </c>
      <c r="U38" s="5">
        <f>deaths!U38-deaths!T38</f>
        <v>0</v>
      </c>
      <c r="V38" s="5">
        <f>deaths!V38-deaths!U38</f>
        <v>0</v>
      </c>
      <c r="W38" s="5">
        <f>deaths!W38-deaths!V38</f>
        <v>0</v>
      </c>
      <c r="X38" s="5">
        <f>deaths!X38-deaths!W38</f>
        <v>0</v>
      </c>
      <c r="Y38" s="5">
        <f>deaths!Y38-deaths!X38</f>
        <v>0</v>
      </c>
      <c r="Z38" s="5">
        <f>deaths!Z38-deaths!Y38</f>
        <v>0</v>
      </c>
      <c r="AA38" s="5">
        <f>deaths!AA38-deaths!Z38</f>
        <v>0</v>
      </c>
      <c r="AB38" s="5">
        <f>deaths!AB38-deaths!AA38</f>
        <v>0</v>
      </c>
      <c r="AC38" s="5">
        <f>deaths!AC38-deaths!AB38</f>
        <v>0</v>
      </c>
      <c r="AD38" s="5">
        <f>deaths!AD38-deaths!AC38</f>
        <v>0</v>
      </c>
      <c r="AE38" s="5">
        <f>deaths!AE38-deaths!AD38</f>
        <v>0</v>
      </c>
      <c r="AF38" s="5">
        <f>deaths!AF38-deaths!AE38</f>
        <v>0</v>
      </c>
      <c r="AG38" s="5">
        <f>deaths!AG38-deaths!AF38</f>
        <v>0</v>
      </c>
      <c r="AH38" s="5">
        <f>deaths!AH38-deaths!AG38</f>
        <v>0</v>
      </c>
      <c r="AI38" s="5">
        <f>deaths!AI38-deaths!AH38</f>
        <v>0</v>
      </c>
      <c r="AJ38" s="5">
        <f>deaths!AJ38-deaths!AI38</f>
        <v>0</v>
      </c>
      <c r="AK38" s="5">
        <f>deaths!AK38-deaths!AJ38</f>
        <v>0</v>
      </c>
      <c r="AL38" s="5">
        <f>deaths!AL38-deaths!AK38</f>
        <v>0</v>
      </c>
      <c r="AM38" s="5">
        <f>deaths!AM38-deaths!AL38</f>
        <v>0</v>
      </c>
      <c r="AN38" s="5">
        <f>deaths!AN38-deaths!AM38</f>
        <v>0</v>
      </c>
      <c r="AO38" s="5">
        <f>deaths!AO38-deaths!AN38</f>
        <v>0</v>
      </c>
      <c r="AP38" s="5">
        <f>deaths!AP38-deaths!AO38</f>
        <v>0</v>
      </c>
      <c r="AQ38" s="5">
        <f>deaths!AQ38-deaths!AP38</f>
        <v>0</v>
      </c>
      <c r="AR38" s="5">
        <f>deaths!AR38-deaths!AQ38</f>
        <v>0</v>
      </c>
      <c r="AS38" s="5">
        <f>deaths!AS38-deaths!AR38</f>
        <v>0</v>
      </c>
      <c r="AT38" s="5">
        <f>deaths!AT38-deaths!AS38</f>
        <v>0</v>
      </c>
      <c r="AU38" s="5">
        <f>deaths!AU38-deaths!AT38</f>
        <v>0</v>
      </c>
      <c r="AV38" s="5">
        <f>deaths!AV38-deaths!AU38</f>
        <v>0</v>
      </c>
      <c r="AW38" s="5">
        <f>deaths!AW38-deaths!AV38</f>
        <v>0</v>
      </c>
      <c r="AX38" s="5">
        <f>deaths!AX38-deaths!AW38</f>
        <v>0</v>
      </c>
      <c r="AY38" s="5">
        <f>deaths!AY38-deaths!AX38</f>
        <v>0</v>
      </c>
      <c r="AZ38" s="5">
        <f>deaths!AZ38-deaths!AY38</f>
        <v>1</v>
      </c>
      <c r="BA38" s="5">
        <f>deaths!BA38-deaths!AZ38</f>
        <v>0</v>
      </c>
      <c r="BB38" s="5">
        <f>deaths!BB38-deaths!BA38</f>
        <v>0</v>
      </c>
      <c r="BC38" s="5">
        <f>deaths!BC38-deaths!BB38</f>
        <v>0</v>
      </c>
      <c r="BD38" s="5">
        <f>deaths!BD38-deaths!BC38</f>
        <v>0</v>
      </c>
      <c r="BE38" s="5">
        <f>deaths!BE38-deaths!BD38</f>
        <v>0</v>
      </c>
      <c r="BF38" s="5">
        <f>deaths!BF38-deaths!BE38</f>
        <v>0</v>
      </c>
      <c r="BG38" s="5">
        <f>deaths!BG38-deaths!BF38</f>
        <v>3</v>
      </c>
      <c r="BH38" s="5">
        <f>deaths!BH38-deaths!BG38</f>
        <v>0</v>
      </c>
      <c r="BI38" s="5">
        <f>deaths!BI38-deaths!BH38</f>
        <v>3</v>
      </c>
      <c r="BJ38" s="5">
        <f>deaths!BJ38-deaths!BI38</f>
        <v>0</v>
      </c>
      <c r="BK38" s="5">
        <f>deaths!BK38-deaths!BJ38</f>
        <v>1</v>
      </c>
      <c r="BL38" s="5">
        <f>deaths!BL38-deaths!BK38</f>
        <v>2</v>
      </c>
      <c r="BM38" s="5">
        <f>deaths!BM38-deaths!BL38</f>
        <v>0</v>
      </c>
      <c r="BN38" s="5">
        <f>deaths!BN38-deaths!BM38</f>
        <v>3</v>
      </c>
      <c r="BO38" s="5">
        <f>deaths!BO38-deaths!BN38</f>
        <v>0</v>
      </c>
      <c r="BP38" s="5">
        <f>deaths!BP38-deaths!BO38</f>
        <v>0</v>
      </c>
      <c r="BQ38" s="5">
        <f>deaths!BQ38-deaths!BP38</f>
        <v>1</v>
      </c>
      <c r="BR38" s="5">
        <f>deaths!BR38-deaths!BQ38</f>
        <v>0</v>
      </c>
      <c r="BS38" s="5">
        <f>deaths!BS38-deaths!BR38</f>
        <v>3</v>
      </c>
      <c r="BT38" s="5">
        <f>deaths!BT38-deaths!BS38</f>
        <v>0</v>
      </c>
      <c r="BU38" s="5">
        <f>deaths!BU38-deaths!BT38</f>
        <v>2</v>
      </c>
      <c r="BV38" s="5">
        <f>deaths!BV38-deaths!BU38</f>
        <v>5</v>
      </c>
      <c r="BW38" s="5">
        <f>deaths!BW38-deaths!BV38</f>
        <v>0</v>
      </c>
      <c r="BX38" s="5">
        <f>deaths!BX38-deaths!BW38</f>
        <v>7</v>
      </c>
      <c r="BY38" s="5">
        <f>deaths!BY38-deaths!BX38</f>
        <v>0</v>
      </c>
      <c r="BZ38" s="1">
        <f>deaths!BZ38</f>
        <v>38</v>
      </c>
      <c r="CA38" s="1">
        <f>deaths!CA38</f>
        <v>38</v>
      </c>
      <c r="CB38" s="1">
        <f>deaths!CB38</f>
        <v>38</v>
      </c>
      <c r="CC38" s="1" t="str">
        <f>deaths!CC38</f>
        <v/>
      </c>
    </row>
    <row r="39">
      <c r="B39" s="1" t="str">
        <f>deaths!B39</f>
        <v>Canada</v>
      </c>
      <c r="C39" s="4">
        <f>deaths!C39</f>
        <v>37.6489</v>
      </c>
      <c r="D39" s="4">
        <f>deaths!D39</f>
        <v>-122.6655</v>
      </c>
      <c r="E39" s="5">
        <f>deaths!E39</f>
        <v>0</v>
      </c>
      <c r="F39" s="5">
        <f>deaths!F39-deaths!E39</f>
        <v>0</v>
      </c>
      <c r="G39" s="5">
        <f>deaths!G39-deaths!F39</f>
        <v>0</v>
      </c>
      <c r="H39" s="5">
        <f>deaths!H39-deaths!G39</f>
        <v>0</v>
      </c>
      <c r="I39" s="5">
        <f>deaths!I39-deaths!H39</f>
        <v>0</v>
      </c>
      <c r="J39" s="5">
        <f>deaths!J39-deaths!I39</f>
        <v>0</v>
      </c>
      <c r="K39" s="5">
        <f>deaths!K39-deaths!J39</f>
        <v>0</v>
      </c>
      <c r="L39" s="5">
        <f>deaths!L39-deaths!K39</f>
        <v>0</v>
      </c>
      <c r="M39" s="5">
        <f>deaths!M39-deaths!L39</f>
        <v>0</v>
      </c>
      <c r="N39" s="5">
        <f>deaths!N39-deaths!M39</f>
        <v>0</v>
      </c>
      <c r="O39" s="5">
        <f>deaths!O39-deaths!N39</f>
        <v>0</v>
      </c>
      <c r="P39" s="5">
        <f>deaths!P39-deaths!O39</f>
        <v>0</v>
      </c>
      <c r="Q39" s="5">
        <f>deaths!Q39-deaths!P39</f>
        <v>0</v>
      </c>
      <c r="R39" s="5">
        <f>deaths!R39-deaths!Q39</f>
        <v>0</v>
      </c>
      <c r="S39" s="5">
        <f>deaths!S39-deaths!R39</f>
        <v>0</v>
      </c>
      <c r="T39" s="5">
        <f>deaths!T39-deaths!S39</f>
        <v>0</v>
      </c>
      <c r="U39" s="5">
        <f>deaths!U39-deaths!T39</f>
        <v>0</v>
      </c>
      <c r="V39" s="5">
        <f>deaths!V39-deaths!U39</f>
        <v>0</v>
      </c>
      <c r="W39" s="5">
        <f>deaths!W39-deaths!V39</f>
        <v>0</v>
      </c>
      <c r="X39" s="5">
        <f>deaths!X39-deaths!W39</f>
        <v>0</v>
      </c>
      <c r="Y39" s="5">
        <f>deaths!Y39-deaths!X39</f>
        <v>0</v>
      </c>
      <c r="Z39" s="5">
        <f>deaths!Z39-deaths!Y39</f>
        <v>0</v>
      </c>
      <c r="AA39" s="5">
        <f>deaths!AA39-deaths!Z39</f>
        <v>0</v>
      </c>
      <c r="AB39" s="5">
        <f>deaths!AB39-deaths!AA39</f>
        <v>0</v>
      </c>
      <c r="AC39" s="5">
        <f>deaths!AC39-deaths!AB39</f>
        <v>0</v>
      </c>
      <c r="AD39" s="5">
        <f>deaths!AD39-deaths!AC39</f>
        <v>0</v>
      </c>
      <c r="AE39" s="5">
        <f>deaths!AE39-deaths!AD39</f>
        <v>0</v>
      </c>
      <c r="AF39" s="5">
        <f>deaths!AF39-deaths!AE39</f>
        <v>0</v>
      </c>
      <c r="AG39" s="5">
        <f>deaths!AG39-deaths!AF39</f>
        <v>0</v>
      </c>
      <c r="AH39" s="5">
        <f>deaths!AH39-deaths!AG39</f>
        <v>0</v>
      </c>
      <c r="AI39" s="5">
        <f>deaths!AI39-deaths!AH39</f>
        <v>0</v>
      </c>
      <c r="AJ39" s="5">
        <f>deaths!AJ39-deaths!AI39</f>
        <v>0</v>
      </c>
      <c r="AK39" s="5">
        <f>deaths!AK39-deaths!AJ39</f>
        <v>0</v>
      </c>
      <c r="AL39" s="5">
        <f>deaths!AL39-deaths!AK39</f>
        <v>0</v>
      </c>
      <c r="AM39" s="5">
        <f>deaths!AM39-deaths!AL39</f>
        <v>0</v>
      </c>
      <c r="AN39" s="5">
        <f>deaths!AN39-deaths!AM39</f>
        <v>0</v>
      </c>
      <c r="AO39" s="5">
        <f>deaths!AO39-deaths!AN39</f>
        <v>0</v>
      </c>
      <c r="AP39" s="5">
        <f>deaths!AP39-deaths!AO39</f>
        <v>0</v>
      </c>
      <c r="AQ39" s="5">
        <f>deaths!AQ39-deaths!AP39</f>
        <v>0</v>
      </c>
      <c r="AR39" s="5">
        <f>deaths!AR39-deaths!AQ39</f>
        <v>0</v>
      </c>
      <c r="AS39" s="5">
        <f>deaths!AS39-deaths!AR39</f>
        <v>0</v>
      </c>
      <c r="AT39" s="5">
        <f>deaths!AT39-deaths!AS39</f>
        <v>0</v>
      </c>
      <c r="AU39" s="5">
        <f>deaths!AU39-deaths!AT39</f>
        <v>0</v>
      </c>
      <c r="AV39" s="5">
        <f>deaths!AV39-deaths!AU39</f>
        <v>0</v>
      </c>
      <c r="AW39" s="5">
        <f>deaths!AW39-deaths!AV39</f>
        <v>0</v>
      </c>
      <c r="AX39" s="5">
        <f>deaths!AX39-deaths!AW39</f>
        <v>0</v>
      </c>
      <c r="AY39" s="5">
        <f>deaths!AY39-deaths!AX39</f>
        <v>0</v>
      </c>
      <c r="AZ39" s="5">
        <f>deaths!AZ39-deaths!AY39</f>
        <v>0</v>
      </c>
      <c r="BA39" s="5">
        <f>deaths!BA39-deaths!AZ39</f>
        <v>0</v>
      </c>
      <c r="BB39" s="5">
        <f>deaths!BB39-deaths!BA39</f>
        <v>0</v>
      </c>
      <c r="BC39" s="5">
        <f>deaths!BC39-deaths!BB39</f>
        <v>0</v>
      </c>
      <c r="BD39" s="5">
        <f>deaths!BD39-deaths!BC39</f>
        <v>0</v>
      </c>
      <c r="BE39" s="5">
        <f>deaths!BE39-deaths!BD39</f>
        <v>0</v>
      </c>
      <c r="BF39" s="5">
        <f>deaths!BF39-deaths!BE39</f>
        <v>0</v>
      </c>
      <c r="BG39" s="5">
        <f>deaths!BG39-deaths!BF39</f>
        <v>0</v>
      </c>
      <c r="BH39" s="5">
        <f>deaths!BH39-deaths!BG39</f>
        <v>0</v>
      </c>
      <c r="BI39" s="5">
        <f>deaths!BI39-deaths!BH39</f>
        <v>0</v>
      </c>
      <c r="BJ39" s="5">
        <f>deaths!BJ39-deaths!BI39</f>
        <v>0</v>
      </c>
      <c r="BK39" s="5">
        <f>deaths!BK39-deaths!BJ39</f>
        <v>0</v>
      </c>
      <c r="BL39" s="5">
        <f>deaths!BL39-deaths!BK39</f>
        <v>0</v>
      </c>
      <c r="BM39" s="5">
        <f>deaths!BM39-deaths!BL39</f>
        <v>0</v>
      </c>
      <c r="BN39" s="5">
        <f>deaths!BN39-deaths!BM39</f>
        <v>0</v>
      </c>
      <c r="BO39" s="5">
        <f>deaths!BO39-deaths!BN39</f>
        <v>0</v>
      </c>
      <c r="BP39" s="5">
        <f>deaths!BP39-deaths!BO39</f>
        <v>0</v>
      </c>
      <c r="BQ39" s="5">
        <f>deaths!BQ39-deaths!BP39</f>
        <v>0</v>
      </c>
      <c r="BR39" s="5">
        <f>deaths!BR39-deaths!BQ39</f>
        <v>0</v>
      </c>
      <c r="BS39" s="5">
        <f>deaths!BS39-deaths!BR39</f>
        <v>0</v>
      </c>
      <c r="BT39" s="5">
        <f>deaths!BT39-deaths!BS39</f>
        <v>0</v>
      </c>
      <c r="BU39" s="5">
        <f>deaths!BU39-deaths!BT39</f>
        <v>0</v>
      </c>
      <c r="BV39" s="5">
        <f>deaths!BV39-deaths!BU39</f>
        <v>0</v>
      </c>
      <c r="BW39" s="5">
        <f>deaths!BW39-deaths!BV39</f>
        <v>0</v>
      </c>
      <c r="BX39" s="5">
        <f>deaths!BX39-deaths!BW39</f>
        <v>0</v>
      </c>
      <c r="BY39" s="5">
        <f>deaths!BY39-deaths!BX39</f>
        <v>0</v>
      </c>
      <c r="BZ39" s="1">
        <f>deaths!BZ39</f>
        <v>0</v>
      </c>
      <c r="CA39" s="1">
        <f>deaths!CA39</f>
        <v>0</v>
      </c>
      <c r="CB39" s="1">
        <f>deaths!CB39</f>
        <v>0</v>
      </c>
      <c r="CC39" s="1" t="str">
        <f>deaths!CC39</f>
        <v/>
      </c>
    </row>
    <row r="40">
      <c r="B40" s="1" t="str">
        <f>deaths!B40</f>
        <v>Canada</v>
      </c>
      <c r="C40" s="4">
        <f>deaths!C40</f>
        <v>53.7609</v>
      </c>
      <c r="D40" s="4">
        <f>deaths!D40</f>
        <v>-98.8139</v>
      </c>
      <c r="E40" s="5">
        <f>deaths!E40</f>
        <v>0</v>
      </c>
      <c r="F40" s="5">
        <f>deaths!F40-deaths!E40</f>
        <v>0</v>
      </c>
      <c r="G40" s="5">
        <f>deaths!G40-deaths!F40</f>
        <v>0</v>
      </c>
      <c r="H40" s="5">
        <f>deaths!H40-deaths!G40</f>
        <v>0</v>
      </c>
      <c r="I40" s="5">
        <f>deaths!I40-deaths!H40</f>
        <v>0</v>
      </c>
      <c r="J40" s="5">
        <f>deaths!J40-deaths!I40</f>
        <v>0</v>
      </c>
      <c r="K40" s="5">
        <f>deaths!K40-deaths!J40</f>
        <v>0</v>
      </c>
      <c r="L40" s="5">
        <f>deaths!L40-deaths!K40</f>
        <v>0</v>
      </c>
      <c r="M40" s="5">
        <f>deaths!M40-deaths!L40</f>
        <v>0</v>
      </c>
      <c r="N40" s="5">
        <f>deaths!N40-deaths!M40</f>
        <v>0</v>
      </c>
      <c r="O40" s="5">
        <f>deaths!O40-deaths!N40</f>
        <v>0</v>
      </c>
      <c r="P40" s="5">
        <f>deaths!P40-deaths!O40</f>
        <v>0</v>
      </c>
      <c r="Q40" s="5">
        <f>deaths!Q40-deaths!P40</f>
        <v>0</v>
      </c>
      <c r="R40" s="5">
        <f>deaths!R40-deaths!Q40</f>
        <v>0</v>
      </c>
      <c r="S40" s="5">
        <f>deaths!S40-deaths!R40</f>
        <v>0</v>
      </c>
      <c r="T40" s="5">
        <f>deaths!T40-deaths!S40</f>
        <v>0</v>
      </c>
      <c r="U40" s="5">
        <f>deaths!U40-deaths!T40</f>
        <v>0</v>
      </c>
      <c r="V40" s="5">
        <f>deaths!V40-deaths!U40</f>
        <v>0</v>
      </c>
      <c r="W40" s="5">
        <f>deaths!W40-deaths!V40</f>
        <v>0</v>
      </c>
      <c r="X40" s="5">
        <f>deaths!X40-deaths!W40</f>
        <v>0</v>
      </c>
      <c r="Y40" s="5">
        <f>deaths!Y40-deaths!X40</f>
        <v>0</v>
      </c>
      <c r="Z40" s="5">
        <f>deaths!Z40-deaths!Y40</f>
        <v>0</v>
      </c>
      <c r="AA40" s="5">
        <f>deaths!AA40-deaths!Z40</f>
        <v>0</v>
      </c>
      <c r="AB40" s="5">
        <f>deaths!AB40-deaths!AA40</f>
        <v>0</v>
      </c>
      <c r="AC40" s="5">
        <f>deaths!AC40-deaths!AB40</f>
        <v>0</v>
      </c>
      <c r="AD40" s="5">
        <f>deaths!AD40-deaths!AC40</f>
        <v>0</v>
      </c>
      <c r="AE40" s="5">
        <f>deaths!AE40-deaths!AD40</f>
        <v>0</v>
      </c>
      <c r="AF40" s="5">
        <f>deaths!AF40-deaths!AE40</f>
        <v>0</v>
      </c>
      <c r="AG40" s="5">
        <f>deaths!AG40-deaths!AF40</f>
        <v>0</v>
      </c>
      <c r="AH40" s="5">
        <f>deaths!AH40-deaths!AG40</f>
        <v>0</v>
      </c>
      <c r="AI40" s="5">
        <f>deaths!AI40-deaths!AH40</f>
        <v>0</v>
      </c>
      <c r="AJ40" s="5">
        <f>deaths!AJ40-deaths!AI40</f>
        <v>0</v>
      </c>
      <c r="AK40" s="5">
        <f>deaths!AK40-deaths!AJ40</f>
        <v>0</v>
      </c>
      <c r="AL40" s="5">
        <f>deaths!AL40-deaths!AK40</f>
        <v>0</v>
      </c>
      <c r="AM40" s="5">
        <f>deaths!AM40-deaths!AL40</f>
        <v>0</v>
      </c>
      <c r="AN40" s="5">
        <f>deaths!AN40-deaths!AM40</f>
        <v>0</v>
      </c>
      <c r="AO40" s="5">
        <f>deaths!AO40-deaths!AN40</f>
        <v>0</v>
      </c>
      <c r="AP40" s="5">
        <f>deaths!AP40-deaths!AO40</f>
        <v>0</v>
      </c>
      <c r="AQ40" s="5">
        <f>deaths!AQ40-deaths!AP40</f>
        <v>0</v>
      </c>
      <c r="AR40" s="5">
        <f>deaths!AR40-deaths!AQ40</f>
        <v>0</v>
      </c>
      <c r="AS40" s="5">
        <f>deaths!AS40-deaths!AR40</f>
        <v>0</v>
      </c>
      <c r="AT40" s="5">
        <f>deaths!AT40-deaths!AS40</f>
        <v>0</v>
      </c>
      <c r="AU40" s="5">
        <f>deaths!AU40-deaths!AT40</f>
        <v>0</v>
      </c>
      <c r="AV40" s="5">
        <f>deaths!AV40-deaths!AU40</f>
        <v>0</v>
      </c>
      <c r="AW40" s="5">
        <f>deaths!AW40-deaths!AV40</f>
        <v>0</v>
      </c>
      <c r="AX40" s="5">
        <f>deaths!AX40-deaths!AW40</f>
        <v>0</v>
      </c>
      <c r="AY40" s="5">
        <f>deaths!AY40-deaths!AX40</f>
        <v>0</v>
      </c>
      <c r="AZ40" s="5">
        <f>deaths!AZ40-deaths!AY40</f>
        <v>0</v>
      </c>
      <c r="BA40" s="5">
        <f>deaths!BA40-deaths!AZ40</f>
        <v>0</v>
      </c>
      <c r="BB40" s="5">
        <f>deaths!BB40-deaths!BA40</f>
        <v>0</v>
      </c>
      <c r="BC40" s="5">
        <f>deaths!BC40-deaths!BB40</f>
        <v>0</v>
      </c>
      <c r="BD40" s="5">
        <f>deaths!BD40-deaths!BC40</f>
        <v>0</v>
      </c>
      <c r="BE40" s="5">
        <f>deaths!BE40-deaths!BD40</f>
        <v>0</v>
      </c>
      <c r="BF40" s="5">
        <f>deaths!BF40-deaths!BE40</f>
        <v>0</v>
      </c>
      <c r="BG40" s="5">
        <f>deaths!BG40-deaths!BF40</f>
        <v>0</v>
      </c>
      <c r="BH40" s="5">
        <f>deaths!BH40-deaths!BG40</f>
        <v>0</v>
      </c>
      <c r="BI40" s="5">
        <f>deaths!BI40-deaths!BH40</f>
        <v>0</v>
      </c>
      <c r="BJ40" s="5">
        <f>deaths!BJ40-deaths!BI40</f>
        <v>0</v>
      </c>
      <c r="BK40" s="5">
        <f>deaths!BK40-deaths!BJ40</f>
        <v>0</v>
      </c>
      <c r="BL40" s="5">
        <f>deaths!BL40-deaths!BK40</f>
        <v>0</v>
      </c>
      <c r="BM40" s="5">
        <f>deaths!BM40-deaths!BL40</f>
        <v>0</v>
      </c>
      <c r="BN40" s="5">
        <f>deaths!BN40-deaths!BM40</f>
        <v>0</v>
      </c>
      <c r="BO40" s="5">
        <f>deaths!BO40-deaths!BN40</f>
        <v>0</v>
      </c>
      <c r="BP40" s="5">
        <f>deaths!BP40-deaths!BO40</f>
        <v>0</v>
      </c>
      <c r="BQ40" s="5">
        <f>deaths!BQ40-deaths!BP40</f>
        <v>0</v>
      </c>
      <c r="BR40" s="5">
        <f>deaths!BR40-deaths!BQ40</f>
        <v>1</v>
      </c>
      <c r="BS40" s="5">
        <f>deaths!BS40-deaths!BR40</f>
        <v>0</v>
      </c>
      <c r="BT40" s="5">
        <f>deaths!BT40-deaths!BS40</f>
        <v>0</v>
      </c>
      <c r="BU40" s="5">
        <f>deaths!BU40-deaths!BT40</f>
        <v>0</v>
      </c>
      <c r="BV40" s="5">
        <f>deaths!BV40-deaths!BU40</f>
        <v>0</v>
      </c>
      <c r="BW40" s="5">
        <f>deaths!BW40-deaths!BV40</f>
        <v>0</v>
      </c>
      <c r="BX40" s="5">
        <f>deaths!BX40-deaths!BW40</f>
        <v>0</v>
      </c>
      <c r="BY40" s="5">
        <f>deaths!BY40-deaths!BX40</f>
        <v>1</v>
      </c>
      <c r="BZ40" s="1">
        <f>deaths!BZ40</f>
        <v>2</v>
      </c>
      <c r="CA40" s="1">
        <f>deaths!CA40</f>
        <v>2</v>
      </c>
      <c r="CB40" s="1">
        <f>deaths!CB40</f>
        <v>2</v>
      </c>
      <c r="CC40" s="1" t="str">
        <f>deaths!CC40</f>
        <v/>
      </c>
    </row>
    <row r="41">
      <c r="B41" s="1" t="str">
        <f>deaths!B41</f>
        <v>Canada</v>
      </c>
      <c r="C41" s="4">
        <f>deaths!C41</f>
        <v>46.5653</v>
      </c>
      <c r="D41" s="4">
        <f>deaths!D41</f>
        <v>-66.4619</v>
      </c>
      <c r="E41" s="5">
        <f>deaths!E41</f>
        <v>0</v>
      </c>
      <c r="F41" s="5">
        <f>deaths!F41-deaths!E41</f>
        <v>0</v>
      </c>
      <c r="G41" s="5">
        <f>deaths!G41-deaths!F41</f>
        <v>0</v>
      </c>
      <c r="H41" s="5">
        <f>deaths!H41-deaths!G41</f>
        <v>0</v>
      </c>
      <c r="I41" s="5">
        <f>deaths!I41-deaths!H41</f>
        <v>0</v>
      </c>
      <c r="J41" s="5">
        <f>deaths!J41-deaths!I41</f>
        <v>0</v>
      </c>
      <c r="K41" s="5">
        <f>deaths!K41-deaths!J41</f>
        <v>0</v>
      </c>
      <c r="L41" s="5">
        <f>deaths!L41-deaths!K41</f>
        <v>0</v>
      </c>
      <c r="M41" s="5">
        <f>deaths!M41-deaths!L41</f>
        <v>0</v>
      </c>
      <c r="N41" s="5">
        <f>deaths!N41-deaths!M41</f>
        <v>0</v>
      </c>
      <c r="O41" s="5">
        <f>deaths!O41-deaths!N41</f>
        <v>0</v>
      </c>
      <c r="P41" s="5">
        <f>deaths!P41-deaths!O41</f>
        <v>0</v>
      </c>
      <c r="Q41" s="5">
        <f>deaths!Q41-deaths!P41</f>
        <v>0</v>
      </c>
      <c r="R41" s="5">
        <f>deaths!R41-deaths!Q41</f>
        <v>0</v>
      </c>
      <c r="S41" s="5">
        <f>deaths!S41-deaths!R41</f>
        <v>0</v>
      </c>
      <c r="T41" s="5">
        <f>deaths!T41-deaths!S41</f>
        <v>0</v>
      </c>
      <c r="U41" s="5">
        <f>deaths!U41-deaths!T41</f>
        <v>0</v>
      </c>
      <c r="V41" s="5">
        <f>deaths!V41-deaths!U41</f>
        <v>0</v>
      </c>
      <c r="W41" s="5">
        <f>deaths!W41-deaths!V41</f>
        <v>0</v>
      </c>
      <c r="X41" s="5">
        <f>deaths!X41-deaths!W41</f>
        <v>0</v>
      </c>
      <c r="Y41" s="5">
        <f>deaths!Y41-deaths!X41</f>
        <v>0</v>
      </c>
      <c r="Z41" s="5">
        <f>deaths!Z41-deaths!Y41</f>
        <v>0</v>
      </c>
      <c r="AA41" s="5">
        <f>deaths!AA41-deaths!Z41</f>
        <v>0</v>
      </c>
      <c r="AB41" s="5">
        <f>deaths!AB41-deaths!AA41</f>
        <v>0</v>
      </c>
      <c r="AC41" s="5">
        <f>deaths!AC41-deaths!AB41</f>
        <v>0</v>
      </c>
      <c r="AD41" s="5">
        <f>deaths!AD41-deaths!AC41</f>
        <v>0</v>
      </c>
      <c r="AE41" s="5">
        <f>deaths!AE41-deaths!AD41</f>
        <v>0</v>
      </c>
      <c r="AF41" s="5">
        <f>deaths!AF41-deaths!AE41</f>
        <v>0</v>
      </c>
      <c r="AG41" s="5">
        <f>deaths!AG41-deaths!AF41</f>
        <v>0</v>
      </c>
      <c r="AH41" s="5">
        <f>deaths!AH41-deaths!AG41</f>
        <v>0</v>
      </c>
      <c r="AI41" s="5">
        <f>deaths!AI41-deaths!AH41</f>
        <v>0</v>
      </c>
      <c r="AJ41" s="5">
        <f>deaths!AJ41-deaths!AI41</f>
        <v>0</v>
      </c>
      <c r="AK41" s="5">
        <f>deaths!AK41-deaths!AJ41</f>
        <v>0</v>
      </c>
      <c r="AL41" s="5">
        <f>deaths!AL41-deaths!AK41</f>
        <v>0</v>
      </c>
      <c r="AM41" s="5">
        <f>deaths!AM41-deaths!AL41</f>
        <v>0</v>
      </c>
      <c r="AN41" s="5">
        <f>deaths!AN41-deaths!AM41</f>
        <v>0</v>
      </c>
      <c r="AO41" s="5">
        <f>deaths!AO41-deaths!AN41</f>
        <v>0</v>
      </c>
      <c r="AP41" s="5">
        <f>deaths!AP41-deaths!AO41</f>
        <v>0</v>
      </c>
      <c r="AQ41" s="5">
        <f>deaths!AQ41-deaths!AP41</f>
        <v>0</v>
      </c>
      <c r="AR41" s="5">
        <f>deaths!AR41-deaths!AQ41</f>
        <v>0</v>
      </c>
      <c r="AS41" s="5">
        <f>deaths!AS41-deaths!AR41</f>
        <v>0</v>
      </c>
      <c r="AT41" s="5">
        <f>deaths!AT41-deaths!AS41</f>
        <v>0</v>
      </c>
      <c r="AU41" s="5">
        <f>deaths!AU41-deaths!AT41</f>
        <v>0</v>
      </c>
      <c r="AV41" s="5">
        <f>deaths!AV41-deaths!AU41</f>
        <v>0</v>
      </c>
      <c r="AW41" s="5">
        <f>deaths!AW41-deaths!AV41</f>
        <v>0</v>
      </c>
      <c r="AX41" s="5">
        <f>deaths!AX41-deaths!AW41</f>
        <v>0</v>
      </c>
      <c r="AY41" s="5">
        <f>deaths!AY41-deaths!AX41</f>
        <v>0</v>
      </c>
      <c r="AZ41" s="5">
        <f>deaths!AZ41-deaths!AY41</f>
        <v>0</v>
      </c>
      <c r="BA41" s="5">
        <f>deaths!BA41-deaths!AZ41</f>
        <v>0</v>
      </c>
      <c r="BB41" s="5">
        <f>deaths!BB41-deaths!BA41</f>
        <v>0</v>
      </c>
      <c r="BC41" s="5">
        <f>deaths!BC41-deaths!BB41</f>
        <v>0</v>
      </c>
      <c r="BD41" s="5">
        <f>deaths!BD41-deaths!BC41</f>
        <v>0</v>
      </c>
      <c r="BE41" s="5">
        <f>deaths!BE41-deaths!BD41</f>
        <v>0</v>
      </c>
      <c r="BF41" s="5">
        <f>deaths!BF41-deaths!BE41</f>
        <v>0</v>
      </c>
      <c r="BG41" s="5">
        <f>deaths!BG41-deaths!BF41</f>
        <v>0</v>
      </c>
      <c r="BH41" s="5">
        <f>deaths!BH41-deaths!BG41</f>
        <v>0</v>
      </c>
      <c r="BI41" s="5">
        <f>deaths!BI41-deaths!BH41</f>
        <v>0</v>
      </c>
      <c r="BJ41" s="5">
        <f>deaths!BJ41-deaths!BI41</f>
        <v>0</v>
      </c>
      <c r="BK41" s="5">
        <f>deaths!BK41-deaths!BJ41</f>
        <v>0</v>
      </c>
      <c r="BL41" s="5">
        <f>deaths!BL41-deaths!BK41</f>
        <v>0</v>
      </c>
      <c r="BM41" s="5">
        <f>deaths!BM41-deaths!BL41</f>
        <v>0</v>
      </c>
      <c r="BN41" s="5">
        <f>deaths!BN41-deaths!BM41</f>
        <v>0</v>
      </c>
      <c r="BO41" s="5">
        <f>deaths!BO41-deaths!BN41</f>
        <v>0</v>
      </c>
      <c r="BP41" s="5">
        <f>deaths!BP41-deaths!BO41</f>
        <v>0</v>
      </c>
      <c r="BQ41" s="5">
        <f>deaths!BQ41-deaths!BP41</f>
        <v>0</v>
      </c>
      <c r="BR41" s="5">
        <f>deaths!BR41-deaths!BQ41</f>
        <v>0</v>
      </c>
      <c r="BS41" s="5">
        <f>deaths!BS41-deaths!BR41</f>
        <v>0</v>
      </c>
      <c r="BT41" s="5">
        <f>deaths!BT41-deaths!BS41</f>
        <v>0</v>
      </c>
      <c r="BU41" s="5">
        <f>deaths!BU41-deaths!BT41</f>
        <v>0</v>
      </c>
      <c r="BV41" s="5">
        <f>deaths!BV41-deaths!BU41</f>
        <v>0</v>
      </c>
      <c r="BW41" s="5">
        <f>deaths!BW41-deaths!BV41</f>
        <v>0</v>
      </c>
      <c r="BX41" s="5">
        <f>deaths!BX41-deaths!BW41</f>
        <v>0</v>
      </c>
      <c r="BY41" s="5">
        <f>deaths!BY41-deaths!BX41</f>
        <v>0</v>
      </c>
      <c r="BZ41" s="1">
        <f>deaths!BZ41</f>
        <v>0</v>
      </c>
      <c r="CA41" s="1">
        <f>deaths!CA41</f>
        <v>0</v>
      </c>
      <c r="CB41" s="1">
        <f>deaths!CB41</f>
        <v>0</v>
      </c>
      <c r="CC41" s="1" t="str">
        <f>deaths!CC41</f>
        <v/>
      </c>
    </row>
    <row r="42">
      <c r="B42" s="1" t="str">
        <f>deaths!B42</f>
        <v>Canada</v>
      </c>
      <c r="C42" s="4">
        <f>deaths!C42</f>
        <v>53.1355</v>
      </c>
      <c r="D42" s="4">
        <f>deaths!D42</f>
        <v>-57.6604</v>
      </c>
      <c r="E42" s="5">
        <f>deaths!E42</f>
        <v>0</v>
      </c>
      <c r="F42" s="5">
        <f>deaths!F42-deaths!E42</f>
        <v>0</v>
      </c>
      <c r="G42" s="5">
        <f>deaths!G42-deaths!F42</f>
        <v>0</v>
      </c>
      <c r="H42" s="5">
        <f>deaths!H42-deaths!G42</f>
        <v>0</v>
      </c>
      <c r="I42" s="5">
        <f>deaths!I42-deaths!H42</f>
        <v>0</v>
      </c>
      <c r="J42" s="5">
        <f>deaths!J42-deaths!I42</f>
        <v>0</v>
      </c>
      <c r="K42" s="5">
        <f>deaths!K42-deaths!J42</f>
        <v>0</v>
      </c>
      <c r="L42" s="5">
        <f>deaths!L42-deaths!K42</f>
        <v>0</v>
      </c>
      <c r="M42" s="5">
        <f>deaths!M42-deaths!L42</f>
        <v>0</v>
      </c>
      <c r="N42" s="5">
        <f>deaths!N42-deaths!M42</f>
        <v>0</v>
      </c>
      <c r="O42" s="5">
        <f>deaths!O42-deaths!N42</f>
        <v>0</v>
      </c>
      <c r="P42" s="5">
        <f>deaths!P42-deaths!O42</f>
        <v>0</v>
      </c>
      <c r="Q42" s="5">
        <f>deaths!Q42-deaths!P42</f>
        <v>0</v>
      </c>
      <c r="R42" s="5">
        <f>deaths!R42-deaths!Q42</f>
        <v>0</v>
      </c>
      <c r="S42" s="5">
        <f>deaths!S42-deaths!R42</f>
        <v>0</v>
      </c>
      <c r="T42" s="5">
        <f>deaths!T42-deaths!S42</f>
        <v>0</v>
      </c>
      <c r="U42" s="5">
        <f>deaths!U42-deaths!T42</f>
        <v>0</v>
      </c>
      <c r="V42" s="5">
        <f>deaths!V42-deaths!U42</f>
        <v>0</v>
      </c>
      <c r="W42" s="5">
        <f>deaths!W42-deaths!V42</f>
        <v>0</v>
      </c>
      <c r="X42" s="5">
        <f>deaths!X42-deaths!W42</f>
        <v>0</v>
      </c>
      <c r="Y42" s="5">
        <f>deaths!Y42-deaths!X42</f>
        <v>0</v>
      </c>
      <c r="Z42" s="5">
        <f>deaths!Z42-deaths!Y42</f>
        <v>0</v>
      </c>
      <c r="AA42" s="5">
        <f>deaths!AA42-deaths!Z42</f>
        <v>0</v>
      </c>
      <c r="AB42" s="5">
        <f>deaths!AB42-deaths!AA42</f>
        <v>0</v>
      </c>
      <c r="AC42" s="5">
        <f>deaths!AC42-deaths!AB42</f>
        <v>0</v>
      </c>
      <c r="AD42" s="5">
        <f>deaths!AD42-deaths!AC42</f>
        <v>0</v>
      </c>
      <c r="AE42" s="5">
        <f>deaths!AE42-deaths!AD42</f>
        <v>0</v>
      </c>
      <c r="AF42" s="5">
        <f>deaths!AF42-deaths!AE42</f>
        <v>0</v>
      </c>
      <c r="AG42" s="5">
        <f>deaths!AG42-deaths!AF42</f>
        <v>0</v>
      </c>
      <c r="AH42" s="5">
        <f>deaths!AH42-deaths!AG42</f>
        <v>0</v>
      </c>
      <c r="AI42" s="5">
        <f>deaths!AI42-deaths!AH42</f>
        <v>0</v>
      </c>
      <c r="AJ42" s="5">
        <f>deaths!AJ42-deaths!AI42</f>
        <v>0</v>
      </c>
      <c r="AK42" s="5">
        <f>deaths!AK42-deaths!AJ42</f>
        <v>0</v>
      </c>
      <c r="AL42" s="5">
        <f>deaths!AL42-deaths!AK42</f>
        <v>0</v>
      </c>
      <c r="AM42" s="5">
        <f>deaths!AM42-deaths!AL42</f>
        <v>0</v>
      </c>
      <c r="AN42" s="5">
        <f>deaths!AN42-deaths!AM42</f>
        <v>0</v>
      </c>
      <c r="AO42" s="5">
        <f>deaths!AO42-deaths!AN42</f>
        <v>0</v>
      </c>
      <c r="AP42" s="5">
        <f>deaths!AP42-deaths!AO42</f>
        <v>0</v>
      </c>
      <c r="AQ42" s="5">
        <f>deaths!AQ42-deaths!AP42</f>
        <v>0</v>
      </c>
      <c r="AR42" s="5">
        <f>deaths!AR42-deaths!AQ42</f>
        <v>0</v>
      </c>
      <c r="AS42" s="5">
        <f>deaths!AS42-deaths!AR42</f>
        <v>0</v>
      </c>
      <c r="AT42" s="5">
        <f>deaths!AT42-deaths!AS42</f>
        <v>0</v>
      </c>
      <c r="AU42" s="5">
        <f>deaths!AU42-deaths!AT42</f>
        <v>0</v>
      </c>
      <c r="AV42" s="5">
        <f>deaths!AV42-deaths!AU42</f>
        <v>0</v>
      </c>
      <c r="AW42" s="5">
        <f>deaths!AW42-deaths!AV42</f>
        <v>0</v>
      </c>
      <c r="AX42" s="5">
        <f>deaths!AX42-deaths!AW42</f>
        <v>0</v>
      </c>
      <c r="AY42" s="5">
        <f>deaths!AY42-deaths!AX42</f>
        <v>0</v>
      </c>
      <c r="AZ42" s="5">
        <f>deaths!AZ42-deaths!AY42</f>
        <v>0</v>
      </c>
      <c r="BA42" s="5">
        <f>deaths!BA42-deaths!AZ42</f>
        <v>0</v>
      </c>
      <c r="BB42" s="5">
        <f>deaths!BB42-deaths!BA42</f>
        <v>0</v>
      </c>
      <c r="BC42" s="5">
        <f>deaths!BC42-deaths!BB42</f>
        <v>0</v>
      </c>
      <c r="BD42" s="5">
        <f>deaths!BD42-deaths!BC42</f>
        <v>0</v>
      </c>
      <c r="BE42" s="5">
        <f>deaths!BE42-deaths!BD42</f>
        <v>0</v>
      </c>
      <c r="BF42" s="5">
        <f>deaths!BF42-deaths!BE42</f>
        <v>0</v>
      </c>
      <c r="BG42" s="5">
        <f>deaths!BG42-deaths!BF42</f>
        <v>0</v>
      </c>
      <c r="BH42" s="5">
        <f>deaths!BH42-deaths!BG42</f>
        <v>0</v>
      </c>
      <c r="BI42" s="5">
        <f>deaths!BI42-deaths!BH42</f>
        <v>0</v>
      </c>
      <c r="BJ42" s="5">
        <f>deaths!BJ42-deaths!BI42</f>
        <v>0</v>
      </c>
      <c r="BK42" s="5">
        <f>deaths!BK42-deaths!BJ42</f>
        <v>0</v>
      </c>
      <c r="BL42" s="5">
        <f>deaths!BL42-deaths!BK42</f>
        <v>0</v>
      </c>
      <c r="BM42" s="5">
        <f>deaths!BM42-deaths!BL42</f>
        <v>0</v>
      </c>
      <c r="BN42" s="5">
        <f>deaths!BN42-deaths!BM42</f>
        <v>0</v>
      </c>
      <c r="BO42" s="5">
        <f>deaths!BO42-deaths!BN42</f>
        <v>0</v>
      </c>
      <c r="BP42" s="5">
        <f>deaths!BP42-deaths!BO42</f>
        <v>0</v>
      </c>
      <c r="BQ42" s="5">
        <f>deaths!BQ42-deaths!BP42</f>
        <v>0</v>
      </c>
      <c r="BR42" s="5">
        <f>deaths!BR42-deaths!BQ42</f>
        <v>0</v>
      </c>
      <c r="BS42" s="5">
        <f>deaths!BS42-deaths!BR42</f>
        <v>0</v>
      </c>
      <c r="BT42" s="5">
        <f>deaths!BT42-deaths!BS42</f>
        <v>0</v>
      </c>
      <c r="BU42" s="5">
        <f>deaths!BU42-deaths!BT42</f>
        <v>1</v>
      </c>
      <c r="BV42" s="5">
        <f>deaths!BV42-deaths!BU42</f>
        <v>0</v>
      </c>
      <c r="BW42" s="5">
        <f>deaths!BW42-deaths!BV42</f>
        <v>0</v>
      </c>
      <c r="BX42" s="5">
        <f>deaths!BX42-deaths!BW42</f>
        <v>0</v>
      </c>
      <c r="BY42" s="5">
        <f>deaths!BY42-deaths!BX42</f>
        <v>0</v>
      </c>
      <c r="BZ42" s="1">
        <f>deaths!BZ42</f>
        <v>1</v>
      </c>
      <c r="CA42" s="1">
        <f>deaths!CA42</f>
        <v>1</v>
      </c>
      <c r="CB42" s="1">
        <f>deaths!CB42</f>
        <v>1</v>
      </c>
      <c r="CC42" s="1" t="str">
        <f>deaths!CC42</f>
        <v/>
      </c>
    </row>
    <row r="43">
      <c r="B43" s="1" t="str">
        <f>deaths!B43</f>
        <v>Canada</v>
      </c>
      <c r="C43" s="4">
        <f>deaths!C43</f>
        <v>44.682</v>
      </c>
      <c r="D43" s="4">
        <f>deaths!D43</f>
        <v>-63.7443</v>
      </c>
      <c r="E43" s="5">
        <f>deaths!E43</f>
        <v>0</v>
      </c>
      <c r="F43" s="5">
        <f>deaths!F43-deaths!E43</f>
        <v>0</v>
      </c>
      <c r="G43" s="5">
        <f>deaths!G43-deaths!F43</f>
        <v>0</v>
      </c>
      <c r="H43" s="5">
        <f>deaths!H43-deaths!G43</f>
        <v>0</v>
      </c>
      <c r="I43" s="5">
        <f>deaths!I43-deaths!H43</f>
        <v>0</v>
      </c>
      <c r="J43" s="5">
        <f>deaths!J43-deaths!I43</f>
        <v>0</v>
      </c>
      <c r="K43" s="5">
        <f>deaths!K43-deaths!J43</f>
        <v>0</v>
      </c>
      <c r="L43" s="5">
        <f>deaths!L43-deaths!K43</f>
        <v>0</v>
      </c>
      <c r="M43" s="5">
        <f>deaths!M43-deaths!L43</f>
        <v>0</v>
      </c>
      <c r="N43" s="5">
        <f>deaths!N43-deaths!M43</f>
        <v>0</v>
      </c>
      <c r="O43" s="5">
        <f>deaths!O43-deaths!N43</f>
        <v>0</v>
      </c>
      <c r="P43" s="5">
        <f>deaths!P43-deaths!O43</f>
        <v>0</v>
      </c>
      <c r="Q43" s="5">
        <f>deaths!Q43-deaths!P43</f>
        <v>0</v>
      </c>
      <c r="R43" s="5">
        <f>deaths!R43-deaths!Q43</f>
        <v>0</v>
      </c>
      <c r="S43" s="5">
        <f>deaths!S43-deaths!R43</f>
        <v>0</v>
      </c>
      <c r="T43" s="5">
        <f>deaths!T43-deaths!S43</f>
        <v>0</v>
      </c>
      <c r="U43" s="5">
        <f>deaths!U43-deaths!T43</f>
        <v>0</v>
      </c>
      <c r="V43" s="5">
        <f>deaths!V43-deaths!U43</f>
        <v>0</v>
      </c>
      <c r="W43" s="5">
        <f>deaths!W43-deaths!V43</f>
        <v>0</v>
      </c>
      <c r="X43" s="5">
        <f>deaths!X43-deaths!W43</f>
        <v>0</v>
      </c>
      <c r="Y43" s="5">
        <f>deaths!Y43-deaths!X43</f>
        <v>0</v>
      </c>
      <c r="Z43" s="5">
        <f>deaths!Z43-deaths!Y43</f>
        <v>0</v>
      </c>
      <c r="AA43" s="5">
        <f>deaths!AA43-deaths!Z43</f>
        <v>0</v>
      </c>
      <c r="AB43" s="5">
        <f>deaths!AB43-deaths!AA43</f>
        <v>0</v>
      </c>
      <c r="AC43" s="5">
        <f>deaths!AC43-deaths!AB43</f>
        <v>0</v>
      </c>
      <c r="AD43" s="5">
        <f>deaths!AD43-deaths!AC43</f>
        <v>0</v>
      </c>
      <c r="AE43" s="5">
        <f>deaths!AE43-deaths!AD43</f>
        <v>0</v>
      </c>
      <c r="AF43" s="5">
        <f>deaths!AF43-deaths!AE43</f>
        <v>0</v>
      </c>
      <c r="AG43" s="5">
        <f>deaths!AG43-deaths!AF43</f>
        <v>0</v>
      </c>
      <c r="AH43" s="5">
        <f>deaths!AH43-deaths!AG43</f>
        <v>0</v>
      </c>
      <c r="AI43" s="5">
        <f>deaths!AI43-deaths!AH43</f>
        <v>0</v>
      </c>
      <c r="AJ43" s="5">
        <f>deaths!AJ43-deaths!AI43</f>
        <v>0</v>
      </c>
      <c r="AK43" s="5">
        <f>deaths!AK43-deaths!AJ43</f>
        <v>0</v>
      </c>
      <c r="AL43" s="5">
        <f>deaths!AL43-deaths!AK43</f>
        <v>0</v>
      </c>
      <c r="AM43" s="5">
        <f>deaths!AM43-deaths!AL43</f>
        <v>0</v>
      </c>
      <c r="AN43" s="5">
        <f>deaths!AN43-deaths!AM43</f>
        <v>0</v>
      </c>
      <c r="AO43" s="5">
        <f>deaths!AO43-deaths!AN43</f>
        <v>0</v>
      </c>
      <c r="AP43" s="5">
        <f>deaths!AP43-deaths!AO43</f>
        <v>0</v>
      </c>
      <c r="AQ43" s="5">
        <f>deaths!AQ43-deaths!AP43</f>
        <v>0</v>
      </c>
      <c r="AR43" s="5">
        <f>deaths!AR43-deaths!AQ43</f>
        <v>0</v>
      </c>
      <c r="AS43" s="5">
        <f>deaths!AS43-deaths!AR43</f>
        <v>0</v>
      </c>
      <c r="AT43" s="5">
        <f>deaths!AT43-deaths!AS43</f>
        <v>0</v>
      </c>
      <c r="AU43" s="5">
        <f>deaths!AU43-deaths!AT43</f>
        <v>0</v>
      </c>
      <c r="AV43" s="5">
        <f>deaths!AV43-deaths!AU43</f>
        <v>0</v>
      </c>
      <c r="AW43" s="5">
        <f>deaths!AW43-deaths!AV43</f>
        <v>0</v>
      </c>
      <c r="AX43" s="5">
        <f>deaths!AX43-deaths!AW43</f>
        <v>0</v>
      </c>
      <c r="AY43" s="5">
        <f>deaths!AY43-deaths!AX43</f>
        <v>0</v>
      </c>
      <c r="AZ43" s="5">
        <f>deaths!AZ43-deaths!AY43</f>
        <v>0</v>
      </c>
      <c r="BA43" s="5">
        <f>deaths!BA43-deaths!AZ43</f>
        <v>0</v>
      </c>
      <c r="BB43" s="5">
        <f>deaths!BB43-deaths!BA43</f>
        <v>0</v>
      </c>
      <c r="BC43" s="5">
        <f>deaths!BC43-deaths!BB43</f>
        <v>0</v>
      </c>
      <c r="BD43" s="5">
        <f>deaths!BD43-deaths!BC43</f>
        <v>0</v>
      </c>
      <c r="BE43" s="5">
        <f>deaths!BE43-deaths!BD43</f>
        <v>0</v>
      </c>
      <c r="BF43" s="5">
        <f>deaths!BF43-deaths!BE43</f>
        <v>0</v>
      </c>
      <c r="BG43" s="5">
        <f>deaths!BG43-deaths!BF43</f>
        <v>0</v>
      </c>
      <c r="BH43" s="5">
        <f>deaths!BH43-deaths!BG43</f>
        <v>0</v>
      </c>
      <c r="BI43" s="5">
        <f>deaths!BI43-deaths!BH43</f>
        <v>0</v>
      </c>
      <c r="BJ43" s="5">
        <f>deaths!BJ43-deaths!BI43</f>
        <v>0</v>
      </c>
      <c r="BK43" s="5">
        <f>deaths!BK43-deaths!BJ43</f>
        <v>0</v>
      </c>
      <c r="BL43" s="5">
        <f>deaths!BL43-deaths!BK43</f>
        <v>0</v>
      </c>
      <c r="BM43" s="5">
        <f>deaths!BM43-deaths!BL43</f>
        <v>0</v>
      </c>
      <c r="BN43" s="5">
        <f>deaths!BN43-deaths!BM43</f>
        <v>0</v>
      </c>
      <c r="BO43" s="5">
        <f>deaths!BO43-deaths!BN43</f>
        <v>0</v>
      </c>
      <c r="BP43" s="5">
        <f>deaths!BP43-deaths!BO43</f>
        <v>0</v>
      </c>
      <c r="BQ43" s="5">
        <f>deaths!BQ43-deaths!BP43</f>
        <v>0</v>
      </c>
      <c r="BR43" s="5">
        <f>deaths!BR43-deaths!BQ43</f>
        <v>0</v>
      </c>
      <c r="BS43" s="5">
        <f>deaths!BS43-deaths!BR43</f>
        <v>0</v>
      </c>
      <c r="BT43" s="5">
        <f>deaths!BT43-deaths!BS43</f>
        <v>0</v>
      </c>
      <c r="BU43" s="5">
        <f>deaths!BU43-deaths!BT43</f>
        <v>0</v>
      </c>
      <c r="BV43" s="5">
        <f>deaths!BV43-deaths!BU43</f>
        <v>0</v>
      </c>
      <c r="BW43" s="5">
        <f>deaths!BW43-deaths!BV43</f>
        <v>0</v>
      </c>
      <c r="BX43" s="5">
        <f>deaths!BX43-deaths!BW43</f>
        <v>0</v>
      </c>
      <c r="BY43" s="5">
        <f>deaths!BY43-deaths!BX43</f>
        <v>0</v>
      </c>
      <c r="BZ43" s="1">
        <f>deaths!BZ43</f>
        <v>0</v>
      </c>
      <c r="CA43" s="1">
        <f>deaths!CA43</f>
        <v>0</v>
      </c>
      <c r="CB43" s="1">
        <f>deaths!CB43</f>
        <v>0</v>
      </c>
      <c r="CC43" s="1" t="str">
        <f>deaths!CC43</f>
        <v/>
      </c>
    </row>
    <row r="44">
      <c r="B44" s="1" t="str">
        <f>deaths!B44</f>
        <v>Canada</v>
      </c>
      <c r="C44" s="4">
        <f>deaths!C44</f>
        <v>51.2538</v>
      </c>
      <c r="D44" s="4">
        <f>deaths!D44</f>
        <v>-85.3232</v>
      </c>
      <c r="E44" s="5">
        <f>deaths!E44</f>
        <v>0</v>
      </c>
      <c r="F44" s="5">
        <f>deaths!F44-deaths!E44</f>
        <v>0</v>
      </c>
      <c r="G44" s="5">
        <f>deaths!G44-deaths!F44</f>
        <v>0</v>
      </c>
      <c r="H44" s="5">
        <f>deaths!H44-deaths!G44</f>
        <v>0</v>
      </c>
      <c r="I44" s="5">
        <f>deaths!I44-deaths!H44</f>
        <v>0</v>
      </c>
      <c r="J44" s="5">
        <f>deaths!J44-deaths!I44</f>
        <v>0</v>
      </c>
      <c r="K44" s="5">
        <f>deaths!K44-deaths!J44</f>
        <v>0</v>
      </c>
      <c r="L44" s="5">
        <f>deaths!L44-deaths!K44</f>
        <v>0</v>
      </c>
      <c r="M44" s="5">
        <f>deaths!M44-deaths!L44</f>
        <v>0</v>
      </c>
      <c r="N44" s="5">
        <f>deaths!N44-deaths!M44</f>
        <v>0</v>
      </c>
      <c r="O44" s="5">
        <f>deaths!O44-deaths!N44</f>
        <v>0</v>
      </c>
      <c r="P44" s="5">
        <f>deaths!P44-deaths!O44</f>
        <v>0</v>
      </c>
      <c r="Q44" s="5">
        <f>deaths!Q44-deaths!P44</f>
        <v>0</v>
      </c>
      <c r="R44" s="5">
        <f>deaths!R44-deaths!Q44</f>
        <v>0</v>
      </c>
      <c r="S44" s="5">
        <f>deaths!S44-deaths!R44</f>
        <v>0</v>
      </c>
      <c r="T44" s="5">
        <f>deaths!T44-deaths!S44</f>
        <v>0</v>
      </c>
      <c r="U44" s="5">
        <f>deaths!U44-deaths!T44</f>
        <v>0</v>
      </c>
      <c r="V44" s="5">
        <f>deaths!V44-deaths!U44</f>
        <v>0</v>
      </c>
      <c r="W44" s="5">
        <f>deaths!W44-deaths!V44</f>
        <v>0</v>
      </c>
      <c r="X44" s="5">
        <f>deaths!X44-deaths!W44</f>
        <v>0</v>
      </c>
      <c r="Y44" s="5">
        <f>deaths!Y44-deaths!X44</f>
        <v>0</v>
      </c>
      <c r="Z44" s="5">
        <f>deaths!Z44-deaths!Y44</f>
        <v>0</v>
      </c>
      <c r="AA44" s="5">
        <f>deaths!AA44-deaths!Z44</f>
        <v>0</v>
      </c>
      <c r="AB44" s="5">
        <f>deaths!AB44-deaths!AA44</f>
        <v>0</v>
      </c>
      <c r="AC44" s="5">
        <f>deaths!AC44-deaths!AB44</f>
        <v>0</v>
      </c>
      <c r="AD44" s="5">
        <f>deaths!AD44-deaths!AC44</f>
        <v>0</v>
      </c>
      <c r="AE44" s="5">
        <f>deaths!AE44-deaths!AD44</f>
        <v>0</v>
      </c>
      <c r="AF44" s="5">
        <f>deaths!AF44-deaths!AE44</f>
        <v>0</v>
      </c>
      <c r="AG44" s="5">
        <f>deaths!AG44-deaths!AF44</f>
        <v>0</v>
      </c>
      <c r="AH44" s="5">
        <f>deaths!AH44-deaths!AG44</f>
        <v>0</v>
      </c>
      <c r="AI44" s="5">
        <f>deaths!AI44-deaths!AH44</f>
        <v>0</v>
      </c>
      <c r="AJ44" s="5">
        <f>deaths!AJ44-deaths!AI44</f>
        <v>0</v>
      </c>
      <c r="AK44" s="5">
        <f>deaths!AK44-deaths!AJ44</f>
        <v>0</v>
      </c>
      <c r="AL44" s="5">
        <f>deaths!AL44-deaths!AK44</f>
        <v>0</v>
      </c>
      <c r="AM44" s="5">
        <f>deaths!AM44-deaths!AL44</f>
        <v>0</v>
      </c>
      <c r="AN44" s="5">
        <f>deaths!AN44-deaths!AM44</f>
        <v>0</v>
      </c>
      <c r="AO44" s="5">
        <f>deaths!AO44-deaths!AN44</f>
        <v>0</v>
      </c>
      <c r="AP44" s="5">
        <f>deaths!AP44-deaths!AO44</f>
        <v>0</v>
      </c>
      <c r="AQ44" s="5">
        <f>deaths!AQ44-deaths!AP44</f>
        <v>0</v>
      </c>
      <c r="AR44" s="5">
        <f>deaths!AR44-deaths!AQ44</f>
        <v>0</v>
      </c>
      <c r="AS44" s="5">
        <f>deaths!AS44-deaths!AR44</f>
        <v>0</v>
      </c>
      <c r="AT44" s="5">
        <f>deaths!AT44-deaths!AS44</f>
        <v>0</v>
      </c>
      <c r="AU44" s="5">
        <f>deaths!AU44-deaths!AT44</f>
        <v>0</v>
      </c>
      <c r="AV44" s="5">
        <f>deaths!AV44-deaths!AU44</f>
        <v>0</v>
      </c>
      <c r="AW44" s="5">
        <f>deaths!AW44-deaths!AV44</f>
        <v>0</v>
      </c>
      <c r="AX44" s="5">
        <f>deaths!AX44-deaths!AW44</f>
        <v>0</v>
      </c>
      <c r="AY44" s="5">
        <f>deaths!AY44-deaths!AX44</f>
        <v>0</v>
      </c>
      <c r="AZ44" s="5">
        <f>deaths!AZ44-deaths!AY44</f>
        <v>0</v>
      </c>
      <c r="BA44" s="5">
        <f>deaths!BA44-deaths!AZ44</f>
        <v>0</v>
      </c>
      <c r="BB44" s="5">
        <f>deaths!BB44-deaths!BA44</f>
        <v>0</v>
      </c>
      <c r="BC44" s="5">
        <f>deaths!BC44-deaths!BB44</f>
        <v>0</v>
      </c>
      <c r="BD44" s="5">
        <f>deaths!BD44-deaths!BC44</f>
        <v>0</v>
      </c>
      <c r="BE44" s="5">
        <f>deaths!BE44-deaths!BD44</f>
        <v>0</v>
      </c>
      <c r="BF44" s="5">
        <f>deaths!BF44-deaths!BE44</f>
        <v>0</v>
      </c>
      <c r="BG44" s="5">
        <f>deaths!BG44-deaths!BF44</f>
        <v>0</v>
      </c>
      <c r="BH44" s="5">
        <f>deaths!BH44-deaths!BG44</f>
        <v>1</v>
      </c>
      <c r="BI44" s="5">
        <f>deaths!BI44-deaths!BH44</f>
        <v>0</v>
      </c>
      <c r="BJ44" s="5">
        <f>deaths!BJ44-deaths!BI44</f>
        <v>0</v>
      </c>
      <c r="BK44" s="5">
        <f>deaths!BK44-deaths!BJ44</f>
        <v>1</v>
      </c>
      <c r="BL44" s="5">
        <f>deaths!BL44-deaths!BK44</f>
        <v>1</v>
      </c>
      <c r="BM44" s="5">
        <f>deaths!BM44-deaths!BL44</f>
        <v>2</v>
      </c>
      <c r="BN44" s="5">
        <f>deaths!BN44-deaths!BM44</f>
        <v>1</v>
      </c>
      <c r="BO44" s="5">
        <f>deaths!BO44-deaths!BN44</f>
        <v>1</v>
      </c>
      <c r="BP44" s="5">
        <f>deaths!BP44-deaths!BO44</f>
        <v>1</v>
      </c>
      <c r="BQ44" s="5">
        <f>deaths!BQ44-deaths!BP44</f>
        <v>5</v>
      </c>
      <c r="BR44" s="5">
        <f>deaths!BR44-deaths!BQ44</f>
        <v>5</v>
      </c>
      <c r="BS44" s="5">
        <f>deaths!BS44-deaths!BR44</f>
        <v>0</v>
      </c>
      <c r="BT44" s="5">
        <f>deaths!BT44-deaths!BS44</f>
        <v>3</v>
      </c>
      <c r="BU44" s="5">
        <f>deaths!BU44-deaths!BT44</f>
        <v>10</v>
      </c>
      <c r="BV44" s="5">
        <f>deaths!BV44-deaths!BU44</f>
        <v>2</v>
      </c>
      <c r="BW44" s="5">
        <f>deaths!BW44-deaths!BV44</f>
        <v>4</v>
      </c>
      <c r="BX44" s="5">
        <f>deaths!BX44-deaths!BW44</f>
        <v>16</v>
      </c>
      <c r="BY44" s="5">
        <f>deaths!BY44-deaths!BX44</f>
        <v>14</v>
      </c>
      <c r="BZ44" s="1">
        <f>deaths!BZ44</f>
        <v>94</v>
      </c>
      <c r="CA44" s="1">
        <f>deaths!CA44</f>
        <v>119</v>
      </c>
      <c r="CB44" s="1">
        <f>deaths!CB44</f>
        <v>150</v>
      </c>
      <c r="CC44" s="1" t="str">
        <f>deaths!CC44</f>
        <v/>
      </c>
    </row>
    <row r="45">
      <c r="B45" s="1" t="str">
        <f>deaths!B45</f>
        <v>Canada</v>
      </c>
      <c r="C45" s="4">
        <f>deaths!C45</f>
        <v>46.5107</v>
      </c>
      <c r="D45" s="4">
        <f>deaths!D45</f>
        <v>-63.4168</v>
      </c>
      <c r="E45" s="5">
        <f>deaths!E45</f>
        <v>0</v>
      </c>
      <c r="F45" s="5">
        <f>deaths!F45-deaths!E45</f>
        <v>0</v>
      </c>
      <c r="G45" s="5">
        <f>deaths!G45-deaths!F45</f>
        <v>0</v>
      </c>
      <c r="H45" s="5">
        <f>deaths!H45-deaths!G45</f>
        <v>0</v>
      </c>
      <c r="I45" s="5">
        <f>deaths!I45-deaths!H45</f>
        <v>0</v>
      </c>
      <c r="J45" s="5">
        <f>deaths!J45-deaths!I45</f>
        <v>0</v>
      </c>
      <c r="K45" s="5">
        <f>deaths!K45-deaths!J45</f>
        <v>0</v>
      </c>
      <c r="L45" s="5">
        <f>deaths!L45-deaths!K45</f>
        <v>0</v>
      </c>
      <c r="M45" s="5">
        <f>deaths!M45-deaths!L45</f>
        <v>0</v>
      </c>
      <c r="N45" s="5">
        <f>deaths!N45-deaths!M45</f>
        <v>0</v>
      </c>
      <c r="O45" s="5">
        <f>deaths!O45-deaths!N45</f>
        <v>0</v>
      </c>
      <c r="P45" s="5">
        <f>deaths!P45-deaths!O45</f>
        <v>0</v>
      </c>
      <c r="Q45" s="5">
        <f>deaths!Q45-deaths!P45</f>
        <v>0</v>
      </c>
      <c r="R45" s="5">
        <f>deaths!R45-deaths!Q45</f>
        <v>0</v>
      </c>
      <c r="S45" s="5">
        <f>deaths!S45-deaths!R45</f>
        <v>0</v>
      </c>
      <c r="T45" s="5">
        <f>deaths!T45-deaths!S45</f>
        <v>0</v>
      </c>
      <c r="U45" s="5">
        <f>deaths!U45-deaths!T45</f>
        <v>0</v>
      </c>
      <c r="V45" s="5">
        <f>deaths!V45-deaths!U45</f>
        <v>0</v>
      </c>
      <c r="W45" s="5">
        <f>deaths!W45-deaths!V45</f>
        <v>0</v>
      </c>
      <c r="X45" s="5">
        <f>deaths!X45-deaths!W45</f>
        <v>0</v>
      </c>
      <c r="Y45" s="5">
        <f>deaths!Y45-deaths!X45</f>
        <v>0</v>
      </c>
      <c r="Z45" s="5">
        <f>deaths!Z45-deaths!Y45</f>
        <v>0</v>
      </c>
      <c r="AA45" s="5">
        <f>deaths!AA45-deaths!Z45</f>
        <v>0</v>
      </c>
      <c r="AB45" s="5">
        <f>deaths!AB45-deaths!AA45</f>
        <v>0</v>
      </c>
      <c r="AC45" s="5">
        <f>deaths!AC45-deaths!AB45</f>
        <v>0</v>
      </c>
      <c r="AD45" s="5">
        <f>deaths!AD45-deaths!AC45</f>
        <v>0</v>
      </c>
      <c r="AE45" s="5">
        <f>deaths!AE45-deaths!AD45</f>
        <v>0</v>
      </c>
      <c r="AF45" s="5">
        <f>deaths!AF45-deaths!AE45</f>
        <v>0</v>
      </c>
      <c r="AG45" s="5">
        <f>deaths!AG45-deaths!AF45</f>
        <v>0</v>
      </c>
      <c r="AH45" s="5">
        <f>deaths!AH45-deaths!AG45</f>
        <v>0</v>
      </c>
      <c r="AI45" s="5">
        <f>deaths!AI45-deaths!AH45</f>
        <v>0</v>
      </c>
      <c r="AJ45" s="5">
        <f>deaths!AJ45-deaths!AI45</f>
        <v>0</v>
      </c>
      <c r="AK45" s="5">
        <f>deaths!AK45-deaths!AJ45</f>
        <v>0</v>
      </c>
      <c r="AL45" s="5">
        <f>deaths!AL45-deaths!AK45</f>
        <v>0</v>
      </c>
      <c r="AM45" s="5">
        <f>deaths!AM45-deaths!AL45</f>
        <v>0</v>
      </c>
      <c r="AN45" s="5">
        <f>deaths!AN45-deaths!AM45</f>
        <v>0</v>
      </c>
      <c r="AO45" s="5">
        <f>deaths!AO45-deaths!AN45</f>
        <v>0</v>
      </c>
      <c r="AP45" s="5">
        <f>deaths!AP45-deaths!AO45</f>
        <v>0</v>
      </c>
      <c r="AQ45" s="5">
        <f>deaths!AQ45-deaths!AP45</f>
        <v>0</v>
      </c>
      <c r="AR45" s="5">
        <f>deaths!AR45-deaths!AQ45</f>
        <v>0</v>
      </c>
      <c r="AS45" s="5">
        <f>deaths!AS45-deaths!AR45</f>
        <v>0</v>
      </c>
      <c r="AT45" s="5">
        <f>deaths!AT45-deaths!AS45</f>
        <v>0</v>
      </c>
      <c r="AU45" s="5">
        <f>deaths!AU45-deaths!AT45</f>
        <v>0</v>
      </c>
      <c r="AV45" s="5">
        <f>deaths!AV45-deaths!AU45</f>
        <v>0</v>
      </c>
      <c r="AW45" s="5">
        <f>deaths!AW45-deaths!AV45</f>
        <v>0</v>
      </c>
      <c r="AX45" s="5">
        <f>deaths!AX45-deaths!AW45</f>
        <v>0</v>
      </c>
      <c r="AY45" s="5">
        <f>deaths!AY45-deaths!AX45</f>
        <v>0</v>
      </c>
      <c r="AZ45" s="5">
        <f>deaths!AZ45-deaths!AY45</f>
        <v>0</v>
      </c>
      <c r="BA45" s="5">
        <f>deaths!BA45-deaths!AZ45</f>
        <v>0</v>
      </c>
      <c r="BB45" s="5">
        <f>deaths!BB45-deaths!BA45</f>
        <v>0</v>
      </c>
      <c r="BC45" s="5">
        <f>deaths!BC45-deaths!BB45</f>
        <v>0</v>
      </c>
      <c r="BD45" s="5">
        <f>deaths!BD45-deaths!BC45</f>
        <v>0</v>
      </c>
      <c r="BE45" s="5">
        <f>deaths!BE45-deaths!BD45</f>
        <v>0</v>
      </c>
      <c r="BF45" s="5">
        <f>deaths!BF45-deaths!BE45</f>
        <v>0</v>
      </c>
      <c r="BG45" s="5">
        <f>deaths!BG45-deaths!BF45</f>
        <v>0</v>
      </c>
      <c r="BH45" s="5">
        <f>deaths!BH45-deaths!BG45</f>
        <v>0</v>
      </c>
      <c r="BI45" s="5">
        <f>deaths!BI45-deaths!BH45</f>
        <v>0</v>
      </c>
      <c r="BJ45" s="5">
        <f>deaths!BJ45-deaths!BI45</f>
        <v>0</v>
      </c>
      <c r="BK45" s="5">
        <f>deaths!BK45-deaths!BJ45</f>
        <v>0</v>
      </c>
      <c r="BL45" s="5">
        <f>deaths!BL45-deaths!BK45</f>
        <v>0</v>
      </c>
      <c r="BM45" s="5">
        <f>deaths!BM45-deaths!BL45</f>
        <v>0</v>
      </c>
      <c r="BN45" s="5">
        <f>deaths!BN45-deaths!BM45</f>
        <v>0</v>
      </c>
      <c r="BO45" s="5">
        <f>deaths!BO45-deaths!BN45</f>
        <v>0</v>
      </c>
      <c r="BP45" s="5">
        <f>deaths!BP45-deaths!BO45</f>
        <v>0</v>
      </c>
      <c r="BQ45" s="5">
        <f>deaths!BQ45-deaths!BP45</f>
        <v>0</v>
      </c>
      <c r="BR45" s="5">
        <f>deaths!BR45-deaths!BQ45</f>
        <v>0</v>
      </c>
      <c r="BS45" s="5">
        <f>deaths!BS45-deaths!BR45</f>
        <v>0</v>
      </c>
      <c r="BT45" s="5">
        <f>deaths!BT45-deaths!BS45</f>
        <v>0</v>
      </c>
      <c r="BU45" s="5">
        <f>deaths!BU45-deaths!BT45</f>
        <v>0</v>
      </c>
      <c r="BV45" s="5">
        <f>deaths!BV45-deaths!BU45</f>
        <v>0</v>
      </c>
      <c r="BW45" s="5">
        <f>deaths!BW45-deaths!BV45</f>
        <v>0</v>
      </c>
      <c r="BX45" s="5">
        <f>deaths!BX45-deaths!BW45</f>
        <v>0</v>
      </c>
      <c r="BY45" s="5">
        <f>deaths!BY45-deaths!BX45</f>
        <v>0</v>
      </c>
      <c r="BZ45" s="1">
        <f>deaths!BZ45</f>
        <v>0</v>
      </c>
      <c r="CA45" s="1">
        <f>deaths!CA45</f>
        <v>0</v>
      </c>
      <c r="CB45" s="1">
        <f>deaths!CB45</f>
        <v>0</v>
      </c>
      <c r="CC45" s="1" t="str">
        <f>deaths!CC45</f>
        <v/>
      </c>
    </row>
    <row r="46">
      <c r="B46" s="1" t="str">
        <f>deaths!B46</f>
        <v>Canada</v>
      </c>
      <c r="C46" s="4">
        <f>deaths!C46</f>
        <v>52.9399</v>
      </c>
      <c r="D46" s="4">
        <f>deaths!D46</f>
        <v>-73.5491</v>
      </c>
      <c r="E46" s="5">
        <f>deaths!E46</f>
        <v>0</v>
      </c>
      <c r="F46" s="5">
        <f>deaths!F46-deaths!E46</f>
        <v>0</v>
      </c>
      <c r="G46" s="5">
        <f>deaths!G46-deaths!F46</f>
        <v>0</v>
      </c>
      <c r="H46" s="5">
        <f>deaths!H46-deaths!G46</f>
        <v>0</v>
      </c>
      <c r="I46" s="5">
        <f>deaths!I46-deaths!H46</f>
        <v>0</v>
      </c>
      <c r="J46" s="5">
        <f>deaths!J46-deaths!I46</f>
        <v>0</v>
      </c>
      <c r="K46" s="5">
        <f>deaths!K46-deaths!J46</f>
        <v>0</v>
      </c>
      <c r="L46" s="5">
        <f>deaths!L46-deaths!K46</f>
        <v>0</v>
      </c>
      <c r="M46" s="5">
        <f>deaths!M46-deaths!L46</f>
        <v>0</v>
      </c>
      <c r="N46" s="5">
        <f>deaths!N46-deaths!M46</f>
        <v>0</v>
      </c>
      <c r="O46" s="5">
        <f>deaths!O46-deaths!N46</f>
        <v>0</v>
      </c>
      <c r="P46" s="5">
        <f>deaths!P46-deaths!O46</f>
        <v>0</v>
      </c>
      <c r="Q46" s="5">
        <f>deaths!Q46-deaths!P46</f>
        <v>0</v>
      </c>
      <c r="R46" s="5">
        <f>deaths!R46-deaths!Q46</f>
        <v>0</v>
      </c>
      <c r="S46" s="5">
        <f>deaths!S46-deaths!R46</f>
        <v>0</v>
      </c>
      <c r="T46" s="5">
        <f>deaths!T46-deaths!S46</f>
        <v>0</v>
      </c>
      <c r="U46" s="5">
        <f>deaths!U46-deaths!T46</f>
        <v>0</v>
      </c>
      <c r="V46" s="5">
        <f>deaths!V46-deaths!U46</f>
        <v>0</v>
      </c>
      <c r="W46" s="5">
        <f>deaths!W46-deaths!V46</f>
        <v>0</v>
      </c>
      <c r="X46" s="5">
        <f>deaths!X46-deaths!W46</f>
        <v>0</v>
      </c>
      <c r="Y46" s="5">
        <f>deaths!Y46-deaths!X46</f>
        <v>0</v>
      </c>
      <c r="Z46" s="5">
        <f>deaths!Z46-deaths!Y46</f>
        <v>0</v>
      </c>
      <c r="AA46" s="5">
        <f>deaths!AA46-deaths!Z46</f>
        <v>0</v>
      </c>
      <c r="AB46" s="5">
        <f>deaths!AB46-deaths!AA46</f>
        <v>0</v>
      </c>
      <c r="AC46" s="5">
        <f>deaths!AC46-deaths!AB46</f>
        <v>0</v>
      </c>
      <c r="AD46" s="5">
        <f>deaths!AD46-deaths!AC46</f>
        <v>0</v>
      </c>
      <c r="AE46" s="5">
        <f>deaths!AE46-deaths!AD46</f>
        <v>0</v>
      </c>
      <c r="AF46" s="5">
        <f>deaths!AF46-deaths!AE46</f>
        <v>0</v>
      </c>
      <c r="AG46" s="5">
        <f>deaths!AG46-deaths!AF46</f>
        <v>0</v>
      </c>
      <c r="AH46" s="5">
        <f>deaths!AH46-deaths!AG46</f>
        <v>0</v>
      </c>
      <c r="AI46" s="5">
        <f>deaths!AI46-deaths!AH46</f>
        <v>0</v>
      </c>
      <c r="AJ46" s="5">
        <f>deaths!AJ46-deaths!AI46</f>
        <v>0</v>
      </c>
      <c r="AK46" s="5">
        <f>deaths!AK46-deaths!AJ46</f>
        <v>0</v>
      </c>
      <c r="AL46" s="5">
        <f>deaths!AL46-deaths!AK46</f>
        <v>0</v>
      </c>
      <c r="AM46" s="5">
        <f>deaths!AM46-deaths!AL46</f>
        <v>0</v>
      </c>
      <c r="AN46" s="5">
        <f>deaths!AN46-deaths!AM46</f>
        <v>0</v>
      </c>
      <c r="AO46" s="5">
        <f>deaths!AO46-deaths!AN46</f>
        <v>0</v>
      </c>
      <c r="AP46" s="5">
        <f>deaths!AP46-deaths!AO46</f>
        <v>0</v>
      </c>
      <c r="AQ46" s="5">
        <f>deaths!AQ46-deaths!AP46</f>
        <v>0</v>
      </c>
      <c r="AR46" s="5">
        <f>deaths!AR46-deaths!AQ46</f>
        <v>0</v>
      </c>
      <c r="AS46" s="5">
        <f>deaths!AS46-deaths!AR46</f>
        <v>0</v>
      </c>
      <c r="AT46" s="5">
        <f>deaths!AT46-deaths!AS46</f>
        <v>0</v>
      </c>
      <c r="AU46" s="5">
        <f>deaths!AU46-deaths!AT46</f>
        <v>0</v>
      </c>
      <c r="AV46" s="5">
        <f>deaths!AV46-deaths!AU46</f>
        <v>0</v>
      </c>
      <c r="AW46" s="5">
        <f>deaths!AW46-deaths!AV46</f>
        <v>0</v>
      </c>
      <c r="AX46" s="5">
        <f>deaths!AX46-deaths!AW46</f>
        <v>0</v>
      </c>
      <c r="AY46" s="5">
        <f>deaths!AY46-deaths!AX46</f>
        <v>0</v>
      </c>
      <c r="AZ46" s="5">
        <f>deaths!AZ46-deaths!AY46</f>
        <v>0</v>
      </c>
      <c r="BA46" s="5">
        <f>deaths!BA46-deaths!AZ46</f>
        <v>0</v>
      </c>
      <c r="BB46" s="5">
        <f>deaths!BB46-deaths!BA46</f>
        <v>0</v>
      </c>
      <c r="BC46" s="5">
        <f>deaths!BC46-deaths!BB46</f>
        <v>0</v>
      </c>
      <c r="BD46" s="5">
        <f>deaths!BD46-deaths!BC46</f>
        <v>0</v>
      </c>
      <c r="BE46" s="5">
        <f>deaths!BE46-deaths!BD46</f>
        <v>0</v>
      </c>
      <c r="BF46" s="5">
        <f>deaths!BF46-deaths!BE46</f>
        <v>0</v>
      </c>
      <c r="BG46" s="5">
        <f>deaths!BG46-deaths!BF46</f>
        <v>0</v>
      </c>
      <c r="BH46" s="5">
        <f>deaths!BH46-deaths!BG46</f>
        <v>0</v>
      </c>
      <c r="BI46" s="5">
        <f>deaths!BI46-deaths!BH46</f>
        <v>0</v>
      </c>
      <c r="BJ46" s="5">
        <f>deaths!BJ46-deaths!BI46</f>
        <v>1</v>
      </c>
      <c r="BK46" s="5">
        <f>deaths!BK46-deaths!BJ46</f>
        <v>0</v>
      </c>
      <c r="BL46" s="5">
        <f>deaths!BL46-deaths!BK46</f>
        <v>4</v>
      </c>
      <c r="BM46" s="5">
        <f>deaths!BM46-deaths!BL46</f>
        <v>-1</v>
      </c>
      <c r="BN46" s="5">
        <f>deaths!BN46-deaths!BM46</f>
        <v>0</v>
      </c>
      <c r="BO46" s="5">
        <f>deaths!BO46-deaths!BN46</f>
        <v>0</v>
      </c>
      <c r="BP46" s="5">
        <f>deaths!BP46-deaths!BO46</f>
        <v>2</v>
      </c>
      <c r="BQ46" s="5">
        <f>deaths!BQ46-deaths!BP46</f>
        <v>2</v>
      </c>
      <c r="BR46" s="5">
        <f>deaths!BR46-deaths!BQ46</f>
        <v>10</v>
      </c>
      <c r="BS46" s="5">
        <f>deaths!BS46-deaths!BR46</f>
        <v>4</v>
      </c>
      <c r="BT46" s="5">
        <f>deaths!BT46-deaths!BS46</f>
        <v>0</v>
      </c>
      <c r="BU46" s="5">
        <f>deaths!BU46-deaths!BT46</f>
        <v>0</v>
      </c>
      <c r="BV46" s="5">
        <f>deaths!BV46-deaths!BU46</f>
        <v>9</v>
      </c>
      <c r="BW46" s="5">
        <f>deaths!BW46-deaths!BV46</f>
        <v>2</v>
      </c>
      <c r="BX46" s="5">
        <f>deaths!BX46-deaths!BW46</f>
        <v>3</v>
      </c>
      <c r="BY46" s="5">
        <f>deaths!BY46-deaths!BX46</f>
        <v>25</v>
      </c>
      <c r="BZ46" s="1">
        <f>deaths!BZ46</f>
        <v>61</v>
      </c>
      <c r="CA46" s="1">
        <f>deaths!CA46</f>
        <v>75</v>
      </c>
      <c r="CB46" s="1">
        <f>deaths!CB46</f>
        <v>121</v>
      </c>
      <c r="CC46" s="1" t="str">
        <f>deaths!CC46</f>
        <v/>
      </c>
    </row>
    <row r="47">
      <c r="B47" s="1" t="str">
        <f>deaths!B47</f>
        <v>Canada</v>
      </c>
      <c r="C47" s="4">
        <f>deaths!C47</f>
        <v>52.9399</v>
      </c>
      <c r="D47" s="4">
        <f>deaths!D47</f>
        <v>-106.4509</v>
      </c>
      <c r="E47" s="5">
        <f>deaths!E47</f>
        <v>0</v>
      </c>
      <c r="F47" s="5">
        <f>deaths!F47-deaths!E47</f>
        <v>0</v>
      </c>
      <c r="G47" s="5">
        <f>deaths!G47-deaths!F47</f>
        <v>0</v>
      </c>
      <c r="H47" s="5">
        <f>deaths!H47-deaths!G47</f>
        <v>0</v>
      </c>
      <c r="I47" s="5">
        <f>deaths!I47-deaths!H47</f>
        <v>0</v>
      </c>
      <c r="J47" s="5">
        <f>deaths!J47-deaths!I47</f>
        <v>0</v>
      </c>
      <c r="K47" s="5">
        <f>deaths!K47-deaths!J47</f>
        <v>0</v>
      </c>
      <c r="L47" s="5">
        <f>deaths!L47-deaths!K47</f>
        <v>0</v>
      </c>
      <c r="M47" s="5">
        <f>deaths!M47-deaths!L47</f>
        <v>0</v>
      </c>
      <c r="N47" s="5">
        <f>deaths!N47-deaths!M47</f>
        <v>0</v>
      </c>
      <c r="O47" s="5">
        <f>deaths!O47-deaths!N47</f>
        <v>0</v>
      </c>
      <c r="P47" s="5">
        <f>deaths!P47-deaths!O47</f>
        <v>0</v>
      </c>
      <c r="Q47" s="5">
        <f>deaths!Q47-deaths!P47</f>
        <v>0</v>
      </c>
      <c r="R47" s="5">
        <f>deaths!R47-deaths!Q47</f>
        <v>0</v>
      </c>
      <c r="S47" s="5">
        <f>deaths!S47-deaths!R47</f>
        <v>0</v>
      </c>
      <c r="T47" s="5">
        <f>deaths!T47-deaths!S47</f>
        <v>0</v>
      </c>
      <c r="U47" s="5">
        <f>deaths!U47-deaths!T47</f>
        <v>0</v>
      </c>
      <c r="V47" s="5">
        <f>deaths!V47-deaths!U47</f>
        <v>0</v>
      </c>
      <c r="W47" s="5">
        <f>deaths!W47-deaths!V47</f>
        <v>0</v>
      </c>
      <c r="X47" s="5">
        <f>deaths!X47-deaths!W47</f>
        <v>0</v>
      </c>
      <c r="Y47" s="5">
        <f>deaths!Y47-deaths!X47</f>
        <v>0</v>
      </c>
      <c r="Z47" s="5">
        <f>deaths!Z47-deaths!Y47</f>
        <v>0</v>
      </c>
      <c r="AA47" s="5">
        <f>deaths!AA47-deaths!Z47</f>
        <v>0</v>
      </c>
      <c r="AB47" s="5">
        <f>deaths!AB47-deaths!AA47</f>
        <v>0</v>
      </c>
      <c r="AC47" s="5">
        <f>deaths!AC47-deaths!AB47</f>
        <v>0</v>
      </c>
      <c r="AD47" s="5">
        <f>deaths!AD47-deaths!AC47</f>
        <v>0</v>
      </c>
      <c r="AE47" s="5">
        <f>deaths!AE47-deaths!AD47</f>
        <v>0</v>
      </c>
      <c r="AF47" s="5">
        <f>deaths!AF47-deaths!AE47</f>
        <v>0</v>
      </c>
      <c r="AG47" s="5">
        <f>deaths!AG47-deaths!AF47</f>
        <v>0</v>
      </c>
      <c r="AH47" s="5">
        <f>deaths!AH47-deaths!AG47</f>
        <v>0</v>
      </c>
      <c r="AI47" s="5">
        <f>deaths!AI47-deaths!AH47</f>
        <v>0</v>
      </c>
      <c r="AJ47" s="5">
        <f>deaths!AJ47-deaths!AI47</f>
        <v>0</v>
      </c>
      <c r="AK47" s="5">
        <f>deaths!AK47-deaths!AJ47</f>
        <v>0</v>
      </c>
      <c r="AL47" s="5">
        <f>deaths!AL47-deaths!AK47</f>
        <v>0</v>
      </c>
      <c r="AM47" s="5">
        <f>deaths!AM47-deaths!AL47</f>
        <v>0</v>
      </c>
      <c r="AN47" s="5">
        <f>deaths!AN47-deaths!AM47</f>
        <v>0</v>
      </c>
      <c r="AO47" s="5">
        <f>deaths!AO47-deaths!AN47</f>
        <v>0</v>
      </c>
      <c r="AP47" s="5">
        <f>deaths!AP47-deaths!AO47</f>
        <v>0</v>
      </c>
      <c r="AQ47" s="5">
        <f>deaths!AQ47-deaths!AP47</f>
        <v>0</v>
      </c>
      <c r="AR47" s="5">
        <f>deaths!AR47-deaths!AQ47</f>
        <v>0</v>
      </c>
      <c r="AS47" s="5">
        <f>deaths!AS47-deaths!AR47</f>
        <v>0</v>
      </c>
      <c r="AT47" s="5">
        <f>deaths!AT47-deaths!AS47</f>
        <v>0</v>
      </c>
      <c r="AU47" s="5">
        <f>deaths!AU47-deaths!AT47</f>
        <v>0</v>
      </c>
      <c r="AV47" s="5">
        <f>deaths!AV47-deaths!AU47</f>
        <v>0</v>
      </c>
      <c r="AW47" s="5">
        <f>deaths!AW47-deaths!AV47</f>
        <v>0</v>
      </c>
      <c r="AX47" s="5">
        <f>deaths!AX47-deaths!AW47</f>
        <v>0</v>
      </c>
      <c r="AY47" s="5">
        <f>deaths!AY47-deaths!AX47</f>
        <v>0</v>
      </c>
      <c r="AZ47" s="5">
        <f>deaths!AZ47-deaths!AY47</f>
        <v>0</v>
      </c>
      <c r="BA47" s="5">
        <f>deaths!BA47-deaths!AZ47</f>
        <v>0</v>
      </c>
      <c r="BB47" s="5">
        <f>deaths!BB47-deaths!BA47</f>
        <v>0</v>
      </c>
      <c r="BC47" s="5">
        <f>deaths!BC47-deaths!BB47</f>
        <v>0</v>
      </c>
      <c r="BD47" s="5">
        <f>deaths!BD47-deaths!BC47</f>
        <v>0</v>
      </c>
      <c r="BE47" s="5">
        <f>deaths!BE47-deaths!BD47</f>
        <v>0</v>
      </c>
      <c r="BF47" s="5">
        <f>deaths!BF47-deaths!BE47</f>
        <v>0</v>
      </c>
      <c r="BG47" s="5">
        <f>deaths!BG47-deaths!BF47</f>
        <v>0</v>
      </c>
      <c r="BH47" s="5">
        <f>deaths!BH47-deaths!BG47</f>
        <v>0</v>
      </c>
      <c r="BI47" s="5">
        <f>deaths!BI47-deaths!BH47</f>
        <v>0</v>
      </c>
      <c r="BJ47" s="5">
        <f>deaths!BJ47-deaths!BI47</f>
        <v>0</v>
      </c>
      <c r="BK47" s="5">
        <f>deaths!BK47-deaths!BJ47</f>
        <v>0</v>
      </c>
      <c r="BL47" s="5">
        <f>deaths!BL47-deaths!BK47</f>
        <v>0</v>
      </c>
      <c r="BM47" s="5">
        <f>deaths!BM47-deaths!BL47</f>
        <v>0</v>
      </c>
      <c r="BN47" s="5">
        <f>deaths!BN47-deaths!BM47</f>
        <v>0</v>
      </c>
      <c r="BO47" s="5">
        <f>deaths!BO47-deaths!BN47</f>
        <v>0</v>
      </c>
      <c r="BP47" s="5">
        <f>deaths!BP47-deaths!BO47</f>
        <v>0</v>
      </c>
      <c r="BQ47" s="5">
        <f>deaths!BQ47-deaths!BP47</f>
        <v>0</v>
      </c>
      <c r="BR47" s="5">
        <f>deaths!BR47-deaths!BQ47</f>
        <v>0</v>
      </c>
      <c r="BS47" s="5">
        <f>deaths!BS47-deaths!BR47</f>
        <v>0</v>
      </c>
      <c r="BT47" s="5">
        <f>deaths!BT47-deaths!BS47</f>
        <v>0</v>
      </c>
      <c r="BU47" s="5">
        <f>deaths!BU47-deaths!BT47</f>
        <v>2</v>
      </c>
      <c r="BV47" s="5">
        <f>deaths!BV47-deaths!BU47</f>
        <v>0</v>
      </c>
      <c r="BW47" s="5">
        <f>deaths!BW47-deaths!BV47</f>
        <v>1</v>
      </c>
      <c r="BX47" s="5">
        <f>deaths!BX47-deaths!BW47</f>
        <v>0</v>
      </c>
      <c r="BY47" s="5">
        <f>deaths!BY47-deaths!BX47</f>
        <v>0</v>
      </c>
      <c r="BZ47" s="1">
        <f>deaths!BZ47</f>
        <v>3</v>
      </c>
      <c r="CA47" s="1">
        <f>deaths!CA47</f>
        <v>3</v>
      </c>
      <c r="CB47" s="1">
        <f>deaths!CB47</f>
        <v>3</v>
      </c>
      <c r="CC47" s="1" t="str">
        <f>deaths!CC47</f>
        <v/>
      </c>
    </row>
    <row r="48">
      <c r="B48" s="1" t="str">
        <f>deaths!B48</f>
        <v>Central African Republic</v>
      </c>
      <c r="C48" s="4">
        <f>deaths!C48</f>
        <v>6.6111</v>
      </c>
      <c r="D48" s="4">
        <f>deaths!D48</f>
        <v>20.9394</v>
      </c>
      <c r="E48" s="5">
        <f>deaths!E48</f>
        <v>0</v>
      </c>
      <c r="F48" s="5">
        <f>deaths!F48-deaths!E48</f>
        <v>0</v>
      </c>
      <c r="G48" s="5">
        <f>deaths!G48-deaths!F48</f>
        <v>0</v>
      </c>
      <c r="H48" s="5">
        <f>deaths!H48-deaths!G48</f>
        <v>0</v>
      </c>
      <c r="I48" s="5">
        <f>deaths!I48-deaths!H48</f>
        <v>0</v>
      </c>
      <c r="J48" s="5">
        <f>deaths!J48-deaths!I48</f>
        <v>0</v>
      </c>
      <c r="K48" s="5">
        <f>deaths!K48-deaths!J48</f>
        <v>0</v>
      </c>
      <c r="L48" s="5">
        <f>deaths!L48-deaths!K48</f>
        <v>0</v>
      </c>
      <c r="M48" s="5">
        <f>deaths!M48-deaths!L48</f>
        <v>0</v>
      </c>
      <c r="N48" s="5">
        <f>deaths!N48-deaths!M48</f>
        <v>0</v>
      </c>
      <c r="O48" s="5">
        <f>deaths!O48-deaths!N48</f>
        <v>0</v>
      </c>
      <c r="P48" s="5">
        <f>deaths!P48-deaths!O48</f>
        <v>0</v>
      </c>
      <c r="Q48" s="5">
        <f>deaths!Q48-deaths!P48</f>
        <v>0</v>
      </c>
      <c r="R48" s="5">
        <f>deaths!R48-deaths!Q48</f>
        <v>0</v>
      </c>
      <c r="S48" s="5">
        <f>deaths!S48-deaths!R48</f>
        <v>0</v>
      </c>
      <c r="T48" s="5">
        <f>deaths!T48-deaths!S48</f>
        <v>0</v>
      </c>
      <c r="U48" s="5">
        <f>deaths!U48-deaths!T48</f>
        <v>0</v>
      </c>
      <c r="V48" s="5">
        <f>deaths!V48-deaths!U48</f>
        <v>0</v>
      </c>
      <c r="W48" s="5">
        <f>deaths!W48-deaths!V48</f>
        <v>0</v>
      </c>
      <c r="X48" s="5">
        <f>deaths!X48-deaths!W48</f>
        <v>0</v>
      </c>
      <c r="Y48" s="5">
        <f>deaths!Y48-deaths!X48</f>
        <v>0</v>
      </c>
      <c r="Z48" s="5">
        <f>deaths!Z48-deaths!Y48</f>
        <v>0</v>
      </c>
      <c r="AA48" s="5">
        <f>deaths!AA48-deaths!Z48</f>
        <v>0</v>
      </c>
      <c r="AB48" s="5">
        <f>deaths!AB48-deaths!AA48</f>
        <v>0</v>
      </c>
      <c r="AC48" s="5">
        <f>deaths!AC48-deaths!AB48</f>
        <v>0</v>
      </c>
      <c r="AD48" s="5">
        <f>deaths!AD48-deaths!AC48</f>
        <v>0</v>
      </c>
      <c r="AE48" s="5">
        <f>deaths!AE48-deaths!AD48</f>
        <v>0</v>
      </c>
      <c r="AF48" s="5">
        <f>deaths!AF48-deaths!AE48</f>
        <v>0</v>
      </c>
      <c r="AG48" s="5">
        <f>deaths!AG48-deaths!AF48</f>
        <v>0</v>
      </c>
      <c r="AH48" s="5">
        <f>deaths!AH48-deaths!AG48</f>
        <v>0</v>
      </c>
      <c r="AI48" s="5">
        <f>deaths!AI48-deaths!AH48</f>
        <v>0</v>
      </c>
      <c r="AJ48" s="5">
        <f>deaths!AJ48-deaths!AI48</f>
        <v>0</v>
      </c>
      <c r="AK48" s="5">
        <f>deaths!AK48-deaths!AJ48</f>
        <v>0</v>
      </c>
      <c r="AL48" s="5">
        <f>deaths!AL48-deaths!AK48</f>
        <v>0</v>
      </c>
      <c r="AM48" s="5">
        <f>deaths!AM48-deaths!AL48</f>
        <v>0</v>
      </c>
      <c r="AN48" s="5">
        <f>deaths!AN48-deaths!AM48</f>
        <v>0</v>
      </c>
      <c r="AO48" s="5">
        <f>deaths!AO48-deaths!AN48</f>
        <v>0</v>
      </c>
      <c r="AP48" s="5">
        <f>deaths!AP48-deaths!AO48</f>
        <v>0</v>
      </c>
      <c r="AQ48" s="5">
        <f>deaths!AQ48-deaths!AP48</f>
        <v>0</v>
      </c>
      <c r="AR48" s="5">
        <f>deaths!AR48-deaths!AQ48</f>
        <v>0</v>
      </c>
      <c r="AS48" s="5">
        <f>deaths!AS48-deaths!AR48</f>
        <v>0</v>
      </c>
      <c r="AT48" s="5">
        <f>deaths!AT48-deaths!AS48</f>
        <v>0</v>
      </c>
      <c r="AU48" s="5">
        <f>deaths!AU48-deaths!AT48</f>
        <v>0</v>
      </c>
      <c r="AV48" s="5">
        <f>deaths!AV48-deaths!AU48</f>
        <v>0</v>
      </c>
      <c r="AW48" s="5">
        <f>deaths!AW48-deaths!AV48</f>
        <v>0</v>
      </c>
      <c r="AX48" s="5">
        <f>deaths!AX48-deaths!AW48</f>
        <v>0</v>
      </c>
      <c r="AY48" s="5">
        <f>deaths!AY48-deaths!AX48</f>
        <v>0</v>
      </c>
      <c r="AZ48" s="5">
        <f>deaths!AZ48-deaths!AY48</f>
        <v>0</v>
      </c>
      <c r="BA48" s="5">
        <f>deaths!BA48-deaths!AZ48</f>
        <v>0</v>
      </c>
      <c r="BB48" s="5">
        <f>deaths!BB48-deaths!BA48</f>
        <v>0</v>
      </c>
      <c r="BC48" s="5">
        <f>deaths!BC48-deaths!BB48</f>
        <v>0</v>
      </c>
      <c r="BD48" s="5">
        <f>deaths!BD48-deaths!BC48</f>
        <v>0</v>
      </c>
      <c r="BE48" s="5">
        <f>deaths!BE48-deaths!BD48</f>
        <v>0</v>
      </c>
      <c r="BF48" s="5">
        <f>deaths!BF48-deaths!BE48</f>
        <v>0</v>
      </c>
      <c r="BG48" s="5">
        <f>deaths!BG48-deaths!BF48</f>
        <v>0</v>
      </c>
      <c r="BH48" s="5">
        <f>deaths!BH48-deaths!BG48</f>
        <v>0</v>
      </c>
      <c r="BI48" s="5">
        <f>deaths!BI48-deaths!BH48</f>
        <v>0</v>
      </c>
      <c r="BJ48" s="5">
        <f>deaths!BJ48-deaths!BI48</f>
        <v>0</v>
      </c>
      <c r="BK48" s="5">
        <f>deaths!BK48-deaths!BJ48</f>
        <v>0</v>
      </c>
      <c r="BL48" s="5">
        <f>deaths!BL48-deaths!BK48</f>
        <v>0</v>
      </c>
      <c r="BM48" s="5">
        <f>deaths!BM48-deaths!BL48</f>
        <v>0</v>
      </c>
      <c r="BN48" s="5">
        <f>deaths!BN48-deaths!BM48</f>
        <v>0</v>
      </c>
      <c r="BO48" s="5">
        <f>deaths!BO48-deaths!BN48</f>
        <v>0</v>
      </c>
      <c r="BP48" s="5">
        <f>deaths!BP48-deaths!BO48</f>
        <v>0</v>
      </c>
      <c r="BQ48" s="5">
        <f>deaths!BQ48-deaths!BP48</f>
        <v>0</v>
      </c>
      <c r="BR48" s="5">
        <f>deaths!BR48-deaths!BQ48</f>
        <v>0</v>
      </c>
      <c r="BS48" s="5">
        <f>deaths!BS48-deaths!BR48</f>
        <v>0</v>
      </c>
      <c r="BT48" s="5">
        <f>deaths!BT48-deaths!BS48</f>
        <v>0</v>
      </c>
      <c r="BU48" s="5">
        <f>deaths!BU48-deaths!BT48</f>
        <v>0</v>
      </c>
      <c r="BV48" s="5">
        <f>deaths!BV48-deaths!BU48</f>
        <v>0</v>
      </c>
      <c r="BW48" s="5">
        <f>deaths!BW48-deaths!BV48</f>
        <v>0</v>
      </c>
      <c r="BX48" s="5">
        <f>deaths!BX48-deaths!BW48</f>
        <v>0</v>
      </c>
      <c r="BY48" s="5">
        <f>deaths!BY48-deaths!BX48</f>
        <v>0</v>
      </c>
      <c r="BZ48" s="1">
        <f>deaths!BZ48</f>
        <v>0</v>
      </c>
      <c r="CA48" s="1">
        <f>deaths!CA48</f>
        <v>0</v>
      </c>
      <c r="CB48" s="1">
        <f>deaths!CB48</f>
        <v>0</v>
      </c>
      <c r="CC48" s="1" t="str">
        <f>deaths!CC48</f>
        <v/>
      </c>
    </row>
    <row r="49">
      <c r="B49" s="1" t="str">
        <f>deaths!B49</f>
        <v>Chad</v>
      </c>
      <c r="C49" s="4">
        <f>deaths!C49</f>
        <v>15.4542</v>
      </c>
      <c r="D49" s="4">
        <f>deaths!D49</f>
        <v>18.7322</v>
      </c>
      <c r="E49" s="5">
        <f>deaths!E49</f>
        <v>0</v>
      </c>
      <c r="F49" s="5">
        <f>deaths!F49-deaths!E49</f>
        <v>0</v>
      </c>
      <c r="G49" s="5">
        <f>deaths!G49-deaths!F49</f>
        <v>0</v>
      </c>
      <c r="H49" s="5">
        <f>deaths!H49-deaths!G49</f>
        <v>0</v>
      </c>
      <c r="I49" s="5">
        <f>deaths!I49-deaths!H49</f>
        <v>0</v>
      </c>
      <c r="J49" s="5">
        <f>deaths!J49-deaths!I49</f>
        <v>0</v>
      </c>
      <c r="K49" s="5">
        <f>deaths!K49-deaths!J49</f>
        <v>0</v>
      </c>
      <c r="L49" s="5">
        <f>deaths!L49-deaths!K49</f>
        <v>0</v>
      </c>
      <c r="M49" s="5">
        <f>deaths!M49-deaths!L49</f>
        <v>0</v>
      </c>
      <c r="N49" s="5">
        <f>deaths!N49-deaths!M49</f>
        <v>0</v>
      </c>
      <c r="O49" s="5">
        <f>deaths!O49-deaths!N49</f>
        <v>0</v>
      </c>
      <c r="P49" s="5">
        <f>deaths!P49-deaths!O49</f>
        <v>0</v>
      </c>
      <c r="Q49" s="5">
        <f>deaths!Q49-deaths!P49</f>
        <v>0</v>
      </c>
      <c r="R49" s="5">
        <f>deaths!R49-deaths!Q49</f>
        <v>0</v>
      </c>
      <c r="S49" s="5">
        <f>deaths!S49-deaths!R49</f>
        <v>0</v>
      </c>
      <c r="T49" s="5">
        <f>deaths!T49-deaths!S49</f>
        <v>0</v>
      </c>
      <c r="U49" s="5">
        <f>deaths!U49-deaths!T49</f>
        <v>0</v>
      </c>
      <c r="V49" s="5">
        <f>deaths!V49-deaths!U49</f>
        <v>0</v>
      </c>
      <c r="W49" s="5">
        <f>deaths!W49-deaths!V49</f>
        <v>0</v>
      </c>
      <c r="X49" s="5">
        <f>deaths!X49-deaths!W49</f>
        <v>0</v>
      </c>
      <c r="Y49" s="5">
        <f>deaths!Y49-deaths!X49</f>
        <v>0</v>
      </c>
      <c r="Z49" s="5">
        <f>deaths!Z49-deaths!Y49</f>
        <v>0</v>
      </c>
      <c r="AA49" s="5">
        <f>deaths!AA49-deaths!Z49</f>
        <v>0</v>
      </c>
      <c r="AB49" s="5">
        <f>deaths!AB49-deaths!AA49</f>
        <v>0</v>
      </c>
      <c r="AC49" s="5">
        <f>deaths!AC49-deaths!AB49</f>
        <v>0</v>
      </c>
      <c r="AD49" s="5">
        <f>deaths!AD49-deaths!AC49</f>
        <v>0</v>
      </c>
      <c r="AE49" s="5">
        <f>deaths!AE49-deaths!AD49</f>
        <v>0</v>
      </c>
      <c r="AF49" s="5">
        <f>deaths!AF49-deaths!AE49</f>
        <v>0</v>
      </c>
      <c r="AG49" s="5">
        <f>deaths!AG49-deaths!AF49</f>
        <v>0</v>
      </c>
      <c r="AH49" s="5">
        <f>deaths!AH49-deaths!AG49</f>
        <v>0</v>
      </c>
      <c r="AI49" s="5">
        <f>deaths!AI49-deaths!AH49</f>
        <v>0</v>
      </c>
      <c r="AJ49" s="5">
        <f>deaths!AJ49-deaths!AI49</f>
        <v>0</v>
      </c>
      <c r="AK49" s="5">
        <f>deaths!AK49-deaths!AJ49</f>
        <v>0</v>
      </c>
      <c r="AL49" s="5">
        <f>deaths!AL49-deaths!AK49</f>
        <v>0</v>
      </c>
      <c r="AM49" s="5">
        <f>deaths!AM49-deaths!AL49</f>
        <v>0</v>
      </c>
      <c r="AN49" s="5">
        <f>deaths!AN49-deaths!AM49</f>
        <v>0</v>
      </c>
      <c r="AO49" s="5">
        <f>deaths!AO49-deaths!AN49</f>
        <v>0</v>
      </c>
      <c r="AP49" s="5">
        <f>deaths!AP49-deaths!AO49</f>
        <v>0</v>
      </c>
      <c r="AQ49" s="5">
        <f>deaths!AQ49-deaths!AP49</f>
        <v>0</v>
      </c>
      <c r="AR49" s="5">
        <f>deaths!AR49-deaths!AQ49</f>
        <v>0</v>
      </c>
      <c r="AS49" s="5">
        <f>deaths!AS49-deaths!AR49</f>
        <v>0</v>
      </c>
      <c r="AT49" s="5">
        <f>deaths!AT49-deaths!AS49</f>
        <v>0</v>
      </c>
      <c r="AU49" s="5">
        <f>deaths!AU49-deaths!AT49</f>
        <v>0</v>
      </c>
      <c r="AV49" s="5">
        <f>deaths!AV49-deaths!AU49</f>
        <v>0</v>
      </c>
      <c r="AW49" s="5">
        <f>deaths!AW49-deaths!AV49</f>
        <v>0</v>
      </c>
      <c r="AX49" s="5">
        <f>deaths!AX49-deaths!AW49</f>
        <v>0</v>
      </c>
      <c r="AY49" s="5">
        <f>deaths!AY49-deaths!AX49</f>
        <v>0</v>
      </c>
      <c r="AZ49" s="5">
        <f>deaths!AZ49-deaths!AY49</f>
        <v>0</v>
      </c>
      <c r="BA49" s="5">
        <f>deaths!BA49-deaths!AZ49</f>
        <v>0</v>
      </c>
      <c r="BB49" s="5">
        <f>deaths!BB49-deaths!BA49</f>
        <v>0</v>
      </c>
      <c r="BC49" s="5">
        <f>deaths!BC49-deaths!BB49</f>
        <v>0</v>
      </c>
      <c r="BD49" s="5">
        <f>deaths!BD49-deaths!BC49</f>
        <v>0</v>
      </c>
      <c r="BE49" s="5">
        <f>deaths!BE49-deaths!BD49</f>
        <v>0</v>
      </c>
      <c r="BF49" s="5">
        <f>deaths!BF49-deaths!BE49</f>
        <v>0</v>
      </c>
      <c r="BG49" s="5">
        <f>deaths!BG49-deaths!BF49</f>
        <v>0</v>
      </c>
      <c r="BH49" s="5">
        <f>deaths!BH49-deaths!BG49</f>
        <v>0</v>
      </c>
      <c r="BI49" s="5">
        <f>deaths!BI49-deaths!BH49</f>
        <v>0</v>
      </c>
      <c r="BJ49" s="5">
        <f>deaths!BJ49-deaths!BI49</f>
        <v>0</v>
      </c>
      <c r="BK49" s="5">
        <f>deaths!BK49-deaths!BJ49</f>
        <v>0</v>
      </c>
      <c r="BL49" s="5">
        <f>deaths!BL49-deaths!BK49</f>
        <v>0</v>
      </c>
      <c r="BM49" s="5">
        <f>deaths!BM49-deaths!BL49</f>
        <v>0</v>
      </c>
      <c r="BN49" s="5">
        <f>deaths!BN49-deaths!BM49</f>
        <v>0</v>
      </c>
      <c r="BO49" s="5">
        <f>deaths!BO49-deaths!BN49</f>
        <v>0</v>
      </c>
      <c r="BP49" s="5">
        <f>deaths!BP49-deaths!BO49</f>
        <v>0</v>
      </c>
      <c r="BQ49" s="5">
        <f>deaths!BQ49-deaths!BP49</f>
        <v>0</v>
      </c>
      <c r="BR49" s="5">
        <f>deaths!BR49-deaths!BQ49</f>
        <v>0</v>
      </c>
      <c r="BS49" s="5">
        <f>deaths!BS49-deaths!BR49</f>
        <v>0</v>
      </c>
      <c r="BT49" s="5">
        <f>deaths!BT49-deaths!BS49</f>
        <v>0</v>
      </c>
      <c r="BU49" s="5">
        <f>deaths!BU49-deaths!BT49</f>
        <v>0</v>
      </c>
      <c r="BV49" s="5">
        <f>deaths!BV49-deaths!BU49</f>
        <v>0</v>
      </c>
      <c r="BW49" s="5">
        <f>deaths!BW49-deaths!BV49</f>
        <v>0</v>
      </c>
      <c r="BX49" s="5">
        <f>deaths!BX49-deaths!BW49</f>
        <v>0</v>
      </c>
      <c r="BY49" s="5">
        <f>deaths!BY49-deaths!BX49</f>
        <v>0</v>
      </c>
      <c r="BZ49" s="1">
        <f>deaths!BZ49</f>
        <v>0</v>
      </c>
      <c r="CA49" s="1">
        <f>deaths!CA49</f>
        <v>0</v>
      </c>
      <c r="CB49" s="1">
        <f>deaths!CB49</f>
        <v>0</v>
      </c>
      <c r="CC49" s="1" t="str">
        <f>deaths!CC49</f>
        <v/>
      </c>
    </row>
    <row r="50">
      <c r="B50" s="1" t="str">
        <f>deaths!B50</f>
        <v>Chile</v>
      </c>
      <c r="C50" s="4">
        <f>deaths!C50</f>
        <v>-35.6751</v>
      </c>
      <c r="D50" s="4">
        <f>deaths!D50</f>
        <v>-71.543</v>
      </c>
      <c r="E50" s="5">
        <f>deaths!E50</f>
        <v>0</v>
      </c>
      <c r="F50" s="5">
        <f>deaths!F50-deaths!E50</f>
        <v>0</v>
      </c>
      <c r="G50" s="5">
        <f>deaths!G50-deaths!F50</f>
        <v>0</v>
      </c>
      <c r="H50" s="5">
        <f>deaths!H50-deaths!G50</f>
        <v>0</v>
      </c>
      <c r="I50" s="5">
        <f>deaths!I50-deaths!H50</f>
        <v>0</v>
      </c>
      <c r="J50" s="5">
        <f>deaths!J50-deaths!I50</f>
        <v>0</v>
      </c>
      <c r="K50" s="5">
        <f>deaths!K50-deaths!J50</f>
        <v>0</v>
      </c>
      <c r="L50" s="5">
        <f>deaths!L50-deaths!K50</f>
        <v>0</v>
      </c>
      <c r="M50" s="5">
        <f>deaths!M50-deaths!L50</f>
        <v>0</v>
      </c>
      <c r="N50" s="5">
        <f>deaths!N50-deaths!M50</f>
        <v>0</v>
      </c>
      <c r="O50" s="5">
        <f>deaths!O50-deaths!N50</f>
        <v>0</v>
      </c>
      <c r="P50" s="5">
        <f>deaths!P50-deaths!O50</f>
        <v>0</v>
      </c>
      <c r="Q50" s="5">
        <f>deaths!Q50-deaths!P50</f>
        <v>0</v>
      </c>
      <c r="R50" s="5">
        <f>deaths!R50-deaths!Q50</f>
        <v>0</v>
      </c>
      <c r="S50" s="5">
        <f>deaths!S50-deaths!R50</f>
        <v>0</v>
      </c>
      <c r="T50" s="5">
        <f>deaths!T50-deaths!S50</f>
        <v>0</v>
      </c>
      <c r="U50" s="5">
        <f>deaths!U50-deaths!T50</f>
        <v>0</v>
      </c>
      <c r="V50" s="5">
        <f>deaths!V50-deaths!U50</f>
        <v>0</v>
      </c>
      <c r="W50" s="5">
        <f>deaths!W50-deaths!V50</f>
        <v>0</v>
      </c>
      <c r="X50" s="5">
        <f>deaths!X50-deaths!W50</f>
        <v>0</v>
      </c>
      <c r="Y50" s="5">
        <f>deaths!Y50-deaths!X50</f>
        <v>0</v>
      </c>
      <c r="Z50" s="5">
        <f>deaths!Z50-deaths!Y50</f>
        <v>0</v>
      </c>
      <c r="AA50" s="5">
        <f>deaths!AA50-deaths!Z50</f>
        <v>0</v>
      </c>
      <c r="AB50" s="5">
        <f>deaths!AB50-deaths!AA50</f>
        <v>0</v>
      </c>
      <c r="AC50" s="5">
        <f>deaths!AC50-deaths!AB50</f>
        <v>0</v>
      </c>
      <c r="AD50" s="5">
        <f>deaths!AD50-deaths!AC50</f>
        <v>0</v>
      </c>
      <c r="AE50" s="5">
        <f>deaths!AE50-deaths!AD50</f>
        <v>0</v>
      </c>
      <c r="AF50" s="5">
        <f>deaths!AF50-deaths!AE50</f>
        <v>0</v>
      </c>
      <c r="AG50" s="5">
        <f>deaths!AG50-deaths!AF50</f>
        <v>0</v>
      </c>
      <c r="AH50" s="5">
        <f>deaths!AH50-deaths!AG50</f>
        <v>0</v>
      </c>
      <c r="AI50" s="5">
        <f>deaths!AI50-deaths!AH50</f>
        <v>0</v>
      </c>
      <c r="AJ50" s="5">
        <f>deaths!AJ50-deaths!AI50</f>
        <v>0</v>
      </c>
      <c r="AK50" s="5">
        <f>deaths!AK50-deaths!AJ50</f>
        <v>0</v>
      </c>
      <c r="AL50" s="5">
        <f>deaths!AL50-deaths!AK50</f>
        <v>0</v>
      </c>
      <c r="AM50" s="5">
        <f>deaths!AM50-deaths!AL50</f>
        <v>0</v>
      </c>
      <c r="AN50" s="5">
        <f>deaths!AN50-deaths!AM50</f>
        <v>0</v>
      </c>
      <c r="AO50" s="5">
        <f>deaths!AO50-deaths!AN50</f>
        <v>0</v>
      </c>
      <c r="AP50" s="5">
        <f>deaths!AP50-deaths!AO50</f>
        <v>0</v>
      </c>
      <c r="AQ50" s="5">
        <f>deaths!AQ50-deaths!AP50</f>
        <v>0</v>
      </c>
      <c r="AR50" s="5">
        <f>deaths!AR50-deaths!AQ50</f>
        <v>0</v>
      </c>
      <c r="AS50" s="5">
        <f>deaths!AS50-deaths!AR50</f>
        <v>0</v>
      </c>
      <c r="AT50" s="5">
        <f>deaths!AT50-deaths!AS50</f>
        <v>0</v>
      </c>
      <c r="AU50" s="5">
        <f>deaths!AU50-deaths!AT50</f>
        <v>0</v>
      </c>
      <c r="AV50" s="5">
        <f>deaths!AV50-deaths!AU50</f>
        <v>0</v>
      </c>
      <c r="AW50" s="5">
        <f>deaths!AW50-deaths!AV50</f>
        <v>0</v>
      </c>
      <c r="AX50" s="5">
        <f>deaths!AX50-deaths!AW50</f>
        <v>0</v>
      </c>
      <c r="AY50" s="5">
        <f>deaths!AY50-deaths!AX50</f>
        <v>0</v>
      </c>
      <c r="AZ50" s="5">
        <f>deaths!AZ50-deaths!AY50</f>
        <v>0</v>
      </c>
      <c r="BA50" s="5">
        <f>deaths!BA50-deaths!AZ50</f>
        <v>0</v>
      </c>
      <c r="BB50" s="5">
        <f>deaths!BB50-deaths!BA50</f>
        <v>0</v>
      </c>
      <c r="BC50" s="5">
        <f>deaths!BC50-deaths!BB50</f>
        <v>0</v>
      </c>
      <c r="BD50" s="5">
        <f>deaths!BD50-deaths!BC50</f>
        <v>0</v>
      </c>
      <c r="BE50" s="5">
        <f>deaths!BE50-deaths!BD50</f>
        <v>0</v>
      </c>
      <c r="BF50" s="5">
        <f>deaths!BF50-deaths!BE50</f>
        <v>0</v>
      </c>
      <c r="BG50" s="5">
        <f>deaths!BG50-deaths!BF50</f>
        <v>0</v>
      </c>
      <c r="BH50" s="5">
        <f>deaths!BH50-deaths!BG50</f>
        <v>0</v>
      </c>
      <c r="BI50" s="5">
        <f>deaths!BI50-deaths!BH50</f>
        <v>0</v>
      </c>
      <c r="BJ50" s="5">
        <f>deaths!BJ50-deaths!BI50</f>
        <v>0</v>
      </c>
      <c r="BK50" s="5">
        <f>deaths!BK50-deaths!BJ50</f>
        <v>0</v>
      </c>
      <c r="BL50" s="5">
        <f>deaths!BL50-deaths!BK50</f>
        <v>0</v>
      </c>
      <c r="BM50" s="5">
        <f>deaths!BM50-deaths!BL50</f>
        <v>1</v>
      </c>
      <c r="BN50" s="5">
        <f>deaths!BN50-deaths!BM50</f>
        <v>1</v>
      </c>
      <c r="BO50" s="5">
        <f>deaths!BO50-deaths!BN50</f>
        <v>0</v>
      </c>
      <c r="BP50" s="5">
        <f>deaths!BP50-deaths!BO50</f>
        <v>1</v>
      </c>
      <c r="BQ50" s="5">
        <f>deaths!BQ50-deaths!BP50</f>
        <v>1</v>
      </c>
      <c r="BR50" s="5">
        <f>deaths!BR50-deaths!BQ50</f>
        <v>1</v>
      </c>
      <c r="BS50" s="5">
        <f>deaths!BS50-deaths!BR50</f>
        <v>1</v>
      </c>
      <c r="BT50" s="5">
        <f>deaths!BT50-deaths!BS50</f>
        <v>1</v>
      </c>
      <c r="BU50" s="5">
        <f>deaths!BU50-deaths!BT50</f>
        <v>1</v>
      </c>
      <c r="BV50" s="5">
        <f>deaths!BV50-deaths!BU50</f>
        <v>4</v>
      </c>
      <c r="BW50" s="5">
        <f>deaths!BW50-deaths!BV50</f>
        <v>4</v>
      </c>
      <c r="BX50" s="5">
        <f>deaths!BX50-deaths!BW50</f>
        <v>2</v>
      </c>
      <c r="BY50" s="5">
        <f>deaths!BY50-deaths!BX50</f>
        <v>4</v>
      </c>
      <c r="BZ50" s="1">
        <f>deaths!BZ50</f>
        <v>27</v>
      </c>
      <c r="CA50" s="1">
        <f>deaths!CA50</f>
        <v>34</v>
      </c>
      <c r="CB50" s="1">
        <f>deaths!CB50</f>
        <v>37</v>
      </c>
      <c r="CC50" s="1" t="str">
        <f>deaths!CC50</f>
        <v/>
      </c>
    </row>
    <row r="51">
      <c r="B51" s="1" t="str">
        <f>deaths!B51</f>
        <v>China</v>
      </c>
      <c r="C51" s="4">
        <f>deaths!C51</f>
        <v>31.8257</v>
      </c>
      <c r="D51" s="4">
        <f>deaths!D51</f>
        <v>117.2264</v>
      </c>
      <c r="E51" s="5">
        <f>deaths!E51</f>
        <v>0</v>
      </c>
      <c r="F51" s="5">
        <f>deaths!F51-deaths!E51</f>
        <v>0</v>
      </c>
      <c r="G51" s="5">
        <f>deaths!G51-deaths!F51</f>
        <v>0</v>
      </c>
      <c r="H51" s="5">
        <f>deaths!H51-deaths!G51</f>
        <v>0</v>
      </c>
      <c r="I51" s="5">
        <f>deaths!I51-deaths!H51</f>
        <v>0</v>
      </c>
      <c r="J51" s="5">
        <f>deaths!J51-deaths!I51</f>
        <v>0</v>
      </c>
      <c r="K51" s="5">
        <f>deaths!K51-deaths!J51</f>
        <v>0</v>
      </c>
      <c r="L51" s="5">
        <f>deaths!L51-deaths!K51</f>
        <v>0</v>
      </c>
      <c r="M51" s="5">
        <f>deaths!M51-deaths!L51</f>
        <v>0</v>
      </c>
      <c r="N51" s="5">
        <f>deaths!N51-deaths!M51</f>
        <v>0</v>
      </c>
      <c r="O51" s="5">
        <f>deaths!O51-deaths!N51</f>
        <v>0</v>
      </c>
      <c r="P51" s="5">
        <f>deaths!P51-deaths!O51</f>
        <v>0</v>
      </c>
      <c r="Q51" s="5">
        <f>deaths!Q51-deaths!P51</f>
        <v>0</v>
      </c>
      <c r="R51" s="5">
        <f>deaths!R51-deaths!Q51</f>
        <v>0</v>
      </c>
      <c r="S51" s="5">
        <f>deaths!S51-deaths!R51</f>
        <v>0</v>
      </c>
      <c r="T51" s="5">
        <f>deaths!T51-deaths!S51</f>
        <v>0</v>
      </c>
      <c r="U51" s="5">
        <f>deaths!U51-deaths!T51</f>
        <v>0</v>
      </c>
      <c r="V51" s="5">
        <f>deaths!V51-deaths!U51</f>
        <v>0</v>
      </c>
      <c r="W51" s="5">
        <f>deaths!W51-deaths!V51</f>
        <v>1</v>
      </c>
      <c r="X51" s="5">
        <f>deaths!X51-deaths!W51</f>
        <v>2</v>
      </c>
      <c r="Y51" s="5">
        <f>deaths!Y51-deaths!X51</f>
        <v>1</v>
      </c>
      <c r="Z51" s="5">
        <f>deaths!Z51-deaths!Y51</f>
        <v>0</v>
      </c>
      <c r="AA51" s="5">
        <f>deaths!AA51-deaths!Z51</f>
        <v>1</v>
      </c>
      <c r="AB51" s="5">
        <f>deaths!AB51-deaths!AA51</f>
        <v>1</v>
      </c>
      <c r="AC51" s="5">
        <f>deaths!AC51-deaths!AB51</f>
        <v>0</v>
      </c>
      <c r="AD51" s="5">
        <f>deaths!AD51-deaths!AC51</f>
        <v>0</v>
      </c>
      <c r="AE51" s="5">
        <f>deaths!AE51-deaths!AD51</f>
        <v>0</v>
      </c>
      <c r="AF51" s="5">
        <f>deaths!AF51-deaths!AE51</f>
        <v>0</v>
      </c>
      <c r="AG51" s="5">
        <f>deaths!AG51-deaths!AF51</f>
        <v>0</v>
      </c>
      <c r="AH51" s="5">
        <f>deaths!AH51-deaths!AG51</f>
        <v>0</v>
      </c>
      <c r="AI51" s="5">
        <f>deaths!AI51-deaths!AH51</f>
        <v>0</v>
      </c>
      <c r="AJ51" s="5">
        <f>deaths!AJ51-deaths!AI51</f>
        <v>0</v>
      </c>
      <c r="AK51" s="5">
        <f>deaths!AK51-deaths!AJ51</f>
        <v>0</v>
      </c>
      <c r="AL51" s="5">
        <f>deaths!AL51-deaths!AK51</f>
        <v>0</v>
      </c>
      <c r="AM51" s="5">
        <f>deaths!AM51-deaths!AL51</f>
        <v>0</v>
      </c>
      <c r="AN51" s="5">
        <f>deaths!AN51-deaths!AM51</f>
        <v>0</v>
      </c>
      <c r="AO51" s="5">
        <f>deaths!AO51-deaths!AN51</f>
        <v>0</v>
      </c>
      <c r="AP51" s="5">
        <f>deaths!AP51-deaths!AO51</f>
        <v>0</v>
      </c>
      <c r="AQ51" s="5">
        <f>deaths!AQ51-deaths!AP51</f>
        <v>0</v>
      </c>
      <c r="AR51" s="5">
        <f>deaths!AR51-deaths!AQ51</f>
        <v>0</v>
      </c>
      <c r="AS51" s="5">
        <f>deaths!AS51-deaths!AR51</f>
        <v>0</v>
      </c>
      <c r="AT51" s="5">
        <f>deaths!AT51-deaths!AS51</f>
        <v>0</v>
      </c>
      <c r="AU51" s="5">
        <f>deaths!AU51-deaths!AT51</f>
        <v>0</v>
      </c>
      <c r="AV51" s="5">
        <f>deaths!AV51-deaths!AU51</f>
        <v>0</v>
      </c>
      <c r="AW51" s="5">
        <f>deaths!AW51-deaths!AV51</f>
        <v>0</v>
      </c>
      <c r="AX51" s="5">
        <f>deaths!AX51-deaths!AW51</f>
        <v>0</v>
      </c>
      <c r="AY51" s="5">
        <f>deaths!AY51-deaths!AX51</f>
        <v>0</v>
      </c>
      <c r="AZ51" s="5">
        <f>deaths!AZ51-deaths!AY51</f>
        <v>0</v>
      </c>
      <c r="BA51" s="5">
        <f>deaths!BA51-deaths!AZ51</f>
        <v>0</v>
      </c>
      <c r="BB51" s="5">
        <f>deaths!BB51-deaths!BA51</f>
        <v>0</v>
      </c>
      <c r="BC51" s="5">
        <f>deaths!BC51-deaths!BB51</f>
        <v>0</v>
      </c>
      <c r="BD51" s="5">
        <f>deaths!BD51-deaths!BC51</f>
        <v>0</v>
      </c>
      <c r="BE51" s="5">
        <f>deaths!BE51-deaths!BD51</f>
        <v>0</v>
      </c>
      <c r="BF51" s="5">
        <f>deaths!BF51-deaths!BE51</f>
        <v>0</v>
      </c>
      <c r="BG51" s="5">
        <f>deaths!BG51-deaths!BF51</f>
        <v>0</v>
      </c>
      <c r="BH51" s="5">
        <f>deaths!BH51-deaths!BG51</f>
        <v>0</v>
      </c>
      <c r="BI51" s="5">
        <f>deaths!BI51-deaths!BH51</f>
        <v>0</v>
      </c>
      <c r="BJ51" s="5">
        <f>deaths!BJ51-deaths!BI51</f>
        <v>0</v>
      </c>
      <c r="BK51" s="5">
        <f>deaths!BK51-deaths!BJ51</f>
        <v>0</v>
      </c>
      <c r="BL51" s="5">
        <f>deaths!BL51-deaths!BK51</f>
        <v>0</v>
      </c>
      <c r="BM51" s="5">
        <f>deaths!BM51-deaths!BL51</f>
        <v>0</v>
      </c>
      <c r="BN51" s="5">
        <f>deaths!BN51-deaths!BM51</f>
        <v>0</v>
      </c>
      <c r="BO51" s="5">
        <f>deaths!BO51-deaths!BN51</f>
        <v>0</v>
      </c>
      <c r="BP51" s="5">
        <f>deaths!BP51-deaths!BO51</f>
        <v>0</v>
      </c>
      <c r="BQ51" s="5">
        <f>deaths!BQ51-deaths!BP51</f>
        <v>0</v>
      </c>
      <c r="BR51" s="5">
        <f>deaths!BR51-deaths!BQ51</f>
        <v>0</v>
      </c>
      <c r="BS51" s="5">
        <f>deaths!BS51-deaths!BR51</f>
        <v>0</v>
      </c>
      <c r="BT51" s="5">
        <f>deaths!BT51-deaths!BS51</f>
        <v>0</v>
      </c>
      <c r="BU51" s="5">
        <f>deaths!BU51-deaths!BT51</f>
        <v>0</v>
      </c>
      <c r="BV51" s="5">
        <f>deaths!BV51-deaths!BU51</f>
        <v>0</v>
      </c>
      <c r="BW51" s="5">
        <f>deaths!BW51-deaths!BV51</f>
        <v>0</v>
      </c>
      <c r="BX51" s="5">
        <f>deaths!BX51-deaths!BW51</f>
        <v>0</v>
      </c>
      <c r="BY51" s="5">
        <f>deaths!BY51-deaths!BX51</f>
        <v>0</v>
      </c>
      <c r="BZ51" s="1">
        <f>deaths!BZ51</f>
        <v>6</v>
      </c>
      <c r="CA51" s="1">
        <f>deaths!CA51</f>
        <v>6</v>
      </c>
      <c r="CB51" s="1">
        <f>deaths!CB51</f>
        <v>6</v>
      </c>
      <c r="CC51" s="1" t="str">
        <f>deaths!CC51</f>
        <v/>
      </c>
    </row>
    <row r="52">
      <c r="B52" s="1" t="str">
        <f>deaths!B52</f>
        <v>China</v>
      </c>
      <c r="C52" s="4">
        <f>deaths!C52</f>
        <v>40.1824</v>
      </c>
      <c r="D52" s="4">
        <f>deaths!D52</f>
        <v>116.4142</v>
      </c>
      <c r="E52" s="5">
        <f>deaths!E52</f>
        <v>0</v>
      </c>
      <c r="F52" s="5">
        <f>deaths!F52-deaths!E52</f>
        <v>0</v>
      </c>
      <c r="G52" s="5">
        <f>deaths!G52-deaths!F52</f>
        <v>0</v>
      </c>
      <c r="H52" s="5">
        <f>deaths!H52-deaths!G52</f>
        <v>0</v>
      </c>
      <c r="I52" s="5">
        <f>deaths!I52-deaths!H52</f>
        <v>0</v>
      </c>
      <c r="J52" s="5">
        <f>deaths!J52-deaths!I52</f>
        <v>1</v>
      </c>
      <c r="K52" s="5">
        <f>deaths!K52-deaths!J52</f>
        <v>0</v>
      </c>
      <c r="L52" s="5">
        <f>deaths!L52-deaths!K52</f>
        <v>0</v>
      </c>
      <c r="M52" s="5">
        <f>deaths!M52-deaths!L52</f>
        <v>0</v>
      </c>
      <c r="N52" s="5">
        <f>deaths!N52-deaths!M52</f>
        <v>0</v>
      </c>
      <c r="O52" s="5">
        <f>deaths!O52-deaths!N52</f>
        <v>0</v>
      </c>
      <c r="P52" s="5">
        <f>deaths!P52-deaths!O52</f>
        <v>0</v>
      </c>
      <c r="Q52" s="5">
        <f>deaths!Q52-deaths!P52</f>
        <v>0</v>
      </c>
      <c r="R52" s="5">
        <f>deaths!R52-deaths!Q52</f>
        <v>0</v>
      </c>
      <c r="S52" s="5">
        <f>deaths!S52-deaths!R52</f>
        <v>0</v>
      </c>
      <c r="T52" s="5">
        <f>deaths!T52-deaths!S52</f>
        <v>0</v>
      </c>
      <c r="U52" s="5">
        <f>deaths!U52-deaths!T52</f>
        <v>0</v>
      </c>
      <c r="V52" s="5">
        <f>deaths!V52-deaths!U52</f>
        <v>1</v>
      </c>
      <c r="W52" s="5">
        <f>deaths!W52-deaths!V52</f>
        <v>0</v>
      </c>
      <c r="X52" s="5">
        <f>deaths!X52-deaths!W52</f>
        <v>0</v>
      </c>
      <c r="Y52" s="5">
        <f>deaths!Y52-deaths!X52</f>
        <v>1</v>
      </c>
      <c r="Z52" s="5">
        <f>deaths!Z52-deaths!Y52</f>
        <v>0</v>
      </c>
      <c r="AA52" s="5">
        <f>deaths!AA52-deaths!Z52</f>
        <v>0</v>
      </c>
      <c r="AB52" s="5">
        <f>deaths!AB52-deaths!AA52</f>
        <v>0</v>
      </c>
      <c r="AC52" s="5">
        <f>deaths!AC52-deaths!AB52</f>
        <v>1</v>
      </c>
      <c r="AD52" s="5">
        <f>deaths!AD52-deaths!AC52</f>
        <v>0</v>
      </c>
      <c r="AE52" s="5">
        <f>deaths!AE52-deaths!AD52</f>
        <v>0</v>
      </c>
      <c r="AF52" s="5">
        <f>deaths!AF52-deaths!AE52</f>
        <v>0</v>
      </c>
      <c r="AG52" s="5">
        <f>deaths!AG52-deaths!AF52</f>
        <v>0</v>
      </c>
      <c r="AH52" s="5">
        <f>deaths!AH52-deaths!AG52</f>
        <v>0</v>
      </c>
      <c r="AI52" s="5">
        <f>deaths!AI52-deaths!AH52</f>
        <v>0</v>
      </c>
      <c r="AJ52" s="5">
        <f>deaths!AJ52-deaths!AI52</f>
        <v>0</v>
      </c>
      <c r="AK52" s="5">
        <f>deaths!AK52-deaths!AJ52</f>
        <v>0</v>
      </c>
      <c r="AL52" s="5">
        <f>deaths!AL52-deaths!AK52</f>
        <v>0</v>
      </c>
      <c r="AM52" s="5">
        <f>deaths!AM52-deaths!AL52</f>
        <v>0</v>
      </c>
      <c r="AN52" s="5">
        <f>deaths!AN52-deaths!AM52</f>
        <v>0</v>
      </c>
      <c r="AO52" s="5">
        <f>deaths!AO52-deaths!AN52</f>
        <v>1</v>
      </c>
      <c r="AP52" s="5">
        <f>deaths!AP52-deaths!AO52</f>
        <v>2</v>
      </c>
      <c r="AQ52" s="5">
        <f>deaths!AQ52-deaths!AP52</f>
        <v>1</v>
      </c>
      <c r="AR52" s="5">
        <f>deaths!AR52-deaths!AQ52</f>
        <v>0</v>
      </c>
      <c r="AS52" s="5">
        <f>deaths!AS52-deaths!AR52</f>
        <v>0</v>
      </c>
      <c r="AT52" s="5">
        <f>deaths!AT52-deaths!AS52</f>
        <v>0</v>
      </c>
      <c r="AU52" s="5">
        <f>deaths!AU52-deaths!AT52</f>
        <v>0</v>
      </c>
      <c r="AV52" s="5">
        <f>deaths!AV52-deaths!AU52</f>
        <v>0</v>
      </c>
      <c r="AW52" s="5">
        <f>deaths!AW52-deaths!AV52</f>
        <v>0</v>
      </c>
      <c r="AX52" s="5">
        <f>deaths!AX52-deaths!AW52</f>
        <v>0</v>
      </c>
      <c r="AY52" s="5">
        <f>deaths!AY52-deaths!AX52</f>
        <v>0</v>
      </c>
      <c r="AZ52" s="5">
        <f>deaths!AZ52-deaths!AY52</f>
        <v>0</v>
      </c>
      <c r="BA52" s="5">
        <f>deaths!BA52-deaths!AZ52</f>
        <v>0</v>
      </c>
      <c r="BB52" s="5">
        <f>deaths!BB52-deaths!BA52</f>
        <v>0</v>
      </c>
      <c r="BC52" s="5">
        <f>deaths!BC52-deaths!BB52</f>
        <v>0</v>
      </c>
      <c r="BD52" s="5">
        <f>deaths!BD52-deaths!BC52</f>
        <v>0</v>
      </c>
      <c r="BE52" s="5">
        <f>deaths!BE52-deaths!BD52</f>
        <v>0</v>
      </c>
      <c r="BF52" s="5">
        <f>deaths!BF52-deaths!BE52</f>
        <v>0</v>
      </c>
      <c r="BG52" s="5">
        <f>deaths!BG52-deaths!BF52</f>
        <v>0</v>
      </c>
      <c r="BH52" s="5">
        <f>deaths!BH52-deaths!BG52</f>
        <v>0</v>
      </c>
      <c r="BI52" s="5">
        <f>deaths!BI52-deaths!BH52</f>
        <v>0</v>
      </c>
      <c r="BJ52" s="5">
        <f>deaths!BJ52-deaths!BI52</f>
        <v>0</v>
      </c>
      <c r="BK52" s="5">
        <f>deaths!BK52-deaths!BJ52</f>
        <v>0</v>
      </c>
      <c r="BL52" s="5">
        <f>deaths!BL52-deaths!BK52</f>
        <v>0</v>
      </c>
      <c r="BM52" s="5">
        <f>deaths!BM52-deaths!BL52</f>
        <v>0</v>
      </c>
      <c r="BN52" s="5">
        <f>deaths!BN52-deaths!BM52</f>
        <v>0</v>
      </c>
      <c r="BO52" s="5">
        <f>deaths!BO52-deaths!BN52</f>
        <v>0</v>
      </c>
      <c r="BP52" s="5">
        <f>deaths!BP52-deaths!BO52</f>
        <v>0</v>
      </c>
      <c r="BQ52" s="5">
        <f>deaths!BQ52-deaths!BP52</f>
        <v>0</v>
      </c>
      <c r="BR52" s="5">
        <f>deaths!BR52-deaths!BQ52</f>
        <v>0</v>
      </c>
      <c r="BS52" s="5">
        <f>deaths!BS52-deaths!BR52</f>
        <v>0</v>
      </c>
      <c r="BT52" s="5">
        <f>deaths!BT52-deaths!BS52</f>
        <v>0</v>
      </c>
      <c r="BU52" s="5">
        <f>deaths!BU52-deaths!BT52</f>
        <v>0</v>
      </c>
      <c r="BV52" s="5">
        <f>deaths!BV52-deaths!BU52</f>
        <v>0</v>
      </c>
      <c r="BW52" s="5">
        <f>deaths!BW52-deaths!BV52</f>
        <v>0</v>
      </c>
      <c r="BX52" s="5">
        <f>deaths!BX52-deaths!BW52</f>
        <v>0</v>
      </c>
      <c r="BY52" s="5">
        <f>deaths!BY52-deaths!BX52</f>
        <v>0</v>
      </c>
      <c r="BZ52" s="1">
        <f>deaths!BZ52</f>
        <v>8</v>
      </c>
      <c r="CA52" s="1">
        <f>deaths!CA52</f>
        <v>8</v>
      </c>
      <c r="CB52" s="1">
        <f>deaths!CB52</f>
        <v>8</v>
      </c>
      <c r="CC52" s="1" t="str">
        <f>deaths!CC52</f>
        <v/>
      </c>
    </row>
    <row r="53">
      <c r="B53" s="1" t="str">
        <f>deaths!B53</f>
        <v>China</v>
      </c>
      <c r="C53" s="4">
        <f>deaths!C53</f>
        <v>30.0572</v>
      </c>
      <c r="D53" s="4">
        <f>deaths!D53</f>
        <v>107.874</v>
      </c>
      <c r="E53" s="5">
        <f>deaths!E53</f>
        <v>0</v>
      </c>
      <c r="F53" s="5">
        <f>deaths!F53-deaths!E53</f>
        <v>0</v>
      </c>
      <c r="G53" s="5">
        <f>deaths!G53-deaths!F53</f>
        <v>0</v>
      </c>
      <c r="H53" s="5">
        <f>deaths!H53-deaths!G53</f>
        <v>0</v>
      </c>
      <c r="I53" s="5">
        <f>deaths!I53-deaths!H53</f>
        <v>0</v>
      </c>
      <c r="J53" s="5">
        <f>deaths!J53-deaths!I53</f>
        <v>0</v>
      </c>
      <c r="K53" s="5">
        <f>deaths!K53-deaths!J53</f>
        <v>0</v>
      </c>
      <c r="L53" s="5">
        <f>deaths!L53-deaths!K53</f>
        <v>0</v>
      </c>
      <c r="M53" s="5">
        <f>deaths!M53-deaths!L53</f>
        <v>0</v>
      </c>
      <c r="N53" s="5">
        <f>deaths!N53-deaths!M53</f>
        <v>0</v>
      </c>
      <c r="O53" s="5">
        <f>deaths!O53-deaths!N53</f>
        <v>1</v>
      </c>
      <c r="P53" s="5">
        <f>deaths!P53-deaths!O53</f>
        <v>1</v>
      </c>
      <c r="Q53" s="5">
        <f>deaths!Q53-deaths!P53</f>
        <v>0</v>
      </c>
      <c r="R53" s="5">
        <f>deaths!R53-deaths!Q53</f>
        <v>0</v>
      </c>
      <c r="S53" s="5">
        <f>deaths!S53-deaths!R53</f>
        <v>0</v>
      </c>
      <c r="T53" s="5">
        <f>deaths!T53-deaths!S53</f>
        <v>0</v>
      </c>
      <c r="U53" s="5">
        <f>deaths!U53-deaths!T53</f>
        <v>0</v>
      </c>
      <c r="V53" s="5">
        <f>deaths!V53-deaths!U53</f>
        <v>0</v>
      </c>
      <c r="W53" s="5">
        <f>deaths!W53-deaths!V53</f>
        <v>0</v>
      </c>
      <c r="X53" s="5">
        <f>deaths!X53-deaths!W53</f>
        <v>0</v>
      </c>
      <c r="Y53" s="5">
        <f>deaths!Y53-deaths!X53</f>
        <v>1</v>
      </c>
      <c r="Z53" s="5">
        <f>deaths!Z53-deaths!Y53</f>
        <v>0</v>
      </c>
      <c r="AA53" s="5">
        <f>deaths!AA53-deaths!Z53</f>
        <v>1</v>
      </c>
      <c r="AB53" s="5">
        <f>deaths!AB53-deaths!AA53</f>
        <v>1</v>
      </c>
      <c r="AC53" s="5">
        <f>deaths!AC53-deaths!AB53</f>
        <v>0</v>
      </c>
      <c r="AD53" s="5">
        <f>deaths!AD53-deaths!AC53</f>
        <v>0</v>
      </c>
      <c r="AE53" s="5">
        <f>deaths!AE53-deaths!AD53</f>
        <v>0</v>
      </c>
      <c r="AF53" s="5">
        <f>deaths!AF53-deaths!AE53</f>
        <v>0</v>
      </c>
      <c r="AG53" s="5">
        <f>deaths!AG53-deaths!AF53</f>
        <v>0</v>
      </c>
      <c r="AH53" s="5">
        <f>deaths!AH53-deaths!AG53</f>
        <v>1</v>
      </c>
      <c r="AI53" s="5">
        <f>deaths!AI53-deaths!AH53</f>
        <v>0</v>
      </c>
      <c r="AJ53" s="5">
        <f>deaths!AJ53-deaths!AI53</f>
        <v>0</v>
      </c>
      <c r="AK53" s="5">
        <f>deaths!AK53-deaths!AJ53</f>
        <v>0</v>
      </c>
      <c r="AL53" s="5">
        <f>deaths!AL53-deaths!AK53</f>
        <v>0</v>
      </c>
      <c r="AM53" s="5">
        <f>deaths!AM53-deaths!AL53</f>
        <v>0</v>
      </c>
      <c r="AN53" s="5">
        <f>deaths!AN53-deaths!AM53</f>
        <v>0</v>
      </c>
      <c r="AO53" s="5">
        <f>deaths!AO53-deaths!AN53</f>
        <v>0</v>
      </c>
      <c r="AP53" s="5">
        <f>deaths!AP53-deaths!AO53</f>
        <v>0</v>
      </c>
      <c r="AQ53" s="5">
        <f>deaths!AQ53-deaths!AP53</f>
        <v>0</v>
      </c>
      <c r="AR53" s="5">
        <f>deaths!AR53-deaths!AQ53</f>
        <v>0</v>
      </c>
      <c r="AS53" s="5">
        <f>deaths!AS53-deaths!AR53</f>
        <v>0</v>
      </c>
      <c r="AT53" s="5">
        <f>deaths!AT53-deaths!AS53</f>
        <v>0</v>
      </c>
      <c r="AU53" s="5">
        <f>deaths!AU53-deaths!AT53</f>
        <v>0</v>
      </c>
      <c r="AV53" s="5">
        <f>deaths!AV53-deaths!AU53</f>
        <v>0</v>
      </c>
      <c r="AW53" s="5">
        <f>deaths!AW53-deaths!AV53</f>
        <v>0</v>
      </c>
      <c r="AX53" s="5">
        <f>deaths!AX53-deaths!AW53</f>
        <v>0</v>
      </c>
      <c r="AY53" s="5">
        <f>deaths!AY53-deaths!AX53</f>
        <v>0</v>
      </c>
      <c r="AZ53" s="5">
        <f>deaths!AZ53-deaths!AY53</f>
        <v>0</v>
      </c>
      <c r="BA53" s="5">
        <f>deaths!BA53-deaths!AZ53</f>
        <v>0</v>
      </c>
      <c r="BB53" s="5">
        <f>deaths!BB53-deaths!BA53</f>
        <v>0</v>
      </c>
      <c r="BC53" s="5">
        <f>deaths!BC53-deaths!BB53</f>
        <v>0</v>
      </c>
      <c r="BD53" s="5">
        <f>deaths!BD53-deaths!BC53</f>
        <v>0</v>
      </c>
      <c r="BE53" s="5">
        <f>deaths!BE53-deaths!BD53</f>
        <v>0</v>
      </c>
      <c r="BF53" s="5">
        <f>deaths!BF53-deaths!BE53</f>
        <v>0</v>
      </c>
      <c r="BG53" s="5">
        <f>deaths!BG53-deaths!BF53</f>
        <v>0</v>
      </c>
      <c r="BH53" s="5">
        <f>deaths!BH53-deaths!BG53</f>
        <v>0</v>
      </c>
      <c r="BI53" s="5">
        <f>deaths!BI53-deaths!BH53</f>
        <v>0</v>
      </c>
      <c r="BJ53" s="5">
        <f>deaths!BJ53-deaths!BI53</f>
        <v>0</v>
      </c>
      <c r="BK53" s="5">
        <f>deaths!BK53-deaths!BJ53</f>
        <v>0</v>
      </c>
      <c r="BL53" s="5">
        <f>deaths!BL53-deaths!BK53</f>
        <v>0</v>
      </c>
      <c r="BM53" s="5">
        <f>deaths!BM53-deaths!BL53</f>
        <v>0</v>
      </c>
      <c r="BN53" s="5">
        <f>deaths!BN53-deaths!BM53</f>
        <v>0</v>
      </c>
      <c r="BO53" s="5">
        <f>deaths!BO53-deaths!BN53</f>
        <v>0</v>
      </c>
      <c r="BP53" s="5">
        <f>deaths!BP53-deaths!BO53</f>
        <v>0</v>
      </c>
      <c r="BQ53" s="5">
        <f>deaths!BQ53-deaths!BP53</f>
        <v>0</v>
      </c>
      <c r="BR53" s="5">
        <f>deaths!BR53-deaths!BQ53</f>
        <v>0</v>
      </c>
      <c r="BS53" s="5">
        <f>deaths!BS53-deaths!BR53</f>
        <v>0</v>
      </c>
      <c r="BT53" s="5">
        <f>deaths!BT53-deaths!BS53</f>
        <v>0</v>
      </c>
      <c r="BU53" s="5">
        <f>deaths!BU53-deaths!BT53</f>
        <v>0</v>
      </c>
      <c r="BV53" s="5">
        <f>deaths!BV53-deaths!BU53</f>
        <v>0</v>
      </c>
      <c r="BW53" s="5">
        <f>deaths!BW53-deaths!BV53</f>
        <v>0</v>
      </c>
      <c r="BX53" s="5">
        <f>deaths!BX53-deaths!BW53</f>
        <v>0</v>
      </c>
      <c r="BY53" s="5">
        <f>deaths!BY53-deaths!BX53</f>
        <v>0</v>
      </c>
      <c r="BZ53" s="1">
        <f>deaths!BZ53</f>
        <v>6</v>
      </c>
      <c r="CA53" s="1">
        <f>deaths!CA53</f>
        <v>6</v>
      </c>
      <c r="CB53" s="1">
        <f>deaths!CB53</f>
        <v>6</v>
      </c>
      <c r="CC53" s="1" t="str">
        <f>deaths!CC53</f>
        <v/>
      </c>
    </row>
    <row r="54">
      <c r="B54" s="1" t="str">
        <f>deaths!B54</f>
        <v>China</v>
      </c>
      <c r="C54" s="4">
        <f>deaths!C54</f>
        <v>26.0789</v>
      </c>
      <c r="D54" s="4">
        <f>deaths!D54</f>
        <v>117.9874</v>
      </c>
      <c r="E54" s="5">
        <f>deaths!E54</f>
        <v>0</v>
      </c>
      <c r="F54" s="5">
        <f>deaths!F54-deaths!E54</f>
        <v>0</v>
      </c>
      <c r="G54" s="5">
        <f>deaths!G54-deaths!F54</f>
        <v>0</v>
      </c>
      <c r="H54" s="5">
        <f>deaths!H54-deaths!G54</f>
        <v>0</v>
      </c>
      <c r="I54" s="5">
        <f>deaths!I54-deaths!H54</f>
        <v>0</v>
      </c>
      <c r="J54" s="5">
        <f>deaths!J54-deaths!I54</f>
        <v>0</v>
      </c>
      <c r="K54" s="5">
        <f>deaths!K54-deaths!J54</f>
        <v>0</v>
      </c>
      <c r="L54" s="5">
        <f>deaths!L54-deaths!K54</f>
        <v>0</v>
      </c>
      <c r="M54" s="5">
        <f>deaths!M54-deaths!L54</f>
        <v>0</v>
      </c>
      <c r="N54" s="5">
        <f>deaths!N54-deaths!M54</f>
        <v>0</v>
      </c>
      <c r="O54" s="5">
        <f>deaths!O54-deaths!N54</f>
        <v>0</v>
      </c>
      <c r="P54" s="5">
        <f>deaths!P54-deaths!O54</f>
        <v>0</v>
      </c>
      <c r="Q54" s="5">
        <f>deaths!Q54-deaths!P54</f>
        <v>0</v>
      </c>
      <c r="R54" s="5">
        <f>deaths!R54-deaths!Q54</f>
        <v>0</v>
      </c>
      <c r="S54" s="5">
        <f>deaths!S54-deaths!R54</f>
        <v>0</v>
      </c>
      <c r="T54" s="5">
        <f>deaths!T54-deaths!S54</f>
        <v>0</v>
      </c>
      <c r="U54" s="5">
        <f>deaths!U54-deaths!T54</f>
        <v>0</v>
      </c>
      <c r="V54" s="5">
        <f>deaths!V54-deaths!U54</f>
        <v>0</v>
      </c>
      <c r="W54" s="5">
        <f>deaths!W54-deaths!V54</f>
        <v>0</v>
      </c>
      <c r="X54" s="5">
        <f>deaths!X54-deaths!W54</f>
        <v>0</v>
      </c>
      <c r="Y54" s="5">
        <f>deaths!Y54-deaths!X54</f>
        <v>0</v>
      </c>
      <c r="Z54" s="5">
        <f>deaths!Z54-deaths!Y54</f>
        <v>0</v>
      </c>
      <c r="AA54" s="5">
        <f>deaths!AA54-deaths!Z54</f>
        <v>0</v>
      </c>
      <c r="AB54" s="5">
        <f>deaths!AB54-deaths!AA54</f>
        <v>0</v>
      </c>
      <c r="AC54" s="5">
        <f>deaths!AC54-deaths!AB54</f>
        <v>0</v>
      </c>
      <c r="AD54" s="5">
        <f>deaths!AD54-deaths!AC54</f>
        <v>0</v>
      </c>
      <c r="AE54" s="5">
        <f>deaths!AE54-deaths!AD54</f>
        <v>0</v>
      </c>
      <c r="AF54" s="5">
        <f>deaths!AF54-deaths!AE54</f>
        <v>0</v>
      </c>
      <c r="AG54" s="5">
        <f>deaths!AG54-deaths!AF54</f>
        <v>0</v>
      </c>
      <c r="AH54" s="5">
        <f>deaths!AH54-deaths!AG54</f>
        <v>1</v>
      </c>
      <c r="AI54" s="5">
        <f>deaths!AI54-deaths!AH54</f>
        <v>0</v>
      </c>
      <c r="AJ54" s="5">
        <f>deaths!AJ54-deaths!AI54</f>
        <v>0</v>
      </c>
      <c r="AK54" s="5">
        <f>deaths!AK54-deaths!AJ54</f>
        <v>0</v>
      </c>
      <c r="AL54" s="5">
        <f>deaths!AL54-deaths!AK54</f>
        <v>0</v>
      </c>
      <c r="AM54" s="5">
        <f>deaths!AM54-deaths!AL54</f>
        <v>0</v>
      </c>
      <c r="AN54" s="5">
        <f>deaths!AN54-deaths!AM54</f>
        <v>0</v>
      </c>
      <c r="AO54" s="5">
        <f>deaths!AO54-deaths!AN54</f>
        <v>0</v>
      </c>
      <c r="AP54" s="5">
        <f>deaths!AP54-deaths!AO54</f>
        <v>0</v>
      </c>
      <c r="AQ54" s="5">
        <f>deaths!AQ54-deaths!AP54</f>
        <v>0</v>
      </c>
      <c r="AR54" s="5">
        <f>deaths!AR54-deaths!AQ54</f>
        <v>0</v>
      </c>
      <c r="AS54" s="5">
        <f>deaths!AS54-deaths!AR54</f>
        <v>0</v>
      </c>
      <c r="AT54" s="5">
        <f>deaths!AT54-deaths!AS54</f>
        <v>0</v>
      </c>
      <c r="AU54" s="5">
        <f>deaths!AU54-deaths!AT54</f>
        <v>0</v>
      </c>
      <c r="AV54" s="5">
        <f>deaths!AV54-deaths!AU54</f>
        <v>0</v>
      </c>
      <c r="AW54" s="5">
        <f>deaths!AW54-deaths!AV54</f>
        <v>0</v>
      </c>
      <c r="AX54" s="5">
        <f>deaths!AX54-deaths!AW54</f>
        <v>0</v>
      </c>
      <c r="AY54" s="5">
        <f>deaths!AY54-deaths!AX54</f>
        <v>0</v>
      </c>
      <c r="AZ54" s="5">
        <f>deaths!AZ54-deaths!AY54</f>
        <v>0</v>
      </c>
      <c r="BA54" s="5">
        <f>deaths!BA54-deaths!AZ54</f>
        <v>0</v>
      </c>
      <c r="BB54" s="5">
        <f>deaths!BB54-deaths!BA54</f>
        <v>0</v>
      </c>
      <c r="BC54" s="5">
        <f>deaths!BC54-deaths!BB54</f>
        <v>0</v>
      </c>
      <c r="BD54" s="5">
        <f>deaths!BD54-deaths!BC54</f>
        <v>0</v>
      </c>
      <c r="BE54" s="5">
        <f>deaths!BE54-deaths!BD54</f>
        <v>0</v>
      </c>
      <c r="BF54" s="5">
        <f>deaths!BF54-deaths!BE54</f>
        <v>0</v>
      </c>
      <c r="BG54" s="5">
        <f>deaths!BG54-deaths!BF54</f>
        <v>0</v>
      </c>
      <c r="BH54" s="5">
        <f>deaths!BH54-deaths!BG54</f>
        <v>0</v>
      </c>
      <c r="BI54" s="5">
        <f>deaths!BI54-deaths!BH54</f>
        <v>0</v>
      </c>
      <c r="BJ54" s="5">
        <f>deaths!BJ54-deaths!BI54</f>
        <v>0</v>
      </c>
      <c r="BK54" s="5">
        <f>deaths!BK54-deaths!BJ54</f>
        <v>0</v>
      </c>
      <c r="BL54" s="5">
        <f>deaths!BL54-deaths!BK54</f>
        <v>0</v>
      </c>
      <c r="BM54" s="5">
        <f>deaths!BM54-deaths!BL54</f>
        <v>0</v>
      </c>
      <c r="BN54" s="5">
        <f>deaths!BN54-deaths!BM54</f>
        <v>0</v>
      </c>
      <c r="BO54" s="5">
        <f>deaths!BO54-deaths!BN54</f>
        <v>0</v>
      </c>
      <c r="BP54" s="5">
        <f>deaths!BP54-deaths!BO54</f>
        <v>0</v>
      </c>
      <c r="BQ54" s="5">
        <f>deaths!BQ54-deaths!BP54</f>
        <v>0</v>
      </c>
      <c r="BR54" s="5">
        <f>deaths!BR54-deaths!BQ54</f>
        <v>0</v>
      </c>
      <c r="BS54" s="5">
        <f>deaths!BS54-deaths!BR54</f>
        <v>0</v>
      </c>
      <c r="BT54" s="5">
        <f>deaths!BT54-deaths!BS54</f>
        <v>0</v>
      </c>
      <c r="BU54" s="5">
        <f>deaths!BU54-deaths!BT54</f>
        <v>0</v>
      </c>
      <c r="BV54" s="5">
        <f>deaths!BV54-deaths!BU54</f>
        <v>0</v>
      </c>
      <c r="BW54" s="5">
        <f>deaths!BW54-deaths!BV54</f>
        <v>0</v>
      </c>
      <c r="BX54" s="5">
        <f>deaths!BX54-deaths!BW54</f>
        <v>0</v>
      </c>
      <c r="BY54" s="5">
        <f>deaths!BY54-deaths!BX54</f>
        <v>0</v>
      </c>
      <c r="BZ54" s="1">
        <f>deaths!BZ54</f>
        <v>1</v>
      </c>
      <c r="CA54" s="1">
        <f>deaths!CA54</f>
        <v>1</v>
      </c>
      <c r="CB54" s="1">
        <f>deaths!CB54</f>
        <v>1</v>
      </c>
      <c r="CC54" s="1" t="str">
        <f>deaths!CC54</f>
        <v/>
      </c>
    </row>
    <row r="55">
      <c r="B55" s="1" t="str">
        <f>deaths!B55</f>
        <v>China</v>
      </c>
      <c r="C55" s="4">
        <f>deaths!C55</f>
        <v>37.8099</v>
      </c>
      <c r="D55" s="4">
        <f>deaths!D55</f>
        <v>101.0583</v>
      </c>
      <c r="E55" s="5">
        <f>deaths!E55</f>
        <v>0</v>
      </c>
      <c r="F55" s="5">
        <f>deaths!F55-deaths!E55</f>
        <v>0</v>
      </c>
      <c r="G55" s="5">
        <f>deaths!G55-deaths!F55</f>
        <v>0</v>
      </c>
      <c r="H55" s="5">
        <f>deaths!H55-deaths!G55</f>
        <v>0</v>
      </c>
      <c r="I55" s="5">
        <f>deaths!I55-deaths!H55</f>
        <v>0</v>
      </c>
      <c r="J55" s="5">
        <f>deaths!J55-deaths!I55</f>
        <v>0</v>
      </c>
      <c r="K55" s="5">
        <f>deaths!K55-deaths!J55</f>
        <v>0</v>
      </c>
      <c r="L55" s="5">
        <f>deaths!L55-deaths!K55</f>
        <v>0</v>
      </c>
      <c r="M55" s="5">
        <f>deaths!M55-deaths!L55</f>
        <v>0</v>
      </c>
      <c r="N55" s="5">
        <f>deaths!N55-deaths!M55</f>
        <v>0</v>
      </c>
      <c r="O55" s="5">
        <f>deaths!O55-deaths!N55</f>
        <v>0</v>
      </c>
      <c r="P55" s="5">
        <f>deaths!P55-deaths!O55</f>
        <v>0</v>
      </c>
      <c r="Q55" s="5">
        <f>deaths!Q55-deaths!P55</f>
        <v>0</v>
      </c>
      <c r="R55" s="5">
        <f>deaths!R55-deaths!Q55</f>
        <v>0</v>
      </c>
      <c r="S55" s="5">
        <f>deaths!S55-deaths!R55</f>
        <v>0</v>
      </c>
      <c r="T55" s="5">
        <f>deaths!T55-deaths!S55</f>
        <v>0</v>
      </c>
      <c r="U55" s="5">
        <f>deaths!U55-deaths!T55</f>
        <v>0</v>
      </c>
      <c r="V55" s="5">
        <f>deaths!V55-deaths!U55</f>
        <v>1</v>
      </c>
      <c r="W55" s="5">
        <f>deaths!W55-deaths!V55</f>
        <v>1</v>
      </c>
      <c r="X55" s="5">
        <f>deaths!X55-deaths!W55</f>
        <v>0</v>
      </c>
      <c r="Y55" s="5">
        <f>deaths!Y55-deaths!X55</f>
        <v>0</v>
      </c>
      <c r="Z55" s="5">
        <f>deaths!Z55-deaths!Y55</f>
        <v>0</v>
      </c>
      <c r="AA55" s="5">
        <f>deaths!AA55-deaths!Z55</f>
        <v>0</v>
      </c>
      <c r="AB55" s="5">
        <f>deaths!AB55-deaths!AA55</f>
        <v>0</v>
      </c>
      <c r="AC55" s="5">
        <f>deaths!AC55-deaths!AB55</f>
        <v>0</v>
      </c>
      <c r="AD55" s="5">
        <f>deaths!AD55-deaths!AC55</f>
        <v>0</v>
      </c>
      <c r="AE55" s="5">
        <f>deaths!AE55-deaths!AD55</f>
        <v>0</v>
      </c>
      <c r="AF55" s="5">
        <f>deaths!AF55-deaths!AE55</f>
        <v>0</v>
      </c>
      <c r="AG55" s="5">
        <f>deaths!AG55-deaths!AF55</f>
        <v>0</v>
      </c>
      <c r="AH55" s="5">
        <f>deaths!AH55-deaths!AG55</f>
        <v>0</v>
      </c>
      <c r="AI55" s="5">
        <f>deaths!AI55-deaths!AH55</f>
        <v>0</v>
      </c>
      <c r="AJ55" s="5">
        <f>deaths!AJ55-deaths!AI55</f>
        <v>0</v>
      </c>
      <c r="AK55" s="5">
        <f>deaths!AK55-deaths!AJ55</f>
        <v>0</v>
      </c>
      <c r="AL55" s="5">
        <f>deaths!AL55-deaths!AK55</f>
        <v>0</v>
      </c>
      <c r="AM55" s="5">
        <f>deaths!AM55-deaths!AL55</f>
        <v>0</v>
      </c>
      <c r="AN55" s="5">
        <f>deaths!AN55-deaths!AM55</f>
        <v>0</v>
      </c>
      <c r="AO55" s="5">
        <f>deaths!AO55-deaths!AN55</f>
        <v>0</v>
      </c>
      <c r="AP55" s="5">
        <f>deaths!AP55-deaths!AO55</f>
        <v>0</v>
      </c>
      <c r="AQ55" s="5">
        <f>deaths!AQ55-deaths!AP55</f>
        <v>0</v>
      </c>
      <c r="AR55" s="5">
        <f>deaths!AR55-deaths!AQ55</f>
        <v>0</v>
      </c>
      <c r="AS55" s="5">
        <f>deaths!AS55-deaths!AR55</f>
        <v>0</v>
      </c>
      <c r="AT55" s="5">
        <f>deaths!AT55-deaths!AS55</f>
        <v>0</v>
      </c>
      <c r="AU55" s="5">
        <f>deaths!AU55-deaths!AT55</f>
        <v>0</v>
      </c>
      <c r="AV55" s="5">
        <f>deaths!AV55-deaths!AU55</f>
        <v>0</v>
      </c>
      <c r="AW55" s="5">
        <f>deaths!AW55-deaths!AV55</f>
        <v>0</v>
      </c>
      <c r="AX55" s="5">
        <f>deaths!AX55-deaths!AW55</f>
        <v>0</v>
      </c>
      <c r="AY55" s="5">
        <f>deaths!AY55-deaths!AX55</f>
        <v>0</v>
      </c>
      <c r="AZ55" s="5">
        <f>deaths!AZ55-deaths!AY55</f>
        <v>0</v>
      </c>
      <c r="BA55" s="5">
        <f>deaths!BA55-deaths!AZ55</f>
        <v>0</v>
      </c>
      <c r="BB55" s="5">
        <f>deaths!BB55-deaths!BA55</f>
        <v>0</v>
      </c>
      <c r="BC55" s="5">
        <f>deaths!BC55-deaths!BB55</f>
        <v>0</v>
      </c>
      <c r="BD55" s="5">
        <f>deaths!BD55-deaths!BC55</f>
        <v>0</v>
      </c>
      <c r="BE55" s="5">
        <f>deaths!BE55-deaths!BD55</f>
        <v>0</v>
      </c>
      <c r="BF55" s="5">
        <f>deaths!BF55-deaths!BE55</f>
        <v>0</v>
      </c>
      <c r="BG55" s="5">
        <f>deaths!BG55-deaths!BF55</f>
        <v>0</v>
      </c>
      <c r="BH55" s="5">
        <f>deaths!BH55-deaths!BG55</f>
        <v>0</v>
      </c>
      <c r="BI55" s="5">
        <f>deaths!BI55-deaths!BH55</f>
        <v>0</v>
      </c>
      <c r="BJ55" s="5">
        <f>deaths!BJ55-deaths!BI55</f>
        <v>0</v>
      </c>
      <c r="BK55" s="5">
        <f>deaths!BK55-deaths!BJ55</f>
        <v>0</v>
      </c>
      <c r="BL55" s="5">
        <f>deaths!BL55-deaths!BK55</f>
        <v>0</v>
      </c>
      <c r="BM55" s="5">
        <f>deaths!BM55-deaths!BL55</f>
        <v>0</v>
      </c>
      <c r="BN55" s="5">
        <f>deaths!BN55-deaths!BM55</f>
        <v>0</v>
      </c>
      <c r="BO55" s="5">
        <f>deaths!BO55-deaths!BN55</f>
        <v>0</v>
      </c>
      <c r="BP55" s="5">
        <f>deaths!BP55-deaths!BO55</f>
        <v>0</v>
      </c>
      <c r="BQ55" s="5">
        <f>deaths!BQ55-deaths!BP55</f>
        <v>0</v>
      </c>
      <c r="BR55" s="5">
        <f>deaths!BR55-deaths!BQ55</f>
        <v>0</v>
      </c>
      <c r="BS55" s="5">
        <f>deaths!BS55-deaths!BR55</f>
        <v>0</v>
      </c>
      <c r="BT55" s="5">
        <f>deaths!BT55-deaths!BS55</f>
        <v>0</v>
      </c>
      <c r="BU55" s="5">
        <f>deaths!BU55-deaths!BT55</f>
        <v>0</v>
      </c>
      <c r="BV55" s="5">
        <f>deaths!BV55-deaths!BU55</f>
        <v>0</v>
      </c>
      <c r="BW55" s="5">
        <f>deaths!BW55-deaths!BV55</f>
        <v>0</v>
      </c>
      <c r="BX55" s="5">
        <f>deaths!BX55-deaths!BW55</f>
        <v>0</v>
      </c>
      <c r="BY55" s="5">
        <f>deaths!BY55-deaths!BX55</f>
        <v>0</v>
      </c>
      <c r="BZ55" s="1">
        <f>deaths!BZ55</f>
        <v>2</v>
      </c>
      <c r="CA55" s="1">
        <f>deaths!CA55</f>
        <v>2</v>
      </c>
      <c r="CB55" s="1">
        <f>deaths!CB55</f>
        <v>2</v>
      </c>
      <c r="CC55" s="1" t="str">
        <f>deaths!CC55</f>
        <v/>
      </c>
    </row>
    <row r="56">
      <c r="B56" s="1" t="str">
        <f>deaths!B56</f>
        <v>China</v>
      </c>
      <c r="C56" s="4">
        <f>deaths!C56</f>
        <v>23.3417</v>
      </c>
      <c r="D56" s="4">
        <f>deaths!D56</f>
        <v>113.4244</v>
      </c>
      <c r="E56" s="5">
        <f>deaths!E56</f>
        <v>0</v>
      </c>
      <c r="F56" s="5">
        <f>deaths!F56-deaths!E56</f>
        <v>0</v>
      </c>
      <c r="G56" s="5">
        <f>deaths!G56-deaths!F56</f>
        <v>0</v>
      </c>
      <c r="H56" s="5">
        <f>deaths!H56-deaths!G56</f>
        <v>0</v>
      </c>
      <c r="I56" s="5">
        <f>deaths!I56-deaths!H56</f>
        <v>0</v>
      </c>
      <c r="J56" s="5">
        <f>deaths!J56-deaths!I56</f>
        <v>0</v>
      </c>
      <c r="K56" s="5">
        <f>deaths!K56-deaths!J56</f>
        <v>0</v>
      </c>
      <c r="L56" s="5">
        <f>deaths!L56-deaths!K56</f>
        <v>0</v>
      </c>
      <c r="M56" s="5">
        <f>deaths!M56-deaths!L56</f>
        <v>0</v>
      </c>
      <c r="N56" s="5">
        <f>deaths!N56-deaths!M56</f>
        <v>0</v>
      </c>
      <c r="O56" s="5">
        <f>deaths!O56-deaths!N56</f>
        <v>0</v>
      </c>
      <c r="P56" s="5">
        <f>deaths!P56-deaths!O56</f>
        <v>0</v>
      </c>
      <c r="Q56" s="5">
        <f>deaths!Q56-deaths!P56</f>
        <v>0</v>
      </c>
      <c r="R56" s="5">
        <f>deaths!R56-deaths!Q56</f>
        <v>0</v>
      </c>
      <c r="S56" s="5">
        <f>deaths!S56-deaths!R56</f>
        <v>0</v>
      </c>
      <c r="T56" s="5">
        <f>deaths!T56-deaths!S56</f>
        <v>0</v>
      </c>
      <c r="U56" s="5">
        <f>deaths!U56-deaths!T56</f>
        <v>1</v>
      </c>
      <c r="V56" s="5">
        <f>deaths!V56-deaths!U56</f>
        <v>0</v>
      </c>
      <c r="W56" s="5">
        <f>deaths!W56-deaths!V56</f>
        <v>0</v>
      </c>
      <c r="X56" s="5">
        <f>deaths!X56-deaths!W56</f>
        <v>0</v>
      </c>
      <c r="Y56" s="5">
        <f>deaths!Y56-deaths!X56</f>
        <v>0</v>
      </c>
      <c r="Z56" s="5">
        <f>deaths!Z56-deaths!Y56</f>
        <v>0</v>
      </c>
      <c r="AA56" s="5">
        <f>deaths!AA56-deaths!Z56</f>
        <v>1</v>
      </c>
      <c r="AB56" s="5">
        <f>deaths!AB56-deaths!AA56</f>
        <v>0</v>
      </c>
      <c r="AC56" s="5">
        <f>deaths!AC56-deaths!AB56</f>
        <v>0</v>
      </c>
      <c r="AD56" s="5">
        <f>deaths!AD56-deaths!AC56</f>
        <v>0</v>
      </c>
      <c r="AE56" s="5">
        <f>deaths!AE56-deaths!AD56</f>
        <v>2</v>
      </c>
      <c r="AF56" s="5">
        <f>deaths!AF56-deaths!AE56</f>
        <v>0</v>
      </c>
      <c r="AG56" s="5">
        <f>deaths!AG56-deaths!AF56</f>
        <v>1</v>
      </c>
      <c r="AH56" s="5">
        <f>deaths!AH56-deaths!AG56</f>
        <v>0</v>
      </c>
      <c r="AI56" s="5">
        <f>deaths!AI56-deaths!AH56</f>
        <v>0</v>
      </c>
      <c r="AJ56" s="5">
        <f>deaths!AJ56-deaths!AI56</f>
        <v>0</v>
      </c>
      <c r="AK56" s="5">
        <f>deaths!AK56-deaths!AJ56</f>
        <v>1</v>
      </c>
      <c r="AL56" s="5">
        <f>deaths!AL56-deaths!AK56</f>
        <v>0</v>
      </c>
      <c r="AM56" s="5">
        <f>deaths!AM56-deaths!AL56</f>
        <v>1</v>
      </c>
      <c r="AN56" s="5">
        <f>deaths!AN56-deaths!AM56</f>
        <v>0</v>
      </c>
      <c r="AO56" s="5">
        <f>deaths!AO56-deaths!AN56</f>
        <v>0</v>
      </c>
      <c r="AP56" s="5">
        <f>deaths!AP56-deaths!AO56</f>
        <v>0</v>
      </c>
      <c r="AQ56" s="5">
        <f>deaths!AQ56-deaths!AP56</f>
        <v>0</v>
      </c>
      <c r="AR56" s="5">
        <f>deaths!AR56-deaths!AQ56</f>
        <v>0</v>
      </c>
      <c r="AS56" s="5">
        <f>deaths!AS56-deaths!AR56</f>
        <v>0</v>
      </c>
      <c r="AT56" s="5">
        <f>deaths!AT56-deaths!AS56</f>
        <v>0</v>
      </c>
      <c r="AU56" s="5">
        <f>deaths!AU56-deaths!AT56</f>
        <v>0</v>
      </c>
      <c r="AV56" s="5">
        <f>deaths!AV56-deaths!AU56</f>
        <v>0</v>
      </c>
      <c r="AW56" s="5">
        <f>deaths!AW56-deaths!AV56</f>
        <v>0</v>
      </c>
      <c r="AX56" s="5">
        <f>deaths!AX56-deaths!AW56</f>
        <v>0</v>
      </c>
      <c r="AY56" s="5">
        <f>deaths!AY56-deaths!AX56</f>
        <v>0</v>
      </c>
      <c r="AZ56" s="5">
        <f>deaths!AZ56-deaths!AY56</f>
        <v>1</v>
      </c>
      <c r="BA56" s="5">
        <f>deaths!BA56-deaths!AZ56</f>
        <v>0</v>
      </c>
      <c r="BB56" s="5">
        <f>deaths!BB56-deaths!BA56</f>
        <v>0</v>
      </c>
      <c r="BC56" s="5">
        <f>deaths!BC56-deaths!BB56</f>
        <v>0</v>
      </c>
      <c r="BD56" s="5">
        <f>deaths!BD56-deaths!BC56</f>
        <v>0</v>
      </c>
      <c r="BE56" s="5">
        <f>deaths!BE56-deaths!BD56</f>
        <v>0</v>
      </c>
      <c r="BF56" s="5">
        <f>deaths!BF56-deaths!BE56</f>
        <v>0</v>
      </c>
      <c r="BG56" s="5">
        <f>deaths!BG56-deaths!BF56</f>
        <v>0</v>
      </c>
      <c r="BH56" s="5">
        <f>deaths!BH56-deaths!BG56</f>
        <v>0</v>
      </c>
      <c r="BI56" s="5">
        <f>deaths!BI56-deaths!BH56</f>
        <v>0</v>
      </c>
      <c r="BJ56" s="5">
        <f>deaths!BJ56-deaths!BI56</f>
        <v>0</v>
      </c>
      <c r="BK56" s="5">
        <f>deaths!BK56-deaths!BJ56</f>
        <v>0</v>
      </c>
      <c r="BL56" s="5">
        <f>deaths!BL56-deaths!BK56</f>
        <v>0</v>
      </c>
      <c r="BM56" s="5">
        <f>deaths!BM56-deaths!BL56</f>
        <v>0</v>
      </c>
      <c r="BN56" s="5">
        <f>deaths!BN56-deaths!BM56</f>
        <v>0</v>
      </c>
      <c r="BO56" s="5">
        <f>deaths!BO56-deaths!BN56</f>
        <v>0</v>
      </c>
      <c r="BP56" s="5">
        <f>deaths!BP56-deaths!BO56</f>
        <v>0</v>
      </c>
      <c r="BQ56" s="5">
        <f>deaths!BQ56-deaths!BP56</f>
        <v>0</v>
      </c>
      <c r="BR56" s="5">
        <f>deaths!BR56-deaths!BQ56</f>
        <v>0</v>
      </c>
      <c r="BS56" s="5">
        <f>deaths!BS56-deaths!BR56</f>
        <v>0</v>
      </c>
      <c r="BT56" s="5">
        <f>deaths!BT56-deaths!BS56</f>
        <v>0</v>
      </c>
      <c r="BU56" s="5">
        <f>deaths!BU56-deaths!BT56</f>
        <v>0</v>
      </c>
      <c r="BV56" s="5">
        <f>deaths!BV56-deaths!BU56</f>
        <v>0</v>
      </c>
      <c r="BW56" s="5">
        <f>deaths!BW56-deaths!BV56</f>
        <v>0</v>
      </c>
      <c r="BX56" s="5">
        <f>deaths!BX56-deaths!BW56</f>
        <v>0</v>
      </c>
      <c r="BY56" s="5">
        <f>deaths!BY56-deaths!BX56</f>
        <v>0</v>
      </c>
      <c r="BZ56" s="1">
        <f>deaths!BZ56</f>
        <v>8</v>
      </c>
      <c r="CA56" s="1">
        <f>deaths!CA56</f>
        <v>8</v>
      </c>
      <c r="CB56" s="1">
        <f>deaths!CB56</f>
        <v>8</v>
      </c>
      <c r="CC56" s="1" t="str">
        <f>deaths!CC56</f>
        <v/>
      </c>
    </row>
    <row r="57">
      <c r="B57" s="1" t="str">
        <f>deaths!B57</f>
        <v>China</v>
      </c>
      <c r="C57" s="4">
        <f>deaths!C57</f>
        <v>23.8298</v>
      </c>
      <c r="D57" s="4">
        <f>deaths!D57</f>
        <v>108.7881</v>
      </c>
      <c r="E57" s="5">
        <f>deaths!E57</f>
        <v>0</v>
      </c>
      <c r="F57" s="5">
        <f>deaths!F57-deaths!E57</f>
        <v>0</v>
      </c>
      <c r="G57" s="5">
        <f>deaths!G57-deaths!F57</f>
        <v>0</v>
      </c>
      <c r="H57" s="5">
        <f>deaths!H57-deaths!G57</f>
        <v>0</v>
      </c>
      <c r="I57" s="5">
        <f>deaths!I57-deaths!H57</f>
        <v>0</v>
      </c>
      <c r="J57" s="5">
        <f>deaths!J57-deaths!I57</f>
        <v>0</v>
      </c>
      <c r="K57" s="5">
        <f>deaths!K57-deaths!J57</f>
        <v>0</v>
      </c>
      <c r="L57" s="5">
        <f>deaths!L57-deaths!K57</f>
        <v>0</v>
      </c>
      <c r="M57" s="5">
        <f>deaths!M57-deaths!L57</f>
        <v>0</v>
      </c>
      <c r="N57" s="5">
        <f>deaths!N57-deaths!M57</f>
        <v>0</v>
      </c>
      <c r="O57" s="5">
        <f>deaths!O57-deaths!N57</f>
        <v>0</v>
      </c>
      <c r="P57" s="5">
        <f>deaths!P57-deaths!O57</f>
        <v>0</v>
      </c>
      <c r="Q57" s="5">
        <f>deaths!Q57-deaths!P57</f>
        <v>0</v>
      </c>
      <c r="R57" s="5">
        <f>deaths!R57-deaths!Q57</f>
        <v>0</v>
      </c>
      <c r="S57" s="5">
        <f>deaths!S57-deaths!R57</f>
        <v>0</v>
      </c>
      <c r="T57" s="5">
        <f>deaths!T57-deaths!S57</f>
        <v>0</v>
      </c>
      <c r="U57" s="5">
        <f>deaths!U57-deaths!T57</f>
        <v>0</v>
      </c>
      <c r="V57" s="5">
        <f>deaths!V57-deaths!U57</f>
        <v>0</v>
      </c>
      <c r="W57" s="5">
        <f>deaths!W57-deaths!V57</f>
        <v>1</v>
      </c>
      <c r="X57" s="5">
        <f>deaths!X57-deaths!W57</f>
        <v>0</v>
      </c>
      <c r="Y57" s="5">
        <f>deaths!Y57-deaths!X57</f>
        <v>0</v>
      </c>
      <c r="Z57" s="5">
        <f>deaths!Z57-deaths!Y57</f>
        <v>0</v>
      </c>
      <c r="AA57" s="5">
        <f>deaths!AA57-deaths!Z57</f>
        <v>1</v>
      </c>
      <c r="AB57" s="5">
        <f>deaths!AB57-deaths!AA57</f>
        <v>0</v>
      </c>
      <c r="AC57" s="5">
        <f>deaths!AC57-deaths!AB57</f>
        <v>0</v>
      </c>
      <c r="AD57" s="5">
        <f>deaths!AD57-deaths!AC57</f>
        <v>0</v>
      </c>
      <c r="AE57" s="5">
        <f>deaths!AE57-deaths!AD57</f>
        <v>0</v>
      </c>
      <c r="AF57" s="5">
        <f>deaths!AF57-deaths!AE57</f>
        <v>0</v>
      </c>
      <c r="AG57" s="5">
        <f>deaths!AG57-deaths!AF57</f>
        <v>0</v>
      </c>
      <c r="AH57" s="5">
        <f>deaths!AH57-deaths!AG57</f>
        <v>0</v>
      </c>
      <c r="AI57" s="5">
        <f>deaths!AI57-deaths!AH57</f>
        <v>0</v>
      </c>
      <c r="AJ57" s="5">
        <f>deaths!AJ57-deaths!AI57</f>
        <v>0</v>
      </c>
      <c r="AK57" s="5">
        <f>deaths!AK57-deaths!AJ57</f>
        <v>0</v>
      </c>
      <c r="AL57" s="5">
        <f>deaths!AL57-deaths!AK57</f>
        <v>0</v>
      </c>
      <c r="AM57" s="5">
        <f>deaths!AM57-deaths!AL57</f>
        <v>0</v>
      </c>
      <c r="AN57" s="5">
        <f>deaths!AN57-deaths!AM57</f>
        <v>0</v>
      </c>
      <c r="AO57" s="5">
        <f>deaths!AO57-deaths!AN57</f>
        <v>0</v>
      </c>
      <c r="AP57" s="5">
        <f>deaths!AP57-deaths!AO57</f>
        <v>0</v>
      </c>
      <c r="AQ57" s="5">
        <f>deaths!AQ57-deaths!AP57</f>
        <v>0</v>
      </c>
      <c r="AR57" s="5">
        <f>deaths!AR57-deaths!AQ57</f>
        <v>0</v>
      </c>
      <c r="AS57" s="5">
        <f>deaths!AS57-deaths!AR57</f>
        <v>0</v>
      </c>
      <c r="AT57" s="5">
        <f>deaths!AT57-deaths!AS57</f>
        <v>0</v>
      </c>
      <c r="AU57" s="5">
        <f>deaths!AU57-deaths!AT57</f>
        <v>0</v>
      </c>
      <c r="AV57" s="5">
        <f>deaths!AV57-deaths!AU57</f>
        <v>0</v>
      </c>
      <c r="AW57" s="5">
        <f>deaths!AW57-deaths!AV57</f>
        <v>0</v>
      </c>
      <c r="AX57" s="5">
        <f>deaths!AX57-deaths!AW57</f>
        <v>0</v>
      </c>
      <c r="AY57" s="5">
        <f>deaths!AY57-deaths!AX57</f>
        <v>0</v>
      </c>
      <c r="AZ57" s="5">
        <f>deaths!AZ57-deaths!AY57</f>
        <v>0</v>
      </c>
      <c r="BA57" s="5">
        <f>deaths!BA57-deaths!AZ57</f>
        <v>0</v>
      </c>
      <c r="BB57" s="5">
        <f>deaths!BB57-deaths!BA57</f>
        <v>0</v>
      </c>
      <c r="BC57" s="5">
        <f>deaths!BC57-deaths!BB57</f>
        <v>0</v>
      </c>
      <c r="BD57" s="5">
        <f>deaths!BD57-deaths!BC57</f>
        <v>0</v>
      </c>
      <c r="BE57" s="5">
        <f>deaths!BE57-deaths!BD57</f>
        <v>0</v>
      </c>
      <c r="BF57" s="5">
        <f>deaths!BF57-deaths!BE57</f>
        <v>0</v>
      </c>
      <c r="BG57" s="5">
        <f>deaths!BG57-deaths!BF57</f>
        <v>0</v>
      </c>
      <c r="BH57" s="5">
        <f>deaths!BH57-deaths!BG57</f>
        <v>0</v>
      </c>
      <c r="BI57" s="5">
        <f>deaths!BI57-deaths!BH57</f>
        <v>0</v>
      </c>
      <c r="BJ57" s="5">
        <f>deaths!BJ57-deaths!BI57</f>
        <v>0</v>
      </c>
      <c r="BK57" s="5">
        <f>deaths!BK57-deaths!BJ57</f>
        <v>0</v>
      </c>
      <c r="BL57" s="5">
        <f>deaths!BL57-deaths!BK57</f>
        <v>0</v>
      </c>
      <c r="BM57" s="5">
        <f>deaths!BM57-deaths!BL57</f>
        <v>0</v>
      </c>
      <c r="BN57" s="5">
        <f>deaths!BN57-deaths!BM57</f>
        <v>0</v>
      </c>
      <c r="BO57" s="5">
        <f>deaths!BO57-deaths!BN57</f>
        <v>0</v>
      </c>
      <c r="BP57" s="5">
        <f>deaths!BP57-deaths!BO57</f>
        <v>0</v>
      </c>
      <c r="BQ57" s="5">
        <f>deaths!BQ57-deaths!BP57</f>
        <v>0</v>
      </c>
      <c r="BR57" s="5">
        <f>deaths!BR57-deaths!BQ57</f>
        <v>0</v>
      </c>
      <c r="BS57" s="5">
        <f>deaths!BS57-deaths!BR57</f>
        <v>0</v>
      </c>
      <c r="BT57" s="5">
        <f>deaths!BT57-deaths!BS57</f>
        <v>0</v>
      </c>
      <c r="BU57" s="5">
        <f>deaths!BU57-deaths!BT57</f>
        <v>0</v>
      </c>
      <c r="BV57" s="5">
        <f>deaths!BV57-deaths!BU57</f>
        <v>0</v>
      </c>
      <c r="BW57" s="5">
        <f>deaths!BW57-deaths!BV57</f>
        <v>0</v>
      </c>
      <c r="BX57" s="5">
        <f>deaths!BX57-deaths!BW57</f>
        <v>0</v>
      </c>
      <c r="BY57" s="5">
        <f>deaths!BY57-deaths!BX57</f>
        <v>0</v>
      </c>
      <c r="BZ57" s="1">
        <f>deaths!BZ57</f>
        <v>2</v>
      </c>
      <c r="CA57" s="1">
        <f>deaths!CA57</f>
        <v>2</v>
      </c>
      <c r="CB57" s="1">
        <f>deaths!CB57</f>
        <v>2</v>
      </c>
      <c r="CC57" s="1" t="str">
        <f>deaths!CC57</f>
        <v/>
      </c>
    </row>
    <row r="58">
      <c r="B58" s="1" t="str">
        <f>deaths!B58</f>
        <v>China</v>
      </c>
      <c r="C58" s="4">
        <f>deaths!C58</f>
        <v>26.8154</v>
      </c>
      <c r="D58" s="4">
        <f>deaths!D58</f>
        <v>106.8748</v>
      </c>
      <c r="E58" s="5">
        <f>deaths!E58</f>
        <v>0</v>
      </c>
      <c r="F58" s="5">
        <f>deaths!F58-deaths!E58</f>
        <v>0</v>
      </c>
      <c r="G58" s="5">
        <f>deaths!G58-deaths!F58</f>
        <v>0</v>
      </c>
      <c r="H58" s="5">
        <f>deaths!H58-deaths!G58</f>
        <v>0</v>
      </c>
      <c r="I58" s="5">
        <f>deaths!I58-deaths!H58</f>
        <v>0</v>
      </c>
      <c r="J58" s="5">
        <f>deaths!J58-deaths!I58</f>
        <v>0</v>
      </c>
      <c r="K58" s="5">
        <f>deaths!K58-deaths!J58</f>
        <v>0</v>
      </c>
      <c r="L58" s="5">
        <f>deaths!L58-deaths!K58</f>
        <v>0</v>
      </c>
      <c r="M58" s="5">
        <f>deaths!M58-deaths!L58</f>
        <v>0</v>
      </c>
      <c r="N58" s="5">
        <f>deaths!N58-deaths!M58</f>
        <v>0</v>
      </c>
      <c r="O58" s="5">
        <f>deaths!O58-deaths!N58</f>
        <v>0</v>
      </c>
      <c r="P58" s="5">
        <f>deaths!P58-deaths!O58</f>
        <v>0</v>
      </c>
      <c r="Q58" s="5">
        <f>deaths!Q58-deaths!P58</f>
        <v>0</v>
      </c>
      <c r="R58" s="5">
        <f>deaths!R58-deaths!Q58</f>
        <v>0</v>
      </c>
      <c r="S58" s="5">
        <f>deaths!S58-deaths!R58</f>
        <v>1</v>
      </c>
      <c r="T58" s="5">
        <f>deaths!T58-deaths!S58</f>
        <v>0</v>
      </c>
      <c r="U58" s="5">
        <f>deaths!U58-deaths!T58</f>
        <v>0</v>
      </c>
      <c r="V58" s="5">
        <f>deaths!V58-deaths!U58</f>
        <v>0</v>
      </c>
      <c r="W58" s="5">
        <f>deaths!W58-deaths!V58</f>
        <v>0</v>
      </c>
      <c r="X58" s="5">
        <f>deaths!X58-deaths!W58</f>
        <v>0</v>
      </c>
      <c r="Y58" s="5">
        <f>deaths!Y58-deaths!X58</f>
        <v>0</v>
      </c>
      <c r="Z58" s="5">
        <f>deaths!Z58-deaths!Y58</f>
        <v>0</v>
      </c>
      <c r="AA58" s="5">
        <f>deaths!AA58-deaths!Z58</f>
        <v>0</v>
      </c>
      <c r="AB58" s="5">
        <f>deaths!AB58-deaths!AA58</f>
        <v>0</v>
      </c>
      <c r="AC58" s="5">
        <f>deaths!AC58-deaths!AB58</f>
        <v>0</v>
      </c>
      <c r="AD58" s="5">
        <f>deaths!AD58-deaths!AC58</f>
        <v>0</v>
      </c>
      <c r="AE58" s="5">
        <f>deaths!AE58-deaths!AD58</f>
        <v>0</v>
      </c>
      <c r="AF58" s="5">
        <f>deaths!AF58-deaths!AE58</f>
        <v>1</v>
      </c>
      <c r="AG58" s="5">
        <f>deaths!AG58-deaths!AF58</f>
        <v>0</v>
      </c>
      <c r="AH58" s="5">
        <f>deaths!AH58-deaths!AG58</f>
        <v>0</v>
      </c>
      <c r="AI58" s="5">
        <f>deaths!AI58-deaths!AH58</f>
        <v>0</v>
      </c>
      <c r="AJ58" s="5">
        <f>deaths!AJ58-deaths!AI58</f>
        <v>0</v>
      </c>
      <c r="AK58" s="5">
        <f>deaths!AK58-deaths!AJ58</f>
        <v>0</v>
      </c>
      <c r="AL58" s="5">
        <f>deaths!AL58-deaths!AK58</f>
        <v>0</v>
      </c>
      <c r="AM58" s="5">
        <f>deaths!AM58-deaths!AL58</f>
        <v>0</v>
      </c>
      <c r="AN58" s="5">
        <f>deaths!AN58-deaths!AM58</f>
        <v>0</v>
      </c>
      <c r="AO58" s="5">
        <f>deaths!AO58-deaths!AN58</f>
        <v>0</v>
      </c>
      <c r="AP58" s="5">
        <f>deaths!AP58-deaths!AO58</f>
        <v>0</v>
      </c>
      <c r="AQ58" s="5">
        <f>deaths!AQ58-deaths!AP58</f>
        <v>0</v>
      </c>
      <c r="AR58" s="5">
        <f>deaths!AR58-deaths!AQ58</f>
        <v>0</v>
      </c>
      <c r="AS58" s="5">
        <f>deaths!AS58-deaths!AR58</f>
        <v>0</v>
      </c>
      <c r="AT58" s="5">
        <f>deaths!AT58-deaths!AS58</f>
        <v>0</v>
      </c>
      <c r="AU58" s="5">
        <f>deaths!AU58-deaths!AT58</f>
        <v>0</v>
      </c>
      <c r="AV58" s="5">
        <f>deaths!AV58-deaths!AU58</f>
        <v>0</v>
      </c>
      <c r="AW58" s="5">
        <f>deaths!AW58-deaths!AV58</f>
        <v>0</v>
      </c>
      <c r="AX58" s="5">
        <f>deaths!AX58-deaths!AW58</f>
        <v>0</v>
      </c>
      <c r="AY58" s="5">
        <f>deaths!AY58-deaths!AX58</f>
        <v>0</v>
      </c>
      <c r="AZ58" s="5">
        <f>deaths!AZ58-deaths!AY58</f>
        <v>0</v>
      </c>
      <c r="BA58" s="5">
        <f>deaths!BA58-deaths!AZ58</f>
        <v>0</v>
      </c>
      <c r="BB58" s="5">
        <f>deaths!BB58-deaths!BA58</f>
        <v>0</v>
      </c>
      <c r="BC58" s="5">
        <f>deaths!BC58-deaths!BB58</f>
        <v>0</v>
      </c>
      <c r="BD58" s="5">
        <f>deaths!BD58-deaths!BC58</f>
        <v>0</v>
      </c>
      <c r="BE58" s="5">
        <f>deaths!BE58-deaths!BD58</f>
        <v>0</v>
      </c>
      <c r="BF58" s="5">
        <f>deaths!BF58-deaths!BE58</f>
        <v>0</v>
      </c>
      <c r="BG58" s="5">
        <f>deaths!BG58-deaths!BF58</f>
        <v>0</v>
      </c>
      <c r="BH58" s="5">
        <f>deaths!BH58-deaths!BG58</f>
        <v>0</v>
      </c>
      <c r="BI58" s="5">
        <f>deaths!BI58-deaths!BH58</f>
        <v>0</v>
      </c>
      <c r="BJ58" s="5">
        <f>deaths!BJ58-deaths!BI58</f>
        <v>0</v>
      </c>
      <c r="BK58" s="5">
        <f>deaths!BK58-deaths!BJ58</f>
        <v>0</v>
      </c>
      <c r="BL58" s="5">
        <f>deaths!BL58-deaths!BK58</f>
        <v>0</v>
      </c>
      <c r="BM58" s="5">
        <f>deaths!BM58-deaths!BL58</f>
        <v>0</v>
      </c>
      <c r="BN58" s="5">
        <f>deaths!BN58-deaths!BM58</f>
        <v>0</v>
      </c>
      <c r="BO58" s="5">
        <f>deaths!BO58-deaths!BN58</f>
        <v>0</v>
      </c>
      <c r="BP58" s="5">
        <f>deaths!BP58-deaths!BO58</f>
        <v>0</v>
      </c>
      <c r="BQ58" s="5">
        <f>deaths!BQ58-deaths!BP58</f>
        <v>0</v>
      </c>
      <c r="BR58" s="5">
        <f>deaths!BR58-deaths!BQ58</f>
        <v>0</v>
      </c>
      <c r="BS58" s="5">
        <f>deaths!BS58-deaths!BR58</f>
        <v>0</v>
      </c>
      <c r="BT58" s="5">
        <f>deaths!BT58-deaths!BS58</f>
        <v>0</v>
      </c>
      <c r="BU58" s="5">
        <f>deaths!BU58-deaths!BT58</f>
        <v>0</v>
      </c>
      <c r="BV58" s="5">
        <f>deaths!BV58-deaths!BU58</f>
        <v>0</v>
      </c>
      <c r="BW58" s="5">
        <f>deaths!BW58-deaths!BV58</f>
        <v>0</v>
      </c>
      <c r="BX58" s="5">
        <f>deaths!BX58-deaths!BW58</f>
        <v>0</v>
      </c>
      <c r="BY58" s="5">
        <f>deaths!BY58-deaths!BX58</f>
        <v>0</v>
      </c>
      <c r="BZ58" s="1">
        <f>deaths!BZ58</f>
        <v>2</v>
      </c>
      <c r="CA58" s="1">
        <f>deaths!CA58</f>
        <v>2</v>
      </c>
      <c r="CB58" s="1">
        <f>deaths!CB58</f>
        <v>2</v>
      </c>
      <c r="CC58" s="1" t="str">
        <f>deaths!CC58</f>
        <v/>
      </c>
    </row>
    <row r="59">
      <c r="B59" s="1" t="str">
        <f>deaths!B59</f>
        <v>China</v>
      </c>
      <c r="C59" s="4">
        <f>deaths!C59</f>
        <v>19.1959</v>
      </c>
      <c r="D59" s="4">
        <f>deaths!D59</f>
        <v>109.7453</v>
      </c>
      <c r="E59" s="5">
        <f>deaths!E59</f>
        <v>0</v>
      </c>
      <c r="F59" s="5">
        <f>deaths!F59-deaths!E59</f>
        <v>0</v>
      </c>
      <c r="G59" s="5">
        <f>deaths!G59-deaths!F59</f>
        <v>0</v>
      </c>
      <c r="H59" s="5">
        <f>deaths!H59-deaths!G59</f>
        <v>0</v>
      </c>
      <c r="I59" s="5">
        <f>deaths!I59-deaths!H59</f>
        <v>0</v>
      </c>
      <c r="J59" s="5">
        <f>deaths!J59-deaths!I59</f>
        <v>1</v>
      </c>
      <c r="K59" s="5">
        <f>deaths!K59-deaths!J59</f>
        <v>0</v>
      </c>
      <c r="L59" s="5">
        <f>deaths!L59-deaths!K59</f>
        <v>0</v>
      </c>
      <c r="M59" s="5">
        <f>deaths!M59-deaths!L59</f>
        <v>0</v>
      </c>
      <c r="N59" s="5">
        <f>deaths!N59-deaths!M59</f>
        <v>0</v>
      </c>
      <c r="O59" s="5">
        <f>deaths!O59-deaths!N59</f>
        <v>0</v>
      </c>
      <c r="P59" s="5">
        <f>deaths!P59-deaths!O59</f>
        <v>0</v>
      </c>
      <c r="Q59" s="5">
        <f>deaths!Q59-deaths!P59</f>
        <v>0</v>
      </c>
      <c r="R59" s="5">
        <f>deaths!R59-deaths!Q59</f>
        <v>0</v>
      </c>
      <c r="S59" s="5">
        <f>deaths!S59-deaths!R59</f>
        <v>0</v>
      </c>
      <c r="T59" s="5">
        <f>deaths!T59-deaths!S59</f>
        <v>0</v>
      </c>
      <c r="U59" s="5">
        <f>deaths!U59-deaths!T59</f>
        <v>1</v>
      </c>
      <c r="V59" s="5">
        <f>deaths!V59-deaths!U59</f>
        <v>0</v>
      </c>
      <c r="W59" s="5">
        <f>deaths!W59-deaths!V59</f>
        <v>1</v>
      </c>
      <c r="X59" s="5">
        <f>deaths!X59-deaths!W59</f>
        <v>0</v>
      </c>
      <c r="Y59" s="5">
        <f>deaths!Y59-deaths!X59</f>
        <v>0</v>
      </c>
      <c r="Z59" s="5">
        <f>deaths!Z59-deaths!Y59</f>
        <v>1</v>
      </c>
      <c r="AA59" s="5">
        <f>deaths!AA59-deaths!Z59</f>
        <v>0</v>
      </c>
      <c r="AB59" s="5">
        <f>deaths!AB59-deaths!AA59</f>
        <v>0</v>
      </c>
      <c r="AC59" s="5">
        <f>deaths!AC59-deaths!AB59</f>
        <v>0</v>
      </c>
      <c r="AD59" s="5">
        <f>deaths!AD59-deaths!AC59</f>
        <v>0</v>
      </c>
      <c r="AE59" s="5">
        <f>deaths!AE59-deaths!AD59</f>
        <v>0</v>
      </c>
      <c r="AF59" s="5">
        <f>deaths!AF59-deaths!AE59</f>
        <v>0</v>
      </c>
      <c r="AG59" s="5">
        <f>deaths!AG59-deaths!AF59</f>
        <v>0</v>
      </c>
      <c r="AH59" s="5">
        <f>deaths!AH59-deaths!AG59</f>
        <v>0</v>
      </c>
      <c r="AI59" s="5">
        <f>deaths!AI59-deaths!AH59</f>
        <v>0</v>
      </c>
      <c r="AJ59" s="5">
        <f>deaths!AJ59-deaths!AI59</f>
        <v>0</v>
      </c>
      <c r="AK59" s="5">
        <f>deaths!AK59-deaths!AJ59</f>
        <v>1</v>
      </c>
      <c r="AL59" s="5">
        <f>deaths!AL59-deaths!AK59</f>
        <v>0</v>
      </c>
      <c r="AM59" s="5">
        <f>deaths!AM59-deaths!AL59</f>
        <v>0</v>
      </c>
      <c r="AN59" s="5">
        <f>deaths!AN59-deaths!AM59</f>
        <v>0</v>
      </c>
      <c r="AO59" s="5">
        <f>deaths!AO59-deaths!AN59</f>
        <v>0</v>
      </c>
      <c r="AP59" s="5">
        <f>deaths!AP59-deaths!AO59</f>
        <v>0</v>
      </c>
      <c r="AQ59" s="5">
        <f>deaths!AQ59-deaths!AP59</f>
        <v>0</v>
      </c>
      <c r="AR59" s="5">
        <f>deaths!AR59-deaths!AQ59</f>
        <v>0</v>
      </c>
      <c r="AS59" s="5">
        <f>deaths!AS59-deaths!AR59</f>
        <v>0</v>
      </c>
      <c r="AT59" s="5">
        <f>deaths!AT59-deaths!AS59</f>
        <v>0</v>
      </c>
      <c r="AU59" s="5">
        <f>deaths!AU59-deaths!AT59</f>
        <v>0</v>
      </c>
      <c r="AV59" s="5">
        <f>deaths!AV59-deaths!AU59</f>
        <v>1</v>
      </c>
      <c r="AW59" s="5">
        <f>deaths!AW59-deaths!AV59</f>
        <v>0</v>
      </c>
      <c r="AX59" s="5">
        <f>deaths!AX59-deaths!AW59</f>
        <v>0</v>
      </c>
      <c r="AY59" s="5">
        <f>deaths!AY59-deaths!AX59</f>
        <v>0</v>
      </c>
      <c r="AZ59" s="5">
        <f>deaths!AZ59-deaths!AY59</f>
        <v>0</v>
      </c>
      <c r="BA59" s="5">
        <f>deaths!BA59-deaths!AZ59</f>
        <v>0</v>
      </c>
      <c r="BB59" s="5">
        <f>deaths!BB59-deaths!BA59</f>
        <v>0</v>
      </c>
      <c r="BC59" s="5">
        <f>deaths!BC59-deaths!BB59</f>
        <v>0</v>
      </c>
      <c r="BD59" s="5">
        <f>deaths!BD59-deaths!BC59</f>
        <v>0</v>
      </c>
      <c r="BE59" s="5">
        <f>deaths!BE59-deaths!BD59</f>
        <v>0</v>
      </c>
      <c r="BF59" s="5">
        <f>deaths!BF59-deaths!BE59</f>
        <v>0</v>
      </c>
      <c r="BG59" s="5">
        <f>deaths!BG59-deaths!BF59</f>
        <v>0</v>
      </c>
      <c r="BH59" s="5">
        <f>deaths!BH59-deaths!BG59</f>
        <v>0</v>
      </c>
      <c r="BI59" s="5">
        <f>deaths!BI59-deaths!BH59</f>
        <v>0</v>
      </c>
      <c r="BJ59" s="5">
        <f>deaths!BJ59-deaths!BI59</f>
        <v>0</v>
      </c>
      <c r="BK59" s="5">
        <f>deaths!BK59-deaths!BJ59</f>
        <v>0</v>
      </c>
      <c r="BL59" s="5">
        <f>deaths!BL59-deaths!BK59</f>
        <v>0</v>
      </c>
      <c r="BM59" s="5">
        <f>deaths!BM59-deaths!BL59</f>
        <v>0</v>
      </c>
      <c r="BN59" s="5">
        <f>deaths!BN59-deaths!BM59</f>
        <v>0</v>
      </c>
      <c r="BO59" s="5">
        <f>deaths!BO59-deaths!BN59</f>
        <v>0</v>
      </c>
      <c r="BP59" s="5">
        <f>deaths!BP59-deaths!BO59</f>
        <v>0</v>
      </c>
      <c r="BQ59" s="5">
        <f>deaths!BQ59-deaths!BP59</f>
        <v>0</v>
      </c>
      <c r="BR59" s="5">
        <f>deaths!BR59-deaths!BQ59</f>
        <v>0</v>
      </c>
      <c r="BS59" s="5">
        <f>deaths!BS59-deaths!BR59</f>
        <v>0</v>
      </c>
      <c r="BT59" s="5">
        <f>deaths!BT59-deaths!BS59</f>
        <v>0</v>
      </c>
      <c r="BU59" s="5">
        <f>deaths!BU59-deaths!BT59</f>
        <v>0</v>
      </c>
      <c r="BV59" s="5">
        <f>deaths!BV59-deaths!BU59</f>
        <v>0</v>
      </c>
      <c r="BW59" s="5">
        <f>deaths!BW59-deaths!BV59</f>
        <v>0</v>
      </c>
      <c r="BX59" s="5">
        <f>deaths!BX59-deaths!BW59</f>
        <v>0</v>
      </c>
      <c r="BY59" s="5">
        <f>deaths!BY59-deaths!BX59</f>
        <v>0</v>
      </c>
      <c r="BZ59" s="1">
        <f>deaths!BZ59</f>
        <v>6</v>
      </c>
      <c r="CA59" s="1">
        <f>deaths!CA59</f>
        <v>6</v>
      </c>
      <c r="CB59" s="1">
        <f>deaths!CB59</f>
        <v>6</v>
      </c>
      <c r="CC59" s="1" t="str">
        <f>deaths!CC59</f>
        <v/>
      </c>
    </row>
    <row r="60">
      <c r="B60" s="1" t="str">
        <f>deaths!B60</f>
        <v>China</v>
      </c>
      <c r="C60" s="4">
        <f>deaths!C60</f>
        <v>39.549</v>
      </c>
      <c r="D60" s="4">
        <f>deaths!D60</f>
        <v>116.1306</v>
      </c>
      <c r="E60" s="5">
        <f>deaths!E60</f>
        <v>0</v>
      </c>
      <c r="F60" s="5">
        <f>deaths!F60-deaths!E60</f>
        <v>1</v>
      </c>
      <c r="G60" s="5">
        <f>deaths!G60-deaths!F60</f>
        <v>0</v>
      </c>
      <c r="H60" s="5">
        <f>deaths!H60-deaths!G60</f>
        <v>0</v>
      </c>
      <c r="I60" s="5">
        <f>deaths!I60-deaths!H60</f>
        <v>0</v>
      </c>
      <c r="J60" s="5">
        <f>deaths!J60-deaths!I60</f>
        <v>0</v>
      </c>
      <c r="K60" s="5">
        <f>deaths!K60-deaths!J60</f>
        <v>0</v>
      </c>
      <c r="L60" s="5">
        <f>deaths!L60-deaths!K60</f>
        <v>0</v>
      </c>
      <c r="M60" s="5">
        <f>deaths!M60-deaths!L60</f>
        <v>0</v>
      </c>
      <c r="N60" s="5">
        <f>deaths!N60-deaths!M60</f>
        <v>0</v>
      </c>
      <c r="O60" s="5">
        <f>deaths!O60-deaths!N60</f>
        <v>0</v>
      </c>
      <c r="P60" s="5">
        <f>deaths!P60-deaths!O60</f>
        <v>0</v>
      </c>
      <c r="Q60" s="5">
        <f>deaths!Q60-deaths!P60</f>
        <v>0</v>
      </c>
      <c r="R60" s="5">
        <f>deaths!R60-deaths!Q60</f>
        <v>0</v>
      </c>
      <c r="S60" s="5">
        <f>deaths!S60-deaths!R60</f>
        <v>0</v>
      </c>
      <c r="T60" s="5">
        <f>deaths!T60-deaths!S60</f>
        <v>0</v>
      </c>
      <c r="U60" s="5">
        <f>deaths!U60-deaths!T60</f>
        <v>0</v>
      </c>
      <c r="V60" s="5">
        <f>deaths!V60-deaths!U60</f>
        <v>0</v>
      </c>
      <c r="W60" s="5">
        <f>deaths!W60-deaths!V60</f>
        <v>1</v>
      </c>
      <c r="X60" s="5">
        <f>deaths!X60-deaths!W60</f>
        <v>0</v>
      </c>
      <c r="Y60" s="5">
        <f>deaths!Y60-deaths!X60</f>
        <v>0</v>
      </c>
      <c r="Z60" s="5">
        <f>deaths!Z60-deaths!Y60</f>
        <v>0</v>
      </c>
      <c r="AA60" s="5">
        <f>deaths!AA60-deaths!Z60</f>
        <v>1</v>
      </c>
      <c r="AB60" s="5">
        <f>deaths!AB60-deaths!AA60</f>
        <v>0</v>
      </c>
      <c r="AC60" s="5">
        <f>deaths!AC60-deaths!AB60</f>
        <v>0</v>
      </c>
      <c r="AD60" s="5">
        <f>deaths!AD60-deaths!AC60</f>
        <v>0</v>
      </c>
      <c r="AE60" s="5">
        <f>deaths!AE60-deaths!AD60</f>
        <v>0</v>
      </c>
      <c r="AF60" s="5">
        <f>deaths!AF60-deaths!AE60</f>
        <v>1</v>
      </c>
      <c r="AG60" s="5">
        <f>deaths!AG60-deaths!AF60</f>
        <v>0</v>
      </c>
      <c r="AH60" s="5">
        <f>deaths!AH60-deaths!AG60</f>
        <v>1</v>
      </c>
      <c r="AI60" s="5">
        <f>deaths!AI60-deaths!AH60</f>
        <v>0</v>
      </c>
      <c r="AJ60" s="5">
        <f>deaths!AJ60-deaths!AI60</f>
        <v>1</v>
      </c>
      <c r="AK60" s="5">
        <f>deaths!AK60-deaths!AJ60</f>
        <v>0</v>
      </c>
      <c r="AL60" s="5">
        <f>deaths!AL60-deaths!AK60</f>
        <v>0</v>
      </c>
      <c r="AM60" s="5">
        <f>deaths!AM60-deaths!AL60</f>
        <v>0</v>
      </c>
      <c r="AN60" s="5">
        <f>deaths!AN60-deaths!AM60</f>
        <v>0</v>
      </c>
      <c r="AO60" s="5">
        <f>deaths!AO60-deaths!AN60</f>
        <v>0</v>
      </c>
      <c r="AP60" s="5">
        <f>deaths!AP60-deaths!AO60</f>
        <v>0</v>
      </c>
      <c r="AQ60" s="5">
        <f>deaths!AQ60-deaths!AP60</f>
        <v>0</v>
      </c>
      <c r="AR60" s="5">
        <f>deaths!AR60-deaths!AQ60</f>
        <v>0</v>
      </c>
      <c r="AS60" s="5">
        <f>deaths!AS60-deaths!AR60</f>
        <v>0</v>
      </c>
      <c r="AT60" s="5">
        <f>deaths!AT60-deaths!AS60</f>
        <v>0</v>
      </c>
      <c r="AU60" s="5">
        <f>deaths!AU60-deaths!AT60</f>
        <v>0</v>
      </c>
      <c r="AV60" s="5">
        <f>deaths!AV60-deaths!AU60</f>
        <v>0</v>
      </c>
      <c r="AW60" s="5">
        <f>deaths!AW60-deaths!AV60</f>
        <v>0</v>
      </c>
      <c r="AX60" s="5">
        <f>deaths!AX60-deaths!AW60</f>
        <v>0</v>
      </c>
      <c r="AY60" s="5">
        <f>deaths!AY60-deaths!AX60</f>
        <v>0</v>
      </c>
      <c r="AZ60" s="5">
        <f>deaths!AZ60-deaths!AY60</f>
        <v>0</v>
      </c>
      <c r="BA60" s="5">
        <f>deaths!BA60-deaths!AZ60</f>
        <v>0</v>
      </c>
      <c r="BB60" s="5">
        <f>deaths!BB60-deaths!BA60</f>
        <v>0</v>
      </c>
      <c r="BC60" s="5">
        <f>deaths!BC60-deaths!BB60</f>
        <v>0</v>
      </c>
      <c r="BD60" s="5">
        <f>deaths!BD60-deaths!BC60</f>
        <v>0</v>
      </c>
      <c r="BE60" s="5">
        <f>deaths!BE60-deaths!BD60</f>
        <v>0</v>
      </c>
      <c r="BF60" s="5">
        <f>deaths!BF60-deaths!BE60</f>
        <v>0</v>
      </c>
      <c r="BG60" s="5">
        <f>deaths!BG60-deaths!BF60</f>
        <v>0</v>
      </c>
      <c r="BH60" s="5">
        <f>deaths!BH60-deaths!BG60</f>
        <v>0</v>
      </c>
      <c r="BI60" s="5">
        <f>deaths!BI60-deaths!BH60</f>
        <v>0</v>
      </c>
      <c r="BJ60" s="5">
        <f>deaths!BJ60-deaths!BI60</f>
        <v>0</v>
      </c>
      <c r="BK60" s="5">
        <f>deaths!BK60-deaths!BJ60</f>
        <v>0</v>
      </c>
      <c r="BL60" s="5">
        <f>deaths!BL60-deaths!BK60</f>
        <v>0</v>
      </c>
      <c r="BM60" s="5">
        <f>deaths!BM60-deaths!BL60</f>
        <v>0</v>
      </c>
      <c r="BN60" s="5">
        <f>deaths!BN60-deaths!BM60</f>
        <v>0</v>
      </c>
      <c r="BO60" s="5">
        <f>deaths!BO60-deaths!BN60</f>
        <v>0</v>
      </c>
      <c r="BP60" s="5">
        <f>deaths!BP60-deaths!BO60</f>
        <v>0</v>
      </c>
      <c r="BQ60" s="5">
        <f>deaths!BQ60-deaths!BP60</f>
        <v>0</v>
      </c>
      <c r="BR60" s="5">
        <f>deaths!BR60-deaths!BQ60</f>
        <v>0</v>
      </c>
      <c r="BS60" s="5">
        <f>deaths!BS60-deaths!BR60</f>
        <v>0</v>
      </c>
      <c r="BT60" s="5">
        <f>deaths!BT60-deaths!BS60</f>
        <v>0</v>
      </c>
      <c r="BU60" s="5">
        <f>deaths!BU60-deaths!BT60</f>
        <v>0</v>
      </c>
      <c r="BV60" s="5">
        <f>deaths!BV60-deaths!BU60</f>
        <v>0</v>
      </c>
      <c r="BW60" s="5">
        <f>deaths!BW60-deaths!BV60</f>
        <v>0</v>
      </c>
      <c r="BX60" s="5">
        <f>deaths!BX60-deaths!BW60</f>
        <v>0</v>
      </c>
      <c r="BY60" s="5">
        <f>deaths!BY60-deaths!BX60</f>
        <v>0</v>
      </c>
      <c r="BZ60" s="1">
        <f>deaths!BZ60</f>
        <v>6</v>
      </c>
      <c r="CA60" s="1">
        <f>deaths!CA60</f>
        <v>6</v>
      </c>
      <c r="CB60" s="1">
        <f>deaths!CB60</f>
        <v>6</v>
      </c>
      <c r="CC60" s="1" t="str">
        <f>deaths!CC60</f>
        <v/>
      </c>
    </row>
    <row r="61">
      <c r="B61" s="1" t="str">
        <f>deaths!B61</f>
        <v>China</v>
      </c>
      <c r="C61" s="4">
        <f>deaths!C61</f>
        <v>47.862</v>
      </c>
      <c r="D61" s="4">
        <f>deaths!D61</f>
        <v>127.7615</v>
      </c>
      <c r="E61" s="5">
        <f>deaths!E61</f>
        <v>0</v>
      </c>
      <c r="F61" s="5">
        <f>deaths!F61-deaths!E61</f>
        <v>0</v>
      </c>
      <c r="G61" s="5">
        <f>deaths!G61-deaths!F61</f>
        <v>1</v>
      </c>
      <c r="H61" s="5">
        <f>deaths!H61-deaths!G61</f>
        <v>0</v>
      </c>
      <c r="I61" s="5">
        <f>deaths!I61-deaths!H61</f>
        <v>0</v>
      </c>
      <c r="J61" s="5">
        <f>deaths!J61-deaths!I61</f>
        <v>0</v>
      </c>
      <c r="K61" s="5">
        <f>deaths!K61-deaths!J61</f>
        <v>0</v>
      </c>
      <c r="L61" s="5">
        <f>deaths!L61-deaths!K61</f>
        <v>0</v>
      </c>
      <c r="M61" s="5">
        <f>deaths!M61-deaths!L61</f>
        <v>1</v>
      </c>
      <c r="N61" s="5">
        <f>deaths!N61-deaths!M61</f>
        <v>0</v>
      </c>
      <c r="O61" s="5">
        <f>deaths!O61-deaths!N61</f>
        <v>0</v>
      </c>
      <c r="P61" s="5">
        <f>deaths!P61-deaths!O61</f>
        <v>0</v>
      </c>
      <c r="Q61" s="5">
        <f>deaths!Q61-deaths!P61</f>
        <v>0</v>
      </c>
      <c r="R61" s="5">
        <f>deaths!R61-deaths!Q61</f>
        <v>0</v>
      </c>
      <c r="S61" s="5">
        <f>deaths!S61-deaths!R61</f>
        <v>0</v>
      </c>
      <c r="T61" s="5">
        <f>deaths!T61-deaths!S61</f>
        <v>1</v>
      </c>
      <c r="U61" s="5">
        <f>deaths!U61-deaths!T61</f>
        <v>0</v>
      </c>
      <c r="V61" s="5">
        <f>deaths!V61-deaths!U61</f>
        <v>2</v>
      </c>
      <c r="W61" s="5">
        <f>deaths!W61-deaths!V61</f>
        <v>1</v>
      </c>
      <c r="X61" s="5">
        <f>deaths!X61-deaths!W61</f>
        <v>1</v>
      </c>
      <c r="Y61" s="5">
        <f>deaths!Y61-deaths!X61</f>
        <v>1</v>
      </c>
      <c r="Z61" s="5">
        <f>deaths!Z61-deaths!Y61</f>
        <v>0</v>
      </c>
      <c r="AA61" s="5">
        <f>deaths!AA61-deaths!Z61</f>
        <v>1</v>
      </c>
      <c r="AB61" s="5">
        <f>deaths!AB61-deaths!AA61</f>
        <v>2</v>
      </c>
      <c r="AC61" s="5">
        <f>deaths!AC61-deaths!AB61</f>
        <v>0</v>
      </c>
      <c r="AD61" s="5">
        <f>deaths!AD61-deaths!AC61</f>
        <v>0</v>
      </c>
      <c r="AE61" s="5">
        <f>deaths!AE61-deaths!AD61</f>
        <v>0</v>
      </c>
      <c r="AF61" s="5">
        <f>deaths!AF61-deaths!AE61</f>
        <v>0</v>
      </c>
      <c r="AG61" s="5">
        <f>deaths!AG61-deaths!AF61</f>
        <v>1</v>
      </c>
      <c r="AH61" s="5">
        <f>deaths!AH61-deaths!AG61</f>
        <v>0</v>
      </c>
      <c r="AI61" s="5">
        <f>deaths!AI61-deaths!AH61</f>
        <v>0</v>
      </c>
      <c r="AJ61" s="5">
        <f>deaths!AJ61-deaths!AI61</f>
        <v>0</v>
      </c>
      <c r="AK61" s="5">
        <f>deaths!AK61-deaths!AJ61</f>
        <v>0</v>
      </c>
      <c r="AL61" s="5">
        <f>deaths!AL61-deaths!AK61</f>
        <v>0</v>
      </c>
      <c r="AM61" s="5">
        <f>deaths!AM61-deaths!AL61</f>
        <v>0</v>
      </c>
      <c r="AN61" s="5">
        <f>deaths!AN61-deaths!AM61</f>
        <v>0</v>
      </c>
      <c r="AO61" s="5">
        <f>deaths!AO61-deaths!AN61</f>
        <v>1</v>
      </c>
      <c r="AP61" s="5">
        <f>deaths!AP61-deaths!AO61</f>
        <v>0</v>
      </c>
      <c r="AQ61" s="5">
        <f>deaths!AQ61-deaths!AP61</f>
        <v>0</v>
      </c>
      <c r="AR61" s="5">
        <f>deaths!AR61-deaths!AQ61</f>
        <v>0</v>
      </c>
      <c r="AS61" s="5">
        <f>deaths!AS61-deaths!AR61</f>
        <v>0</v>
      </c>
      <c r="AT61" s="5">
        <f>deaths!AT61-deaths!AS61</f>
        <v>0</v>
      </c>
      <c r="AU61" s="5">
        <f>deaths!AU61-deaths!AT61</f>
        <v>0</v>
      </c>
      <c r="AV61" s="5">
        <f>deaths!AV61-deaths!AU61</f>
        <v>0</v>
      </c>
      <c r="AW61" s="5">
        <f>deaths!AW61-deaths!AV61</f>
        <v>0</v>
      </c>
      <c r="AX61" s="5">
        <f>deaths!AX61-deaths!AW61</f>
        <v>0</v>
      </c>
      <c r="AY61" s="5">
        <f>deaths!AY61-deaths!AX61</f>
        <v>0</v>
      </c>
      <c r="AZ61" s="5">
        <f>deaths!AZ61-deaths!AY61</f>
        <v>0</v>
      </c>
      <c r="BA61" s="5">
        <f>deaths!BA61-deaths!AZ61</f>
        <v>0</v>
      </c>
      <c r="BB61" s="5">
        <f>deaths!BB61-deaths!BA61</f>
        <v>0</v>
      </c>
      <c r="BC61" s="5">
        <f>deaths!BC61-deaths!BB61</f>
        <v>0</v>
      </c>
      <c r="BD61" s="5">
        <f>deaths!BD61-deaths!BC61</f>
        <v>0</v>
      </c>
      <c r="BE61" s="5">
        <f>deaths!BE61-deaths!BD61</f>
        <v>0</v>
      </c>
      <c r="BF61" s="5">
        <f>deaths!BF61-deaths!BE61</f>
        <v>0</v>
      </c>
      <c r="BG61" s="5">
        <f>deaths!BG61-deaths!BF61</f>
        <v>0</v>
      </c>
      <c r="BH61" s="5">
        <f>deaths!BH61-deaths!BG61</f>
        <v>0</v>
      </c>
      <c r="BI61" s="5">
        <f>deaths!BI61-deaths!BH61</f>
        <v>0</v>
      </c>
      <c r="BJ61" s="5">
        <f>deaths!BJ61-deaths!BI61</f>
        <v>0</v>
      </c>
      <c r="BK61" s="5">
        <f>deaths!BK61-deaths!BJ61</f>
        <v>0</v>
      </c>
      <c r="BL61" s="5">
        <f>deaths!BL61-deaths!BK61</f>
        <v>0</v>
      </c>
      <c r="BM61" s="5">
        <f>deaths!BM61-deaths!BL61</f>
        <v>0</v>
      </c>
      <c r="BN61" s="5">
        <f>deaths!BN61-deaths!BM61</f>
        <v>0</v>
      </c>
      <c r="BO61" s="5">
        <f>deaths!BO61-deaths!BN61</f>
        <v>0</v>
      </c>
      <c r="BP61" s="5">
        <f>deaths!BP61-deaths!BO61</f>
        <v>0</v>
      </c>
      <c r="BQ61" s="5">
        <f>deaths!BQ61-deaths!BP61</f>
        <v>0</v>
      </c>
      <c r="BR61" s="5">
        <f>deaths!BR61-deaths!BQ61</f>
        <v>0</v>
      </c>
      <c r="BS61" s="5">
        <f>deaths!BS61-deaths!BR61</f>
        <v>0</v>
      </c>
      <c r="BT61" s="5">
        <f>deaths!BT61-deaths!BS61</f>
        <v>0</v>
      </c>
      <c r="BU61" s="5">
        <f>deaths!BU61-deaths!BT61</f>
        <v>0</v>
      </c>
      <c r="BV61" s="5">
        <f>deaths!BV61-deaths!BU61</f>
        <v>0</v>
      </c>
      <c r="BW61" s="5">
        <f>deaths!BW61-deaths!BV61</f>
        <v>0</v>
      </c>
      <c r="BX61" s="5">
        <f>deaths!BX61-deaths!BW61</f>
        <v>0</v>
      </c>
      <c r="BY61" s="5">
        <f>deaths!BY61-deaths!BX61</f>
        <v>0</v>
      </c>
      <c r="BZ61" s="1">
        <f>deaths!BZ61</f>
        <v>13</v>
      </c>
      <c r="CA61" s="1">
        <f>deaths!CA61</f>
        <v>13</v>
      </c>
      <c r="CB61" s="1">
        <f>deaths!CB61</f>
        <v>13</v>
      </c>
      <c r="CC61" s="1" t="str">
        <f>deaths!CC61</f>
        <v/>
      </c>
    </row>
    <row r="62">
      <c r="B62" s="1" t="str">
        <f>deaths!B62</f>
        <v>China</v>
      </c>
      <c r="C62" s="4">
        <f>deaths!C62</f>
        <v>33.882</v>
      </c>
      <c r="D62" s="4">
        <f>deaths!D62</f>
        <v>113.614</v>
      </c>
      <c r="E62" s="5">
        <f>deaths!E62</f>
        <v>0</v>
      </c>
      <c r="F62" s="5">
        <f>deaths!F62-deaths!E62</f>
        <v>0</v>
      </c>
      <c r="G62" s="5">
        <f>deaths!G62-deaths!F62</f>
        <v>0</v>
      </c>
      <c r="H62" s="5">
        <f>deaths!H62-deaths!G62</f>
        <v>0</v>
      </c>
      <c r="I62" s="5">
        <f>deaths!I62-deaths!H62</f>
        <v>1</v>
      </c>
      <c r="J62" s="5">
        <f>deaths!J62-deaths!I62</f>
        <v>0</v>
      </c>
      <c r="K62" s="5">
        <f>deaths!K62-deaths!J62</f>
        <v>0</v>
      </c>
      <c r="L62" s="5">
        <f>deaths!L62-deaths!K62</f>
        <v>1</v>
      </c>
      <c r="M62" s="5">
        <f>deaths!M62-deaths!L62</f>
        <v>0</v>
      </c>
      <c r="N62" s="5">
        <f>deaths!N62-deaths!M62</f>
        <v>0</v>
      </c>
      <c r="O62" s="5">
        <f>deaths!O62-deaths!N62</f>
        <v>0</v>
      </c>
      <c r="P62" s="5">
        <f>deaths!P62-deaths!O62</f>
        <v>0</v>
      </c>
      <c r="Q62" s="5">
        <f>deaths!Q62-deaths!P62</f>
        <v>0</v>
      </c>
      <c r="R62" s="5">
        <f>deaths!R62-deaths!Q62</f>
        <v>0</v>
      </c>
      <c r="S62" s="5">
        <f>deaths!S62-deaths!R62</f>
        <v>0</v>
      </c>
      <c r="T62" s="5">
        <f>deaths!T62-deaths!S62</f>
        <v>0</v>
      </c>
      <c r="U62" s="5">
        <f>deaths!U62-deaths!T62</f>
        <v>1</v>
      </c>
      <c r="V62" s="5">
        <f>deaths!V62-deaths!U62</f>
        <v>1</v>
      </c>
      <c r="W62" s="5">
        <f>deaths!W62-deaths!V62</f>
        <v>2</v>
      </c>
      <c r="X62" s="5">
        <f>deaths!X62-deaths!W62</f>
        <v>0</v>
      </c>
      <c r="Y62" s="5">
        <f>deaths!Y62-deaths!X62</f>
        <v>1</v>
      </c>
      <c r="Z62" s="5">
        <f>deaths!Z62-deaths!Y62</f>
        <v>1</v>
      </c>
      <c r="AA62" s="5">
        <f>deaths!AA62-deaths!Z62</f>
        <v>2</v>
      </c>
      <c r="AB62" s="5">
        <f>deaths!AB62-deaths!AA62</f>
        <v>1</v>
      </c>
      <c r="AC62" s="5">
        <f>deaths!AC62-deaths!AB62</f>
        <v>2</v>
      </c>
      <c r="AD62" s="5">
        <f>deaths!AD62-deaths!AC62</f>
        <v>0</v>
      </c>
      <c r="AE62" s="5">
        <f>deaths!AE62-deaths!AD62</f>
        <v>3</v>
      </c>
      <c r="AF62" s="5">
        <f>deaths!AF62-deaths!AE62</f>
        <v>3</v>
      </c>
      <c r="AG62" s="5">
        <f>deaths!AG62-deaths!AF62</f>
        <v>0</v>
      </c>
      <c r="AH62" s="5">
        <f>deaths!AH62-deaths!AG62</f>
        <v>0</v>
      </c>
      <c r="AI62" s="5">
        <f>deaths!AI62-deaths!AH62</f>
        <v>0</v>
      </c>
      <c r="AJ62" s="5">
        <f>deaths!AJ62-deaths!AI62</f>
        <v>0</v>
      </c>
      <c r="AK62" s="5">
        <f>deaths!AK62-deaths!AJ62</f>
        <v>0</v>
      </c>
      <c r="AL62" s="5">
        <f>deaths!AL62-deaths!AK62</f>
        <v>0</v>
      </c>
      <c r="AM62" s="5">
        <f>deaths!AM62-deaths!AL62</f>
        <v>0</v>
      </c>
      <c r="AN62" s="5">
        <f>deaths!AN62-deaths!AM62</f>
        <v>0</v>
      </c>
      <c r="AO62" s="5">
        <f>deaths!AO62-deaths!AN62</f>
        <v>1</v>
      </c>
      <c r="AP62" s="5">
        <f>deaths!AP62-deaths!AO62</f>
        <v>0</v>
      </c>
      <c r="AQ62" s="5">
        <f>deaths!AQ62-deaths!AP62</f>
        <v>1</v>
      </c>
      <c r="AR62" s="5">
        <f>deaths!AR62-deaths!AQ62</f>
        <v>1</v>
      </c>
      <c r="AS62" s="5">
        <f>deaths!AS62-deaths!AR62</f>
        <v>0</v>
      </c>
      <c r="AT62" s="5">
        <f>deaths!AT62-deaths!AS62</f>
        <v>0</v>
      </c>
      <c r="AU62" s="5">
        <f>deaths!AU62-deaths!AT62</f>
        <v>0</v>
      </c>
      <c r="AV62" s="5">
        <f>deaths!AV62-deaths!AU62</f>
        <v>0</v>
      </c>
      <c r="AW62" s="5">
        <f>deaths!AW62-deaths!AV62</f>
        <v>0</v>
      </c>
      <c r="AX62" s="5">
        <f>deaths!AX62-deaths!AW62</f>
        <v>0</v>
      </c>
      <c r="AY62" s="5">
        <f>deaths!AY62-deaths!AX62</f>
        <v>0</v>
      </c>
      <c r="AZ62" s="5">
        <f>deaths!AZ62-deaths!AY62</f>
        <v>0</v>
      </c>
      <c r="BA62" s="5">
        <f>deaths!BA62-deaths!AZ62</f>
        <v>0</v>
      </c>
      <c r="BB62" s="5">
        <f>deaths!BB62-deaths!BA62</f>
        <v>0</v>
      </c>
      <c r="BC62" s="5">
        <f>deaths!BC62-deaths!BB62</f>
        <v>0</v>
      </c>
      <c r="BD62" s="5">
        <f>deaths!BD62-deaths!BC62</f>
        <v>0</v>
      </c>
      <c r="BE62" s="5">
        <f>deaths!BE62-deaths!BD62</f>
        <v>0</v>
      </c>
      <c r="BF62" s="5">
        <f>deaths!BF62-deaths!BE62</f>
        <v>0</v>
      </c>
      <c r="BG62" s="5">
        <f>deaths!BG62-deaths!BF62</f>
        <v>0</v>
      </c>
      <c r="BH62" s="5">
        <f>deaths!BH62-deaths!BG62</f>
        <v>0</v>
      </c>
      <c r="BI62" s="5">
        <f>deaths!BI62-deaths!BH62</f>
        <v>0</v>
      </c>
      <c r="BJ62" s="5">
        <f>deaths!BJ62-deaths!BI62</f>
        <v>0</v>
      </c>
      <c r="BK62" s="5">
        <f>deaths!BK62-deaths!BJ62</f>
        <v>0</v>
      </c>
      <c r="BL62" s="5">
        <f>deaths!BL62-deaths!BK62</f>
        <v>0</v>
      </c>
      <c r="BM62" s="5">
        <f>deaths!BM62-deaths!BL62</f>
        <v>0</v>
      </c>
      <c r="BN62" s="5">
        <f>deaths!BN62-deaths!BM62</f>
        <v>0</v>
      </c>
      <c r="BO62" s="5">
        <f>deaths!BO62-deaths!BN62</f>
        <v>0</v>
      </c>
      <c r="BP62" s="5">
        <f>deaths!BP62-deaths!BO62</f>
        <v>0</v>
      </c>
      <c r="BQ62" s="5">
        <f>deaths!BQ62-deaths!BP62</f>
        <v>0</v>
      </c>
      <c r="BR62" s="5">
        <f>deaths!BR62-deaths!BQ62</f>
        <v>0</v>
      </c>
      <c r="BS62" s="5">
        <f>deaths!BS62-deaths!BR62</f>
        <v>0</v>
      </c>
      <c r="BT62" s="5">
        <f>deaths!BT62-deaths!BS62</f>
        <v>0</v>
      </c>
      <c r="BU62" s="5">
        <f>deaths!BU62-deaths!BT62</f>
        <v>0</v>
      </c>
      <c r="BV62" s="5">
        <f>deaths!BV62-deaths!BU62</f>
        <v>0</v>
      </c>
      <c r="BW62" s="5">
        <f>deaths!BW62-deaths!BV62</f>
        <v>0</v>
      </c>
      <c r="BX62" s="5">
        <f>deaths!BX62-deaths!BW62</f>
        <v>0</v>
      </c>
      <c r="BY62" s="5">
        <f>deaths!BY62-deaths!BX62</f>
        <v>0</v>
      </c>
      <c r="BZ62" s="1">
        <f>deaths!BZ62</f>
        <v>22</v>
      </c>
      <c r="CA62" s="1">
        <f>deaths!CA62</f>
        <v>22</v>
      </c>
      <c r="CB62" s="1">
        <f>deaths!CB62</f>
        <v>22</v>
      </c>
      <c r="CC62" s="1" t="str">
        <f>deaths!CC62</f>
        <v/>
      </c>
    </row>
    <row r="63">
      <c r="B63" s="1" t="str">
        <f>deaths!B63</f>
        <v>China</v>
      </c>
      <c r="C63" s="4">
        <f>deaths!C63</f>
        <v>22.3</v>
      </c>
      <c r="D63" s="4">
        <f>deaths!D63</f>
        <v>114.2</v>
      </c>
      <c r="E63" s="5">
        <f>deaths!E63</f>
        <v>0</v>
      </c>
      <c r="F63" s="5">
        <f>deaths!F63-deaths!E63</f>
        <v>0</v>
      </c>
      <c r="G63" s="5">
        <f>deaths!G63-deaths!F63</f>
        <v>0</v>
      </c>
      <c r="H63" s="5">
        <f>deaths!H63-deaths!G63</f>
        <v>0</v>
      </c>
      <c r="I63" s="5">
        <f>deaths!I63-deaths!H63</f>
        <v>0</v>
      </c>
      <c r="J63" s="5">
        <f>deaths!J63-deaths!I63</f>
        <v>0</v>
      </c>
      <c r="K63" s="5">
        <f>deaths!K63-deaths!J63</f>
        <v>0</v>
      </c>
      <c r="L63" s="5">
        <f>deaths!L63-deaths!K63</f>
        <v>0</v>
      </c>
      <c r="M63" s="5">
        <f>deaths!M63-deaths!L63</f>
        <v>0</v>
      </c>
      <c r="N63" s="5">
        <f>deaths!N63-deaths!M63</f>
        <v>0</v>
      </c>
      <c r="O63" s="5">
        <f>deaths!O63-deaths!N63</f>
        <v>0</v>
      </c>
      <c r="P63" s="5">
        <f>deaths!P63-deaths!O63</f>
        <v>0</v>
      </c>
      <c r="Q63" s="5">
        <f>deaths!Q63-deaths!P63</f>
        <v>0</v>
      </c>
      <c r="R63" s="5">
        <f>deaths!R63-deaths!Q63</f>
        <v>1</v>
      </c>
      <c r="S63" s="5">
        <f>deaths!S63-deaths!R63</f>
        <v>0</v>
      </c>
      <c r="T63" s="5">
        <f>deaths!T63-deaths!S63</f>
        <v>0</v>
      </c>
      <c r="U63" s="5">
        <f>deaths!U63-deaths!T63</f>
        <v>0</v>
      </c>
      <c r="V63" s="5">
        <f>deaths!V63-deaths!U63</f>
        <v>0</v>
      </c>
      <c r="W63" s="5">
        <f>deaths!W63-deaths!V63</f>
        <v>0</v>
      </c>
      <c r="X63" s="5">
        <f>deaths!X63-deaths!W63</f>
        <v>0</v>
      </c>
      <c r="Y63" s="5">
        <f>deaths!Y63-deaths!X63</f>
        <v>0</v>
      </c>
      <c r="Z63" s="5">
        <f>deaths!Z63-deaths!Y63</f>
        <v>0</v>
      </c>
      <c r="AA63" s="5">
        <f>deaths!AA63-deaths!Z63</f>
        <v>0</v>
      </c>
      <c r="AB63" s="5">
        <f>deaths!AB63-deaths!AA63</f>
        <v>0</v>
      </c>
      <c r="AC63" s="5">
        <f>deaths!AC63-deaths!AB63</f>
        <v>0</v>
      </c>
      <c r="AD63" s="5">
        <f>deaths!AD63-deaths!AC63</f>
        <v>0</v>
      </c>
      <c r="AE63" s="5">
        <f>deaths!AE63-deaths!AD63</f>
        <v>0</v>
      </c>
      <c r="AF63" s="5">
        <f>deaths!AF63-deaths!AE63</f>
        <v>0</v>
      </c>
      <c r="AG63" s="5">
        <f>deaths!AG63-deaths!AF63</f>
        <v>1</v>
      </c>
      <c r="AH63" s="5">
        <f>deaths!AH63-deaths!AG63</f>
        <v>0</v>
      </c>
      <c r="AI63" s="5">
        <f>deaths!AI63-deaths!AH63</f>
        <v>0</v>
      </c>
      <c r="AJ63" s="5">
        <f>deaths!AJ63-deaths!AI63</f>
        <v>0</v>
      </c>
      <c r="AK63" s="5">
        <f>deaths!AK63-deaths!AJ63</f>
        <v>0</v>
      </c>
      <c r="AL63" s="5">
        <f>deaths!AL63-deaths!AK63</f>
        <v>0</v>
      </c>
      <c r="AM63" s="5">
        <f>deaths!AM63-deaths!AL63</f>
        <v>0</v>
      </c>
      <c r="AN63" s="5">
        <f>deaths!AN63-deaths!AM63</f>
        <v>0</v>
      </c>
      <c r="AO63" s="5">
        <f>deaths!AO63-deaths!AN63</f>
        <v>0</v>
      </c>
      <c r="AP63" s="5">
        <f>deaths!AP63-deaths!AO63</f>
        <v>0</v>
      </c>
      <c r="AQ63" s="5">
        <f>deaths!AQ63-deaths!AP63</f>
        <v>0</v>
      </c>
      <c r="AR63" s="5">
        <f>deaths!AR63-deaths!AQ63</f>
        <v>0</v>
      </c>
      <c r="AS63" s="5">
        <f>deaths!AS63-deaths!AR63</f>
        <v>0</v>
      </c>
      <c r="AT63" s="5">
        <f>deaths!AT63-deaths!AS63</f>
        <v>0</v>
      </c>
      <c r="AU63" s="5">
        <f>deaths!AU63-deaths!AT63</f>
        <v>0</v>
      </c>
      <c r="AV63" s="5">
        <f>deaths!AV63-deaths!AU63</f>
        <v>0</v>
      </c>
      <c r="AW63" s="5">
        <f>deaths!AW63-deaths!AV63</f>
        <v>0</v>
      </c>
      <c r="AX63" s="5">
        <f>deaths!AX63-deaths!AW63</f>
        <v>0</v>
      </c>
      <c r="AY63" s="5">
        <f>deaths!AY63-deaths!AX63</f>
        <v>1</v>
      </c>
      <c r="AZ63" s="5">
        <f>deaths!AZ63-deaths!AY63</f>
        <v>0</v>
      </c>
      <c r="BA63" s="5">
        <f>deaths!BA63-deaths!AZ63</f>
        <v>0</v>
      </c>
      <c r="BB63" s="5">
        <f>deaths!BB63-deaths!BA63</f>
        <v>0</v>
      </c>
      <c r="BC63" s="5">
        <f>deaths!BC63-deaths!BB63</f>
        <v>0</v>
      </c>
      <c r="BD63" s="5">
        <f>deaths!BD63-deaths!BC63</f>
        <v>1</v>
      </c>
      <c r="BE63" s="5">
        <f>deaths!BE63-deaths!BD63</f>
        <v>0</v>
      </c>
      <c r="BF63" s="5">
        <f>deaths!BF63-deaths!BE63</f>
        <v>0</v>
      </c>
      <c r="BG63" s="5">
        <f>deaths!BG63-deaths!BF63</f>
        <v>0</v>
      </c>
      <c r="BH63" s="5">
        <f>deaths!BH63-deaths!BG63</f>
        <v>0</v>
      </c>
      <c r="BI63" s="5">
        <f>deaths!BI63-deaths!BH63</f>
        <v>0</v>
      </c>
      <c r="BJ63" s="5">
        <f>deaths!BJ63-deaths!BI63</f>
        <v>0</v>
      </c>
      <c r="BK63" s="5">
        <f>deaths!BK63-deaths!BJ63</f>
        <v>0</v>
      </c>
      <c r="BL63" s="5">
        <f>deaths!BL63-deaths!BK63</f>
        <v>0</v>
      </c>
      <c r="BM63" s="5">
        <f>deaths!BM63-deaths!BL63</f>
        <v>0</v>
      </c>
      <c r="BN63" s="5">
        <f>deaths!BN63-deaths!BM63</f>
        <v>0</v>
      </c>
      <c r="BO63" s="5">
        <f>deaths!BO63-deaths!BN63</f>
        <v>0</v>
      </c>
      <c r="BP63" s="5">
        <f>deaths!BP63-deaths!BO63</f>
        <v>0</v>
      </c>
      <c r="BQ63" s="5">
        <f>deaths!BQ63-deaths!BP63</f>
        <v>0</v>
      </c>
      <c r="BR63" s="5">
        <f>deaths!BR63-deaths!BQ63</f>
        <v>0</v>
      </c>
      <c r="BS63" s="5">
        <f>deaths!BS63-deaths!BR63</f>
        <v>0</v>
      </c>
      <c r="BT63" s="5">
        <f>deaths!BT63-deaths!BS63</f>
        <v>0</v>
      </c>
      <c r="BU63" s="5">
        <f>deaths!BU63-deaths!BT63</f>
        <v>0</v>
      </c>
      <c r="BV63" s="5">
        <f>deaths!BV63-deaths!BU63</f>
        <v>0</v>
      </c>
      <c r="BW63" s="5">
        <f>deaths!BW63-deaths!BV63</f>
        <v>0</v>
      </c>
      <c r="BX63" s="5">
        <f>deaths!BX63-deaths!BW63</f>
        <v>0</v>
      </c>
      <c r="BY63" s="5">
        <f>deaths!BY63-deaths!BX63</f>
        <v>0</v>
      </c>
      <c r="BZ63" s="1">
        <f>deaths!BZ63</f>
        <v>4</v>
      </c>
      <c r="CA63" s="1">
        <f>deaths!CA63</f>
        <v>4</v>
      </c>
      <c r="CB63" s="1">
        <f>deaths!CB63</f>
        <v>4</v>
      </c>
      <c r="CC63" s="1" t="str">
        <f>deaths!CC63</f>
        <v/>
      </c>
    </row>
    <row r="64">
      <c r="B64" s="1" t="str">
        <f>deaths!B64</f>
        <v>China</v>
      </c>
      <c r="C64" s="4">
        <f>deaths!C64</f>
        <v>30.9756</v>
      </c>
      <c r="D64" s="4">
        <f>deaths!D64</f>
        <v>112.2707</v>
      </c>
      <c r="E64" s="5">
        <f>deaths!E64</f>
        <v>17</v>
      </c>
      <c r="F64" s="5">
        <f>deaths!F64-deaths!E64</f>
        <v>0</v>
      </c>
      <c r="G64" s="5">
        <f>deaths!G64-deaths!F64</f>
        <v>7</v>
      </c>
      <c r="H64" s="5">
        <f>deaths!H64-deaths!G64</f>
        <v>16</v>
      </c>
      <c r="I64" s="5">
        <f>deaths!I64-deaths!H64</f>
        <v>12</v>
      </c>
      <c r="J64" s="5">
        <f>deaths!J64-deaths!I64</f>
        <v>24</v>
      </c>
      <c r="K64" s="5">
        <f>deaths!K64-deaths!J64</f>
        <v>49</v>
      </c>
      <c r="L64" s="5">
        <f>deaths!L64-deaths!K64</f>
        <v>0</v>
      </c>
      <c r="M64" s="5">
        <f>deaths!M64-deaths!L64</f>
        <v>37</v>
      </c>
      <c r="N64" s="5">
        <f>deaths!N64-deaths!M64</f>
        <v>42</v>
      </c>
      <c r="O64" s="5">
        <f>deaths!O64-deaths!N64</f>
        <v>45</v>
      </c>
      <c r="P64" s="5">
        <f>deaths!P64-deaths!O64</f>
        <v>101</v>
      </c>
      <c r="Q64" s="5">
        <f>deaths!Q64-deaths!P64</f>
        <v>64</v>
      </c>
      <c r="R64" s="5">
        <f>deaths!R64-deaths!Q64</f>
        <v>65</v>
      </c>
      <c r="S64" s="5">
        <f>deaths!S64-deaths!R64</f>
        <v>70</v>
      </c>
      <c r="T64" s="5">
        <f>deaths!T64-deaths!S64</f>
        <v>69</v>
      </c>
      <c r="U64" s="5">
        <f>deaths!U64-deaths!T64</f>
        <v>81</v>
      </c>
      <c r="V64" s="5">
        <f>deaths!V64-deaths!U64</f>
        <v>81</v>
      </c>
      <c r="W64" s="5">
        <f>deaths!W64-deaths!V64</f>
        <v>91</v>
      </c>
      <c r="X64" s="5">
        <f>deaths!X64-deaths!W64</f>
        <v>103</v>
      </c>
      <c r="Y64" s="5">
        <f>deaths!Y64-deaths!X64</f>
        <v>94</v>
      </c>
      <c r="Z64" s="5">
        <f>deaths!Z64-deaths!Y64</f>
        <v>0</v>
      </c>
      <c r="AA64" s="5">
        <f>deaths!AA64-deaths!Z64</f>
        <v>242</v>
      </c>
      <c r="AB64" s="5">
        <f>deaths!AB64-deaths!AA64</f>
        <v>147</v>
      </c>
      <c r="AC64" s="5">
        <f>deaths!AC64-deaths!AB64</f>
        <v>139</v>
      </c>
      <c r="AD64" s="5">
        <f>deaths!AD64-deaths!AC64</f>
        <v>100</v>
      </c>
      <c r="AE64" s="5">
        <f>deaths!AE64-deaths!AD64</f>
        <v>93</v>
      </c>
      <c r="AF64" s="5">
        <f>deaths!AF64-deaths!AE64</f>
        <v>132</v>
      </c>
      <c r="AG64" s="5">
        <f>deaths!AG64-deaths!AF64</f>
        <v>108</v>
      </c>
      <c r="AH64" s="5">
        <f>deaths!AH64-deaths!AG64</f>
        <v>115</v>
      </c>
      <c r="AI64" s="5">
        <f>deaths!AI64-deaths!AH64</f>
        <v>0</v>
      </c>
      <c r="AJ64" s="5">
        <f>deaths!AJ64-deaths!AI64</f>
        <v>202</v>
      </c>
      <c r="AK64" s="5">
        <f>deaths!AK64-deaths!AJ64</f>
        <v>0</v>
      </c>
      <c r="AL64" s="5">
        <f>deaths!AL64-deaths!AK64</f>
        <v>149</v>
      </c>
      <c r="AM64" s="5">
        <f>deaths!AM64-deaths!AL64</f>
        <v>68</v>
      </c>
      <c r="AN64" s="5">
        <f>deaths!AN64-deaths!AM64</f>
        <v>52</v>
      </c>
      <c r="AO64" s="5">
        <f>deaths!AO64-deaths!AN64</f>
        <v>26</v>
      </c>
      <c r="AP64" s="5">
        <f>deaths!AP64-deaths!AO64</f>
        <v>41</v>
      </c>
      <c r="AQ64" s="5">
        <f>deaths!AQ64-deaths!AP64</f>
        <v>45</v>
      </c>
      <c r="AR64" s="5">
        <f>deaths!AR64-deaths!AQ64</f>
        <v>34</v>
      </c>
      <c r="AS64" s="5">
        <f>deaths!AS64-deaths!AR64</f>
        <v>42</v>
      </c>
      <c r="AT64" s="5">
        <f>deaths!AT64-deaths!AS64</f>
        <v>32</v>
      </c>
      <c r="AU64" s="5">
        <f>deaths!AU64-deaths!AT64</f>
        <v>36</v>
      </c>
      <c r="AV64" s="5">
        <f>deaths!AV64-deaths!AU64</f>
        <v>31</v>
      </c>
      <c r="AW64" s="5">
        <f>deaths!AW64-deaths!AV64</f>
        <v>29</v>
      </c>
      <c r="AX64" s="5">
        <f>deaths!AX64-deaths!AW64</f>
        <v>28</v>
      </c>
      <c r="AY64" s="5">
        <f>deaths!AY64-deaths!AX64</f>
        <v>27</v>
      </c>
      <c r="AZ64" s="5">
        <f>deaths!AZ64-deaths!AY64</f>
        <v>22</v>
      </c>
      <c r="BA64" s="5">
        <f>deaths!BA64-deaths!AZ64</f>
        <v>16</v>
      </c>
      <c r="BB64" s="5">
        <f>deaths!BB64-deaths!BA64</f>
        <v>22</v>
      </c>
      <c r="BC64" s="5">
        <f>deaths!BC64-deaths!BB64</f>
        <v>10</v>
      </c>
      <c r="BD64" s="5">
        <f>deaths!BD64-deaths!BC64</f>
        <v>6</v>
      </c>
      <c r="BE64" s="5">
        <f>deaths!BE64-deaths!BD64</f>
        <v>13</v>
      </c>
      <c r="BF64" s="5">
        <f>deaths!BF64-deaths!BE64</f>
        <v>10</v>
      </c>
      <c r="BG64" s="5">
        <f>deaths!BG64-deaths!BF64</f>
        <v>14</v>
      </c>
      <c r="BH64" s="5">
        <f>deaths!BH64-deaths!BG64</f>
        <v>12</v>
      </c>
      <c r="BI64" s="5">
        <f>deaths!BI64-deaths!BH64</f>
        <v>11</v>
      </c>
      <c r="BJ64" s="5">
        <f>deaths!BJ64-deaths!BI64</f>
        <v>8</v>
      </c>
      <c r="BK64" s="5">
        <f>deaths!BK64-deaths!BJ64</f>
        <v>3</v>
      </c>
      <c r="BL64" s="5">
        <f>deaths!BL64-deaths!BK64</f>
        <v>6</v>
      </c>
      <c r="BM64" s="5">
        <f>deaths!BM64-deaths!BL64</f>
        <v>14</v>
      </c>
      <c r="BN64" s="5">
        <f>deaths!BN64-deaths!BM64</f>
        <v>0</v>
      </c>
      <c r="BO64" s="5">
        <f>deaths!BO64-deaths!BN64</f>
        <v>7</v>
      </c>
      <c r="BP64" s="5">
        <f>deaths!BP64-deaths!BO64</f>
        <v>3</v>
      </c>
      <c r="BQ64" s="5">
        <f>deaths!BQ64-deaths!BP64</f>
        <v>6</v>
      </c>
      <c r="BR64" s="5">
        <f>deaths!BR64-deaths!BQ64</f>
        <v>5</v>
      </c>
      <c r="BS64" s="5">
        <f>deaths!BS64-deaths!BR64</f>
        <v>3</v>
      </c>
      <c r="BT64" s="5">
        <f>deaths!BT64-deaths!BS64</f>
        <v>5</v>
      </c>
      <c r="BU64" s="5">
        <f>deaths!BU64-deaths!BT64</f>
        <v>4</v>
      </c>
      <c r="BV64" s="5">
        <f>deaths!BV64-deaths!BU64</f>
        <v>1</v>
      </c>
      <c r="BW64" s="5">
        <f>deaths!BW64-deaths!BV64</f>
        <v>6</v>
      </c>
      <c r="BX64" s="5">
        <f>deaths!BX64-deaths!BW64</f>
        <v>6</v>
      </c>
      <c r="BY64" s="5">
        <f>deaths!BY64-deaths!BX64</f>
        <v>4</v>
      </c>
      <c r="BZ64" s="1">
        <f>deaths!BZ64</f>
        <v>3207</v>
      </c>
      <c r="CA64" s="1">
        <f>deaths!CA64</f>
        <v>3210</v>
      </c>
      <c r="CB64" s="1">
        <f>deaths!CB64</f>
        <v>3212</v>
      </c>
      <c r="CC64" s="1" t="str">
        <f>deaths!CC64</f>
        <v/>
      </c>
    </row>
    <row r="65">
      <c r="B65" s="1" t="str">
        <f>deaths!B65</f>
        <v>China</v>
      </c>
      <c r="C65" s="4">
        <f>deaths!C65</f>
        <v>27.6104</v>
      </c>
      <c r="D65" s="4">
        <f>deaths!D65</f>
        <v>111.7088</v>
      </c>
      <c r="E65" s="5">
        <f>deaths!E65</f>
        <v>0</v>
      </c>
      <c r="F65" s="5">
        <f>deaths!F65-deaths!E65</f>
        <v>0</v>
      </c>
      <c r="G65" s="5">
        <f>deaths!G65-deaths!F65</f>
        <v>0</v>
      </c>
      <c r="H65" s="5">
        <f>deaths!H65-deaths!G65</f>
        <v>0</v>
      </c>
      <c r="I65" s="5">
        <f>deaths!I65-deaths!H65</f>
        <v>0</v>
      </c>
      <c r="J65" s="5">
        <f>deaths!J65-deaths!I65</f>
        <v>0</v>
      </c>
      <c r="K65" s="5">
        <f>deaths!K65-deaths!J65</f>
        <v>0</v>
      </c>
      <c r="L65" s="5">
        <f>deaths!L65-deaths!K65</f>
        <v>0</v>
      </c>
      <c r="M65" s="5">
        <f>deaths!M65-deaths!L65</f>
        <v>0</v>
      </c>
      <c r="N65" s="5">
        <f>deaths!N65-deaths!M65</f>
        <v>0</v>
      </c>
      <c r="O65" s="5">
        <f>deaths!O65-deaths!N65</f>
        <v>0</v>
      </c>
      <c r="P65" s="5">
        <f>deaths!P65-deaths!O65</f>
        <v>0</v>
      </c>
      <c r="Q65" s="5">
        <f>deaths!Q65-deaths!P65</f>
        <v>0</v>
      </c>
      <c r="R65" s="5">
        <f>deaths!R65-deaths!Q65</f>
        <v>0</v>
      </c>
      <c r="S65" s="5">
        <f>deaths!S65-deaths!R65</f>
        <v>0</v>
      </c>
      <c r="T65" s="5">
        <f>deaths!T65-deaths!S65</f>
        <v>0</v>
      </c>
      <c r="U65" s="5">
        <f>deaths!U65-deaths!T65</f>
        <v>0</v>
      </c>
      <c r="V65" s="5">
        <f>deaths!V65-deaths!U65</f>
        <v>1</v>
      </c>
      <c r="W65" s="5">
        <f>deaths!W65-deaths!V65</f>
        <v>0</v>
      </c>
      <c r="X65" s="5">
        <f>deaths!X65-deaths!W65</f>
        <v>0</v>
      </c>
      <c r="Y65" s="5">
        <f>deaths!Y65-deaths!X65</f>
        <v>0</v>
      </c>
      <c r="Z65" s="5">
        <f>deaths!Z65-deaths!Y65</f>
        <v>1</v>
      </c>
      <c r="AA65" s="5">
        <f>deaths!AA65-deaths!Z65</f>
        <v>0</v>
      </c>
      <c r="AB65" s="5">
        <f>deaths!AB65-deaths!AA65</f>
        <v>0</v>
      </c>
      <c r="AC65" s="5">
        <f>deaths!AC65-deaths!AB65</f>
        <v>0</v>
      </c>
      <c r="AD65" s="5">
        <f>deaths!AD65-deaths!AC65</f>
        <v>1</v>
      </c>
      <c r="AE65" s="5">
        <f>deaths!AE65-deaths!AD65</f>
        <v>0</v>
      </c>
      <c r="AF65" s="5">
        <f>deaths!AF65-deaths!AE65</f>
        <v>1</v>
      </c>
      <c r="AG65" s="5">
        <f>deaths!AG65-deaths!AF65</f>
        <v>0</v>
      </c>
      <c r="AH65" s="5">
        <f>deaths!AH65-deaths!AG65</f>
        <v>0</v>
      </c>
      <c r="AI65" s="5">
        <f>deaths!AI65-deaths!AH65</f>
        <v>0</v>
      </c>
      <c r="AJ65" s="5">
        <f>deaths!AJ65-deaths!AI65</f>
        <v>0</v>
      </c>
      <c r="AK65" s="5">
        <f>deaths!AK65-deaths!AJ65</f>
        <v>0</v>
      </c>
      <c r="AL65" s="5">
        <f>deaths!AL65-deaths!AK65</f>
        <v>0</v>
      </c>
      <c r="AM65" s="5">
        <f>deaths!AM65-deaths!AL65</f>
        <v>0</v>
      </c>
      <c r="AN65" s="5">
        <f>deaths!AN65-deaths!AM65</f>
        <v>0</v>
      </c>
      <c r="AO65" s="5">
        <f>deaths!AO65-deaths!AN65</f>
        <v>0</v>
      </c>
      <c r="AP65" s="5">
        <f>deaths!AP65-deaths!AO65</f>
        <v>0</v>
      </c>
      <c r="AQ65" s="5">
        <f>deaths!AQ65-deaths!AP65</f>
        <v>0</v>
      </c>
      <c r="AR65" s="5">
        <f>deaths!AR65-deaths!AQ65</f>
        <v>0</v>
      </c>
      <c r="AS65" s="5">
        <f>deaths!AS65-deaths!AR65</f>
        <v>0</v>
      </c>
      <c r="AT65" s="5">
        <f>deaths!AT65-deaths!AS65</f>
        <v>0</v>
      </c>
      <c r="AU65" s="5">
        <f>deaths!AU65-deaths!AT65</f>
        <v>0</v>
      </c>
      <c r="AV65" s="5">
        <f>deaths!AV65-deaths!AU65</f>
        <v>0</v>
      </c>
      <c r="AW65" s="5">
        <f>deaths!AW65-deaths!AV65</f>
        <v>0</v>
      </c>
      <c r="AX65" s="5">
        <f>deaths!AX65-deaths!AW65</f>
        <v>0</v>
      </c>
      <c r="AY65" s="5">
        <f>deaths!AY65-deaths!AX65</f>
        <v>0</v>
      </c>
      <c r="AZ65" s="5">
        <f>deaths!AZ65-deaths!AY65</f>
        <v>0</v>
      </c>
      <c r="BA65" s="5">
        <f>deaths!BA65-deaths!AZ65</f>
        <v>0</v>
      </c>
      <c r="BB65" s="5">
        <f>deaths!BB65-deaths!BA65</f>
        <v>0</v>
      </c>
      <c r="BC65" s="5">
        <f>deaths!BC65-deaths!BB65</f>
        <v>0</v>
      </c>
      <c r="BD65" s="5">
        <f>deaths!BD65-deaths!BC65</f>
        <v>0</v>
      </c>
      <c r="BE65" s="5">
        <f>deaths!BE65-deaths!BD65</f>
        <v>0</v>
      </c>
      <c r="BF65" s="5">
        <f>deaths!BF65-deaths!BE65</f>
        <v>0</v>
      </c>
      <c r="BG65" s="5">
        <f>deaths!BG65-deaths!BF65</f>
        <v>0</v>
      </c>
      <c r="BH65" s="5">
        <f>deaths!BH65-deaths!BG65</f>
        <v>0</v>
      </c>
      <c r="BI65" s="5">
        <f>deaths!BI65-deaths!BH65</f>
        <v>0</v>
      </c>
      <c r="BJ65" s="5">
        <f>deaths!BJ65-deaths!BI65</f>
        <v>0</v>
      </c>
      <c r="BK65" s="5">
        <f>deaths!BK65-deaths!BJ65</f>
        <v>0</v>
      </c>
      <c r="BL65" s="5">
        <f>deaths!BL65-deaths!BK65</f>
        <v>0</v>
      </c>
      <c r="BM65" s="5">
        <f>deaths!BM65-deaths!BL65</f>
        <v>0</v>
      </c>
      <c r="BN65" s="5">
        <f>deaths!BN65-deaths!BM65</f>
        <v>0</v>
      </c>
      <c r="BO65" s="5">
        <f>deaths!BO65-deaths!BN65</f>
        <v>0</v>
      </c>
      <c r="BP65" s="5">
        <f>deaths!BP65-deaths!BO65</f>
        <v>0</v>
      </c>
      <c r="BQ65" s="5">
        <f>deaths!BQ65-deaths!BP65</f>
        <v>0</v>
      </c>
      <c r="BR65" s="5">
        <f>deaths!BR65-deaths!BQ65</f>
        <v>0</v>
      </c>
      <c r="BS65" s="5">
        <f>deaths!BS65-deaths!BR65</f>
        <v>0</v>
      </c>
      <c r="BT65" s="5">
        <f>deaths!BT65-deaths!BS65</f>
        <v>0</v>
      </c>
      <c r="BU65" s="5">
        <f>deaths!BU65-deaths!BT65</f>
        <v>0</v>
      </c>
      <c r="BV65" s="5">
        <f>deaths!BV65-deaths!BU65</f>
        <v>0</v>
      </c>
      <c r="BW65" s="5">
        <f>deaths!BW65-deaths!BV65</f>
        <v>0</v>
      </c>
      <c r="BX65" s="5">
        <f>deaths!BX65-deaths!BW65</f>
        <v>0</v>
      </c>
      <c r="BY65" s="5">
        <f>deaths!BY65-deaths!BX65</f>
        <v>0</v>
      </c>
      <c r="BZ65" s="1">
        <f>deaths!BZ65</f>
        <v>4</v>
      </c>
      <c r="CA65" s="1">
        <f>deaths!CA65</f>
        <v>4</v>
      </c>
      <c r="CB65" s="1">
        <f>deaths!CB65</f>
        <v>4</v>
      </c>
      <c r="CC65" s="1" t="str">
        <f>deaths!CC65</f>
        <v/>
      </c>
    </row>
    <row r="66">
      <c r="B66" s="1" t="str">
        <f>deaths!B66</f>
        <v>China</v>
      </c>
      <c r="C66" s="4">
        <f>deaths!C66</f>
        <v>44.0935</v>
      </c>
      <c r="D66" s="4">
        <f>deaths!D66</f>
        <v>113.9448</v>
      </c>
      <c r="E66" s="5">
        <f>deaths!E66</f>
        <v>0</v>
      </c>
      <c r="F66" s="5">
        <f>deaths!F66-deaths!E66</f>
        <v>0</v>
      </c>
      <c r="G66" s="5">
        <f>deaths!G66-deaths!F66</f>
        <v>0</v>
      </c>
      <c r="H66" s="5">
        <f>deaths!H66-deaths!G66</f>
        <v>0</v>
      </c>
      <c r="I66" s="5">
        <f>deaths!I66-deaths!H66</f>
        <v>0</v>
      </c>
      <c r="J66" s="5">
        <f>deaths!J66-deaths!I66</f>
        <v>0</v>
      </c>
      <c r="K66" s="5">
        <f>deaths!K66-deaths!J66</f>
        <v>0</v>
      </c>
      <c r="L66" s="5">
        <f>deaths!L66-deaths!K66</f>
        <v>0</v>
      </c>
      <c r="M66" s="5">
        <f>deaths!M66-deaths!L66</f>
        <v>0</v>
      </c>
      <c r="N66" s="5">
        <f>deaths!N66-deaths!M66</f>
        <v>0</v>
      </c>
      <c r="O66" s="5">
        <f>deaths!O66-deaths!N66</f>
        <v>0</v>
      </c>
      <c r="P66" s="5">
        <f>deaths!P66-deaths!O66</f>
        <v>0</v>
      </c>
      <c r="Q66" s="5">
        <f>deaths!Q66-deaths!P66</f>
        <v>0</v>
      </c>
      <c r="R66" s="5">
        <f>deaths!R66-deaths!Q66</f>
        <v>0</v>
      </c>
      <c r="S66" s="5">
        <f>deaths!S66-deaths!R66</f>
        <v>0</v>
      </c>
      <c r="T66" s="5">
        <f>deaths!T66-deaths!S66</f>
        <v>0</v>
      </c>
      <c r="U66" s="5">
        <f>deaths!U66-deaths!T66</f>
        <v>0</v>
      </c>
      <c r="V66" s="5">
        <f>deaths!V66-deaths!U66</f>
        <v>0</v>
      </c>
      <c r="W66" s="5">
        <f>deaths!W66-deaths!V66</f>
        <v>0</v>
      </c>
      <c r="X66" s="5">
        <f>deaths!X66-deaths!W66</f>
        <v>0</v>
      </c>
      <c r="Y66" s="5">
        <f>deaths!Y66-deaths!X66</f>
        <v>0</v>
      </c>
      <c r="Z66" s="5">
        <f>deaths!Z66-deaths!Y66</f>
        <v>0</v>
      </c>
      <c r="AA66" s="5">
        <f>deaths!AA66-deaths!Z66</f>
        <v>0</v>
      </c>
      <c r="AB66" s="5">
        <f>deaths!AB66-deaths!AA66</f>
        <v>0</v>
      </c>
      <c r="AC66" s="5">
        <f>deaths!AC66-deaths!AB66</f>
        <v>0</v>
      </c>
      <c r="AD66" s="5">
        <f>deaths!AD66-deaths!AC66</f>
        <v>0</v>
      </c>
      <c r="AE66" s="5">
        <f>deaths!AE66-deaths!AD66</f>
        <v>0</v>
      </c>
      <c r="AF66" s="5">
        <f>deaths!AF66-deaths!AE66</f>
        <v>0</v>
      </c>
      <c r="AG66" s="5">
        <f>deaths!AG66-deaths!AF66</f>
        <v>0</v>
      </c>
      <c r="AH66" s="5">
        <f>deaths!AH66-deaths!AG66</f>
        <v>0</v>
      </c>
      <c r="AI66" s="5">
        <f>deaths!AI66-deaths!AH66</f>
        <v>0</v>
      </c>
      <c r="AJ66" s="5">
        <f>deaths!AJ66-deaths!AI66</f>
        <v>0</v>
      </c>
      <c r="AK66" s="5">
        <f>deaths!AK66-deaths!AJ66</f>
        <v>0</v>
      </c>
      <c r="AL66" s="5">
        <f>deaths!AL66-deaths!AK66</f>
        <v>0</v>
      </c>
      <c r="AM66" s="5">
        <f>deaths!AM66-deaths!AL66</f>
        <v>0</v>
      </c>
      <c r="AN66" s="5">
        <f>deaths!AN66-deaths!AM66</f>
        <v>0</v>
      </c>
      <c r="AO66" s="5">
        <f>deaths!AO66-deaths!AN66</f>
        <v>0</v>
      </c>
      <c r="AP66" s="5">
        <f>deaths!AP66-deaths!AO66</f>
        <v>0</v>
      </c>
      <c r="AQ66" s="5">
        <f>deaths!AQ66-deaths!AP66</f>
        <v>0</v>
      </c>
      <c r="AR66" s="5">
        <f>deaths!AR66-deaths!AQ66</f>
        <v>0</v>
      </c>
      <c r="AS66" s="5">
        <f>deaths!AS66-deaths!AR66</f>
        <v>0</v>
      </c>
      <c r="AT66" s="5">
        <f>deaths!AT66-deaths!AS66</f>
        <v>1</v>
      </c>
      <c r="AU66" s="5">
        <f>deaths!AU66-deaths!AT66</f>
        <v>0</v>
      </c>
      <c r="AV66" s="5">
        <f>deaths!AV66-deaths!AU66</f>
        <v>0</v>
      </c>
      <c r="AW66" s="5">
        <f>deaths!AW66-deaths!AV66</f>
        <v>0</v>
      </c>
      <c r="AX66" s="5">
        <f>deaths!AX66-deaths!AW66</f>
        <v>0</v>
      </c>
      <c r="AY66" s="5">
        <f>deaths!AY66-deaths!AX66</f>
        <v>0</v>
      </c>
      <c r="AZ66" s="5">
        <f>deaths!AZ66-deaths!AY66</f>
        <v>0</v>
      </c>
      <c r="BA66" s="5">
        <f>deaths!BA66-deaths!AZ66</f>
        <v>0</v>
      </c>
      <c r="BB66" s="5">
        <f>deaths!BB66-deaths!BA66</f>
        <v>0</v>
      </c>
      <c r="BC66" s="5">
        <f>deaths!BC66-deaths!BB66</f>
        <v>0</v>
      </c>
      <c r="BD66" s="5">
        <f>deaths!BD66-deaths!BC66</f>
        <v>0</v>
      </c>
      <c r="BE66" s="5">
        <f>deaths!BE66-deaths!BD66</f>
        <v>0</v>
      </c>
      <c r="BF66" s="5">
        <f>deaths!BF66-deaths!BE66</f>
        <v>0</v>
      </c>
      <c r="BG66" s="5">
        <f>deaths!BG66-deaths!BF66</f>
        <v>0</v>
      </c>
      <c r="BH66" s="5">
        <f>deaths!BH66-deaths!BG66</f>
        <v>0</v>
      </c>
      <c r="BI66" s="5">
        <f>deaths!BI66-deaths!BH66</f>
        <v>0</v>
      </c>
      <c r="BJ66" s="5">
        <f>deaths!BJ66-deaths!BI66</f>
        <v>0</v>
      </c>
      <c r="BK66" s="5">
        <f>deaths!BK66-deaths!BJ66</f>
        <v>0</v>
      </c>
      <c r="BL66" s="5">
        <f>deaths!BL66-deaths!BK66</f>
        <v>0</v>
      </c>
      <c r="BM66" s="5">
        <f>deaths!BM66-deaths!BL66</f>
        <v>0</v>
      </c>
      <c r="BN66" s="5">
        <f>deaths!BN66-deaths!BM66</f>
        <v>0</v>
      </c>
      <c r="BO66" s="5">
        <f>deaths!BO66-deaths!BN66</f>
        <v>0</v>
      </c>
      <c r="BP66" s="5">
        <f>deaths!BP66-deaths!BO66</f>
        <v>0</v>
      </c>
      <c r="BQ66" s="5">
        <f>deaths!BQ66-deaths!BP66</f>
        <v>0</v>
      </c>
      <c r="BR66" s="5">
        <f>deaths!BR66-deaths!BQ66</f>
        <v>0</v>
      </c>
      <c r="BS66" s="5">
        <f>deaths!BS66-deaths!BR66</f>
        <v>0</v>
      </c>
      <c r="BT66" s="5">
        <f>deaths!BT66-deaths!BS66</f>
        <v>0</v>
      </c>
      <c r="BU66" s="5">
        <f>deaths!BU66-deaths!BT66</f>
        <v>0</v>
      </c>
      <c r="BV66" s="5">
        <f>deaths!BV66-deaths!BU66</f>
        <v>0</v>
      </c>
      <c r="BW66" s="5">
        <f>deaths!BW66-deaths!BV66</f>
        <v>0</v>
      </c>
      <c r="BX66" s="5">
        <f>deaths!BX66-deaths!BW66</f>
        <v>0</v>
      </c>
      <c r="BY66" s="5">
        <f>deaths!BY66-deaths!BX66</f>
        <v>0</v>
      </c>
      <c r="BZ66" s="1">
        <f>deaths!BZ66</f>
        <v>1</v>
      </c>
      <c r="CA66" s="1">
        <f>deaths!CA66</f>
        <v>1</v>
      </c>
      <c r="CB66" s="1">
        <f>deaths!CB66</f>
        <v>1</v>
      </c>
      <c r="CC66" s="1" t="str">
        <f>deaths!CC66</f>
        <v/>
      </c>
    </row>
    <row r="67">
      <c r="B67" s="1" t="str">
        <f>deaths!B67</f>
        <v>China</v>
      </c>
      <c r="C67" s="4">
        <f>deaths!C67</f>
        <v>32.9711</v>
      </c>
      <c r="D67" s="4">
        <f>deaths!D67</f>
        <v>119.455</v>
      </c>
      <c r="E67" s="5">
        <f>deaths!E67</f>
        <v>0</v>
      </c>
      <c r="F67" s="5">
        <f>deaths!F67-deaths!E67</f>
        <v>0</v>
      </c>
      <c r="G67" s="5">
        <f>deaths!G67-deaths!F67</f>
        <v>0</v>
      </c>
      <c r="H67" s="5">
        <f>deaths!H67-deaths!G67</f>
        <v>0</v>
      </c>
      <c r="I67" s="5">
        <f>deaths!I67-deaths!H67</f>
        <v>0</v>
      </c>
      <c r="J67" s="5">
        <f>deaths!J67-deaths!I67</f>
        <v>0</v>
      </c>
      <c r="K67" s="5">
        <f>deaths!K67-deaths!J67</f>
        <v>0</v>
      </c>
      <c r="L67" s="5">
        <f>deaths!L67-deaths!K67</f>
        <v>0</v>
      </c>
      <c r="M67" s="5">
        <f>deaths!M67-deaths!L67</f>
        <v>0</v>
      </c>
      <c r="N67" s="5">
        <f>deaths!N67-deaths!M67</f>
        <v>0</v>
      </c>
      <c r="O67" s="5">
        <f>deaths!O67-deaths!N67</f>
        <v>0</v>
      </c>
      <c r="P67" s="5">
        <f>deaths!P67-deaths!O67</f>
        <v>0</v>
      </c>
      <c r="Q67" s="5">
        <f>deaths!Q67-deaths!P67</f>
        <v>0</v>
      </c>
      <c r="R67" s="5">
        <f>deaths!R67-deaths!Q67</f>
        <v>0</v>
      </c>
      <c r="S67" s="5">
        <f>deaths!S67-deaths!R67</f>
        <v>0</v>
      </c>
      <c r="T67" s="5">
        <f>deaths!T67-deaths!S67</f>
        <v>0</v>
      </c>
      <c r="U67" s="5">
        <f>deaths!U67-deaths!T67</f>
        <v>0</v>
      </c>
      <c r="V67" s="5">
        <f>deaths!V67-deaths!U67</f>
        <v>0</v>
      </c>
      <c r="W67" s="5">
        <f>deaths!W67-deaths!V67</f>
        <v>0</v>
      </c>
      <c r="X67" s="5">
        <f>deaths!X67-deaths!W67</f>
        <v>0</v>
      </c>
      <c r="Y67" s="5">
        <f>deaths!Y67-deaths!X67</f>
        <v>0</v>
      </c>
      <c r="Z67" s="5">
        <f>deaths!Z67-deaths!Y67</f>
        <v>0</v>
      </c>
      <c r="AA67" s="5">
        <f>deaths!AA67-deaths!Z67</f>
        <v>0</v>
      </c>
      <c r="AB67" s="5">
        <f>deaths!AB67-deaths!AA67</f>
        <v>0</v>
      </c>
      <c r="AC67" s="5">
        <f>deaths!AC67-deaths!AB67</f>
        <v>0</v>
      </c>
      <c r="AD67" s="5">
        <f>deaths!AD67-deaths!AC67</f>
        <v>0</v>
      </c>
      <c r="AE67" s="5">
        <f>deaths!AE67-deaths!AD67</f>
        <v>0</v>
      </c>
      <c r="AF67" s="5">
        <f>deaths!AF67-deaths!AE67</f>
        <v>0</v>
      </c>
      <c r="AG67" s="5">
        <f>deaths!AG67-deaths!AF67</f>
        <v>0</v>
      </c>
      <c r="AH67" s="5">
        <f>deaths!AH67-deaths!AG67</f>
        <v>0</v>
      </c>
      <c r="AI67" s="5">
        <f>deaths!AI67-deaths!AH67</f>
        <v>0</v>
      </c>
      <c r="AJ67" s="5">
        <f>deaths!AJ67-deaths!AI67</f>
        <v>0</v>
      </c>
      <c r="AK67" s="5">
        <f>deaths!AK67-deaths!AJ67</f>
        <v>0</v>
      </c>
      <c r="AL67" s="5">
        <f>deaths!AL67-deaths!AK67</f>
        <v>0</v>
      </c>
      <c r="AM67" s="5">
        <f>deaths!AM67-deaths!AL67</f>
        <v>0</v>
      </c>
      <c r="AN67" s="5">
        <f>deaths!AN67-deaths!AM67</f>
        <v>0</v>
      </c>
      <c r="AO67" s="5">
        <f>deaths!AO67-deaths!AN67</f>
        <v>0</v>
      </c>
      <c r="AP67" s="5">
        <f>deaths!AP67-deaths!AO67</f>
        <v>0</v>
      </c>
      <c r="AQ67" s="5">
        <f>deaths!AQ67-deaths!AP67</f>
        <v>0</v>
      </c>
      <c r="AR67" s="5">
        <f>deaths!AR67-deaths!AQ67</f>
        <v>0</v>
      </c>
      <c r="AS67" s="5">
        <f>deaths!AS67-deaths!AR67</f>
        <v>0</v>
      </c>
      <c r="AT67" s="5">
        <f>deaths!AT67-deaths!AS67</f>
        <v>0</v>
      </c>
      <c r="AU67" s="5">
        <f>deaths!AU67-deaths!AT67</f>
        <v>0</v>
      </c>
      <c r="AV67" s="5">
        <f>deaths!AV67-deaths!AU67</f>
        <v>0</v>
      </c>
      <c r="AW67" s="5">
        <f>deaths!AW67-deaths!AV67</f>
        <v>0</v>
      </c>
      <c r="AX67" s="5">
        <f>deaths!AX67-deaths!AW67</f>
        <v>0</v>
      </c>
      <c r="AY67" s="5">
        <f>deaths!AY67-deaths!AX67</f>
        <v>0</v>
      </c>
      <c r="AZ67" s="5">
        <f>deaths!AZ67-deaths!AY67</f>
        <v>0</v>
      </c>
      <c r="BA67" s="5">
        <f>deaths!BA67-deaths!AZ67</f>
        <v>0</v>
      </c>
      <c r="BB67" s="5">
        <f>deaths!BB67-deaths!BA67</f>
        <v>0</v>
      </c>
      <c r="BC67" s="5">
        <f>deaths!BC67-deaths!BB67</f>
        <v>0</v>
      </c>
      <c r="BD67" s="5">
        <f>deaths!BD67-deaths!BC67</f>
        <v>0</v>
      </c>
      <c r="BE67" s="5">
        <f>deaths!BE67-deaths!BD67</f>
        <v>0</v>
      </c>
      <c r="BF67" s="5">
        <f>deaths!BF67-deaths!BE67</f>
        <v>0</v>
      </c>
      <c r="BG67" s="5">
        <f>deaths!BG67-deaths!BF67</f>
        <v>0</v>
      </c>
      <c r="BH67" s="5">
        <f>deaths!BH67-deaths!BG67</f>
        <v>0</v>
      </c>
      <c r="BI67" s="5">
        <f>deaths!BI67-deaths!BH67</f>
        <v>0</v>
      </c>
      <c r="BJ67" s="5">
        <f>deaths!BJ67-deaths!BI67</f>
        <v>0</v>
      </c>
      <c r="BK67" s="5">
        <f>deaths!BK67-deaths!BJ67</f>
        <v>0</v>
      </c>
      <c r="BL67" s="5">
        <f>deaths!BL67-deaths!BK67</f>
        <v>0</v>
      </c>
      <c r="BM67" s="5">
        <f>deaths!BM67-deaths!BL67</f>
        <v>0</v>
      </c>
      <c r="BN67" s="5">
        <f>deaths!BN67-deaths!BM67</f>
        <v>0</v>
      </c>
      <c r="BO67" s="5">
        <f>deaths!BO67-deaths!BN67</f>
        <v>0</v>
      </c>
      <c r="BP67" s="5">
        <f>deaths!BP67-deaths!BO67</f>
        <v>0</v>
      </c>
      <c r="BQ67" s="5">
        <f>deaths!BQ67-deaths!BP67</f>
        <v>0</v>
      </c>
      <c r="BR67" s="5">
        <f>deaths!BR67-deaths!BQ67</f>
        <v>0</v>
      </c>
      <c r="BS67" s="5">
        <f>deaths!BS67-deaths!BR67</f>
        <v>0</v>
      </c>
      <c r="BT67" s="5">
        <f>deaths!BT67-deaths!BS67</f>
        <v>0</v>
      </c>
      <c r="BU67" s="5">
        <f>deaths!BU67-deaths!BT67</f>
        <v>0</v>
      </c>
      <c r="BV67" s="5">
        <f>deaths!BV67-deaths!BU67</f>
        <v>0</v>
      </c>
      <c r="BW67" s="5">
        <f>deaths!BW67-deaths!BV67</f>
        <v>0</v>
      </c>
      <c r="BX67" s="5">
        <f>deaths!BX67-deaths!BW67</f>
        <v>0</v>
      </c>
      <c r="BY67" s="5">
        <f>deaths!BY67-deaths!BX67</f>
        <v>0</v>
      </c>
      <c r="BZ67" s="1">
        <f>deaths!BZ67</f>
        <v>0</v>
      </c>
      <c r="CA67" s="1">
        <f>deaths!CA67</f>
        <v>0</v>
      </c>
      <c r="CB67" s="1">
        <f>deaths!CB67</f>
        <v>0</v>
      </c>
      <c r="CC67" s="1" t="str">
        <f>deaths!CC67</f>
        <v/>
      </c>
    </row>
    <row r="68">
      <c r="B68" s="1" t="str">
        <f>deaths!B68</f>
        <v>China</v>
      </c>
      <c r="C68" s="4">
        <f>deaths!C68</f>
        <v>27.614</v>
      </c>
      <c r="D68" s="4">
        <f>deaths!D68</f>
        <v>115.7221</v>
      </c>
      <c r="E68" s="5">
        <f>deaths!E68</f>
        <v>0</v>
      </c>
      <c r="F68" s="5">
        <f>deaths!F68-deaths!E68</f>
        <v>0</v>
      </c>
      <c r="G68" s="5">
        <f>deaths!G68-deaths!F68</f>
        <v>0</v>
      </c>
      <c r="H68" s="5">
        <f>deaths!H68-deaths!G68</f>
        <v>0</v>
      </c>
      <c r="I68" s="5">
        <f>deaths!I68-deaths!H68</f>
        <v>0</v>
      </c>
      <c r="J68" s="5">
        <f>deaths!J68-deaths!I68</f>
        <v>0</v>
      </c>
      <c r="K68" s="5">
        <f>deaths!K68-deaths!J68</f>
        <v>0</v>
      </c>
      <c r="L68" s="5">
        <f>deaths!L68-deaths!K68</f>
        <v>0</v>
      </c>
      <c r="M68" s="5">
        <f>deaths!M68-deaths!L68</f>
        <v>0</v>
      </c>
      <c r="N68" s="5">
        <f>deaths!N68-deaths!M68</f>
        <v>0</v>
      </c>
      <c r="O68" s="5">
        <f>deaths!O68-deaths!N68</f>
        <v>0</v>
      </c>
      <c r="P68" s="5">
        <f>deaths!P68-deaths!O68</f>
        <v>0</v>
      </c>
      <c r="Q68" s="5">
        <f>deaths!Q68-deaths!P68</f>
        <v>0</v>
      </c>
      <c r="R68" s="5">
        <f>deaths!R68-deaths!Q68</f>
        <v>0</v>
      </c>
      <c r="S68" s="5">
        <f>deaths!S68-deaths!R68</f>
        <v>0</v>
      </c>
      <c r="T68" s="5">
        <f>deaths!T68-deaths!S68</f>
        <v>0</v>
      </c>
      <c r="U68" s="5">
        <f>deaths!U68-deaths!T68</f>
        <v>0</v>
      </c>
      <c r="V68" s="5">
        <f>deaths!V68-deaths!U68</f>
        <v>0</v>
      </c>
      <c r="W68" s="5">
        <f>deaths!W68-deaths!V68</f>
        <v>0</v>
      </c>
      <c r="X68" s="5">
        <f>deaths!X68-deaths!W68</f>
        <v>1</v>
      </c>
      <c r="Y68" s="5">
        <f>deaths!Y68-deaths!X68</f>
        <v>0</v>
      </c>
      <c r="Z68" s="5">
        <f>deaths!Z68-deaths!Y68</f>
        <v>0</v>
      </c>
      <c r="AA68" s="5">
        <f>deaths!AA68-deaths!Z68</f>
        <v>0</v>
      </c>
      <c r="AB68" s="5">
        <f>deaths!AB68-deaths!AA68</f>
        <v>0</v>
      </c>
      <c r="AC68" s="5">
        <f>deaths!AC68-deaths!AB68</f>
        <v>0</v>
      </c>
      <c r="AD68" s="5">
        <f>deaths!AD68-deaths!AC68</f>
        <v>0</v>
      </c>
      <c r="AE68" s="5">
        <f>deaths!AE68-deaths!AD68</f>
        <v>0</v>
      </c>
      <c r="AF68" s="5">
        <f>deaths!AF68-deaths!AE68</f>
        <v>0</v>
      </c>
      <c r="AG68" s="5">
        <f>deaths!AG68-deaths!AF68</f>
        <v>0</v>
      </c>
      <c r="AH68" s="5">
        <f>deaths!AH68-deaths!AG68</f>
        <v>0</v>
      </c>
      <c r="AI68" s="5">
        <f>deaths!AI68-deaths!AH68</f>
        <v>0</v>
      </c>
      <c r="AJ68" s="5">
        <f>deaths!AJ68-deaths!AI68</f>
        <v>0</v>
      </c>
      <c r="AK68" s="5">
        <f>deaths!AK68-deaths!AJ68</f>
        <v>0</v>
      </c>
      <c r="AL68" s="5">
        <f>deaths!AL68-deaths!AK68</f>
        <v>0</v>
      </c>
      <c r="AM68" s="5">
        <f>deaths!AM68-deaths!AL68</f>
        <v>0</v>
      </c>
      <c r="AN68" s="5">
        <f>deaths!AN68-deaths!AM68</f>
        <v>0</v>
      </c>
      <c r="AO68" s="5">
        <f>deaths!AO68-deaths!AN68</f>
        <v>0</v>
      </c>
      <c r="AP68" s="5">
        <f>deaths!AP68-deaths!AO68</f>
        <v>0</v>
      </c>
      <c r="AQ68" s="5">
        <f>deaths!AQ68-deaths!AP68</f>
        <v>0</v>
      </c>
      <c r="AR68" s="5">
        <f>deaths!AR68-deaths!AQ68</f>
        <v>0</v>
      </c>
      <c r="AS68" s="5">
        <f>deaths!AS68-deaths!AR68</f>
        <v>0</v>
      </c>
      <c r="AT68" s="5">
        <f>deaths!AT68-deaths!AS68</f>
        <v>0</v>
      </c>
      <c r="AU68" s="5">
        <f>deaths!AU68-deaths!AT68</f>
        <v>0</v>
      </c>
      <c r="AV68" s="5">
        <f>deaths!AV68-deaths!AU68</f>
        <v>0</v>
      </c>
      <c r="AW68" s="5">
        <f>deaths!AW68-deaths!AV68</f>
        <v>0</v>
      </c>
      <c r="AX68" s="5">
        <f>deaths!AX68-deaths!AW68</f>
        <v>0</v>
      </c>
      <c r="AY68" s="5">
        <f>deaths!AY68-deaths!AX68</f>
        <v>0</v>
      </c>
      <c r="AZ68" s="5">
        <f>deaths!AZ68-deaths!AY68</f>
        <v>0</v>
      </c>
      <c r="BA68" s="5">
        <f>deaths!BA68-deaths!AZ68</f>
        <v>0</v>
      </c>
      <c r="BB68" s="5">
        <f>deaths!BB68-deaths!BA68</f>
        <v>0</v>
      </c>
      <c r="BC68" s="5">
        <f>deaths!BC68-deaths!BB68</f>
        <v>0</v>
      </c>
      <c r="BD68" s="5">
        <f>deaths!BD68-deaths!BC68</f>
        <v>0</v>
      </c>
      <c r="BE68" s="5">
        <f>deaths!BE68-deaths!BD68</f>
        <v>0</v>
      </c>
      <c r="BF68" s="5">
        <f>deaths!BF68-deaths!BE68</f>
        <v>0</v>
      </c>
      <c r="BG68" s="5">
        <f>deaths!BG68-deaths!BF68</f>
        <v>0</v>
      </c>
      <c r="BH68" s="5">
        <f>deaths!BH68-deaths!BG68</f>
        <v>0</v>
      </c>
      <c r="BI68" s="5">
        <f>deaths!BI68-deaths!BH68</f>
        <v>0</v>
      </c>
      <c r="BJ68" s="5">
        <f>deaths!BJ68-deaths!BI68</f>
        <v>0</v>
      </c>
      <c r="BK68" s="5">
        <f>deaths!BK68-deaths!BJ68</f>
        <v>0</v>
      </c>
      <c r="BL68" s="5">
        <f>deaths!BL68-deaths!BK68</f>
        <v>0</v>
      </c>
      <c r="BM68" s="5">
        <f>deaths!BM68-deaths!BL68</f>
        <v>0</v>
      </c>
      <c r="BN68" s="5">
        <f>deaths!BN68-deaths!BM68</f>
        <v>0</v>
      </c>
      <c r="BO68" s="5">
        <f>deaths!BO68-deaths!BN68</f>
        <v>0</v>
      </c>
      <c r="BP68" s="5">
        <f>deaths!BP68-deaths!BO68</f>
        <v>0</v>
      </c>
      <c r="BQ68" s="5">
        <f>deaths!BQ68-deaths!BP68</f>
        <v>0</v>
      </c>
      <c r="BR68" s="5">
        <f>deaths!BR68-deaths!BQ68</f>
        <v>0</v>
      </c>
      <c r="BS68" s="5">
        <f>deaths!BS68-deaths!BR68</f>
        <v>0</v>
      </c>
      <c r="BT68" s="5">
        <f>deaths!BT68-deaths!BS68</f>
        <v>0</v>
      </c>
      <c r="BU68" s="5">
        <f>deaths!BU68-deaths!BT68</f>
        <v>0</v>
      </c>
      <c r="BV68" s="5">
        <f>deaths!BV68-deaths!BU68</f>
        <v>0</v>
      </c>
      <c r="BW68" s="5">
        <f>deaths!BW68-deaths!BV68</f>
        <v>0</v>
      </c>
      <c r="BX68" s="5">
        <f>deaths!BX68-deaths!BW68</f>
        <v>0</v>
      </c>
      <c r="BY68" s="5">
        <f>deaths!BY68-deaths!BX68</f>
        <v>0</v>
      </c>
      <c r="BZ68" s="1">
        <f>deaths!BZ68</f>
        <v>1</v>
      </c>
      <c r="CA68" s="1">
        <f>deaths!CA68</f>
        <v>1</v>
      </c>
      <c r="CB68" s="1">
        <f>deaths!CB68</f>
        <v>1</v>
      </c>
      <c r="CC68" s="1" t="str">
        <f>deaths!CC68</f>
        <v/>
      </c>
    </row>
    <row r="69">
      <c r="B69" s="1" t="str">
        <f>deaths!B69</f>
        <v>China</v>
      </c>
      <c r="C69" s="4">
        <f>deaths!C69</f>
        <v>43.6661</v>
      </c>
      <c r="D69" s="4">
        <f>deaths!D69</f>
        <v>126.1923</v>
      </c>
      <c r="E69" s="5">
        <f>deaths!E69</f>
        <v>0</v>
      </c>
      <c r="F69" s="5">
        <f>deaths!F69-deaths!E69</f>
        <v>0</v>
      </c>
      <c r="G69" s="5">
        <f>deaths!G69-deaths!F69</f>
        <v>0</v>
      </c>
      <c r="H69" s="5">
        <f>deaths!H69-deaths!G69</f>
        <v>0</v>
      </c>
      <c r="I69" s="5">
        <f>deaths!I69-deaths!H69</f>
        <v>0</v>
      </c>
      <c r="J69" s="5">
        <f>deaths!J69-deaths!I69</f>
        <v>0</v>
      </c>
      <c r="K69" s="5">
        <f>deaths!K69-deaths!J69</f>
        <v>0</v>
      </c>
      <c r="L69" s="5">
        <f>deaths!L69-deaths!K69</f>
        <v>0</v>
      </c>
      <c r="M69" s="5">
        <f>deaths!M69-deaths!L69</f>
        <v>0</v>
      </c>
      <c r="N69" s="5">
        <f>deaths!N69-deaths!M69</f>
        <v>0</v>
      </c>
      <c r="O69" s="5">
        <f>deaths!O69-deaths!N69</f>
        <v>0</v>
      </c>
      <c r="P69" s="5">
        <f>deaths!P69-deaths!O69</f>
        <v>0</v>
      </c>
      <c r="Q69" s="5">
        <f>deaths!Q69-deaths!P69</f>
        <v>0</v>
      </c>
      <c r="R69" s="5">
        <f>deaths!R69-deaths!Q69</f>
        <v>0</v>
      </c>
      <c r="S69" s="5">
        <f>deaths!S69-deaths!R69</f>
        <v>0</v>
      </c>
      <c r="T69" s="5">
        <f>deaths!T69-deaths!S69</f>
        <v>0</v>
      </c>
      <c r="U69" s="5">
        <f>deaths!U69-deaths!T69</f>
        <v>1</v>
      </c>
      <c r="V69" s="5">
        <f>deaths!V69-deaths!U69</f>
        <v>0</v>
      </c>
      <c r="W69" s="5">
        <f>deaths!W69-deaths!V69</f>
        <v>0</v>
      </c>
      <c r="X69" s="5">
        <f>deaths!X69-deaths!W69</f>
        <v>0</v>
      </c>
      <c r="Y69" s="5">
        <f>deaths!Y69-deaths!X69</f>
        <v>0</v>
      </c>
      <c r="Z69" s="5">
        <f>deaths!Z69-deaths!Y69</f>
        <v>0</v>
      </c>
      <c r="AA69" s="5">
        <f>deaths!AA69-deaths!Z69</f>
        <v>0</v>
      </c>
      <c r="AB69" s="5">
        <f>deaths!AB69-deaths!AA69</f>
        <v>0</v>
      </c>
      <c r="AC69" s="5">
        <f>deaths!AC69-deaths!AB69</f>
        <v>0</v>
      </c>
      <c r="AD69" s="5">
        <f>deaths!AD69-deaths!AC69</f>
        <v>0</v>
      </c>
      <c r="AE69" s="5">
        <f>deaths!AE69-deaths!AD69</f>
        <v>0</v>
      </c>
      <c r="AF69" s="5">
        <f>deaths!AF69-deaths!AE69</f>
        <v>0</v>
      </c>
      <c r="AG69" s="5">
        <f>deaths!AG69-deaths!AF69</f>
        <v>0</v>
      </c>
      <c r="AH69" s="5">
        <f>deaths!AH69-deaths!AG69</f>
        <v>0</v>
      </c>
      <c r="AI69" s="5">
        <f>deaths!AI69-deaths!AH69</f>
        <v>0</v>
      </c>
      <c r="AJ69" s="5">
        <f>deaths!AJ69-deaths!AI69</f>
        <v>0</v>
      </c>
      <c r="AK69" s="5">
        <f>deaths!AK69-deaths!AJ69</f>
        <v>0</v>
      </c>
      <c r="AL69" s="5">
        <f>deaths!AL69-deaths!AK69</f>
        <v>0</v>
      </c>
      <c r="AM69" s="5">
        <f>deaths!AM69-deaths!AL69</f>
        <v>0</v>
      </c>
      <c r="AN69" s="5">
        <f>deaths!AN69-deaths!AM69</f>
        <v>0</v>
      </c>
      <c r="AO69" s="5">
        <f>deaths!AO69-deaths!AN69</f>
        <v>0</v>
      </c>
      <c r="AP69" s="5">
        <f>deaths!AP69-deaths!AO69</f>
        <v>0</v>
      </c>
      <c r="AQ69" s="5">
        <f>deaths!AQ69-deaths!AP69</f>
        <v>0</v>
      </c>
      <c r="AR69" s="5">
        <f>deaths!AR69-deaths!AQ69</f>
        <v>0</v>
      </c>
      <c r="AS69" s="5">
        <f>deaths!AS69-deaths!AR69</f>
        <v>0</v>
      </c>
      <c r="AT69" s="5">
        <f>deaths!AT69-deaths!AS69</f>
        <v>0</v>
      </c>
      <c r="AU69" s="5">
        <f>deaths!AU69-deaths!AT69</f>
        <v>0</v>
      </c>
      <c r="AV69" s="5">
        <f>deaths!AV69-deaths!AU69</f>
        <v>0</v>
      </c>
      <c r="AW69" s="5">
        <f>deaths!AW69-deaths!AV69</f>
        <v>0</v>
      </c>
      <c r="AX69" s="5">
        <f>deaths!AX69-deaths!AW69</f>
        <v>0</v>
      </c>
      <c r="AY69" s="5">
        <f>deaths!AY69-deaths!AX69</f>
        <v>0</v>
      </c>
      <c r="AZ69" s="5">
        <f>deaths!AZ69-deaths!AY69</f>
        <v>0</v>
      </c>
      <c r="BA69" s="5">
        <f>deaths!BA69-deaths!AZ69</f>
        <v>0</v>
      </c>
      <c r="BB69" s="5">
        <f>deaths!BB69-deaths!BA69</f>
        <v>0</v>
      </c>
      <c r="BC69" s="5">
        <f>deaths!BC69-deaths!BB69</f>
        <v>0</v>
      </c>
      <c r="BD69" s="5">
        <f>deaths!BD69-deaths!BC69</f>
        <v>0</v>
      </c>
      <c r="BE69" s="5">
        <f>deaths!BE69-deaths!BD69</f>
        <v>0</v>
      </c>
      <c r="BF69" s="5">
        <f>deaths!BF69-deaths!BE69</f>
        <v>0</v>
      </c>
      <c r="BG69" s="5">
        <f>deaths!BG69-deaths!BF69</f>
        <v>0</v>
      </c>
      <c r="BH69" s="5">
        <f>deaths!BH69-deaths!BG69</f>
        <v>0</v>
      </c>
      <c r="BI69" s="5">
        <f>deaths!BI69-deaths!BH69</f>
        <v>0</v>
      </c>
      <c r="BJ69" s="5">
        <f>deaths!BJ69-deaths!BI69</f>
        <v>0</v>
      </c>
      <c r="BK69" s="5">
        <f>deaths!BK69-deaths!BJ69</f>
        <v>0</v>
      </c>
      <c r="BL69" s="5">
        <f>deaths!BL69-deaths!BK69</f>
        <v>0</v>
      </c>
      <c r="BM69" s="5">
        <f>deaths!BM69-deaths!BL69</f>
        <v>0</v>
      </c>
      <c r="BN69" s="5">
        <f>deaths!BN69-deaths!BM69</f>
        <v>0</v>
      </c>
      <c r="BO69" s="5">
        <f>deaths!BO69-deaths!BN69</f>
        <v>0</v>
      </c>
      <c r="BP69" s="5">
        <f>deaths!BP69-deaths!BO69</f>
        <v>0</v>
      </c>
      <c r="BQ69" s="5">
        <f>deaths!BQ69-deaths!BP69</f>
        <v>0</v>
      </c>
      <c r="BR69" s="5">
        <f>deaths!BR69-deaths!BQ69</f>
        <v>0</v>
      </c>
      <c r="BS69" s="5">
        <f>deaths!BS69-deaths!BR69</f>
        <v>0</v>
      </c>
      <c r="BT69" s="5">
        <f>deaths!BT69-deaths!BS69</f>
        <v>0</v>
      </c>
      <c r="BU69" s="5">
        <f>deaths!BU69-deaths!BT69</f>
        <v>0</v>
      </c>
      <c r="BV69" s="5">
        <f>deaths!BV69-deaths!BU69</f>
        <v>0</v>
      </c>
      <c r="BW69" s="5">
        <f>deaths!BW69-deaths!BV69</f>
        <v>0</v>
      </c>
      <c r="BX69" s="5">
        <f>deaths!BX69-deaths!BW69</f>
        <v>0</v>
      </c>
      <c r="BY69" s="5">
        <f>deaths!BY69-deaths!BX69</f>
        <v>0</v>
      </c>
      <c r="BZ69" s="1">
        <f>deaths!BZ69</f>
        <v>1</v>
      </c>
      <c r="CA69" s="1">
        <f>deaths!CA69</f>
        <v>1</v>
      </c>
      <c r="CB69" s="1">
        <f>deaths!CB69</f>
        <v>1</v>
      </c>
      <c r="CC69" s="1" t="str">
        <f>deaths!CC69</f>
        <v/>
      </c>
    </row>
    <row r="70">
      <c r="B70" s="1" t="str">
        <f>deaths!B70</f>
        <v>China</v>
      </c>
      <c r="C70" s="4">
        <f>deaths!C70</f>
        <v>41.2956</v>
      </c>
      <c r="D70" s="4">
        <f>deaths!D70</f>
        <v>122.6085</v>
      </c>
      <c r="E70" s="5">
        <f>deaths!E70</f>
        <v>0</v>
      </c>
      <c r="F70" s="5">
        <f>deaths!F70-deaths!E70</f>
        <v>0</v>
      </c>
      <c r="G70" s="5">
        <f>deaths!G70-deaths!F70</f>
        <v>0</v>
      </c>
      <c r="H70" s="5">
        <f>deaths!H70-deaths!G70</f>
        <v>0</v>
      </c>
      <c r="I70" s="5">
        <f>deaths!I70-deaths!H70</f>
        <v>0</v>
      </c>
      <c r="J70" s="5">
        <f>deaths!J70-deaths!I70</f>
        <v>0</v>
      </c>
      <c r="K70" s="5">
        <f>deaths!K70-deaths!J70</f>
        <v>0</v>
      </c>
      <c r="L70" s="5">
        <f>deaths!L70-deaths!K70</f>
        <v>0</v>
      </c>
      <c r="M70" s="5">
        <f>deaths!M70-deaths!L70</f>
        <v>0</v>
      </c>
      <c r="N70" s="5">
        <f>deaths!N70-deaths!M70</f>
        <v>0</v>
      </c>
      <c r="O70" s="5">
        <f>deaths!O70-deaths!N70</f>
        <v>0</v>
      </c>
      <c r="P70" s="5">
        <f>deaths!P70-deaths!O70</f>
        <v>0</v>
      </c>
      <c r="Q70" s="5">
        <f>deaths!Q70-deaths!P70</f>
        <v>0</v>
      </c>
      <c r="R70" s="5">
        <f>deaths!R70-deaths!Q70</f>
        <v>0</v>
      </c>
      <c r="S70" s="5">
        <f>deaths!S70-deaths!R70</f>
        <v>0</v>
      </c>
      <c r="T70" s="5">
        <f>deaths!T70-deaths!S70</f>
        <v>0</v>
      </c>
      <c r="U70" s="5">
        <f>deaths!U70-deaths!T70</f>
        <v>0</v>
      </c>
      <c r="V70" s="5">
        <f>deaths!V70-deaths!U70</f>
        <v>0</v>
      </c>
      <c r="W70" s="5">
        <f>deaths!W70-deaths!V70</f>
        <v>0</v>
      </c>
      <c r="X70" s="5">
        <f>deaths!X70-deaths!W70</f>
        <v>0</v>
      </c>
      <c r="Y70" s="5">
        <f>deaths!Y70-deaths!X70</f>
        <v>0</v>
      </c>
      <c r="Z70" s="5">
        <f>deaths!Z70-deaths!Y70</f>
        <v>1</v>
      </c>
      <c r="AA70" s="5">
        <f>deaths!AA70-deaths!Z70</f>
        <v>0</v>
      </c>
      <c r="AB70" s="5">
        <f>deaths!AB70-deaths!AA70</f>
        <v>0</v>
      </c>
      <c r="AC70" s="5">
        <f>deaths!AC70-deaths!AB70</f>
        <v>0</v>
      </c>
      <c r="AD70" s="5">
        <f>deaths!AD70-deaths!AC70</f>
        <v>0</v>
      </c>
      <c r="AE70" s="5">
        <f>deaths!AE70-deaths!AD70</f>
        <v>0</v>
      </c>
      <c r="AF70" s="5">
        <f>deaths!AF70-deaths!AE70</f>
        <v>0</v>
      </c>
      <c r="AG70" s="5">
        <f>deaths!AG70-deaths!AF70</f>
        <v>0</v>
      </c>
      <c r="AH70" s="5">
        <f>deaths!AH70-deaths!AG70</f>
        <v>0</v>
      </c>
      <c r="AI70" s="5">
        <f>deaths!AI70-deaths!AH70</f>
        <v>0</v>
      </c>
      <c r="AJ70" s="5">
        <f>deaths!AJ70-deaths!AI70</f>
        <v>0</v>
      </c>
      <c r="AK70" s="5">
        <f>deaths!AK70-deaths!AJ70</f>
        <v>0</v>
      </c>
      <c r="AL70" s="5">
        <f>deaths!AL70-deaths!AK70</f>
        <v>0</v>
      </c>
      <c r="AM70" s="5">
        <f>deaths!AM70-deaths!AL70</f>
        <v>0</v>
      </c>
      <c r="AN70" s="5">
        <f>deaths!AN70-deaths!AM70</f>
        <v>0</v>
      </c>
      <c r="AO70" s="5">
        <f>deaths!AO70-deaths!AN70</f>
        <v>0</v>
      </c>
      <c r="AP70" s="5">
        <f>deaths!AP70-deaths!AO70</f>
        <v>0</v>
      </c>
      <c r="AQ70" s="5">
        <f>deaths!AQ70-deaths!AP70</f>
        <v>0</v>
      </c>
      <c r="AR70" s="5">
        <f>deaths!AR70-deaths!AQ70</f>
        <v>0</v>
      </c>
      <c r="AS70" s="5">
        <f>deaths!AS70-deaths!AR70</f>
        <v>0</v>
      </c>
      <c r="AT70" s="5">
        <f>deaths!AT70-deaths!AS70</f>
        <v>0</v>
      </c>
      <c r="AU70" s="5">
        <f>deaths!AU70-deaths!AT70</f>
        <v>0</v>
      </c>
      <c r="AV70" s="5">
        <f>deaths!AV70-deaths!AU70</f>
        <v>0</v>
      </c>
      <c r="AW70" s="5">
        <f>deaths!AW70-deaths!AV70</f>
        <v>0</v>
      </c>
      <c r="AX70" s="5">
        <f>deaths!AX70-deaths!AW70</f>
        <v>0</v>
      </c>
      <c r="AY70" s="5">
        <f>deaths!AY70-deaths!AX70</f>
        <v>0</v>
      </c>
      <c r="AZ70" s="5">
        <f>deaths!AZ70-deaths!AY70</f>
        <v>0</v>
      </c>
      <c r="BA70" s="5">
        <f>deaths!BA70-deaths!AZ70</f>
        <v>0</v>
      </c>
      <c r="BB70" s="5">
        <f>deaths!BB70-deaths!BA70</f>
        <v>0</v>
      </c>
      <c r="BC70" s="5">
        <f>deaths!BC70-deaths!BB70</f>
        <v>0</v>
      </c>
      <c r="BD70" s="5">
        <f>deaths!BD70-deaths!BC70</f>
        <v>0</v>
      </c>
      <c r="BE70" s="5">
        <f>deaths!BE70-deaths!BD70</f>
        <v>0</v>
      </c>
      <c r="BF70" s="5">
        <f>deaths!BF70-deaths!BE70</f>
        <v>0</v>
      </c>
      <c r="BG70" s="5">
        <f>deaths!BG70-deaths!BF70</f>
        <v>0</v>
      </c>
      <c r="BH70" s="5">
        <f>deaths!BH70-deaths!BG70</f>
        <v>0</v>
      </c>
      <c r="BI70" s="5">
        <f>deaths!BI70-deaths!BH70</f>
        <v>0</v>
      </c>
      <c r="BJ70" s="5">
        <f>deaths!BJ70-deaths!BI70</f>
        <v>0</v>
      </c>
      <c r="BK70" s="5">
        <f>deaths!BK70-deaths!BJ70</f>
        <v>1</v>
      </c>
      <c r="BL70" s="5">
        <f>deaths!BL70-deaths!BK70</f>
        <v>0</v>
      </c>
      <c r="BM70" s="5">
        <f>deaths!BM70-deaths!BL70</f>
        <v>0</v>
      </c>
      <c r="BN70" s="5">
        <f>deaths!BN70-deaths!BM70</f>
        <v>0</v>
      </c>
      <c r="BO70" s="5">
        <f>deaths!BO70-deaths!BN70</f>
        <v>0</v>
      </c>
      <c r="BP70" s="5">
        <f>deaths!BP70-deaths!BO70</f>
        <v>0</v>
      </c>
      <c r="BQ70" s="5">
        <f>deaths!BQ70-deaths!BP70</f>
        <v>0</v>
      </c>
      <c r="BR70" s="5">
        <f>deaths!BR70-deaths!BQ70</f>
        <v>0</v>
      </c>
      <c r="BS70" s="5">
        <f>deaths!BS70-deaths!BR70</f>
        <v>0</v>
      </c>
      <c r="BT70" s="5">
        <f>deaths!BT70-deaths!BS70</f>
        <v>0</v>
      </c>
      <c r="BU70" s="5">
        <f>deaths!BU70-deaths!BT70</f>
        <v>0</v>
      </c>
      <c r="BV70" s="5">
        <f>deaths!BV70-deaths!BU70</f>
        <v>0</v>
      </c>
      <c r="BW70" s="5">
        <f>deaths!BW70-deaths!BV70</f>
        <v>0</v>
      </c>
      <c r="BX70" s="5">
        <f>deaths!BX70-deaths!BW70</f>
        <v>0</v>
      </c>
      <c r="BY70" s="5">
        <f>deaths!BY70-deaths!BX70</f>
        <v>0</v>
      </c>
      <c r="BZ70" s="1">
        <f>deaths!BZ70</f>
        <v>2</v>
      </c>
      <c r="CA70" s="1">
        <f>deaths!CA70</f>
        <v>2</v>
      </c>
      <c r="CB70" s="1">
        <f>deaths!CB70</f>
        <v>2</v>
      </c>
      <c r="CC70" s="1" t="str">
        <f>deaths!CC70</f>
        <v/>
      </c>
    </row>
    <row r="71">
      <c r="B71" s="1" t="str">
        <f>deaths!B71</f>
        <v>China</v>
      </c>
      <c r="C71" s="4">
        <f>deaths!C71</f>
        <v>22.1667</v>
      </c>
      <c r="D71" s="4">
        <f>deaths!D71</f>
        <v>113.55</v>
      </c>
      <c r="E71" s="5">
        <f>deaths!E71</f>
        <v>0</v>
      </c>
      <c r="F71" s="5">
        <f>deaths!F71-deaths!E71</f>
        <v>0</v>
      </c>
      <c r="G71" s="5">
        <f>deaths!G71-deaths!F71</f>
        <v>0</v>
      </c>
      <c r="H71" s="5">
        <f>deaths!H71-deaths!G71</f>
        <v>0</v>
      </c>
      <c r="I71" s="5">
        <f>deaths!I71-deaths!H71</f>
        <v>0</v>
      </c>
      <c r="J71" s="5">
        <f>deaths!J71-deaths!I71</f>
        <v>0</v>
      </c>
      <c r="K71" s="5">
        <f>deaths!K71-deaths!J71</f>
        <v>0</v>
      </c>
      <c r="L71" s="5">
        <f>deaths!L71-deaths!K71</f>
        <v>0</v>
      </c>
      <c r="M71" s="5">
        <f>deaths!M71-deaths!L71</f>
        <v>0</v>
      </c>
      <c r="N71" s="5">
        <f>deaths!N71-deaths!M71</f>
        <v>0</v>
      </c>
      <c r="O71" s="5">
        <f>deaths!O71-deaths!N71</f>
        <v>0</v>
      </c>
      <c r="P71" s="5">
        <f>deaths!P71-deaths!O71</f>
        <v>0</v>
      </c>
      <c r="Q71" s="5">
        <f>deaths!Q71-deaths!P71</f>
        <v>0</v>
      </c>
      <c r="R71" s="5">
        <f>deaths!R71-deaths!Q71</f>
        <v>0</v>
      </c>
      <c r="S71" s="5">
        <f>deaths!S71-deaths!R71</f>
        <v>0</v>
      </c>
      <c r="T71" s="5">
        <f>deaths!T71-deaths!S71</f>
        <v>0</v>
      </c>
      <c r="U71" s="5">
        <f>deaths!U71-deaths!T71</f>
        <v>0</v>
      </c>
      <c r="V71" s="5">
        <f>deaths!V71-deaths!U71</f>
        <v>0</v>
      </c>
      <c r="W71" s="5">
        <f>deaths!W71-deaths!V71</f>
        <v>0</v>
      </c>
      <c r="X71" s="5">
        <f>deaths!X71-deaths!W71</f>
        <v>0</v>
      </c>
      <c r="Y71" s="5">
        <f>deaths!Y71-deaths!X71</f>
        <v>0</v>
      </c>
      <c r="Z71" s="5">
        <f>deaths!Z71-deaths!Y71</f>
        <v>0</v>
      </c>
      <c r="AA71" s="5">
        <f>deaths!AA71-deaths!Z71</f>
        <v>0</v>
      </c>
      <c r="AB71" s="5">
        <f>deaths!AB71-deaths!AA71</f>
        <v>0</v>
      </c>
      <c r="AC71" s="5">
        <f>deaths!AC71-deaths!AB71</f>
        <v>0</v>
      </c>
      <c r="AD71" s="5">
        <f>deaths!AD71-deaths!AC71</f>
        <v>0</v>
      </c>
      <c r="AE71" s="5">
        <f>deaths!AE71-deaths!AD71</f>
        <v>0</v>
      </c>
      <c r="AF71" s="5">
        <f>deaths!AF71-deaths!AE71</f>
        <v>0</v>
      </c>
      <c r="AG71" s="5">
        <f>deaths!AG71-deaths!AF71</f>
        <v>0</v>
      </c>
      <c r="AH71" s="5">
        <f>deaths!AH71-deaths!AG71</f>
        <v>0</v>
      </c>
      <c r="AI71" s="5">
        <f>deaths!AI71-deaths!AH71</f>
        <v>0</v>
      </c>
      <c r="AJ71" s="5">
        <f>deaths!AJ71-deaths!AI71</f>
        <v>0</v>
      </c>
      <c r="AK71" s="5">
        <f>deaths!AK71-deaths!AJ71</f>
        <v>0</v>
      </c>
      <c r="AL71" s="5">
        <f>deaths!AL71-deaths!AK71</f>
        <v>0</v>
      </c>
      <c r="AM71" s="5">
        <f>deaths!AM71-deaths!AL71</f>
        <v>0</v>
      </c>
      <c r="AN71" s="5">
        <f>deaths!AN71-deaths!AM71</f>
        <v>0</v>
      </c>
      <c r="AO71" s="5">
        <f>deaths!AO71-deaths!AN71</f>
        <v>0</v>
      </c>
      <c r="AP71" s="5">
        <f>deaths!AP71-deaths!AO71</f>
        <v>0</v>
      </c>
      <c r="AQ71" s="5">
        <f>deaths!AQ71-deaths!AP71</f>
        <v>0</v>
      </c>
      <c r="AR71" s="5">
        <f>deaths!AR71-deaths!AQ71</f>
        <v>0</v>
      </c>
      <c r="AS71" s="5">
        <f>deaths!AS71-deaths!AR71</f>
        <v>0</v>
      </c>
      <c r="AT71" s="5">
        <f>deaths!AT71-deaths!AS71</f>
        <v>0</v>
      </c>
      <c r="AU71" s="5">
        <f>deaths!AU71-deaths!AT71</f>
        <v>0</v>
      </c>
      <c r="AV71" s="5">
        <f>deaths!AV71-deaths!AU71</f>
        <v>0</v>
      </c>
      <c r="AW71" s="5">
        <f>deaths!AW71-deaths!AV71</f>
        <v>0</v>
      </c>
      <c r="AX71" s="5">
        <f>deaths!AX71-deaths!AW71</f>
        <v>0</v>
      </c>
      <c r="AY71" s="5">
        <f>deaths!AY71-deaths!AX71</f>
        <v>0</v>
      </c>
      <c r="AZ71" s="5">
        <f>deaths!AZ71-deaths!AY71</f>
        <v>0</v>
      </c>
      <c r="BA71" s="5">
        <f>deaths!BA71-deaths!AZ71</f>
        <v>0</v>
      </c>
      <c r="BB71" s="5">
        <f>deaths!BB71-deaths!BA71</f>
        <v>0</v>
      </c>
      <c r="BC71" s="5">
        <f>deaths!BC71-deaths!BB71</f>
        <v>0</v>
      </c>
      <c r="BD71" s="5">
        <f>deaths!BD71-deaths!BC71</f>
        <v>0</v>
      </c>
      <c r="BE71" s="5">
        <f>deaths!BE71-deaths!BD71</f>
        <v>0</v>
      </c>
      <c r="BF71" s="5">
        <f>deaths!BF71-deaths!BE71</f>
        <v>0</v>
      </c>
      <c r="BG71" s="5">
        <f>deaths!BG71-deaths!BF71</f>
        <v>0</v>
      </c>
      <c r="BH71" s="5">
        <f>deaths!BH71-deaths!BG71</f>
        <v>0</v>
      </c>
      <c r="BI71" s="5">
        <f>deaths!BI71-deaths!BH71</f>
        <v>0</v>
      </c>
      <c r="BJ71" s="5">
        <f>deaths!BJ71-deaths!BI71</f>
        <v>0</v>
      </c>
      <c r="BK71" s="5">
        <f>deaths!BK71-deaths!BJ71</f>
        <v>0</v>
      </c>
      <c r="BL71" s="5">
        <f>deaths!BL71-deaths!BK71</f>
        <v>0</v>
      </c>
      <c r="BM71" s="5">
        <f>deaths!BM71-deaths!BL71</f>
        <v>0</v>
      </c>
      <c r="BN71" s="5">
        <f>deaths!BN71-deaths!BM71</f>
        <v>0</v>
      </c>
      <c r="BO71" s="5">
        <f>deaths!BO71-deaths!BN71</f>
        <v>0</v>
      </c>
      <c r="BP71" s="5">
        <f>deaths!BP71-deaths!BO71</f>
        <v>0</v>
      </c>
      <c r="BQ71" s="5">
        <f>deaths!BQ71-deaths!BP71</f>
        <v>0</v>
      </c>
      <c r="BR71" s="5">
        <f>deaths!BR71-deaths!BQ71</f>
        <v>0</v>
      </c>
      <c r="BS71" s="5">
        <f>deaths!BS71-deaths!BR71</f>
        <v>0</v>
      </c>
      <c r="BT71" s="5">
        <f>deaths!BT71-deaths!BS71</f>
        <v>0</v>
      </c>
      <c r="BU71" s="5">
        <f>deaths!BU71-deaths!BT71</f>
        <v>0</v>
      </c>
      <c r="BV71" s="5">
        <f>deaths!BV71-deaths!BU71</f>
        <v>0</v>
      </c>
      <c r="BW71" s="5">
        <f>deaths!BW71-deaths!BV71</f>
        <v>0</v>
      </c>
      <c r="BX71" s="5">
        <f>deaths!BX71-deaths!BW71</f>
        <v>0</v>
      </c>
      <c r="BY71" s="5">
        <f>deaths!BY71-deaths!BX71</f>
        <v>0</v>
      </c>
      <c r="BZ71" s="1">
        <f>deaths!BZ71</f>
        <v>0</v>
      </c>
      <c r="CA71" s="1">
        <f>deaths!CA71</f>
        <v>0</v>
      </c>
      <c r="CB71" s="1">
        <f>deaths!CB71</f>
        <v>0</v>
      </c>
      <c r="CC71" s="1" t="str">
        <f>deaths!CC71</f>
        <v/>
      </c>
    </row>
    <row r="72">
      <c r="B72" s="1" t="str">
        <f>deaths!B72</f>
        <v>China</v>
      </c>
      <c r="C72" s="4">
        <f>deaths!C72</f>
        <v>37.2692</v>
      </c>
      <c r="D72" s="4">
        <f>deaths!D72</f>
        <v>106.1655</v>
      </c>
      <c r="E72" s="5">
        <f>deaths!E72</f>
        <v>0</v>
      </c>
      <c r="F72" s="5">
        <f>deaths!F72-deaths!E72</f>
        <v>0</v>
      </c>
      <c r="G72" s="5">
        <f>deaths!G72-deaths!F72</f>
        <v>0</v>
      </c>
      <c r="H72" s="5">
        <f>deaths!H72-deaths!G72</f>
        <v>0</v>
      </c>
      <c r="I72" s="5">
        <f>deaths!I72-deaths!H72</f>
        <v>0</v>
      </c>
      <c r="J72" s="5">
        <f>deaths!J72-deaths!I72</f>
        <v>0</v>
      </c>
      <c r="K72" s="5">
        <f>deaths!K72-deaths!J72</f>
        <v>0</v>
      </c>
      <c r="L72" s="5">
        <f>deaths!L72-deaths!K72</f>
        <v>0</v>
      </c>
      <c r="M72" s="5">
        <f>deaths!M72-deaths!L72</f>
        <v>0</v>
      </c>
      <c r="N72" s="5">
        <f>deaths!N72-deaths!M72</f>
        <v>0</v>
      </c>
      <c r="O72" s="5">
        <f>deaths!O72-deaths!N72</f>
        <v>0</v>
      </c>
      <c r="P72" s="5">
        <f>deaths!P72-deaths!O72</f>
        <v>0</v>
      </c>
      <c r="Q72" s="5">
        <f>deaths!Q72-deaths!P72</f>
        <v>0</v>
      </c>
      <c r="R72" s="5">
        <f>deaths!R72-deaths!Q72</f>
        <v>0</v>
      </c>
      <c r="S72" s="5">
        <f>deaths!S72-deaths!R72</f>
        <v>0</v>
      </c>
      <c r="T72" s="5">
        <f>deaths!T72-deaths!S72</f>
        <v>0</v>
      </c>
      <c r="U72" s="5">
        <f>deaths!U72-deaths!T72</f>
        <v>0</v>
      </c>
      <c r="V72" s="5">
        <f>deaths!V72-deaths!U72</f>
        <v>0</v>
      </c>
      <c r="W72" s="5">
        <f>deaths!W72-deaths!V72</f>
        <v>0</v>
      </c>
      <c r="X72" s="5">
        <f>deaths!X72-deaths!W72</f>
        <v>0</v>
      </c>
      <c r="Y72" s="5">
        <f>deaths!Y72-deaths!X72</f>
        <v>0</v>
      </c>
      <c r="Z72" s="5">
        <f>deaths!Z72-deaths!Y72</f>
        <v>0</v>
      </c>
      <c r="AA72" s="5">
        <f>deaths!AA72-deaths!Z72</f>
        <v>0</v>
      </c>
      <c r="AB72" s="5">
        <f>deaths!AB72-deaths!AA72</f>
        <v>0</v>
      </c>
      <c r="AC72" s="5">
        <f>deaths!AC72-deaths!AB72</f>
        <v>0</v>
      </c>
      <c r="AD72" s="5">
        <f>deaths!AD72-deaths!AC72</f>
        <v>0</v>
      </c>
      <c r="AE72" s="5">
        <f>deaths!AE72-deaths!AD72</f>
        <v>0</v>
      </c>
      <c r="AF72" s="5">
        <f>deaths!AF72-deaths!AE72</f>
        <v>0</v>
      </c>
      <c r="AG72" s="5">
        <f>deaths!AG72-deaths!AF72</f>
        <v>0</v>
      </c>
      <c r="AH72" s="5">
        <f>deaths!AH72-deaths!AG72</f>
        <v>0</v>
      </c>
      <c r="AI72" s="5">
        <f>deaths!AI72-deaths!AH72</f>
        <v>0</v>
      </c>
      <c r="AJ72" s="5">
        <f>deaths!AJ72-deaths!AI72</f>
        <v>0</v>
      </c>
      <c r="AK72" s="5">
        <f>deaths!AK72-deaths!AJ72</f>
        <v>0</v>
      </c>
      <c r="AL72" s="5">
        <f>deaths!AL72-deaths!AK72</f>
        <v>0</v>
      </c>
      <c r="AM72" s="5">
        <f>deaths!AM72-deaths!AL72</f>
        <v>0</v>
      </c>
      <c r="AN72" s="5">
        <f>deaths!AN72-deaths!AM72</f>
        <v>0</v>
      </c>
      <c r="AO72" s="5">
        <f>deaths!AO72-deaths!AN72</f>
        <v>0</v>
      </c>
      <c r="AP72" s="5">
        <f>deaths!AP72-deaths!AO72</f>
        <v>0</v>
      </c>
      <c r="AQ72" s="5">
        <f>deaths!AQ72-deaths!AP72</f>
        <v>0</v>
      </c>
      <c r="AR72" s="5">
        <f>deaths!AR72-deaths!AQ72</f>
        <v>0</v>
      </c>
      <c r="AS72" s="5">
        <f>deaths!AS72-deaths!AR72</f>
        <v>0</v>
      </c>
      <c r="AT72" s="5">
        <f>deaths!AT72-deaths!AS72</f>
        <v>0</v>
      </c>
      <c r="AU72" s="5">
        <f>deaths!AU72-deaths!AT72</f>
        <v>0</v>
      </c>
      <c r="AV72" s="5">
        <f>deaths!AV72-deaths!AU72</f>
        <v>0</v>
      </c>
      <c r="AW72" s="5">
        <f>deaths!AW72-deaths!AV72</f>
        <v>0</v>
      </c>
      <c r="AX72" s="5">
        <f>deaths!AX72-deaths!AW72</f>
        <v>0</v>
      </c>
      <c r="AY72" s="5">
        <f>deaths!AY72-deaths!AX72</f>
        <v>0</v>
      </c>
      <c r="AZ72" s="5">
        <f>deaths!AZ72-deaths!AY72</f>
        <v>0</v>
      </c>
      <c r="BA72" s="5">
        <f>deaths!BA72-deaths!AZ72</f>
        <v>0</v>
      </c>
      <c r="BB72" s="5">
        <f>deaths!BB72-deaths!BA72</f>
        <v>0</v>
      </c>
      <c r="BC72" s="5">
        <f>deaths!BC72-deaths!BB72</f>
        <v>0</v>
      </c>
      <c r="BD72" s="5">
        <f>deaths!BD72-deaths!BC72</f>
        <v>0</v>
      </c>
      <c r="BE72" s="5">
        <f>deaths!BE72-deaths!BD72</f>
        <v>0</v>
      </c>
      <c r="BF72" s="5">
        <f>deaths!BF72-deaths!BE72</f>
        <v>0</v>
      </c>
      <c r="BG72" s="5">
        <f>deaths!BG72-deaths!BF72</f>
        <v>0</v>
      </c>
      <c r="BH72" s="5">
        <f>deaths!BH72-deaths!BG72</f>
        <v>0</v>
      </c>
      <c r="BI72" s="5">
        <f>deaths!BI72-deaths!BH72</f>
        <v>0</v>
      </c>
      <c r="BJ72" s="5">
        <f>deaths!BJ72-deaths!BI72</f>
        <v>0</v>
      </c>
      <c r="BK72" s="5">
        <f>deaths!BK72-deaths!BJ72</f>
        <v>0</v>
      </c>
      <c r="BL72" s="5">
        <f>deaths!BL72-deaths!BK72</f>
        <v>0</v>
      </c>
      <c r="BM72" s="5">
        <f>deaths!BM72-deaths!BL72</f>
        <v>0</v>
      </c>
      <c r="BN72" s="5">
        <f>deaths!BN72-deaths!BM72</f>
        <v>0</v>
      </c>
      <c r="BO72" s="5">
        <f>deaths!BO72-deaths!BN72</f>
        <v>0</v>
      </c>
      <c r="BP72" s="5">
        <f>deaths!BP72-deaths!BO72</f>
        <v>0</v>
      </c>
      <c r="BQ72" s="5">
        <f>deaths!BQ72-deaths!BP72</f>
        <v>0</v>
      </c>
      <c r="BR72" s="5">
        <f>deaths!BR72-deaths!BQ72</f>
        <v>0</v>
      </c>
      <c r="BS72" s="5">
        <f>deaths!BS72-deaths!BR72</f>
        <v>0</v>
      </c>
      <c r="BT72" s="5">
        <f>deaths!BT72-deaths!BS72</f>
        <v>0</v>
      </c>
      <c r="BU72" s="5">
        <f>deaths!BU72-deaths!BT72</f>
        <v>0</v>
      </c>
      <c r="BV72" s="5">
        <f>deaths!BV72-deaths!BU72</f>
        <v>0</v>
      </c>
      <c r="BW72" s="5">
        <f>deaths!BW72-deaths!BV72</f>
        <v>0</v>
      </c>
      <c r="BX72" s="5">
        <f>deaths!BX72-deaths!BW72</f>
        <v>0</v>
      </c>
      <c r="BY72" s="5">
        <f>deaths!BY72-deaths!BX72</f>
        <v>0</v>
      </c>
      <c r="BZ72" s="1">
        <f>deaths!BZ72</f>
        <v>0</v>
      </c>
      <c r="CA72" s="1">
        <f>deaths!CA72</f>
        <v>0</v>
      </c>
      <c r="CB72" s="1">
        <f>deaths!CB72</f>
        <v>0</v>
      </c>
      <c r="CC72" s="1" t="str">
        <f>deaths!CC72</f>
        <v/>
      </c>
    </row>
    <row r="73">
      <c r="B73" s="1" t="str">
        <f>deaths!B73</f>
        <v>China</v>
      </c>
      <c r="C73" s="4">
        <f>deaths!C73</f>
        <v>35.7452</v>
      </c>
      <c r="D73" s="4">
        <f>deaths!D73</f>
        <v>95.9956</v>
      </c>
      <c r="E73" s="5">
        <f>deaths!E73</f>
        <v>0</v>
      </c>
      <c r="F73" s="5">
        <f>deaths!F73-deaths!E73</f>
        <v>0</v>
      </c>
      <c r="G73" s="5">
        <f>deaths!G73-deaths!F73</f>
        <v>0</v>
      </c>
      <c r="H73" s="5">
        <f>deaths!H73-deaths!G73</f>
        <v>0</v>
      </c>
      <c r="I73" s="5">
        <f>deaths!I73-deaths!H73</f>
        <v>0</v>
      </c>
      <c r="J73" s="5">
        <f>deaths!J73-deaths!I73</f>
        <v>0</v>
      </c>
      <c r="K73" s="5">
        <f>deaths!K73-deaths!J73</f>
        <v>0</v>
      </c>
      <c r="L73" s="5">
        <f>deaths!L73-deaths!K73</f>
        <v>0</v>
      </c>
      <c r="M73" s="5">
        <f>deaths!M73-deaths!L73</f>
        <v>0</v>
      </c>
      <c r="N73" s="5">
        <f>deaths!N73-deaths!M73</f>
        <v>0</v>
      </c>
      <c r="O73" s="5">
        <f>deaths!O73-deaths!N73</f>
        <v>0</v>
      </c>
      <c r="P73" s="5">
        <f>deaths!P73-deaths!O73</f>
        <v>0</v>
      </c>
      <c r="Q73" s="5">
        <f>deaths!Q73-deaths!P73</f>
        <v>0</v>
      </c>
      <c r="R73" s="5">
        <f>deaths!R73-deaths!Q73</f>
        <v>0</v>
      </c>
      <c r="S73" s="5">
        <f>deaths!S73-deaths!R73</f>
        <v>0</v>
      </c>
      <c r="T73" s="5">
        <f>deaths!T73-deaths!S73</f>
        <v>0</v>
      </c>
      <c r="U73" s="5">
        <f>deaths!U73-deaths!T73</f>
        <v>0</v>
      </c>
      <c r="V73" s="5">
        <f>deaths!V73-deaths!U73</f>
        <v>0</v>
      </c>
      <c r="W73" s="5">
        <f>deaths!W73-deaths!V73</f>
        <v>0</v>
      </c>
      <c r="X73" s="5">
        <f>deaths!X73-deaths!W73</f>
        <v>0</v>
      </c>
      <c r="Y73" s="5">
        <f>deaths!Y73-deaths!X73</f>
        <v>0</v>
      </c>
      <c r="Z73" s="5">
        <f>deaths!Z73-deaths!Y73</f>
        <v>0</v>
      </c>
      <c r="AA73" s="5">
        <f>deaths!AA73-deaths!Z73</f>
        <v>0</v>
      </c>
      <c r="AB73" s="5">
        <f>deaths!AB73-deaths!AA73</f>
        <v>0</v>
      </c>
      <c r="AC73" s="5">
        <f>deaths!AC73-deaths!AB73</f>
        <v>0</v>
      </c>
      <c r="AD73" s="5">
        <f>deaths!AD73-deaths!AC73</f>
        <v>0</v>
      </c>
      <c r="AE73" s="5">
        <f>deaths!AE73-deaths!AD73</f>
        <v>0</v>
      </c>
      <c r="AF73" s="5">
        <f>deaths!AF73-deaths!AE73</f>
        <v>0</v>
      </c>
      <c r="AG73" s="5">
        <f>deaths!AG73-deaths!AF73</f>
        <v>0</v>
      </c>
      <c r="AH73" s="5">
        <f>deaths!AH73-deaths!AG73</f>
        <v>0</v>
      </c>
      <c r="AI73" s="5">
        <f>deaths!AI73-deaths!AH73</f>
        <v>0</v>
      </c>
      <c r="AJ73" s="5">
        <f>deaths!AJ73-deaths!AI73</f>
        <v>0</v>
      </c>
      <c r="AK73" s="5">
        <f>deaths!AK73-deaths!AJ73</f>
        <v>0</v>
      </c>
      <c r="AL73" s="5">
        <f>deaths!AL73-deaths!AK73</f>
        <v>0</v>
      </c>
      <c r="AM73" s="5">
        <f>deaths!AM73-deaths!AL73</f>
        <v>0</v>
      </c>
      <c r="AN73" s="5">
        <f>deaths!AN73-deaths!AM73</f>
        <v>0</v>
      </c>
      <c r="AO73" s="5">
        <f>deaths!AO73-deaths!AN73</f>
        <v>0</v>
      </c>
      <c r="AP73" s="5">
        <f>deaths!AP73-deaths!AO73</f>
        <v>0</v>
      </c>
      <c r="AQ73" s="5">
        <f>deaths!AQ73-deaths!AP73</f>
        <v>0</v>
      </c>
      <c r="AR73" s="5">
        <f>deaths!AR73-deaths!AQ73</f>
        <v>0</v>
      </c>
      <c r="AS73" s="5">
        <f>deaths!AS73-deaths!AR73</f>
        <v>0</v>
      </c>
      <c r="AT73" s="5">
        <f>deaths!AT73-deaths!AS73</f>
        <v>0</v>
      </c>
      <c r="AU73" s="5">
        <f>deaths!AU73-deaths!AT73</f>
        <v>0</v>
      </c>
      <c r="AV73" s="5">
        <f>deaths!AV73-deaths!AU73</f>
        <v>0</v>
      </c>
      <c r="AW73" s="5">
        <f>deaths!AW73-deaths!AV73</f>
        <v>0</v>
      </c>
      <c r="AX73" s="5">
        <f>deaths!AX73-deaths!AW73</f>
        <v>0</v>
      </c>
      <c r="AY73" s="5">
        <f>deaths!AY73-deaths!AX73</f>
        <v>0</v>
      </c>
      <c r="AZ73" s="5">
        <f>deaths!AZ73-deaths!AY73</f>
        <v>0</v>
      </c>
      <c r="BA73" s="5">
        <f>deaths!BA73-deaths!AZ73</f>
        <v>0</v>
      </c>
      <c r="BB73" s="5">
        <f>deaths!BB73-deaths!BA73</f>
        <v>0</v>
      </c>
      <c r="BC73" s="5">
        <f>deaths!BC73-deaths!BB73</f>
        <v>0</v>
      </c>
      <c r="BD73" s="5">
        <f>deaths!BD73-deaths!BC73</f>
        <v>0</v>
      </c>
      <c r="BE73" s="5">
        <f>deaths!BE73-deaths!BD73</f>
        <v>0</v>
      </c>
      <c r="BF73" s="5">
        <f>deaths!BF73-deaths!BE73</f>
        <v>0</v>
      </c>
      <c r="BG73" s="5">
        <f>deaths!BG73-deaths!BF73</f>
        <v>0</v>
      </c>
      <c r="BH73" s="5">
        <f>deaths!BH73-deaths!BG73</f>
        <v>0</v>
      </c>
      <c r="BI73" s="5">
        <f>deaths!BI73-deaths!BH73</f>
        <v>0</v>
      </c>
      <c r="BJ73" s="5">
        <f>deaths!BJ73-deaths!BI73</f>
        <v>0</v>
      </c>
      <c r="BK73" s="5">
        <f>deaths!BK73-deaths!BJ73</f>
        <v>0</v>
      </c>
      <c r="BL73" s="5">
        <f>deaths!BL73-deaths!BK73</f>
        <v>0</v>
      </c>
      <c r="BM73" s="5">
        <f>deaths!BM73-deaths!BL73</f>
        <v>0</v>
      </c>
      <c r="BN73" s="5">
        <f>deaths!BN73-deaths!BM73</f>
        <v>0</v>
      </c>
      <c r="BO73" s="5">
        <f>deaths!BO73-deaths!BN73</f>
        <v>0</v>
      </c>
      <c r="BP73" s="5">
        <f>deaths!BP73-deaths!BO73</f>
        <v>0</v>
      </c>
      <c r="BQ73" s="5">
        <f>deaths!BQ73-deaths!BP73</f>
        <v>0</v>
      </c>
      <c r="BR73" s="5">
        <f>deaths!BR73-deaths!BQ73</f>
        <v>0</v>
      </c>
      <c r="BS73" s="5">
        <f>deaths!BS73-deaths!BR73</f>
        <v>0</v>
      </c>
      <c r="BT73" s="5">
        <f>deaths!BT73-deaths!BS73</f>
        <v>0</v>
      </c>
      <c r="BU73" s="5">
        <f>deaths!BU73-deaths!BT73</f>
        <v>0</v>
      </c>
      <c r="BV73" s="5">
        <f>deaths!BV73-deaths!BU73</f>
        <v>0</v>
      </c>
      <c r="BW73" s="5">
        <f>deaths!BW73-deaths!BV73</f>
        <v>0</v>
      </c>
      <c r="BX73" s="5">
        <f>deaths!BX73-deaths!BW73</f>
        <v>0</v>
      </c>
      <c r="BY73" s="5">
        <f>deaths!BY73-deaths!BX73</f>
        <v>0</v>
      </c>
      <c r="BZ73" s="1">
        <f>deaths!BZ73</f>
        <v>0</v>
      </c>
      <c r="CA73" s="1">
        <f>deaths!CA73</f>
        <v>0</v>
      </c>
      <c r="CB73" s="1">
        <f>deaths!CB73</f>
        <v>0</v>
      </c>
      <c r="CC73" s="1" t="str">
        <f>deaths!CC73</f>
        <v/>
      </c>
    </row>
    <row r="74">
      <c r="B74" s="1" t="str">
        <f>deaths!B74</f>
        <v>China</v>
      </c>
      <c r="C74" s="4">
        <f>deaths!C74</f>
        <v>35.1917</v>
      </c>
      <c r="D74" s="4">
        <f>deaths!D74</f>
        <v>108.8701</v>
      </c>
      <c r="E74" s="5">
        <f>deaths!E74</f>
        <v>0</v>
      </c>
      <c r="F74" s="5">
        <f>deaths!F74-deaths!E74</f>
        <v>0</v>
      </c>
      <c r="G74" s="5">
        <f>deaths!G74-deaths!F74</f>
        <v>0</v>
      </c>
      <c r="H74" s="5">
        <f>deaths!H74-deaths!G74</f>
        <v>0</v>
      </c>
      <c r="I74" s="5">
        <f>deaths!I74-deaths!H74</f>
        <v>0</v>
      </c>
      <c r="J74" s="5">
        <f>deaths!J74-deaths!I74</f>
        <v>0</v>
      </c>
      <c r="K74" s="5">
        <f>deaths!K74-deaths!J74</f>
        <v>0</v>
      </c>
      <c r="L74" s="5">
        <f>deaths!L74-deaths!K74</f>
        <v>0</v>
      </c>
      <c r="M74" s="5">
        <f>deaths!M74-deaths!L74</f>
        <v>0</v>
      </c>
      <c r="N74" s="5">
        <f>deaths!N74-deaths!M74</f>
        <v>0</v>
      </c>
      <c r="O74" s="5">
        <f>deaths!O74-deaths!N74</f>
        <v>0</v>
      </c>
      <c r="P74" s="5">
        <f>deaths!P74-deaths!O74</f>
        <v>0</v>
      </c>
      <c r="Q74" s="5">
        <f>deaths!Q74-deaths!P74</f>
        <v>0</v>
      </c>
      <c r="R74" s="5">
        <f>deaths!R74-deaths!Q74</f>
        <v>0</v>
      </c>
      <c r="S74" s="5">
        <f>deaths!S74-deaths!R74</f>
        <v>0</v>
      </c>
      <c r="T74" s="5">
        <f>deaths!T74-deaths!S74</f>
        <v>0</v>
      </c>
      <c r="U74" s="5">
        <f>deaths!U74-deaths!T74</f>
        <v>0</v>
      </c>
      <c r="V74" s="5">
        <f>deaths!V74-deaths!U74</f>
        <v>0</v>
      </c>
      <c r="W74" s="5">
        <f>deaths!W74-deaths!V74</f>
        <v>0</v>
      </c>
      <c r="X74" s="5">
        <f>deaths!X74-deaths!W74</f>
        <v>0</v>
      </c>
      <c r="Y74" s="5">
        <f>deaths!Y74-deaths!X74</f>
        <v>0</v>
      </c>
      <c r="Z74" s="5">
        <f>deaths!Z74-deaths!Y74</f>
        <v>0</v>
      </c>
      <c r="AA74" s="5">
        <f>deaths!AA74-deaths!Z74</f>
        <v>0</v>
      </c>
      <c r="AB74" s="5">
        <f>deaths!AB74-deaths!AA74</f>
        <v>0</v>
      </c>
      <c r="AC74" s="5">
        <f>deaths!AC74-deaths!AB74</f>
        <v>0</v>
      </c>
      <c r="AD74" s="5">
        <f>deaths!AD74-deaths!AC74</f>
        <v>0</v>
      </c>
      <c r="AE74" s="5">
        <f>deaths!AE74-deaths!AD74</f>
        <v>0</v>
      </c>
      <c r="AF74" s="5">
        <f>deaths!AF74-deaths!AE74</f>
        <v>0</v>
      </c>
      <c r="AG74" s="5">
        <f>deaths!AG74-deaths!AF74</f>
        <v>0</v>
      </c>
      <c r="AH74" s="5">
        <f>deaths!AH74-deaths!AG74</f>
        <v>1</v>
      </c>
      <c r="AI74" s="5">
        <f>deaths!AI74-deaths!AH74</f>
        <v>0</v>
      </c>
      <c r="AJ74" s="5">
        <f>deaths!AJ74-deaths!AI74</f>
        <v>0</v>
      </c>
      <c r="AK74" s="5">
        <f>deaths!AK74-deaths!AJ74</f>
        <v>0</v>
      </c>
      <c r="AL74" s="5">
        <f>deaths!AL74-deaths!AK74</f>
        <v>0</v>
      </c>
      <c r="AM74" s="5">
        <f>deaths!AM74-deaths!AL74</f>
        <v>0</v>
      </c>
      <c r="AN74" s="5">
        <f>deaths!AN74-deaths!AM74</f>
        <v>0</v>
      </c>
      <c r="AO74" s="5">
        <f>deaths!AO74-deaths!AN74</f>
        <v>0</v>
      </c>
      <c r="AP74" s="5">
        <f>deaths!AP74-deaths!AO74</f>
        <v>0</v>
      </c>
      <c r="AQ74" s="5">
        <f>deaths!AQ74-deaths!AP74</f>
        <v>0</v>
      </c>
      <c r="AR74" s="5">
        <f>deaths!AR74-deaths!AQ74</f>
        <v>0</v>
      </c>
      <c r="AS74" s="5">
        <f>deaths!AS74-deaths!AR74</f>
        <v>0</v>
      </c>
      <c r="AT74" s="5">
        <f>deaths!AT74-deaths!AS74</f>
        <v>0</v>
      </c>
      <c r="AU74" s="5">
        <f>deaths!AU74-deaths!AT74</f>
        <v>0</v>
      </c>
      <c r="AV74" s="5">
        <f>deaths!AV74-deaths!AU74</f>
        <v>0</v>
      </c>
      <c r="AW74" s="5">
        <f>deaths!AW74-deaths!AV74</f>
        <v>0</v>
      </c>
      <c r="AX74" s="5">
        <f>deaths!AX74-deaths!AW74</f>
        <v>0</v>
      </c>
      <c r="AY74" s="5">
        <f>deaths!AY74-deaths!AX74</f>
        <v>0</v>
      </c>
      <c r="AZ74" s="5">
        <f>deaths!AZ74-deaths!AY74</f>
        <v>0</v>
      </c>
      <c r="BA74" s="5">
        <f>deaths!BA74-deaths!AZ74</f>
        <v>0</v>
      </c>
      <c r="BB74" s="5">
        <f>deaths!BB74-deaths!BA74</f>
        <v>0</v>
      </c>
      <c r="BC74" s="5">
        <f>deaths!BC74-deaths!BB74</f>
        <v>1</v>
      </c>
      <c r="BD74" s="5">
        <f>deaths!BD74-deaths!BC74</f>
        <v>0</v>
      </c>
      <c r="BE74" s="5">
        <f>deaths!BE74-deaths!BD74</f>
        <v>0</v>
      </c>
      <c r="BF74" s="5">
        <f>deaths!BF74-deaths!BE74</f>
        <v>0</v>
      </c>
      <c r="BG74" s="5">
        <f>deaths!BG74-deaths!BF74</f>
        <v>0</v>
      </c>
      <c r="BH74" s="5">
        <f>deaths!BH74-deaths!BG74</f>
        <v>1</v>
      </c>
      <c r="BI74" s="5">
        <f>deaths!BI74-deaths!BH74</f>
        <v>0</v>
      </c>
      <c r="BJ74" s="5">
        <f>deaths!BJ74-deaths!BI74</f>
        <v>0</v>
      </c>
      <c r="BK74" s="5">
        <f>deaths!BK74-deaths!BJ74</f>
        <v>0</v>
      </c>
      <c r="BL74" s="5">
        <f>deaths!BL74-deaths!BK74</f>
        <v>0</v>
      </c>
      <c r="BM74" s="5">
        <f>deaths!BM74-deaths!BL74</f>
        <v>0</v>
      </c>
      <c r="BN74" s="5">
        <f>deaths!BN74-deaths!BM74</f>
        <v>0</v>
      </c>
      <c r="BO74" s="5">
        <f>deaths!BO74-deaths!BN74</f>
        <v>0</v>
      </c>
      <c r="BP74" s="5">
        <f>deaths!BP74-deaths!BO74</f>
        <v>0</v>
      </c>
      <c r="BQ74" s="5">
        <f>deaths!BQ74-deaths!BP74</f>
        <v>0</v>
      </c>
      <c r="BR74" s="5">
        <f>deaths!BR74-deaths!BQ74</f>
        <v>0</v>
      </c>
      <c r="BS74" s="5">
        <f>deaths!BS74-deaths!BR74</f>
        <v>0</v>
      </c>
      <c r="BT74" s="5">
        <f>deaths!BT74-deaths!BS74</f>
        <v>0</v>
      </c>
      <c r="BU74" s="5">
        <f>deaths!BU74-deaths!BT74</f>
        <v>0</v>
      </c>
      <c r="BV74" s="5">
        <f>deaths!BV74-deaths!BU74</f>
        <v>0</v>
      </c>
      <c r="BW74" s="5">
        <f>deaths!BW74-deaths!BV74</f>
        <v>0</v>
      </c>
      <c r="BX74" s="5">
        <f>deaths!BX74-deaths!BW74</f>
        <v>0</v>
      </c>
      <c r="BY74" s="5">
        <f>deaths!BY74-deaths!BX74</f>
        <v>0</v>
      </c>
      <c r="BZ74" s="1">
        <f>deaths!BZ74</f>
        <v>3</v>
      </c>
      <c r="CA74" s="1">
        <f>deaths!CA74</f>
        <v>3</v>
      </c>
      <c r="CB74" s="1">
        <f>deaths!CB74</f>
        <v>3</v>
      </c>
      <c r="CC74" s="1" t="str">
        <f>deaths!CC74</f>
        <v/>
      </c>
    </row>
    <row r="75">
      <c r="B75" s="1" t="str">
        <f>deaths!B75</f>
        <v>China</v>
      </c>
      <c r="C75" s="4">
        <f>deaths!C75</f>
        <v>36.3427</v>
      </c>
      <c r="D75" s="4">
        <f>deaths!D75</f>
        <v>118.1498</v>
      </c>
      <c r="E75" s="5">
        <f>deaths!E75</f>
        <v>0</v>
      </c>
      <c r="F75" s="5">
        <f>deaths!F75-deaths!E75</f>
        <v>0</v>
      </c>
      <c r="G75" s="5">
        <f>deaths!G75-deaths!F75</f>
        <v>0</v>
      </c>
      <c r="H75" s="5">
        <f>deaths!H75-deaths!G75</f>
        <v>0</v>
      </c>
      <c r="I75" s="5">
        <f>deaths!I75-deaths!H75</f>
        <v>0</v>
      </c>
      <c r="J75" s="5">
        <f>deaths!J75-deaths!I75</f>
        <v>0</v>
      </c>
      <c r="K75" s="5">
        <f>deaths!K75-deaths!J75</f>
        <v>0</v>
      </c>
      <c r="L75" s="5">
        <f>deaths!L75-deaths!K75</f>
        <v>0</v>
      </c>
      <c r="M75" s="5">
        <f>deaths!M75-deaths!L75</f>
        <v>0</v>
      </c>
      <c r="N75" s="5">
        <f>deaths!N75-deaths!M75</f>
        <v>0</v>
      </c>
      <c r="O75" s="5">
        <f>deaths!O75-deaths!N75</f>
        <v>0</v>
      </c>
      <c r="P75" s="5">
        <f>deaths!P75-deaths!O75</f>
        <v>0</v>
      </c>
      <c r="Q75" s="5">
        <f>deaths!Q75-deaths!P75</f>
        <v>0</v>
      </c>
      <c r="R75" s="5">
        <f>deaths!R75-deaths!Q75</f>
        <v>0</v>
      </c>
      <c r="S75" s="5">
        <f>deaths!S75-deaths!R75</f>
        <v>0</v>
      </c>
      <c r="T75" s="5">
        <f>deaths!T75-deaths!S75</f>
        <v>0</v>
      </c>
      <c r="U75" s="5">
        <f>deaths!U75-deaths!T75</f>
        <v>0</v>
      </c>
      <c r="V75" s="5">
        <f>deaths!V75-deaths!U75</f>
        <v>0</v>
      </c>
      <c r="W75" s="5">
        <f>deaths!W75-deaths!V75</f>
        <v>1</v>
      </c>
      <c r="X75" s="5">
        <f>deaths!X75-deaths!W75</f>
        <v>0</v>
      </c>
      <c r="Y75" s="5">
        <f>deaths!Y75-deaths!X75</f>
        <v>0</v>
      </c>
      <c r="Z75" s="5">
        <f>deaths!Z75-deaths!Y75</f>
        <v>1</v>
      </c>
      <c r="AA75" s="5">
        <f>deaths!AA75-deaths!Z75</f>
        <v>0</v>
      </c>
      <c r="AB75" s="5">
        <f>deaths!AB75-deaths!AA75</f>
        <v>0</v>
      </c>
      <c r="AC75" s="5">
        <f>deaths!AC75-deaths!AB75</f>
        <v>0</v>
      </c>
      <c r="AD75" s="5">
        <f>deaths!AD75-deaths!AC75</f>
        <v>0</v>
      </c>
      <c r="AE75" s="5">
        <f>deaths!AE75-deaths!AD75</f>
        <v>0</v>
      </c>
      <c r="AF75" s="5">
        <f>deaths!AF75-deaths!AE75</f>
        <v>1</v>
      </c>
      <c r="AG75" s="5">
        <f>deaths!AG75-deaths!AF75</f>
        <v>0</v>
      </c>
      <c r="AH75" s="5">
        <f>deaths!AH75-deaths!AG75</f>
        <v>1</v>
      </c>
      <c r="AI75" s="5">
        <f>deaths!AI75-deaths!AH75</f>
        <v>0</v>
      </c>
      <c r="AJ75" s="5">
        <f>deaths!AJ75-deaths!AI75</f>
        <v>0</v>
      </c>
      <c r="AK75" s="5">
        <f>deaths!AK75-deaths!AJ75</f>
        <v>0</v>
      </c>
      <c r="AL75" s="5">
        <f>deaths!AL75-deaths!AK75</f>
        <v>1</v>
      </c>
      <c r="AM75" s="5">
        <f>deaths!AM75-deaths!AL75</f>
        <v>1</v>
      </c>
      <c r="AN75" s="5">
        <f>deaths!AN75-deaths!AM75</f>
        <v>0</v>
      </c>
      <c r="AO75" s="5">
        <f>deaths!AO75-deaths!AN75</f>
        <v>0</v>
      </c>
      <c r="AP75" s="5">
        <f>deaths!AP75-deaths!AO75</f>
        <v>0</v>
      </c>
      <c r="AQ75" s="5">
        <f>deaths!AQ75-deaths!AP75</f>
        <v>0</v>
      </c>
      <c r="AR75" s="5">
        <f>deaths!AR75-deaths!AQ75</f>
        <v>0</v>
      </c>
      <c r="AS75" s="5">
        <f>deaths!AS75-deaths!AR75</f>
        <v>0</v>
      </c>
      <c r="AT75" s="5">
        <f>deaths!AT75-deaths!AS75</f>
        <v>0</v>
      </c>
      <c r="AU75" s="5">
        <f>deaths!AU75-deaths!AT75</f>
        <v>0</v>
      </c>
      <c r="AV75" s="5">
        <f>deaths!AV75-deaths!AU75</f>
        <v>0</v>
      </c>
      <c r="AW75" s="5">
        <f>deaths!AW75-deaths!AV75</f>
        <v>0</v>
      </c>
      <c r="AX75" s="5">
        <f>deaths!AX75-deaths!AW75</f>
        <v>0</v>
      </c>
      <c r="AY75" s="5">
        <f>deaths!AY75-deaths!AX75</f>
        <v>0</v>
      </c>
      <c r="AZ75" s="5">
        <f>deaths!AZ75-deaths!AY75</f>
        <v>0</v>
      </c>
      <c r="BA75" s="5">
        <f>deaths!BA75-deaths!AZ75</f>
        <v>0</v>
      </c>
      <c r="BB75" s="5">
        <f>deaths!BB75-deaths!BA75</f>
        <v>0</v>
      </c>
      <c r="BC75" s="5">
        <f>deaths!BC75-deaths!BB75</f>
        <v>0</v>
      </c>
      <c r="BD75" s="5">
        <f>deaths!BD75-deaths!BC75</f>
        <v>1</v>
      </c>
      <c r="BE75" s="5">
        <f>deaths!BE75-deaths!BD75</f>
        <v>0</v>
      </c>
      <c r="BF75" s="5">
        <f>deaths!BF75-deaths!BE75</f>
        <v>0</v>
      </c>
      <c r="BG75" s="5">
        <f>deaths!BG75-deaths!BF75</f>
        <v>0</v>
      </c>
      <c r="BH75" s="5">
        <f>deaths!BH75-deaths!BG75</f>
        <v>0</v>
      </c>
      <c r="BI75" s="5">
        <f>deaths!BI75-deaths!BH75</f>
        <v>0</v>
      </c>
      <c r="BJ75" s="5">
        <f>deaths!BJ75-deaths!BI75</f>
        <v>0</v>
      </c>
      <c r="BK75" s="5">
        <f>deaths!BK75-deaths!BJ75</f>
        <v>0</v>
      </c>
      <c r="BL75" s="5">
        <f>deaths!BL75-deaths!BK75</f>
        <v>0</v>
      </c>
      <c r="BM75" s="5">
        <f>deaths!BM75-deaths!BL75</f>
        <v>0</v>
      </c>
      <c r="BN75" s="5">
        <f>deaths!BN75-deaths!BM75</f>
        <v>0</v>
      </c>
      <c r="BO75" s="5">
        <f>deaths!BO75-deaths!BN75</f>
        <v>0</v>
      </c>
      <c r="BP75" s="5">
        <f>deaths!BP75-deaths!BO75</f>
        <v>0</v>
      </c>
      <c r="BQ75" s="5">
        <f>deaths!BQ75-deaths!BP75</f>
        <v>0</v>
      </c>
      <c r="BR75" s="5">
        <f>deaths!BR75-deaths!BQ75</f>
        <v>0</v>
      </c>
      <c r="BS75" s="5">
        <f>deaths!BS75-deaths!BR75</f>
        <v>0</v>
      </c>
      <c r="BT75" s="5">
        <f>deaths!BT75-deaths!BS75</f>
        <v>0</v>
      </c>
      <c r="BU75" s="5">
        <f>deaths!BU75-deaths!BT75</f>
        <v>0</v>
      </c>
      <c r="BV75" s="5">
        <f>deaths!BV75-deaths!BU75</f>
        <v>0</v>
      </c>
      <c r="BW75" s="5">
        <f>deaths!BW75-deaths!BV75</f>
        <v>0</v>
      </c>
      <c r="BX75" s="5">
        <f>deaths!BX75-deaths!BW75</f>
        <v>0</v>
      </c>
      <c r="BY75" s="5">
        <f>deaths!BY75-deaths!BX75</f>
        <v>0</v>
      </c>
      <c r="BZ75" s="1">
        <f>deaths!BZ75</f>
        <v>7</v>
      </c>
      <c r="CA75" s="1">
        <f>deaths!CA75</f>
        <v>7</v>
      </c>
      <c r="CB75" s="1">
        <f>deaths!CB75</f>
        <v>7</v>
      </c>
      <c r="CC75" s="1" t="str">
        <f>deaths!CC75</f>
        <v/>
      </c>
    </row>
    <row r="76">
      <c r="B76" s="1" t="str">
        <f>deaths!B76</f>
        <v>China</v>
      </c>
      <c r="C76" s="4">
        <f>deaths!C76</f>
        <v>31.202</v>
      </c>
      <c r="D76" s="4">
        <f>deaths!D76</f>
        <v>121.4491</v>
      </c>
      <c r="E76" s="5">
        <f>deaths!E76</f>
        <v>0</v>
      </c>
      <c r="F76" s="5">
        <f>deaths!F76-deaths!E76</f>
        <v>0</v>
      </c>
      <c r="G76" s="5">
        <f>deaths!G76-deaths!F76</f>
        <v>0</v>
      </c>
      <c r="H76" s="5">
        <f>deaths!H76-deaths!G76</f>
        <v>0</v>
      </c>
      <c r="I76" s="5">
        <f>deaths!I76-deaths!H76</f>
        <v>1</v>
      </c>
      <c r="J76" s="5">
        <f>deaths!J76-deaths!I76</f>
        <v>0</v>
      </c>
      <c r="K76" s="5">
        <f>deaths!K76-deaths!J76</f>
        <v>0</v>
      </c>
      <c r="L76" s="5">
        <f>deaths!L76-deaths!K76</f>
        <v>0</v>
      </c>
      <c r="M76" s="5">
        <f>deaths!M76-deaths!L76</f>
        <v>0</v>
      </c>
      <c r="N76" s="5">
        <f>deaths!N76-deaths!M76</f>
        <v>0</v>
      </c>
      <c r="O76" s="5">
        <f>deaths!O76-deaths!N76</f>
        <v>0</v>
      </c>
      <c r="P76" s="5">
        <f>deaths!P76-deaths!O76</f>
        <v>0</v>
      </c>
      <c r="Q76" s="5">
        <f>deaths!Q76-deaths!P76</f>
        <v>0</v>
      </c>
      <c r="R76" s="5">
        <f>deaths!R76-deaths!Q76</f>
        <v>0</v>
      </c>
      <c r="S76" s="5">
        <f>deaths!S76-deaths!R76</f>
        <v>0</v>
      </c>
      <c r="T76" s="5">
        <f>deaths!T76-deaths!S76</f>
        <v>0</v>
      </c>
      <c r="U76" s="5">
        <f>deaths!U76-deaths!T76</f>
        <v>0</v>
      </c>
      <c r="V76" s="5">
        <f>deaths!V76-deaths!U76</f>
        <v>0</v>
      </c>
      <c r="W76" s="5">
        <f>deaths!W76-deaths!V76</f>
        <v>0</v>
      </c>
      <c r="X76" s="5">
        <f>deaths!X76-deaths!W76</f>
        <v>0</v>
      </c>
      <c r="Y76" s="5">
        <f>deaths!Y76-deaths!X76</f>
        <v>0</v>
      </c>
      <c r="Z76" s="5">
        <f>deaths!Z76-deaths!Y76</f>
        <v>0</v>
      </c>
      <c r="AA76" s="5">
        <f>deaths!AA76-deaths!Z76</f>
        <v>0</v>
      </c>
      <c r="AB76" s="5">
        <f>deaths!AB76-deaths!AA76</f>
        <v>0</v>
      </c>
      <c r="AC76" s="5">
        <f>deaths!AC76-deaths!AB76</f>
        <v>0</v>
      </c>
      <c r="AD76" s="5">
        <f>deaths!AD76-deaths!AC76</f>
        <v>0</v>
      </c>
      <c r="AE76" s="5">
        <f>deaths!AE76-deaths!AD76</f>
        <v>0</v>
      </c>
      <c r="AF76" s="5">
        <f>deaths!AF76-deaths!AE76</f>
        <v>0</v>
      </c>
      <c r="AG76" s="5">
        <f>deaths!AG76-deaths!AF76</f>
        <v>1</v>
      </c>
      <c r="AH76" s="5">
        <f>deaths!AH76-deaths!AG76</f>
        <v>0</v>
      </c>
      <c r="AI76" s="5">
        <f>deaths!AI76-deaths!AH76</f>
        <v>0</v>
      </c>
      <c r="AJ76" s="5">
        <f>deaths!AJ76-deaths!AI76</f>
        <v>1</v>
      </c>
      <c r="AK76" s="5">
        <f>deaths!AK76-deaths!AJ76</f>
        <v>0</v>
      </c>
      <c r="AL76" s="5">
        <f>deaths!AL76-deaths!AK76</f>
        <v>0</v>
      </c>
      <c r="AM76" s="5">
        <f>deaths!AM76-deaths!AL76</f>
        <v>0</v>
      </c>
      <c r="AN76" s="5">
        <f>deaths!AN76-deaths!AM76</f>
        <v>0</v>
      </c>
      <c r="AO76" s="5">
        <f>deaths!AO76-deaths!AN76</f>
        <v>0</v>
      </c>
      <c r="AP76" s="5">
        <f>deaths!AP76-deaths!AO76</f>
        <v>0</v>
      </c>
      <c r="AQ76" s="5">
        <f>deaths!AQ76-deaths!AP76</f>
        <v>0</v>
      </c>
      <c r="AR76" s="5">
        <f>deaths!AR76-deaths!AQ76</f>
        <v>0</v>
      </c>
      <c r="AS76" s="5">
        <f>deaths!AS76-deaths!AR76</f>
        <v>0</v>
      </c>
      <c r="AT76" s="5">
        <f>deaths!AT76-deaths!AS76</f>
        <v>0</v>
      </c>
      <c r="AU76" s="5">
        <f>deaths!AU76-deaths!AT76</f>
        <v>0</v>
      </c>
      <c r="AV76" s="5">
        <f>deaths!AV76-deaths!AU76</f>
        <v>0</v>
      </c>
      <c r="AW76" s="5">
        <f>deaths!AW76-deaths!AV76</f>
        <v>0</v>
      </c>
      <c r="AX76" s="5">
        <f>deaths!AX76-deaths!AW76</f>
        <v>0</v>
      </c>
      <c r="AY76" s="5">
        <f>deaths!AY76-deaths!AX76</f>
        <v>0</v>
      </c>
      <c r="AZ76" s="5">
        <f>deaths!AZ76-deaths!AY76</f>
        <v>0</v>
      </c>
      <c r="BA76" s="5">
        <f>deaths!BA76-deaths!AZ76</f>
        <v>0</v>
      </c>
      <c r="BB76" s="5">
        <f>deaths!BB76-deaths!BA76</f>
        <v>0</v>
      </c>
      <c r="BC76" s="5">
        <f>deaths!BC76-deaths!BB76</f>
        <v>0</v>
      </c>
      <c r="BD76" s="5">
        <f>deaths!BD76-deaths!BC76</f>
        <v>0</v>
      </c>
      <c r="BE76" s="5">
        <f>deaths!BE76-deaths!BD76</f>
        <v>0</v>
      </c>
      <c r="BF76" s="5">
        <f>deaths!BF76-deaths!BE76</f>
        <v>0</v>
      </c>
      <c r="BG76" s="5">
        <f>deaths!BG76-deaths!BF76</f>
        <v>0</v>
      </c>
      <c r="BH76" s="5">
        <f>deaths!BH76-deaths!BG76</f>
        <v>0</v>
      </c>
      <c r="BI76" s="5">
        <f>deaths!BI76-deaths!BH76</f>
        <v>0</v>
      </c>
      <c r="BJ76" s="5">
        <f>deaths!BJ76-deaths!BI76</f>
        <v>0</v>
      </c>
      <c r="BK76" s="5">
        <f>deaths!BK76-deaths!BJ76</f>
        <v>0</v>
      </c>
      <c r="BL76" s="5">
        <f>deaths!BL76-deaths!BK76</f>
        <v>0</v>
      </c>
      <c r="BM76" s="5">
        <f>deaths!BM76-deaths!BL76</f>
        <v>1</v>
      </c>
      <c r="BN76" s="5">
        <f>deaths!BN76-deaths!BM76</f>
        <v>0</v>
      </c>
      <c r="BO76" s="5">
        <f>deaths!BO76-deaths!BN76</f>
        <v>0</v>
      </c>
      <c r="BP76" s="5">
        <f>deaths!BP76-deaths!BO76</f>
        <v>1</v>
      </c>
      <c r="BQ76" s="5">
        <f>deaths!BQ76-deaths!BP76</f>
        <v>0</v>
      </c>
      <c r="BR76" s="5">
        <f>deaths!BR76-deaths!BQ76</f>
        <v>0</v>
      </c>
      <c r="BS76" s="5">
        <f>deaths!BS76-deaths!BR76</f>
        <v>0</v>
      </c>
      <c r="BT76" s="5">
        <f>deaths!BT76-deaths!BS76</f>
        <v>0</v>
      </c>
      <c r="BU76" s="5">
        <f>deaths!BU76-deaths!BT76</f>
        <v>0</v>
      </c>
      <c r="BV76" s="5">
        <f>deaths!BV76-deaths!BU76</f>
        <v>0</v>
      </c>
      <c r="BW76" s="5">
        <f>deaths!BW76-deaths!BV76</f>
        <v>1</v>
      </c>
      <c r="BX76" s="5">
        <f>deaths!BX76-deaths!BW76</f>
        <v>0</v>
      </c>
      <c r="BY76" s="5">
        <f>deaths!BY76-deaths!BX76</f>
        <v>0</v>
      </c>
      <c r="BZ76" s="1">
        <f>deaths!BZ76</f>
        <v>6</v>
      </c>
      <c r="CA76" s="1">
        <f>deaths!CA76</f>
        <v>6</v>
      </c>
      <c r="CB76" s="1">
        <f>deaths!CB76</f>
        <v>6</v>
      </c>
      <c r="CC76" s="1" t="str">
        <f>deaths!CC76</f>
        <v/>
      </c>
    </row>
    <row r="77">
      <c r="B77" s="1" t="str">
        <f>deaths!B77</f>
        <v>China</v>
      </c>
      <c r="C77" s="4">
        <f>deaths!C77</f>
        <v>37.5777</v>
      </c>
      <c r="D77" s="4">
        <f>deaths!D77</f>
        <v>112.2922</v>
      </c>
      <c r="E77" s="5">
        <f>deaths!E77</f>
        <v>0</v>
      </c>
      <c r="F77" s="5">
        <f>deaths!F77-deaths!E77</f>
        <v>0</v>
      </c>
      <c r="G77" s="5">
        <f>deaths!G77-deaths!F77</f>
        <v>0</v>
      </c>
      <c r="H77" s="5">
        <f>deaths!H77-deaths!G77</f>
        <v>0</v>
      </c>
      <c r="I77" s="5">
        <f>deaths!I77-deaths!H77</f>
        <v>0</v>
      </c>
      <c r="J77" s="5">
        <f>deaths!J77-deaths!I77</f>
        <v>0</v>
      </c>
      <c r="K77" s="5">
        <f>deaths!K77-deaths!J77</f>
        <v>0</v>
      </c>
      <c r="L77" s="5">
        <f>deaths!L77-deaths!K77</f>
        <v>0</v>
      </c>
      <c r="M77" s="5">
        <f>deaths!M77-deaths!L77</f>
        <v>0</v>
      </c>
      <c r="N77" s="5">
        <f>deaths!N77-deaths!M77</f>
        <v>0</v>
      </c>
      <c r="O77" s="5">
        <f>deaths!O77-deaths!N77</f>
        <v>0</v>
      </c>
      <c r="P77" s="5">
        <f>deaths!P77-deaths!O77</f>
        <v>0</v>
      </c>
      <c r="Q77" s="5">
        <f>deaths!Q77-deaths!P77</f>
        <v>0</v>
      </c>
      <c r="R77" s="5">
        <f>deaths!R77-deaths!Q77</f>
        <v>0</v>
      </c>
      <c r="S77" s="5">
        <f>deaths!S77-deaths!R77</f>
        <v>0</v>
      </c>
      <c r="T77" s="5">
        <f>deaths!T77-deaths!S77</f>
        <v>0</v>
      </c>
      <c r="U77" s="5">
        <f>deaths!U77-deaths!T77</f>
        <v>0</v>
      </c>
      <c r="V77" s="5">
        <f>deaths!V77-deaths!U77</f>
        <v>0</v>
      </c>
      <c r="W77" s="5">
        <f>deaths!W77-deaths!V77</f>
        <v>0</v>
      </c>
      <c r="X77" s="5">
        <f>deaths!X77-deaths!W77</f>
        <v>0</v>
      </c>
      <c r="Y77" s="5">
        <f>deaths!Y77-deaths!X77</f>
        <v>0</v>
      </c>
      <c r="Z77" s="5">
        <f>deaths!Z77-deaths!Y77</f>
        <v>0</v>
      </c>
      <c r="AA77" s="5">
        <f>deaths!AA77-deaths!Z77</f>
        <v>0</v>
      </c>
      <c r="AB77" s="5">
        <f>deaths!AB77-deaths!AA77</f>
        <v>0</v>
      </c>
      <c r="AC77" s="5">
        <f>deaths!AC77-deaths!AB77</f>
        <v>0</v>
      </c>
      <c r="AD77" s="5">
        <f>deaths!AD77-deaths!AC77</f>
        <v>0</v>
      </c>
      <c r="AE77" s="5">
        <f>deaths!AE77-deaths!AD77</f>
        <v>0</v>
      </c>
      <c r="AF77" s="5">
        <f>deaths!AF77-deaths!AE77</f>
        <v>0</v>
      </c>
      <c r="AG77" s="5">
        <f>deaths!AG77-deaths!AF77</f>
        <v>0</v>
      </c>
      <c r="AH77" s="5">
        <f>deaths!AH77-deaths!AG77</f>
        <v>0</v>
      </c>
      <c r="AI77" s="5">
        <f>deaths!AI77-deaths!AH77</f>
        <v>0</v>
      </c>
      <c r="AJ77" s="5">
        <f>deaths!AJ77-deaths!AI77</f>
        <v>0</v>
      </c>
      <c r="AK77" s="5">
        <f>deaths!AK77-deaths!AJ77</f>
        <v>0</v>
      </c>
      <c r="AL77" s="5">
        <f>deaths!AL77-deaths!AK77</f>
        <v>0</v>
      </c>
      <c r="AM77" s="5">
        <f>deaths!AM77-deaths!AL77</f>
        <v>0</v>
      </c>
      <c r="AN77" s="5">
        <f>deaths!AN77-deaths!AM77</f>
        <v>0</v>
      </c>
      <c r="AO77" s="5">
        <f>deaths!AO77-deaths!AN77</f>
        <v>0</v>
      </c>
      <c r="AP77" s="5">
        <f>deaths!AP77-deaths!AO77</f>
        <v>0</v>
      </c>
      <c r="AQ77" s="5">
        <f>deaths!AQ77-deaths!AP77</f>
        <v>0</v>
      </c>
      <c r="AR77" s="5">
        <f>deaths!AR77-deaths!AQ77</f>
        <v>0</v>
      </c>
      <c r="AS77" s="5">
        <f>deaths!AS77-deaths!AR77</f>
        <v>0</v>
      </c>
      <c r="AT77" s="5">
        <f>deaths!AT77-deaths!AS77</f>
        <v>0</v>
      </c>
      <c r="AU77" s="5">
        <f>deaths!AU77-deaths!AT77</f>
        <v>0</v>
      </c>
      <c r="AV77" s="5">
        <f>deaths!AV77-deaths!AU77</f>
        <v>0</v>
      </c>
      <c r="AW77" s="5">
        <f>deaths!AW77-deaths!AV77</f>
        <v>0</v>
      </c>
      <c r="AX77" s="5">
        <f>deaths!AX77-deaths!AW77</f>
        <v>0</v>
      </c>
      <c r="AY77" s="5">
        <f>deaths!AY77-deaths!AX77</f>
        <v>0</v>
      </c>
      <c r="AZ77" s="5">
        <f>deaths!AZ77-deaths!AY77</f>
        <v>0</v>
      </c>
      <c r="BA77" s="5">
        <f>deaths!BA77-deaths!AZ77</f>
        <v>0</v>
      </c>
      <c r="BB77" s="5">
        <f>deaths!BB77-deaths!BA77</f>
        <v>0</v>
      </c>
      <c r="BC77" s="5">
        <f>deaths!BC77-deaths!BB77</f>
        <v>0</v>
      </c>
      <c r="BD77" s="5">
        <f>deaths!BD77-deaths!BC77</f>
        <v>0</v>
      </c>
      <c r="BE77" s="5">
        <f>deaths!BE77-deaths!BD77</f>
        <v>0</v>
      </c>
      <c r="BF77" s="5">
        <f>deaths!BF77-deaths!BE77</f>
        <v>0</v>
      </c>
      <c r="BG77" s="5">
        <f>deaths!BG77-deaths!BF77</f>
        <v>0</v>
      </c>
      <c r="BH77" s="5">
        <f>deaths!BH77-deaths!BG77</f>
        <v>0</v>
      </c>
      <c r="BI77" s="5">
        <f>deaths!BI77-deaths!BH77</f>
        <v>0</v>
      </c>
      <c r="BJ77" s="5">
        <f>deaths!BJ77-deaths!BI77</f>
        <v>0</v>
      </c>
      <c r="BK77" s="5">
        <f>deaths!BK77-deaths!BJ77</f>
        <v>0</v>
      </c>
      <c r="BL77" s="5">
        <f>deaths!BL77-deaths!BK77</f>
        <v>0</v>
      </c>
      <c r="BM77" s="5">
        <f>deaths!BM77-deaths!BL77</f>
        <v>0</v>
      </c>
      <c r="BN77" s="5">
        <f>deaths!BN77-deaths!BM77</f>
        <v>0</v>
      </c>
      <c r="BO77" s="5">
        <f>deaths!BO77-deaths!BN77</f>
        <v>0</v>
      </c>
      <c r="BP77" s="5">
        <f>deaths!BP77-deaths!BO77</f>
        <v>0</v>
      </c>
      <c r="BQ77" s="5">
        <f>deaths!BQ77-deaths!BP77</f>
        <v>0</v>
      </c>
      <c r="BR77" s="5">
        <f>deaths!BR77-deaths!BQ77</f>
        <v>0</v>
      </c>
      <c r="BS77" s="5">
        <f>deaths!BS77-deaths!BR77</f>
        <v>0</v>
      </c>
      <c r="BT77" s="5">
        <f>deaths!BT77-deaths!BS77</f>
        <v>0</v>
      </c>
      <c r="BU77" s="5">
        <f>deaths!BU77-deaths!BT77</f>
        <v>0</v>
      </c>
      <c r="BV77" s="5">
        <f>deaths!BV77-deaths!BU77</f>
        <v>0</v>
      </c>
      <c r="BW77" s="5">
        <f>deaths!BW77-deaths!BV77</f>
        <v>0</v>
      </c>
      <c r="BX77" s="5">
        <f>deaths!BX77-deaths!BW77</f>
        <v>0</v>
      </c>
      <c r="BY77" s="5">
        <f>deaths!BY77-deaths!BX77</f>
        <v>0</v>
      </c>
      <c r="BZ77" s="1">
        <f>deaths!BZ77</f>
        <v>0</v>
      </c>
      <c r="CA77" s="1">
        <f>deaths!CA77</f>
        <v>0</v>
      </c>
      <c r="CB77" s="1">
        <f>deaths!CB77</f>
        <v>0</v>
      </c>
      <c r="CC77" s="1" t="str">
        <f>deaths!CC77</f>
        <v/>
      </c>
    </row>
    <row r="78">
      <c r="B78" s="1" t="str">
        <f>deaths!B78</f>
        <v>China</v>
      </c>
      <c r="C78" s="4">
        <f>deaths!C78</f>
        <v>30.6171</v>
      </c>
      <c r="D78" s="4">
        <f>deaths!D78</f>
        <v>102.7103</v>
      </c>
      <c r="E78" s="5">
        <f>deaths!E78</f>
        <v>0</v>
      </c>
      <c r="F78" s="5">
        <f>deaths!F78-deaths!E78</f>
        <v>0</v>
      </c>
      <c r="G78" s="5">
        <f>deaths!G78-deaths!F78</f>
        <v>0</v>
      </c>
      <c r="H78" s="5">
        <f>deaths!H78-deaths!G78</f>
        <v>0</v>
      </c>
      <c r="I78" s="5">
        <f>deaths!I78-deaths!H78</f>
        <v>0</v>
      </c>
      <c r="J78" s="5">
        <f>deaths!J78-deaths!I78</f>
        <v>0</v>
      </c>
      <c r="K78" s="5">
        <f>deaths!K78-deaths!J78</f>
        <v>0</v>
      </c>
      <c r="L78" s="5">
        <f>deaths!L78-deaths!K78</f>
        <v>1</v>
      </c>
      <c r="M78" s="5">
        <f>deaths!M78-deaths!L78</f>
        <v>0</v>
      </c>
      <c r="N78" s="5">
        <f>deaths!N78-deaths!M78</f>
        <v>0</v>
      </c>
      <c r="O78" s="5">
        <f>deaths!O78-deaths!N78</f>
        <v>0</v>
      </c>
      <c r="P78" s="5">
        <f>deaths!P78-deaths!O78</f>
        <v>0</v>
      </c>
      <c r="Q78" s="5">
        <f>deaths!Q78-deaths!P78</f>
        <v>0</v>
      </c>
      <c r="R78" s="5">
        <f>deaths!R78-deaths!Q78</f>
        <v>0</v>
      </c>
      <c r="S78" s="5">
        <f>deaths!S78-deaths!R78</f>
        <v>0</v>
      </c>
      <c r="T78" s="5">
        <f>deaths!T78-deaths!S78</f>
        <v>0</v>
      </c>
      <c r="U78" s="5">
        <f>deaths!U78-deaths!T78</f>
        <v>0</v>
      </c>
      <c r="V78" s="5">
        <f>deaths!V78-deaths!U78</f>
        <v>0</v>
      </c>
      <c r="W78" s="5">
        <f>deaths!W78-deaths!V78</f>
        <v>0</v>
      </c>
      <c r="X78" s="5">
        <f>deaths!X78-deaths!W78</f>
        <v>0</v>
      </c>
      <c r="Y78" s="5">
        <f>deaths!Y78-deaths!X78</f>
        <v>0</v>
      </c>
      <c r="Z78" s="5">
        <f>deaths!Z78-deaths!Y78</f>
        <v>0</v>
      </c>
      <c r="AA78" s="5">
        <f>deaths!AA78-deaths!Z78</f>
        <v>0</v>
      </c>
      <c r="AB78" s="5">
        <f>deaths!AB78-deaths!AA78</f>
        <v>0</v>
      </c>
      <c r="AC78" s="5">
        <f>deaths!AC78-deaths!AB78</f>
        <v>0</v>
      </c>
      <c r="AD78" s="5">
        <f>deaths!AD78-deaths!AC78</f>
        <v>2</v>
      </c>
      <c r="AE78" s="5">
        <f>deaths!AE78-deaths!AD78</f>
        <v>0</v>
      </c>
      <c r="AF78" s="5">
        <f>deaths!AF78-deaths!AE78</f>
        <v>0</v>
      </c>
      <c r="AG78" s="5">
        <f>deaths!AG78-deaths!AF78</f>
        <v>0</v>
      </c>
      <c r="AH78" s="5">
        <f>deaths!AH78-deaths!AG78</f>
        <v>0</v>
      </c>
      <c r="AI78" s="5">
        <f>deaths!AI78-deaths!AH78</f>
        <v>0</v>
      </c>
      <c r="AJ78" s="5">
        <f>deaths!AJ78-deaths!AI78</f>
        <v>0</v>
      </c>
      <c r="AK78" s="5">
        <f>deaths!AK78-deaths!AJ78</f>
        <v>0</v>
      </c>
      <c r="AL78" s="5">
        <f>deaths!AL78-deaths!AK78</f>
        <v>0</v>
      </c>
      <c r="AM78" s="5">
        <f>deaths!AM78-deaths!AL78</f>
        <v>0</v>
      </c>
      <c r="AN78" s="5">
        <f>deaths!AN78-deaths!AM78</f>
        <v>0</v>
      </c>
      <c r="AO78" s="5">
        <f>deaths!AO78-deaths!AN78</f>
        <v>0</v>
      </c>
      <c r="AP78" s="5">
        <f>deaths!AP78-deaths!AO78</f>
        <v>0</v>
      </c>
      <c r="AQ78" s="5">
        <f>deaths!AQ78-deaths!AP78</f>
        <v>0</v>
      </c>
      <c r="AR78" s="5">
        <f>deaths!AR78-deaths!AQ78</f>
        <v>0</v>
      </c>
      <c r="AS78" s="5">
        <f>deaths!AS78-deaths!AR78</f>
        <v>0</v>
      </c>
      <c r="AT78" s="5">
        <f>deaths!AT78-deaths!AS78</f>
        <v>0</v>
      </c>
      <c r="AU78" s="5">
        <f>deaths!AU78-deaths!AT78</f>
        <v>0</v>
      </c>
      <c r="AV78" s="5">
        <f>deaths!AV78-deaths!AU78</f>
        <v>0</v>
      </c>
      <c r="AW78" s="5">
        <f>deaths!AW78-deaths!AV78</f>
        <v>0</v>
      </c>
      <c r="AX78" s="5">
        <f>deaths!AX78-deaths!AW78</f>
        <v>0</v>
      </c>
      <c r="AY78" s="5">
        <f>deaths!AY78-deaths!AX78</f>
        <v>0</v>
      </c>
      <c r="AZ78" s="5">
        <f>deaths!AZ78-deaths!AY78</f>
        <v>0</v>
      </c>
      <c r="BA78" s="5">
        <f>deaths!BA78-deaths!AZ78</f>
        <v>0</v>
      </c>
      <c r="BB78" s="5">
        <f>deaths!BB78-deaths!BA78</f>
        <v>0</v>
      </c>
      <c r="BC78" s="5">
        <f>deaths!BC78-deaths!BB78</f>
        <v>0</v>
      </c>
      <c r="BD78" s="5">
        <f>deaths!BD78-deaths!BC78</f>
        <v>0</v>
      </c>
      <c r="BE78" s="5">
        <f>deaths!BE78-deaths!BD78</f>
        <v>0</v>
      </c>
      <c r="BF78" s="5">
        <f>deaths!BF78-deaths!BE78</f>
        <v>0</v>
      </c>
      <c r="BG78" s="5">
        <f>deaths!BG78-deaths!BF78</f>
        <v>0</v>
      </c>
      <c r="BH78" s="5">
        <f>deaths!BH78-deaths!BG78</f>
        <v>0</v>
      </c>
      <c r="BI78" s="5">
        <f>deaths!BI78-deaths!BH78</f>
        <v>0</v>
      </c>
      <c r="BJ78" s="5">
        <f>deaths!BJ78-deaths!BI78</f>
        <v>0</v>
      </c>
      <c r="BK78" s="5">
        <f>deaths!BK78-deaths!BJ78</f>
        <v>0</v>
      </c>
      <c r="BL78" s="5">
        <f>deaths!BL78-deaths!BK78</f>
        <v>0</v>
      </c>
      <c r="BM78" s="5">
        <f>deaths!BM78-deaths!BL78</f>
        <v>0</v>
      </c>
      <c r="BN78" s="5">
        <f>deaths!BN78-deaths!BM78</f>
        <v>0</v>
      </c>
      <c r="BO78" s="5">
        <f>deaths!BO78-deaths!BN78</f>
        <v>0</v>
      </c>
      <c r="BP78" s="5">
        <f>deaths!BP78-deaths!BO78</f>
        <v>0</v>
      </c>
      <c r="BQ78" s="5">
        <f>deaths!BQ78-deaths!BP78</f>
        <v>0</v>
      </c>
      <c r="BR78" s="5">
        <f>deaths!BR78-deaths!BQ78</f>
        <v>0</v>
      </c>
      <c r="BS78" s="5">
        <f>deaths!BS78-deaths!BR78</f>
        <v>0</v>
      </c>
      <c r="BT78" s="5">
        <f>deaths!BT78-deaths!BS78</f>
        <v>0</v>
      </c>
      <c r="BU78" s="5">
        <f>deaths!BU78-deaths!BT78</f>
        <v>0</v>
      </c>
      <c r="BV78" s="5">
        <f>deaths!BV78-deaths!BU78</f>
        <v>0</v>
      </c>
      <c r="BW78" s="5">
        <f>deaths!BW78-deaths!BV78</f>
        <v>0</v>
      </c>
      <c r="BX78" s="5">
        <f>deaths!BX78-deaths!BW78</f>
        <v>0</v>
      </c>
      <c r="BY78" s="5">
        <f>deaths!BY78-deaths!BX78</f>
        <v>0</v>
      </c>
      <c r="BZ78" s="1">
        <f>deaths!BZ78</f>
        <v>3</v>
      </c>
      <c r="CA78" s="1">
        <f>deaths!CA78</f>
        <v>3</v>
      </c>
      <c r="CB78" s="1">
        <f>deaths!CB78</f>
        <v>3</v>
      </c>
      <c r="CC78" s="1" t="str">
        <f>deaths!CC78</f>
        <v/>
      </c>
    </row>
    <row r="79">
      <c r="B79" s="1" t="str">
        <f>deaths!B79</f>
        <v>China</v>
      </c>
      <c r="C79" s="4">
        <f>deaths!C79</f>
        <v>39.3054</v>
      </c>
      <c r="D79" s="4">
        <f>deaths!D79</f>
        <v>117.323</v>
      </c>
      <c r="E79" s="5">
        <f>deaths!E79</f>
        <v>0</v>
      </c>
      <c r="F79" s="5">
        <f>deaths!F79-deaths!E79</f>
        <v>0</v>
      </c>
      <c r="G79" s="5">
        <f>deaths!G79-deaths!F79</f>
        <v>0</v>
      </c>
      <c r="H79" s="5">
        <f>deaths!H79-deaths!G79</f>
        <v>0</v>
      </c>
      <c r="I79" s="5">
        <f>deaths!I79-deaths!H79</f>
        <v>0</v>
      </c>
      <c r="J79" s="5">
        <f>deaths!J79-deaths!I79</f>
        <v>0</v>
      </c>
      <c r="K79" s="5">
        <f>deaths!K79-deaths!J79</f>
        <v>0</v>
      </c>
      <c r="L79" s="5">
        <f>deaths!L79-deaths!K79</f>
        <v>0</v>
      </c>
      <c r="M79" s="5">
        <f>deaths!M79-deaths!L79</f>
        <v>0</v>
      </c>
      <c r="N79" s="5">
        <f>deaths!N79-deaths!M79</f>
        <v>0</v>
      </c>
      <c r="O79" s="5">
        <f>deaths!O79-deaths!N79</f>
        <v>0</v>
      </c>
      <c r="P79" s="5">
        <f>deaths!P79-deaths!O79</f>
        <v>0</v>
      </c>
      <c r="Q79" s="5">
        <f>deaths!Q79-deaths!P79</f>
        <v>0</v>
      </c>
      <c r="R79" s="5">
        <f>deaths!R79-deaths!Q79</f>
        <v>0</v>
      </c>
      <c r="S79" s="5">
        <f>deaths!S79-deaths!R79</f>
        <v>1</v>
      </c>
      <c r="T79" s="5">
        <f>deaths!T79-deaths!S79</f>
        <v>0</v>
      </c>
      <c r="U79" s="5">
        <f>deaths!U79-deaths!T79</f>
        <v>0</v>
      </c>
      <c r="V79" s="5">
        <f>deaths!V79-deaths!U79</f>
        <v>0</v>
      </c>
      <c r="W79" s="5">
        <f>deaths!W79-deaths!V79</f>
        <v>0</v>
      </c>
      <c r="X79" s="5">
        <f>deaths!X79-deaths!W79</f>
        <v>0</v>
      </c>
      <c r="Y79" s="5">
        <f>deaths!Y79-deaths!X79</f>
        <v>1</v>
      </c>
      <c r="Z79" s="5">
        <f>deaths!Z79-deaths!Y79</f>
        <v>0</v>
      </c>
      <c r="AA79" s="5">
        <f>deaths!AA79-deaths!Z79</f>
        <v>1</v>
      </c>
      <c r="AB79" s="5">
        <f>deaths!AB79-deaths!AA79</f>
        <v>0</v>
      </c>
      <c r="AC79" s="5">
        <f>deaths!AC79-deaths!AB79</f>
        <v>0</v>
      </c>
      <c r="AD79" s="5">
        <f>deaths!AD79-deaths!AC79</f>
        <v>0</v>
      </c>
      <c r="AE79" s="5">
        <f>deaths!AE79-deaths!AD79</f>
        <v>0</v>
      </c>
      <c r="AF79" s="5">
        <f>deaths!AF79-deaths!AE79</f>
        <v>0</v>
      </c>
      <c r="AG79" s="5">
        <f>deaths!AG79-deaths!AF79</f>
        <v>0</v>
      </c>
      <c r="AH79" s="5">
        <f>deaths!AH79-deaths!AG79</f>
        <v>0</v>
      </c>
      <c r="AI79" s="5">
        <f>deaths!AI79-deaths!AH79</f>
        <v>0</v>
      </c>
      <c r="AJ79" s="5">
        <f>deaths!AJ79-deaths!AI79</f>
        <v>0</v>
      </c>
      <c r="AK79" s="5">
        <f>deaths!AK79-deaths!AJ79</f>
        <v>0</v>
      </c>
      <c r="AL79" s="5">
        <f>deaths!AL79-deaths!AK79</f>
        <v>0</v>
      </c>
      <c r="AM79" s="5">
        <f>deaths!AM79-deaths!AL79</f>
        <v>0</v>
      </c>
      <c r="AN79" s="5">
        <f>deaths!AN79-deaths!AM79</f>
        <v>0</v>
      </c>
      <c r="AO79" s="5">
        <f>deaths!AO79-deaths!AN79</f>
        <v>0</v>
      </c>
      <c r="AP79" s="5">
        <f>deaths!AP79-deaths!AO79</f>
        <v>0</v>
      </c>
      <c r="AQ79" s="5">
        <f>deaths!AQ79-deaths!AP79</f>
        <v>0</v>
      </c>
      <c r="AR79" s="5">
        <f>deaths!AR79-deaths!AQ79</f>
        <v>0</v>
      </c>
      <c r="AS79" s="5">
        <f>deaths!AS79-deaths!AR79</f>
        <v>0</v>
      </c>
      <c r="AT79" s="5">
        <f>deaths!AT79-deaths!AS79</f>
        <v>0</v>
      </c>
      <c r="AU79" s="5">
        <f>deaths!AU79-deaths!AT79</f>
        <v>0</v>
      </c>
      <c r="AV79" s="5">
        <f>deaths!AV79-deaths!AU79</f>
        <v>0</v>
      </c>
      <c r="AW79" s="5">
        <f>deaths!AW79-deaths!AV79</f>
        <v>0</v>
      </c>
      <c r="AX79" s="5">
        <f>deaths!AX79-deaths!AW79</f>
        <v>0</v>
      </c>
      <c r="AY79" s="5">
        <f>deaths!AY79-deaths!AX79</f>
        <v>0</v>
      </c>
      <c r="AZ79" s="5">
        <f>deaths!AZ79-deaths!AY79</f>
        <v>0</v>
      </c>
      <c r="BA79" s="5">
        <f>deaths!BA79-deaths!AZ79</f>
        <v>0</v>
      </c>
      <c r="BB79" s="5">
        <f>deaths!BB79-deaths!BA79</f>
        <v>0</v>
      </c>
      <c r="BC79" s="5">
        <f>deaths!BC79-deaths!BB79</f>
        <v>0</v>
      </c>
      <c r="BD79" s="5">
        <f>deaths!BD79-deaths!BC79</f>
        <v>0</v>
      </c>
      <c r="BE79" s="5">
        <f>deaths!BE79-deaths!BD79</f>
        <v>0</v>
      </c>
      <c r="BF79" s="5">
        <f>deaths!BF79-deaths!BE79</f>
        <v>0</v>
      </c>
      <c r="BG79" s="5">
        <f>deaths!BG79-deaths!BF79</f>
        <v>0</v>
      </c>
      <c r="BH79" s="5">
        <f>deaths!BH79-deaths!BG79</f>
        <v>0</v>
      </c>
      <c r="BI79" s="5">
        <f>deaths!BI79-deaths!BH79</f>
        <v>0</v>
      </c>
      <c r="BJ79" s="5">
        <f>deaths!BJ79-deaths!BI79</f>
        <v>0</v>
      </c>
      <c r="BK79" s="5">
        <f>deaths!BK79-deaths!BJ79</f>
        <v>0</v>
      </c>
      <c r="BL79" s="5">
        <f>deaths!BL79-deaths!BK79</f>
        <v>0</v>
      </c>
      <c r="BM79" s="5">
        <f>deaths!BM79-deaths!BL79</f>
        <v>0</v>
      </c>
      <c r="BN79" s="5">
        <f>deaths!BN79-deaths!BM79</f>
        <v>0</v>
      </c>
      <c r="BO79" s="5">
        <f>deaths!BO79-deaths!BN79</f>
        <v>0</v>
      </c>
      <c r="BP79" s="5">
        <f>deaths!BP79-deaths!BO79</f>
        <v>0</v>
      </c>
      <c r="BQ79" s="5">
        <f>deaths!BQ79-deaths!BP79</f>
        <v>0</v>
      </c>
      <c r="BR79" s="5">
        <f>deaths!BR79-deaths!BQ79</f>
        <v>0</v>
      </c>
      <c r="BS79" s="5">
        <f>deaths!BS79-deaths!BR79</f>
        <v>0</v>
      </c>
      <c r="BT79" s="5">
        <f>deaths!BT79-deaths!BS79</f>
        <v>0</v>
      </c>
      <c r="BU79" s="5">
        <f>deaths!BU79-deaths!BT79</f>
        <v>0</v>
      </c>
      <c r="BV79" s="5">
        <f>deaths!BV79-deaths!BU79</f>
        <v>0</v>
      </c>
      <c r="BW79" s="5">
        <f>deaths!BW79-deaths!BV79</f>
        <v>0</v>
      </c>
      <c r="BX79" s="5">
        <f>deaths!BX79-deaths!BW79</f>
        <v>0</v>
      </c>
      <c r="BY79" s="5">
        <f>deaths!BY79-deaths!BX79</f>
        <v>0</v>
      </c>
      <c r="BZ79" s="1">
        <f>deaths!BZ79</f>
        <v>3</v>
      </c>
      <c r="CA79" s="1">
        <f>deaths!CA79</f>
        <v>3</v>
      </c>
      <c r="CB79" s="1">
        <f>deaths!CB79</f>
        <v>3</v>
      </c>
      <c r="CC79" s="1" t="str">
        <f>deaths!CC79</f>
        <v/>
      </c>
    </row>
    <row r="80">
      <c r="B80" s="1" t="str">
        <f>deaths!B80</f>
        <v>China</v>
      </c>
      <c r="C80" s="4">
        <f>deaths!C80</f>
        <v>31.6927</v>
      </c>
      <c r="D80" s="4">
        <f>deaths!D80</f>
        <v>88.0924</v>
      </c>
      <c r="E80" s="5">
        <f>deaths!E80</f>
        <v>0</v>
      </c>
      <c r="F80" s="5">
        <f>deaths!F80-deaths!E80</f>
        <v>0</v>
      </c>
      <c r="G80" s="5">
        <f>deaths!G80-deaths!F80</f>
        <v>0</v>
      </c>
      <c r="H80" s="5">
        <f>deaths!H80-deaths!G80</f>
        <v>0</v>
      </c>
      <c r="I80" s="5">
        <f>deaths!I80-deaths!H80</f>
        <v>0</v>
      </c>
      <c r="J80" s="5">
        <f>deaths!J80-deaths!I80</f>
        <v>0</v>
      </c>
      <c r="K80" s="5">
        <f>deaths!K80-deaths!J80</f>
        <v>0</v>
      </c>
      <c r="L80" s="5">
        <f>deaths!L80-deaths!K80</f>
        <v>0</v>
      </c>
      <c r="M80" s="5">
        <f>deaths!M80-deaths!L80</f>
        <v>0</v>
      </c>
      <c r="N80" s="5">
        <f>deaths!N80-deaths!M80</f>
        <v>0</v>
      </c>
      <c r="O80" s="5">
        <f>deaths!O80-deaths!N80</f>
        <v>0</v>
      </c>
      <c r="P80" s="5">
        <f>deaths!P80-deaths!O80</f>
        <v>0</v>
      </c>
      <c r="Q80" s="5">
        <f>deaths!Q80-deaths!P80</f>
        <v>0</v>
      </c>
      <c r="R80" s="5">
        <f>deaths!R80-deaths!Q80</f>
        <v>0</v>
      </c>
      <c r="S80" s="5">
        <f>deaths!S80-deaths!R80</f>
        <v>0</v>
      </c>
      <c r="T80" s="5">
        <f>deaths!T80-deaths!S80</f>
        <v>0</v>
      </c>
      <c r="U80" s="5">
        <f>deaths!U80-deaths!T80</f>
        <v>0</v>
      </c>
      <c r="V80" s="5">
        <f>deaths!V80-deaths!U80</f>
        <v>0</v>
      </c>
      <c r="W80" s="5">
        <f>deaths!W80-deaths!V80</f>
        <v>0</v>
      </c>
      <c r="X80" s="5">
        <f>deaths!X80-deaths!W80</f>
        <v>0</v>
      </c>
      <c r="Y80" s="5">
        <f>deaths!Y80-deaths!X80</f>
        <v>0</v>
      </c>
      <c r="Z80" s="5">
        <f>deaths!Z80-deaths!Y80</f>
        <v>0</v>
      </c>
      <c r="AA80" s="5">
        <f>deaths!AA80-deaths!Z80</f>
        <v>0</v>
      </c>
      <c r="AB80" s="5">
        <f>deaths!AB80-deaths!AA80</f>
        <v>0</v>
      </c>
      <c r="AC80" s="5">
        <f>deaths!AC80-deaths!AB80</f>
        <v>0</v>
      </c>
      <c r="AD80" s="5">
        <f>deaths!AD80-deaths!AC80</f>
        <v>0</v>
      </c>
      <c r="AE80" s="5">
        <f>deaths!AE80-deaths!AD80</f>
        <v>0</v>
      </c>
      <c r="AF80" s="5">
        <f>deaths!AF80-deaths!AE80</f>
        <v>0</v>
      </c>
      <c r="AG80" s="5">
        <f>deaths!AG80-deaths!AF80</f>
        <v>0</v>
      </c>
      <c r="AH80" s="5">
        <f>deaths!AH80-deaths!AG80</f>
        <v>0</v>
      </c>
      <c r="AI80" s="5">
        <f>deaths!AI80-deaths!AH80</f>
        <v>0</v>
      </c>
      <c r="AJ80" s="5">
        <f>deaths!AJ80-deaths!AI80</f>
        <v>0</v>
      </c>
      <c r="AK80" s="5">
        <f>deaths!AK80-deaths!AJ80</f>
        <v>0</v>
      </c>
      <c r="AL80" s="5">
        <f>deaths!AL80-deaths!AK80</f>
        <v>0</v>
      </c>
      <c r="AM80" s="5">
        <f>deaths!AM80-deaths!AL80</f>
        <v>0</v>
      </c>
      <c r="AN80" s="5">
        <f>deaths!AN80-deaths!AM80</f>
        <v>0</v>
      </c>
      <c r="AO80" s="5">
        <f>deaths!AO80-deaths!AN80</f>
        <v>0</v>
      </c>
      <c r="AP80" s="5">
        <f>deaths!AP80-deaths!AO80</f>
        <v>0</v>
      </c>
      <c r="AQ80" s="5">
        <f>deaths!AQ80-deaths!AP80</f>
        <v>0</v>
      </c>
      <c r="AR80" s="5">
        <f>deaths!AR80-deaths!AQ80</f>
        <v>0</v>
      </c>
      <c r="AS80" s="5">
        <f>deaths!AS80-deaths!AR80</f>
        <v>0</v>
      </c>
      <c r="AT80" s="5">
        <f>deaths!AT80-deaths!AS80</f>
        <v>0</v>
      </c>
      <c r="AU80" s="5">
        <f>deaths!AU80-deaths!AT80</f>
        <v>0</v>
      </c>
      <c r="AV80" s="5">
        <f>deaths!AV80-deaths!AU80</f>
        <v>0</v>
      </c>
      <c r="AW80" s="5">
        <f>deaths!AW80-deaths!AV80</f>
        <v>0</v>
      </c>
      <c r="AX80" s="5">
        <f>deaths!AX80-deaths!AW80</f>
        <v>0</v>
      </c>
      <c r="AY80" s="5">
        <f>deaths!AY80-deaths!AX80</f>
        <v>0</v>
      </c>
      <c r="AZ80" s="5">
        <f>deaths!AZ80-deaths!AY80</f>
        <v>0</v>
      </c>
      <c r="BA80" s="5">
        <f>deaths!BA80-deaths!AZ80</f>
        <v>0</v>
      </c>
      <c r="BB80" s="5">
        <f>deaths!BB80-deaths!BA80</f>
        <v>0</v>
      </c>
      <c r="BC80" s="5">
        <f>deaths!BC80-deaths!BB80</f>
        <v>0</v>
      </c>
      <c r="BD80" s="5">
        <f>deaths!BD80-deaths!BC80</f>
        <v>0</v>
      </c>
      <c r="BE80" s="5">
        <f>deaths!BE80-deaths!BD80</f>
        <v>0</v>
      </c>
      <c r="BF80" s="5">
        <f>deaths!BF80-deaths!BE80</f>
        <v>0</v>
      </c>
      <c r="BG80" s="5">
        <f>deaths!BG80-deaths!BF80</f>
        <v>0</v>
      </c>
      <c r="BH80" s="5">
        <f>deaths!BH80-deaths!BG80</f>
        <v>0</v>
      </c>
      <c r="BI80" s="5">
        <f>deaths!BI80-deaths!BH80</f>
        <v>0</v>
      </c>
      <c r="BJ80" s="5">
        <f>deaths!BJ80-deaths!BI80</f>
        <v>0</v>
      </c>
      <c r="BK80" s="5">
        <f>deaths!BK80-deaths!BJ80</f>
        <v>0</v>
      </c>
      <c r="BL80" s="5">
        <f>deaths!BL80-deaths!BK80</f>
        <v>0</v>
      </c>
      <c r="BM80" s="5">
        <f>deaths!BM80-deaths!BL80</f>
        <v>0</v>
      </c>
      <c r="BN80" s="5">
        <f>deaths!BN80-deaths!BM80</f>
        <v>0</v>
      </c>
      <c r="BO80" s="5">
        <f>deaths!BO80-deaths!BN80</f>
        <v>0</v>
      </c>
      <c r="BP80" s="5">
        <f>deaths!BP80-deaths!BO80</f>
        <v>0</v>
      </c>
      <c r="BQ80" s="5">
        <f>deaths!BQ80-deaths!BP80</f>
        <v>0</v>
      </c>
      <c r="BR80" s="5">
        <f>deaths!BR80-deaths!BQ80</f>
        <v>0</v>
      </c>
      <c r="BS80" s="5">
        <f>deaths!BS80-deaths!BR80</f>
        <v>0</v>
      </c>
      <c r="BT80" s="5">
        <f>deaths!BT80-deaths!BS80</f>
        <v>0</v>
      </c>
      <c r="BU80" s="5">
        <f>deaths!BU80-deaths!BT80</f>
        <v>0</v>
      </c>
      <c r="BV80" s="5">
        <f>deaths!BV80-deaths!BU80</f>
        <v>0</v>
      </c>
      <c r="BW80" s="5">
        <f>deaths!BW80-deaths!BV80</f>
        <v>0</v>
      </c>
      <c r="BX80" s="5">
        <f>deaths!BX80-deaths!BW80</f>
        <v>0</v>
      </c>
      <c r="BY80" s="5">
        <f>deaths!BY80-deaths!BX80</f>
        <v>0</v>
      </c>
      <c r="BZ80" s="1">
        <f>deaths!BZ80</f>
        <v>0</v>
      </c>
      <c r="CA80" s="1">
        <f>deaths!CA80</f>
        <v>0</v>
      </c>
      <c r="CB80" s="1">
        <f>deaths!CB80</f>
        <v>0</v>
      </c>
      <c r="CC80" s="1" t="str">
        <f>deaths!CC80</f>
        <v/>
      </c>
    </row>
    <row r="81">
      <c r="B81" s="1" t="str">
        <f>deaths!B81</f>
        <v>China</v>
      </c>
      <c r="C81" s="4">
        <f>deaths!C81</f>
        <v>41.1129</v>
      </c>
      <c r="D81" s="4">
        <f>deaths!D81</f>
        <v>85.2401</v>
      </c>
      <c r="E81" s="5">
        <f>deaths!E81</f>
        <v>0</v>
      </c>
      <c r="F81" s="5">
        <f>deaths!F81-deaths!E81</f>
        <v>0</v>
      </c>
      <c r="G81" s="5">
        <f>deaths!G81-deaths!F81</f>
        <v>0</v>
      </c>
      <c r="H81" s="5">
        <f>deaths!H81-deaths!G81</f>
        <v>0</v>
      </c>
      <c r="I81" s="5">
        <f>deaths!I81-deaths!H81</f>
        <v>0</v>
      </c>
      <c r="J81" s="5">
        <f>deaths!J81-deaths!I81</f>
        <v>0</v>
      </c>
      <c r="K81" s="5">
        <f>deaths!K81-deaths!J81</f>
        <v>0</v>
      </c>
      <c r="L81" s="5">
        <f>deaths!L81-deaths!K81</f>
        <v>0</v>
      </c>
      <c r="M81" s="5">
        <f>deaths!M81-deaths!L81</f>
        <v>0</v>
      </c>
      <c r="N81" s="5">
        <f>deaths!N81-deaths!M81</f>
        <v>0</v>
      </c>
      <c r="O81" s="5">
        <f>deaths!O81-deaths!N81</f>
        <v>0</v>
      </c>
      <c r="P81" s="5">
        <f>deaths!P81-deaths!O81</f>
        <v>0</v>
      </c>
      <c r="Q81" s="5">
        <f>deaths!Q81-deaths!P81</f>
        <v>0</v>
      </c>
      <c r="R81" s="5">
        <f>deaths!R81-deaths!Q81</f>
        <v>0</v>
      </c>
      <c r="S81" s="5">
        <f>deaths!S81-deaths!R81</f>
        <v>0</v>
      </c>
      <c r="T81" s="5">
        <f>deaths!T81-deaths!S81</f>
        <v>0</v>
      </c>
      <c r="U81" s="5">
        <f>deaths!U81-deaths!T81</f>
        <v>0</v>
      </c>
      <c r="V81" s="5">
        <f>deaths!V81-deaths!U81</f>
        <v>0</v>
      </c>
      <c r="W81" s="5">
        <f>deaths!W81-deaths!V81</f>
        <v>0</v>
      </c>
      <c r="X81" s="5">
        <f>deaths!X81-deaths!W81</f>
        <v>0</v>
      </c>
      <c r="Y81" s="5">
        <f>deaths!Y81-deaths!X81</f>
        <v>0</v>
      </c>
      <c r="Z81" s="5">
        <f>deaths!Z81-deaths!Y81</f>
        <v>0</v>
      </c>
      <c r="AA81" s="5">
        <f>deaths!AA81-deaths!Z81</f>
        <v>1</v>
      </c>
      <c r="AB81" s="5">
        <f>deaths!AB81-deaths!AA81</f>
        <v>0</v>
      </c>
      <c r="AC81" s="5">
        <f>deaths!AC81-deaths!AB81</f>
        <v>0</v>
      </c>
      <c r="AD81" s="5">
        <f>deaths!AD81-deaths!AC81</f>
        <v>0</v>
      </c>
      <c r="AE81" s="5">
        <f>deaths!AE81-deaths!AD81</f>
        <v>0</v>
      </c>
      <c r="AF81" s="5">
        <f>deaths!AF81-deaths!AE81</f>
        <v>0</v>
      </c>
      <c r="AG81" s="5">
        <f>deaths!AG81-deaths!AF81</f>
        <v>0</v>
      </c>
      <c r="AH81" s="5">
        <f>deaths!AH81-deaths!AG81</f>
        <v>0</v>
      </c>
      <c r="AI81" s="5">
        <f>deaths!AI81-deaths!AH81</f>
        <v>0</v>
      </c>
      <c r="AJ81" s="5">
        <f>deaths!AJ81-deaths!AI81</f>
        <v>1</v>
      </c>
      <c r="AK81" s="5">
        <f>deaths!AK81-deaths!AJ81</f>
        <v>0</v>
      </c>
      <c r="AL81" s="5">
        <f>deaths!AL81-deaths!AK81</f>
        <v>0</v>
      </c>
      <c r="AM81" s="5">
        <f>deaths!AM81-deaths!AL81</f>
        <v>0</v>
      </c>
      <c r="AN81" s="5">
        <f>deaths!AN81-deaths!AM81</f>
        <v>0</v>
      </c>
      <c r="AO81" s="5">
        <f>deaths!AO81-deaths!AN81</f>
        <v>0</v>
      </c>
      <c r="AP81" s="5">
        <f>deaths!AP81-deaths!AO81</f>
        <v>1</v>
      </c>
      <c r="AQ81" s="5">
        <f>deaths!AQ81-deaths!AP81</f>
        <v>0</v>
      </c>
      <c r="AR81" s="5">
        <f>deaths!AR81-deaths!AQ81</f>
        <v>0</v>
      </c>
      <c r="AS81" s="5">
        <f>deaths!AS81-deaths!AR81</f>
        <v>0</v>
      </c>
      <c r="AT81" s="5">
        <f>deaths!AT81-deaths!AS81</f>
        <v>0</v>
      </c>
      <c r="AU81" s="5">
        <f>deaths!AU81-deaths!AT81</f>
        <v>0</v>
      </c>
      <c r="AV81" s="5">
        <f>deaths!AV81-deaths!AU81</f>
        <v>0</v>
      </c>
      <c r="AW81" s="5">
        <f>deaths!AW81-deaths!AV81</f>
        <v>0</v>
      </c>
      <c r="AX81" s="5">
        <f>deaths!AX81-deaths!AW81</f>
        <v>0</v>
      </c>
      <c r="AY81" s="5">
        <f>deaths!AY81-deaths!AX81</f>
        <v>0</v>
      </c>
      <c r="AZ81" s="5">
        <f>deaths!AZ81-deaths!AY81</f>
        <v>0</v>
      </c>
      <c r="BA81" s="5">
        <f>deaths!BA81-deaths!AZ81</f>
        <v>0</v>
      </c>
      <c r="BB81" s="5">
        <f>deaths!BB81-deaths!BA81</f>
        <v>0</v>
      </c>
      <c r="BC81" s="5">
        <f>deaths!BC81-deaths!BB81</f>
        <v>0</v>
      </c>
      <c r="BD81" s="5">
        <f>deaths!BD81-deaths!BC81</f>
        <v>0</v>
      </c>
      <c r="BE81" s="5">
        <f>deaths!BE81-deaths!BD81</f>
        <v>0</v>
      </c>
      <c r="BF81" s="5">
        <f>deaths!BF81-deaths!BE81</f>
        <v>0</v>
      </c>
      <c r="BG81" s="5">
        <f>deaths!BG81-deaths!BF81</f>
        <v>0</v>
      </c>
      <c r="BH81" s="5">
        <f>deaths!BH81-deaths!BG81</f>
        <v>0</v>
      </c>
      <c r="BI81" s="5">
        <f>deaths!BI81-deaths!BH81</f>
        <v>0</v>
      </c>
      <c r="BJ81" s="5">
        <f>deaths!BJ81-deaths!BI81</f>
        <v>0</v>
      </c>
      <c r="BK81" s="5">
        <f>deaths!BK81-deaths!BJ81</f>
        <v>0</v>
      </c>
      <c r="BL81" s="5">
        <f>deaths!BL81-deaths!BK81</f>
        <v>0</v>
      </c>
      <c r="BM81" s="5">
        <f>deaths!BM81-deaths!BL81</f>
        <v>0</v>
      </c>
      <c r="BN81" s="5">
        <f>deaths!BN81-deaths!BM81</f>
        <v>0</v>
      </c>
      <c r="BO81" s="5">
        <f>deaths!BO81-deaths!BN81</f>
        <v>0</v>
      </c>
      <c r="BP81" s="5">
        <f>deaths!BP81-deaths!BO81</f>
        <v>0</v>
      </c>
      <c r="BQ81" s="5">
        <f>deaths!BQ81-deaths!BP81</f>
        <v>0</v>
      </c>
      <c r="BR81" s="5">
        <f>deaths!BR81-deaths!BQ81</f>
        <v>0</v>
      </c>
      <c r="BS81" s="5">
        <f>deaths!BS81-deaths!BR81</f>
        <v>0</v>
      </c>
      <c r="BT81" s="5">
        <f>deaths!BT81-deaths!BS81</f>
        <v>0</v>
      </c>
      <c r="BU81" s="5">
        <f>deaths!BU81-deaths!BT81</f>
        <v>0</v>
      </c>
      <c r="BV81" s="5">
        <f>deaths!BV81-deaths!BU81</f>
        <v>0</v>
      </c>
      <c r="BW81" s="5">
        <f>deaths!BW81-deaths!BV81</f>
        <v>0</v>
      </c>
      <c r="BX81" s="5">
        <f>deaths!BX81-deaths!BW81</f>
        <v>0</v>
      </c>
      <c r="BY81" s="5">
        <f>deaths!BY81-deaths!BX81</f>
        <v>0</v>
      </c>
      <c r="BZ81" s="1">
        <f>deaths!BZ81</f>
        <v>3</v>
      </c>
      <c r="CA81" s="1">
        <f>deaths!CA81</f>
        <v>3</v>
      </c>
      <c r="CB81" s="1">
        <f>deaths!CB81</f>
        <v>3</v>
      </c>
      <c r="CC81" s="1" t="str">
        <f>deaths!CC81</f>
        <v/>
      </c>
    </row>
    <row r="82">
      <c r="B82" s="1" t="str">
        <f>deaths!B82</f>
        <v>China</v>
      </c>
      <c r="C82" s="4">
        <f>deaths!C82</f>
        <v>24.974</v>
      </c>
      <c r="D82" s="4">
        <f>deaths!D82</f>
        <v>101.487</v>
      </c>
      <c r="E82" s="5">
        <f>deaths!E82</f>
        <v>0</v>
      </c>
      <c r="F82" s="5">
        <f>deaths!F82-deaths!E82</f>
        <v>0</v>
      </c>
      <c r="G82" s="5">
        <f>deaths!G82-deaths!F82</f>
        <v>0</v>
      </c>
      <c r="H82" s="5">
        <f>deaths!H82-deaths!G82</f>
        <v>0</v>
      </c>
      <c r="I82" s="5">
        <f>deaths!I82-deaths!H82</f>
        <v>0</v>
      </c>
      <c r="J82" s="5">
        <f>deaths!J82-deaths!I82</f>
        <v>0</v>
      </c>
      <c r="K82" s="5">
        <f>deaths!K82-deaths!J82</f>
        <v>0</v>
      </c>
      <c r="L82" s="5">
        <f>deaths!L82-deaths!K82</f>
        <v>0</v>
      </c>
      <c r="M82" s="5">
        <f>deaths!M82-deaths!L82</f>
        <v>0</v>
      </c>
      <c r="N82" s="5">
        <f>deaths!N82-deaths!M82</f>
        <v>0</v>
      </c>
      <c r="O82" s="5">
        <f>deaths!O82-deaths!N82</f>
        <v>0</v>
      </c>
      <c r="P82" s="5">
        <f>deaths!P82-deaths!O82</f>
        <v>0</v>
      </c>
      <c r="Q82" s="5">
        <f>deaths!Q82-deaths!P82</f>
        <v>0</v>
      </c>
      <c r="R82" s="5">
        <f>deaths!R82-deaths!Q82</f>
        <v>0</v>
      </c>
      <c r="S82" s="5">
        <f>deaths!S82-deaths!R82</f>
        <v>0</v>
      </c>
      <c r="T82" s="5">
        <f>deaths!T82-deaths!S82</f>
        <v>0</v>
      </c>
      <c r="U82" s="5">
        <f>deaths!U82-deaths!T82</f>
        <v>0</v>
      </c>
      <c r="V82" s="5">
        <f>deaths!V82-deaths!U82</f>
        <v>0</v>
      </c>
      <c r="W82" s="5">
        <f>deaths!W82-deaths!V82</f>
        <v>0</v>
      </c>
      <c r="X82" s="5">
        <f>deaths!X82-deaths!W82</f>
        <v>0</v>
      </c>
      <c r="Y82" s="5">
        <f>deaths!Y82-deaths!X82</f>
        <v>0</v>
      </c>
      <c r="Z82" s="5">
        <f>deaths!Z82-deaths!Y82</f>
        <v>0</v>
      </c>
      <c r="AA82" s="5">
        <f>deaths!AA82-deaths!Z82</f>
        <v>0</v>
      </c>
      <c r="AB82" s="5">
        <f>deaths!AB82-deaths!AA82</f>
        <v>0</v>
      </c>
      <c r="AC82" s="5">
        <f>deaths!AC82-deaths!AB82</f>
        <v>0</v>
      </c>
      <c r="AD82" s="5">
        <f>deaths!AD82-deaths!AC82</f>
        <v>0</v>
      </c>
      <c r="AE82" s="5">
        <f>deaths!AE82-deaths!AD82</f>
        <v>0</v>
      </c>
      <c r="AF82" s="5">
        <f>deaths!AF82-deaths!AE82</f>
        <v>0</v>
      </c>
      <c r="AG82" s="5">
        <f>deaths!AG82-deaths!AF82</f>
        <v>1</v>
      </c>
      <c r="AH82" s="5">
        <f>deaths!AH82-deaths!AG82</f>
        <v>1</v>
      </c>
      <c r="AI82" s="5">
        <f>deaths!AI82-deaths!AH82</f>
        <v>0</v>
      </c>
      <c r="AJ82" s="5">
        <f>deaths!AJ82-deaths!AI82</f>
        <v>0</v>
      </c>
      <c r="AK82" s="5">
        <f>deaths!AK82-deaths!AJ82</f>
        <v>0</v>
      </c>
      <c r="AL82" s="5">
        <f>deaths!AL82-deaths!AK82</f>
        <v>0</v>
      </c>
      <c r="AM82" s="5">
        <f>deaths!AM82-deaths!AL82</f>
        <v>0</v>
      </c>
      <c r="AN82" s="5">
        <f>deaths!AN82-deaths!AM82</f>
        <v>0</v>
      </c>
      <c r="AO82" s="5">
        <f>deaths!AO82-deaths!AN82</f>
        <v>0</v>
      </c>
      <c r="AP82" s="5">
        <f>deaths!AP82-deaths!AO82</f>
        <v>0</v>
      </c>
      <c r="AQ82" s="5">
        <f>deaths!AQ82-deaths!AP82</f>
        <v>0</v>
      </c>
      <c r="AR82" s="5">
        <f>deaths!AR82-deaths!AQ82</f>
        <v>0</v>
      </c>
      <c r="AS82" s="5">
        <f>deaths!AS82-deaths!AR82</f>
        <v>0</v>
      </c>
      <c r="AT82" s="5">
        <f>deaths!AT82-deaths!AS82</f>
        <v>0</v>
      </c>
      <c r="AU82" s="5">
        <f>deaths!AU82-deaths!AT82</f>
        <v>0</v>
      </c>
      <c r="AV82" s="5">
        <f>deaths!AV82-deaths!AU82</f>
        <v>0</v>
      </c>
      <c r="AW82" s="5">
        <f>deaths!AW82-deaths!AV82</f>
        <v>0</v>
      </c>
      <c r="AX82" s="5">
        <f>deaths!AX82-deaths!AW82</f>
        <v>0</v>
      </c>
      <c r="AY82" s="5">
        <f>deaths!AY82-deaths!AX82</f>
        <v>0</v>
      </c>
      <c r="AZ82" s="5">
        <f>deaths!AZ82-deaths!AY82</f>
        <v>0</v>
      </c>
      <c r="BA82" s="5">
        <f>deaths!BA82-deaths!AZ82</f>
        <v>0</v>
      </c>
      <c r="BB82" s="5">
        <f>deaths!BB82-deaths!BA82</f>
        <v>0</v>
      </c>
      <c r="BC82" s="5">
        <f>deaths!BC82-deaths!BB82</f>
        <v>0</v>
      </c>
      <c r="BD82" s="5">
        <f>deaths!BD82-deaths!BC82</f>
        <v>0</v>
      </c>
      <c r="BE82" s="5">
        <f>deaths!BE82-deaths!BD82</f>
        <v>0</v>
      </c>
      <c r="BF82" s="5">
        <f>deaths!BF82-deaths!BE82</f>
        <v>0</v>
      </c>
      <c r="BG82" s="5">
        <f>deaths!BG82-deaths!BF82</f>
        <v>0</v>
      </c>
      <c r="BH82" s="5">
        <f>deaths!BH82-deaths!BG82</f>
        <v>0</v>
      </c>
      <c r="BI82" s="5">
        <f>deaths!BI82-deaths!BH82</f>
        <v>0</v>
      </c>
      <c r="BJ82" s="5">
        <f>deaths!BJ82-deaths!BI82</f>
        <v>0</v>
      </c>
      <c r="BK82" s="5">
        <f>deaths!BK82-deaths!BJ82</f>
        <v>0</v>
      </c>
      <c r="BL82" s="5">
        <f>deaths!BL82-deaths!BK82</f>
        <v>0</v>
      </c>
      <c r="BM82" s="5">
        <f>deaths!BM82-deaths!BL82</f>
        <v>0</v>
      </c>
      <c r="BN82" s="5">
        <f>deaths!BN82-deaths!BM82</f>
        <v>0</v>
      </c>
      <c r="BO82" s="5">
        <f>deaths!BO82-deaths!BN82</f>
        <v>0</v>
      </c>
      <c r="BP82" s="5">
        <f>deaths!BP82-deaths!BO82</f>
        <v>0</v>
      </c>
      <c r="BQ82" s="5">
        <f>deaths!BQ82-deaths!BP82</f>
        <v>0</v>
      </c>
      <c r="BR82" s="5">
        <f>deaths!BR82-deaths!BQ82</f>
        <v>0</v>
      </c>
      <c r="BS82" s="5">
        <f>deaths!BS82-deaths!BR82</f>
        <v>0</v>
      </c>
      <c r="BT82" s="5">
        <f>deaths!BT82-deaths!BS82</f>
        <v>0</v>
      </c>
      <c r="BU82" s="5">
        <f>deaths!BU82-deaths!BT82</f>
        <v>0</v>
      </c>
      <c r="BV82" s="5">
        <f>deaths!BV82-deaths!BU82</f>
        <v>0</v>
      </c>
      <c r="BW82" s="5">
        <f>deaths!BW82-deaths!BV82</f>
        <v>0</v>
      </c>
      <c r="BX82" s="5">
        <f>deaths!BX82-deaths!BW82</f>
        <v>0</v>
      </c>
      <c r="BY82" s="5">
        <f>deaths!BY82-deaths!BX82</f>
        <v>0</v>
      </c>
      <c r="BZ82" s="1">
        <f>deaths!BZ82</f>
        <v>2</v>
      </c>
      <c r="CA82" s="1">
        <f>deaths!CA82</f>
        <v>2</v>
      </c>
      <c r="CB82" s="1">
        <f>deaths!CB82</f>
        <v>2</v>
      </c>
      <c r="CC82" s="1" t="str">
        <f>deaths!CC82</f>
        <v/>
      </c>
    </row>
    <row r="83">
      <c r="B83" s="1" t="str">
        <f>deaths!B83</f>
        <v>China</v>
      </c>
      <c r="C83" s="4">
        <f>deaths!C83</f>
        <v>29.1832</v>
      </c>
      <c r="D83" s="4">
        <f>deaths!D83</f>
        <v>120.0934</v>
      </c>
      <c r="E83" s="5">
        <f>deaths!E83</f>
        <v>0</v>
      </c>
      <c r="F83" s="5">
        <f>deaths!F83-deaths!E83</f>
        <v>0</v>
      </c>
      <c r="G83" s="5">
        <f>deaths!G83-deaths!F83</f>
        <v>0</v>
      </c>
      <c r="H83" s="5">
        <f>deaths!H83-deaths!G83</f>
        <v>0</v>
      </c>
      <c r="I83" s="5">
        <f>deaths!I83-deaths!H83</f>
        <v>0</v>
      </c>
      <c r="J83" s="5">
        <f>deaths!J83-deaths!I83</f>
        <v>0</v>
      </c>
      <c r="K83" s="5">
        <f>deaths!K83-deaths!J83</f>
        <v>0</v>
      </c>
      <c r="L83" s="5">
        <f>deaths!L83-deaths!K83</f>
        <v>0</v>
      </c>
      <c r="M83" s="5">
        <f>deaths!M83-deaths!L83</f>
        <v>0</v>
      </c>
      <c r="N83" s="5">
        <f>deaths!N83-deaths!M83</f>
        <v>0</v>
      </c>
      <c r="O83" s="5">
        <f>deaths!O83-deaths!N83</f>
        <v>0</v>
      </c>
      <c r="P83" s="5">
        <f>deaths!P83-deaths!O83</f>
        <v>0</v>
      </c>
      <c r="Q83" s="5">
        <f>deaths!Q83-deaths!P83</f>
        <v>0</v>
      </c>
      <c r="R83" s="5">
        <f>deaths!R83-deaths!Q83</f>
        <v>0</v>
      </c>
      <c r="S83" s="5">
        <f>deaths!S83-deaths!R83</f>
        <v>0</v>
      </c>
      <c r="T83" s="5">
        <f>deaths!T83-deaths!S83</f>
        <v>0</v>
      </c>
      <c r="U83" s="5">
        <f>deaths!U83-deaths!T83</f>
        <v>0</v>
      </c>
      <c r="V83" s="5">
        <f>deaths!V83-deaths!U83</f>
        <v>0</v>
      </c>
      <c r="W83" s="5">
        <f>deaths!W83-deaths!V83</f>
        <v>0</v>
      </c>
      <c r="X83" s="5">
        <f>deaths!X83-deaths!W83</f>
        <v>0</v>
      </c>
      <c r="Y83" s="5">
        <f>deaths!Y83-deaths!X83</f>
        <v>0</v>
      </c>
      <c r="Z83" s="5">
        <f>deaths!Z83-deaths!Y83</f>
        <v>0</v>
      </c>
      <c r="AA83" s="5">
        <f>deaths!AA83-deaths!Z83</f>
        <v>0</v>
      </c>
      <c r="AB83" s="5">
        <f>deaths!AB83-deaths!AA83</f>
        <v>0</v>
      </c>
      <c r="AC83" s="5">
        <f>deaths!AC83-deaths!AB83</f>
        <v>0</v>
      </c>
      <c r="AD83" s="5">
        <f>deaths!AD83-deaths!AC83</f>
        <v>0</v>
      </c>
      <c r="AE83" s="5">
        <f>deaths!AE83-deaths!AD83</f>
        <v>0</v>
      </c>
      <c r="AF83" s="5">
        <f>deaths!AF83-deaths!AE83</f>
        <v>0</v>
      </c>
      <c r="AG83" s="5">
        <f>deaths!AG83-deaths!AF83</f>
        <v>0</v>
      </c>
      <c r="AH83" s="5">
        <f>deaths!AH83-deaths!AG83</f>
        <v>1</v>
      </c>
      <c r="AI83" s="5">
        <f>deaths!AI83-deaths!AH83</f>
        <v>0</v>
      </c>
      <c r="AJ83" s="5">
        <f>deaths!AJ83-deaths!AI83</f>
        <v>0</v>
      </c>
      <c r="AK83" s="5">
        <f>deaths!AK83-deaths!AJ83</f>
        <v>0</v>
      </c>
      <c r="AL83" s="5">
        <f>deaths!AL83-deaths!AK83</f>
        <v>0</v>
      </c>
      <c r="AM83" s="5">
        <f>deaths!AM83-deaths!AL83</f>
        <v>0</v>
      </c>
      <c r="AN83" s="5">
        <f>deaths!AN83-deaths!AM83</f>
        <v>0</v>
      </c>
      <c r="AO83" s="5">
        <f>deaths!AO83-deaths!AN83</f>
        <v>0</v>
      </c>
      <c r="AP83" s="5">
        <f>deaths!AP83-deaths!AO83</f>
        <v>0</v>
      </c>
      <c r="AQ83" s="5">
        <f>deaths!AQ83-deaths!AP83</f>
        <v>0</v>
      </c>
      <c r="AR83" s="5">
        <f>deaths!AR83-deaths!AQ83</f>
        <v>0</v>
      </c>
      <c r="AS83" s="5">
        <f>deaths!AS83-deaths!AR83</f>
        <v>0</v>
      </c>
      <c r="AT83" s="5">
        <f>deaths!AT83-deaths!AS83</f>
        <v>0</v>
      </c>
      <c r="AU83" s="5">
        <f>deaths!AU83-deaths!AT83</f>
        <v>0</v>
      </c>
      <c r="AV83" s="5">
        <f>deaths!AV83-deaths!AU83</f>
        <v>0</v>
      </c>
      <c r="AW83" s="5">
        <f>deaths!AW83-deaths!AV83</f>
        <v>0</v>
      </c>
      <c r="AX83" s="5">
        <f>deaths!AX83-deaths!AW83</f>
        <v>0</v>
      </c>
      <c r="AY83" s="5">
        <f>deaths!AY83-deaths!AX83</f>
        <v>0</v>
      </c>
      <c r="AZ83" s="5">
        <f>deaths!AZ83-deaths!AY83</f>
        <v>0</v>
      </c>
      <c r="BA83" s="5">
        <f>deaths!BA83-deaths!AZ83</f>
        <v>0</v>
      </c>
      <c r="BB83" s="5">
        <f>deaths!BB83-deaths!BA83</f>
        <v>0</v>
      </c>
      <c r="BC83" s="5">
        <f>deaths!BC83-deaths!BB83</f>
        <v>0</v>
      </c>
      <c r="BD83" s="5">
        <f>deaths!BD83-deaths!BC83</f>
        <v>0</v>
      </c>
      <c r="BE83" s="5">
        <f>deaths!BE83-deaths!BD83</f>
        <v>0</v>
      </c>
      <c r="BF83" s="5">
        <f>deaths!BF83-deaths!BE83</f>
        <v>0</v>
      </c>
      <c r="BG83" s="5">
        <f>deaths!BG83-deaths!BF83</f>
        <v>0</v>
      </c>
      <c r="BH83" s="5">
        <f>deaths!BH83-deaths!BG83</f>
        <v>0</v>
      </c>
      <c r="BI83" s="5">
        <f>deaths!BI83-deaths!BH83</f>
        <v>0</v>
      </c>
      <c r="BJ83" s="5">
        <f>deaths!BJ83-deaths!BI83</f>
        <v>0</v>
      </c>
      <c r="BK83" s="5">
        <f>deaths!BK83-deaths!BJ83</f>
        <v>0</v>
      </c>
      <c r="BL83" s="5">
        <f>deaths!BL83-deaths!BK83</f>
        <v>0</v>
      </c>
      <c r="BM83" s="5">
        <f>deaths!BM83-deaths!BL83</f>
        <v>0</v>
      </c>
      <c r="BN83" s="5">
        <f>deaths!BN83-deaths!BM83</f>
        <v>0</v>
      </c>
      <c r="BO83" s="5">
        <f>deaths!BO83-deaths!BN83</f>
        <v>0</v>
      </c>
      <c r="BP83" s="5">
        <f>deaths!BP83-deaths!BO83</f>
        <v>0</v>
      </c>
      <c r="BQ83" s="5">
        <f>deaths!BQ83-deaths!BP83</f>
        <v>0</v>
      </c>
      <c r="BR83" s="5">
        <f>deaths!BR83-deaths!BQ83</f>
        <v>0</v>
      </c>
      <c r="BS83" s="5">
        <f>deaths!BS83-deaths!BR83</f>
        <v>0</v>
      </c>
      <c r="BT83" s="5">
        <f>deaths!BT83-deaths!BS83</f>
        <v>0</v>
      </c>
      <c r="BU83" s="5">
        <f>deaths!BU83-deaths!BT83</f>
        <v>0</v>
      </c>
      <c r="BV83" s="5">
        <f>deaths!BV83-deaths!BU83</f>
        <v>0</v>
      </c>
      <c r="BW83" s="5">
        <f>deaths!BW83-deaths!BV83</f>
        <v>0</v>
      </c>
      <c r="BX83" s="5">
        <f>deaths!BX83-deaths!BW83</f>
        <v>0</v>
      </c>
      <c r="BY83" s="5">
        <f>deaths!BY83-deaths!BX83</f>
        <v>0</v>
      </c>
      <c r="BZ83" s="1">
        <f>deaths!BZ83</f>
        <v>1</v>
      </c>
      <c r="CA83" s="1">
        <f>deaths!CA83</f>
        <v>1</v>
      </c>
      <c r="CB83" s="1">
        <f>deaths!CB83</f>
        <v>1</v>
      </c>
      <c r="CC83" s="1" t="str">
        <f>deaths!CC83</f>
        <v/>
      </c>
    </row>
    <row r="84">
      <c r="B84" s="1" t="str">
        <f>deaths!B84</f>
        <v>Colombia</v>
      </c>
      <c r="C84" s="4">
        <f>deaths!C84</f>
        <v>4.5709</v>
      </c>
      <c r="D84" s="4">
        <f>deaths!D84</f>
        <v>-74.2973</v>
      </c>
      <c r="E84" s="5">
        <f>deaths!E84</f>
        <v>0</v>
      </c>
      <c r="F84" s="5">
        <f>deaths!F84-deaths!E84</f>
        <v>0</v>
      </c>
      <c r="G84" s="5">
        <f>deaths!G84-deaths!F84</f>
        <v>0</v>
      </c>
      <c r="H84" s="5">
        <f>deaths!H84-deaths!G84</f>
        <v>0</v>
      </c>
      <c r="I84" s="5">
        <f>deaths!I84-deaths!H84</f>
        <v>0</v>
      </c>
      <c r="J84" s="5">
        <f>deaths!J84-deaths!I84</f>
        <v>0</v>
      </c>
      <c r="K84" s="5">
        <f>deaths!K84-deaths!J84</f>
        <v>0</v>
      </c>
      <c r="L84" s="5">
        <f>deaths!L84-deaths!K84</f>
        <v>0</v>
      </c>
      <c r="M84" s="5">
        <f>deaths!M84-deaths!L84</f>
        <v>0</v>
      </c>
      <c r="N84" s="5">
        <f>deaths!N84-deaths!M84</f>
        <v>0</v>
      </c>
      <c r="O84" s="5">
        <f>deaths!O84-deaths!N84</f>
        <v>0</v>
      </c>
      <c r="P84" s="5">
        <f>deaths!P84-deaths!O84</f>
        <v>0</v>
      </c>
      <c r="Q84" s="5">
        <f>deaths!Q84-deaths!P84</f>
        <v>0</v>
      </c>
      <c r="R84" s="5">
        <f>deaths!R84-deaths!Q84</f>
        <v>0</v>
      </c>
      <c r="S84" s="5">
        <f>deaths!S84-deaths!R84</f>
        <v>0</v>
      </c>
      <c r="T84" s="5">
        <f>deaths!T84-deaths!S84</f>
        <v>0</v>
      </c>
      <c r="U84" s="5">
        <f>deaths!U84-deaths!T84</f>
        <v>0</v>
      </c>
      <c r="V84" s="5">
        <f>deaths!V84-deaths!U84</f>
        <v>0</v>
      </c>
      <c r="W84" s="5">
        <f>deaths!W84-deaths!V84</f>
        <v>0</v>
      </c>
      <c r="X84" s="5">
        <f>deaths!X84-deaths!W84</f>
        <v>0</v>
      </c>
      <c r="Y84" s="5">
        <f>deaths!Y84-deaths!X84</f>
        <v>0</v>
      </c>
      <c r="Z84" s="5">
        <f>deaths!Z84-deaths!Y84</f>
        <v>0</v>
      </c>
      <c r="AA84" s="5">
        <f>deaths!AA84-deaths!Z84</f>
        <v>0</v>
      </c>
      <c r="AB84" s="5">
        <f>deaths!AB84-deaths!AA84</f>
        <v>0</v>
      </c>
      <c r="AC84" s="5">
        <f>deaths!AC84-deaths!AB84</f>
        <v>0</v>
      </c>
      <c r="AD84" s="5">
        <f>deaths!AD84-deaths!AC84</f>
        <v>0</v>
      </c>
      <c r="AE84" s="5">
        <f>deaths!AE84-deaths!AD84</f>
        <v>0</v>
      </c>
      <c r="AF84" s="5">
        <f>deaths!AF84-deaths!AE84</f>
        <v>0</v>
      </c>
      <c r="AG84" s="5">
        <f>deaths!AG84-deaths!AF84</f>
        <v>0</v>
      </c>
      <c r="AH84" s="5">
        <f>deaths!AH84-deaths!AG84</f>
        <v>0</v>
      </c>
      <c r="AI84" s="5">
        <f>deaths!AI84-deaths!AH84</f>
        <v>0</v>
      </c>
      <c r="AJ84" s="5">
        <f>deaths!AJ84-deaths!AI84</f>
        <v>0</v>
      </c>
      <c r="AK84" s="5">
        <f>deaths!AK84-deaths!AJ84</f>
        <v>0</v>
      </c>
      <c r="AL84" s="5">
        <f>deaths!AL84-deaths!AK84</f>
        <v>0</v>
      </c>
      <c r="AM84" s="5">
        <f>deaths!AM84-deaths!AL84</f>
        <v>0</v>
      </c>
      <c r="AN84" s="5">
        <f>deaths!AN84-deaths!AM84</f>
        <v>0</v>
      </c>
      <c r="AO84" s="5">
        <f>deaths!AO84-deaths!AN84</f>
        <v>0</v>
      </c>
      <c r="AP84" s="5">
        <f>deaths!AP84-deaths!AO84</f>
        <v>0</v>
      </c>
      <c r="AQ84" s="5">
        <f>deaths!AQ84-deaths!AP84</f>
        <v>0</v>
      </c>
      <c r="AR84" s="5">
        <f>deaths!AR84-deaths!AQ84</f>
        <v>0</v>
      </c>
      <c r="AS84" s="5">
        <f>deaths!AS84-deaths!AR84</f>
        <v>0</v>
      </c>
      <c r="AT84" s="5">
        <f>deaths!AT84-deaths!AS84</f>
        <v>0</v>
      </c>
      <c r="AU84" s="5">
        <f>deaths!AU84-deaths!AT84</f>
        <v>0</v>
      </c>
      <c r="AV84" s="5">
        <f>deaths!AV84-deaths!AU84</f>
        <v>0</v>
      </c>
      <c r="AW84" s="5">
        <f>deaths!AW84-deaths!AV84</f>
        <v>0</v>
      </c>
      <c r="AX84" s="5">
        <f>deaths!AX84-deaths!AW84</f>
        <v>0</v>
      </c>
      <c r="AY84" s="5">
        <f>deaths!AY84-deaths!AX84</f>
        <v>0</v>
      </c>
      <c r="AZ84" s="5">
        <f>deaths!AZ84-deaths!AY84</f>
        <v>0</v>
      </c>
      <c r="BA84" s="5">
        <f>deaths!BA84-deaths!AZ84</f>
        <v>0</v>
      </c>
      <c r="BB84" s="5">
        <f>deaths!BB84-deaths!BA84</f>
        <v>0</v>
      </c>
      <c r="BC84" s="5">
        <f>deaths!BC84-deaths!BB84</f>
        <v>0</v>
      </c>
      <c r="BD84" s="5">
        <f>deaths!BD84-deaths!BC84</f>
        <v>0</v>
      </c>
      <c r="BE84" s="5">
        <f>deaths!BE84-deaths!BD84</f>
        <v>0</v>
      </c>
      <c r="BF84" s="5">
        <f>deaths!BF84-deaths!BE84</f>
        <v>0</v>
      </c>
      <c r="BG84" s="5">
        <f>deaths!BG84-deaths!BF84</f>
        <v>0</v>
      </c>
      <c r="BH84" s="5">
        <f>deaths!BH84-deaths!BG84</f>
        <v>0</v>
      </c>
      <c r="BI84" s="5">
        <f>deaths!BI84-deaths!BH84</f>
        <v>0</v>
      </c>
      <c r="BJ84" s="5">
        <f>deaths!BJ84-deaths!BI84</f>
        <v>0</v>
      </c>
      <c r="BK84" s="5">
        <f>deaths!BK84-deaths!BJ84</f>
        <v>0</v>
      </c>
      <c r="BL84" s="5">
        <f>deaths!BL84-deaths!BK84</f>
        <v>0</v>
      </c>
      <c r="BM84" s="5">
        <f>deaths!BM84-deaths!BL84</f>
        <v>2</v>
      </c>
      <c r="BN84" s="5">
        <f>deaths!BN84-deaths!BM84</f>
        <v>1</v>
      </c>
      <c r="BO84" s="5">
        <f>deaths!BO84-deaths!BN84</f>
        <v>0</v>
      </c>
      <c r="BP84" s="5">
        <f>deaths!BP84-deaths!BO84</f>
        <v>1</v>
      </c>
      <c r="BQ84" s="5">
        <f>deaths!BQ84-deaths!BP84</f>
        <v>2</v>
      </c>
      <c r="BR84" s="5">
        <f>deaths!BR84-deaths!BQ84</f>
        <v>0</v>
      </c>
      <c r="BS84" s="5">
        <f>deaths!BS84-deaths!BR84</f>
        <v>0</v>
      </c>
      <c r="BT84" s="5">
        <f>deaths!BT84-deaths!BS84</f>
        <v>4</v>
      </c>
      <c r="BU84" s="5">
        <f>deaths!BU84-deaths!BT84</f>
        <v>2</v>
      </c>
      <c r="BV84" s="5">
        <f>deaths!BV84-deaths!BU84</f>
        <v>4</v>
      </c>
      <c r="BW84" s="5">
        <f>deaths!BW84-deaths!BV84</f>
        <v>1</v>
      </c>
      <c r="BX84" s="5">
        <f>deaths!BX84-deaths!BW84</f>
        <v>2</v>
      </c>
      <c r="BY84" s="5">
        <f>deaths!BY84-deaths!BX84</f>
        <v>6</v>
      </c>
      <c r="BZ84" s="1">
        <f>deaths!BZ84</f>
        <v>32</v>
      </c>
      <c r="CA84" s="1">
        <f>deaths!CA84</f>
        <v>35</v>
      </c>
      <c r="CB84" s="1">
        <f>deaths!CB84</f>
        <v>46</v>
      </c>
      <c r="CC84" s="1" t="str">
        <f>deaths!CC84</f>
        <v/>
      </c>
    </row>
    <row r="85">
      <c r="B85" s="1" t="str">
        <f>deaths!B85</f>
        <v>Congo (Brazzaville)</v>
      </c>
      <c r="C85" s="4">
        <f>deaths!C85</f>
        <v>-4.0383</v>
      </c>
      <c r="D85" s="4">
        <f>deaths!D85</f>
        <v>21.7587</v>
      </c>
      <c r="E85" s="5">
        <f>deaths!E85</f>
        <v>0</v>
      </c>
      <c r="F85" s="5">
        <f>deaths!F85-deaths!E85</f>
        <v>0</v>
      </c>
      <c r="G85" s="5">
        <f>deaths!G85-deaths!F85</f>
        <v>0</v>
      </c>
      <c r="H85" s="5">
        <f>deaths!H85-deaths!G85</f>
        <v>0</v>
      </c>
      <c r="I85" s="5">
        <f>deaths!I85-deaths!H85</f>
        <v>0</v>
      </c>
      <c r="J85" s="5">
        <f>deaths!J85-deaths!I85</f>
        <v>0</v>
      </c>
      <c r="K85" s="5">
        <f>deaths!K85-deaths!J85</f>
        <v>0</v>
      </c>
      <c r="L85" s="5">
        <f>deaths!L85-deaths!K85</f>
        <v>0</v>
      </c>
      <c r="M85" s="5">
        <f>deaths!M85-deaths!L85</f>
        <v>0</v>
      </c>
      <c r="N85" s="5">
        <f>deaths!N85-deaths!M85</f>
        <v>0</v>
      </c>
      <c r="O85" s="5">
        <f>deaths!O85-deaths!N85</f>
        <v>0</v>
      </c>
      <c r="P85" s="5">
        <f>deaths!P85-deaths!O85</f>
        <v>0</v>
      </c>
      <c r="Q85" s="5">
        <f>deaths!Q85-deaths!P85</f>
        <v>0</v>
      </c>
      <c r="R85" s="5">
        <f>deaths!R85-deaths!Q85</f>
        <v>0</v>
      </c>
      <c r="S85" s="5">
        <f>deaths!S85-deaths!R85</f>
        <v>0</v>
      </c>
      <c r="T85" s="5">
        <f>deaths!T85-deaths!S85</f>
        <v>0</v>
      </c>
      <c r="U85" s="5">
        <f>deaths!U85-deaths!T85</f>
        <v>0</v>
      </c>
      <c r="V85" s="5">
        <f>deaths!V85-deaths!U85</f>
        <v>0</v>
      </c>
      <c r="W85" s="5">
        <f>deaths!W85-deaths!V85</f>
        <v>0</v>
      </c>
      <c r="X85" s="5">
        <f>deaths!X85-deaths!W85</f>
        <v>0</v>
      </c>
      <c r="Y85" s="5">
        <f>deaths!Y85-deaths!X85</f>
        <v>0</v>
      </c>
      <c r="Z85" s="5">
        <f>deaths!Z85-deaths!Y85</f>
        <v>0</v>
      </c>
      <c r="AA85" s="5">
        <f>deaths!AA85-deaths!Z85</f>
        <v>0</v>
      </c>
      <c r="AB85" s="5">
        <f>deaths!AB85-deaths!AA85</f>
        <v>0</v>
      </c>
      <c r="AC85" s="5">
        <f>deaths!AC85-deaths!AB85</f>
        <v>0</v>
      </c>
      <c r="AD85" s="5">
        <f>deaths!AD85-deaths!AC85</f>
        <v>0</v>
      </c>
      <c r="AE85" s="5">
        <f>deaths!AE85-deaths!AD85</f>
        <v>0</v>
      </c>
      <c r="AF85" s="5">
        <f>deaths!AF85-deaths!AE85</f>
        <v>0</v>
      </c>
      <c r="AG85" s="5">
        <f>deaths!AG85-deaths!AF85</f>
        <v>0</v>
      </c>
      <c r="AH85" s="5">
        <f>deaths!AH85-deaths!AG85</f>
        <v>0</v>
      </c>
      <c r="AI85" s="5">
        <f>deaths!AI85-deaths!AH85</f>
        <v>0</v>
      </c>
      <c r="AJ85" s="5">
        <f>deaths!AJ85-deaths!AI85</f>
        <v>0</v>
      </c>
      <c r="AK85" s="5">
        <f>deaths!AK85-deaths!AJ85</f>
        <v>0</v>
      </c>
      <c r="AL85" s="5">
        <f>deaths!AL85-deaths!AK85</f>
        <v>0</v>
      </c>
      <c r="AM85" s="5">
        <f>deaths!AM85-deaths!AL85</f>
        <v>0</v>
      </c>
      <c r="AN85" s="5">
        <f>deaths!AN85-deaths!AM85</f>
        <v>0</v>
      </c>
      <c r="AO85" s="5">
        <f>deaths!AO85-deaths!AN85</f>
        <v>0</v>
      </c>
      <c r="AP85" s="5">
        <f>deaths!AP85-deaths!AO85</f>
        <v>0</v>
      </c>
      <c r="AQ85" s="5">
        <f>deaths!AQ85-deaths!AP85</f>
        <v>0</v>
      </c>
      <c r="AR85" s="5">
        <f>deaths!AR85-deaths!AQ85</f>
        <v>0</v>
      </c>
      <c r="AS85" s="5">
        <f>deaths!AS85-deaths!AR85</f>
        <v>0</v>
      </c>
      <c r="AT85" s="5">
        <f>deaths!AT85-deaths!AS85</f>
        <v>0</v>
      </c>
      <c r="AU85" s="5">
        <f>deaths!AU85-deaths!AT85</f>
        <v>0</v>
      </c>
      <c r="AV85" s="5">
        <f>deaths!AV85-deaths!AU85</f>
        <v>0</v>
      </c>
      <c r="AW85" s="5">
        <f>deaths!AW85-deaths!AV85</f>
        <v>0</v>
      </c>
      <c r="AX85" s="5">
        <f>deaths!AX85-deaths!AW85</f>
        <v>0</v>
      </c>
      <c r="AY85" s="5">
        <f>deaths!AY85-deaths!AX85</f>
        <v>0</v>
      </c>
      <c r="AZ85" s="5">
        <f>deaths!AZ85-deaths!AY85</f>
        <v>0</v>
      </c>
      <c r="BA85" s="5">
        <f>deaths!BA85-deaths!AZ85</f>
        <v>0</v>
      </c>
      <c r="BB85" s="5">
        <f>deaths!BB85-deaths!BA85</f>
        <v>0</v>
      </c>
      <c r="BC85" s="5">
        <f>deaths!BC85-deaths!BB85</f>
        <v>0</v>
      </c>
      <c r="BD85" s="5">
        <f>deaths!BD85-deaths!BC85</f>
        <v>0</v>
      </c>
      <c r="BE85" s="5">
        <f>deaths!BE85-deaths!BD85</f>
        <v>0</v>
      </c>
      <c r="BF85" s="5">
        <f>deaths!BF85-deaths!BE85</f>
        <v>0</v>
      </c>
      <c r="BG85" s="5">
        <f>deaths!BG85-deaths!BF85</f>
        <v>0</v>
      </c>
      <c r="BH85" s="5">
        <f>deaths!BH85-deaths!BG85</f>
        <v>0</v>
      </c>
      <c r="BI85" s="5">
        <f>deaths!BI85-deaths!BH85</f>
        <v>0</v>
      </c>
      <c r="BJ85" s="5">
        <f>deaths!BJ85-deaths!BI85</f>
        <v>0</v>
      </c>
      <c r="BK85" s="5">
        <f>deaths!BK85-deaths!BJ85</f>
        <v>0</v>
      </c>
      <c r="BL85" s="5">
        <f>deaths!BL85-deaths!BK85</f>
        <v>0</v>
      </c>
      <c r="BM85" s="5">
        <f>deaths!BM85-deaths!BL85</f>
        <v>0</v>
      </c>
      <c r="BN85" s="5">
        <f>deaths!BN85-deaths!BM85</f>
        <v>0</v>
      </c>
      <c r="BO85" s="5">
        <f>deaths!BO85-deaths!BN85</f>
        <v>0</v>
      </c>
      <c r="BP85" s="5">
        <f>deaths!BP85-deaths!BO85</f>
        <v>0</v>
      </c>
      <c r="BQ85" s="5">
        <f>deaths!BQ85-deaths!BP85</f>
        <v>0</v>
      </c>
      <c r="BR85" s="5">
        <f>deaths!BR85-deaths!BQ85</f>
        <v>0</v>
      </c>
      <c r="BS85" s="5">
        <f>deaths!BS85-deaths!BR85</f>
        <v>0</v>
      </c>
      <c r="BT85" s="5">
        <f>deaths!BT85-deaths!BS85</f>
        <v>0</v>
      </c>
      <c r="BU85" s="5">
        <f>deaths!BU85-deaths!BT85</f>
        <v>0</v>
      </c>
      <c r="BV85" s="5">
        <f>deaths!BV85-deaths!BU85</f>
        <v>0</v>
      </c>
      <c r="BW85" s="5">
        <f>deaths!BW85-deaths!BV85</f>
        <v>0</v>
      </c>
      <c r="BX85" s="5">
        <f>deaths!BX85-deaths!BW85</f>
        <v>2</v>
      </c>
      <c r="BY85" s="5">
        <f>deaths!BY85-deaths!BX85</f>
        <v>0</v>
      </c>
      <c r="BZ85" s="1">
        <f>deaths!BZ85</f>
        <v>2</v>
      </c>
      <c r="CA85" s="1">
        <f>deaths!CA85</f>
        <v>5</v>
      </c>
      <c r="CB85" s="1">
        <f>deaths!CB85</f>
        <v>5</v>
      </c>
      <c r="CC85" s="1" t="str">
        <f>deaths!CC85</f>
        <v/>
      </c>
    </row>
    <row r="86">
      <c r="B86" s="1" t="str">
        <f>deaths!B86</f>
        <v>Congo (Kinshasa)</v>
      </c>
      <c r="C86" s="4">
        <f>deaths!C86</f>
        <v>-4.0383</v>
      </c>
      <c r="D86" s="4">
        <f>deaths!D86</f>
        <v>21.7587</v>
      </c>
      <c r="E86" s="5">
        <f>deaths!E86</f>
        <v>0</v>
      </c>
      <c r="F86" s="5">
        <f>deaths!F86-deaths!E86</f>
        <v>0</v>
      </c>
      <c r="G86" s="5">
        <f>deaths!G86-deaths!F86</f>
        <v>0</v>
      </c>
      <c r="H86" s="5">
        <f>deaths!H86-deaths!G86</f>
        <v>0</v>
      </c>
      <c r="I86" s="5">
        <f>deaths!I86-deaths!H86</f>
        <v>0</v>
      </c>
      <c r="J86" s="5">
        <f>deaths!J86-deaths!I86</f>
        <v>0</v>
      </c>
      <c r="K86" s="5">
        <f>deaths!K86-deaths!J86</f>
        <v>0</v>
      </c>
      <c r="L86" s="5">
        <f>deaths!L86-deaths!K86</f>
        <v>0</v>
      </c>
      <c r="M86" s="5">
        <f>deaths!M86-deaths!L86</f>
        <v>0</v>
      </c>
      <c r="N86" s="5">
        <f>deaths!N86-deaths!M86</f>
        <v>0</v>
      </c>
      <c r="O86" s="5">
        <f>deaths!O86-deaths!N86</f>
        <v>0</v>
      </c>
      <c r="P86" s="5">
        <f>deaths!P86-deaths!O86</f>
        <v>0</v>
      </c>
      <c r="Q86" s="5">
        <f>deaths!Q86-deaths!P86</f>
        <v>0</v>
      </c>
      <c r="R86" s="5">
        <f>deaths!R86-deaths!Q86</f>
        <v>0</v>
      </c>
      <c r="S86" s="5">
        <f>deaths!S86-deaths!R86</f>
        <v>0</v>
      </c>
      <c r="T86" s="5">
        <f>deaths!T86-deaths!S86</f>
        <v>0</v>
      </c>
      <c r="U86" s="5">
        <f>deaths!U86-deaths!T86</f>
        <v>0</v>
      </c>
      <c r="V86" s="5">
        <f>deaths!V86-deaths!U86</f>
        <v>0</v>
      </c>
      <c r="W86" s="5">
        <f>deaths!W86-deaths!V86</f>
        <v>0</v>
      </c>
      <c r="X86" s="5">
        <f>deaths!X86-deaths!W86</f>
        <v>0</v>
      </c>
      <c r="Y86" s="5">
        <f>deaths!Y86-deaths!X86</f>
        <v>0</v>
      </c>
      <c r="Z86" s="5">
        <f>deaths!Z86-deaths!Y86</f>
        <v>0</v>
      </c>
      <c r="AA86" s="5">
        <f>deaths!AA86-deaths!Z86</f>
        <v>0</v>
      </c>
      <c r="AB86" s="5">
        <f>deaths!AB86-deaths!AA86</f>
        <v>0</v>
      </c>
      <c r="AC86" s="5">
        <f>deaths!AC86-deaths!AB86</f>
        <v>0</v>
      </c>
      <c r="AD86" s="5">
        <f>deaths!AD86-deaths!AC86</f>
        <v>0</v>
      </c>
      <c r="AE86" s="5">
        <f>deaths!AE86-deaths!AD86</f>
        <v>0</v>
      </c>
      <c r="AF86" s="5">
        <f>deaths!AF86-deaths!AE86</f>
        <v>0</v>
      </c>
      <c r="AG86" s="5">
        <f>deaths!AG86-deaths!AF86</f>
        <v>0</v>
      </c>
      <c r="AH86" s="5">
        <f>deaths!AH86-deaths!AG86</f>
        <v>0</v>
      </c>
      <c r="AI86" s="5">
        <f>deaths!AI86-deaths!AH86</f>
        <v>0</v>
      </c>
      <c r="AJ86" s="5">
        <f>deaths!AJ86-deaths!AI86</f>
        <v>0</v>
      </c>
      <c r="AK86" s="5">
        <f>deaths!AK86-deaths!AJ86</f>
        <v>0</v>
      </c>
      <c r="AL86" s="5">
        <f>deaths!AL86-deaths!AK86</f>
        <v>0</v>
      </c>
      <c r="AM86" s="5">
        <f>deaths!AM86-deaths!AL86</f>
        <v>0</v>
      </c>
      <c r="AN86" s="5">
        <f>deaths!AN86-deaths!AM86</f>
        <v>0</v>
      </c>
      <c r="AO86" s="5">
        <f>deaths!AO86-deaths!AN86</f>
        <v>0</v>
      </c>
      <c r="AP86" s="5">
        <f>deaths!AP86-deaths!AO86</f>
        <v>0</v>
      </c>
      <c r="AQ86" s="5">
        <f>deaths!AQ86-deaths!AP86</f>
        <v>0</v>
      </c>
      <c r="AR86" s="5">
        <f>deaths!AR86-deaths!AQ86</f>
        <v>0</v>
      </c>
      <c r="AS86" s="5">
        <f>deaths!AS86-deaths!AR86</f>
        <v>0</v>
      </c>
      <c r="AT86" s="5">
        <f>deaths!AT86-deaths!AS86</f>
        <v>0</v>
      </c>
      <c r="AU86" s="5">
        <f>deaths!AU86-deaths!AT86</f>
        <v>0</v>
      </c>
      <c r="AV86" s="5">
        <f>deaths!AV86-deaths!AU86</f>
        <v>0</v>
      </c>
      <c r="AW86" s="5">
        <f>deaths!AW86-deaths!AV86</f>
        <v>0</v>
      </c>
      <c r="AX86" s="5">
        <f>deaths!AX86-deaths!AW86</f>
        <v>0</v>
      </c>
      <c r="AY86" s="5">
        <f>deaths!AY86-deaths!AX86</f>
        <v>0</v>
      </c>
      <c r="AZ86" s="5">
        <f>deaths!AZ86-deaths!AY86</f>
        <v>0</v>
      </c>
      <c r="BA86" s="5">
        <f>deaths!BA86-deaths!AZ86</f>
        <v>0</v>
      </c>
      <c r="BB86" s="5">
        <f>deaths!BB86-deaths!BA86</f>
        <v>0</v>
      </c>
      <c r="BC86" s="5">
        <f>deaths!BC86-deaths!BB86</f>
        <v>0</v>
      </c>
      <c r="BD86" s="5">
        <f>deaths!BD86-deaths!BC86</f>
        <v>0</v>
      </c>
      <c r="BE86" s="5">
        <f>deaths!BE86-deaths!BD86</f>
        <v>0</v>
      </c>
      <c r="BF86" s="5">
        <f>deaths!BF86-deaths!BE86</f>
        <v>0</v>
      </c>
      <c r="BG86" s="5">
        <f>deaths!BG86-deaths!BF86</f>
        <v>0</v>
      </c>
      <c r="BH86" s="5">
        <f>deaths!BH86-deaths!BG86</f>
        <v>0</v>
      </c>
      <c r="BI86" s="5">
        <f>deaths!BI86-deaths!BH86</f>
        <v>0</v>
      </c>
      <c r="BJ86" s="5">
        <f>deaths!BJ86-deaths!BI86</f>
        <v>0</v>
      </c>
      <c r="BK86" s="5">
        <f>deaths!BK86-deaths!BJ86</f>
        <v>0</v>
      </c>
      <c r="BL86" s="5">
        <f>deaths!BL86-deaths!BK86</f>
        <v>1</v>
      </c>
      <c r="BM86" s="5">
        <f>deaths!BM86-deaths!BL86</f>
        <v>0</v>
      </c>
      <c r="BN86" s="5">
        <f>deaths!BN86-deaths!BM86</f>
        <v>0</v>
      </c>
      <c r="BO86" s="5">
        <f>deaths!BO86-deaths!BN86</f>
        <v>1</v>
      </c>
      <c r="BP86" s="5">
        <f>deaths!BP86-deaths!BO86</f>
        <v>0</v>
      </c>
      <c r="BQ86" s="5">
        <f>deaths!BQ86-deaths!BP86</f>
        <v>1</v>
      </c>
      <c r="BR86" s="5">
        <f>deaths!BR86-deaths!BQ86</f>
        <v>0</v>
      </c>
      <c r="BS86" s="5">
        <f>deaths!BS86-deaths!BR86</f>
        <v>3</v>
      </c>
      <c r="BT86" s="5">
        <f>deaths!BT86-deaths!BS86</f>
        <v>0</v>
      </c>
      <c r="BU86" s="5">
        <f>deaths!BU86-deaths!BT86</f>
        <v>2</v>
      </c>
      <c r="BV86" s="5">
        <f>deaths!BV86-deaths!BU86</f>
        <v>0</v>
      </c>
      <c r="BW86" s="5">
        <f>deaths!BW86-deaths!BV86</f>
        <v>1</v>
      </c>
      <c r="BX86" s="5">
        <f>deaths!BX86-deaths!BW86</f>
        <v>4</v>
      </c>
      <c r="BY86" s="5">
        <f>deaths!BY86-deaths!BX86</f>
        <v>0</v>
      </c>
      <c r="BZ86" s="1">
        <f>deaths!BZ86</f>
        <v>18</v>
      </c>
      <c r="CA86" s="1">
        <f>deaths!CA86</f>
        <v>18</v>
      </c>
      <c r="CB86" s="1">
        <f>deaths!CB86</f>
        <v>18</v>
      </c>
      <c r="CC86" s="1" t="str">
        <f>deaths!CC86</f>
        <v/>
      </c>
    </row>
    <row r="87">
      <c r="B87" s="1" t="str">
        <f>deaths!B87</f>
        <v>Costa Rica</v>
      </c>
      <c r="C87" s="4">
        <f>deaths!C87</f>
        <v>9.7489</v>
      </c>
      <c r="D87" s="4">
        <f>deaths!D87</f>
        <v>-83.7534</v>
      </c>
      <c r="E87" s="5">
        <f>deaths!E87</f>
        <v>0</v>
      </c>
      <c r="F87" s="5">
        <f>deaths!F87-deaths!E87</f>
        <v>0</v>
      </c>
      <c r="G87" s="5">
        <f>deaths!G87-deaths!F87</f>
        <v>0</v>
      </c>
      <c r="H87" s="5">
        <f>deaths!H87-deaths!G87</f>
        <v>0</v>
      </c>
      <c r="I87" s="5">
        <f>deaths!I87-deaths!H87</f>
        <v>0</v>
      </c>
      <c r="J87" s="5">
        <f>deaths!J87-deaths!I87</f>
        <v>0</v>
      </c>
      <c r="K87" s="5">
        <f>deaths!K87-deaths!J87</f>
        <v>0</v>
      </c>
      <c r="L87" s="5">
        <f>deaths!L87-deaths!K87</f>
        <v>0</v>
      </c>
      <c r="M87" s="5">
        <f>deaths!M87-deaths!L87</f>
        <v>0</v>
      </c>
      <c r="N87" s="5">
        <f>deaths!N87-deaths!M87</f>
        <v>0</v>
      </c>
      <c r="O87" s="5">
        <f>deaths!O87-deaths!N87</f>
        <v>0</v>
      </c>
      <c r="P87" s="5">
        <f>deaths!P87-deaths!O87</f>
        <v>0</v>
      </c>
      <c r="Q87" s="5">
        <f>deaths!Q87-deaths!P87</f>
        <v>0</v>
      </c>
      <c r="R87" s="5">
        <f>deaths!R87-deaths!Q87</f>
        <v>0</v>
      </c>
      <c r="S87" s="5">
        <f>deaths!S87-deaths!R87</f>
        <v>0</v>
      </c>
      <c r="T87" s="5">
        <f>deaths!T87-deaths!S87</f>
        <v>0</v>
      </c>
      <c r="U87" s="5">
        <f>deaths!U87-deaths!T87</f>
        <v>0</v>
      </c>
      <c r="V87" s="5">
        <f>deaths!V87-deaths!U87</f>
        <v>0</v>
      </c>
      <c r="W87" s="5">
        <f>deaths!W87-deaths!V87</f>
        <v>0</v>
      </c>
      <c r="X87" s="5">
        <f>deaths!X87-deaths!W87</f>
        <v>0</v>
      </c>
      <c r="Y87" s="5">
        <f>deaths!Y87-deaths!X87</f>
        <v>0</v>
      </c>
      <c r="Z87" s="5">
        <f>deaths!Z87-deaths!Y87</f>
        <v>0</v>
      </c>
      <c r="AA87" s="5">
        <f>deaths!AA87-deaths!Z87</f>
        <v>0</v>
      </c>
      <c r="AB87" s="5">
        <f>deaths!AB87-deaths!AA87</f>
        <v>0</v>
      </c>
      <c r="AC87" s="5">
        <f>deaths!AC87-deaths!AB87</f>
        <v>0</v>
      </c>
      <c r="AD87" s="5">
        <f>deaths!AD87-deaths!AC87</f>
        <v>0</v>
      </c>
      <c r="AE87" s="5">
        <f>deaths!AE87-deaths!AD87</f>
        <v>0</v>
      </c>
      <c r="AF87" s="5">
        <f>deaths!AF87-deaths!AE87</f>
        <v>0</v>
      </c>
      <c r="AG87" s="5">
        <f>deaths!AG87-deaths!AF87</f>
        <v>0</v>
      </c>
      <c r="AH87" s="5">
        <f>deaths!AH87-deaths!AG87</f>
        <v>0</v>
      </c>
      <c r="AI87" s="5">
        <f>deaths!AI87-deaths!AH87</f>
        <v>0</v>
      </c>
      <c r="AJ87" s="5">
        <f>deaths!AJ87-deaths!AI87</f>
        <v>0</v>
      </c>
      <c r="AK87" s="5">
        <f>deaths!AK87-deaths!AJ87</f>
        <v>0</v>
      </c>
      <c r="AL87" s="5">
        <f>deaths!AL87-deaths!AK87</f>
        <v>0</v>
      </c>
      <c r="AM87" s="5">
        <f>deaths!AM87-deaths!AL87</f>
        <v>0</v>
      </c>
      <c r="AN87" s="5">
        <f>deaths!AN87-deaths!AM87</f>
        <v>0</v>
      </c>
      <c r="AO87" s="5">
        <f>deaths!AO87-deaths!AN87</f>
        <v>0</v>
      </c>
      <c r="AP87" s="5">
        <f>deaths!AP87-deaths!AO87</f>
        <v>0</v>
      </c>
      <c r="AQ87" s="5">
        <f>deaths!AQ87-deaths!AP87</f>
        <v>0</v>
      </c>
      <c r="AR87" s="5">
        <f>deaths!AR87-deaths!AQ87</f>
        <v>0</v>
      </c>
      <c r="AS87" s="5">
        <f>deaths!AS87-deaths!AR87</f>
        <v>0</v>
      </c>
      <c r="AT87" s="5">
        <f>deaths!AT87-deaths!AS87</f>
        <v>0</v>
      </c>
      <c r="AU87" s="5">
        <f>deaths!AU87-deaths!AT87</f>
        <v>0</v>
      </c>
      <c r="AV87" s="5">
        <f>deaths!AV87-deaths!AU87</f>
        <v>0</v>
      </c>
      <c r="AW87" s="5">
        <f>deaths!AW87-deaths!AV87</f>
        <v>0</v>
      </c>
      <c r="AX87" s="5">
        <f>deaths!AX87-deaths!AW87</f>
        <v>0</v>
      </c>
      <c r="AY87" s="5">
        <f>deaths!AY87-deaths!AX87</f>
        <v>0</v>
      </c>
      <c r="AZ87" s="5">
        <f>deaths!AZ87-deaths!AY87</f>
        <v>0</v>
      </c>
      <c r="BA87" s="5">
        <f>deaths!BA87-deaths!AZ87</f>
        <v>0</v>
      </c>
      <c r="BB87" s="5">
        <f>deaths!BB87-deaths!BA87</f>
        <v>0</v>
      </c>
      <c r="BC87" s="5">
        <f>deaths!BC87-deaths!BB87</f>
        <v>0</v>
      </c>
      <c r="BD87" s="5">
        <f>deaths!BD87-deaths!BC87</f>
        <v>0</v>
      </c>
      <c r="BE87" s="5">
        <f>deaths!BE87-deaths!BD87</f>
        <v>0</v>
      </c>
      <c r="BF87" s="5">
        <f>deaths!BF87-deaths!BE87</f>
        <v>0</v>
      </c>
      <c r="BG87" s="5">
        <f>deaths!BG87-deaths!BF87</f>
        <v>0</v>
      </c>
      <c r="BH87" s="5">
        <f>deaths!BH87-deaths!BG87</f>
        <v>0</v>
      </c>
      <c r="BI87" s="5">
        <f>deaths!BI87-deaths!BH87</f>
        <v>0</v>
      </c>
      <c r="BJ87" s="5">
        <f>deaths!BJ87-deaths!BI87</f>
        <v>1</v>
      </c>
      <c r="BK87" s="5">
        <f>deaths!BK87-deaths!BJ87</f>
        <v>0</v>
      </c>
      <c r="BL87" s="5">
        <f>deaths!BL87-deaths!BK87</f>
        <v>1</v>
      </c>
      <c r="BM87" s="5">
        <f>deaths!BM87-deaths!BL87</f>
        <v>0</v>
      </c>
      <c r="BN87" s="5">
        <f>deaths!BN87-deaths!BM87</f>
        <v>0</v>
      </c>
      <c r="BO87" s="5">
        <f>deaths!BO87-deaths!BN87</f>
        <v>0</v>
      </c>
      <c r="BP87" s="5">
        <f>deaths!BP87-deaths!BO87</f>
        <v>0</v>
      </c>
      <c r="BQ87" s="5">
        <f>deaths!BQ87-deaths!BP87</f>
        <v>0</v>
      </c>
      <c r="BR87" s="5">
        <f>deaths!BR87-deaths!BQ87</f>
        <v>0</v>
      </c>
      <c r="BS87" s="5">
        <f>deaths!BS87-deaths!BR87</f>
        <v>0</v>
      </c>
      <c r="BT87" s="5">
        <f>deaths!BT87-deaths!BS87</f>
        <v>0</v>
      </c>
      <c r="BU87" s="5">
        <f>deaths!BU87-deaths!BT87</f>
        <v>0</v>
      </c>
      <c r="BV87" s="5">
        <f>deaths!BV87-deaths!BU87</f>
        <v>0</v>
      </c>
      <c r="BW87" s="5">
        <f>deaths!BW87-deaths!BV87</f>
        <v>0</v>
      </c>
      <c r="BX87" s="5">
        <f>deaths!BX87-deaths!BW87</f>
        <v>0</v>
      </c>
      <c r="BY87" s="5">
        <f>deaths!BY87-deaths!BX87</f>
        <v>0</v>
      </c>
      <c r="BZ87" s="1">
        <f>deaths!BZ87</f>
        <v>2</v>
      </c>
      <c r="CA87" s="1">
        <f>deaths!CA87</f>
        <v>2</v>
      </c>
      <c r="CB87" s="1">
        <f>deaths!CB87</f>
        <v>2</v>
      </c>
      <c r="CC87" s="1" t="str">
        <f>deaths!CC87</f>
        <v/>
      </c>
    </row>
    <row r="88">
      <c r="B88" s="1" t="str">
        <f>deaths!B88</f>
        <v>Cote d'Ivoire</v>
      </c>
      <c r="C88" s="4">
        <f>deaths!C88</f>
        <v>7.54</v>
      </c>
      <c r="D88" s="4">
        <f>deaths!D88</f>
        <v>-5.5471</v>
      </c>
      <c r="E88" s="5">
        <f>deaths!E88</f>
        <v>0</v>
      </c>
      <c r="F88" s="5">
        <f>deaths!F88-deaths!E88</f>
        <v>0</v>
      </c>
      <c r="G88" s="5">
        <f>deaths!G88-deaths!F88</f>
        <v>0</v>
      </c>
      <c r="H88" s="5">
        <f>deaths!H88-deaths!G88</f>
        <v>0</v>
      </c>
      <c r="I88" s="5">
        <f>deaths!I88-deaths!H88</f>
        <v>0</v>
      </c>
      <c r="J88" s="5">
        <f>deaths!J88-deaths!I88</f>
        <v>0</v>
      </c>
      <c r="K88" s="5">
        <f>deaths!K88-deaths!J88</f>
        <v>0</v>
      </c>
      <c r="L88" s="5">
        <f>deaths!L88-deaths!K88</f>
        <v>0</v>
      </c>
      <c r="M88" s="5">
        <f>deaths!M88-deaths!L88</f>
        <v>0</v>
      </c>
      <c r="N88" s="5">
        <f>deaths!N88-deaths!M88</f>
        <v>0</v>
      </c>
      <c r="O88" s="5">
        <f>deaths!O88-deaths!N88</f>
        <v>0</v>
      </c>
      <c r="P88" s="5">
        <f>deaths!P88-deaths!O88</f>
        <v>0</v>
      </c>
      <c r="Q88" s="5">
        <f>deaths!Q88-deaths!P88</f>
        <v>0</v>
      </c>
      <c r="R88" s="5">
        <f>deaths!R88-deaths!Q88</f>
        <v>0</v>
      </c>
      <c r="S88" s="5">
        <f>deaths!S88-deaths!R88</f>
        <v>0</v>
      </c>
      <c r="T88" s="5">
        <f>deaths!T88-deaths!S88</f>
        <v>0</v>
      </c>
      <c r="U88" s="5">
        <f>deaths!U88-deaths!T88</f>
        <v>0</v>
      </c>
      <c r="V88" s="5">
        <f>deaths!V88-deaths!U88</f>
        <v>0</v>
      </c>
      <c r="W88" s="5">
        <f>deaths!W88-deaths!V88</f>
        <v>0</v>
      </c>
      <c r="X88" s="5">
        <f>deaths!X88-deaths!W88</f>
        <v>0</v>
      </c>
      <c r="Y88" s="5">
        <f>deaths!Y88-deaths!X88</f>
        <v>0</v>
      </c>
      <c r="Z88" s="5">
        <f>deaths!Z88-deaths!Y88</f>
        <v>0</v>
      </c>
      <c r="AA88" s="5">
        <f>deaths!AA88-deaths!Z88</f>
        <v>0</v>
      </c>
      <c r="AB88" s="5">
        <f>deaths!AB88-deaths!AA88</f>
        <v>0</v>
      </c>
      <c r="AC88" s="5">
        <f>deaths!AC88-deaths!AB88</f>
        <v>0</v>
      </c>
      <c r="AD88" s="5">
        <f>deaths!AD88-deaths!AC88</f>
        <v>0</v>
      </c>
      <c r="AE88" s="5">
        <f>deaths!AE88-deaths!AD88</f>
        <v>0</v>
      </c>
      <c r="AF88" s="5">
        <f>deaths!AF88-deaths!AE88</f>
        <v>0</v>
      </c>
      <c r="AG88" s="5">
        <f>deaths!AG88-deaths!AF88</f>
        <v>0</v>
      </c>
      <c r="AH88" s="5">
        <f>deaths!AH88-deaths!AG88</f>
        <v>0</v>
      </c>
      <c r="AI88" s="5">
        <f>deaths!AI88-deaths!AH88</f>
        <v>0</v>
      </c>
      <c r="AJ88" s="5">
        <f>deaths!AJ88-deaths!AI88</f>
        <v>0</v>
      </c>
      <c r="AK88" s="5">
        <f>deaths!AK88-deaths!AJ88</f>
        <v>0</v>
      </c>
      <c r="AL88" s="5">
        <f>deaths!AL88-deaths!AK88</f>
        <v>0</v>
      </c>
      <c r="AM88" s="5">
        <f>deaths!AM88-deaths!AL88</f>
        <v>0</v>
      </c>
      <c r="AN88" s="5">
        <f>deaths!AN88-deaths!AM88</f>
        <v>0</v>
      </c>
      <c r="AO88" s="5">
        <f>deaths!AO88-deaths!AN88</f>
        <v>0</v>
      </c>
      <c r="AP88" s="5">
        <f>deaths!AP88-deaths!AO88</f>
        <v>0</v>
      </c>
      <c r="AQ88" s="5">
        <f>deaths!AQ88-deaths!AP88</f>
        <v>0</v>
      </c>
      <c r="AR88" s="5">
        <f>deaths!AR88-deaths!AQ88</f>
        <v>0</v>
      </c>
      <c r="AS88" s="5">
        <f>deaths!AS88-deaths!AR88</f>
        <v>0</v>
      </c>
      <c r="AT88" s="5">
        <f>deaths!AT88-deaths!AS88</f>
        <v>0</v>
      </c>
      <c r="AU88" s="5">
        <f>deaths!AU88-deaths!AT88</f>
        <v>0</v>
      </c>
      <c r="AV88" s="5">
        <f>deaths!AV88-deaths!AU88</f>
        <v>0</v>
      </c>
      <c r="AW88" s="5">
        <f>deaths!AW88-deaths!AV88</f>
        <v>0</v>
      </c>
      <c r="AX88" s="5">
        <f>deaths!AX88-deaths!AW88</f>
        <v>0</v>
      </c>
      <c r="AY88" s="5">
        <f>deaths!AY88-deaths!AX88</f>
        <v>0</v>
      </c>
      <c r="AZ88" s="5">
        <f>deaths!AZ88-deaths!AY88</f>
        <v>0</v>
      </c>
      <c r="BA88" s="5">
        <f>deaths!BA88-deaths!AZ88</f>
        <v>0</v>
      </c>
      <c r="BB88" s="5">
        <f>deaths!BB88-deaths!BA88</f>
        <v>0</v>
      </c>
      <c r="BC88" s="5">
        <f>deaths!BC88-deaths!BB88</f>
        <v>0</v>
      </c>
      <c r="BD88" s="5">
        <f>deaths!BD88-deaths!BC88</f>
        <v>0</v>
      </c>
      <c r="BE88" s="5">
        <f>deaths!BE88-deaths!BD88</f>
        <v>0</v>
      </c>
      <c r="BF88" s="5">
        <f>deaths!BF88-deaths!BE88</f>
        <v>0</v>
      </c>
      <c r="BG88" s="5">
        <f>deaths!BG88-deaths!BF88</f>
        <v>0</v>
      </c>
      <c r="BH88" s="5">
        <f>deaths!BH88-deaths!BG88</f>
        <v>0</v>
      </c>
      <c r="BI88" s="5">
        <f>deaths!BI88-deaths!BH88</f>
        <v>0</v>
      </c>
      <c r="BJ88" s="5">
        <f>deaths!BJ88-deaths!BI88</f>
        <v>0</v>
      </c>
      <c r="BK88" s="5">
        <f>deaths!BK88-deaths!BJ88</f>
        <v>0</v>
      </c>
      <c r="BL88" s="5">
        <f>deaths!BL88-deaths!BK88</f>
        <v>0</v>
      </c>
      <c r="BM88" s="5">
        <f>deaths!BM88-deaths!BL88</f>
        <v>0</v>
      </c>
      <c r="BN88" s="5">
        <f>deaths!BN88-deaths!BM88</f>
        <v>0</v>
      </c>
      <c r="BO88" s="5">
        <f>deaths!BO88-deaths!BN88</f>
        <v>0</v>
      </c>
      <c r="BP88" s="5">
        <f>deaths!BP88-deaths!BO88</f>
        <v>0</v>
      </c>
      <c r="BQ88" s="5">
        <f>deaths!BQ88-deaths!BP88</f>
        <v>0</v>
      </c>
      <c r="BR88" s="5">
        <f>deaths!BR88-deaths!BQ88</f>
        <v>0</v>
      </c>
      <c r="BS88" s="5">
        <f>deaths!BS88-deaths!BR88</f>
        <v>0</v>
      </c>
      <c r="BT88" s="5">
        <f>deaths!BT88-deaths!BS88</f>
        <v>1</v>
      </c>
      <c r="BU88" s="5">
        <f>deaths!BU88-deaths!BT88</f>
        <v>0</v>
      </c>
      <c r="BV88" s="5">
        <f>deaths!BV88-deaths!BU88</f>
        <v>0</v>
      </c>
      <c r="BW88" s="5">
        <f>deaths!BW88-deaths!BV88</f>
        <v>0</v>
      </c>
      <c r="BX88" s="5">
        <f>deaths!BX88-deaths!BW88</f>
        <v>0</v>
      </c>
      <c r="BY88" s="5">
        <f>deaths!BY88-deaths!BX88</f>
        <v>0</v>
      </c>
      <c r="BZ88" s="1">
        <f>deaths!BZ88</f>
        <v>1</v>
      </c>
      <c r="CA88" s="1">
        <f>deaths!CA88</f>
        <v>3</v>
      </c>
      <c r="CB88" s="1">
        <f>deaths!CB88</f>
        <v>3</v>
      </c>
      <c r="CC88" s="1" t="str">
        <f>deaths!CC88</f>
        <v/>
      </c>
    </row>
    <row r="89">
      <c r="B89" s="1" t="str">
        <f>deaths!B89</f>
        <v>Croatia</v>
      </c>
      <c r="C89" s="4">
        <f>deaths!C89</f>
        <v>45.1</v>
      </c>
      <c r="D89" s="4">
        <f>deaths!D89</f>
        <v>15.2</v>
      </c>
      <c r="E89" s="5">
        <f>deaths!E89</f>
        <v>0</v>
      </c>
      <c r="F89" s="5">
        <f>deaths!F89-deaths!E89</f>
        <v>0</v>
      </c>
      <c r="G89" s="5">
        <f>deaths!G89-deaths!F89</f>
        <v>0</v>
      </c>
      <c r="H89" s="5">
        <f>deaths!H89-deaths!G89</f>
        <v>0</v>
      </c>
      <c r="I89" s="5">
        <f>deaths!I89-deaths!H89</f>
        <v>0</v>
      </c>
      <c r="J89" s="5">
        <f>deaths!J89-deaths!I89</f>
        <v>0</v>
      </c>
      <c r="K89" s="5">
        <f>deaths!K89-deaths!J89</f>
        <v>0</v>
      </c>
      <c r="L89" s="5">
        <f>deaths!L89-deaths!K89</f>
        <v>0</v>
      </c>
      <c r="M89" s="5">
        <f>deaths!M89-deaths!L89</f>
        <v>0</v>
      </c>
      <c r="N89" s="5">
        <f>deaths!N89-deaths!M89</f>
        <v>0</v>
      </c>
      <c r="O89" s="5">
        <f>deaths!O89-deaths!N89</f>
        <v>0</v>
      </c>
      <c r="P89" s="5">
        <f>deaths!P89-deaths!O89</f>
        <v>0</v>
      </c>
      <c r="Q89" s="5">
        <f>deaths!Q89-deaths!P89</f>
        <v>0</v>
      </c>
      <c r="R89" s="5">
        <f>deaths!R89-deaths!Q89</f>
        <v>0</v>
      </c>
      <c r="S89" s="5">
        <f>deaths!S89-deaths!R89</f>
        <v>0</v>
      </c>
      <c r="T89" s="5">
        <f>deaths!T89-deaths!S89</f>
        <v>0</v>
      </c>
      <c r="U89" s="5">
        <f>deaths!U89-deaths!T89</f>
        <v>0</v>
      </c>
      <c r="V89" s="5">
        <f>deaths!V89-deaths!U89</f>
        <v>0</v>
      </c>
      <c r="W89" s="5">
        <f>deaths!W89-deaths!V89</f>
        <v>0</v>
      </c>
      <c r="X89" s="5">
        <f>deaths!X89-deaths!W89</f>
        <v>0</v>
      </c>
      <c r="Y89" s="5">
        <f>deaths!Y89-deaths!X89</f>
        <v>0</v>
      </c>
      <c r="Z89" s="5">
        <f>deaths!Z89-deaths!Y89</f>
        <v>0</v>
      </c>
      <c r="AA89" s="5">
        <f>deaths!AA89-deaths!Z89</f>
        <v>0</v>
      </c>
      <c r="AB89" s="5">
        <f>deaths!AB89-deaths!AA89</f>
        <v>0</v>
      </c>
      <c r="AC89" s="5">
        <f>deaths!AC89-deaths!AB89</f>
        <v>0</v>
      </c>
      <c r="AD89" s="5">
        <f>deaths!AD89-deaths!AC89</f>
        <v>0</v>
      </c>
      <c r="AE89" s="5">
        <f>deaths!AE89-deaths!AD89</f>
        <v>0</v>
      </c>
      <c r="AF89" s="5">
        <f>deaths!AF89-deaths!AE89</f>
        <v>0</v>
      </c>
      <c r="AG89" s="5">
        <f>deaths!AG89-deaths!AF89</f>
        <v>0</v>
      </c>
      <c r="AH89" s="5">
        <f>deaths!AH89-deaths!AG89</f>
        <v>0</v>
      </c>
      <c r="AI89" s="5">
        <f>deaths!AI89-deaths!AH89</f>
        <v>0</v>
      </c>
      <c r="AJ89" s="5">
        <f>deaths!AJ89-deaths!AI89</f>
        <v>0</v>
      </c>
      <c r="AK89" s="5">
        <f>deaths!AK89-deaths!AJ89</f>
        <v>0</v>
      </c>
      <c r="AL89" s="5">
        <f>deaths!AL89-deaths!AK89</f>
        <v>0</v>
      </c>
      <c r="AM89" s="5">
        <f>deaths!AM89-deaths!AL89</f>
        <v>0</v>
      </c>
      <c r="AN89" s="5">
        <f>deaths!AN89-deaths!AM89</f>
        <v>0</v>
      </c>
      <c r="AO89" s="5">
        <f>deaths!AO89-deaths!AN89</f>
        <v>0</v>
      </c>
      <c r="AP89" s="5">
        <f>deaths!AP89-deaths!AO89</f>
        <v>0</v>
      </c>
      <c r="AQ89" s="5">
        <f>deaths!AQ89-deaths!AP89</f>
        <v>0</v>
      </c>
      <c r="AR89" s="5">
        <f>deaths!AR89-deaths!AQ89</f>
        <v>0</v>
      </c>
      <c r="AS89" s="5">
        <f>deaths!AS89-deaths!AR89</f>
        <v>0</v>
      </c>
      <c r="AT89" s="5">
        <f>deaths!AT89-deaths!AS89</f>
        <v>0</v>
      </c>
      <c r="AU89" s="5">
        <f>deaths!AU89-deaths!AT89</f>
        <v>0</v>
      </c>
      <c r="AV89" s="5">
        <f>deaths!AV89-deaths!AU89</f>
        <v>0</v>
      </c>
      <c r="AW89" s="5">
        <f>deaths!AW89-deaths!AV89</f>
        <v>0</v>
      </c>
      <c r="AX89" s="5">
        <f>deaths!AX89-deaths!AW89</f>
        <v>0</v>
      </c>
      <c r="AY89" s="5">
        <f>deaths!AY89-deaths!AX89</f>
        <v>0</v>
      </c>
      <c r="AZ89" s="5">
        <f>deaths!AZ89-deaths!AY89</f>
        <v>0</v>
      </c>
      <c r="BA89" s="5">
        <f>deaths!BA89-deaths!AZ89</f>
        <v>0</v>
      </c>
      <c r="BB89" s="5">
        <f>deaths!BB89-deaths!BA89</f>
        <v>0</v>
      </c>
      <c r="BC89" s="5">
        <f>deaths!BC89-deaths!BB89</f>
        <v>0</v>
      </c>
      <c r="BD89" s="5">
        <f>deaths!BD89-deaths!BC89</f>
        <v>0</v>
      </c>
      <c r="BE89" s="5">
        <f>deaths!BE89-deaths!BD89</f>
        <v>0</v>
      </c>
      <c r="BF89" s="5">
        <f>deaths!BF89-deaths!BE89</f>
        <v>0</v>
      </c>
      <c r="BG89" s="5">
        <f>deaths!BG89-deaths!BF89</f>
        <v>0</v>
      </c>
      <c r="BH89" s="5">
        <f>deaths!BH89-deaths!BG89</f>
        <v>0</v>
      </c>
      <c r="BI89" s="5">
        <f>deaths!BI89-deaths!BH89</f>
        <v>0</v>
      </c>
      <c r="BJ89" s="5">
        <f>deaths!BJ89-deaths!BI89</f>
        <v>1</v>
      </c>
      <c r="BK89" s="5">
        <f>deaths!BK89-deaths!BJ89</f>
        <v>0</v>
      </c>
      <c r="BL89" s="5">
        <f>deaths!BL89-deaths!BK89</f>
        <v>0</v>
      </c>
      <c r="BM89" s="5">
        <f>deaths!BM89-deaths!BL89</f>
        <v>0</v>
      </c>
      <c r="BN89" s="5">
        <f>deaths!BN89-deaths!BM89</f>
        <v>0</v>
      </c>
      <c r="BO89" s="5">
        <f>deaths!BO89-deaths!BN89</f>
        <v>0</v>
      </c>
      <c r="BP89" s="5">
        <f>deaths!BP89-deaths!BO89</f>
        <v>0</v>
      </c>
      <c r="BQ89" s="5">
        <f>deaths!BQ89-deaths!BP89</f>
        <v>2</v>
      </c>
      <c r="BR89" s="5">
        <f>deaths!BR89-deaths!BQ89</f>
        <v>0</v>
      </c>
      <c r="BS89" s="5">
        <f>deaths!BS89-deaths!BR89</f>
        <v>2</v>
      </c>
      <c r="BT89" s="5">
        <f>deaths!BT89-deaths!BS89</f>
        <v>1</v>
      </c>
      <c r="BU89" s="5">
        <f>deaths!BU89-deaths!BT89</f>
        <v>0</v>
      </c>
      <c r="BV89" s="5">
        <f>deaths!BV89-deaths!BU89</f>
        <v>0</v>
      </c>
      <c r="BW89" s="5">
        <f>deaths!BW89-deaths!BV89</f>
        <v>0</v>
      </c>
      <c r="BX89" s="5">
        <f>deaths!BX89-deaths!BW89</f>
        <v>1</v>
      </c>
      <c r="BY89" s="5">
        <f>deaths!BY89-deaths!BX89</f>
        <v>1</v>
      </c>
      <c r="BZ89" s="1">
        <f>deaths!BZ89</f>
        <v>12</v>
      </c>
      <c r="CA89" s="1">
        <f>deaths!CA89</f>
        <v>15</v>
      </c>
      <c r="CB89" s="1">
        <f>deaths!CB89</f>
        <v>16</v>
      </c>
      <c r="CC89" s="1" t="str">
        <f>deaths!CC89</f>
        <v/>
      </c>
    </row>
    <row r="90">
      <c r="B90" s="1" t="str">
        <f>deaths!B90</f>
        <v>Diamond Princess</v>
      </c>
      <c r="C90" s="4">
        <f>deaths!C90</f>
        <v>0</v>
      </c>
      <c r="D90" s="4">
        <f>deaths!D90</f>
        <v>0</v>
      </c>
      <c r="E90" s="5">
        <f>deaths!E90</f>
        <v>0</v>
      </c>
      <c r="F90" s="5">
        <f>deaths!F90-deaths!E90</f>
        <v>0</v>
      </c>
      <c r="G90" s="5">
        <f>deaths!G90-deaths!F90</f>
        <v>0</v>
      </c>
      <c r="H90" s="5">
        <f>deaths!H90-deaths!G90</f>
        <v>0</v>
      </c>
      <c r="I90" s="5">
        <f>deaths!I90-deaths!H90</f>
        <v>0</v>
      </c>
      <c r="J90" s="5">
        <f>deaths!J90-deaths!I90</f>
        <v>0</v>
      </c>
      <c r="K90" s="5">
        <f>deaths!K90-deaths!J90</f>
        <v>0</v>
      </c>
      <c r="L90" s="5">
        <f>deaths!L90-deaths!K90</f>
        <v>0</v>
      </c>
      <c r="M90" s="5">
        <f>deaths!M90-deaths!L90</f>
        <v>0</v>
      </c>
      <c r="N90" s="5">
        <f>deaths!N90-deaths!M90</f>
        <v>0</v>
      </c>
      <c r="O90" s="5">
        <f>deaths!O90-deaths!N90</f>
        <v>0</v>
      </c>
      <c r="P90" s="5">
        <f>deaths!P90-deaths!O90</f>
        <v>0</v>
      </c>
      <c r="Q90" s="5">
        <f>deaths!Q90-deaths!P90</f>
        <v>0</v>
      </c>
      <c r="R90" s="5">
        <f>deaths!R90-deaths!Q90</f>
        <v>0</v>
      </c>
      <c r="S90" s="5">
        <f>deaths!S90-deaths!R90</f>
        <v>0</v>
      </c>
      <c r="T90" s="5">
        <f>deaths!T90-deaths!S90</f>
        <v>0</v>
      </c>
      <c r="U90" s="5">
        <f>deaths!U90-deaths!T90</f>
        <v>0</v>
      </c>
      <c r="V90" s="5">
        <f>deaths!V90-deaths!U90</f>
        <v>0</v>
      </c>
      <c r="W90" s="5">
        <f>deaths!W90-deaths!V90</f>
        <v>0</v>
      </c>
      <c r="X90" s="5">
        <f>deaths!X90-deaths!W90</f>
        <v>0</v>
      </c>
      <c r="Y90" s="5">
        <f>deaths!Y90-deaths!X90</f>
        <v>0</v>
      </c>
      <c r="Z90" s="5">
        <f>deaths!Z90-deaths!Y90</f>
        <v>0</v>
      </c>
      <c r="AA90" s="5">
        <f>deaths!AA90-deaths!Z90</f>
        <v>0</v>
      </c>
      <c r="AB90" s="5">
        <f>deaths!AB90-deaths!AA90</f>
        <v>0</v>
      </c>
      <c r="AC90" s="5">
        <f>deaths!AC90-deaths!AB90</f>
        <v>0</v>
      </c>
      <c r="AD90" s="5">
        <f>deaths!AD90-deaths!AC90</f>
        <v>0</v>
      </c>
      <c r="AE90" s="5">
        <f>deaths!AE90-deaths!AD90</f>
        <v>0</v>
      </c>
      <c r="AF90" s="5">
        <f>deaths!AF90-deaths!AE90</f>
        <v>0</v>
      </c>
      <c r="AG90" s="5">
        <f>deaths!AG90-deaths!AF90</f>
        <v>0</v>
      </c>
      <c r="AH90" s="5">
        <f>deaths!AH90-deaths!AG90</f>
        <v>2</v>
      </c>
      <c r="AI90" s="5">
        <f>deaths!AI90-deaths!AH90</f>
        <v>0</v>
      </c>
      <c r="AJ90" s="5">
        <f>deaths!AJ90-deaths!AI90</f>
        <v>0</v>
      </c>
      <c r="AK90" s="5">
        <f>deaths!AK90-deaths!AJ90</f>
        <v>1</v>
      </c>
      <c r="AL90" s="5">
        <f>deaths!AL90-deaths!AK90</f>
        <v>0</v>
      </c>
      <c r="AM90" s="5">
        <f>deaths!AM90-deaths!AL90</f>
        <v>0</v>
      </c>
      <c r="AN90" s="5">
        <f>deaths!AN90-deaths!AM90</f>
        <v>1</v>
      </c>
      <c r="AO90" s="5">
        <f>deaths!AO90-deaths!AN90</f>
        <v>0</v>
      </c>
      <c r="AP90" s="5">
        <f>deaths!AP90-deaths!AO90</f>
        <v>2</v>
      </c>
      <c r="AQ90" s="5">
        <f>deaths!AQ90-deaths!AP90</f>
        <v>0</v>
      </c>
      <c r="AR90" s="5">
        <f>deaths!AR90-deaths!AQ90</f>
        <v>0</v>
      </c>
      <c r="AS90" s="5">
        <f>deaths!AS90-deaths!AR90</f>
        <v>0</v>
      </c>
      <c r="AT90" s="5">
        <f>deaths!AT90-deaths!AS90</f>
        <v>0</v>
      </c>
      <c r="AU90" s="5">
        <f>deaths!AU90-deaths!AT90</f>
        <v>0</v>
      </c>
      <c r="AV90" s="5">
        <f>deaths!AV90-deaths!AU90</f>
        <v>0</v>
      </c>
      <c r="AW90" s="5">
        <f>deaths!AW90-deaths!AV90</f>
        <v>0</v>
      </c>
      <c r="AX90" s="5">
        <f>deaths!AX90-deaths!AW90</f>
        <v>0</v>
      </c>
      <c r="AY90" s="5">
        <f>deaths!AY90-deaths!AX90</f>
        <v>0</v>
      </c>
      <c r="AZ90" s="5">
        <f>deaths!AZ90-deaths!AY90</f>
        <v>0</v>
      </c>
      <c r="BA90" s="5">
        <f>deaths!BA90-deaths!AZ90</f>
        <v>0</v>
      </c>
      <c r="BB90" s="5">
        <f>deaths!BB90-deaths!BA90</f>
        <v>1</v>
      </c>
      <c r="BC90" s="5">
        <f>deaths!BC90-deaths!BB90</f>
        <v>0</v>
      </c>
      <c r="BD90" s="5">
        <f>deaths!BD90-deaths!BC90</f>
        <v>0</v>
      </c>
      <c r="BE90" s="5">
        <f>deaths!BE90-deaths!BD90</f>
        <v>0</v>
      </c>
      <c r="BF90" s="5">
        <f>deaths!BF90-deaths!BE90</f>
        <v>0</v>
      </c>
      <c r="BG90" s="5">
        <f>deaths!BG90-deaths!BF90</f>
        <v>0</v>
      </c>
      <c r="BH90" s="5">
        <f>deaths!BH90-deaths!BG90</f>
        <v>0</v>
      </c>
      <c r="BI90" s="5">
        <f>deaths!BI90-deaths!BH90</f>
        <v>0</v>
      </c>
      <c r="BJ90" s="5">
        <f>deaths!BJ90-deaths!BI90</f>
        <v>0</v>
      </c>
      <c r="BK90" s="5">
        <f>deaths!BK90-deaths!BJ90</f>
        <v>0</v>
      </c>
      <c r="BL90" s="5">
        <f>deaths!BL90-deaths!BK90</f>
        <v>1</v>
      </c>
      <c r="BM90" s="5">
        <f>deaths!BM90-deaths!BL90</f>
        <v>0</v>
      </c>
      <c r="BN90" s="5">
        <f>deaths!BN90-deaths!BM90</f>
        <v>0</v>
      </c>
      <c r="BO90" s="5">
        <f>deaths!BO90-deaths!BN90</f>
        <v>2</v>
      </c>
      <c r="BP90" s="5">
        <f>deaths!BP90-deaths!BO90</f>
        <v>0</v>
      </c>
      <c r="BQ90" s="5">
        <f>deaths!BQ90-deaths!BP90</f>
        <v>0</v>
      </c>
      <c r="BR90" s="5">
        <f>deaths!BR90-deaths!BQ90</f>
        <v>0</v>
      </c>
      <c r="BS90" s="5">
        <f>deaths!BS90-deaths!BR90</f>
        <v>0</v>
      </c>
      <c r="BT90" s="5">
        <f>deaths!BT90-deaths!BS90</f>
        <v>0</v>
      </c>
      <c r="BU90" s="5">
        <f>deaths!BU90-deaths!BT90</f>
        <v>0</v>
      </c>
      <c r="BV90" s="5">
        <f>deaths!BV90-deaths!BU90</f>
        <v>0</v>
      </c>
      <c r="BW90" s="5">
        <f>deaths!BW90-deaths!BV90</f>
        <v>1</v>
      </c>
      <c r="BX90" s="5">
        <f>deaths!BX90-deaths!BW90</f>
        <v>0</v>
      </c>
      <c r="BY90" s="5">
        <f>deaths!BY90-deaths!BX90</f>
        <v>0</v>
      </c>
      <c r="BZ90" s="1">
        <f>deaths!BZ90</f>
        <v>11</v>
      </c>
      <c r="CA90" s="1">
        <f>deaths!CA90</f>
        <v>11</v>
      </c>
      <c r="CB90" s="1">
        <f>deaths!CB90</f>
        <v>11</v>
      </c>
      <c r="CC90" s="1" t="str">
        <f>deaths!CC90</f>
        <v/>
      </c>
    </row>
    <row r="91">
      <c r="B91" s="1" t="str">
        <f>deaths!B91</f>
        <v>Cuba</v>
      </c>
      <c r="C91" s="4">
        <f>deaths!C91</f>
        <v>22</v>
      </c>
      <c r="D91" s="4">
        <f>deaths!D91</f>
        <v>-80</v>
      </c>
      <c r="E91" s="5">
        <f>deaths!E91</f>
        <v>0</v>
      </c>
      <c r="F91" s="5">
        <f>deaths!F91-deaths!E91</f>
        <v>0</v>
      </c>
      <c r="G91" s="5">
        <f>deaths!G91-deaths!F91</f>
        <v>0</v>
      </c>
      <c r="H91" s="5">
        <f>deaths!H91-deaths!G91</f>
        <v>0</v>
      </c>
      <c r="I91" s="5">
        <f>deaths!I91-deaths!H91</f>
        <v>0</v>
      </c>
      <c r="J91" s="5">
        <f>deaths!J91-deaths!I91</f>
        <v>0</v>
      </c>
      <c r="K91" s="5">
        <f>deaths!K91-deaths!J91</f>
        <v>0</v>
      </c>
      <c r="L91" s="5">
        <f>deaths!L91-deaths!K91</f>
        <v>0</v>
      </c>
      <c r="M91" s="5">
        <f>deaths!M91-deaths!L91</f>
        <v>0</v>
      </c>
      <c r="N91" s="5">
        <f>deaths!N91-deaths!M91</f>
        <v>0</v>
      </c>
      <c r="O91" s="5">
        <f>deaths!O91-deaths!N91</f>
        <v>0</v>
      </c>
      <c r="P91" s="5">
        <f>deaths!P91-deaths!O91</f>
        <v>0</v>
      </c>
      <c r="Q91" s="5">
        <f>deaths!Q91-deaths!P91</f>
        <v>0</v>
      </c>
      <c r="R91" s="5">
        <f>deaths!R91-deaths!Q91</f>
        <v>0</v>
      </c>
      <c r="S91" s="5">
        <f>deaths!S91-deaths!R91</f>
        <v>0</v>
      </c>
      <c r="T91" s="5">
        <f>deaths!T91-deaths!S91</f>
        <v>0</v>
      </c>
      <c r="U91" s="5">
        <f>deaths!U91-deaths!T91</f>
        <v>0</v>
      </c>
      <c r="V91" s="5">
        <f>deaths!V91-deaths!U91</f>
        <v>0</v>
      </c>
      <c r="W91" s="5">
        <f>deaths!W91-deaths!V91</f>
        <v>0</v>
      </c>
      <c r="X91" s="5">
        <f>deaths!X91-deaths!W91</f>
        <v>0</v>
      </c>
      <c r="Y91" s="5">
        <f>deaths!Y91-deaths!X91</f>
        <v>0</v>
      </c>
      <c r="Z91" s="5">
        <f>deaths!Z91-deaths!Y91</f>
        <v>0</v>
      </c>
      <c r="AA91" s="5">
        <f>deaths!AA91-deaths!Z91</f>
        <v>0</v>
      </c>
      <c r="AB91" s="5">
        <f>deaths!AB91-deaths!AA91</f>
        <v>0</v>
      </c>
      <c r="AC91" s="5">
        <f>deaths!AC91-deaths!AB91</f>
        <v>0</v>
      </c>
      <c r="AD91" s="5">
        <f>deaths!AD91-deaths!AC91</f>
        <v>0</v>
      </c>
      <c r="AE91" s="5">
        <f>deaths!AE91-deaths!AD91</f>
        <v>0</v>
      </c>
      <c r="AF91" s="5">
        <f>deaths!AF91-deaths!AE91</f>
        <v>0</v>
      </c>
      <c r="AG91" s="5">
        <f>deaths!AG91-deaths!AF91</f>
        <v>0</v>
      </c>
      <c r="AH91" s="5">
        <f>deaths!AH91-deaths!AG91</f>
        <v>0</v>
      </c>
      <c r="AI91" s="5">
        <f>deaths!AI91-deaths!AH91</f>
        <v>0</v>
      </c>
      <c r="AJ91" s="5">
        <f>deaths!AJ91-deaths!AI91</f>
        <v>0</v>
      </c>
      <c r="AK91" s="5">
        <f>deaths!AK91-deaths!AJ91</f>
        <v>0</v>
      </c>
      <c r="AL91" s="5">
        <f>deaths!AL91-deaths!AK91</f>
        <v>0</v>
      </c>
      <c r="AM91" s="5">
        <f>deaths!AM91-deaths!AL91</f>
        <v>0</v>
      </c>
      <c r="AN91" s="5">
        <f>deaths!AN91-deaths!AM91</f>
        <v>0</v>
      </c>
      <c r="AO91" s="5">
        <f>deaths!AO91-deaths!AN91</f>
        <v>0</v>
      </c>
      <c r="AP91" s="5">
        <f>deaths!AP91-deaths!AO91</f>
        <v>0</v>
      </c>
      <c r="AQ91" s="5">
        <f>deaths!AQ91-deaths!AP91</f>
        <v>0</v>
      </c>
      <c r="AR91" s="5">
        <f>deaths!AR91-deaths!AQ91</f>
        <v>0</v>
      </c>
      <c r="AS91" s="5">
        <f>deaths!AS91-deaths!AR91</f>
        <v>0</v>
      </c>
      <c r="AT91" s="5">
        <f>deaths!AT91-deaths!AS91</f>
        <v>0</v>
      </c>
      <c r="AU91" s="5">
        <f>deaths!AU91-deaths!AT91</f>
        <v>0</v>
      </c>
      <c r="AV91" s="5">
        <f>deaths!AV91-deaths!AU91</f>
        <v>0</v>
      </c>
      <c r="AW91" s="5">
        <f>deaths!AW91-deaths!AV91</f>
        <v>0</v>
      </c>
      <c r="AX91" s="5">
        <f>deaths!AX91-deaths!AW91</f>
        <v>0</v>
      </c>
      <c r="AY91" s="5">
        <f>deaths!AY91-deaths!AX91</f>
        <v>0</v>
      </c>
      <c r="AZ91" s="5">
        <f>deaths!AZ91-deaths!AY91</f>
        <v>0</v>
      </c>
      <c r="BA91" s="5">
        <f>deaths!BA91-deaths!AZ91</f>
        <v>0</v>
      </c>
      <c r="BB91" s="5">
        <f>deaths!BB91-deaths!BA91</f>
        <v>0</v>
      </c>
      <c r="BC91" s="5">
        <f>deaths!BC91-deaths!BB91</f>
        <v>0</v>
      </c>
      <c r="BD91" s="5">
        <f>deaths!BD91-deaths!BC91</f>
        <v>0</v>
      </c>
      <c r="BE91" s="5">
        <f>deaths!BE91-deaths!BD91</f>
        <v>0</v>
      </c>
      <c r="BF91" s="5">
        <f>deaths!BF91-deaths!BE91</f>
        <v>0</v>
      </c>
      <c r="BG91" s="5">
        <f>deaths!BG91-deaths!BF91</f>
        <v>0</v>
      </c>
      <c r="BH91" s="5">
        <f>deaths!BH91-deaths!BG91</f>
        <v>0</v>
      </c>
      <c r="BI91" s="5">
        <f>deaths!BI91-deaths!BH91</f>
        <v>1</v>
      </c>
      <c r="BJ91" s="5">
        <f>deaths!BJ91-deaths!BI91</f>
        <v>0</v>
      </c>
      <c r="BK91" s="5">
        <f>deaths!BK91-deaths!BJ91</f>
        <v>0</v>
      </c>
      <c r="BL91" s="5">
        <f>deaths!BL91-deaths!BK91</f>
        <v>0</v>
      </c>
      <c r="BM91" s="5">
        <f>deaths!BM91-deaths!BL91</f>
        <v>0</v>
      </c>
      <c r="BN91" s="5">
        <f>deaths!BN91-deaths!BM91</f>
        <v>0</v>
      </c>
      <c r="BO91" s="5">
        <f>deaths!BO91-deaths!BN91</f>
        <v>0</v>
      </c>
      <c r="BP91" s="5">
        <f>deaths!BP91-deaths!BO91</f>
        <v>0</v>
      </c>
      <c r="BQ91" s="5">
        <f>deaths!BQ91-deaths!BP91</f>
        <v>1</v>
      </c>
      <c r="BR91" s="5">
        <f>deaths!BR91-deaths!BQ91</f>
        <v>0</v>
      </c>
      <c r="BS91" s="5">
        <f>deaths!BS91-deaths!BR91</f>
        <v>1</v>
      </c>
      <c r="BT91" s="5">
        <f>deaths!BT91-deaths!BS91</f>
        <v>0</v>
      </c>
      <c r="BU91" s="5">
        <f>deaths!BU91-deaths!BT91</f>
        <v>1</v>
      </c>
      <c r="BV91" s="5">
        <f>deaths!BV91-deaths!BU91</f>
        <v>2</v>
      </c>
      <c r="BW91" s="5">
        <f>deaths!BW91-deaths!BV91</f>
        <v>0</v>
      </c>
      <c r="BX91" s="5">
        <f>deaths!BX91-deaths!BW91</f>
        <v>0</v>
      </c>
      <c r="BY91" s="5">
        <f>deaths!BY91-deaths!BX91</f>
        <v>0</v>
      </c>
      <c r="BZ91" s="1">
        <f>deaths!BZ91</f>
        <v>6</v>
      </c>
      <c r="CA91" s="1">
        <f>deaths!CA91</f>
        <v>8</v>
      </c>
      <c r="CB91" s="1">
        <f>deaths!CB91</f>
        <v>9</v>
      </c>
      <c r="CC91" s="1" t="str">
        <f>deaths!CC91</f>
        <v/>
      </c>
    </row>
    <row r="92">
      <c r="B92" s="1" t="str">
        <f>deaths!B92</f>
        <v>Cyprus</v>
      </c>
      <c r="C92" s="4">
        <f>deaths!C92</f>
        <v>35.1264</v>
      </c>
      <c r="D92" s="4">
        <f>deaths!D92</f>
        <v>33.4299</v>
      </c>
      <c r="E92" s="5">
        <f>deaths!E92</f>
        <v>0</v>
      </c>
      <c r="F92" s="5">
        <f>deaths!F92-deaths!E92</f>
        <v>0</v>
      </c>
      <c r="G92" s="5">
        <f>deaths!G92-deaths!F92</f>
        <v>0</v>
      </c>
      <c r="H92" s="5">
        <f>deaths!H92-deaths!G92</f>
        <v>0</v>
      </c>
      <c r="I92" s="5">
        <f>deaths!I92-deaths!H92</f>
        <v>0</v>
      </c>
      <c r="J92" s="5">
        <f>deaths!J92-deaths!I92</f>
        <v>0</v>
      </c>
      <c r="K92" s="5">
        <f>deaths!K92-deaths!J92</f>
        <v>0</v>
      </c>
      <c r="L92" s="5">
        <f>deaths!L92-deaths!K92</f>
        <v>0</v>
      </c>
      <c r="M92" s="5">
        <f>deaths!M92-deaths!L92</f>
        <v>0</v>
      </c>
      <c r="N92" s="5">
        <f>deaths!N92-deaths!M92</f>
        <v>0</v>
      </c>
      <c r="O92" s="5">
        <f>deaths!O92-deaths!N92</f>
        <v>0</v>
      </c>
      <c r="P92" s="5">
        <f>deaths!P92-deaths!O92</f>
        <v>0</v>
      </c>
      <c r="Q92" s="5">
        <f>deaths!Q92-deaths!P92</f>
        <v>0</v>
      </c>
      <c r="R92" s="5">
        <f>deaths!R92-deaths!Q92</f>
        <v>0</v>
      </c>
      <c r="S92" s="5">
        <f>deaths!S92-deaths!R92</f>
        <v>0</v>
      </c>
      <c r="T92" s="5">
        <f>deaths!T92-deaths!S92</f>
        <v>0</v>
      </c>
      <c r="U92" s="5">
        <f>deaths!U92-deaths!T92</f>
        <v>0</v>
      </c>
      <c r="V92" s="5">
        <f>deaths!V92-deaths!U92</f>
        <v>0</v>
      </c>
      <c r="W92" s="5">
        <f>deaths!W92-deaths!V92</f>
        <v>0</v>
      </c>
      <c r="X92" s="5">
        <f>deaths!X92-deaths!W92</f>
        <v>0</v>
      </c>
      <c r="Y92" s="5">
        <f>deaths!Y92-deaths!X92</f>
        <v>0</v>
      </c>
      <c r="Z92" s="5">
        <f>deaths!Z92-deaths!Y92</f>
        <v>0</v>
      </c>
      <c r="AA92" s="5">
        <f>deaths!AA92-deaths!Z92</f>
        <v>0</v>
      </c>
      <c r="AB92" s="5">
        <f>deaths!AB92-deaths!AA92</f>
        <v>0</v>
      </c>
      <c r="AC92" s="5">
        <f>deaths!AC92-deaths!AB92</f>
        <v>0</v>
      </c>
      <c r="AD92" s="5">
        <f>deaths!AD92-deaths!AC92</f>
        <v>0</v>
      </c>
      <c r="AE92" s="5">
        <f>deaths!AE92-deaths!AD92</f>
        <v>0</v>
      </c>
      <c r="AF92" s="5">
        <f>deaths!AF92-deaths!AE92</f>
        <v>0</v>
      </c>
      <c r="AG92" s="5">
        <f>deaths!AG92-deaths!AF92</f>
        <v>0</v>
      </c>
      <c r="AH92" s="5">
        <f>deaths!AH92-deaths!AG92</f>
        <v>0</v>
      </c>
      <c r="AI92" s="5">
        <f>deaths!AI92-deaths!AH92</f>
        <v>0</v>
      </c>
      <c r="AJ92" s="5">
        <f>deaths!AJ92-deaths!AI92</f>
        <v>0</v>
      </c>
      <c r="AK92" s="5">
        <f>deaths!AK92-deaths!AJ92</f>
        <v>0</v>
      </c>
      <c r="AL92" s="5">
        <f>deaths!AL92-deaths!AK92</f>
        <v>0</v>
      </c>
      <c r="AM92" s="5">
        <f>deaths!AM92-deaths!AL92</f>
        <v>0</v>
      </c>
      <c r="AN92" s="5">
        <f>deaths!AN92-deaths!AM92</f>
        <v>0</v>
      </c>
      <c r="AO92" s="5">
        <f>deaths!AO92-deaths!AN92</f>
        <v>0</v>
      </c>
      <c r="AP92" s="5">
        <f>deaths!AP92-deaths!AO92</f>
        <v>0</v>
      </c>
      <c r="AQ92" s="5">
        <f>deaths!AQ92-deaths!AP92</f>
        <v>0</v>
      </c>
      <c r="AR92" s="5">
        <f>deaths!AR92-deaths!AQ92</f>
        <v>0</v>
      </c>
      <c r="AS92" s="5">
        <f>deaths!AS92-deaths!AR92</f>
        <v>0</v>
      </c>
      <c r="AT92" s="5">
        <f>deaths!AT92-deaths!AS92</f>
        <v>0</v>
      </c>
      <c r="AU92" s="5">
        <f>deaths!AU92-deaths!AT92</f>
        <v>0</v>
      </c>
      <c r="AV92" s="5">
        <f>deaths!AV92-deaths!AU92</f>
        <v>0</v>
      </c>
      <c r="AW92" s="5">
        <f>deaths!AW92-deaths!AV92</f>
        <v>0</v>
      </c>
      <c r="AX92" s="5">
        <f>deaths!AX92-deaths!AW92</f>
        <v>0</v>
      </c>
      <c r="AY92" s="5">
        <f>deaths!AY92-deaths!AX92</f>
        <v>0</v>
      </c>
      <c r="AZ92" s="5">
        <f>deaths!AZ92-deaths!AY92</f>
        <v>0</v>
      </c>
      <c r="BA92" s="5">
        <f>deaths!BA92-deaths!AZ92</f>
        <v>0</v>
      </c>
      <c r="BB92" s="5">
        <f>deaths!BB92-deaths!BA92</f>
        <v>0</v>
      </c>
      <c r="BC92" s="5">
        <f>deaths!BC92-deaths!BB92</f>
        <v>0</v>
      </c>
      <c r="BD92" s="5">
        <f>deaths!BD92-deaths!BC92</f>
        <v>0</v>
      </c>
      <c r="BE92" s="5">
        <f>deaths!BE92-deaths!BD92</f>
        <v>0</v>
      </c>
      <c r="BF92" s="5">
        <f>deaths!BF92-deaths!BE92</f>
        <v>0</v>
      </c>
      <c r="BG92" s="5">
        <f>deaths!BG92-deaths!BF92</f>
        <v>0</v>
      </c>
      <c r="BH92" s="5">
        <f>deaths!BH92-deaths!BG92</f>
        <v>0</v>
      </c>
      <c r="BI92" s="5">
        <f>deaths!BI92-deaths!BH92</f>
        <v>0</v>
      </c>
      <c r="BJ92" s="5">
        <f>deaths!BJ92-deaths!BI92</f>
        <v>0</v>
      </c>
      <c r="BK92" s="5">
        <f>deaths!BK92-deaths!BJ92</f>
        <v>0</v>
      </c>
      <c r="BL92" s="5">
        <f>deaths!BL92-deaths!BK92</f>
        <v>0</v>
      </c>
      <c r="BM92" s="5">
        <f>deaths!BM92-deaths!BL92</f>
        <v>1</v>
      </c>
      <c r="BN92" s="5">
        <f>deaths!BN92-deaths!BM92</f>
        <v>0</v>
      </c>
      <c r="BO92" s="5">
        <f>deaths!BO92-deaths!BN92</f>
        <v>2</v>
      </c>
      <c r="BP92" s="5">
        <f>deaths!BP92-deaths!BO92</f>
        <v>0</v>
      </c>
      <c r="BQ92" s="5">
        <f>deaths!BQ92-deaths!BP92</f>
        <v>0</v>
      </c>
      <c r="BR92" s="5">
        <f>deaths!BR92-deaths!BQ92</f>
        <v>2</v>
      </c>
      <c r="BS92" s="5">
        <f>deaths!BS92-deaths!BR92</f>
        <v>0</v>
      </c>
      <c r="BT92" s="5">
        <f>deaths!BT92-deaths!BS92</f>
        <v>0</v>
      </c>
      <c r="BU92" s="5">
        <f>deaths!BU92-deaths!BT92</f>
        <v>2</v>
      </c>
      <c r="BV92" s="5">
        <f>deaths!BV92-deaths!BU92</f>
        <v>1</v>
      </c>
      <c r="BW92" s="5">
        <f>deaths!BW92-deaths!BV92</f>
        <v>1</v>
      </c>
      <c r="BX92" s="5">
        <f>deaths!BX92-deaths!BW92</f>
        <v>1</v>
      </c>
      <c r="BY92" s="5">
        <f>deaths!BY92-deaths!BX92</f>
        <v>1</v>
      </c>
      <c r="BZ92" s="1">
        <f>deaths!BZ92</f>
        <v>11</v>
      </c>
      <c r="CA92" s="1">
        <f>deaths!CA92</f>
        <v>9</v>
      </c>
      <c r="CB92" s="1">
        <f>deaths!CB92</f>
        <v>9</v>
      </c>
      <c r="CC92" s="1" t="str">
        <f>deaths!CC92</f>
        <v/>
      </c>
    </row>
    <row r="93">
      <c r="B93" s="1" t="str">
        <f>deaths!B93</f>
        <v>Czechia</v>
      </c>
      <c r="C93" s="4">
        <f>deaths!C93</f>
        <v>49.8175</v>
      </c>
      <c r="D93" s="4">
        <f>deaths!D93</f>
        <v>15.473</v>
      </c>
      <c r="E93" s="5">
        <f>deaths!E93</f>
        <v>0</v>
      </c>
      <c r="F93" s="5">
        <f>deaths!F93-deaths!E93</f>
        <v>0</v>
      </c>
      <c r="G93" s="5">
        <f>deaths!G93-deaths!F93</f>
        <v>0</v>
      </c>
      <c r="H93" s="5">
        <f>deaths!H93-deaths!G93</f>
        <v>0</v>
      </c>
      <c r="I93" s="5">
        <f>deaths!I93-deaths!H93</f>
        <v>0</v>
      </c>
      <c r="J93" s="5">
        <f>deaths!J93-deaths!I93</f>
        <v>0</v>
      </c>
      <c r="K93" s="5">
        <f>deaths!K93-deaths!J93</f>
        <v>0</v>
      </c>
      <c r="L93" s="5">
        <f>deaths!L93-deaths!K93</f>
        <v>0</v>
      </c>
      <c r="M93" s="5">
        <f>deaths!M93-deaths!L93</f>
        <v>0</v>
      </c>
      <c r="N93" s="5">
        <f>deaths!N93-deaths!M93</f>
        <v>0</v>
      </c>
      <c r="O93" s="5">
        <f>deaths!O93-deaths!N93</f>
        <v>0</v>
      </c>
      <c r="P93" s="5">
        <f>deaths!P93-deaths!O93</f>
        <v>0</v>
      </c>
      <c r="Q93" s="5">
        <f>deaths!Q93-deaths!P93</f>
        <v>0</v>
      </c>
      <c r="R93" s="5">
        <f>deaths!R93-deaths!Q93</f>
        <v>0</v>
      </c>
      <c r="S93" s="5">
        <f>deaths!S93-deaths!R93</f>
        <v>0</v>
      </c>
      <c r="T93" s="5">
        <f>deaths!T93-deaths!S93</f>
        <v>0</v>
      </c>
      <c r="U93" s="5">
        <f>deaths!U93-deaths!T93</f>
        <v>0</v>
      </c>
      <c r="V93" s="5">
        <f>deaths!V93-deaths!U93</f>
        <v>0</v>
      </c>
      <c r="W93" s="5">
        <f>deaths!W93-deaths!V93</f>
        <v>0</v>
      </c>
      <c r="X93" s="5">
        <f>deaths!X93-deaths!W93</f>
        <v>0</v>
      </c>
      <c r="Y93" s="5">
        <f>deaths!Y93-deaths!X93</f>
        <v>0</v>
      </c>
      <c r="Z93" s="5">
        <f>deaths!Z93-deaths!Y93</f>
        <v>0</v>
      </c>
      <c r="AA93" s="5">
        <f>deaths!AA93-deaths!Z93</f>
        <v>0</v>
      </c>
      <c r="AB93" s="5">
        <f>deaths!AB93-deaths!AA93</f>
        <v>0</v>
      </c>
      <c r="AC93" s="5">
        <f>deaths!AC93-deaths!AB93</f>
        <v>0</v>
      </c>
      <c r="AD93" s="5">
        <f>deaths!AD93-deaths!AC93</f>
        <v>0</v>
      </c>
      <c r="AE93" s="5">
        <f>deaths!AE93-deaths!AD93</f>
        <v>0</v>
      </c>
      <c r="AF93" s="5">
        <f>deaths!AF93-deaths!AE93</f>
        <v>0</v>
      </c>
      <c r="AG93" s="5">
        <f>deaths!AG93-deaths!AF93</f>
        <v>0</v>
      </c>
      <c r="AH93" s="5">
        <f>deaths!AH93-deaths!AG93</f>
        <v>0</v>
      </c>
      <c r="AI93" s="5">
        <f>deaths!AI93-deaths!AH93</f>
        <v>0</v>
      </c>
      <c r="AJ93" s="5">
        <f>deaths!AJ93-deaths!AI93</f>
        <v>0</v>
      </c>
      <c r="AK93" s="5">
        <f>deaths!AK93-deaths!AJ93</f>
        <v>0</v>
      </c>
      <c r="AL93" s="5">
        <f>deaths!AL93-deaths!AK93</f>
        <v>0</v>
      </c>
      <c r="AM93" s="5">
        <f>deaths!AM93-deaths!AL93</f>
        <v>0</v>
      </c>
      <c r="AN93" s="5">
        <f>deaths!AN93-deaths!AM93</f>
        <v>0</v>
      </c>
      <c r="AO93" s="5">
        <f>deaths!AO93-deaths!AN93</f>
        <v>0</v>
      </c>
      <c r="AP93" s="5">
        <f>deaths!AP93-deaths!AO93</f>
        <v>0</v>
      </c>
      <c r="AQ93" s="5">
        <f>deaths!AQ93-deaths!AP93</f>
        <v>0</v>
      </c>
      <c r="AR93" s="5">
        <f>deaths!AR93-deaths!AQ93</f>
        <v>0</v>
      </c>
      <c r="AS93" s="5">
        <f>deaths!AS93-deaths!AR93</f>
        <v>0</v>
      </c>
      <c r="AT93" s="5">
        <f>deaths!AT93-deaths!AS93</f>
        <v>0</v>
      </c>
      <c r="AU93" s="5">
        <f>deaths!AU93-deaths!AT93</f>
        <v>0</v>
      </c>
      <c r="AV93" s="5">
        <f>deaths!AV93-deaths!AU93</f>
        <v>0</v>
      </c>
      <c r="AW93" s="5">
        <f>deaths!AW93-deaths!AV93</f>
        <v>0</v>
      </c>
      <c r="AX93" s="5">
        <f>deaths!AX93-deaths!AW93</f>
        <v>0</v>
      </c>
      <c r="AY93" s="5">
        <f>deaths!AY93-deaths!AX93</f>
        <v>0</v>
      </c>
      <c r="AZ93" s="5">
        <f>deaths!AZ93-deaths!AY93</f>
        <v>0</v>
      </c>
      <c r="BA93" s="5">
        <f>deaths!BA93-deaths!AZ93</f>
        <v>0</v>
      </c>
      <c r="BB93" s="5">
        <f>deaths!BB93-deaths!BA93</f>
        <v>0</v>
      </c>
      <c r="BC93" s="5">
        <f>deaths!BC93-deaths!BB93</f>
        <v>0</v>
      </c>
      <c r="BD93" s="5">
        <f>deaths!BD93-deaths!BC93</f>
        <v>0</v>
      </c>
      <c r="BE93" s="5">
        <f>deaths!BE93-deaths!BD93</f>
        <v>0</v>
      </c>
      <c r="BF93" s="5">
        <f>deaths!BF93-deaths!BE93</f>
        <v>0</v>
      </c>
      <c r="BG93" s="5">
        <f>deaths!BG93-deaths!BF93</f>
        <v>0</v>
      </c>
      <c r="BH93" s="5">
        <f>deaths!BH93-deaths!BG93</f>
        <v>0</v>
      </c>
      <c r="BI93" s="5">
        <f>deaths!BI93-deaths!BH93</f>
        <v>0</v>
      </c>
      <c r="BJ93" s="5">
        <f>deaths!BJ93-deaths!BI93</f>
        <v>0</v>
      </c>
      <c r="BK93" s="5">
        <f>deaths!BK93-deaths!BJ93</f>
        <v>0</v>
      </c>
      <c r="BL93" s="5">
        <f>deaths!BL93-deaths!BK93</f>
        <v>0</v>
      </c>
      <c r="BM93" s="5">
        <f>deaths!BM93-deaths!BL93</f>
        <v>1</v>
      </c>
      <c r="BN93" s="5">
        <f>deaths!BN93-deaths!BM93</f>
        <v>0</v>
      </c>
      <c r="BO93" s="5">
        <f>deaths!BO93-deaths!BN93</f>
        <v>2</v>
      </c>
      <c r="BP93" s="5">
        <f>deaths!BP93-deaths!BO93</f>
        <v>3</v>
      </c>
      <c r="BQ93" s="5">
        <f>deaths!BQ93-deaths!BP93</f>
        <v>3</v>
      </c>
      <c r="BR93" s="5">
        <f>deaths!BR93-deaths!BQ93</f>
        <v>0</v>
      </c>
      <c r="BS93" s="5">
        <f>deaths!BS93-deaths!BR93</f>
        <v>2</v>
      </c>
      <c r="BT93" s="5">
        <f>deaths!BT93-deaths!BS93</f>
        <v>5</v>
      </c>
      <c r="BU93" s="5">
        <f>deaths!BU93-deaths!BT93</f>
        <v>7</v>
      </c>
      <c r="BV93" s="5">
        <f>deaths!BV93-deaths!BU93</f>
        <v>8</v>
      </c>
      <c r="BW93" s="5">
        <f>deaths!BW93-deaths!BV93</f>
        <v>8</v>
      </c>
      <c r="BX93" s="5">
        <f>deaths!BX93-deaths!BW93</f>
        <v>5</v>
      </c>
      <c r="BY93" s="5">
        <f>deaths!BY93-deaths!BX93</f>
        <v>9</v>
      </c>
      <c r="BZ93" s="1">
        <f>deaths!BZ93</f>
        <v>59</v>
      </c>
      <c r="CA93" s="1">
        <f>deaths!CA93</f>
        <v>67</v>
      </c>
      <c r="CB93" s="1">
        <f>deaths!CB93</f>
        <v>78</v>
      </c>
      <c r="CC93" s="1" t="str">
        <f>deaths!CC93</f>
        <v/>
      </c>
    </row>
    <row r="94">
      <c r="B94" s="1" t="str">
        <f>deaths!B94</f>
        <v>Denmark</v>
      </c>
      <c r="C94" s="4">
        <f>deaths!C94</f>
        <v>61.8926</v>
      </c>
      <c r="D94" s="4">
        <f>deaths!D94</f>
        <v>-6.9118</v>
      </c>
      <c r="E94" s="5">
        <f>deaths!E94</f>
        <v>0</v>
      </c>
      <c r="F94" s="5">
        <f>deaths!F94-deaths!E94</f>
        <v>0</v>
      </c>
      <c r="G94" s="5">
        <f>deaths!G94-deaths!F94</f>
        <v>0</v>
      </c>
      <c r="H94" s="5">
        <f>deaths!H94-deaths!G94</f>
        <v>0</v>
      </c>
      <c r="I94" s="5">
        <f>deaths!I94-deaths!H94</f>
        <v>0</v>
      </c>
      <c r="J94" s="5">
        <f>deaths!J94-deaths!I94</f>
        <v>0</v>
      </c>
      <c r="K94" s="5">
        <f>deaths!K94-deaths!J94</f>
        <v>0</v>
      </c>
      <c r="L94" s="5">
        <f>deaths!L94-deaths!K94</f>
        <v>0</v>
      </c>
      <c r="M94" s="5">
        <f>deaths!M94-deaths!L94</f>
        <v>0</v>
      </c>
      <c r="N94" s="5">
        <f>deaths!N94-deaths!M94</f>
        <v>0</v>
      </c>
      <c r="O94" s="5">
        <f>deaths!O94-deaths!N94</f>
        <v>0</v>
      </c>
      <c r="P94" s="5">
        <f>deaths!P94-deaths!O94</f>
        <v>0</v>
      </c>
      <c r="Q94" s="5">
        <f>deaths!Q94-deaths!P94</f>
        <v>0</v>
      </c>
      <c r="R94" s="5">
        <f>deaths!R94-deaths!Q94</f>
        <v>0</v>
      </c>
      <c r="S94" s="5">
        <f>deaths!S94-deaths!R94</f>
        <v>0</v>
      </c>
      <c r="T94" s="5">
        <f>deaths!T94-deaths!S94</f>
        <v>0</v>
      </c>
      <c r="U94" s="5">
        <f>deaths!U94-deaths!T94</f>
        <v>0</v>
      </c>
      <c r="V94" s="5">
        <f>deaths!V94-deaths!U94</f>
        <v>0</v>
      </c>
      <c r="W94" s="5">
        <f>deaths!W94-deaths!V94</f>
        <v>0</v>
      </c>
      <c r="X94" s="5">
        <f>deaths!X94-deaths!W94</f>
        <v>0</v>
      </c>
      <c r="Y94" s="5">
        <f>deaths!Y94-deaths!X94</f>
        <v>0</v>
      </c>
      <c r="Z94" s="5">
        <f>deaths!Z94-deaths!Y94</f>
        <v>0</v>
      </c>
      <c r="AA94" s="5">
        <f>deaths!AA94-deaths!Z94</f>
        <v>0</v>
      </c>
      <c r="AB94" s="5">
        <f>deaths!AB94-deaths!AA94</f>
        <v>0</v>
      </c>
      <c r="AC94" s="5">
        <f>deaths!AC94-deaths!AB94</f>
        <v>0</v>
      </c>
      <c r="AD94" s="5">
        <f>deaths!AD94-deaths!AC94</f>
        <v>0</v>
      </c>
      <c r="AE94" s="5">
        <f>deaths!AE94-deaths!AD94</f>
        <v>0</v>
      </c>
      <c r="AF94" s="5">
        <f>deaths!AF94-deaths!AE94</f>
        <v>0</v>
      </c>
      <c r="AG94" s="5">
        <f>deaths!AG94-deaths!AF94</f>
        <v>0</v>
      </c>
      <c r="AH94" s="5">
        <f>deaths!AH94-deaths!AG94</f>
        <v>0</v>
      </c>
      <c r="AI94" s="5">
        <f>deaths!AI94-deaths!AH94</f>
        <v>0</v>
      </c>
      <c r="AJ94" s="5">
        <f>deaths!AJ94-deaths!AI94</f>
        <v>0</v>
      </c>
      <c r="AK94" s="5">
        <f>deaths!AK94-deaths!AJ94</f>
        <v>0</v>
      </c>
      <c r="AL94" s="5">
        <f>deaths!AL94-deaths!AK94</f>
        <v>0</v>
      </c>
      <c r="AM94" s="5">
        <f>deaths!AM94-deaths!AL94</f>
        <v>0</v>
      </c>
      <c r="AN94" s="5">
        <f>deaths!AN94-deaths!AM94</f>
        <v>0</v>
      </c>
      <c r="AO94" s="5">
        <f>deaths!AO94-deaths!AN94</f>
        <v>0</v>
      </c>
      <c r="AP94" s="5">
        <f>deaths!AP94-deaths!AO94</f>
        <v>0</v>
      </c>
      <c r="AQ94" s="5">
        <f>deaths!AQ94-deaths!AP94</f>
        <v>0</v>
      </c>
      <c r="AR94" s="5">
        <f>deaths!AR94-deaths!AQ94</f>
        <v>0</v>
      </c>
      <c r="AS94" s="5">
        <f>deaths!AS94-deaths!AR94</f>
        <v>0</v>
      </c>
      <c r="AT94" s="5">
        <f>deaths!AT94-deaths!AS94</f>
        <v>0</v>
      </c>
      <c r="AU94" s="5">
        <f>deaths!AU94-deaths!AT94</f>
        <v>0</v>
      </c>
      <c r="AV94" s="5">
        <f>deaths!AV94-deaths!AU94</f>
        <v>0</v>
      </c>
      <c r="AW94" s="5">
        <f>deaths!AW94-deaths!AV94</f>
        <v>0</v>
      </c>
      <c r="AX94" s="5">
        <f>deaths!AX94-deaths!AW94</f>
        <v>0</v>
      </c>
      <c r="AY94" s="5">
        <f>deaths!AY94-deaths!AX94</f>
        <v>0</v>
      </c>
      <c r="AZ94" s="5">
        <f>deaths!AZ94-deaths!AY94</f>
        <v>0</v>
      </c>
      <c r="BA94" s="5">
        <f>deaths!BA94-deaths!AZ94</f>
        <v>0</v>
      </c>
      <c r="BB94" s="5">
        <f>deaths!BB94-deaths!BA94</f>
        <v>0</v>
      </c>
      <c r="BC94" s="5">
        <f>deaths!BC94-deaths!BB94</f>
        <v>0</v>
      </c>
      <c r="BD94" s="5">
        <f>deaths!BD94-deaths!BC94</f>
        <v>0</v>
      </c>
      <c r="BE94" s="5">
        <f>deaths!BE94-deaths!BD94</f>
        <v>0</v>
      </c>
      <c r="BF94" s="5">
        <f>deaths!BF94-deaths!BE94</f>
        <v>0</v>
      </c>
      <c r="BG94" s="5">
        <f>deaths!BG94-deaths!BF94</f>
        <v>0</v>
      </c>
      <c r="BH94" s="5">
        <f>deaths!BH94-deaths!BG94</f>
        <v>0</v>
      </c>
      <c r="BI94" s="5">
        <f>deaths!BI94-deaths!BH94</f>
        <v>0</v>
      </c>
      <c r="BJ94" s="5">
        <f>deaths!BJ94-deaths!BI94</f>
        <v>0</v>
      </c>
      <c r="BK94" s="5">
        <f>deaths!BK94-deaths!BJ94</f>
        <v>0</v>
      </c>
      <c r="BL94" s="5">
        <f>deaths!BL94-deaths!BK94</f>
        <v>0</v>
      </c>
      <c r="BM94" s="5">
        <f>deaths!BM94-deaths!BL94</f>
        <v>0</v>
      </c>
      <c r="BN94" s="5">
        <f>deaths!BN94-deaths!BM94</f>
        <v>0</v>
      </c>
      <c r="BO94" s="5">
        <f>deaths!BO94-deaths!BN94</f>
        <v>0</v>
      </c>
      <c r="BP94" s="5">
        <f>deaths!BP94-deaths!BO94</f>
        <v>0</v>
      </c>
      <c r="BQ94" s="5">
        <f>deaths!BQ94-deaths!BP94</f>
        <v>0</v>
      </c>
      <c r="BR94" s="5">
        <f>deaths!BR94-deaths!BQ94</f>
        <v>0</v>
      </c>
      <c r="BS94" s="5">
        <f>deaths!BS94-deaths!BR94</f>
        <v>0</v>
      </c>
      <c r="BT94" s="5">
        <f>deaths!BT94-deaths!BS94</f>
        <v>0</v>
      </c>
      <c r="BU94" s="5">
        <f>deaths!BU94-deaths!BT94</f>
        <v>0</v>
      </c>
      <c r="BV94" s="5">
        <f>deaths!BV94-deaths!BU94</f>
        <v>0</v>
      </c>
      <c r="BW94" s="5">
        <f>deaths!BW94-deaths!BV94</f>
        <v>0</v>
      </c>
      <c r="BX94" s="5">
        <f>deaths!BX94-deaths!BW94</f>
        <v>0</v>
      </c>
      <c r="BY94" s="5">
        <f>deaths!BY94-deaths!BX94</f>
        <v>0</v>
      </c>
      <c r="BZ94" s="1">
        <f>deaths!BZ94</f>
        <v>0</v>
      </c>
      <c r="CA94" s="1">
        <f>deaths!CA94</f>
        <v>0</v>
      </c>
      <c r="CB94" s="1">
        <f>deaths!CB94</f>
        <v>0</v>
      </c>
      <c r="CC94" s="1" t="str">
        <f>deaths!CC94</f>
        <v/>
      </c>
    </row>
    <row r="95">
      <c r="B95" s="1" t="str">
        <f>deaths!B95</f>
        <v>Denmark</v>
      </c>
      <c r="C95" s="4">
        <f>deaths!C95</f>
        <v>71.7069</v>
      </c>
      <c r="D95" s="4">
        <f>deaths!D95</f>
        <v>-42.6043</v>
      </c>
      <c r="E95" s="5">
        <f>deaths!E95</f>
        <v>0</v>
      </c>
      <c r="F95" s="5">
        <f>deaths!F95-deaths!E95</f>
        <v>0</v>
      </c>
      <c r="G95" s="5">
        <f>deaths!G95-deaths!F95</f>
        <v>0</v>
      </c>
      <c r="H95" s="5">
        <f>deaths!H95-deaths!G95</f>
        <v>0</v>
      </c>
      <c r="I95" s="5">
        <f>deaths!I95-deaths!H95</f>
        <v>0</v>
      </c>
      <c r="J95" s="5">
        <f>deaths!J95-deaths!I95</f>
        <v>0</v>
      </c>
      <c r="K95" s="5">
        <f>deaths!K95-deaths!J95</f>
        <v>0</v>
      </c>
      <c r="L95" s="5">
        <f>deaths!L95-deaths!K95</f>
        <v>0</v>
      </c>
      <c r="M95" s="5">
        <f>deaths!M95-deaths!L95</f>
        <v>0</v>
      </c>
      <c r="N95" s="5">
        <f>deaths!N95-deaths!M95</f>
        <v>0</v>
      </c>
      <c r="O95" s="5">
        <f>deaths!O95-deaths!N95</f>
        <v>0</v>
      </c>
      <c r="P95" s="5">
        <f>deaths!P95-deaths!O95</f>
        <v>0</v>
      </c>
      <c r="Q95" s="5">
        <f>deaths!Q95-deaths!P95</f>
        <v>0</v>
      </c>
      <c r="R95" s="5">
        <f>deaths!R95-deaths!Q95</f>
        <v>0</v>
      </c>
      <c r="S95" s="5">
        <f>deaths!S95-deaths!R95</f>
        <v>0</v>
      </c>
      <c r="T95" s="5">
        <f>deaths!T95-deaths!S95</f>
        <v>0</v>
      </c>
      <c r="U95" s="5">
        <f>deaths!U95-deaths!T95</f>
        <v>0</v>
      </c>
      <c r="V95" s="5">
        <f>deaths!V95-deaths!U95</f>
        <v>0</v>
      </c>
      <c r="W95" s="5">
        <f>deaths!W95-deaths!V95</f>
        <v>0</v>
      </c>
      <c r="X95" s="5">
        <f>deaths!X95-deaths!W95</f>
        <v>0</v>
      </c>
      <c r="Y95" s="5">
        <f>deaths!Y95-deaths!X95</f>
        <v>0</v>
      </c>
      <c r="Z95" s="5">
        <f>deaths!Z95-deaths!Y95</f>
        <v>0</v>
      </c>
      <c r="AA95" s="5">
        <f>deaths!AA95-deaths!Z95</f>
        <v>0</v>
      </c>
      <c r="AB95" s="5">
        <f>deaths!AB95-deaths!AA95</f>
        <v>0</v>
      </c>
      <c r="AC95" s="5">
        <f>deaths!AC95-deaths!AB95</f>
        <v>0</v>
      </c>
      <c r="AD95" s="5">
        <f>deaths!AD95-deaths!AC95</f>
        <v>0</v>
      </c>
      <c r="AE95" s="5">
        <f>deaths!AE95-deaths!AD95</f>
        <v>0</v>
      </c>
      <c r="AF95" s="5">
        <f>deaths!AF95-deaths!AE95</f>
        <v>0</v>
      </c>
      <c r="AG95" s="5">
        <f>deaths!AG95-deaths!AF95</f>
        <v>0</v>
      </c>
      <c r="AH95" s="5">
        <f>deaths!AH95-deaths!AG95</f>
        <v>0</v>
      </c>
      <c r="AI95" s="5">
        <f>deaths!AI95-deaths!AH95</f>
        <v>0</v>
      </c>
      <c r="AJ95" s="5">
        <f>deaths!AJ95-deaths!AI95</f>
        <v>0</v>
      </c>
      <c r="AK95" s="5">
        <f>deaths!AK95-deaths!AJ95</f>
        <v>0</v>
      </c>
      <c r="AL95" s="5">
        <f>deaths!AL95-deaths!AK95</f>
        <v>0</v>
      </c>
      <c r="AM95" s="5">
        <f>deaths!AM95-deaths!AL95</f>
        <v>0</v>
      </c>
      <c r="AN95" s="5">
        <f>deaths!AN95-deaths!AM95</f>
        <v>0</v>
      </c>
      <c r="AO95" s="5">
        <f>deaths!AO95-deaths!AN95</f>
        <v>0</v>
      </c>
      <c r="AP95" s="5">
        <f>deaths!AP95-deaths!AO95</f>
        <v>0</v>
      </c>
      <c r="AQ95" s="5">
        <f>deaths!AQ95-deaths!AP95</f>
        <v>0</v>
      </c>
      <c r="AR95" s="5">
        <f>deaths!AR95-deaths!AQ95</f>
        <v>0</v>
      </c>
      <c r="AS95" s="5">
        <f>deaths!AS95-deaths!AR95</f>
        <v>0</v>
      </c>
      <c r="AT95" s="5">
        <f>deaths!AT95-deaths!AS95</f>
        <v>0</v>
      </c>
      <c r="AU95" s="5">
        <f>deaths!AU95-deaths!AT95</f>
        <v>0</v>
      </c>
      <c r="AV95" s="5">
        <f>deaths!AV95-deaths!AU95</f>
        <v>0</v>
      </c>
      <c r="AW95" s="5">
        <f>deaths!AW95-deaths!AV95</f>
        <v>0</v>
      </c>
      <c r="AX95" s="5">
        <f>deaths!AX95-deaths!AW95</f>
        <v>0</v>
      </c>
      <c r="AY95" s="5">
        <f>deaths!AY95-deaths!AX95</f>
        <v>0</v>
      </c>
      <c r="AZ95" s="5">
        <f>deaths!AZ95-deaths!AY95</f>
        <v>0</v>
      </c>
      <c r="BA95" s="5">
        <f>deaths!BA95-deaths!AZ95</f>
        <v>0</v>
      </c>
      <c r="BB95" s="5">
        <f>deaths!BB95-deaths!BA95</f>
        <v>0</v>
      </c>
      <c r="BC95" s="5">
        <f>deaths!BC95-deaths!BB95</f>
        <v>0</v>
      </c>
      <c r="BD95" s="5">
        <f>deaths!BD95-deaths!BC95</f>
        <v>0</v>
      </c>
      <c r="BE95" s="5">
        <f>deaths!BE95-deaths!BD95</f>
        <v>0</v>
      </c>
      <c r="BF95" s="5">
        <f>deaths!BF95-deaths!BE95</f>
        <v>0</v>
      </c>
      <c r="BG95" s="5">
        <f>deaths!BG95-deaths!BF95</f>
        <v>0</v>
      </c>
      <c r="BH95" s="5">
        <f>deaths!BH95-deaths!BG95</f>
        <v>0</v>
      </c>
      <c r="BI95" s="5">
        <f>deaths!BI95-deaths!BH95</f>
        <v>0</v>
      </c>
      <c r="BJ95" s="5">
        <f>deaths!BJ95-deaths!BI95</f>
        <v>0</v>
      </c>
      <c r="BK95" s="5">
        <f>deaths!BK95-deaths!BJ95</f>
        <v>0</v>
      </c>
      <c r="BL95" s="5">
        <f>deaths!BL95-deaths!BK95</f>
        <v>0</v>
      </c>
      <c r="BM95" s="5">
        <f>deaths!BM95-deaths!BL95</f>
        <v>0</v>
      </c>
      <c r="BN95" s="5">
        <f>deaths!BN95-deaths!BM95</f>
        <v>0</v>
      </c>
      <c r="BO95" s="5">
        <f>deaths!BO95-deaths!BN95</f>
        <v>0</v>
      </c>
      <c r="BP95" s="5">
        <f>deaths!BP95-deaths!BO95</f>
        <v>0</v>
      </c>
      <c r="BQ95" s="5">
        <f>deaths!BQ95-deaths!BP95</f>
        <v>0</v>
      </c>
      <c r="BR95" s="5">
        <f>deaths!BR95-deaths!BQ95</f>
        <v>0</v>
      </c>
      <c r="BS95" s="5">
        <f>deaths!BS95-deaths!BR95</f>
        <v>0</v>
      </c>
      <c r="BT95" s="5">
        <f>deaths!BT95-deaths!BS95</f>
        <v>0</v>
      </c>
      <c r="BU95" s="5">
        <f>deaths!BU95-deaths!BT95</f>
        <v>0</v>
      </c>
      <c r="BV95" s="5">
        <f>deaths!BV95-deaths!BU95</f>
        <v>0</v>
      </c>
      <c r="BW95" s="5">
        <f>deaths!BW95-deaths!BV95</f>
        <v>0</v>
      </c>
      <c r="BX95" s="5">
        <f>deaths!BX95-deaths!BW95</f>
        <v>0</v>
      </c>
      <c r="BY95" s="5">
        <f>deaths!BY95-deaths!BX95</f>
        <v>0</v>
      </c>
      <c r="BZ95" s="1">
        <f>deaths!BZ95</f>
        <v>0</v>
      </c>
      <c r="CA95" s="1">
        <f>deaths!CA95</f>
        <v>0</v>
      </c>
      <c r="CB95" s="1">
        <f>deaths!CB95</f>
        <v>0</v>
      </c>
      <c r="CC95" s="1" t="str">
        <f>deaths!CC95</f>
        <v/>
      </c>
    </row>
    <row r="96">
      <c r="B96" s="1" t="str">
        <f>deaths!B96</f>
        <v>Denmark</v>
      </c>
      <c r="C96" s="4">
        <f>deaths!C96</f>
        <v>56.2639</v>
      </c>
      <c r="D96" s="4">
        <f>deaths!D96</f>
        <v>9.5018</v>
      </c>
      <c r="E96" s="5">
        <f>deaths!E96</f>
        <v>0</v>
      </c>
      <c r="F96" s="5">
        <f>deaths!F96-deaths!E96</f>
        <v>0</v>
      </c>
      <c r="G96" s="5">
        <f>deaths!G96-deaths!F96</f>
        <v>0</v>
      </c>
      <c r="H96" s="5">
        <f>deaths!H96-deaths!G96</f>
        <v>0</v>
      </c>
      <c r="I96" s="5">
        <f>deaths!I96-deaths!H96</f>
        <v>0</v>
      </c>
      <c r="J96" s="5">
        <f>deaths!J96-deaths!I96</f>
        <v>0</v>
      </c>
      <c r="K96" s="5">
        <f>deaths!K96-deaths!J96</f>
        <v>0</v>
      </c>
      <c r="L96" s="5">
        <f>deaths!L96-deaths!K96</f>
        <v>0</v>
      </c>
      <c r="M96" s="5">
        <f>deaths!M96-deaths!L96</f>
        <v>0</v>
      </c>
      <c r="N96" s="5">
        <f>deaths!N96-deaths!M96</f>
        <v>0</v>
      </c>
      <c r="O96" s="5">
        <f>deaths!O96-deaths!N96</f>
        <v>0</v>
      </c>
      <c r="P96" s="5">
        <f>deaths!P96-deaths!O96</f>
        <v>0</v>
      </c>
      <c r="Q96" s="5">
        <f>deaths!Q96-deaths!P96</f>
        <v>0</v>
      </c>
      <c r="R96" s="5">
        <f>deaths!R96-deaths!Q96</f>
        <v>0</v>
      </c>
      <c r="S96" s="5">
        <f>deaths!S96-deaths!R96</f>
        <v>0</v>
      </c>
      <c r="T96" s="5">
        <f>deaths!T96-deaths!S96</f>
        <v>0</v>
      </c>
      <c r="U96" s="5">
        <f>deaths!U96-deaths!T96</f>
        <v>0</v>
      </c>
      <c r="V96" s="5">
        <f>deaths!V96-deaths!U96</f>
        <v>0</v>
      </c>
      <c r="W96" s="5">
        <f>deaths!W96-deaths!V96</f>
        <v>0</v>
      </c>
      <c r="X96" s="5">
        <f>deaths!X96-deaths!W96</f>
        <v>0</v>
      </c>
      <c r="Y96" s="5">
        <f>deaths!Y96-deaths!X96</f>
        <v>0</v>
      </c>
      <c r="Z96" s="5">
        <f>deaths!Z96-deaths!Y96</f>
        <v>0</v>
      </c>
      <c r="AA96" s="5">
        <f>deaths!AA96-deaths!Z96</f>
        <v>0</v>
      </c>
      <c r="AB96" s="5">
        <f>deaths!AB96-deaths!AA96</f>
        <v>0</v>
      </c>
      <c r="AC96" s="5">
        <f>deaths!AC96-deaths!AB96</f>
        <v>0</v>
      </c>
      <c r="AD96" s="5">
        <f>deaths!AD96-deaths!AC96</f>
        <v>0</v>
      </c>
      <c r="AE96" s="5">
        <f>deaths!AE96-deaths!AD96</f>
        <v>0</v>
      </c>
      <c r="AF96" s="5">
        <f>deaths!AF96-deaths!AE96</f>
        <v>0</v>
      </c>
      <c r="AG96" s="5">
        <f>deaths!AG96-deaths!AF96</f>
        <v>0</v>
      </c>
      <c r="AH96" s="5">
        <f>deaths!AH96-deaths!AG96</f>
        <v>0</v>
      </c>
      <c r="AI96" s="5">
        <f>deaths!AI96-deaths!AH96</f>
        <v>0</v>
      </c>
      <c r="AJ96" s="5">
        <f>deaths!AJ96-deaths!AI96</f>
        <v>0</v>
      </c>
      <c r="AK96" s="5">
        <f>deaths!AK96-deaths!AJ96</f>
        <v>0</v>
      </c>
      <c r="AL96" s="5">
        <f>deaths!AL96-deaths!AK96</f>
        <v>0</v>
      </c>
      <c r="AM96" s="5">
        <f>deaths!AM96-deaths!AL96</f>
        <v>0</v>
      </c>
      <c r="AN96" s="5">
        <f>deaths!AN96-deaths!AM96</f>
        <v>0</v>
      </c>
      <c r="AO96" s="5">
        <f>deaths!AO96-deaths!AN96</f>
        <v>0</v>
      </c>
      <c r="AP96" s="5">
        <f>deaths!AP96-deaths!AO96</f>
        <v>0</v>
      </c>
      <c r="AQ96" s="5">
        <f>deaths!AQ96-deaths!AP96</f>
        <v>0</v>
      </c>
      <c r="AR96" s="5">
        <f>deaths!AR96-deaths!AQ96</f>
        <v>0</v>
      </c>
      <c r="AS96" s="5">
        <f>deaths!AS96-deaths!AR96</f>
        <v>0</v>
      </c>
      <c r="AT96" s="5">
        <f>deaths!AT96-deaths!AS96</f>
        <v>0</v>
      </c>
      <c r="AU96" s="5">
        <f>deaths!AU96-deaths!AT96</f>
        <v>0</v>
      </c>
      <c r="AV96" s="5">
        <f>deaths!AV96-deaths!AU96</f>
        <v>0</v>
      </c>
      <c r="AW96" s="5">
        <f>deaths!AW96-deaths!AV96</f>
        <v>0</v>
      </c>
      <c r="AX96" s="5">
        <f>deaths!AX96-deaths!AW96</f>
        <v>0</v>
      </c>
      <c r="AY96" s="5">
        <f>deaths!AY96-deaths!AX96</f>
        <v>0</v>
      </c>
      <c r="AZ96" s="5">
        <f>deaths!AZ96-deaths!AY96</f>
        <v>0</v>
      </c>
      <c r="BA96" s="5">
        <f>deaths!BA96-deaths!AZ96</f>
        <v>0</v>
      </c>
      <c r="BB96" s="5">
        <f>deaths!BB96-deaths!BA96</f>
        <v>0</v>
      </c>
      <c r="BC96" s="5">
        <f>deaths!BC96-deaths!BB96</f>
        <v>0</v>
      </c>
      <c r="BD96" s="5">
        <f>deaths!BD96-deaths!BC96</f>
        <v>0</v>
      </c>
      <c r="BE96" s="5">
        <f>deaths!BE96-deaths!BD96</f>
        <v>1</v>
      </c>
      <c r="BF96" s="5">
        <f>deaths!BF96-deaths!BE96</f>
        <v>1</v>
      </c>
      <c r="BG96" s="5">
        <f>deaths!BG96-deaths!BF96</f>
        <v>1</v>
      </c>
      <c r="BH96" s="5">
        <f>deaths!BH96-deaths!BG96</f>
        <v>1</v>
      </c>
      <c r="BI96" s="5">
        <f>deaths!BI96-deaths!BH96</f>
        <v>0</v>
      </c>
      <c r="BJ96" s="5">
        <f>deaths!BJ96-deaths!BI96</f>
        <v>2</v>
      </c>
      <c r="BK96" s="5">
        <f>deaths!BK96-deaths!BJ96</f>
        <v>3</v>
      </c>
      <c r="BL96" s="5">
        <f>deaths!BL96-deaths!BK96</f>
        <v>4</v>
      </c>
      <c r="BM96" s="5">
        <f>deaths!BM96-deaths!BL96</f>
        <v>0</v>
      </c>
      <c r="BN96" s="5">
        <f>deaths!BN96-deaths!BM96</f>
        <v>11</v>
      </c>
      <c r="BO96" s="5">
        <f>deaths!BO96-deaths!BN96</f>
        <v>8</v>
      </c>
      <c r="BP96" s="5">
        <f>deaths!BP96-deaths!BO96</f>
        <v>2</v>
      </c>
      <c r="BQ96" s="5">
        <f>deaths!BQ96-deaths!BP96</f>
        <v>7</v>
      </c>
      <c r="BR96" s="5">
        <f>deaths!BR96-deaths!BQ96</f>
        <v>11</v>
      </c>
      <c r="BS96" s="5">
        <f>deaths!BS96-deaths!BR96</f>
        <v>13</v>
      </c>
      <c r="BT96" s="5">
        <f>deaths!BT96-deaths!BS96</f>
        <v>7</v>
      </c>
      <c r="BU96" s="5">
        <f>deaths!BU96-deaths!BT96</f>
        <v>5</v>
      </c>
      <c r="BV96" s="5">
        <f>deaths!BV96-deaths!BU96</f>
        <v>13</v>
      </c>
      <c r="BW96" s="5">
        <f>deaths!BW96-deaths!BV96</f>
        <v>14</v>
      </c>
      <c r="BX96" s="5">
        <f>deaths!BX96-deaths!BW96</f>
        <v>19</v>
      </c>
      <c r="BY96" s="5">
        <f>deaths!BY96-deaths!BX96</f>
        <v>16</v>
      </c>
      <c r="BZ96" s="1">
        <f>deaths!BZ96</f>
        <v>161</v>
      </c>
      <c r="CA96" s="1">
        <f>deaths!CA96</f>
        <v>179</v>
      </c>
      <c r="CB96" s="1">
        <f>deaths!CB96</f>
        <v>187</v>
      </c>
      <c r="CC96" s="1" t="str">
        <f>deaths!CC96</f>
        <v/>
      </c>
    </row>
    <row r="97">
      <c r="B97" s="1" t="str">
        <f>deaths!B97</f>
        <v>Djibouti</v>
      </c>
      <c r="C97" s="4">
        <f>deaths!C97</f>
        <v>11.8251</v>
      </c>
      <c r="D97" s="4">
        <f>deaths!D97</f>
        <v>42.5903</v>
      </c>
      <c r="E97" s="5">
        <f>deaths!E97</f>
        <v>0</v>
      </c>
      <c r="F97" s="5">
        <f>deaths!F97-deaths!E97</f>
        <v>0</v>
      </c>
      <c r="G97" s="5">
        <f>deaths!G97-deaths!F97</f>
        <v>0</v>
      </c>
      <c r="H97" s="5">
        <f>deaths!H97-deaths!G97</f>
        <v>0</v>
      </c>
      <c r="I97" s="5">
        <f>deaths!I97-deaths!H97</f>
        <v>0</v>
      </c>
      <c r="J97" s="5">
        <f>deaths!J97-deaths!I97</f>
        <v>0</v>
      </c>
      <c r="K97" s="5">
        <f>deaths!K97-deaths!J97</f>
        <v>0</v>
      </c>
      <c r="L97" s="5">
        <f>deaths!L97-deaths!K97</f>
        <v>0</v>
      </c>
      <c r="M97" s="5">
        <f>deaths!M97-deaths!L97</f>
        <v>0</v>
      </c>
      <c r="N97" s="5">
        <f>deaths!N97-deaths!M97</f>
        <v>0</v>
      </c>
      <c r="O97" s="5">
        <f>deaths!O97-deaths!N97</f>
        <v>0</v>
      </c>
      <c r="P97" s="5">
        <f>deaths!P97-deaths!O97</f>
        <v>0</v>
      </c>
      <c r="Q97" s="5">
        <f>deaths!Q97-deaths!P97</f>
        <v>0</v>
      </c>
      <c r="R97" s="5">
        <f>deaths!R97-deaths!Q97</f>
        <v>0</v>
      </c>
      <c r="S97" s="5">
        <f>deaths!S97-deaths!R97</f>
        <v>0</v>
      </c>
      <c r="T97" s="5">
        <f>deaths!T97-deaths!S97</f>
        <v>0</v>
      </c>
      <c r="U97" s="5">
        <f>deaths!U97-deaths!T97</f>
        <v>0</v>
      </c>
      <c r="V97" s="5">
        <f>deaths!V97-deaths!U97</f>
        <v>0</v>
      </c>
      <c r="W97" s="5">
        <f>deaths!W97-deaths!V97</f>
        <v>0</v>
      </c>
      <c r="X97" s="5">
        <f>deaths!X97-deaths!W97</f>
        <v>0</v>
      </c>
      <c r="Y97" s="5">
        <f>deaths!Y97-deaths!X97</f>
        <v>0</v>
      </c>
      <c r="Z97" s="5">
        <f>deaths!Z97-deaths!Y97</f>
        <v>0</v>
      </c>
      <c r="AA97" s="5">
        <f>deaths!AA97-deaths!Z97</f>
        <v>0</v>
      </c>
      <c r="AB97" s="5">
        <f>deaths!AB97-deaths!AA97</f>
        <v>0</v>
      </c>
      <c r="AC97" s="5">
        <f>deaths!AC97-deaths!AB97</f>
        <v>0</v>
      </c>
      <c r="AD97" s="5">
        <f>deaths!AD97-deaths!AC97</f>
        <v>0</v>
      </c>
      <c r="AE97" s="5">
        <f>deaths!AE97-deaths!AD97</f>
        <v>0</v>
      </c>
      <c r="AF97" s="5">
        <f>deaths!AF97-deaths!AE97</f>
        <v>0</v>
      </c>
      <c r="AG97" s="5">
        <f>deaths!AG97-deaths!AF97</f>
        <v>0</v>
      </c>
      <c r="AH97" s="5">
        <f>deaths!AH97-deaths!AG97</f>
        <v>0</v>
      </c>
      <c r="AI97" s="5">
        <f>deaths!AI97-deaths!AH97</f>
        <v>0</v>
      </c>
      <c r="AJ97" s="5">
        <f>deaths!AJ97-deaths!AI97</f>
        <v>0</v>
      </c>
      <c r="AK97" s="5">
        <f>deaths!AK97-deaths!AJ97</f>
        <v>0</v>
      </c>
      <c r="AL97" s="5">
        <f>deaths!AL97-deaths!AK97</f>
        <v>0</v>
      </c>
      <c r="AM97" s="5">
        <f>deaths!AM97-deaths!AL97</f>
        <v>0</v>
      </c>
      <c r="AN97" s="5">
        <f>deaths!AN97-deaths!AM97</f>
        <v>0</v>
      </c>
      <c r="AO97" s="5">
        <f>deaths!AO97-deaths!AN97</f>
        <v>0</v>
      </c>
      <c r="AP97" s="5">
        <f>deaths!AP97-deaths!AO97</f>
        <v>0</v>
      </c>
      <c r="AQ97" s="5">
        <f>deaths!AQ97-deaths!AP97</f>
        <v>0</v>
      </c>
      <c r="AR97" s="5">
        <f>deaths!AR97-deaths!AQ97</f>
        <v>0</v>
      </c>
      <c r="AS97" s="5">
        <f>deaths!AS97-deaths!AR97</f>
        <v>0</v>
      </c>
      <c r="AT97" s="5">
        <f>deaths!AT97-deaths!AS97</f>
        <v>0</v>
      </c>
      <c r="AU97" s="5">
        <f>deaths!AU97-deaths!AT97</f>
        <v>0</v>
      </c>
      <c r="AV97" s="5">
        <f>deaths!AV97-deaths!AU97</f>
        <v>0</v>
      </c>
      <c r="AW97" s="5">
        <f>deaths!AW97-deaths!AV97</f>
        <v>0</v>
      </c>
      <c r="AX97" s="5">
        <f>deaths!AX97-deaths!AW97</f>
        <v>0</v>
      </c>
      <c r="AY97" s="5">
        <f>deaths!AY97-deaths!AX97</f>
        <v>0</v>
      </c>
      <c r="AZ97" s="5">
        <f>deaths!AZ97-deaths!AY97</f>
        <v>0</v>
      </c>
      <c r="BA97" s="5">
        <f>deaths!BA97-deaths!AZ97</f>
        <v>0</v>
      </c>
      <c r="BB97" s="5">
        <f>deaths!BB97-deaths!BA97</f>
        <v>0</v>
      </c>
      <c r="BC97" s="5">
        <f>deaths!BC97-deaths!BB97</f>
        <v>0</v>
      </c>
      <c r="BD97" s="5">
        <f>deaths!BD97-deaths!BC97</f>
        <v>0</v>
      </c>
      <c r="BE97" s="5">
        <f>deaths!BE97-deaths!BD97</f>
        <v>0</v>
      </c>
      <c r="BF97" s="5">
        <f>deaths!BF97-deaths!BE97</f>
        <v>0</v>
      </c>
      <c r="BG97" s="5">
        <f>deaths!BG97-deaths!BF97</f>
        <v>0</v>
      </c>
      <c r="BH97" s="5">
        <f>deaths!BH97-deaths!BG97</f>
        <v>0</v>
      </c>
      <c r="BI97" s="5">
        <f>deaths!BI97-deaths!BH97</f>
        <v>0</v>
      </c>
      <c r="BJ97" s="5">
        <f>deaths!BJ97-deaths!BI97</f>
        <v>0</v>
      </c>
      <c r="BK97" s="5">
        <f>deaths!BK97-deaths!BJ97</f>
        <v>0</v>
      </c>
      <c r="BL97" s="5">
        <f>deaths!BL97-deaths!BK97</f>
        <v>0</v>
      </c>
      <c r="BM97" s="5">
        <f>deaths!BM97-deaths!BL97</f>
        <v>0</v>
      </c>
      <c r="BN97" s="5">
        <f>deaths!BN97-deaths!BM97</f>
        <v>0</v>
      </c>
      <c r="BO97" s="5">
        <f>deaths!BO97-deaths!BN97</f>
        <v>0</v>
      </c>
      <c r="BP97" s="5">
        <f>deaths!BP97-deaths!BO97</f>
        <v>0</v>
      </c>
      <c r="BQ97" s="5">
        <f>deaths!BQ97-deaths!BP97</f>
        <v>0</v>
      </c>
      <c r="BR97" s="5">
        <f>deaths!BR97-deaths!BQ97</f>
        <v>0</v>
      </c>
      <c r="BS97" s="5">
        <f>deaths!BS97-deaths!BR97</f>
        <v>0</v>
      </c>
      <c r="BT97" s="5">
        <f>deaths!BT97-deaths!BS97</f>
        <v>0</v>
      </c>
      <c r="BU97" s="5">
        <f>deaths!BU97-deaths!BT97</f>
        <v>0</v>
      </c>
      <c r="BV97" s="5">
        <f>deaths!BV97-deaths!BU97</f>
        <v>0</v>
      </c>
      <c r="BW97" s="5">
        <f>deaths!BW97-deaths!BV97</f>
        <v>0</v>
      </c>
      <c r="BX97" s="5">
        <f>deaths!BX97-deaths!BW97</f>
        <v>0</v>
      </c>
      <c r="BY97" s="5">
        <f>deaths!BY97-deaths!BX97</f>
        <v>0</v>
      </c>
      <c r="BZ97" s="1">
        <f>deaths!BZ97</f>
        <v>0</v>
      </c>
      <c r="CA97" s="1">
        <f>deaths!CA97</f>
        <v>0</v>
      </c>
      <c r="CB97" s="1">
        <f>deaths!CB97</f>
        <v>0</v>
      </c>
      <c r="CC97" s="1" t="str">
        <f>deaths!CC97</f>
        <v/>
      </c>
    </row>
    <row r="98">
      <c r="B98" s="1" t="str">
        <f>deaths!B98</f>
        <v>Dominican Republic</v>
      </c>
      <c r="C98" s="4">
        <f>deaths!C98</f>
        <v>18.7357</v>
      </c>
      <c r="D98" s="4">
        <f>deaths!D98</f>
        <v>-70.1627</v>
      </c>
      <c r="E98" s="5">
        <f>deaths!E98</f>
        <v>0</v>
      </c>
      <c r="F98" s="5">
        <f>deaths!F98-deaths!E98</f>
        <v>0</v>
      </c>
      <c r="G98" s="5">
        <f>deaths!G98-deaths!F98</f>
        <v>0</v>
      </c>
      <c r="H98" s="5">
        <f>deaths!H98-deaths!G98</f>
        <v>0</v>
      </c>
      <c r="I98" s="5">
        <f>deaths!I98-deaths!H98</f>
        <v>0</v>
      </c>
      <c r="J98" s="5">
        <f>deaths!J98-deaths!I98</f>
        <v>0</v>
      </c>
      <c r="K98" s="5">
        <f>deaths!K98-deaths!J98</f>
        <v>0</v>
      </c>
      <c r="L98" s="5">
        <f>deaths!L98-deaths!K98</f>
        <v>0</v>
      </c>
      <c r="M98" s="5">
        <f>deaths!M98-deaths!L98</f>
        <v>0</v>
      </c>
      <c r="N98" s="5">
        <f>deaths!N98-deaths!M98</f>
        <v>0</v>
      </c>
      <c r="O98" s="5">
        <f>deaths!O98-deaths!N98</f>
        <v>0</v>
      </c>
      <c r="P98" s="5">
        <f>deaths!P98-deaths!O98</f>
        <v>0</v>
      </c>
      <c r="Q98" s="5">
        <f>deaths!Q98-deaths!P98</f>
        <v>0</v>
      </c>
      <c r="R98" s="5">
        <f>deaths!R98-deaths!Q98</f>
        <v>0</v>
      </c>
      <c r="S98" s="5">
        <f>deaths!S98-deaths!R98</f>
        <v>0</v>
      </c>
      <c r="T98" s="5">
        <f>deaths!T98-deaths!S98</f>
        <v>0</v>
      </c>
      <c r="U98" s="5">
        <f>deaths!U98-deaths!T98</f>
        <v>0</v>
      </c>
      <c r="V98" s="5">
        <f>deaths!V98-deaths!U98</f>
        <v>0</v>
      </c>
      <c r="W98" s="5">
        <f>deaths!W98-deaths!V98</f>
        <v>0</v>
      </c>
      <c r="X98" s="5">
        <f>deaths!X98-deaths!W98</f>
        <v>0</v>
      </c>
      <c r="Y98" s="5">
        <f>deaths!Y98-deaths!X98</f>
        <v>0</v>
      </c>
      <c r="Z98" s="5">
        <f>deaths!Z98-deaths!Y98</f>
        <v>0</v>
      </c>
      <c r="AA98" s="5">
        <f>deaths!AA98-deaths!Z98</f>
        <v>0</v>
      </c>
      <c r="AB98" s="5">
        <f>deaths!AB98-deaths!AA98</f>
        <v>0</v>
      </c>
      <c r="AC98" s="5">
        <f>deaths!AC98-deaths!AB98</f>
        <v>0</v>
      </c>
      <c r="AD98" s="5">
        <f>deaths!AD98-deaths!AC98</f>
        <v>0</v>
      </c>
      <c r="AE98" s="5">
        <f>deaths!AE98-deaths!AD98</f>
        <v>0</v>
      </c>
      <c r="AF98" s="5">
        <f>deaths!AF98-deaths!AE98</f>
        <v>0</v>
      </c>
      <c r="AG98" s="5">
        <f>deaths!AG98-deaths!AF98</f>
        <v>0</v>
      </c>
      <c r="AH98" s="5">
        <f>deaths!AH98-deaths!AG98</f>
        <v>0</v>
      </c>
      <c r="AI98" s="5">
        <f>deaths!AI98-deaths!AH98</f>
        <v>0</v>
      </c>
      <c r="AJ98" s="5">
        <f>deaths!AJ98-deaths!AI98</f>
        <v>0</v>
      </c>
      <c r="AK98" s="5">
        <f>deaths!AK98-deaths!AJ98</f>
        <v>0</v>
      </c>
      <c r="AL98" s="5">
        <f>deaths!AL98-deaths!AK98</f>
        <v>0</v>
      </c>
      <c r="AM98" s="5">
        <f>deaths!AM98-deaths!AL98</f>
        <v>0</v>
      </c>
      <c r="AN98" s="5">
        <f>deaths!AN98-deaths!AM98</f>
        <v>0</v>
      </c>
      <c r="AO98" s="5">
        <f>deaths!AO98-deaths!AN98</f>
        <v>0</v>
      </c>
      <c r="AP98" s="5">
        <f>deaths!AP98-deaths!AO98</f>
        <v>0</v>
      </c>
      <c r="AQ98" s="5">
        <f>deaths!AQ98-deaths!AP98</f>
        <v>0</v>
      </c>
      <c r="AR98" s="5">
        <f>deaths!AR98-deaths!AQ98</f>
        <v>0</v>
      </c>
      <c r="AS98" s="5">
        <f>deaths!AS98-deaths!AR98</f>
        <v>0</v>
      </c>
      <c r="AT98" s="5">
        <f>deaths!AT98-deaths!AS98</f>
        <v>0</v>
      </c>
      <c r="AU98" s="5">
        <f>deaths!AU98-deaths!AT98</f>
        <v>0</v>
      </c>
      <c r="AV98" s="5">
        <f>deaths!AV98-deaths!AU98</f>
        <v>0</v>
      </c>
      <c r="AW98" s="5">
        <f>deaths!AW98-deaths!AV98</f>
        <v>0</v>
      </c>
      <c r="AX98" s="5">
        <f>deaths!AX98-deaths!AW98</f>
        <v>0</v>
      </c>
      <c r="AY98" s="5">
        <f>deaths!AY98-deaths!AX98</f>
        <v>0</v>
      </c>
      <c r="AZ98" s="5">
        <f>deaths!AZ98-deaths!AY98</f>
        <v>0</v>
      </c>
      <c r="BA98" s="5">
        <f>deaths!BA98-deaths!AZ98</f>
        <v>0</v>
      </c>
      <c r="BB98" s="5">
        <f>deaths!BB98-deaths!BA98</f>
        <v>0</v>
      </c>
      <c r="BC98" s="5">
        <f>deaths!BC98-deaths!BB98</f>
        <v>0</v>
      </c>
      <c r="BD98" s="5">
        <f>deaths!BD98-deaths!BC98</f>
        <v>0</v>
      </c>
      <c r="BE98" s="5">
        <f>deaths!BE98-deaths!BD98</f>
        <v>0</v>
      </c>
      <c r="BF98" s="5">
        <f>deaths!BF98-deaths!BE98</f>
        <v>0</v>
      </c>
      <c r="BG98" s="5">
        <f>deaths!BG98-deaths!BF98</f>
        <v>0</v>
      </c>
      <c r="BH98" s="5">
        <f>deaths!BH98-deaths!BG98</f>
        <v>1</v>
      </c>
      <c r="BI98" s="5">
        <f>deaths!BI98-deaths!BH98</f>
        <v>0</v>
      </c>
      <c r="BJ98" s="5">
        <f>deaths!BJ98-deaths!BI98</f>
        <v>1</v>
      </c>
      <c r="BK98" s="5">
        <f>deaths!BK98-deaths!BJ98</f>
        <v>0</v>
      </c>
      <c r="BL98" s="5">
        <f>deaths!BL98-deaths!BK98</f>
        <v>0</v>
      </c>
      <c r="BM98" s="5">
        <f>deaths!BM98-deaths!BL98</f>
        <v>1</v>
      </c>
      <c r="BN98" s="5">
        <f>deaths!BN98-deaths!BM98</f>
        <v>0</v>
      </c>
      <c r="BO98" s="5">
        <f>deaths!BO98-deaths!BN98</f>
        <v>3</v>
      </c>
      <c r="BP98" s="5">
        <f>deaths!BP98-deaths!BO98</f>
        <v>4</v>
      </c>
      <c r="BQ98" s="5">
        <f>deaths!BQ98-deaths!BP98</f>
        <v>0</v>
      </c>
      <c r="BR98" s="5">
        <f>deaths!BR98-deaths!BQ98</f>
        <v>10</v>
      </c>
      <c r="BS98" s="5">
        <f>deaths!BS98-deaths!BR98</f>
        <v>8</v>
      </c>
      <c r="BT98" s="5">
        <f>deaths!BT98-deaths!BS98</f>
        <v>11</v>
      </c>
      <c r="BU98" s="5">
        <f>deaths!BU98-deaths!BT98</f>
        <v>3</v>
      </c>
      <c r="BV98" s="5">
        <f>deaths!BV98-deaths!BU98</f>
        <v>9</v>
      </c>
      <c r="BW98" s="5">
        <f>deaths!BW98-deaths!BV98</f>
        <v>6</v>
      </c>
      <c r="BX98" s="5">
        <f>deaths!BX98-deaths!BW98</f>
        <v>3</v>
      </c>
      <c r="BY98" s="5">
        <f>deaths!BY98-deaths!BX98</f>
        <v>8</v>
      </c>
      <c r="BZ98" s="1">
        <f>deaths!BZ98</f>
        <v>68</v>
      </c>
      <c r="CA98" s="1">
        <f>deaths!CA98</f>
        <v>82</v>
      </c>
      <c r="CB98" s="1">
        <f>deaths!CB98</f>
        <v>86</v>
      </c>
      <c r="CC98" s="1" t="str">
        <f>deaths!CC98</f>
        <v/>
      </c>
    </row>
    <row r="99">
      <c r="B99" s="1" t="str">
        <f>deaths!B99</f>
        <v>Ecuador</v>
      </c>
      <c r="C99" s="4">
        <f>deaths!C99</f>
        <v>-1.8312</v>
      </c>
      <c r="D99" s="4">
        <f>deaths!D99</f>
        <v>-78.1834</v>
      </c>
      <c r="E99" s="5">
        <f>deaths!E99</f>
        <v>0</v>
      </c>
      <c r="F99" s="5">
        <f>deaths!F99-deaths!E99</f>
        <v>0</v>
      </c>
      <c r="G99" s="5">
        <f>deaths!G99-deaths!F99</f>
        <v>0</v>
      </c>
      <c r="H99" s="5">
        <f>deaths!H99-deaths!G99</f>
        <v>0</v>
      </c>
      <c r="I99" s="5">
        <f>deaths!I99-deaths!H99</f>
        <v>0</v>
      </c>
      <c r="J99" s="5">
        <f>deaths!J99-deaths!I99</f>
        <v>0</v>
      </c>
      <c r="K99" s="5">
        <f>deaths!K99-deaths!J99</f>
        <v>0</v>
      </c>
      <c r="L99" s="5">
        <f>deaths!L99-deaths!K99</f>
        <v>0</v>
      </c>
      <c r="M99" s="5">
        <f>deaths!M99-deaths!L99</f>
        <v>0</v>
      </c>
      <c r="N99" s="5">
        <f>deaths!N99-deaths!M99</f>
        <v>0</v>
      </c>
      <c r="O99" s="5">
        <f>deaths!O99-deaths!N99</f>
        <v>0</v>
      </c>
      <c r="P99" s="5">
        <f>deaths!P99-deaths!O99</f>
        <v>0</v>
      </c>
      <c r="Q99" s="5">
        <f>deaths!Q99-deaths!P99</f>
        <v>0</v>
      </c>
      <c r="R99" s="5">
        <f>deaths!R99-deaths!Q99</f>
        <v>0</v>
      </c>
      <c r="S99" s="5">
        <f>deaths!S99-deaths!R99</f>
        <v>0</v>
      </c>
      <c r="T99" s="5">
        <f>deaths!T99-deaths!S99</f>
        <v>0</v>
      </c>
      <c r="U99" s="5">
        <f>deaths!U99-deaths!T99</f>
        <v>0</v>
      </c>
      <c r="V99" s="5">
        <f>deaths!V99-deaths!U99</f>
        <v>0</v>
      </c>
      <c r="W99" s="5">
        <f>deaths!W99-deaths!V99</f>
        <v>0</v>
      </c>
      <c r="X99" s="5">
        <f>deaths!X99-deaths!W99</f>
        <v>0</v>
      </c>
      <c r="Y99" s="5">
        <f>deaths!Y99-deaths!X99</f>
        <v>0</v>
      </c>
      <c r="Z99" s="5">
        <f>deaths!Z99-deaths!Y99</f>
        <v>0</v>
      </c>
      <c r="AA99" s="5">
        <f>deaths!AA99-deaths!Z99</f>
        <v>0</v>
      </c>
      <c r="AB99" s="5">
        <f>deaths!AB99-deaths!AA99</f>
        <v>0</v>
      </c>
      <c r="AC99" s="5">
        <f>deaths!AC99-deaths!AB99</f>
        <v>0</v>
      </c>
      <c r="AD99" s="5">
        <f>deaths!AD99-deaths!AC99</f>
        <v>0</v>
      </c>
      <c r="AE99" s="5">
        <f>deaths!AE99-deaths!AD99</f>
        <v>0</v>
      </c>
      <c r="AF99" s="5">
        <f>deaths!AF99-deaths!AE99</f>
        <v>0</v>
      </c>
      <c r="AG99" s="5">
        <f>deaths!AG99-deaths!AF99</f>
        <v>0</v>
      </c>
      <c r="AH99" s="5">
        <f>deaths!AH99-deaths!AG99</f>
        <v>0</v>
      </c>
      <c r="AI99" s="5">
        <f>deaths!AI99-deaths!AH99</f>
        <v>0</v>
      </c>
      <c r="AJ99" s="5">
        <f>deaths!AJ99-deaths!AI99</f>
        <v>0</v>
      </c>
      <c r="AK99" s="5">
        <f>deaths!AK99-deaths!AJ99</f>
        <v>0</v>
      </c>
      <c r="AL99" s="5">
        <f>deaths!AL99-deaths!AK99</f>
        <v>0</v>
      </c>
      <c r="AM99" s="5">
        <f>deaths!AM99-deaths!AL99</f>
        <v>0</v>
      </c>
      <c r="AN99" s="5">
        <f>deaths!AN99-deaths!AM99</f>
        <v>0</v>
      </c>
      <c r="AO99" s="5">
        <f>deaths!AO99-deaths!AN99</f>
        <v>0</v>
      </c>
      <c r="AP99" s="5">
        <f>deaths!AP99-deaths!AO99</f>
        <v>0</v>
      </c>
      <c r="AQ99" s="5">
        <f>deaths!AQ99-deaths!AP99</f>
        <v>0</v>
      </c>
      <c r="AR99" s="5">
        <f>deaths!AR99-deaths!AQ99</f>
        <v>0</v>
      </c>
      <c r="AS99" s="5">
        <f>deaths!AS99-deaths!AR99</f>
        <v>0</v>
      </c>
      <c r="AT99" s="5">
        <f>deaths!AT99-deaths!AS99</f>
        <v>0</v>
      </c>
      <c r="AU99" s="5">
        <f>deaths!AU99-deaths!AT99</f>
        <v>0</v>
      </c>
      <c r="AV99" s="5">
        <f>deaths!AV99-deaths!AU99</f>
        <v>0</v>
      </c>
      <c r="AW99" s="5">
        <f>deaths!AW99-deaths!AV99</f>
        <v>0</v>
      </c>
      <c r="AX99" s="5">
        <f>deaths!AX99-deaths!AW99</f>
        <v>0</v>
      </c>
      <c r="AY99" s="5">
        <f>deaths!AY99-deaths!AX99</f>
        <v>0</v>
      </c>
      <c r="AZ99" s="5">
        <f>deaths!AZ99-deaths!AY99</f>
        <v>0</v>
      </c>
      <c r="BA99" s="5">
        <f>deaths!BA99-deaths!AZ99</f>
        <v>0</v>
      </c>
      <c r="BB99" s="5">
        <f>deaths!BB99-deaths!BA99</f>
        <v>0</v>
      </c>
      <c r="BC99" s="5">
        <f>deaths!BC99-deaths!BB99</f>
        <v>0</v>
      </c>
      <c r="BD99" s="5">
        <f>deaths!BD99-deaths!BC99</f>
        <v>0</v>
      </c>
      <c r="BE99" s="5">
        <f>deaths!BE99-deaths!BD99</f>
        <v>2</v>
      </c>
      <c r="BF99" s="5">
        <f>deaths!BF99-deaths!BE99</f>
        <v>0</v>
      </c>
      <c r="BG99" s="5">
        <f>deaths!BG99-deaths!BF99</f>
        <v>0</v>
      </c>
      <c r="BH99" s="5">
        <f>deaths!BH99-deaths!BG99</f>
        <v>0</v>
      </c>
      <c r="BI99" s="5">
        <f>deaths!BI99-deaths!BH99</f>
        <v>0</v>
      </c>
      <c r="BJ99" s="5">
        <f>deaths!BJ99-deaths!BI99</f>
        <v>1</v>
      </c>
      <c r="BK99" s="5">
        <f>deaths!BK99-deaths!BJ99</f>
        <v>2</v>
      </c>
      <c r="BL99" s="5">
        <f>deaths!BL99-deaths!BK99</f>
        <v>2</v>
      </c>
      <c r="BM99" s="5">
        <f>deaths!BM99-deaths!BL99</f>
        <v>7</v>
      </c>
      <c r="BN99" s="5">
        <f>deaths!BN99-deaths!BM99</f>
        <v>4</v>
      </c>
      <c r="BO99" s="5">
        <f>deaths!BO99-deaths!BN99</f>
        <v>9</v>
      </c>
      <c r="BP99" s="5">
        <f>deaths!BP99-deaths!BO99</f>
        <v>1</v>
      </c>
      <c r="BQ99" s="5">
        <f>deaths!BQ99-deaths!BP99</f>
        <v>6</v>
      </c>
      <c r="BR99" s="5">
        <f>deaths!BR99-deaths!BQ99</f>
        <v>2</v>
      </c>
      <c r="BS99" s="5">
        <f>deaths!BS99-deaths!BR99</f>
        <v>12</v>
      </c>
      <c r="BT99" s="5">
        <f>deaths!BT99-deaths!BS99</f>
        <v>10</v>
      </c>
      <c r="BU99" s="5">
        <f>deaths!BU99-deaths!BT99</f>
        <v>2</v>
      </c>
      <c r="BV99" s="5">
        <f>deaths!BV99-deaths!BU99</f>
        <v>15</v>
      </c>
      <c r="BW99" s="5">
        <f>deaths!BW99-deaths!BV99</f>
        <v>18</v>
      </c>
      <c r="BX99" s="5">
        <f>deaths!BX99-deaths!BW99</f>
        <v>27</v>
      </c>
      <c r="BY99" s="5">
        <f>deaths!BY99-deaths!BX99</f>
        <v>25</v>
      </c>
      <c r="BZ99" s="1">
        <f>deaths!BZ99</f>
        <v>172</v>
      </c>
      <c r="CA99" s="1">
        <f>deaths!CA99</f>
        <v>180</v>
      </c>
      <c r="CB99" s="1">
        <f>deaths!CB99</f>
        <v>191</v>
      </c>
      <c r="CC99" s="1" t="str">
        <f>deaths!CC99</f>
        <v/>
      </c>
    </row>
    <row r="100">
      <c r="B100" s="1" t="str">
        <f>deaths!B100</f>
        <v>Egypt</v>
      </c>
      <c r="C100" s="4">
        <f>deaths!C100</f>
        <v>26</v>
      </c>
      <c r="D100" s="4">
        <f>deaths!D100</f>
        <v>30</v>
      </c>
      <c r="E100" s="5">
        <f>deaths!E100</f>
        <v>0</v>
      </c>
      <c r="F100" s="5">
        <f>deaths!F100-deaths!E100</f>
        <v>0</v>
      </c>
      <c r="G100" s="5">
        <f>deaths!G100-deaths!F100</f>
        <v>0</v>
      </c>
      <c r="H100" s="5">
        <f>deaths!H100-deaths!G100</f>
        <v>0</v>
      </c>
      <c r="I100" s="5">
        <f>deaths!I100-deaths!H100</f>
        <v>0</v>
      </c>
      <c r="J100" s="5">
        <f>deaths!J100-deaths!I100</f>
        <v>0</v>
      </c>
      <c r="K100" s="5">
        <f>deaths!K100-deaths!J100</f>
        <v>0</v>
      </c>
      <c r="L100" s="5">
        <f>deaths!L100-deaths!K100</f>
        <v>0</v>
      </c>
      <c r="M100" s="5">
        <f>deaths!M100-deaths!L100</f>
        <v>0</v>
      </c>
      <c r="N100" s="5">
        <f>deaths!N100-deaths!M100</f>
        <v>0</v>
      </c>
      <c r="O100" s="5">
        <f>deaths!O100-deaths!N100</f>
        <v>0</v>
      </c>
      <c r="P100" s="5">
        <f>deaths!P100-deaths!O100</f>
        <v>0</v>
      </c>
      <c r="Q100" s="5">
        <f>deaths!Q100-deaths!P100</f>
        <v>0</v>
      </c>
      <c r="R100" s="5">
        <f>deaths!R100-deaths!Q100</f>
        <v>0</v>
      </c>
      <c r="S100" s="5">
        <f>deaths!S100-deaths!R100</f>
        <v>0</v>
      </c>
      <c r="T100" s="5">
        <f>deaths!T100-deaths!S100</f>
        <v>0</v>
      </c>
      <c r="U100" s="5">
        <f>deaths!U100-deaths!T100</f>
        <v>0</v>
      </c>
      <c r="V100" s="5">
        <f>deaths!V100-deaths!U100</f>
        <v>0</v>
      </c>
      <c r="W100" s="5">
        <f>deaths!W100-deaths!V100</f>
        <v>0</v>
      </c>
      <c r="X100" s="5">
        <f>deaths!X100-deaths!W100</f>
        <v>0</v>
      </c>
      <c r="Y100" s="5">
        <f>deaths!Y100-deaths!X100</f>
        <v>0</v>
      </c>
      <c r="Z100" s="5">
        <f>deaths!Z100-deaths!Y100</f>
        <v>0</v>
      </c>
      <c r="AA100" s="5">
        <f>deaths!AA100-deaths!Z100</f>
        <v>0</v>
      </c>
      <c r="AB100" s="5">
        <f>deaths!AB100-deaths!AA100</f>
        <v>0</v>
      </c>
      <c r="AC100" s="5">
        <f>deaths!AC100-deaths!AB100</f>
        <v>0</v>
      </c>
      <c r="AD100" s="5">
        <f>deaths!AD100-deaths!AC100</f>
        <v>0</v>
      </c>
      <c r="AE100" s="5">
        <f>deaths!AE100-deaths!AD100</f>
        <v>0</v>
      </c>
      <c r="AF100" s="5">
        <f>deaths!AF100-deaths!AE100</f>
        <v>0</v>
      </c>
      <c r="AG100" s="5">
        <f>deaths!AG100-deaths!AF100</f>
        <v>0</v>
      </c>
      <c r="AH100" s="5">
        <f>deaths!AH100-deaths!AG100</f>
        <v>0</v>
      </c>
      <c r="AI100" s="5">
        <f>deaths!AI100-deaths!AH100</f>
        <v>0</v>
      </c>
      <c r="AJ100" s="5">
        <f>deaths!AJ100-deaths!AI100</f>
        <v>0</v>
      </c>
      <c r="AK100" s="5">
        <f>deaths!AK100-deaths!AJ100</f>
        <v>0</v>
      </c>
      <c r="AL100" s="5">
        <f>deaths!AL100-deaths!AK100</f>
        <v>0</v>
      </c>
      <c r="AM100" s="5">
        <f>deaths!AM100-deaths!AL100</f>
        <v>0</v>
      </c>
      <c r="AN100" s="5">
        <f>deaths!AN100-deaths!AM100</f>
        <v>0</v>
      </c>
      <c r="AO100" s="5">
        <f>deaths!AO100-deaths!AN100</f>
        <v>0</v>
      </c>
      <c r="AP100" s="5">
        <f>deaths!AP100-deaths!AO100</f>
        <v>0</v>
      </c>
      <c r="AQ100" s="5">
        <f>deaths!AQ100-deaths!AP100</f>
        <v>0</v>
      </c>
      <c r="AR100" s="5">
        <f>deaths!AR100-deaths!AQ100</f>
        <v>0</v>
      </c>
      <c r="AS100" s="5">
        <f>deaths!AS100-deaths!AR100</f>
        <v>0</v>
      </c>
      <c r="AT100" s="5">
        <f>deaths!AT100-deaths!AS100</f>
        <v>0</v>
      </c>
      <c r="AU100" s="5">
        <f>deaths!AU100-deaths!AT100</f>
        <v>0</v>
      </c>
      <c r="AV100" s="5">
        <f>deaths!AV100-deaths!AU100</f>
        <v>0</v>
      </c>
      <c r="AW100" s="5">
        <f>deaths!AW100-deaths!AV100</f>
        <v>0</v>
      </c>
      <c r="AX100" s="5">
        <f>deaths!AX100-deaths!AW100</f>
        <v>0</v>
      </c>
      <c r="AY100" s="5">
        <f>deaths!AY100-deaths!AX100</f>
        <v>1</v>
      </c>
      <c r="AZ100" s="5">
        <f>deaths!AZ100-deaths!AY100</f>
        <v>0</v>
      </c>
      <c r="BA100" s="5">
        <f>deaths!BA100-deaths!AZ100</f>
        <v>0</v>
      </c>
      <c r="BB100" s="5">
        <f>deaths!BB100-deaths!BA100</f>
        <v>0</v>
      </c>
      <c r="BC100" s="5">
        <f>deaths!BC100-deaths!BB100</f>
        <v>0</v>
      </c>
      <c r="BD100" s="5">
        <f>deaths!BD100-deaths!BC100</f>
        <v>1</v>
      </c>
      <c r="BE100" s="5">
        <f>deaths!BE100-deaths!BD100</f>
        <v>0</v>
      </c>
      <c r="BF100" s="5">
        <f>deaths!BF100-deaths!BE100</f>
        <v>0</v>
      </c>
      <c r="BG100" s="5">
        <f>deaths!BG100-deaths!BF100</f>
        <v>0</v>
      </c>
      <c r="BH100" s="5">
        <f>deaths!BH100-deaths!BG100</f>
        <v>2</v>
      </c>
      <c r="BI100" s="5">
        <f>deaths!BI100-deaths!BH100</f>
        <v>2</v>
      </c>
      <c r="BJ100" s="5">
        <f>deaths!BJ100-deaths!BI100</f>
        <v>0</v>
      </c>
      <c r="BK100" s="5">
        <f>deaths!BK100-deaths!BJ100</f>
        <v>2</v>
      </c>
      <c r="BL100" s="5">
        <f>deaths!BL100-deaths!BK100</f>
        <v>2</v>
      </c>
      <c r="BM100" s="5">
        <f>deaths!BM100-deaths!BL100</f>
        <v>4</v>
      </c>
      <c r="BN100" s="5">
        <f>deaths!BN100-deaths!BM100</f>
        <v>5</v>
      </c>
      <c r="BO100" s="5">
        <f>deaths!BO100-deaths!BN100</f>
        <v>1</v>
      </c>
      <c r="BP100" s="5">
        <f>deaths!BP100-deaths!BO100</f>
        <v>1</v>
      </c>
      <c r="BQ100" s="5">
        <f>deaths!BQ100-deaths!BP100</f>
        <v>3</v>
      </c>
      <c r="BR100" s="5">
        <f>deaths!BR100-deaths!BQ100</f>
        <v>6</v>
      </c>
      <c r="BS100" s="5">
        <f>deaths!BS100-deaths!BR100</f>
        <v>6</v>
      </c>
      <c r="BT100" s="5">
        <f>deaths!BT100-deaths!BS100</f>
        <v>4</v>
      </c>
      <c r="BU100" s="5">
        <f>deaths!BU100-deaths!BT100</f>
        <v>1</v>
      </c>
      <c r="BV100" s="5">
        <f>deaths!BV100-deaths!BU100</f>
        <v>5</v>
      </c>
      <c r="BW100" s="5">
        <f>deaths!BW100-deaths!BV100</f>
        <v>6</v>
      </c>
      <c r="BX100" s="5">
        <f>deaths!BX100-deaths!BW100</f>
        <v>6</v>
      </c>
      <c r="BY100" s="5">
        <f>deaths!BY100-deaths!BX100</f>
        <v>8</v>
      </c>
      <c r="BZ100" s="1">
        <f>deaths!BZ100</f>
        <v>71</v>
      </c>
      <c r="CA100" s="1">
        <f>deaths!CA100</f>
        <v>78</v>
      </c>
      <c r="CB100" s="1">
        <f>deaths!CB100</f>
        <v>85</v>
      </c>
      <c r="CC100" s="1" t="str">
        <f>deaths!CC100</f>
        <v/>
      </c>
    </row>
    <row r="101">
      <c r="B101" s="1" t="str">
        <f>deaths!B101</f>
        <v>El Salvador</v>
      </c>
      <c r="C101" s="4">
        <f>deaths!C101</f>
        <v>13.7942</v>
      </c>
      <c r="D101" s="4">
        <f>deaths!D101</f>
        <v>-88.8965</v>
      </c>
      <c r="E101" s="5">
        <f>deaths!E101</f>
        <v>0</v>
      </c>
      <c r="F101" s="5">
        <f>deaths!F101-deaths!E101</f>
        <v>0</v>
      </c>
      <c r="G101" s="5">
        <f>deaths!G101-deaths!F101</f>
        <v>0</v>
      </c>
      <c r="H101" s="5">
        <f>deaths!H101-deaths!G101</f>
        <v>0</v>
      </c>
      <c r="I101" s="5">
        <f>deaths!I101-deaths!H101</f>
        <v>0</v>
      </c>
      <c r="J101" s="5">
        <f>deaths!J101-deaths!I101</f>
        <v>0</v>
      </c>
      <c r="K101" s="5">
        <f>deaths!K101-deaths!J101</f>
        <v>0</v>
      </c>
      <c r="L101" s="5">
        <f>deaths!L101-deaths!K101</f>
        <v>0</v>
      </c>
      <c r="M101" s="5">
        <f>deaths!M101-deaths!L101</f>
        <v>0</v>
      </c>
      <c r="N101" s="5">
        <f>deaths!N101-deaths!M101</f>
        <v>0</v>
      </c>
      <c r="O101" s="5">
        <f>deaths!O101-deaths!N101</f>
        <v>0</v>
      </c>
      <c r="P101" s="5">
        <f>deaths!P101-deaths!O101</f>
        <v>0</v>
      </c>
      <c r="Q101" s="5">
        <f>deaths!Q101-deaths!P101</f>
        <v>0</v>
      </c>
      <c r="R101" s="5">
        <f>deaths!R101-deaths!Q101</f>
        <v>0</v>
      </c>
      <c r="S101" s="5">
        <f>deaths!S101-deaths!R101</f>
        <v>0</v>
      </c>
      <c r="T101" s="5">
        <f>deaths!T101-deaths!S101</f>
        <v>0</v>
      </c>
      <c r="U101" s="5">
        <f>deaths!U101-deaths!T101</f>
        <v>0</v>
      </c>
      <c r="V101" s="5">
        <f>deaths!V101-deaths!U101</f>
        <v>0</v>
      </c>
      <c r="W101" s="5">
        <f>deaths!W101-deaths!V101</f>
        <v>0</v>
      </c>
      <c r="X101" s="5">
        <f>deaths!X101-deaths!W101</f>
        <v>0</v>
      </c>
      <c r="Y101" s="5">
        <f>deaths!Y101-deaths!X101</f>
        <v>0</v>
      </c>
      <c r="Z101" s="5">
        <f>deaths!Z101-deaths!Y101</f>
        <v>0</v>
      </c>
      <c r="AA101" s="5">
        <f>deaths!AA101-deaths!Z101</f>
        <v>0</v>
      </c>
      <c r="AB101" s="5">
        <f>deaths!AB101-deaths!AA101</f>
        <v>0</v>
      </c>
      <c r="AC101" s="5">
        <f>deaths!AC101-deaths!AB101</f>
        <v>0</v>
      </c>
      <c r="AD101" s="5">
        <f>deaths!AD101-deaths!AC101</f>
        <v>0</v>
      </c>
      <c r="AE101" s="5">
        <f>deaths!AE101-deaths!AD101</f>
        <v>0</v>
      </c>
      <c r="AF101" s="5">
        <f>deaths!AF101-deaths!AE101</f>
        <v>0</v>
      </c>
      <c r="AG101" s="5">
        <f>deaths!AG101-deaths!AF101</f>
        <v>0</v>
      </c>
      <c r="AH101" s="5">
        <f>deaths!AH101-deaths!AG101</f>
        <v>0</v>
      </c>
      <c r="AI101" s="5">
        <f>deaths!AI101-deaths!AH101</f>
        <v>0</v>
      </c>
      <c r="AJ101" s="5">
        <f>deaths!AJ101-deaths!AI101</f>
        <v>0</v>
      </c>
      <c r="AK101" s="5">
        <f>deaths!AK101-deaths!AJ101</f>
        <v>0</v>
      </c>
      <c r="AL101" s="5">
        <f>deaths!AL101-deaths!AK101</f>
        <v>0</v>
      </c>
      <c r="AM101" s="5">
        <f>deaths!AM101-deaths!AL101</f>
        <v>0</v>
      </c>
      <c r="AN101" s="5">
        <f>deaths!AN101-deaths!AM101</f>
        <v>0</v>
      </c>
      <c r="AO101" s="5">
        <f>deaths!AO101-deaths!AN101</f>
        <v>0</v>
      </c>
      <c r="AP101" s="5">
        <f>deaths!AP101-deaths!AO101</f>
        <v>0</v>
      </c>
      <c r="AQ101" s="5">
        <f>deaths!AQ101-deaths!AP101</f>
        <v>0</v>
      </c>
      <c r="AR101" s="5">
        <f>deaths!AR101-deaths!AQ101</f>
        <v>0</v>
      </c>
      <c r="AS101" s="5">
        <f>deaths!AS101-deaths!AR101</f>
        <v>0</v>
      </c>
      <c r="AT101" s="5">
        <f>deaths!AT101-deaths!AS101</f>
        <v>0</v>
      </c>
      <c r="AU101" s="5">
        <f>deaths!AU101-deaths!AT101</f>
        <v>0</v>
      </c>
      <c r="AV101" s="5">
        <f>deaths!AV101-deaths!AU101</f>
        <v>0</v>
      </c>
      <c r="AW101" s="5">
        <f>deaths!AW101-deaths!AV101</f>
        <v>0</v>
      </c>
      <c r="AX101" s="5">
        <f>deaths!AX101-deaths!AW101</f>
        <v>0</v>
      </c>
      <c r="AY101" s="5">
        <f>deaths!AY101-deaths!AX101</f>
        <v>0</v>
      </c>
      <c r="AZ101" s="5">
        <f>deaths!AZ101-deaths!AY101</f>
        <v>0</v>
      </c>
      <c r="BA101" s="5">
        <f>deaths!BA101-deaths!AZ101</f>
        <v>0</v>
      </c>
      <c r="BB101" s="5">
        <f>deaths!BB101-deaths!BA101</f>
        <v>0</v>
      </c>
      <c r="BC101" s="5">
        <f>deaths!BC101-deaths!BB101</f>
        <v>0</v>
      </c>
      <c r="BD101" s="5">
        <f>deaths!BD101-deaths!BC101</f>
        <v>0</v>
      </c>
      <c r="BE101" s="5">
        <f>deaths!BE101-deaths!BD101</f>
        <v>0</v>
      </c>
      <c r="BF101" s="5">
        <f>deaths!BF101-deaths!BE101</f>
        <v>0</v>
      </c>
      <c r="BG101" s="5">
        <f>deaths!BG101-deaths!BF101</f>
        <v>0</v>
      </c>
      <c r="BH101" s="5">
        <f>deaths!BH101-deaths!BG101</f>
        <v>0</v>
      </c>
      <c r="BI101" s="5">
        <f>deaths!BI101-deaths!BH101</f>
        <v>0</v>
      </c>
      <c r="BJ101" s="5">
        <f>deaths!BJ101-deaths!BI101</f>
        <v>0</v>
      </c>
      <c r="BK101" s="5">
        <f>deaths!BK101-deaths!BJ101</f>
        <v>0</v>
      </c>
      <c r="BL101" s="5">
        <f>deaths!BL101-deaths!BK101</f>
        <v>0</v>
      </c>
      <c r="BM101" s="5">
        <f>deaths!BM101-deaths!BL101</f>
        <v>0</v>
      </c>
      <c r="BN101" s="5">
        <f>deaths!BN101-deaths!BM101</f>
        <v>0</v>
      </c>
      <c r="BO101" s="5">
        <f>deaths!BO101-deaths!BN101</f>
        <v>0</v>
      </c>
      <c r="BP101" s="5">
        <f>deaths!BP101-deaths!BO101</f>
        <v>0</v>
      </c>
      <c r="BQ101" s="5">
        <f>deaths!BQ101-deaths!BP101</f>
        <v>0</v>
      </c>
      <c r="BR101" s="5">
        <f>deaths!BR101-deaths!BQ101</f>
        <v>0</v>
      </c>
      <c r="BS101" s="5">
        <f>deaths!BS101-deaths!BR101</f>
        <v>0</v>
      </c>
      <c r="BT101" s="5">
        <f>deaths!BT101-deaths!BS101</f>
        <v>0</v>
      </c>
      <c r="BU101" s="5">
        <f>deaths!BU101-deaths!BT101</f>
        <v>0</v>
      </c>
      <c r="BV101" s="5">
        <f>deaths!BV101-deaths!BU101</f>
        <v>1</v>
      </c>
      <c r="BW101" s="5">
        <f>deaths!BW101-deaths!BV101</f>
        <v>0</v>
      </c>
      <c r="BX101" s="5">
        <f>deaths!BX101-deaths!BW101</f>
        <v>1</v>
      </c>
      <c r="BY101" s="5">
        <f>deaths!BY101-deaths!BX101</f>
        <v>0</v>
      </c>
      <c r="BZ101" s="1">
        <f>deaths!BZ101</f>
        <v>3</v>
      </c>
      <c r="CA101" s="1">
        <f>deaths!CA101</f>
        <v>3</v>
      </c>
      <c r="CB101" s="1">
        <f>deaths!CB101</f>
        <v>4</v>
      </c>
      <c r="CC101" s="1" t="str">
        <f>deaths!CC101</f>
        <v/>
      </c>
    </row>
    <row r="102">
      <c r="B102" s="1" t="str">
        <f>deaths!B102</f>
        <v>Equatorial Guinea</v>
      </c>
      <c r="C102" s="4">
        <f>deaths!C102</f>
        <v>1.5</v>
      </c>
      <c r="D102" s="4">
        <f>deaths!D102</f>
        <v>10</v>
      </c>
      <c r="E102" s="5">
        <f>deaths!E102</f>
        <v>0</v>
      </c>
      <c r="F102" s="5">
        <f>deaths!F102-deaths!E102</f>
        <v>0</v>
      </c>
      <c r="G102" s="5">
        <f>deaths!G102-deaths!F102</f>
        <v>0</v>
      </c>
      <c r="H102" s="5">
        <f>deaths!H102-deaths!G102</f>
        <v>0</v>
      </c>
      <c r="I102" s="5">
        <f>deaths!I102-deaths!H102</f>
        <v>0</v>
      </c>
      <c r="J102" s="5">
        <f>deaths!J102-deaths!I102</f>
        <v>0</v>
      </c>
      <c r="K102" s="5">
        <f>deaths!K102-deaths!J102</f>
        <v>0</v>
      </c>
      <c r="L102" s="5">
        <f>deaths!L102-deaths!K102</f>
        <v>0</v>
      </c>
      <c r="M102" s="5">
        <f>deaths!M102-deaths!L102</f>
        <v>0</v>
      </c>
      <c r="N102" s="5">
        <f>deaths!N102-deaths!M102</f>
        <v>0</v>
      </c>
      <c r="O102" s="5">
        <f>deaths!O102-deaths!N102</f>
        <v>0</v>
      </c>
      <c r="P102" s="5">
        <f>deaths!P102-deaths!O102</f>
        <v>0</v>
      </c>
      <c r="Q102" s="5">
        <f>deaths!Q102-deaths!P102</f>
        <v>0</v>
      </c>
      <c r="R102" s="5">
        <f>deaths!R102-deaths!Q102</f>
        <v>0</v>
      </c>
      <c r="S102" s="5">
        <f>deaths!S102-deaths!R102</f>
        <v>0</v>
      </c>
      <c r="T102" s="5">
        <f>deaths!T102-deaths!S102</f>
        <v>0</v>
      </c>
      <c r="U102" s="5">
        <f>deaths!U102-deaths!T102</f>
        <v>0</v>
      </c>
      <c r="V102" s="5">
        <f>deaths!V102-deaths!U102</f>
        <v>0</v>
      </c>
      <c r="W102" s="5">
        <f>deaths!W102-deaths!V102</f>
        <v>0</v>
      </c>
      <c r="X102" s="5">
        <f>deaths!X102-deaths!W102</f>
        <v>0</v>
      </c>
      <c r="Y102" s="5">
        <f>deaths!Y102-deaths!X102</f>
        <v>0</v>
      </c>
      <c r="Z102" s="5">
        <f>deaths!Z102-deaths!Y102</f>
        <v>0</v>
      </c>
      <c r="AA102" s="5">
        <f>deaths!AA102-deaths!Z102</f>
        <v>0</v>
      </c>
      <c r="AB102" s="5">
        <f>deaths!AB102-deaths!AA102</f>
        <v>0</v>
      </c>
      <c r="AC102" s="5">
        <f>deaths!AC102-deaths!AB102</f>
        <v>0</v>
      </c>
      <c r="AD102" s="5">
        <f>deaths!AD102-deaths!AC102</f>
        <v>0</v>
      </c>
      <c r="AE102" s="5">
        <f>deaths!AE102-deaths!AD102</f>
        <v>0</v>
      </c>
      <c r="AF102" s="5">
        <f>deaths!AF102-deaths!AE102</f>
        <v>0</v>
      </c>
      <c r="AG102" s="5">
        <f>deaths!AG102-deaths!AF102</f>
        <v>0</v>
      </c>
      <c r="AH102" s="5">
        <f>deaths!AH102-deaths!AG102</f>
        <v>0</v>
      </c>
      <c r="AI102" s="5">
        <f>deaths!AI102-deaths!AH102</f>
        <v>0</v>
      </c>
      <c r="AJ102" s="5">
        <f>deaths!AJ102-deaths!AI102</f>
        <v>0</v>
      </c>
      <c r="AK102" s="5">
        <f>deaths!AK102-deaths!AJ102</f>
        <v>0</v>
      </c>
      <c r="AL102" s="5">
        <f>deaths!AL102-deaths!AK102</f>
        <v>0</v>
      </c>
      <c r="AM102" s="5">
        <f>deaths!AM102-deaths!AL102</f>
        <v>0</v>
      </c>
      <c r="AN102" s="5">
        <f>deaths!AN102-deaths!AM102</f>
        <v>0</v>
      </c>
      <c r="AO102" s="5">
        <f>deaths!AO102-deaths!AN102</f>
        <v>0</v>
      </c>
      <c r="AP102" s="5">
        <f>deaths!AP102-deaths!AO102</f>
        <v>0</v>
      </c>
      <c r="AQ102" s="5">
        <f>deaths!AQ102-deaths!AP102</f>
        <v>0</v>
      </c>
      <c r="AR102" s="5">
        <f>deaths!AR102-deaths!AQ102</f>
        <v>0</v>
      </c>
      <c r="AS102" s="5">
        <f>deaths!AS102-deaths!AR102</f>
        <v>0</v>
      </c>
      <c r="AT102" s="5">
        <f>deaths!AT102-deaths!AS102</f>
        <v>0</v>
      </c>
      <c r="AU102" s="5">
        <f>deaths!AU102-deaths!AT102</f>
        <v>0</v>
      </c>
      <c r="AV102" s="5">
        <f>deaths!AV102-deaths!AU102</f>
        <v>0</v>
      </c>
      <c r="AW102" s="5">
        <f>deaths!AW102-deaths!AV102</f>
        <v>0</v>
      </c>
      <c r="AX102" s="5">
        <f>deaths!AX102-deaths!AW102</f>
        <v>0</v>
      </c>
      <c r="AY102" s="5">
        <f>deaths!AY102-deaths!AX102</f>
        <v>0</v>
      </c>
      <c r="AZ102" s="5">
        <f>deaths!AZ102-deaths!AY102</f>
        <v>0</v>
      </c>
      <c r="BA102" s="5">
        <f>deaths!BA102-deaths!AZ102</f>
        <v>0</v>
      </c>
      <c r="BB102" s="5">
        <f>deaths!BB102-deaths!BA102</f>
        <v>0</v>
      </c>
      <c r="BC102" s="5">
        <f>deaths!BC102-deaths!BB102</f>
        <v>0</v>
      </c>
      <c r="BD102" s="5">
        <f>deaths!BD102-deaths!BC102</f>
        <v>0</v>
      </c>
      <c r="BE102" s="5">
        <f>deaths!BE102-deaths!BD102</f>
        <v>0</v>
      </c>
      <c r="BF102" s="5">
        <f>deaths!BF102-deaths!BE102</f>
        <v>0</v>
      </c>
      <c r="BG102" s="5">
        <f>deaths!BG102-deaths!BF102</f>
        <v>0</v>
      </c>
      <c r="BH102" s="5">
        <f>deaths!BH102-deaths!BG102</f>
        <v>0</v>
      </c>
      <c r="BI102" s="5">
        <f>deaths!BI102-deaths!BH102</f>
        <v>0</v>
      </c>
      <c r="BJ102" s="5">
        <f>deaths!BJ102-deaths!BI102</f>
        <v>0</v>
      </c>
      <c r="BK102" s="5">
        <f>deaths!BK102-deaths!BJ102</f>
        <v>0</v>
      </c>
      <c r="BL102" s="5">
        <f>deaths!BL102-deaths!BK102</f>
        <v>0</v>
      </c>
      <c r="BM102" s="5">
        <f>deaths!BM102-deaths!BL102</f>
        <v>0</v>
      </c>
      <c r="BN102" s="5">
        <f>deaths!BN102-deaths!BM102</f>
        <v>0</v>
      </c>
      <c r="BO102" s="5">
        <f>deaths!BO102-deaths!BN102</f>
        <v>0</v>
      </c>
      <c r="BP102" s="5">
        <f>deaths!BP102-deaths!BO102</f>
        <v>0</v>
      </c>
      <c r="BQ102" s="5">
        <f>deaths!BQ102-deaths!BP102</f>
        <v>0</v>
      </c>
      <c r="BR102" s="5">
        <f>deaths!BR102-deaths!BQ102</f>
        <v>0</v>
      </c>
      <c r="BS102" s="5">
        <f>deaths!BS102-deaths!BR102</f>
        <v>0</v>
      </c>
      <c r="BT102" s="5">
        <f>deaths!BT102-deaths!BS102</f>
        <v>0</v>
      </c>
      <c r="BU102" s="5">
        <f>deaths!BU102-deaths!BT102</f>
        <v>0</v>
      </c>
      <c r="BV102" s="5">
        <f>deaths!BV102-deaths!BU102</f>
        <v>0</v>
      </c>
      <c r="BW102" s="5">
        <f>deaths!BW102-deaths!BV102</f>
        <v>0</v>
      </c>
      <c r="BX102" s="5">
        <f>deaths!BX102-deaths!BW102</f>
        <v>0</v>
      </c>
      <c r="BY102" s="5">
        <f>deaths!BY102-deaths!BX102</f>
        <v>0</v>
      </c>
      <c r="BZ102" s="1">
        <f>deaths!BZ102</f>
        <v>0</v>
      </c>
      <c r="CA102" s="1">
        <f>deaths!CA102</f>
        <v>0</v>
      </c>
      <c r="CB102" s="1">
        <f>deaths!CB102</f>
        <v>0</v>
      </c>
      <c r="CC102" s="1" t="str">
        <f>deaths!CC102</f>
        <v/>
      </c>
    </row>
    <row r="103">
      <c r="B103" s="1" t="str">
        <f>deaths!B103</f>
        <v>Eritrea</v>
      </c>
      <c r="C103" s="4">
        <f>deaths!C103</f>
        <v>15.1794</v>
      </c>
      <c r="D103" s="4">
        <f>deaths!D103</f>
        <v>39.7823</v>
      </c>
      <c r="E103" s="5">
        <f>deaths!E103</f>
        <v>0</v>
      </c>
      <c r="F103" s="5">
        <f>deaths!F103-deaths!E103</f>
        <v>0</v>
      </c>
      <c r="G103" s="5">
        <f>deaths!G103-deaths!F103</f>
        <v>0</v>
      </c>
      <c r="H103" s="5">
        <f>deaths!H103-deaths!G103</f>
        <v>0</v>
      </c>
      <c r="I103" s="5">
        <f>deaths!I103-deaths!H103</f>
        <v>0</v>
      </c>
      <c r="J103" s="5">
        <f>deaths!J103-deaths!I103</f>
        <v>0</v>
      </c>
      <c r="K103" s="5">
        <f>deaths!K103-deaths!J103</f>
        <v>0</v>
      </c>
      <c r="L103" s="5">
        <f>deaths!L103-deaths!K103</f>
        <v>0</v>
      </c>
      <c r="M103" s="5">
        <f>deaths!M103-deaths!L103</f>
        <v>0</v>
      </c>
      <c r="N103" s="5">
        <f>deaths!N103-deaths!M103</f>
        <v>0</v>
      </c>
      <c r="O103" s="5">
        <f>deaths!O103-deaths!N103</f>
        <v>0</v>
      </c>
      <c r="P103" s="5">
        <f>deaths!P103-deaths!O103</f>
        <v>0</v>
      </c>
      <c r="Q103" s="5">
        <f>deaths!Q103-deaths!P103</f>
        <v>0</v>
      </c>
      <c r="R103" s="5">
        <f>deaths!R103-deaths!Q103</f>
        <v>0</v>
      </c>
      <c r="S103" s="5">
        <f>deaths!S103-deaths!R103</f>
        <v>0</v>
      </c>
      <c r="T103" s="5">
        <f>deaths!T103-deaths!S103</f>
        <v>0</v>
      </c>
      <c r="U103" s="5">
        <f>deaths!U103-deaths!T103</f>
        <v>0</v>
      </c>
      <c r="V103" s="5">
        <f>deaths!V103-deaths!U103</f>
        <v>0</v>
      </c>
      <c r="W103" s="5">
        <f>deaths!W103-deaths!V103</f>
        <v>0</v>
      </c>
      <c r="X103" s="5">
        <f>deaths!X103-deaths!W103</f>
        <v>0</v>
      </c>
      <c r="Y103" s="5">
        <f>deaths!Y103-deaths!X103</f>
        <v>0</v>
      </c>
      <c r="Z103" s="5">
        <f>deaths!Z103-deaths!Y103</f>
        <v>0</v>
      </c>
      <c r="AA103" s="5">
        <f>deaths!AA103-deaths!Z103</f>
        <v>0</v>
      </c>
      <c r="AB103" s="5">
        <f>deaths!AB103-deaths!AA103</f>
        <v>0</v>
      </c>
      <c r="AC103" s="5">
        <f>deaths!AC103-deaths!AB103</f>
        <v>0</v>
      </c>
      <c r="AD103" s="5">
        <f>deaths!AD103-deaths!AC103</f>
        <v>0</v>
      </c>
      <c r="AE103" s="5">
        <f>deaths!AE103-deaths!AD103</f>
        <v>0</v>
      </c>
      <c r="AF103" s="5">
        <f>deaths!AF103-deaths!AE103</f>
        <v>0</v>
      </c>
      <c r="AG103" s="5">
        <f>deaths!AG103-deaths!AF103</f>
        <v>0</v>
      </c>
      <c r="AH103" s="5">
        <f>deaths!AH103-deaths!AG103</f>
        <v>0</v>
      </c>
      <c r="AI103" s="5">
        <f>deaths!AI103-deaths!AH103</f>
        <v>0</v>
      </c>
      <c r="AJ103" s="5">
        <f>deaths!AJ103-deaths!AI103</f>
        <v>0</v>
      </c>
      <c r="AK103" s="5">
        <f>deaths!AK103-deaths!AJ103</f>
        <v>0</v>
      </c>
      <c r="AL103" s="5">
        <f>deaths!AL103-deaths!AK103</f>
        <v>0</v>
      </c>
      <c r="AM103" s="5">
        <f>deaths!AM103-deaths!AL103</f>
        <v>0</v>
      </c>
      <c r="AN103" s="5">
        <f>deaths!AN103-deaths!AM103</f>
        <v>0</v>
      </c>
      <c r="AO103" s="5">
        <f>deaths!AO103-deaths!AN103</f>
        <v>0</v>
      </c>
      <c r="AP103" s="5">
        <f>deaths!AP103-deaths!AO103</f>
        <v>0</v>
      </c>
      <c r="AQ103" s="5">
        <f>deaths!AQ103-deaths!AP103</f>
        <v>0</v>
      </c>
      <c r="AR103" s="5">
        <f>deaths!AR103-deaths!AQ103</f>
        <v>0</v>
      </c>
      <c r="AS103" s="5">
        <f>deaths!AS103-deaths!AR103</f>
        <v>0</v>
      </c>
      <c r="AT103" s="5">
        <f>deaths!AT103-deaths!AS103</f>
        <v>0</v>
      </c>
      <c r="AU103" s="5">
        <f>deaths!AU103-deaths!AT103</f>
        <v>0</v>
      </c>
      <c r="AV103" s="5">
        <f>deaths!AV103-deaths!AU103</f>
        <v>0</v>
      </c>
      <c r="AW103" s="5">
        <f>deaths!AW103-deaths!AV103</f>
        <v>0</v>
      </c>
      <c r="AX103" s="5">
        <f>deaths!AX103-deaths!AW103</f>
        <v>0</v>
      </c>
      <c r="AY103" s="5">
        <f>deaths!AY103-deaths!AX103</f>
        <v>0</v>
      </c>
      <c r="AZ103" s="5">
        <f>deaths!AZ103-deaths!AY103</f>
        <v>0</v>
      </c>
      <c r="BA103" s="5">
        <f>deaths!BA103-deaths!AZ103</f>
        <v>0</v>
      </c>
      <c r="BB103" s="5">
        <f>deaths!BB103-deaths!BA103</f>
        <v>0</v>
      </c>
      <c r="BC103" s="5">
        <f>deaths!BC103-deaths!BB103</f>
        <v>0</v>
      </c>
      <c r="BD103" s="5">
        <f>deaths!BD103-deaths!BC103</f>
        <v>0</v>
      </c>
      <c r="BE103" s="5">
        <f>deaths!BE103-deaths!BD103</f>
        <v>0</v>
      </c>
      <c r="BF103" s="5">
        <f>deaths!BF103-deaths!BE103</f>
        <v>0</v>
      </c>
      <c r="BG103" s="5">
        <f>deaths!BG103-deaths!BF103</f>
        <v>0</v>
      </c>
      <c r="BH103" s="5">
        <f>deaths!BH103-deaths!BG103</f>
        <v>0</v>
      </c>
      <c r="BI103" s="5">
        <f>deaths!BI103-deaths!BH103</f>
        <v>0</v>
      </c>
      <c r="BJ103" s="5">
        <f>deaths!BJ103-deaths!BI103</f>
        <v>0</v>
      </c>
      <c r="BK103" s="5">
        <f>deaths!BK103-deaths!BJ103</f>
        <v>0</v>
      </c>
      <c r="BL103" s="5">
        <f>deaths!BL103-deaths!BK103</f>
        <v>0</v>
      </c>
      <c r="BM103" s="5">
        <f>deaths!BM103-deaths!BL103</f>
        <v>0</v>
      </c>
      <c r="BN103" s="5">
        <f>deaths!BN103-deaths!BM103</f>
        <v>0</v>
      </c>
      <c r="BO103" s="5">
        <f>deaths!BO103-deaths!BN103</f>
        <v>0</v>
      </c>
      <c r="BP103" s="5">
        <f>deaths!BP103-deaths!BO103</f>
        <v>0</v>
      </c>
      <c r="BQ103" s="5">
        <f>deaths!BQ103-deaths!BP103</f>
        <v>0</v>
      </c>
      <c r="BR103" s="5">
        <f>deaths!BR103-deaths!BQ103</f>
        <v>0</v>
      </c>
      <c r="BS103" s="5">
        <f>deaths!BS103-deaths!BR103</f>
        <v>0</v>
      </c>
      <c r="BT103" s="5">
        <f>deaths!BT103-deaths!BS103</f>
        <v>0</v>
      </c>
      <c r="BU103" s="5">
        <f>deaths!BU103-deaths!BT103</f>
        <v>0</v>
      </c>
      <c r="BV103" s="5">
        <f>deaths!BV103-deaths!BU103</f>
        <v>0</v>
      </c>
      <c r="BW103" s="5">
        <f>deaths!BW103-deaths!BV103</f>
        <v>0</v>
      </c>
      <c r="BX103" s="5">
        <f>deaths!BX103-deaths!BW103</f>
        <v>0</v>
      </c>
      <c r="BY103" s="5">
        <f>deaths!BY103-deaths!BX103</f>
        <v>0</v>
      </c>
      <c r="BZ103" s="1">
        <f>deaths!BZ103</f>
        <v>0</v>
      </c>
      <c r="CA103" s="1">
        <f>deaths!CA103</f>
        <v>0</v>
      </c>
      <c r="CB103" s="1">
        <f>deaths!CB103</f>
        <v>0</v>
      </c>
      <c r="CC103" s="1" t="str">
        <f>deaths!CC103</f>
        <v/>
      </c>
    </row>
    <row r="104">
      <c r="B104" s="1" t="str">
        <f>deaths!B104</f>
        <v>Estonia</v>
      </c>
      <c r="C104" s="4">
        <f>deaths!C104</f>
        <v>58.5953</v>
      </c>
      <c r="D104" s="4">
        <f>deaths!D104</f>
        <v>25.0136</v>
      </c>
      <c r="E104" s="5">
        <f>deaths!E104</f>
        <v>0</v>
      </c>
      <c r="F104" s="5">
        <f>deaths!F104-deaths!E104</f>
        <v>0</v>
      </c>
      <c r="G104" s="5">
        <f>deaths!G104-deaths!F104</f>
        <v>0</v>
      </c>
      <c r="H104" s="5">
        <f>deaths!H104-deaths!G104</f>
        <v>0</v>
      </c>
      <c r="I104" s="5">
        <f>deaths!I104-deaths!H104</f>
        <v>0</v>
      </c>
      <c r="J104" s="5">
        <f>deaths!J104-deaths!I104</f>
        <v>0</v>
      </c>
      <c r="K104" s="5">
        <f>deaths!K104-deaths!J104</f>
        <v>0</v>
      </c>
      <c r="L104" s="5">
        <f>deaths!L104-deaths!K104</f>
        <v>0</v>
      </c>
      <c r="M104" s="5">
        <f>deaths!M104-deaths!L104</f>
        <v>0</v>
      </c>
      <c r="N104" s="5">
        <f>deaths!N104-deaths!M104</f>
        <v>0</v>
      </c>
      <c r="O104" s="5">
        <f>deaths!O104-deaths!N104</f>
        <v>0</v>
      </c>
      <c r="P104" s="5">
        <f>deaths!P104-deaths!O104</f>
        <v>0</v>
      </c>
      <c r="Q104" s="5">
        <f>deaths!Q104-deaths!P104</f>
        <v>0</v>
      </c>
      <c r="R104" s="5">
        <f>deaths!R104-deaths!Q104</f>
        <v>0</v>
      </c>
      <c r="S104" s="5">
        <f>deaths!S104-deaths!R104</f>
        <v>0</v>
      </c>
      <c r="T104" s="5">
        <f>deaths!T104-deaths!S104</f>
        <v>0</v>
      </c>
      <c r="U104" s="5">
        <f>deaths!U104-deaths!T104</f>
        <v>0</v>
      </c>
      <c r="V104" s="5">
        <f>deaths!V104-deaths!U104</f>
        <v>0</v>
      </c>
      <c r="W104" s="5">
        <f>deaths!W104-deaths!V104</f>
        <v>0</v>
      </c>
      <c r="X104" s="5">
        <f>deaths!X104-deaths!W104</f>
        <v>0</v>
      </c>
      <c r="Y104" s="5">
        <f>deaths!Y104-deaths!X104</f>
        <v>0</v>
      </c>
      <c r="Z104" s="5">
        <f>deaths!Z104-deaths!Y104</f>
        <v>0</v>
      </c>
      <c r="AA104" s="5">
        <f>deaths!AA104-deaths!Z104</f>
        <v>0</v>
      </c>
      <c r="AB104" s="5">
        <f>deaths!AB104-deaths!AA104</f>
        <v>0</v>
      </c>
      <c r="AC104" s="5">
        <f>deaths!AC104-deaths!AB104</f>
        <v>0</v>
      </c>
      <c r="AD104" s="5">
        <f>deaths!AD104-deaths!AC104</f>
        <v>0</v>
      </c>
      <c r="AE104" s="5">
        <f>deaths!AE104-deaths!AD104</f>
        <v>0</v>
      </c>
      <c r="AF104" s="5">
        <f>deaths!AF104-deaths!AE104</f>
        <v>0</v>
      </c>
      <c r="AG104" s="5">
        <f>deaths!AG104-deaths!AF104</f>
        <v>0</v>
      </c>
      <c r="AH104" s="5">
        <f>deaths!AH104-deaths!AG104</f>
        <v>0</v>
      </c>
      <c r="AI104" s="5">
        <f>deaths!AI104-deaths!AH104</f>
        <v>0</v>
      </c>
      <c r="AJ104" s="5">
        <f>deaths!AJ104-deaths!AI104</f>
        <v>0</v>
      </c>
      <c r="AK104" s="5">
        <f>deaths!AK104-deaths!AJ104</f>
        <v>0</v>
      </c>
      <c r="AL104" s="5">
        <f>deaths!AL104-deaths!AK104</f>
        <v>0</v>
      </c>
      <c r="AM104" s="5">
        <f>deaths!AM104-deaths!AL104</f>
        <v>0</v>
      </c>
      <c r="AN104" s="5">
        <f>deaths!AN104-deaths!AM104</f>
        <v>0</v>
      </c>
      <c r="AO104" s="5">
        <f>deaths!AO104-deaths!AN104</f>
        <v>0</v>
      </c>
      <c r="AP104" s="5">
        <f>deaths!AP104-deaths!AO104</f>
        <v>0</v>
      </c>
      <c r="AQ104" s="5">
        <f>deaths!AQ104-deaths!AP104</f>
        <v>0</v>
      </c>
      <c r="AR104" s="5">
        <f>deaths!AR104-deaths!AQ104</f>
        <v>0</v>
      </c>
      <c r="AS104" s="5">
        <f>deaths!AS104-deaths!AR104</f>
        <v>0</v>
      </c>
      <c r="AT104" s="5">
        <f>deaths!AT104-deaths!AS104</f>
        <v>0</v>
      </c>
      <c r="AU104" s="5">
        <f>deaths!AU104-deaths!AT104</f>
        <v>0</v>
      </c>
      <c r="AV104" s="5">
        <f>deaths!AV104-deaths!AU104</f>
        <v>0</v>
      </c>
      <c r="AW104" s="5">
        <f>deaths!AW104-deaths!AV104</f>
        <v>0</v>
      </c>
      <c r="AX104" s="5">
        <f>deaths!AX104-deaths!AW104</f>
        <v>0</v>
      </c>
      <c r="AY104" s="5">
        <f>deaths!AY104-deaths!AX104</f>
        <v>0</v>
      </c>
      <c r="AZ104" s="5">
        <f>deaths!AZ104-deaths!AY104</f>
        <v>0</v>
      </c>
      <c r="BA104" s="5">
        <f>deaths!BA104-deaths!AZ104</f>
        <v>0</v>
      </c>
      <c r="BB104" s="5">
        <f>deaths!BB104-deaths!BA104</f>
        <v>0</v>
      </c>
      <c r="BC104" s="5">
        <f>deaths!BC104-deaths!BB104</f>
        <v>0</v>
      </c>
      <c r="BD104" s="5">
        <f>deaths!BD104-deaths!BC104</f>
        <v>0</v>
      </c>
      <c r="BE104" s="5">
        <f>deaths!BE104-deaths!BD104</f>
        <v>0</v>
      </c>
      <c r="BF104" s="5">
        <f>deaths!BF104-deaths!BE104</f>
        <v>0</v>
      </c>
      <c r="BG104" s="5">
        <f>deaths!BG104-deaths!BF104</f>
        <v>0</v>
      </c>
      <c r="BH104" s="5">
        <f>deaths!BH104-deaths!BG104</f>
        <v>0</v>
      </c>
      <c r="BI104" s="5">
        <f>deaths!BI104-deaths!BH104</f>
        <v>0</v>
      </c>
      <c r="BJ104" s="5">
        <f>deaths!BJ104-deaths!BI104</f>
        <v>0</v>
      </c>
      <c r="BK104" s="5">
        <f>deaths!BK104-deaths!BJ104</f>
        <v>0</v>
      </c>
      <c r="BL104" s="5">
        <f>deaths!BL104-deaths!BK104</f>
        <v>0</v>
      </c>
      <c r="BM104" s="5">
        <f>deaths!BM104-deaths!BL104</f>
        <v>0</v>
      </c>
      <c r="BN104" s="5">
        <f>deaths!BN104-deaths!BM104</f>
        <v>0</v>
      </c>
      <c r="BO104" s="5">
        <f>deaths!BO104-deaths!BN104</f>
        <v>0</v>
      </c>
      <c r="BP104" s="5">
        <f>deaths!BP104-deaths!BO104</f>
        <v>1</v>
      </c>
      <c r="BQ104" s="5">
        <f>deaths!BQ104-deaths!BP104</f>
        <v>0</v>
      </c>
      <c r="BR104" s="5">
        <f>deaths!BR104-deaths!BQ104</f>
        <v>0</v>
      </c>
      <c r="BS104" s="5">
        <f>deaths!BS104-deaths!BR104</f>
        <v>0</v>
      </c>
      <c r="BT104" s="5">
        <f>deaths!BT104-deaths!BS104</f>
        <v>2</v>
      </c>
      <c r="BU104" s="5">
        <f>deaths!BU104-deaths!BT104</f>
        <v>0</v>
      </c>
      <c r="BV104" s="5">
        <f>deaths!BV104-deaths!BU104</f>
        <v>1</v>
      </c>
      <c r="BW104" s="5">
        <f>deaths!BW104-deaths!BV104</f>
        <v>1</v>
      </c>
      <c r="BX104" s="5">
        <f>deaths!BX104-deaths!BW104</f>
        <v>6</v>
      </c>
      <c r="BY104" s="5">
        <f>deaths!BY104-deaths!BX104</f>
        <v>1</v>
      </c>
      <c r="BZ104" s="1">
        <f>deaths!BZ104</f>
        <v>13</v>
      </c>
      <c r="CA104" s="1">
        <f>deaths!CA104</f>
        <v>15</v>
      </c>
      <c r="CB104" s="1">
        <f>deaths!CB104</f>
        <v>19</v>
      </c>
      <c r="CC104" s="1" t="str">
        <f>deaths!CC104</f>
        <v/>
      </c>
    </row>
    <row r="105">
      <c r="B105" s="1" t="str">
        <f>deaths!B105</f>
        <v>Eswatini</v>
      </c>
      <c r="C105" s="4">
        <f>deaths!C105</f>
        <v>-26.5225</v>
      </c>
      <c r="D105" s="4">
        <f>deaths!D105</f>
        <v>31.4659</v>
      </c>
      <c r="E105" s="5">
        <f>deaths!E105</f>
        <v>0</v>
      </c>
      <c r="F105" s="5">
        <f>deaths!F105-deaths!E105</f>
        <v>0</v>
      </c>
      <c r="G105" s="5">
        <f>deaths!G105-deaths!F105</f>
        <v>0</v>
      </c>
      <c r="H105" s="5">
        <f>deaths!H105-deaths!G105</f>
        <v>0</v>
      </c>
      <c r="I105" s="5">
        <f>deaths!I105-deaths!H105</f>
        <v>0</v>
      </c>
      <c r="J105" s="5">
        <f>deaths!J105-deaths!I105</f>
        <v>0</v>
      </c>
      <c r="K105" s="5">
        <f>deaths!K105-deaths!J105</f>
        <v>0</v>
      </c>
      <c r="L105" s="5">
        <f>deaths!L105-deaths!K105</f>
        <v>0</v>
      </c>
      <c r="M105" s="5">
        <f>deaths!M105-deaths!L105</f>
        <v>0</v>
      </c>
      <c r="N105" s="5">
        <f>deaths!N105-deaths!M105</f>
        <v>0</v>
      </c>
      <c r="O105" s="5">
        <f>deaths!O105-deaths!N105</f>
        <v>0</v>
      </c>
      <c r="P105" s="5">
        <f>deaths!P105-deaths!O105</f>
        <v>0</v>
      </c>
      <c r="Q105" s="5">
        <f>deaths!Q105-deaths!P105</f>
        <v>0</v>
      </c>
      <c r="R105" s="5">
        <f>deaths!R105-deaths!Q105</f>
        <v>0</v>
      </c>
      <c r="S105" s="5">
        <f>deaths!S105-deaths!R105</f>
        <v>0</v>
      </c>
      <c r="T105" s="5">
        <f>deaths!T105-deaths!S105</f>
        <v>0</v>
      </c>
      <c r="U105" s="5">
        <f>deaths!U105-deaths!T105</f>
        <v>0</v>
      </c>
      <c r="V105" s="5">
        <f>deaths!V105-deaths!U105</f>
        <v>0</v>
      </c>
      <c r="W105" s="5">
        <f>deaths!W105-deaths!V105</f>
        <v>0</v>
      </c>
      <c r="X105" s="5">
        <f>deaths!X105-deaths!W105</f>
        <v>0</v>
      </c>
      <c r="Y105" s="5">
        <f>deaths!Y105-deaths!X105</f>
        <v>0</v>
      </c>
      <c r="Z105" s="5">
        <f>deaths!Z105-deaths!Y105</f>
        <v>0</v>
      </c>
      <c r="AA105" s="5">
        <f>deaths!AA105-deaths!Z105</f>
        <v>0</v>
      </c>
      <c r="AB105" s="5">
        <f>deaths!AB105-deaths!AA105</f>
        <v>0</v>
      </c>
      <c r="AC105" s="5">
        <f>deaths!AC105-deaths!AB105</f>
        <v>0</v>
      </c>
      <c r="AD105" s="5">
        <f>deaths!AD105-deaths!AC105</f>
        <v>0</v>
      </c>
      <c r="AE105" s="5">
        <f>deaths!AE105-deaths!AD105</f>
        <v>0</v>
      </c>
      <c r="AF105" s="5">
        <f>deaths!AF105-deaths!AE105</f>
        <v>0</v>
      </c>
      <c r="AG105" s="5">
        <f>deaths!AG105-deaths!AF105</f>
        <v>0</v>
      </c>
      <c r="AH105" s="5">
        <f>deaths!AH105-deaths!AG105</f>
        <v>0</v>
      </c>
      <c r="AI105" s="5">
        <f>deaths!AI105-deaths!AH105</f>
        <v>0</v>
      </c>
      <c r="AJ105" s="5">
        <f>deaths!AJ105-deaths!AI105</f>
        <v>0</v>
      </c>
      <c r="AK105" s="5">
        <f>deaths!AK105-deaths!AJ105</f>
        <v>0</v>
      </c>
      <c r="AL105" s="5">
        <f>deaths!AL105-deaths!AK105</f>
        <v>0</v>
      </c>
      <c r="AM105" s="5">
        <f>deaths!AM105-deaths!AL105</f>
        <v>0</v>
      </c>
      <c r="AN105" s="5">
        <f>deaths!AN105-deaths!AM105</f>
        <v>0</v>
      </c>
      <c r="AO105" s="5">
        <f>deaths!AO105-deaths!AN105</f>
        <v>0</v>
      </c>
      <c r="AP105" s="5">
        <f>deaths!AP105-deaths!AO105</f>
        <v>0</v>
      </c>
      <c r="AQ105" s="5">
        <f>deaths!AQ105-deaths!AP105</f>
        <v>0</v>
      </c>
      <c r="AR105" s="5">
        <f>deaths!AR105-deaths!AQ105</f>
        <v>0</v>
      </c>
      <c r="AS105" s="5">
        <f>deaths!AS105-deaths!AR105</f>
        <v>0</v>
      </c>
      <c r="AT105" s="5">
        <f>deaths!AT105-deaths!AS105</f>
        <v>0</v>
      </c>
      <c r="AU105" s="5">
        <f>deaths!AU105-deaths!AT105</f>
        <v>0</v>
      </c>
      <c r="AV105" s="5">
        <f>deaths!AV105-deaths!AU105</f>
        <v>0</v>
      </c>
      <c r="AW105" s="5">
        <f>deaths!AW105-deaths!AV105</f>
        <v>0</v>
      </c>
      <c r="AX105" s="5">
        <f>deaths!AX105-deaths!AW105</f>
        <v>0</v>
      </c>
      <c r="AY105" s="5">
        <f>deaths!AY105-deaths!AX105</f>
        <v>0</v>
      </c>
      <c r="AZ105" s="5">
        <f>deaths!AZ105-deaths!AY105</f>
        <v>0</v>
      </c>
      <c r="BA105" s="5">
        <f>deaths!BA105-deaths!AZ105</f>
        <v>0</v>
      </c>
      <c r="BB105" s="5">
        <f>deaths!BB105-deaths!BA105</f>
        <v>0</v>
      </c>
      <c r="BC105" s="5">
        <f>deaths!BC105-deaths!BB105</f>
        <v>0</v>
      </c>
      <c r="BD105" s="5">
        <f>deaths!BD105-deaths!BC105</f>
        <v>0</v>
      </c>
      <c r="BE105" s="5">
        <f>deaths!BE105-deaths!BD105</f>
        <v>0</v>
      </c>
      <c r="BF105" s="5">
        <f>deaths!BF105-deaths!BE105</f>
        <v>0</v>
      </c>
      <c r="BG105" s="5">
        <f>deaths!BG105-deaths!BF105</f>
        <v>0</v>
      </c>
      <c r="BH105" s="5">
        <f>deaths!BH105-deaths!BG105</f>
        <v>0</v>
      </c>
      <c r="BI105" s="5">
        <f>deaths!BI105-deaths!BH105</f>
        <v>0</v>
      </c>
      <c r="BJ105" s="5">
        <f>deaths!BJ105-deaths!BI105</f>
        <v>0</v>
      </c>
      <c r="BK105" s="5">
        <f>deaths!BK105-deaths!BJ105</f>
        <v>0</v>
      </c>
      <c r="BL105" s="5">
        <f>deaths!BL105-deaths!BK105</f>
        <v>0</v>
      </c>
      <c r="BM105" s="5">
        <f>deaths!BM105-deaths!BL105</f>
        <v>0</v>
      </c>
      <c r="BN105" s="5">
        <f>deaths!BN105-deaths!BM105</f>
        <v>0</v>
      </c>
      <c r="BO105" s="5">
        <f>deaths!BO105-deaths!BN105</f>
        <v>0</v>
      </c>
      <c r="BP105" s="5">
        <f>deaths!BP105-deaths!BO105</f>
        <v>0</v>
      </c>
      <c r="BQ105" s="5">
        <f>deaths!BQ105-deaths!BP105</f>
        <v>0</v>
      </c>
      <c r="BR105" s="5">
        <f>deaths!BR105-deaths!BQ105</f>
        <v>0</v>
      </c>
      <c r="BS105" s="5">
        <f>deaths!BS105-deaths!BR105</f>
        <v>0</v>
      </c>
      <c r="BT105" s="5">
        <f>deaths!BT105-deaths!BS105</f>
        <v>0</v>
      </c>
      <c r="BU105" s="5">
        <f>deaths!BU105-deaths!BT105</f>
        <v>0</v>
      </c>
      <c r="BV105" s="5">
        <f>deaths!BV105-deaths!BU105</f>
        <v>0</v>
      </c>
      <c r="BW105" s="5">
        <f>deaths!BW105-deaths!BV105</f>
        <v>0</v>
      </c>
      <c r="BX105" s="5">
        <f>deaths!BX105-deaths!BW105</f>
        <v>0</v>
      </c>
      <c r="BY105" s="5">
        <f>deaths!BY105-deaths!BX105</f>
        <v>0</v>
      </c>
      <c r="BZ105" s="1">
        <f>deaths!BZ105</f>
        <v>0</v>
      </c>
      <c r="CA105" s="1">
        <f>deaths!CA105</f>
        <v>0</v>
      </c>
      <c r="CB105" s="1">
        <f>deaths!CB105</f>
        <v>0</v>
      </c>
      <c r="CC105" s="1" t="str">
        <f>deaths!CC105</f>
        <v/>
      </c>
    </row>
    <row r="106">
      <c r="B106" s="1" t="str">
        <f>deaths!B106</f>
        <v>Ethiopia</v>
      </c>
      <c r="C106" s="4">
        <f>deaths!C106</f>
        <v>9.145</v>
      </c>
      <c r="D106" s="4">
        <f>deaths!D106</f>
        <v>40.4897</v>
      </c>
      <c r="E106" s="5">
        <f>deaths!E106</f>
        <v>0</v>
      </c>
      <c r="F106" s="5">
        <f>deaths!F106-deaths!E106</f>
        <v>0</v>
      </c>
      <c r="G106" s="5">
        <f>deaths!G106-deaths!F106</f>
        <v>0</v>
      </c>
      <c r="H106" s="5">
        <f>deaths!H106-deaths!G106</f>
        <v>0</v>
      </c>
      <c r="I106" s="5">
        <f>deaths!I106-deaths!H106</f>
        <v>0</v>
      </c>
      <c r="J106" s="5">
        <f>deaths!J106-deaths!I106</f>
        <v>0</v>
      </c>
      <c r="K106" s="5">
        <f>deaths!K106-deaths!J106</f>
        <v>0</v>
      </c>
      <c r="L106" s="5">
        <f>deaths!L106-deaths!K106</f>
        <v>0</v>
      </c>
      <c r="M106" s="5">
        <f>deaths!M106-deaths!L106</f>
        <v>0</v>
      </c>
      <c r="N106" s="5">
        <f>deaths!N106-deaths!M106</f>
        <v>0</v>
      </c>
      <c r="O106" s="5">
        <f>deaths!O106-deaths!N106</f>
        <v>0</v>
      </c>
      <c r="P106" s="5">
        <f>deaths!P106-deaths!O106</f>
        <v>0</v>
      </c>
      <c r="Q106" s="5">
        <f>deaths!Q106-deaths!P106</f>
        <v>0</v>
      </c>
      <c r="R106" s="5">
        <f>deaths!R106-deaths!Q106</f>
        <v>0</v>
      </c>
      <c r="S106" s="5">
        <f>deaths!S106-deaths!R106</f>
        <v>0</v>
      </c>
      <c r="T106" s="5">
        <f>deaths!T106-deaths!S106</f>
        <v>0</v>
      </c>
      <c r="U106" s="5">
        <f>deaths!U106-deaths!T106</f>
        <v>0</v>
      </c>
      <c r="V106" s="5">
        <f>deaths!V106-deaths!U106</f>
        <v>0</v>
      </c>
      <c r="W106" s="5">
        <f>deaths!W106-deaths!V106</f>
        <v>0</v>
      </c>
      <c r="X106" s="5">
        <f>deaths!X106-deaths!W106</f>
        <v>0</v>
      </c>
      <c r="Y106" s="5">
        <f>deaths!Y106-deaths!X106</f>
        <v>0</v>
      </c>
      <c r="Z106" s="5">
        <f>deaths!Z106-deaths!Y106</f>
        <v>0</v>
      </c>
      <c r="AA106" s="5">
        <f>deaths!AA106-deaths!Z106</f>
        <v>0</v>
      </c>
      <c r="AB106" s="5">
        <f>deaths!AB106-deaths!AA106</f>
        <v>0</v>
      </c>
      <c r="AC106" s="5">
        <f>deaths!AC106-deaths!AB106</f>
        <v>0</v>
      </c>
      <c r="AD106" s="5">
        <f>deaths!AD106-deaths!AC106</f>
        <v>0</v>
      </c>
      <c r="AE106" s="5">
        <f>deaths!AE106-deaths!AD106</f>
        <v>0</v>
      </c>
      <c r="AF106" s="5">
        <f>deaths!AF106-deaths!AE106</f>
        <v>0</v>
      </c>
      <c r="AG106" s="5">
        <f>deaths!AG106-deaths!AF106</f>
        <v>0</v>
      </c>
      <c r="AH106" s="5">
        <f>deaths!AH106-deaths!AG106</f>
        <v>0</v>
      </c>
      <c r="AI106" s="5">
        <f>deaths!AI106-deaths!AH106</f>
        <v>0</v>
      </c>
      <c r="AJ106" s="5">
        <f>deaths!AJ106-deaths!AI106</f>
        <v>0</v>
      </c>
      <c r="AK106" s="5">
        <f>deaths!AK106-deaths!AJ106</f>
        <v>0</v>
      </c>
      <c r="AL106" s="5">
        <f>deaths!AL106-deaths!AK106</f>
        <v>0</v>
      </c>
      <c r="AM106" s="5">
        <f>deaths!AM106-deaths!AL106</f>
        <v>0</v>
      </c>
      <c r="AN106" s="5">
        <f>deaths!AN106-deaths!AM106</f>
        <v>0</v>
      </c>
      <c r="AO106" s="5">
        <f>deaths!AO106-deaths!AN106</f>
        <v>0</v>
      </c>
      <c r="AP106" s="5">
        <f>deaths!AP106-deaths!AO106</f>
        <v>0</v>
      </c>
      <c r="AQ106" s="5">
        <f>deaths!AQ106-deaths!AP106</f>
        <v>0</v>
      </c>
      <c r="AR106" s="5">
        <f>deaths!AR106-deaths!AQ106</f>
        <v>0</v>
      </c>
      <c r="AS106" s="5">
        <f>deaths!AS106-deaths!AR106</f>
        <v>0</v>
      </c>
      <c r="AT106" s="5">
        <f>deaths!AT106-deaths!AS106</f>
        <v>0</v>
      </c>
      <c r="AU106" s="5">
        <f>deaths!AU106-deaths!AT106</f>
        <v>0</v>
      </c>
      <c r="AV106" s="5">
        <f>deaths!AV106-deaths!AU106</f>
        <v>0</v>
      </c>
      <c r="AW106" s="5">
        <f>deaths!AW106-deaths!AV106</f>
        <v>0</v>
      </c>
      <c r="AX106" s="5">
        <f>deaths!AX106-deaths!AW106</f>
        <v>0</v>
      </c>
      <c r="AY106" s="5">
        <f>deaths!AY106-deaths!AX106</f>
        <v>0</v>
      </c>
      <c r="AZ106" s="5">
        <f>deaths!AZ106-deaths!AY106</f>
        <v>0</v>
      </c>
      <c r="BA106" s="5">
        <f>deaths!BA106-deaths!AZ106</f>
        <v>0</v>
      </c>
      <c r="BB106" s="5">
        <f>deaths!BB106-deaths!BA106</f>
        <v>0</v>
      </c>
      <c r="BC106" s="5">
        <f>deaths!BC106-deaths!BB106</f>
        <v>0</v>
      </c>
      <c r="BD106" s="5">
        <f>deaths!BD106-deaths!BC106</f>
        <v>0</v>
      </c>
      <c r="BE106" s="5">
        <f>deaths!BE106-deaths!BD106</f>
        <v>0</v>
      </c>
      <c r="BF106" s="5">
        <f>deaths!BF106-deaths!BE106</f>
        <v>0</v>
      </c>
      <c r="BG106" s="5">
        <f>deaths!BG106-deaths!BF106</f>
        <v>0</v>
      </c>
      <c r="BH106" s="5">
        <f>deaths!BH106-deaths!BG106</f>
        <v>0</v>
      </c>
      <c r="BI106" s="5">
        <f>deaths!BI106-deaths!BH106</f>
        <v>0</v>
      </c>
      <c r="BJ106" s="5">
        <f>deaths!BJ106-deaths!BI106</f>
        <v>0</v>
      </c>
      <c r="BK106" s="5">
        <f>deaths!BK106-deaths!BJ106</f>
        <v>0</v>
      </c>
      <c r="BL106" s="5">
        <f>deaths!BL106-deaths!BK106</f>
        <v>0</v>
      </c>
      <c r="BM106" s="5">
        <f>deaths!BM106-deaths!BL106</f>
        <v>0</v>
      </c>
      <c r="BN106" s="5">
        <f>deaths!BN106-deaths!BM106</f>
        <v>0</v>
      </c>
      <c r="BO106" s="5">
        <f>deaths!BO106-deaths!BN106</f>
        <v>0</v>
      </c>
      <c r="BP106" s="5">
        <f>deaths!BP106-deaths!BO106</f>
        <v>0</v>
      </c>
      <c r="BQ106" s="5">
        <f>deaths!BQ106-deaths!BP106</f>
        <v>0</v>
      </c>
      <c r="BR106" s="5">
        <f>deaths!BR106-deaths!BQ106</f>
        <v>0</v>
      </c>
      <c r="BS106" s="5">
        <f>deaths!BS106-deaths!BR106</f>
        <v>0</v>
      </c>
      <c r="BT106" s="5">
        <f>deaths!BT106-deaths!BS106</f>
        <v>0</v>
      </c>
      <c r="BU106" s="5">
        <f>deaths!BU106-deaths!BT106</f>
        <v>0</v>
      </c>
      <c r="BV106" s="5">
        <f>deaths!BV106-deaths!BU106</f>
        <v>0</v>
      </c>
      <c r="BW106" s="5">
        <f>deaths!BW106-deaths!BV106</f>
        <v>0</v>
      </c>
      <c r="BX106" s="5">
        <f>deaths!BX106-deaths!BW106</f>
        <v>0</v>
      </c>
      <c r="BY106" s="5">
        <f>deaths!BY106-deaths!BX106</f>
        <v>0</v>
      </c>
      <c r="BZ106" s="1">
        <f>deaths!BZ106</f>
        <v>0</v>
      </c>
      <c r="CA106" s="1">
        <f>deaths!CA106</f>
        <v>2</v>
      </c>
      <c r="CB106" s="1">
        <f>deaths!CB106</f>
        <v>2</v>
      </c>
      <c r="CC106" s="1" t="str">
        <f>deaths!CC106</f>
        <v/>
      </c>
    </row>
    <row r="107">
      <c r="B107" s="1" t="str">
        <f>deaths!B107</f>
        <v>Fiji</v>
      </c>
      <c r="C107" s="4">
        <f>deaths!C107</f>
        <v>-17.7134</v>
      </c>
      <c r="D107" s="4">
        <f>deaths!D107</f>
        <v>178.065</v>
      </c>
      <c r="E107" s="5">
        <f>deaths!E107</f>
        <v>0</v>
      </c>
      <c r="F107" s="5">
        <f>deaths!F107-deaths!E107</f>
        <v>0</v>
      </c>
      <c r="G107" s="5">
        <f>deaths!G107-deaths!F107</f>
        <v>0</v>
      </c>
      <c r="H107" s="5">
        <f>deaths!H107-deaths!G107</f>
        <v>0</v>
      </c>
      <c r="I107" s="5">
        <f>deaths!I107-deaths!H107</f>
        <v>0</v>
      </c>
      <c r="J107" s="5">
        <f>deaths!J107-deaths!I107</f>
        <v>0</v>
      </c>
      <c r="K107" s="5">
        <f>deaths!K107-deaths!J107</f>
        <v>0</v>
      </c>
      <c r="L107" s="5">
        <f>deaths!L107-deaths!K107</f>
        <v>0</v>
      </c>
      <c r="M107" s="5">
        <f>deaths!M107-deaths!L107</f>
        <v>0</v>
      </c>
      <c r="N107" s="5">
        <f>deaths!N107-deaths!M107</f>
        <v>0</v>
      </c>
      <c r="O107" s="5">
        <f>deaths!O107-deaths!N107</f>
        <v>0</v>
      </c>
      <c r="P107" s="5">
        <f>deaths!P107-deaths!O107</f>
        <v>0</v>
      </c>
      <c r="Q107" s="5">
        <f>deaths!Q107-deaths!P107</f>
        <v>0</v>
      </c>
      <c r="R107" s="5">
        <f>deaths!R107-deaths!Q107</f>
        <v>0</v>
      </c>
      <c r="S107" s="5">
        <f>deaths!S107-deaths!R107</f>
        <v>0</v>
      </c>
      <c r="T107" s="5">
        <f>deaths!T107-deaths!S107</f>
        <v>0</v>
      </c>
      <c r="U107" s="5">
        <f>deaths!U107-deaths!T107</f>
        <v>0</v>
      </c>
      <c r="V107" s="5">
        <f>deaths!V107-deaths!U107</f>
        <v>0</v>
      </c>
      <c r="W107" s="5">
        <f>deaths!W107-deaths!V107</f>
        <v>0</v>
      </c>
      <c r="X107" s="5">
        <f>deaths!X107-deaths!W107</f>
        <v>0</v>
      </c>
      <c r="Y107" s="5">
        <f>deaths!Y107-deaths!X107</f>
        <v>0</v>
      </c>
      <c r="Z107" s="5">
        <f>deaths!Z107-deaths!Y107</f>
        <v>0</v>
      </c>
      <c r="AA107" s="5">
        <f>deaths!AA107-deaths!Z107</f>
        <v>0</v>
      </c>
      <c r="AB107" s="5">
        <f>deaths!AB107-deaths!AA107</f>
        <v>0</v>
      </c>
      <c r="AC107" s="5">
        <f>deaths!AC107-deaths!AB107</f>
        <v>0</v>
      </c>
      <c r="AD107" s="5">
        <f>deaths!AD107-deaths!AC107</f>
        <v>0</v>
      </c>
      <c r="AE107" s="5">
        <f>deaths!AE107-deaths!AD107</f>
        <v>0</v>
      </c>
      <c r="AF107" s="5">
        <f>deaths!AF107-deaths!AE107</f>
        <v>0</v>
      </c>
      <c r="AG107" s="5">
        <f>deaths!AG107-deaths!AF107</f>
        <v>0</v>
      </c>
      <c r="AH107" s="5">
        <f>deaths!AH107-deaths!AG107</f>
        <v>0</v>
      </c>
      <c r="AI107" s="5">
        <f>deaths!AI107-deaths!AH107</f>
        <v>0</v>
      </c>
      <c r="AJ107" s="5">
        <f>deaths!AJ107-deaths!AI107</f>
        <v>0</v>
      </c>
      <c r="AK107" s="5">
        <f>deaths!AK107-deaths!AJ107</f>
        <v>0</v>
      </c>
      <c r="AL107" s="5">
        <f>deaths!AL107-deaths!AK107</f>
        <v>0</v>
      </c>
      <c r="AM107" s="5">
        <f>deaths!AM107-deaths!AL107</f>
        <v>0</v>
      </c>
      <c r="AN107" s="5">
        <f>deaths!AN107-deaths!AM107</f>
        <v>0</v>
      </c>
      <c r="AO107" s="5">
        <f>deaths!AO107-deaths!AN107</f>
        <v>0</v>
      </c>
      <c r="AP107" s="5">
        <f>deaths!AP107-deaths!AO107</f>
        <v>0</v>
      </c>
      <c r="AQ107" s="5">
        <f>deaths!AQ107-deaths!AP107</f>
        <v>0</v>
      </c>
      <c r="AR107" s="5">
        <f>deaths!AR107-deaths!AQ107</f>
        <v>0</v>
      </c>
      <c r="AS107" s="5">
        <f>deaths!AS107-deaths!AR107</f>
        <v>0</v>
      </c>
      <c r="AT107" s="5">
        <f>deaths!AT107-deaths!AS107</f>
        <v>0</v>
      </c>
      <c r="AU107" s="5">
        <f>deaths!AU107-deaths!AT107</f>
        <v>0</v>
      </c>
      <c r="AV107" s="5">
        <f>deaths!AV107-deaths!AU107</f>
        <v>0</v>
      </c>
      <c r="AW107" s="5">
        <f>deaths!AW107-deaths!AV107</f>
        <v>0</v>
      </c>
      <c r="AX107" s="5">
        <f>deaths!AX107-deaths!AW107</f>
        <v>0</v>
      </c>
      <c r="AY107" s="5">
        <f>deaths!AY107-deaths!AX107</f>
        <v>0</v>
      </c>
      <c r="AZ107" s="5">
        <f>deaths!AZ107-deaths!AY107</f>
        <v>0</v>
      </c>
      <c r="BA107" s="5">
        <f>deaths!BA107-deaths!AZ107</f>
        <v>0</v>
      </c>
      <c r="BB107" s="5">
        <f>deaths!BB107-deaths!BA107</f>
        <v>0</v>
      </c>
      <c r="BC107" s="5">
        <f>deaths!BC107-deaths!BB107</f>
        <v>0</v>
      </c>
      <c r="BD107" s="5">
        <f>deaths!BD107-deaths!BC107</f>
        <v>0</v>
      </c>
      <c r="BE107" s="5">
        <f>deaths!BE107-deaths!BD107</f>
        <v>0</v>
      </c>
      <c r="BF107" s="5">
        <f>deaths!BF107-deaths!BE107</f>
        <v>0</v>
      </c>
      <c r="BG107" s="5">
        <f>deaths!BG107-deaths!BF107</f>
        <v>0</v>
      </c>
      <c r="BH107" s="5">
        <f>deaths!BH107-deaths!BG107</f>
        <v>0</v>
      </c>
      <c r="BI107" s="5">
        <f>deaths!BI107-deaths!BH107</f>
        <v>0</v>
      </c>
      <c r="BJ107" s="5">
        <f>deaths!BJ107-deaths!BI107</f>
        <v>0</v>
      </c>
      <c r="BK107" s="5">
        <f>deaths!BK107-deaths!BJ107</f>
        <v>0</v>
      </c>
      <c r="BL107" s="5">
        <f>deaths!BL107-deaths!BK107</f>
        <v>0</v>
      </c>
      <c r="BM107" s="5">
        <f>deaths!BM107-deaths!BL107</f>
        <v>0</v>
      </c>
      <c r="BN107" s="5">
        <f>deaths!BN107-deaths!BM107</f>
        <v>0</v>
      </c>
      <c r="BO107" s="5">
        <f>deaths!BO107-deaths!BN107</f>
        <v>0</v>
      </c>
      <c r="BP107" s="5">
        <f>deaths!BP107-deaths!BO107</f>
        <v>0</v>
      </c>
      <c r="BQ107" s="5">
        <f>deaths!BQ107-deaths!BP107</f>
        <v>0</v>
      </c>
      <c r="BR107" s="5">
        <f>deaths!BR107-deaths!BQ107</f>
        <v>0</v>
      </c>
      <c r="BS107" s="5">
        <f>deaths!BS107-deaths!BR107</f>
        <v>0</v>
      </c>
      <c r="BT107" s="5">
        <f>deaths!BT107-deaths!BS107</f>
        <v>0</v>
      </c>
      <c r="BU107" s="5">
        <f>deaths!BU107-deaths!BT107</f>
        <v>0</v>
      </c>
      <c r="BV107" s="5">
        <f>deaths!BV107-deaths!BU107</f>
        <v>0</v>
      </c>
      <c r="BW107" s="5">
        <f>deaths!BW107-deaths!BV107</f>
        <v>0</v>
      </c>
      <c r="BX107" s="5">
        <f>deaths!BX107-deaths!BW107</f>
        <v>0</v>
      </c>
      <c r="BY107" s="5">
        <f>deaths!BY107-deaths!BX107</f>
        <v>0</v>
      </c>
      <c r="BZ107" s="1">
        <f>deaths!BZ107</f>
        <v>0</v>
      </c>
      <c r="CA107" s="1">
        <f>deaths!CA107</f>
        <v>0</v>
      </c>
      <c r="CB107" s="1">
        <f>deaths!CB107</f>
        <v>0</v>
      </c>
      <c r="CC107" s="1" t="str">
        <f>deaths!CC107</f>
        <v/>
      </c>
    </row>
    <row r="108">
      <c r="B108" s="1" t="str">
        <f>deaths!B108</f>
        <v>Finland</v>
      </c>
      <c r="C108" s="4">
        <f>deaths!C108</f>
        <v>64</v>
      </c>
      <c r="D108" s="4">
        <f>deaths!D108</f>
        <v>26</v>
      </c>
      <c r="E108" s="5">
        <f>deaths!E108</f>
        <v>0</v>
      </c>
      <c r="F108" s="5">
        <f>deaths!F108-deaths!E108</f>
        <v>0</v>
      </c>
      <c r="G108" s="5">
        <f>deaths!G108-deaths!F108</f>
        <v>0</v>
      </c>
      <c r="H108" s="5">
        <f>deaths!H108-deaths!G108</f>
        <v>0</v>
      </c>
      <c r="I108" s="5">
        <f>deaths!I108-deaths!H108</f>
        <v>0</v>
      </c>
      <c r="J108" s="5">
        <f>deaths!J108-deaths!I108</f>
        <v>0</v>
      </c>
      <c r="K108" s="5">
        <f>deaths!K108-deaths!J108</f>
        <v>0</v>
      </c>
      <c r="L108" s="5">
        <f>deaths!L108-deaths!K108</f>
        <v>0</v>
      </c>
      <c r="M108" s="5">
        <f>deaths!M108-deaths!L108</f>
        <v>0</v>
      </c>
      <c r="N108" s="5">
        <f>deaths!N108-deaths!M108</f>
        <v>0</v>
      </c>
      <c r="O108" s="5">
        <f>deaths!O108-deaths!N108</f>
        <v>0</v>
      </c>
      <c r="P108" s="5">
        <f>deaths!P108-deaths!O108</f>
        <v>0</v>
      </c>
      <c r="Q108" s="5">
        <f>deaths!Q108-deaths!P108</f>
        <v>0</v>
      </c>
      <c r="R108" s="5">
        <f>deaths!R108-deaths!Q108</f>
        <v>0</v>
      </c>
      <c r="S108" s="5">
        <f>deaths!S108-deaths!R108</f>
        <v>0</v>
      </c>
      <c r="T108" s="5">
        <f>deaths!T108-deaths!S108</f>
        <v>0</v>
      </c>
      <c r="U108" s="5">
        <f>deaths!U108-deaths!T108</f>
        <v>0</v>
      </c>
      <c r="V108" s="5">
        <f>deaths!V108-deaths!U108</f>
        <v>0</v>
      </c>
      <c r="W108" s="5">
        <f>deaths!W108-deaths!V108</f>
        <v>0</v>
      </c>
      <c r="X108" s="5">
        <f>deaths!X108-deaths!W108</f>
        <v>0</v>
      </c>
      <c r="Y108" s="5">
        <f>deaths!Y108-deaths!X108</f>
        <v>0</v>
      </c>
      <c r="Z108" s="5">
        <f>deaths!Z108-deaths!Y108</f>
        <v>0</v>
      </c>
      <c r="AA108" s="5">
        <f>deaths!AA108-deaths!Z108</f>
        <v>0</v>
      </c>
      <c r="AB108" s="5">
        <f>deaths!AB108-deaths!AA108</f>
        <v>0</v>
      </c>
      <c r="AC108" s="5">
        <f>deaths!AC108-deaths!AB108</f>
        <v>0</v>
      </c>
      <c r="AD108" s="5">
        <f>deaths!AD108-deaths!AC108</f>
        <v>0</v>
      </c>
      <c r="AE108" s="5">
        <f>deaths!AE108-deaths!AD108</f>
        <v>0</v>
      </c>
      <c r="AF108" s="5">
        <f>deaths!AF108-deaths!AE108</f>
        <v>0</v>
      </c>
      <c r="AG108" s="5">
        <f>deaths!AG108-deaths!AF108</f>
        <v>0</v>
      </c>
      <c r="AH108" s="5">
        <f>deaths!AH108-deaths!AG108</f>
        <v>0</v>
      </c>
      <c r="AI108" s="5">
        <f>deaths!AI108-deaths!AH108</f>
        <v>0</v>
      </c>
      <c r="AJ108" s="5">
        <f>deaths!AJ108-deaths!AI108</f>
        <v>0</v>
      </c>
      <c r="AK108" s="5">
        <f>deaths!AK108-deaths!AJ108</f>
        <v>0</v>
      </c>
      <c r="AL108" s="5">
        <f>deaths!AL108-deaths!AK108</f>
        <v>0</v>
      </c>
      <c r="AM108" s="5">
        <f>deaths!AM108-deaths!AL108</f>
        <v>0</v>
      </c>
      <c r="AN108" s="5">
        <f>deaths!AN108-deaths!AM108</f>
        <v>0</v>
      </c>
      <c r="AO108" s="5">
        <f>deaths!AO108-deaths!AN108</f>
        <v>0</v>
      </c>
      <c r="AP108" s="5">
        <f>deaths!AP108-deaths!AO108</f>
        <v>0</v>
      </c>
      <c r="AQ108" s="5">
        <f>deaths!AQ108-deaths!AP108</f>
        <v>0</v>
      </c>
      <c r="AR108" s="5">
        <f>deaths!AR108-deaths!AQ108</f>
        <v>0</v>
      </c>
      <c r="AS108" s="5">
        <f>deaths!AS108-deaths!AR108</f>
        <v>0</v>
      </c>
      <c r="AT108" s="5">
        <f>deaths!AT108-deaths!AS108</f>
        <v>0</v>
      </c>
      <c r="AU108" s="5">
        <f>deaths!AU108-deaths!AT108</f>
        <v>0</v>
      </c>
      <c r="AV108" s="5">
        <f>deaths!AV108-deaths!AU108</f>
        <v>0</v>
      </c>
      <c r="AW108" s="5">
        <f>deaths!AW108-deaths!AV108</f>
        <v>0</v>
      </c>
      <c r="AX108" s="5">
        <f>deaths!AX108-deaths!AW108</f>
        <v>0</v>
      </c>
      <c r="AY108" s="5">
        <f>deaths!AY108-deaths!AX108</f>
        <v>0</v>
      </c>
      <c r="AZ108" s="5">
        <f>deaths!AZ108-deaths!AY108</f>
        <v>0</v>
      </c>
      <c r="BA108" s="5">
        <f>deaths!BA108-deaths!AZ108</f>
        <v>0</v>
      </c>
      <c r="BB108" s="5">
        <f>deaths!BB108-deaths!BA108</f>
        <v>0</v>
      </c>
      <c r="BC108" s="5">
        <f>deaths!BC108-deaths!BB108</f>
        <v>0</v>
      </c>
      <c r="BD108" s="5">
        <f>deaths!BD108-deaths!BC108</f>
        <v>0</v>
      </c>
      <c r="BE108" s="5">
        <f>deaths!BE108-deaths!BD108</f>
        <v>0</v>
      </c>
      <c r="BF108" s="5">
        <f>deaths!BF108-deaths!BE108</f>
        <v>0</v>
      </c>
      <c r="BG108" s="5">
        <f>deaths!BG108-deaths!BF108</f>
        <v>0</v>
      </c>
      <c r="BH108" s="5">
        <f>deaths!BH108-deaths!BG108</f>
        <v>0</v>
      </c>
      <c r="BI108" s="5">
        <f>deaths!BI108-deaths!BH108</f>
        <v>0</v>
      </c>
      <c r="BJ108" s="5">
        <f>deaths!BJ108-deaths!BI108</f>
        <v>0</v>
      </c>
      <c r="BK108" s="5">
        <f>deaths!BK108-deaths!BJ108</f>
        <v>0</v>
      </c>
      <c r="BL108" s="5">
        <f>deaths!BL108-deaths!BK108</f>
        <v>1</v>
      </c>
      <c r="BM108" s="5">
        <f>deaths!BM108-deaths!BL108</f>
        <v>0</v>
      </c>
      <c r="BN108" s="5">
        <f>deaths!BN108-deaths!BM108</f>
        <v>0</v>
      </c>
      <c r="BO108" s="5">
        <f>deaths!BO108-deaths!BN108</f>
        <v>0</v>
      </c>
      <c r="BP108" s="5">
        <f>deaths!BP108-deaths!BO108</f>
        <v>2</v>
      </c>
      <c r="BQ108" s="5">
        <f>deaths!BQ108-deaths!BP108</f>
        <v>2</v>
      </c>
      <c r="BR108" s="5">
        <f>deaths!BR108-deaths!BQ108</f>
        <v>2</v>
      </c>
      <c r="BS108" s="5">
        <f>deaths!BS108-deaths!BR108</f>
        <v>2</v>
      </c>
      <c r="BT108" s="5">
        <f>deaths!BT108-deaths!BS108</f>
        <v>2</v>
      </c>
      <c r="BU108" s="5">
        <f>deaths!BU108-deaths!BT108</f>
        <v>2</v>
      </c>
      <c r="BV108" s="5">
        <f>deaths!BV108-deaths!BU108</f>
        <v>4</v>
      </c>
      <c r="BW108" s="5">
        <f>deaths!BW108-deaths!BV108</f>
        <v>0</v>
      </c>
      <c r="BX108" s="5">
        <f>deaths!BX108-deaths!BW108</f>
        <v>2</v>
      </c>
      <c r="BY108" s="5">
        <f>deaths!BY108-deaths!BX108</f>
        <v>1</v>
      </c>
      <c r="BZ108" s="1">
        <f>deaths!BZ108</f>
        <v>25</v>
      </c>
      <c r="CA108" s="1">
        <f>deaths!CA108</f>
        <v>28</v>
      </c>
      <c r="CB108" s="1">
        <f>deaths!CB108</f>
        <v>27</v>
      </c>
      <c r="CC108" s="1" t="str">
        <f>deaths!CC108</f>
        <v/>
      </c>
    </row>
    <row r="109">
      <c r="B109" s="1" t="str">
        <f>deaths!B109</f>
        <v>France</v>
      </c>
      <c r="C109" s="4">
        <f>deaths!C109</f>
        <v>3.9339</v>
      </c>
      <c r="D109" s="4">
        <f>deaths!D109</f>
        <v>-53.1258</v>
      </c>
      <c r="E109" s="5">
        <f>deaths!E109</f>
        <v>0</v>
      </c>
      <c r="F109" s="5">
        <f>deaths!F109-deaths!E109</f>
        <v>0</v>
      </c>
      <c r="G109" s="5">
        <f>deaths!G109-deaths!F109</f>
        <v>0</v>
      </c>
      <c r="H109" s="5">
        <f>deaths!H109-deaths!G109</f>
        <v>0</v>
      </c>
      <c r="I109" s="5">
        <f>deaths!I109-deaths!H109</f>
        <v>0</v>
      </c>
      <c r="J109" s="5">
        <f>deaths!J109-deaths!I109</f>
        <v>0</v>
      </c>
      <c r="K109" s="5">
        <f>deaths!K109-deaths!J109</f>
        <v>0</v>
      </c>
      <c r="L109" s="5">
        <f>deaths!L109-deaths!K109</f>
        <v>0</v>
      </c>
      <c r="M109" s="5">
        <f>deaths!M109-deaths!L109</f>
        <v>0</v>
      </c>
      <c r="N109" s="5">
        <f>deaths!N109-deaths!M109</f>
        <v>0</v>
      </c>
      <c r="O109" s="5">
        <f>deaths!O109-deaths!N109</f>
        <v>0</v>
      </c>
      <c r="P109" s="5">
        <f>deaths!P109-deaths!O109</f>
        <v>0</v>
      </c>
      <c r="Q109" s="5">
        <f>deaths!Q109-deaths!P109</f>
        <v>0</v>
      </c>
      <c r="R109" s="5">
        <f>deaths!R109-deaths!Q109</f>
        <v>0</v>
      </c>
      <c r="S109" s="5">
        <f>deaths!S109-deaths!R109</f>
        <v>0</v>
      </c>
      <c r="T109" s="5">
        <f>deaths!T109-deaths!S109</f>
        <v>0</v>
      </c>
      <c r="U109" s="5">
        <f>deaths!U109-deaths!T109</f>
        <v>0</v>
      </c>
      <c r="V109" s="5">
        <f>deaths!V109-deaths!U109</f>
        <v>0</v>
      </c>
      <c r="W109" s="5">
        <f>deaths!W109-deaths!V109</f>
        <v>0</v>
      </c>
      <c r="X109" s="5">
        <f>deaths!X109-deaths!W109</f>
        <v>0</v>
      </c>
      <c r="Y109" s="5">
        <f>deaths!Y109-deaths!X109</f>
        <v>0</v>
      </c>
      <c r="Z109" s="5">
        <f>deaths!Z109-deaths!Y109</f>
        <v>0</v>
      </c>
      <c r="AA109" s="5">
        <f>deaths!AA109-deaths!Z109</f>
        <v>0</v>
      </c>
      <c r="AB109" s="5">
        <f>deaths!AB109-deaths!AA109</f>
        <v>0</v>
      </c>
      <c r="AC109" s="5">
        <f>deaths!AC109-deaths!AB109</f>
        <v>0</v>
      </c>
      <c r="AD109" s="5">
        <f>deaths!AD109-deaths!AC109</f>
        <v>0</v>
      </c>
      <c r="AE109" s="5">
        <f>deaths!AE109-deaths!AD109</f>
        <v>0</v>
      </c>
      <c r="AF109" s="5">
        <f>deaths!AF109-deaths!AE109</f>
        <v>0</v>
      </c>
      <c r="AG109" s="5">
        <f>deaths!AG109-deaths!AF109</f>
        <v>0</v>
      </c>
      <c r="AH109" s="5">
        <f>deaths!AH109-deaths!AG109</f>
        <v>0</v>
      </c>
      <c r="AI109" s="5">
        <f>deaths!AI109-deaths!AH109</f>
        <v>0</v>
      </c>
      <c r="AJ109" s="5">
        <f>deaths!AJ109-deaths!AI109</f>
        <v>0</v>
      </c>
      <c r="AK109" s="5">
        <f>deaths!AK109-deaths!AJ109</f>
        <v>0</v>
      </c>
      <c r="AL109" s="5">
        <f>deaths!AL109-deaths!AK109</f>
        <v>0</v>
      </c>
      <c r="AM109" s="5">
        <f>deaths!AM109-deaths!AL109</f>
        <v>0</v>
      </c>
      <c r="AN109" s="5">
        <f>deaths!AN109-deaths!AM109</f>
        <v>0</v>
      </c>
      <c r="AO109" s="5">
        <f>deaths!AO109-deaths!AN109</f>
        <v>0</v>
      </c>
      <c r="AP109" s="5">
        <f>deaths!AP109-deaths!AO109</f>
        <v>0</v>
      </c>
      <c r="AQ109" s="5">
        <f>deaths!AQ109-deaths!AP109</f>
        <v>0</v>
      </c>
      <c r="AR109" s="5">
        <f>deaths!AR109-deaths!AQ109</f>
        <v>0</v>
      </c>
      <c r="AS109" s="5">
        <f>deaths!AS109-deaths!AR109</f>
        <v>0</v>
      </c>
      <c r="AT109" s="5">
        <f>deaths!AT109-deaths!AS109</f>
        <v>0</v>
      </c>
      <c r="AU109" s="5">
        <f>deaths!AU109-deaths!AT109</f>
        <v>0</v>
      </c>
      <c r="AV109" s="5">
        <f>deaths!AV109-deaths!AU109</f>
        <v>0</v>
      </c>
      <c r="AW109" s="5">
        <f>deaths!AW109-deaths!AV109</f>
        <v>0</v>
      </c>
      <c r="AX109" s="5">
        <f>deaths!AX109-deaths!AW109</f>
        <v>0</v>
      </c>
      <c r="AY109" s="5">
        <f>deaths!AY109-deaths!AX109</f>
        <v>0</v>
      </c>
      <c r="AZ109" s="5">
        <f>deaths!AZ109-deaths!AY109</f>
        <v>0</v>
      </c>
      <c r="BA109" s="5">
        <f>deaths!BA109-deaths!AZ109</f>
        <v>0</v>
      </c>
      <c r="BB109" s="5">
        <f>deaths!BB109-deaths!BA109</f>
        <v>0</v>
      </c>
      <c r="BC109" s="5">
        <f>deaths!BC109-deaths!BB109</f>
        <v>0</v>
      </c>
      <c r="BD109" s="5">
        <f>deaths!BD109-deaths!BC109</f>
        <v>0</v>
      </c>
      <c r="BE109" s="5">
        <f>deaths!BE109-deaths!BD109</f>
        <v>0</v>
      </c>
      <c r="BF109" s="5">
        <f>deaths!BF109-deaths!BE109</f>
        <v>0</v>
      </c>
      <c r="BG109" s="5">
        <f>deaths!BG109-deaths!BF109</f>
        <v>0</v>
      </c>
      <c r="BH109" s="5">
        <f>deaths!BH109-deaths!BG109</f>
        <v>0</v>
      </c>
      <c r="BI109" s="5">
        <f>deaths!BI109-deaths!BH109</f>
        <v>0</v>
      </c>
      <c r="BJ109" s="5">
        <f>deaths!BJ109-deaths!BI109</f>
        <v>0</v>
      </c>
      <c r="BK109" s="5">
        <f>deaths!BK109-deaths!BJ109</f>
        <v>0</v>
      </c>
      <c r="BL109" s="5">
        <f>deaths!BL109-deaths!BK109</f>
        <v>0</v>
      </c>
      <c r="BM109" s="5">
        <f>deaths!BM109-deaths!BL109</f>
        <v>0</v>
      </c>
      <c r="BN109" s="5">
        <f>deaths!BN109-deaths!BM109</f>
        <v>0</v>
      </c>
      <c r="BO109" s="5">
        <f>deaths!BO109-deaths!BN109</f>
        <v>0</v>
      </c>
      <c r="BP109" s="5">
        <f>deaths!BP109-deaths!BO109</f>
        <v>0</v>
      </c>
      <c r="BQ109" s="5">
        <f>deaths!BQ109-deaths!BP109</f>
        <v>0</v>
      </c>
      <c r="BR109" s="5">
        <f>deaths!BR109-deaths!BQ109</f>
        <v>0</v>
      </c>
      <c r="BS109" s="5">
        <f>deaths!BS109-deaths!BR109</f>
        <v>0</v>
      </c>
      <c r="BT109" s="5">
        <f>deaths!BT109-deaths!BS109</f>
        <v>0</v>
      </c>
      <c r="BU109" s="5">
        <f>deaths!BU109-deaths!BT109</f>
        <v>0</v>
      </c>
      <c r="BV109" s="5">
        <f>deaths!BV109-deaths!BU109</f>
        <v>0</v>
      </c>
      <c r="BW109" s="5">
        <f>deaths!BW109-deaths!BV109</f>
        <v>0</v>
      </c>
      <c r="BX109" s="5">
        <f>deaths!BX109-deaths!BW109</f>
        <v>0</v>
      </c>
      <c r="BY109" s="5">
        <f>deaths!BY109-deaths!BX109</f>
        <v>0</v>
      </c>
      <c r="BZ109" s="1">
        <f>deaths!BZ109</f>
        <v>0</v>
      </c>
      <c r="CA109" s="1">
        <f>deaths!CA109</f>
        <v>0</v>
      </c>
      <c r="CB109" s="1">
        <f>deaths!CB109</f>
        <v>0</v>
      </c>
      <c r="CC109" s="1" t="str">
        <f>deaths!CC109</f>
        <v/>
      </c>
    </row>
    <row r="110">
      <c r="B110" s="1" t="str">
        <f>deaths!B110</f>
        <v>France</v>
      </c>
      <c r="C110" s="4">
        <f>deaths!C110</f>
        <v>-17.6797</v>
      </c>
      <c r="D110" s="4">
        <f>deaths!D110</f>
        <v>149.4068</v>
      </c>
      <c r="E110" s="5">
        <f>deaths!E110</f>
        <v>0</v>
      </c>
      <c r="F110" s="5">
        <f>deaths!F110-deaths!E110</f>
        <v>0</v>
      </c>
      <c r="G110" s="5">
        <f>deaths!G110-deaths!F110</f>
        <v>0</v>
      </c>
      <c r="H110" s="5">
        <f>deaths!H110-deaths!G110</f>
        <v>0</v>
      </c>
      <c r="I110" s="5">
        <f>deaths!I110-deaths!H110</f>
        <v>0</v>
      </c>
      <c r="J110" s="5">
        <f>deaths!J110-deaths!I110</f>
        <v>0</v>
      </c>
      <c r="K110" s="5">
        <f>deaths!K110-deaths!J110</f>
        <v>0</v>
      </c>
      <c r="L110" s="5">
        <f>deaths!L110-deaths!K110</f>
        <v>0</v>
      </c>
      <c r="M110" s="5">
        <f>deaths!M110-deaths!L110</f>
        <v>0</v>
      </c>
      <c r="N110" s="5">
        <f>deaths!N110-deaths!M110</f>
        <v>0</v>
      </c>
      <c r="O110" s="5">
        <f>deaths!O110-deaths!N110</f>
        <v>0</v>
      </c>
      <c r="P110" s="5">
        <f>deaths!P110-deaths!O110</f>
        <v>0</v>
      </c>
      <c r="Q110" s="5">
        <f>deaths!Q110-deaths!P110</f>
        <v>0</v>
      </c>
      <c r="R110" s="5">
        <f>deaths!R110-deaths!Q110</f>
        <v>0</v>
      </c>
      <c r="S110" s="5">
        <f>deaths!S110-deaths!R110</f>
        <v>0</v>
      </c>
      <c r="T110" s="5">
        <f>deaths!T110-deaths!S110</f>
        <v>0</v>
      </c>
      <c r="U110" s="5">
        <f>deaths!U110-deaths!T110</f>
        <v>0</v>
      </c>
      <c r="V110" s="5">
        <f>deaths!V110-deaths!U110</f>
        <v>0</v>
      </c>
      <c r="W110" s="5">
        <f>deaths!W110-deaths!V110</f>
        <v>0</v>
      </c>
      <c r="X110" s="5">
        <f>deaths!X110-deaths!W110</f>
        <v>0</v>
      </c>
      <c r="Y110" s="5">
        <f>deaths!Y110-deaths!X110</f>
        <v>0</v>
      </c>
      <c r="Z110" s="5">
        <f>deaths!Z110-deaths!Y110</f>
        <v>0</v>
      </c>
      <c r="AA110" s="5">
        <f>deaths!AA110-deaths!Z110</f>
        <v>0</v>
      </c>
      <c r="AB110" s="5">
        <f>deaths!AB110-deaths!AA110</f>
        <v>0</v>
      </c>
      <c r="AC110" s="5">
        <f>deaths!AC110-deaths!AB110</f>
        <v>0</v>
      </c>
      <c r="AD110" s="5">
        <f>deaths!AD110-deaths!AC110</f>
        <v>0</v>
      </c>
      <c r="AE110" s="5">
        <f>deaths!AE110-deaths!AD110</f>
        <v>0</v>
      </c>
      <c r="AF110" s="5">
        <f>deaths!AF110-deaths!AE110</f>
        <v>0</v>
      </c>
      <c r="AG110" s="5">
        <f>deaths!AG110-deaths!AF110</f>
        <v>0</v>
      </c>
      <c r="AH110" s="5">
        <f>deaths!AH110-deaths!AG110</f>
        <v>0</v>
      </c>
      <c r="AI110" s="5">
        <f>deaths!AI110-deaths!AH110</f>
        <v>0</v>
      </c>
      <c r="AJ110" s="5">
        <f>deaths!AJ110-deaths!AI110</f>
        <v>0</v>
      </c>
      <c r="AK110" s="5">
        <f>deaths!AK110-deaths!AJ110</f>
        <v>0</v>
      </c>
      <c r="AL110" s="5">
        <f>deaths!AL110-deaths!AK110</f>
        <v>0</v>
      </c>
      <c r="AM110" s="5">
        <f>deaths!AM110-deaths!AL110</f>
        <v>0</v>
      </c>
      <c r="AN110" s="5">
        <f>deaths!AN110-deaths!AM110</f>
        <v>0</v>
      </c>
      <c r="AO110" s="5">
        <f>deaths!AO110-deaths!AN110</f>
        <v>0</v>
      </c>
      <c r="AP110" s="5">
        <f>deaths!AP110-deaths!AO110</f>
        <v>0</v>
      </c>
      <c r="AQ110" s="5">
        <f>deaths!AQ110-deaths!AP110</f>
        <v>0</v>
      </c>
      <c r="AR110" s="5">
        <f>deaths!AR110-deaths!AQ110</f>
        <v>0</v>
      </c>
      <c r="AS110" s="5">
        <f>deaths!AS110-deaths!AR110</f>
        <v>0</v>
      </c>
      <c r="AT110" s="5">
        <f>deaths!AT110-deaths!AS110</f>
        <v>0</v>
      </c>
      <c r="AU110" s="5">
        <f>deaths!AU110-deaths!AT110</f>
        <v>0</v>
      </c>
      <c r="AV110" s="5">
        <f>deaths!AV110-deaths!AU110</f>
        <v>0</v>
      </c>
      <c r="AW110" s="5">
        <f>deaths!AW110-deaths!AV110</f>
        <v>0</v>
      </c>
      <c r="AX110" s="5">
        <f>deaths!AX110-deaths!AW110</f>
        <v>0</v>
      </c>
      <c r="AY110" s="5">
        <f>deaths!AY110-deaths!AX110</f>
        <v>0</v>
      </c>
      <c r="AZ110" s="5">
        <f>deaths!AZ110-deaths!AY110</f>
        <v>0</v>
      </c>
      <c r="BA110" s="5">
        <f>deaths!BA110-deaths!AZ110</f>
        <v>0</v>
      </c>
      <c r="BB110" s="5">
        <f>deaths!BB110-deaths!BA110</f>
        <v>0</v>
      </c>
      <c r="BC110" s="5">
        <f>deaths!BC110-deaths!BB110</f>
        <v>0</v>
      </c>
      <c r="BD110" s="5">
        <f>deaths!BD110-deaths!BC110</f>
        <v>0</v>
      </c>
      <c r="BE110" s="5">
        <f>deaths!BE110-deaths!BD110</f>
        <v>0</v>
      </c>
      <c r="BF110" s="5">
        <f>deaths!BF110-deaths!BE110</f>
        <v>0</v>
      </c>
      <c r="BG110" s="5">
        <f>deaths!BG110-deaths!BF110</f>
        <v>0</v>
      </c>
      <c r="BH110" s="5">
        <f>deaths!BH110-deaths!BG110</f>
        <v>0</v>
      </c>
      <c r="BI110" s="5">
        <f>deaths!BI110-deaths!BH110</f>
        <v>0</v>
      </c>
      <c r="BJ110" s="5">
        <f>deaths!BJ110-deaths!BI110</f>
        <v>0</v>
      </c>
      <c r="BK110" s="5">
        <f>deaths!BK110-deaths!BJ110</f>
        <v>0</v>
      </c>
      <c r="BL110" s="5">
        <f>deaths!BL110-deaths!BK110</f>
        <v>0</v>
      </c>
      <c r="BM110" s="5">
        <f>deaths!BM110-deaths!BL110</f>
        <v>0</v>
      </c>
      <c r="BN110" s="5">
        <f>deaths!BN110-deaths!BM110</f>
        <v>0</v>
      </c>
      <c r="BO110" s="5">
        <f>deaths!BO110-deaths!BN110</f>
        <v>0</v>
      </c>
      <c r="BP110" s="5">
        <f>deaths!BP110-deaths!BO110</f>
        <v>0</v>
      </c>
      <c r="BQ110" s="5">
        <f>deaths!BQ110-deaths!BP110</f>
        <v>0</v>
      </c>
      <c r="BR110" s="5">
        <f>deaths!BR110-deaths!BQ110</f>
        <v>0</v>
      </c>
      <c r="BS110" s="5">
        <f>deaths!BS110-deaths!BR110</f>
        <v>0</v>
      </c>
      <c r="BT110" s="5">
        <f>deaths!BT110-deaths!BS110</f>
        <v>0</v>
      </c>
      <c r="BU110" s="5">
        <f>deaths!BU110-deaths!BT110</f>
        <v>0</v>
      </c>
      <c r="BV110" s="5">
        <f>deaths!BV110-deaths!BU110</f>
        <v>0</v>
      </c>
      <c r="BW110" s="5">
        <f>deaths!BW110-deaths!BV110</f>
        <v>0</v>
      </c>
      <c r="BX110" s="5">
        <f>deaths!BX110-deaths!BW110</f>
        <v>0</v>
      </c>
      <c r="BY110" s="5">
        <f>deaths!BY110-deaths!BX110</f>
        <v>0</v>
      </c>
      <c r="BZ110" s="1">
        <f>deaths!BZ110</f>
        <v>0</v>
      </c>
      <c r="CA110" s="1">
        <f>deaths!CA110</f>
        <v>0</v>
      </c>
      <c r="CB110" s="1">
        <f>deaths!CB110</f>
        <v>0</v>
      </c>
      <c r="CC110" s="1" t="str">
        <f>deaths!CC110</f>
        <v/>
      </c>
    </row>
    <row r="111">
      <c r="B111" s="1" t="str">
        <f>deaths!B111</f>
        <v>France</v>
      </c>
      <c r="C111" s="4">
        <f>deaths!C111</f>
        <v>16.25</v>
      </c>
      <c r="D111" s="4">
        <f>deaths!D111</f>
        <v>-61.5833</v>
      </c>
      <c r="E111" s="5">
        <f>deaths!E111</f>
        <v>0</v>
      </c>
      <c r="F111" s="5">
        <f>deaths!F111-deaths!E111</f>
        <v>0</v>
      </c>
      <c r="G111" s="5">
        <f>deaths!G111-deaths!F111</f>
        <v>0</v>
      </c>
      <c r="H111" s="5">
        <f>deaths!H111-deaths!G111</f>
        <v>0</v>
      </c>
      <c r="I111" s="5">
        <f>deaths!I111-deaths!H111</f>
        <v>0</v>
      </c>
      <c r="J111" s="5">
        <f>deaths!J111-deaths!I111</f>
        <v>0</v>
      </c>
      <c r="K111" s="5">
        <f>deaths!K111-deaths!J111</f>
        <v>0</v>
      </c>
      <c r="L111" s="5">
        <f>deaths!L111-deaths!K111</f>
        <v>0</v>
      </c>
      <c r="M111" s="5">
        <f>deaths!M111-deaths!L111</f>
        <v>0</v>
      </c>
      <c r="N111" s="5">
        <f>deaths!N111-deaths!M111</f>
        <v>0</v>
      </c>
      <c r="O111" s="5">
        <f>deaths!O111-deaths!N111</f>
        <v>0</v>
      </c>
      <c r="P111" s="5">
        <f>deaths!P111-deaths!O111</f>
        <v>0</v>
      </c>
      <c r="Q111" s="5">
        <f>deaths!Q111-deaths!P111</f>
        <v>0</v>
      </c>
      <c r="R111" s="5">
        <f>deaths!R111-deaths!Q111</f>
        <v>0</v>
      </c>
      <c r="S111" s="5">
        <f>deaths!S111-deaths!R111</f>
        <v>0</v>
      </c>
      <c r="T111" s="5">
        <f>deaths!T111-deaths!S111</f>
        <v>0</v>
      </c>
      <c r="U111" s="5">
        <f>deaths!U111-deaths!T111</f>
        <v>0</v>
      </c>
      <c r="V111" s="5">
        <f>deaths!V111-deaths!U111</f>
        <v>0</v>
      </c>
      <c r="W111" s="5">
        <f>deaths!W111-deaths!V111</f>
        <v>0</v>
      </c>
      <c r="X111" s="5">
        <f>deaths!X111-deaths!W111</f>
        <v>0</v>
      </c>
      <c r="Y111" s="5">
        <f>deaths!Y111-deaths!X111</f>
        <v>0</v>
      </c>
      <c r="Z111" s="5">
        <f>deaths!Z111-deaths!Y111</f>
        <v>0</v>
      </c>
      <c r="AA111" s="5">
        <f>deaths!AA111-deaths!Z111</f>
        <v>0</v>
      </c>
      <c r="AB111" s="5">
        <f>deaths!AB111-deaths!AA111</f>
        <v>0</v>
      </c>
      <c r="AC111" s="5">
        <f>deaths!AC111-deaths!AB111</f>
        <v>0</v>
      </c>
      <c r="AD111" s="5">
        <f>deaths!AD111-deaths!AC111</f>
        <v>0</v>
      </c>
      <c r="AE111" s="5">
        <f>deaths!AE111-deaths!AD111</f>
        <v>0</v>
      </c>
      <c r="AF111" s="5">
        <f>deaths!AF111-deaths!AE111</f>
        <v>0</v>
      </c>
      <c r="AG111" s="5">
        <f>deaths!AG111-deaths!AF111</f>
        <v>0</v>
      </c>
      <c r="AH111" s="5">
        <f>deaths!AH111-deaths!AG111</f>
        <v>0</v>
      </c>
      <c r="AI111" s="5">
        <f>deaths!AI111-deaths!AH111</f>
        <v>0</v>
      </c>
      <c r="AJ111" s="5">
        <f>deaths!AJ111-deaths!AI111</f>
        <v>0</v>
      </c>
      <c r="AK111" s="5">
        <f>deaths!AK111-deaths!AJ111</f>
        <v>0</v>
      </c>
      <c r="AL111" s="5">
        <f>deaths!AL111-deaths!AK111</f>
        <v>0</v>
      </c>
      <c r="AM111" s="5">
        <f>deaths!AM111-deaths!AL111</f>
        <v>0</v>
      </c>
      <c r="AN111" s="5">
        <f>deaths!AN111-deaths!AM111</f>
        <v>0</v>
      </c>
      <c r="AO111" s="5">
        <f>deaths!AO111-deaths!AN111</f>
        <v>0</v>
      </c>
      <c r="AP111" s="5">
        <f>deaths!AP111-deaths!AO111</f>
        <v>0</v>
      </c>
      <c r="AQ111" s="5">
        <f>deaths!AQ111-deaths!AP111</f>
        <v>0</v>
      </c>
      <c r="AR111" s="5">
        <f>deaths!AR111-deaths!AQ111</f>
        <v>0</v>
      </c>
      <c r="AS111" s="5">
        <f>deaths!AS111-deaths!AR111</f>
        <v>0</v>
      </c>
      <c r="AT111" s="5">
        <f>deaths!AT111-deaths!AS111</f>
        <v>0</v>
      </c>
      <c r="AU111" s="5">
        <f>deaths!AU111-deaths!AT111</f>
        <v>0</v>
      </c>
      <c r="AV111" s="5">
        <f>deaths!AV111-deaths!AU111</f>
        <v>0</v>
      </c>
      <c r="AW111" s="5">
        <f>deaths!AW111-deaths!AV111</f>
        <v>0</v>
      </c>
      <c r="AX111" s="5">
        <f>deaths!AX111-deaths!AW111</f>
        <v>0</v>
      </c>
      <c r="AY111" s="5">
        <f>deaths!AY111-deaths!AX111</f>
        <v>0</v>
      </c>
      <c r="AZ111" s="5">
        <f>deaths!AZ111-deaths!AY111</f>
        <v>0</v>
      </c>
      <c r="BA111" s="5">
        <f>deaths!BA111-deaths!AZ111</f>
        <v>0</v>
      </c>
      <c r="BB111" s="5">
        <f>deaths!BB111-deaths!BA111</f>
        <v>0</v>
      </c>
      <c r="BC111" s="5">
        <f>deaths!BC111-deaths!BB111</f>
        <v>0</v>
      </c>
      <c r="BD111" s="5">
        <f>deaths!BD111-deaths!BC111</f>
        <v>0</v>
      </c>
      <c r="BE111" s="5">
        <f>deaths!BE111-deaths!BD111</f>
        <v>0</v>
      </c>
      <c r="BF111" s="5">
        <f>deaths!BF111-deaths!BE111</f>
        <v>0</v>
      </c>
      <c r="BG111" s="5">
        <f>deaths!BG111-deaths!BF111</f>
        <v>0</v>
      </c>
      <c r="BH111" s="5">
        <f>deaths!BH111-deaths!BG111</f>
        <v>0</v>
      </c>
      <c r="BI111" s="5">
        <f>deaths!BI111-deaths!BH111</f>
        <v>0</v>
      </c>
      <c r="BJ111" s="5">
        <f>deaths!BJ111-deaths!BI111</f>
        <v>0</v>
      </c>
      <c r="BK111" s="5">
        <f>deaths!BK111-deaths!BJ111</f>
        <v>0</v>
      </c>
      <c r="BL111" s="5">
        <f>deaths!BL111-deaths!BK111</f>
        <v>0</v>
      </c>
      <c r="BM111" s="5">
        <f>deaths!BM111-deaths!BL111</f>
        <v>1</v>
      </c>
      <c r="BN111" s="5">
        <f>deaths!BN111-deaths!BM111</f>
        <v>0</v>
      </c>
      <c r="BO111" s="5">
        <f>deaths!BO111-deaths!BN111</f>
        <v>0</v>
      </c>
      <c r="BP111" s="5">
        <f>deaths!BP111-deaths!BO111</f>
        <v>0</v>
      </c>
      <c r="BQ111" s="5">
        <f>deaths!BQ111-deaths!BP111</f>
        <v>0</v>
      </c>
      <c r="BR111" s="5">
        <f>deaths!BR111-deaths!BQ111</f>
        <v>0</v>
      </c>
      <c r="BS111" s="5">
        <f>deaths!BS111-deaths!BR111</f>
        <v>1</v>
      </c>
      <c r="BT111" s="5">
        <f>deaths!BT111-deaths!BS111</f>
        <v>2</v>
      </c>
      <c r="BU111" s="5">
        <f>deaths!BU111-deaths!BT111</f>
        <v>0</v>
      </c>
      <c r="BV111" s="5">
        <f>deaths!BV111-deaths!BU111</f>
        <v>0</v>
      </c>
      <c r="BW111" s="5">
        <f>deaths!BW111-deaths!BV111</f>
        <v>2</v>
      </c>
      <c r="BX111" s="5">
        <f>deaths!BX111-deaths!BW111</f>
        <v>0</v>
      </c>
      <c r="BY111" s="5">
        <f>deaths!BY111-deaths!BX111</f>
        <v>1</v>
      </c>
      <c r="BZ111" s="1">
        <f>deaths!BZ111</f>
        <v>7</v>
      </c>
      <c r="CA111" s="1">
        <f>deaths!CA111</f>
        <v>7</v>
      </c>
      <c r="CB111" s="1">
        <f>deaths!CB111</f>
        <v>7</v>
      </c>
      <c r="CC111" s="1" t="str">
        <f>deaths!CC111</f>
        <v/>
      </c>
    </row>
    <row r="112">
      <c r="B112" s="1" t="str">
        <f>deaths!B112</f>
        <v>France</v>
      </c>
      <c r="C112" s="4">
        <f>deaths!C112</f>
        <v>-12.8275</v>
      </c>
      <c r="D112" s="4">
        <f>deaths!D112</f>
        <v>45.1662</v>
      </c>
      <c r="E112" s="5">
        <f>deaths!E112</f>
        <v>0</v>
      </c>
      <c r="F112" s="5">
        <f>deaths!F112-deaths!E112</f>
        <v>0</v>
      </c>
      <c r="G112" s="5">
        <f>deaths!G112-deaths!F112</f>
        <v>0</v>
      </c>
      <c r="H112" s="5">
        <f>deaths!H112-deaths!G112</f>
        <v>0</v>
      </c>
      <c r="I112" s="5">
        <f>deaths!I112-deaths!H112</f>
        <v>0</v>
      </c>
      <c r="J112" s="5">
        <f>deaths!J112-deaths!I112</f>
        <v>0</v>
      </c>
      <c r="K112" s="5">
        <f>deaths!K112-deaths!J112</f>
        <v>0</v>
      </c>
      <c r="L112" s="5">
        <f>deaths!L112-deaths!K112</f>
        <v>0</v>
      </c>
      <c r="M112" s="5">
        <f>deaths!M112-deaths!L112</f>
        <v>0</v>
      </c>
      <c r="N112" s="5">
        <f>deaths!N112-deaths!M112</f>
        <v>0</v>
      </c>
      <c r="O112" s="5">
        <f>deaths!O112-deaths!N112</f>
        <v>0</v>
      </c>
      <c r="P112" s="5">
        <f>deaths!P112-deaths!O112</f>
        <v>0</v>
      </c>
      <c r="Q112" s="5">
        <f>deaths!Q112-deaths!P112</f>
        <v>0</v>
      </c>
      <c r="R112" s="5">
        <f>deaths!R112-deaths!Q112</f>
        <v>0</v>
      </c>
      <c r="S112" s="5">
        <f>deaths!S112-deaths!R112</f>
        <v>0</v>
      </c>
      <c r="T112" s="5">
        <f>deaths!T112-deaths!S112</f>
        <v>0</v>
      </c>
      <c r="U112" s="5">
        <f>deaths!U112-deaths!T112</f>
        <v>0</v>
      </c>
      <c r="V112" s="5">
        <f>deaths!V112-deaths!U112</f>
        <v>0</v>
      </c>
      <c r="W112" s="5">
        <f>deaths!W112-deaths!V112</f>
        <v>0</v>
      </c>
      <c r="X112" s="5">
        <f>deaths!X112-deaths!W112</f>
        <v>0</v>
      </c>
      <c r="Y112" s="5">
        <f>deaths!Y112-deaths!X112</f>
        <v>0</v>
      </c>
      <c r="Z112" s="5">
        <f>deaths!Z112-deaths!Y112</f>
        <v>0</v>
      </c>
      <c r="AA112" s="5">
        <f>deaths!AA112-deaths!Z112</f>
        <v>0</v>
      </c>
      <c r="AB112" s="5">
        <f>deaths!AB112-deaths!AA112</f>
        <v>0</v>
      </c>
      <c r="AC112" s="5">
        <f>deaths!AC112-deaths!AB112</f>
        <v>0</v>
      </c>
      <c r="AD112" s="5">
        <f>deaths!AD112-deaths!AC112</f>
        <v>0</v>
      </c>
      <c r="AE112" s="5">
        <f>deaths!AE112-deaths!AD112</f>
        <v>0</v>
      </c>
      <c r="AF112" s="5">
        <f>deaths!AF112-deaths!AE112</f>
        <v>0</v>
      </c>
      <c r="AG112" s="5">
        <f>deaths!AG112-deaths!AF112</f>
        <v>0</v>
      </c>
      <c r="AH112" s="5">
        <f>deaths!AH112-deaths!AG112</f>
        <v>0</v>
      </c>
      <c r="AI112" s="5">
        <f>deaths!AI112-deaths!AH112</f>
        <v>0</v>
      </c>
      <c r="AJ112" s="5">
        <f>deaths!AJ112-deaths!AI112</f>
        <v>0</v>
      </c>
      <c r="AK112" s="5">
        <f>deaths!AK112-deaths!AJ112</f>
        <v>0</v>
      </c>
      <c r="AL112" s="5">
        <f>deaths!AL112-deaths!AK112</f>
        <v>0</v>
      </c>
      <c r="AM112" s="5">
        <f>deaths!AM112-deaths!AL112</f>
        <v>0</v>
      </c>
      <c r="AN112" s="5">
        <f>deaths!AN112-deaths!AM112</f>
        <v>0</v>
      </c>
      <c r="AO112" s="5">
        <f>deaths!AO112-deaths!AN112</f>
        <v>0</v>
      </c>
      <c r="AP112" s="5">
        <f>deaths!AP112-deaths!AO112</f>
        <v>0</v>
      </c>
      <c r="AQ112" s="5">
        <f>deaths!AQ112-deaths!AP112</f>
        <v>0</v>
      </c>
      <c r="AR112" s="5">
        <f>deaths!AR112-deaths!AQ112</f>
        <v>0</v>
      </c>
      <c r="AS112" s="5">
        <f>deaths!AS112-deaths!AR112</f>
        <v>0</v>
      </c>
      <c r="AT112" s="5">
        <f>deaths!AT112-deaths!AS112</f>
        <v>0</v>
      </c>
      <c r="AU112" s="5">
        <f>deaths!AU112-deaths!AT112</f>
        <v>0</v>
      </c>
      <c r="AV112" s="5">
        <f>deaths!AV112-deaths!AU112</f>
        <v>0</v>
      </c>
      <c r="AW112" s="5">
        <f>deaths!AW112-deaths!AV112</f>
        <v>0</v>
      </c>
      <c r="AX112" s="5">
        <f>deaths!AX112-deaths!AW112</f>
        <v>0</v>
      </c>
      <c r="AY112" s="5">
        <f>deaths!AY112-deaths!AX112</f>
        <v>0</v>
      </c>
      <c r="AZ112" s="5">
        <f>deaths!AZ112-deaths!AY112</f>
        <v>0</v>
      </c>
      <c r="BA112" s="5">
        <f>deaths!BA112-deaths!AZ112</f>
        <v>0</v>
      </c>
      <c r="BB112" s="5">
        <f>deaths!BB112-deaths!BA112</f>
        <v>0</v>
      </c>
      <c r="BC112" s="5">
        <f>deaths!BC112-deaths!BB112</f>
        <v>0</v>
      </c>
      <c r="BD112" s="5">
        <f>deaths!BD112-deaths!BC112</f>
        <v>0</v>
      </c>
      <c r="BE112" s="5">
        <f>deaths!BE112-deaths!BD112</f>
        <v>0</v>
      </c>
      <c r="BF112" s="5">
        <f>deaths!BF112-deaths!BE112</f>
        <v>0</v>
      </c>
      <c r="BG112" s="5">
        <f>deaths!BG112-deaths!BF112</f>
        <v>0</v>
      </c>
      <c r="BH112" s="5">
        <f>deaths!BH112-deaths!BG112</f>
        <v>0</v>
      </c>
      <c r="BI112" s="5">
        <f>deaths!BI112-deaths!BH112</f>
        <v>0</v>
      </c>
      <c r="BJ112" s="5">
        <f>deaths!BJ112-deaths!BI112</f>
        <v>0</v>
      </c>
      <c r="BK112" s="5">
        <f>deaths!BK112-deaths!BJ112</f>
        <v>0</v>
      </c>
      <c r="BL112" s="5">
        <f>deaths!BL112-deaths!BK112</f>
        <v>0</v>
      </c>
      <c r="BM112" s="5">
        <f>deaths!BM112-deaths!BL112</f>
        <v>0</v>
      </c>
      <c r="BN112" s="5">
        <f>deaths!BN112-deaths!BM112</f>
        <v>0</v>
      </c>
      <c r="BO112" s="5">
        <f>deaths!BO112-deaths!BN112</f>
        <v>0</v>
      </c>
      <c r="BP112" s="5">
        <f>deaths!BP112-deaths!BO112</f>
        <v>0</v>
      </c>
      <c r="BQ112" s="5">
        <f>deaths!BQ112-deaths!BP112</f>
        <v>0</v>
      </c>
      <c r="BR112" s="5">
        <f>deaths!BR112-deaths!BQ112</f>
        <v>0</v>
      </c>
      <c r="BS112" s="5">
        <f>deaths!BS112-deaths!BR112</f>
        <v>0</v>
      </c>
      <c r="BT112" s="5">
        <f>deaths!BT112-deaths!BS112</f>
        <v>0</v>
      </c>
      <c r="BU112" s="5">
        <f>deaths!BU112-deaths!BT112</f>
        <v>0</v>
      </c>
      <c r="BV112" s="5">
        <f>deaths!BV112-deaths!BU112</f>
        <v>1</v>
      </c>
      <c r="BW112" s="5">
        <f>deaths!BW112-deaths!BV112</f>
        <v>0</v>
      </c>
      <c r="BX112" s="5">
        <f>deaths!BX112-deaths!BW112</f>
        <v>0</v>
      </c>
      <c r="BY112" s="5">
        <f>deaths!BY112-deaths!BX112</f>
        <v>1</v>
      </c>
      <c r="BZ112" s="1">
        <f>deaths!BZ112</f>
        <v>2</v>
      </c>
      <c r="CA112" s="1">
        <f>deaths!CA112</f>
        <v>2</v>
      </c>
      <c r="CB112" s="1">
        <f>deaths!CB112</f>
        <v>2</v>
      </c>
      <c r="CC112" s="1" t="str">
        <f>deaths!CC112</f>
        <v/>
      </c>
    </row>
    <row r="113">
      <c r="B113" s="1" t="str">
        <f>deaths!B113</f>
        <v>France</v>
      </c>
      <c r="C113" s="4">
        <f>deaths!C113</f>
        <v>-20.9043</v>
      </c>
      <c r="D113" s="4">
        <f>deaths!D113</f>
        <v>165.618</v>
      </c>
      <c r="E113" s="5">
        <f>deaths!E113</f>
        <v>0</v>
      </c>
      <c r="F113" s="5">
        <f>deaths!F113-deaths!E113</f>
        <v>0</v>
      </c>
      <c r="G113" s="5">
        <f>deaths!G113-deaths!F113</f>
        <v>0</v>
      </c>
      <c r="H113" s="5">
        <f>deaths!H113-deaths!G113</f>
        <v>0</v>
      </c>
      <c r="I113" s="5">
        <f>deaths!I113-deaths!H113</f>
        <v>0</v>
      </c>
      <c r="J113" s="5">
        <f>deaths!J113-deaths!I113</f>
        <v>0</v>
      </c>
      <c r="K113" s="5">
        <f>deaths!K113-deaths!J113</f>
        <v>0</v>
      </c>
      <c r="L113" s="5">
        <f>deaths!L113-deaths!K113</f>
        <v>0</v>
      </c>
      <c r="M113" s="5">
        <f>deaths!M113-deaths!L113</f>
        <v>0</v>
      </c>
      <c r="N113" s="5">
        <f>deaths!N113-deaths!M113</f>
        <v>0</v>
      </c>
      <c r="O113" s="5">
        <f>deaths!O113-deaths!N113</f>
        <v>0</v>
      </c>
      <c r="P113" s="5">
        <f>deaths!P113-deaths!O113</f>
        <v>0</v>
      </c>
      <c r="Q113" s="5">
        <f>deaths!Q113-deaths!P113</f>
        <v>0</v>
      </c>
      <c r="R113" s="5">
        <f>deaths!R113-deaths!Q113</f>
        <v>0</v>
      </c>
      <c r="S113" s="5">
        <f>deaths!S113-deaths!R113</f>
        <v>0</v>
      </c>
      <c r="T113" s="5">
        <f>deaths!T113-deaths!S113</f>
        <v>0</v>
      </c>
      <c r="U113" s="5">
        <f>deaths!U113-deaths!T113</f>
        <v>0</v>
      </c>
      <c r="V113" s="5">
        <f>deaths!V113-deaths!U113</f>
        <v>0</v>
      </c>
      <c r="W113" s="5">
        <f>deaths!W113-deaths!V113</f>
        <v>0</v>
      </c>
      <c r="X113" s="5">
        <f>deaths!X113-deaths!W113</f>
        <v>0</v>
      </c>
      <c r="Y113" s="5">
        <f>deaths!Y113-deaths!X113</f>
        <v>0</v>
      </c>
      <c r="Z113" s="5">
        <f>deaths!Z113-deaths!Y113</f>
        <v>0</v>
      </c>
      <c r="AA113" s="5">
        <f>deaths!AA113-deaths!Z113</f>
        <v>0</v>
      </c>
      <c r="AB113" s="5">
        <f>deaths!AB113-deaths!AA113</f>
        <v>0</v>
      </c>
      <c r="AC113" s="5">
        <f>deaths!AC113-deaths!AB113</f>
        <v>0</v>
      </c>
      <c r="AD113" s="5">
        <f>deaths!AD113-deaths!AC113</f>
        <v>0</v>
      </c>
      <c r="AE113" s="5">
        <f>deaths!AE113-deaths!AD113</f>
        <v>0</v>
      </c>
      <c r="AF113" s="5">
        <f>deaths!AF113-deaths!AE113</f>
        <v>0</v>
      </c>
      <c r="AG113" s="5">
        <f>deaths!AG113-deaths!AF113</f>
        <v>0</v>
      </c>
      <c r="AH113" s="5">
        <f>deaths!AH113-deaths!AG113</f>
        <v>0</v>
      </c>
      <c r="AI113" s="5">
        <f>deaths!AI113-deaths!AH113</f>
        <v>0</v>
      </c>
      <c r="AJ113" s="5">
        <f>deaths!AJ113-deaths!AI113</f>
        <v>0</v>
      </c>
      <c r="AK113" s="5">
        <f>deaths!AK113-deaths!AJ113</f>
        <v>0</v>
      </c>
      <c r="AL113" s="5">
        <f>deaths!AL113-deaths!AK113</f>
        <v>0</v>
      </c>
      <c r="AM113" s="5">
        <f>deaths!AM113-deaths!AL113</f>
        <v>0</v>
      </c>
      <c r="AN113" s="5">
        <f>deaths!AN113-deaths!AM113</f>
        <v>0</v>
      </c>
      <c r="AO113" s="5">
        <f>deaths!AO113-deaths!AN113</f>
        <v>0</v>
      </c>
      <c r="AP113" s="5">
        <f>deaths!AP113-deaths!AO113</f>
        <v>0</v>
      </c>
      <c r="AQ113" s="5">
        <f>deaths!AQ113-deaths!AP113</f>
        <v>0</v>
      </c>
      <c r="AR113" s="5">
        <f>deaths!AR113-deaths!AQ113</f>
        <v>0</v>
      </c>
      <c r="AS113" s="5">
        <f>deaths!AS113-deaths!AR113</f>
        <v>0</v>
      </c>
      <c r="AT113" s="5">
        <f>deaths!AT113-deaths!AS113</f>
        <v>0</v>
      </c>
      <c r="AU113" s="5">
        <f>deaths!AU113-deaths!AT113</f>
        <v>0</v>
      </c>
      <c r="AV113" s="5">
        <f>deaths!AV113-deaths!AU113</f>
        <v>0</v>
      </c>
      <c r="AW113" s="5">
        <f>deaths!AW113-deaths!AV113</f>
        <v>0</v>
      </c>
      <c r="AX113" s="5">
        <f>deaths!AX113-deaths!AW113</f>
        <v>0</v>
      </c>
      <c r="AY113" s="5">
        <f>deaths!AY113-deaths!AX113</f>
        <v>0</v>
      </c>
      <c r="AZ113" s="5">
        <f>deaths!AZ113-deaths!AY113</f>
        <v>0</v>
      </c>
      <c r="BA113" s="5">
        <f>deaths!BA113-deaths!AZ113</f>
        <v>0</v>
      </c>
      <c r="BB113" s="5">
        <f>deaths!BB113-deaths!BA113</f>
        <v>0</v>
      </c>
      <c r="BC113" s="5">
        <f>deaths!BC113-deaths!BB113</f>
        <v>0</v>
      </c>
      <c r="BD113" s="5">
        <f>deaths!BD113-deaths!BC113</f>
        <v>0</v>
      </c>
      <c r="BE113" s="5">
        <f>deaths!BE113-deaths!BD113</f>
        <v>0</v>
      </c>
      <c r="BF113" s="5">
        <f>deaths!BF113-deaths!BE113</f>
        <v>0</v>
      </c>
      <c r="BG113" s="5">
        <f>deaths!BG113-deaths!BF113</f>
        <v>0</v>
      </c>
      <c r="BH113" s="5">
        <f>deaths!BH113-deaths!BG113</f>
        <v>0</v>
      </c>
      <c r="BI113" s="5">
        <f>deaths!BI113-deaths!BH113</f>
        <v>0</v>
      </c>
      <c r="BJ113" s="5">
        <f>deaths!BJ113-deaths!BI113</f>
        <v>0</v>
      </c>
      <c r="BK113" s="5">
        <f>deaths!BK113-deaths!BJ113</f>
        <v>0</v>
      </c>
      <c r="BL113" s="5">
        <f>deaths!BL113-deaths!BK113</f>
        <v>0</v>
      </c>
      <c r="BM113" s="5">
        <f>deaths!BM113-deaths!BL113</f>
        <v>0</v>
      </c>
      <c r="BN113" s="5">
        <f>deaths!BN113-deaths!BM113</f>
        <v>0</v>
      </c>
      <c r="BO113" s="5">
        <f>deaths!BO113-deaths!BN113</f>
        <v>0</v>
      </c>
      <c r="BP113" s="5">
        <f>deaths!BP113-deaths!BO113</f>
        <v>0</v>
      </c>
      <c r="BQ113" s="5">
        <f>deaths!BQ113-deaths!BP113</f>
        <v>0</v>
      </c>
      <c r="BR113" s="5">
        <f>deaths!BR113-deaths!BQ113</f>
        <v>0</v>
      </c>
      <c r="BS113" s="5">
        <f>deaths!BS113-deaths!BR113</f>
        <v>0</v>
      </c>
      <c r="BT113" s="5">
        <f>deaths!BT113-deaths!BS113</f>
        <v>0</v>
      </c>
      <c r="BU113" s="5">
        <f>deaths!BU113-deaths!BT113</f>
        <v>0</v>
      </c>
      <c r="BV113" s="5">
        <f>deaths!BV113-deaths!BU113</f>
        <v>0</v>
      </c>
      <c r="BW113" s="5">
        <f>deaths!BW113-deaths!BV113</f>
        <v>0</v>
      </c>
      <c r="BX113" s="5">
        <f>deaths!BX113-deaths!BW113</f>
        <v>0</v>
      </c>
      <c r="BY113" s="5">
        <f>deaths!BY113-deaths!BX113</f>
        <v>0</v>
      </c>
      <c r="BZ113" s="1">
        <f>deaths!BZ113</f>
        <v>0</v>
      </c>
      <c r="CA113" s="1">
        <f>deaths!CA113</f>
        <v>0</v>
      </c>
      <c r="CB113" s="1">
        <f>deaths!CB113</f>
        <v>0</v>
      </c>
      <c r="CC113" s="1" t="str">
        <f>deaths!CC113</f>
        <v/>
      </c>
    </row>
    <row r="114">
      <c r="B114" s="1" t="str">
        <f>deaths!B114</f>
        <v>France</v>
      </c>
      <c r="C114" s="4">
        <f>deaths!C114</f>
        <v>-21.1351</v>
      </c>
      <c r="D114" s="4">
        <f>deaths!D114</f>
        <v>55.2471</v>
      </c>
      <c r="E114" s="5">
        <f>deaths!E114</f>
        <v>0</v>
      </c>
      <c r="F114" s="5">
        <f>deaths!F114-deaths!E114</f>
        <v>0</v>
      </c>
      <c r="G114" s="5">
        <f>deaths!G114-deaths!F114</f>
        <v>0</v>
      </c>
      <c r="H114" s="5">
        <f>deaths!H114-deaths!G114</f>
        <v>0</v>
      </c>
      <c r="I114" s="5">
        <f>deaths!I114-deaths!H114</f>
        <v>0</v>
      </c>
      <c r="J114" s="5">
        <f>deaths!J114-deaths!I114</f>
        <v>0</v>
      </c>
      <c r="K114" s="5">
        <f>deaths!K114-deaths!J114</f>
        <v>0</v>
      </c>
      <c r="L114" s="5">
        <f>deaths!L114-deaths!K114</f>
        <v>0</v>
      </c>
      <c r="M114" s="5">
        <f>deaths!M114-deaths!L114</f>
        <v>0</v>
      </c>
      <c r="N114" s="5">
        <f>deaths!N114-deaths!M114</f>
        <v>0</v>
      </c>
      <c r="O114" s="5">
        <f>deaths!O114-deaths!N114</f>
        <v>0</v>
      </c>
      <c r="P114" s="5">
        <f>deaths!P114-deaths!O114</f>
        <v>0</v>
      </c>
      <c r="Q114" s="5">
        <f>deaths!Q114-deaths!P114</f>
        <v>0</v>
      </c>
      <c r="R114" s="5">
        <f>deaths!R114-deaths!Q114</f>
        <v>0</v>
      </c>
      <c r="S114" s="5">
        <f>deaths!S114-deaths!R114</f>
        <v>0</v>
      </c>
      <c r="T114" s="5">
        <f>deaths!T114-deaths!S114</f>
        <v>0</v>
      </c>
      <c r="U114" s="5">
        <f>deaths!U114-deaths!T114</f>
        <v>0</v>
      </c>
      <c r="V114" s="5">
        <f>deaths!V114-deaths!U114</f>
        <v>0</v>
      </c>
      <c r="W114" s="5">
        <f>deaths!W114-deaths!V114</f>
        <v>0</v>
      </c>
      <c r="X114" s="5">
        <f>deaths!X114-deaths!W114</f>
        <v>0</v>
      </c>
      <c r="Y114" s="5">
        <f>deaths!Y114-deaths!X114</f>
        <v>0</v>
      </c>
      <c r="Z114" s="5">
        <f>deaths!Z114-deaths!Y114</f>
        <v>0</v>
      </c>
      <c r="AA114" s="5">
        <f>deaths!AA114-deaths!Z114</f>
        <v>0</v>
      </c>
      <c r="AB114" s="5">
        <f>deaths!AB114-deaths!AA114</f>
        <v>0</v>
      </c>
      <c r="AC114" s="5">
        <f>deaths!AC114-deaths!AB114</f>
        <v>0</v>
      </c>
      <c r="AD114" s="5">
        <f>deaths!AD114-deaths!AC114</f>
        <v>0</v>
      </c>
      <c r="AE114" s="5">
        <f>deaths!AE114-deaths!AD114</f>
        <v>0</v>
      </c>
      <c r="AF114" s="5">
        <f>deaths!AF114-deaths!AE114</f>
        <v>0</v>
      </c>
      <c r="AG114" s="5">
        <f>deaths!AG114-deaths!AF114</f>
        <v>0</v>
      </c>
      <c r="AH114" s="5">
        <f>deaths!AH114-deaths!AG114</f>
        <v>0</v>
      </c>
      <c r="AI114" s="5">
        <f>deaths!AI114-deaths!AH114</f>
        <v>0</v>
      </c>
      <c r="AJ114" s="5">
        <f>deaths!AJ114-deaths!AI114</f>
        <v>0</v>
      </c>
      <c r="AK114" s="5">
        <f>deaths!AK114-deaths!AJ114</f>
        <v>0</v>
      </c>
      <c r="AL114" s="5">
        <f>deaths!AL114-deaths!AK114</f>
        <v>0</v>
      </c>
      <c r="AM114" s="5">
        <f>deaths!AM114-deaths!AL114</f>
        <v>0</v>
      </c>
      <c r="AN114" s="5">
        <f>deaths!AN114-deaths!AM114</f>
        <v>0</v>
      </c>
      <c r="AO114" s="5">
        <f>deaths!AO114-deaths!AN114</f>
        <v>0</v>
      </c>
      <c r="AP114" s="5">
        <f>deaths!AP114-deaths!AO114</f>
        <v>0</v>
      </c>
      <c r="AQ114" s="5">
        <f>deaths!AQ114-deaths!AP114</f>
        <v>0</v>
      </c>
      <c r="AR114" s="5">
        <f>deaths!AR114-deaths!AQ114</f>
        <v>0</v>
      </c>
      <c r="AS114" s="5">
        <f>deaths!AS114-deaths!AR114</f>
        <v>0</v>
      </c>
      <c r="AT114" s="5">
        <f>deaths!AT114-deaths!AS114</f>
        <v>0</v>
      </c>
      <c r="AU114" s="5">
        <f>deaths!AU114-deaths!AT114</f>
        <v>0</v>
      </c>
      <c r="AV114" s="5">
        <f>deaths!AV114-deaths!AU114</f>
        <v>0</v>
      </c>
      <c r="AW114" s="5">
        <f>deaths!AW114-deaths!AV114</f>
        <v>0</v>
      </c>
      <c r="AX114" s="5">
        <f>deaths!AX114-deaths!AW114</f>
        <v>0</v>
      </c>
      <c r="AY114" s="5">
        <f>deaths!AY114-deaths!AX114</f>
        <v>0</v>
      </c>
      <c r="AZ114" s="5">
        <f>deaths!AZ114-deaths!AY114</f>
        <v>0</v>
      </c>
      <c r="BA114" s="5">
        <f>deaths!BA114-deaths!AZ114</f>
        <v>0</v>
      </c>
      <c r="BB114" s="5">
        <f>deaths!BB114-deaths!BA114</f>
        <v>0</v>
      </c>
      <c r="BC114" s="5">
        <f>deaths!BC114-deaths!BB114</f>
        <v>0</v>
      </c>
      <c r="BD114" s="5">
        <f>deaths!BD114-deaths!BC114</f>
        <v>0</v>
      </c>
      <c r="BE114" s="5">
        <f>deaths!BE114-deaths!BD114</f>
        <v>0</v>
      </c>
      <c r="BF114" s="5">
        <f>deaths!BF114-deaths!BE114</f>
        <v>0</v>
      </c>
      <c r="BG114" s="5">
        <f>deaths!BG114-deaths!BF114</f>
        <v>0</v>
      </c>
      <c r="BH114" s="5">
        <f>deaths!BH114-deaths!BG114</f>
        <v>0</v>
      </c>
      <c r="BI114" s="5">
        <f>deaths!BI114-deaths!BH114</f>
        <v>0</v>
      </c>
      <c r="BJ114" s="5">
        <f>deaths!BJ114-deaths!BI114</f>
        <v>0</v>
      </c>
      <c r="BK114" s="5">
        <f>deaths!BK114-deaths!BJ114</f>
        <v>0</v>
      </c>
      <c r="BL114" s="5">
        <f>deaths!BL114-deaths!BK114</f>
        <v>0</v>
      </c>
      <c r="BM114" s="5">
        <f>deaths!BM114-deaths!BL114</f>
        <v>0</v>
      </c>
      <c r="BN114" s="5">
        <f>deaths!BN114-deaths!BM114</f>
        <v>0</v>
      </c>
      <c r="BO114" s="5">
        <f>deaths!BO114-deaths!BN114</f>
        <v>0</v>
      </c>
      <c r="BP114" s="5">
        <f>deaths!BP114-deaths!BO114</f>
        <v>0</v>
      </c>
      <c r="BQ114" s="5">
        <f>deaths!BQ114-deaths!BP114</f>
        <v>0</v>
      </c>
      <c r="BR114" s="5">
        <f>deaths!BR114-deaths!BQ114</f>
        <v>0</v>
      </c>
      <c r="BS114" s="5">
        <f>deaths!BS114-deaths!BR114</f>
        <v>0</v>
      </c>
      <c r="BT114" s="5">
        <f>deaths!BT114-deaths!BS114</f>
        <v>0</v>
      </c>
      <c r="BU114" s="5">
        <f>deaths!BU114-deaths!BT114</f>
        <v>0</v>
      </c>
      <c r="BV114" s="5">
        <f>deaths!BV114-deaths!BU114</f>
        <v>0</v>
      </c>
      <c r="BW114" s="5">
        <f>deaths!BW114-deaths!BV114</f>
        <v>0</v>
      </c>
      <c r="BX114" s="5">
        <f>deaths!BX114-deaths!BW114</f>
        <v>0</v>
      </c>
      <c r="BY114" s="5">
        <f>deaths!BY114-deaths!BX114</f>
        <v>0</v>
      </c>
      <c r="BZ114" s="1">
        <f>deaths!BZ114</f>
        <v>0</v>
      </c>
      <c r="CA114" s="1">
        <f>deaths!CA114</f>
        <v>0</v>
      </c>
      <c r="CB114" s="1">
        <f>deaths!CB114</f>
        <v>0</v>
      </c>
      <c r="CC114" s="1" t="str">
        <f>deaths!CC114</f>
        <v/>
      </c>
    </row>
    <row r="115">
      <c r="B115" s="1" t="str">
        <f>deaths!B115</f>
        <v>France</v>
      </c>
      <c r="C115" s="4">
        <f>deaths!C115</f>
        <v>17.9</v>
      </c>
      <c r="D115" s="4">
        <f>deaths!D115</f>
        <v>-62.8333</v>
      </c>
      <c r="E115" s="5">
        <f>deaths!E115</f>
        <v>0</v>
      </c>
      <c r="F115" s="5">
        <f>deaths!F115-deaths!E115</f>
        <v>0</v>
      </c>
      <c r="G115" s="5">
        <f>deaths!G115-deaths!F115</f>
        <v>0</v>
      </c>
      <c r="H115" s="5">
        <f>deaths!H115-deaths!G115</f>
        <v>0</v>
      </c>
      <c r="I115" s="5">
        <f>deaths!I115-deaths!H115</f>
        <v>0</v>
      </c>
      <c r="J115" s="5">
        <f>deaths!J115-deaths!I115</f>
        <v>0</v>
      </c>
      <c r="K115" s="5">
        <f>deaths!K115-deaths!J115</f>
        <v>0</v>
      </c>
      <c r="L115" s="5">
        <f>deaths!L115-deaths!K115</f>
        <v>0</v>
      </c>
      <c r="M115" s="5">
        <f>deaths!M115-deaths!L115</f>
        <v>0</v>
      </c>
      <c r="N115" s="5">
        <f>deaths!N115-deaths!M115</f>
        <v>0</v>
      </c>
      <c r="O115" s="5">
        <f>deaths!O115-deaths!N115</f>
        <v>0</v>
      </c>
      <c r="P115" s="5">
        <f>deaths!P115-deaths!O115</f>
        <v>0</v>
      </c>
      <c r="Q115" s="5">
        <f>deaths!Q115-deaths!P115</f>
        <v>0</v>
      </c>
      <c r="R115" s="5">
        <f>deaths!R115-deaths!Q115</f>
        <v>0</v>
      </c>
      <c r="S115" s="5">
        <f>deaths!S115-deaths!R115</f>
        <v>0</v>
      </c>
      <c r="T115" s="5">
        <f>deaths!T115-deaths!S115</f>
        <v>0</v>
      </c>
      <c r="U115" s="5">
        <f>deaths!U115-deaths!T115</f>
        <v>0</v>
      </c>
      <c r="V115" s="5">
        <f>deaths!V115-deaths!U115</f>
        <v>0</v>
      </c>
      <c r="W115" s="5">
        <f>deaths!W115-deaths!V115</f>
        <v>0</v>
      </c>
      <c r="X115" s="5">
        <f>deaths!X115-deaths!W115</f>
        <v>0</v>
      </c>
      <c r="Y115" s="5">
        <f>deaths!Y115-deaths!X115</f>
        <v>0</v>
      </c>
      <c r="Z115" s="5">
        <f>deaths!Z115-deaths!Y115</f>
        <v>0</v>
      </c>
      <c r="AA115" s="5">
        <f>deaths!AA115-deaths!Z115</f>
        <v>0</v>
      </c>
      <c r="AB115" s="5">
        <f>deaths!AB115-deaths!AA115</f>
        <v>0</v>
      </c>
      <c r="AC115" s="5">
        <f>deaths!AC115-deaths!AB115</f>
        <v>0</v>
      </c>
      <c r="AD115" s="5">
        <f>deaths!AD115-deaths!AC115</f>
        <v>0</v>
      </c>
      <c r="AE115" s="5">
        <f>deaths!AE115-deaths!AD115</f>
        <v>0</v>
      </c>
      <c r="AF115" s="5">
        <f>deaths!AF115-deaths!AE115</f>
        <v>0</v>
      </c>
      <c r="AG115" s="5">
        <f>deaths!AG115-deaths!AF115</f>
        <v>0</v>
      </c>
      <c r="AH115" s="5">
        <f>deaths!AH115-deaths!AG115</f>
        <v>0</v>
      </c>
      <c r="AI115" s="5">
        <f>deaths!AI115-deaths!AH115</f>
        <v>0</v>
      </c>
      <c r="AJ115" s="5">
        <f>deaths!AJ115-deaths!AI115</f>
        <v>0</v>
      </c>
      <c r="AK115" s="5">
        <f>deaths!AK115-deaths!AJ115</f>
        <v>0</v>
      </c>
      <c r="AL115" s="5">
        <f>deaths!AL115-deaths!AK115</f>
        <v>0</v>
      </c>
      <c r="AM115" s="5">
        <f>deaths!AM115-deaths!AL115</f>
        <v>0</v>
      </c>
      <c r="AN115" s="5">
        <f>deaths!AN115-deaths!AM115</f>
        <v>0</v>
      </c>
      <c r="AO115" s="5">
        <f>deaths!AO115-deaths!AN115</f>
        <v>0</v>
      </c>
      <c r="AP115" s="5">
        <f>deaths!AP115-deaths!AO115</f>
        <v>0</v>
      </c>
      <c r="AQ115" s="5">
        <f>deaths!AQ115-deaths!AP115</f>
        <v>0</v>
      </c>
      <c r="AR115" s="5">
        <f>deaths!AR115-deaths!AQ115</f>
        <v>0</v>
      </c>
      <c r="AS115" s="5">
        <f>deaths!AS115-deaths!AR115</f>
        <v>0</v>
      </c>
      <c r="AT115" s="5">
        <f>deaths!AT115-deaths!AS115</f>
        <v>0</v>
      </c>
      <c r="AU115" s="5">
        <f>deaths!AU115-deaths!AT115</f>
        <v>0</v>
      </c>
      <c r="AV115" s="5">
        <f>deaths!AV115-deaths!AU115</f>
        <v>0</v>
      </c>
      <c r="AW115" s="5">
        <f>deaths!AW115-deaths!AV115</f>
        <v>0</v>
      </c>
      <c r="AX115" s="5">
        <f>deaths!AX115-deaths!AW115</f>
        <v>0</v>
      </c>
      <c r="AY115" s="5">
        <f>deaths!AY115-deaths!AX115</f>
        <v>0</v>
      </c>
      <c r="AZ115" s="5">
        <f>deaths!AZ115-deaths!AY115</f>
        <v>0</v>
      </c>
      <c r="BA115" s="5">
        <f>deaths!BA115-deaths!AZ115</f>
        <v>0</v>
      </c>
      <c r="BB115" s="5">
        <f>deaths!BB115-deaths!BA115</f>
        <v>0</v>
      </c>
      <c r="BC115" s="5">
        <f>deaths!BC115-deaths!BB115</f>
        <v>0</v>
      </c>
      <c r="BD115" s="5">
        <f>deaths!BD115-deaths!BC115</f>
        <v>0</v>
      </c>
      <c r="BE115" s="5">
        <f>deaths!BE115-deaths!BD115</f>
        <v>0</v>
      </c>
      <c r="BF115" s="5">
        <f>deaths!BF115-deaths!BE115</f>
        <v>0</v>
      </c>
      <c r="BG115" s="5">
        <f>deaths!BG115-deaths!BF115</f>
        <v>0</v>
      </c>
      <c r="BH115" s="5">
        <f>deaths!BH115-deaths!BG115</f>
        <v>0</v>
      </c>
      <c r="BI115" s="5">
        <f>deaths!BI115-deaths!BH115</f>
        <v>0</v>
      </c>
      <c r="BJ115" s="5">
        <f>deaths!BJ115-deaths!BI115</f>
        <v>0</v>
      </c>
      <c r="BK115" s="5">
        <f>deaths!BK115-deaths!BJ115</f>
        <v>0</v>
      </c>
      <c r="BL115" s="5">
        <f>deaths!BL115-deaths!BK115</f>
        <v>0</v>
      </c>
      <c r="BM115" s="5">
        <f>deaths!BM115-deaths!BL115</f>
        <v>0</v>
      </c>
      <c r="BN115" s="5">
        <f>deaths!BN115-deaths!BM115</f>
        <v>0</v>
      </c>
      <c r="BO115" s="5">
        <f>deaths!BO115-deaths!BN115</f>
        <v>0</v>
      </c>
      <c r="BP115" s="5">
        <f>deaths!BP115-deaths!BO115</f>
        <v>0</v>
      </c>
      <c r="BQ115" s="5">
        <f>deaths!BQ115-deaths!BP115</f>
        <v>0</v>
      </c>
      <c r="BR115" s="5">
        <f>deaths!BR115-deaths!BQ115</f>
        <v>0</v>
      </c>
      <c r="BS115" s="5">
        <f>deaths!BS115-deaths!BR115</f>
        <v>0</v>
      </c>
      <c r="BT115" s="5">
        <f>deaths!BT115-deaths!BS115</f>
        <v>0</v>
      </c>
      <c r="BU115" s="5">
        <f>deaths!BU115-deaths!BT115</f>
        <v>0</v>
      </c>
      <c r="BV115" s="5">
        <f>deaths!BV115-deaths!BU115</f>
        <v>0</v>
      </c>
      <c r="BW115" s="5">
        <f>deaths!BW115-deaths!BV115</f>
        <v>0</v>
      </c>
      <c r="BX115" s="5">
        <f>deaths!BX115-deaths!BW115</f>
        <v>0</v>
      </c>
      <c r="BY115" s="5">
        <f>deaths!BY115-deaths!BX115</f>
        <v>0</v>
      </c>
      <c r="BZ115" s="1">
        <f>deaths!BZ115</f>
        <v>0</v>
      </c>
      <c r="CA115" s="1">
        <f>deaths!CA115</f>
        <v>0</v>
      </c>
      <c r="CB115" s="1">
        <f>deaths!CB115</f>
        <v>0</v>
      </c>
      <c r="CC115" s="1" t="str">
        <f>deaths!CC115</f>
        <v/>
      </c>
    </row>
    <row r="116">
      <c r="B116" s="1" t="str">
        <f>deaths!B116</f>
        <v>France</v>
      </c>
      <c r="C116" s="4">
        <f>deaths!C116</f>
        <v>18.0708</v>
      </c>
      <c r="D116" s="4">
        <f>deaths!D116</f>
        <v>-63.0501</v>
      </c>
      <c r="E116" s="5">
        <f>deaths!E116</f>
        <v>0</v>
      </c>
      <c r="F116" s="5">
        <f>deaths!F116-deaths!E116</f>
        <v>0</v>
      </c>
      <c r="G116" s="5">
        <f>deaths!G116-deaths!F116</f>
        <v>0</v>
      </c>
      <c r="H116" s="5">
        <f>deaths!H116-deaths!G116</f>
        <v>0</v>
      </c>
      <c r="I116" s="5">
        <f>deaths!I116-deaths!H116</f>
        <v>0</v>
      </c>
      <c r="J116" s="5">
        <f>deaths!J116-deaths!I116</f>
        <v>0</v>
      </c>
      <c r="K116" s="5">
        <f>deaths!K116-deaths!J116</f>
        <v>0</v>
      </c>
      <c r="L116" s="5">
        <f>deaths!L116-deaths!K116</f>
        <v>0</v>
      </c>
      <c r="M116" s="5">
        <f>deaths!M116-deaths!L116</f>
        <v>0</v>
      </c>
      <c r="N116" s="5">
        <f>deaths!N116-deaths!M116</f>
        <v>0</v>
      </c>
      <c r="O116" s="5">
        <f>deaths!O116-deaths!N116</f>
        <v>0</v>
      </c>
      <c r="P116" s="5">
        <f>deaths!P116-deaths!O116</f>
        <v>0</v>
      </c>
      <c r="Q116" s="5">
        <f>deaths!Q116-deaths!P116</f>
        <v>0</v>
      </c>
      <c r="R116" s="5">
        <f>deaths!R116-deaths!Q116</f>
        <v>0</v>
      </c>
      <c r="S116" s="5">
        <f>deaths!S116-deaths!R116</f>
        <v>0</v>
      </c>
      <c r="T116" s="5">
        <f>deaths!T116-deaths!S116</f>
        <v>0</v>
      </c>
      <c r="U116" s="5">
        <f>deaths!U116-deaths!T116</f>
        <v>0</v>
      </c>
      <c r="V116" s="5">
        <f>deaths!V116-deaths!U116</f>
        <v>0</v>
      </c>
      <c r="W116" s="5">
        <f>deaths!W116-deaths!V116</f>
        <v>0</v>
      </c>
      <c r="X116" s="5">
        <f>deaths!X116-deaths!W116</f>
        <v>0</v>
      </c>
      <c r="Y116" s="5">
        <f>deaths!Y116-deaths!X116</f>
        <v>0</v>
      </c>
      <c r="Z116" s="5">
        <f>deaths!Z116-deaths!Y116</f>
        <v>0</v>
      </c>
      <c r="AA116" s="5">
        <f>deaths!AA116-deaths!Z116</f>
        <v>0</v>
      </c>
      <c r="AB116" s="5">
        <f>deaths!AB116-deaths!AA116</f>
        <v>0</v>
      </c>
      <c r="AC116" s="5">
        <f>deaths!AC116-deaths!AB116</f>
        <v>0</v>
      </c>
      <c r="AD116" s="5">
        <f>deaths!AD116-deaths!AC116</f>
        <v>0</v>
      </c>
      <c r="AE116" s="5">
        <f>deaths!AE116-deaths!AD116</f>
        <v>0</v>
      </c>
      <c r="AF116" s="5">
        <f>deaths!AF116-deaths!AE116</f>
        <v>0</v>
      </c>
      <c r="AG116" s="5">
        <f>deaths!AG116-deaths!AF116</f>
        <v>0</v>
      </c>
      <c r="AH116" s="5">
        <f>deaths!AH116-deaths!AG116</f>
        <v>0</v>
      </c>
      <c r="AI116" s="5">
        <f>deaths!AI116-deaths!AH116</f>
        <v>0</v>
      </c>
      <c r="AJ116" s="5">
        <f>deaths!AJ116-deaths!AI116</f>
        <v>0</v>
      </c>
      <c r="AK116" s="5">
        <f>deaths!AK116-deaths!AJ116</f>
        <v>0</v>
      </c>
      <c r="AL116" s="5">
        <f>deaths!AL116-deaths!AK116</f>
        <v>0</v>
      </c>
      <c r="AM116" s="5">
        <f>deaths!AM116-deaths!AL116</f>
        <v>0</v>
      </c>
      <c r="AN116" s="5">
        <f>deaths!AN116-deaths!AM116</f>
        <v>0</v>
      </c>
      <c r="AO116" s="5">
        <f>deaths!AO116-deaths!AN116</f>
        <v>0</v>
      </c>
      <c r="AP116" s="5">
        <f>deaths!AP116-deaths!AO116</f>
        <v>0</v>
      </c>
      <c r="AQ116" s="5">
        <f>deaths!AQ116-deaths!AP116</f>
        <v>0</v>
      </c>
      <c r="AR116" s="5">
        <f>deaths!AR116-deaths!AQ116</f>
        <v>0</v>
      </c>
      <c r="AS116" s="5">
        <f>deaths!AS116-deaths!AR116</f>
        <v>0</v>
      </c>
      <c r="AT116" s="5">
        <f>deaths!AT116-deaths!AS116</f>
        <v>0</v>
      </c>
      <c r="AU116" s="5">
        <f>deaths!AU116-deaths!AT116</f>
        <v>0</v>
      </c>
      <c r="AV116" s="5">
        <f>deaths!AV116-deaths!AU116</f>
        <v>0</v>
      </c>
      <c r="AW116" s="5">
        <f>deaths!AW116-deaths!AV116</f>
        <v>0</v>
      </c>
      <c r="AX116" s="5">
        <f>deaths!AX116-deaths!AW116</f>
        <v>0</v>
      </c>
      <c r="AY116" s="5">
        <f>deaths!AY116-deaths!AX116</f>
        <v>0</v>
      </c>
      <c r="AZ116" s="5">
        <f>deaths!AZ116-deaths!AY116</f>
        <v>0</v>
      </c>
      <c r="BA116" s="5">
        <f>deaths!BA116-deaths!AZ116</f>
        <v>0</v>
      </c>
      <c r="BB116" s="5">
        <f>deaths!BB116-deaths!BA116</f>
        <v>0</v>
      </c>
      <c r="BC116" s="5">
        <f>deaths!BC116-deaths!BB116</f>
        <v>0</v>
      </c>
      <c r="BD116" s="5">
        <f>deaths!BD116-deaths!BC116</f>
        <v>0</v>
      </c>
      <c r="BE116" s="5">
        <f>deaths!BE116-deaths!BD116</f>
        <v>0</v>
      </c>
      <c r="BF116" s="5">
        <f>deaths!BF116-deaths!BE116</f>
        <v>0</v>
      </c>
      <c r="BG116" s="5">
        <f>deaths!BG116-deaths!BF116</f>
        <v>0</v>
      </c>
      <c r="BH116" s="5">
        <f>deaths!BH116-deaths!BG116</f>
        <v>0</v>
      </c>
      <c r="BI116" s="5">
        <f>deaths!BI116-deaths!BH116</f>
        <v>0</v>
      </c>
      <c r="BJ116" s="5">
        <f>deaths!BJ116-deaths!BI116</f>
        <v>0</v>
      </c>
      <c r="BK116" s="5">
        <f>deaths!BK116-deaths!BJ116</f>
        <v>0</v>
      </c>
      <c r="BL116" s="5">
        <f>deaths!BL116-deaths!BK116</f>
        <v>0</v>
      </c>
      <c r="BM116" s="5">
        <f>deaths!BM116-deaths!BL116</f>
        <v>0</v>
      </c>
      <c r="BN116" s="5">
        <f>deaths!BN116-deaths!BM116</f>
        <v>0</v>
      </c>
      <c r="BO116" s="5">
        <f>deaths!BO116-deaths!BN116</f>
        <v>0</v>
      </c>
      <c r="BP116" s="5">
        <f>deaths!BP116-deaths!BO116</f>
        <v>0</v>
      </c>
      <c r="BQ116" s="5">
        <f>deaths!BQ116-deaths!BP116</f>
        <v>0</v>
      </c>
      <c r="BR116" s="5">
        <f>deaths!BR116-deaths!BQ116</f>
        <v>0</v>
      </c>
      <c r="BS116" s="5">
        <f>deaths!BS116-deaths!BR116</f>
        <v>0</v>
      </c>
      <c r="BT116" s="5">
        <f>deaths!BT116-deaths!BS116</f>
        <v>0</v>
      </c>
      <c r="BU116" s="5">
        <f>deaths!BU116-deaths!BT116</f>
        <v>1</v>
      </c>
      <c r="BV116" s="5">
        <f>deaths!BV116-deaths!BU116</f>
        <v>0</v>
      </c>
      <c r="BW116" s="5">
        <f>deaths!BW116-deaths!BV116</f>
        <v>0</v>
      </c>
      <c r="BX116" s="5">
        <f>deaths!BX116-deaths!BW116</f>
        <v>0</v>
      </c>
      <c r="BY116" s="5">
        <f>deaths!BY116-deaths!BX116</f>
        <v>0</v>
      </c>
      <c r="BZ116" s="1">
        <f>deaths!BZ116</f>
        <v>2</v>
      </c>
      <c r="CA116" s="1">
        <f>deaths!CA116</f>
        <v>2</v>
      </c>
      <c r="CB116" s="1">
        <f>deaths!CB116</f>
        <v>2</v>
      </c>
      <c r="CC116" s="1" t="str">
        <f>deaths!CC116</f>
        <v/>
      </c>
    </row>
    <row r="117">
      <c r="B117" s="1" t="str">
        <f>deaths!B117</f>
        <v>France</v>
      </c>
      <c r="C117" s="4">
        <f>deaths!C117</f>
        <v>14.6415</v>
      </c>
      <c r="D117" s="4">
        <f>deaths!D117</f>
        <v>-61.0242</v>
      </c>
      <c r="E117" s="5">
        <f>deaths!E117</f>
        <v>0</v>
      </c>
      <c r="F117" s="5">
        <f>deaths!F117-deaths!E117</f>
        <v>0</v>
      </c>
      <c r="G117" s="5">
        <f>deaths!G117-deaths!F117</f>
        <v>0</v>
      </c>
      <c r="H117" s="5">
        <f>deaths!H117-deaths!G117</f>
        <v>0</v>
      </c>
      <c r="I117" s="5">
        <f>deaths!I117-deaths!H117</f>
        <v>0</v>
      </c>
      <c r="J117" s="5">
        <f>deaths!J117-deaths!I117</f>
        <v>0</v>
      </c>
      <c r="K117" s="5">
        <f>deaths!K117-deaths!J117</f>
        <v>0</v>
      </c>
      <c r="L117" s="5">
        <f>deaths!L117-deaths!K117</f>
        <v>0</v>
      </c>
      <c r="M117" s="5">
        <f>deaths!M117-deaths!L117</f>
        <v>0</v>
      </c>
      <c r="N117" s="5">
        <f>deaths!N117-deaths!M117</f>
        <v>0</v>
      </c>
      <c r="O117" s="5">
        <f>deaths!O117-deaths!N117</f>
        <v>0</v>
      </c>
      <c r="P117" s="5">
        <f>deaths!P117-deaths!O117</f>
        <v>0</v>
      </c>
      <c r="Q117" s="5">
        <f>deaths!Q117-deaths!P117</f>
        <v>0</v>
      </c>
      <c r="R117" s="5">
        <f>deaths!R117-deaths!Q117</f>
        <v>0</v>
      </c>
      <c r="S117" s="5">
        <f>deaths!S117-deaths!R117</f>
        <v>0</v>
      </c>
      <c r="T117" s="5">
        <f>deaths!T117-deaths!S117</f>
        <v>0</v>
      </c>
      <c r="U117" s="5">
        <f>deaths!U117-deaths!T117</f>
        <v>0</v>
      </c>
      <c r="V117" s="5">
        <f>deaths!V117-deaths!U117</f>
        <v>0</v>
      </c>
      <c r="W117" s="5">
        <f>deaths!W117-deaths!V117</f>
        <v>0</v>
      </c>
      <c r="X117" s="5">
        <f>deaths!X117-deaths!W117</f>
        <v>0</v>
      </c>
      <c r="Y117" s="5">
        <f>deaths!Y117-deaths!X117</f>
        <v>0</v>
      </c>
      <c r="Z117" s="5">
        <f>deaths!Z117-deaths!Y117</f>
        <v>0</v>
      </c>
      <c r="AA117" s="5">
        <f>deaths!AA117-deaths!Z117</f>
        <v>0</v>
      </c>
      <c r="AB117" s="5">
        <f>deaths!AB117-deaths!AA117</f>
        <v>0</v>
      </c>
      <c r="AC117" s="5">
        <f>deaths!AC117-deaths!AB117</f>
        <v>0</v>
      </c>
      <c r="AD117" s="5">
        <f>deaths!AD117-deaths!AC117</f>
        <v>0</v>
      </c>
      <c r="AE117" s="5">
        <f>deaths!AE117-deaths!AD117</f>
        <v>0</v>
      </c>
      <c r="AF117" s="5">
        <f>deaths!AF117-deaths!AE117</f>
        <v>0</v>
      </c>
      <c r="AG117" s="5">
        <f>deaths!AG117-deaths!AF117</f>
        <v>0</v>
      </c>
      <c r="AH117" s="5">
        <f>deaths!AH117-deaths!AG117</f>
        <v>0</v>
      </c>
      <c r="AI117" s="5">
        <f>deaths!AI117-deaths!AH117</f>
        <v>0</v>
      </c>
      <c r="AJ117" s="5">
        <f>deaths!AJ117-deaths!AI117</f>
        <v>0</v>
      </c>
      <c r="AK117" s="5">
        <f>deaths!AK117-deaths!AJ117</f>
        <v>0</v>
      </c>
      <c r="AL117" s="5">
        <f>deaths!AL117-deaths!AK117</f>
        <v>0</v>
      </c>
      <c r="AM117" s="5">
        <f>deaths!AM117-deaths!AL117</f>
        <v>0</v>
      </c>
      <c r="AN117" s="5">
        <f>deaths!AN117-deaths!AM117</f>
        <v>0</v>
      </c>
      <c r="AO117" s="5">
        <f>deaths!AO117-deaths!AN117</f>
        <v>0</v>
      </c>
      <c r="AP117" s="5">
        <f>deaths!AP117-deaths!AO117</f>
        <v>0</v>
      </c>
      <c r="AQ117" s="5">
        <f>deaths!AQ117-deaths!AP117</f>
        <v>0</v>
      </c>
      <c r="AR117" s="5">
        <f>deaths!AR117-deaths!AQ117</f>
        <v>0</v>
      </c>
      <c r="AS117" s="5">
        <f>deaths!AS117-deaths!AR117</f>
        <v>0</v>
      </c>
      <c r="AT117" s="5">
        <f>deaths!AT117-deaths!AS117</f>
        <v>0</v>
      </c>
      <c r="AU117" s="5">
        <f>deaths!AU117-deaths!AT117</f>
        <v>0</v>
      </c>
      <c r="AV117" s="5">
        <f>deaths!AV117-deaths!AU117</f>
        <v>0</v>
      </c>
      <c r="AW117" s="5">
        <f>deaths!AW117-deaths!AV117</f>
        <v>0</v>
      </c>
      <c r="AX117" s="5">
        <f>deaths!AX117-deaths!AW117</f>
        <v>0</v>
      </c>
      <c r="AY117" s="5">
        <f>deaths!AY117-deaths!AX117</f>
        <v>0</v>
      </c>
      <c r="AZ117" s="5">
        <f>deaths!AZ117-deaths!AY117</f>
        <v>0</v>
      </c>
      <c r="BA117" s="5">
        <f>deaths!BA117-deaths!AZ117</f>
        <v>0</v>
      </c>
      <c r="BB117" s="5">
        <f>deaths!BB117-deaths!BA117</f>
        <v>0</v>
      </c>
      <c r="BC117" s="5">
        <f>deaths!BC117-deaths!BB117</f>
        <v>0</v>
      </c>
      <c r="BD117" s="5">
        <f>deaths!BD117-deaths!BC117</f>
        <v>0</v>
      </c>
      <c r="BE117" s="5">
        <f>deaths!BE117-deaths!BD117</f>
        <v>0</v>
      </c>
      <c r="BF117" s="5">
        <f>deaths!BF117-deaths!BE117</f>
        <v>0</v>
      </c>
      <c r="BG117" s="5">
        <f>deaths!BG117-deaths!BF117</f>
        <v>1</v>
      </c>
      <c r="BH117" s="5">
        <f>deaths!BH117-deaths!BG117</f>
        <v>0</v>
      </c>
      <c r="BI117" s="5">
        <f>deaths!BI117-deaths!BH117</f>
        <v>0</v>
      </c>
      <c r="BJ117" s="5">
        <f>deaths!BJ117-deaths!BI117</f>
        <v>0</v>
      </c>
      <c r="BK117" s="5">
        <f>deaths!BK117-deaths!BJ117</f>
        <v>0</v>
      </c>
      <c r="BL117" s="5">
        <f>deaths!BL117-deaths!BK117</f>
        <v>0</v>
      </c>
      <c r="BM117" s="5">
        <f>deaths!BM117-deaths!BL117</f>
        <v>0</v>
      </c>
      <c r="BN117" s="5">
        <f>deaths!BN117-deaths!BM117</f>
        <v>0</v>
      </c>
      <c r="BO117" s="5">
        <f>deaths!BO117-deaths!BN117</f>
        <v>0</v>
      </c>
      <c r="BP117" s="5">
        <f>deaths!BP117-deaths!BO117</f>
        <v>0</v>
      </c>
      <c r="BQ117" s="5">
        <f>deaths!BQ117-deaths!BP117</f>
        <v>0</v>
      </c>
      <c r="BR117" s="5">
        <f>deaths!BR117-deaths!BQ117</f>
        <v>0</v>
      </c>
      <c r="BS117" s="5">
        <f>deaths!BS117-deaths!BR117</f>
        <v>0</v>
      </c>
      <c r="BT117" s="5">
        <f>deaths!BT117-deaths!BS117</f>
        <v>0</v>
      </c>
      <c r="BU117" s="5">
        <f>deaths!BU117-deaths!BT117</f>
        <v>0</v>
      </c>
      <c r="BV117" s="5">
        <f>deaths!BV117-deaths!BU117</f>
        <v>2</v>
      </c>
      <c r="BW117" s="5">
        <f>deaths!BW117-deaths!BV117</f>
        <v>0</v>
      </c>
      <c r="BX117" s="5">
        <f>deaths!BX117-deaths!BW117</f>
        <v>0</v>
      </c>
      <c r="BY117" s="5">
        <f>deaths!BY117-deaths!BX117</f>
        <v>0</v>
      </c>
      <c r="BZ117" s="1">
        <f>deaths!BZ117</f>
        <v>3</v>
      </c>
      <c r="CA117" s="1">
        <f>deaths!CA117</f>
        <v>4</v>
      </c>
      <c r="CB117" s="1">
        <f>deaths!CB117</f>
        <v>4</v>
      </c>
      <c r="CC117" s="1" t="str">
        <f>deaths!CC117</f>
        <v/>
      </c>
    </row>
    <row r="118">
      <c r="B118" s="1" t="str">
        <f>deaths!B118</f>
        <v>France</v>
      </c>
      <c r="C118" s="4">
        <f>deaths!C118</f>
        <v>46.2276</v>
      </c>
      <c r="D118" s="4">
        <f>deaths!D118</f>
        <v>2.2137</v>
      </c>
      <c r="E118" s="5">
        <f>deaths!E118</f>
        <v>0</v>
      </c>
      <c r="F118" s="5">
        <f>deaths!F118-deaths!E118</f>
        <v>0</v>
      </c>
      <c r="G118" s="5">
        <f>deaths!G118-deaths!F118</f>
        <v>0</v>
      </c>
      <c r="H118" s="5">
        <f>deaths!H118-deaths!G118</f>
        <v>0</v>
      </c>
      <c r="I118" s="5">
        <f>deaths!I118-deaths!H118</f>
        <v>0</v>
      </c>
      <c r="J118" s="5">
        <f>deaths!J118-deaths!I118</f>
        <v>0</v>
      </c>
      <c r="K118" s="5">
        <f>deaths!K118-deaths!J118</f>
        <v>0</v>
      </c>
      <c r="L118" s="5">
        <f>deaths!L118-deaths!K118</f>
        <v>0</v>
      </c>
      <c r="M118" s="5">
        <f>deaths!M118-deaths!L118</f>
        <v>0</v>
      </c>
      <c r="N118" s="5">
        <f>deaths!N118-deaths!M118</f>
        <v>0</v>
      </c>
      <c r="O118" s="5">
        <f>deaths!O118-deaths!N118</f>
        <v>0</v>
      </c>
      <c r="P118" s="5">
        <f>deaths!P118-deaths!O118</f>
        <v>0</v>
      </c>
      <c r="Q118" s="5">
        <f>deaths!Q118-deaths!P118</f>
        <v>0</v>
      </c>
      <c r="R118" s="5">
        <f>deaths!R118-deaths!Q118</f>
        <v>0</v>
      </c>
      <c r="S118" s="5">
        <f>deaths!S118-deaths!R118</f>
        <v>0</v>
      </c>
      <c r="T118" s="5">
        <f>deaths!T118-deaths!S118</f>
        <v>0</v>
      </c>
      <c r="U118" s="5">
        <f>deaths!U118-deaths!T118</f>
        <v>0</v>
      </c>
      <c r="V118" s="5">
        <f>deaths!V118-deaths!U118</f>
        <v>0</v>
      </c>
      <c r="W118" s="5">
        <f>deaths!W118-deaths!V118</f>
        <v>0</v>
      </c>
      <c r="X118" s="5">
        <f>deaths!X118-deaths!W118</f>
        <v>0</v>
      </c>
      <c r="Y118" s="5">
        <f>deaths!Y118-deaths!X118</f>
        <v>0</v>
      </c>
      <c r="Z118" s="5">
        <f>deaths!Z118-deaths!Y118</f>
        <v>0</v>
      </c>
      <c r="AA118" s="5">
        <f>deaths!AA118-deaths!Z118</f>
        <v>0</v>
      </c>
      <c r="AB118" s="5">
        <f>deaths!AB118-deaths!AA118</f>
        <v>0</v>
      </c>
      <c r="AC118" s="5">
        <f>deaths!AC118-deaths!AB118</f>
        <v>1</v>
      </c>
      <c r="AD118" s="5">
        <f>deaths!AD118-deaths!AC118</f>
        <v>0</v>
      </c>
      <c r="AE118" s="5">
        <f>deaths!AE118-deaths!AD118</f>
        <v>0</v>
      </c>
      <c r="AF118" s="5">
        <f>deaths!AF118-deaths!AE118</f>
        <v>0</v>
      </c>
      <c r="AG118" s="5">
        <f>deaths!AG118-deaths!AF118</f>
        <v>0</v>
      </c>
      <c r="AH118" s="5">
        <f>deaths!AH118-deaths!AG118</f>
        <v>0</v>
      </c>
      <c r="AI118" s="5">
        <f>deaths!AI118-deaths!AH118</f>
        <v>0</v>
      </c>
      <c r="AJ118" s="5">
        <f>deaths!AJ118-deaths!AI118</f>
        <v>0</v>
      </c>
      <c r="AK118" s="5">
        <f>deaths!AK118-deaths!AJ118</f>
        <v>0</v>
      </c>
      <c r="AL118" s="5">
        <f>deaths!AL118-deaths!AK118</f>
        <v>0</v>
      </c>
      <c r="AM118" s="5">
        <f>deaths!AM118-deaths!AL118</f>
        <v>0</v>
      </c>
      <c r="AN118" s="5">
        <f>deaths!AN118-deaths!AM118</f>
        <v>1</v>
      </c>
      <c r="AO118" s="5">
        <f>deaths!AO118-deaths!AN118</f>
        <v>0</v>
      </c>
      <c r="AP118" s="5">
        <f>deaths!AP118-deaths!AO118</f>
        <v>0</v>
      </c>
      <c r="AQ118" s="5">
        <f>deaths!AQ118-deaths!AP118</f>
        <v>0</v>
      </c>
      <c r="AR118" s="5">
        <f>deaths!AR118-deaths!AQ118</f>
        <v>0</v>
      </c>
      <c r="AS118" s="5">
        <f>deaths!AS118-deaths!AR118</f>
        <v>1</v>
      </c>
      <c r="AT118" s="5">
        <f>deaths!AT118-deaths!AS118</f>
        <v>1</v>
      </c>
      <c r="AU118" s="5">
        <f>deaths!AU118-deaths!AT118</f>
        <v>0</v>
      </c>
      <c r="AV118" s="5">
        <f>deaths!AV118-deaths!AU118</f>
        <v>2</v>
      </c>
      <c r="AW118" s="5">
        <f>deaths!AW118-deaths!AV118</f>
        <v>3</v>
      </c>
      <c r="AX118" s="5">
        <f>deaths!AX118-deaths!AW118</f>
        <v>2</v>
      </c>
      <c r="AY118" s="5">
        <f>deaths!AY118-deaths!AX118</f>
        <v>8</v>
      </c>
      <c r="AZ118" s="5">
        <f>deaths!AZ118-deaths!AY118</f>
        <v>0</v>
      </c>
      <c r="BA118" s="5">
        <f>deaths!BA118-deaths!AZ118</f>
        <v>14</v>
      </c>
      <c r="BB118" s="5">
        <f>deaths!BB118-deaths!BA118</f>
        <v>15</v>
      </c>
      <c r="BC118" s="5">
        <f>deaths!BC118-deaths!BB118</f>
        <v>0</v>
      </c>
      <c r="BD118" s="5">
        <f>deaths!BD118-deaths!BC118</f>
        <v>31</v>
      </c>
      <c r="BE118" s="5">
        <f>deaths!BE118-deaths!BD118</f>
        <v>12</v>
      </c>
      <c r="BF118" s="5">
        <f>deaths!BF118-deaths!BE118</f>
        <v>0</v>
      </c>
      <c r="BG118" s="5">
        <f>deaths!BG118-deaths!BF118</f>
        <v>57</v>
      </c>
      <c r="BH118" s="5">
        <f>deaths!BH118-deaths!BG118</f>
        <v>0</v>
      </c>
      <c r="BI118" s="5">
        <f>deaths!BI118-deaths!BH118</f>
        <v>0</v>
      </c>
      <c r="BJ118" s="5">
        <f>deaths!BJ118-deaths!BI118</f>
        <v>95</v>
      </c>
      <c r="BK118" s="5">
        <f>deaths!BK118-deaths!BJ118</f>
        <v>207</v>
      </c>
      <c r="BL118" s="5">
        <f>deaths!BL118-deaths!BK118</f>
        <v>112</v>
      </c>
      <c r="BM118" s="5">
        <f>deaths!BM118-deaths!BL118</f>
        <v>112</v>
      </c>
      <c r="BN118" s="5">
        <f>deaths!BN118-deaths!BM118</f>
        <v>186</v>
      </c>
      <c r="BO118" s="5">
        <f>deaths!BO118-deaths!BN118</f>
        <v>240</v>
      </c>
      <c r="BP118" s="5">
        <f>deaths!BP118-deaths!BO118</f>
        <v>231</v>
      </c>
      <c r="BQ118" s="5">
        <f>deaths!BQ118-deaths!BP118</f>
        <v>365</v>
      </c>
      <c r="BR118" s="5">
        <f>deaths!BR118-deaths!BQ118</f>
        <v>299</v>
      </c>
      <c r="BS118" s="5">
        <f>deaths!BS118-deaths!BR118</f>
        <v>319</v>
      </c>
      <c r="BT118" s="5">
        <f>deaths!BT118-deaths!BS118</f>
        <v>292</v>
      </c>
      <c r="BU118" s="5">
        <f>deaths!BU118-deaths!BT118</f>
        <v>418</v>
      </c>
      <c r="BV118" s="5">
        <f>deaths!BV118-deaths!BU118</f>
        <v>499</v>
      </c>
      <c r="BW118" s="5">
        <f>deaths!BW118-deaths!BV118</f>
        <v>509</v>
      </c>
      <c r="BX118" s="5">
        <f>deaths!BX118-deaths!BW118</f>
        <v>1355</v>
      </c>
      <c r="BY118" s="5">
        <f>deaths!BY118-deaths!BX118</f>
        <v>1120</v>
      </c>
      <c r="BZ118" s="1">
        <f>deaths!BZ118</f>
        <v>7560</v>
      </c>
      <c r="CA118" s="1">
        <f>deaths!CA118</f>
        <v>8078</v>
      </c>
      <c r="CB118" s="1">
        <f>deaths!CB118</f>
        <v>8911</v>
      </c>
      <c r="CC118" s="1" t="str">
        <f>deaths!CC118</f>
        <v/>
      </c>
    </row>
    <row r="119">
      <c r="B119" s="1" t="str">
        <f>deaths!B119</f>
        <v>Gabon</v>
      </c>
      <c r="C119" s="4">
        <f>deaths!C119</f>
        <v>-0.8037</v>
      </c>
      <c r="D119" s="4">
        <f>deaths!D119</f>
        <v>11.6094</v>
      </c>
      <c r="E119" s="5">
        <f>deaths!E119</f>
        <v>0</v>
      </c>
      <c r="F119" s="5">
        <f>deaths!F119-deaths!E119</f>
        <v>0</v>
      </c>
      <c r="G119" s="5">
        <f>deaths!G119-deaths!F119</f>
        <v>0</v>
      </c>
      <c r="H119" s="5">
        <f>deaths!H119-deaths!G119</f>
        <v>0</v>
      </c>
      <c r="I119" s="5">
        <f>deaths!I119-deaths!H119</f>
        <v>0</v>
      </c>
      <c r="J119" s="5">
        <f>deaths!J119-deaths!I119</f>
        <v>0</v>
      </c>
      <c r="K119" s="5">
        <f>deaths!K119-deaths!J119</f>
        <v>0</v>
      </c>
      <c r="L119" s="5">
        <f>deaths!L119-deaths!K119</f>
        <v>0</v>
      </c>
      <c r="M119" s="5">
        <f>deaths!M119-deaths!L119</f>
        <v>0</v>
      </c>
      <c r="N119" s="5">
        <f>deaths!N119-deaths!M119</f>
        <v>0</v>
      </c>
      <c r="O119" s="5">
        <f>deaths!O119-deaths!N119</f>
        <v>0</v>
      </c>
      <c r="P119" s="5">
        <f>deaths!P119-deaths!O119</f>
        <v>0</v>
      </c>
      <c r="Q119" s="5">
        <f>deaths!Q119-deaths!P119</f>
        <v>0</v>
      </c>
      <c r="R119" s="5">
        <f>deaths!R119-deaths!Q119</f>
        <v>0</v>
      </c>
      <c r="S119" s="5">
        <f>deaths!S119-deaths!R119</f>
        <v>0</v>
      </c>
      <c r="T119" s="5">
        <f>deaths!T119-deaths!S119</f>
        <v>0</v>
      </c>
      <c r="U119" s="5">
        <f>deaths!U119-deaths!T119</f>
        <v>0</v>
      </c>
      <c r="V119" s="5">
        <f>deaths!V119-deaths!U119</f>
        <v>0</v>
      </c>
      <c r="W119" s="5">
        <f>deaths!W119-deaths!V119</f>
        <v>0</v>
      </c>
      <c r="X119" s="5">
        <f>deaths!X119-deaths!W119</f>
        <v>0</v>
      </c>
      <c r="Y119" s="5">
        <f>deaths!Y119-deaths!X119</f>
        <v>0</v>
      </c>
      <c r="Z119" s="5">
        <f>deaths!Z119-deaths!Y119</f>
        <v>0</v>
      </c>
      <c r="AA119" s="5">
        <f>deaths!AA119-deaths!Z119</f>
        <v>0</v>
      </c>
      <c r="AB119" s="5">
        <f>deaths!AB119-deaths!AA119</f>
        <v>0</v>
      </c>
      <c r="AC119" s="5">
        <f>deaths!AC119-deaths!AB119</f>
        <v>0</v>
      </c>
      <c r="AD119" s="5">
        <f>deaths!AD119-deaths!AC119</f>
        <v>0</v>
      </c>
      <c r="AE119" s="5">
        <f>deaths!AE119-deaths!AD119</f>
        <v>0</v>
      </c>
      <c r="AF119" s="5">
        <f>deaths!AF119-deaths!AE119</f>
        <v>0</v>
      </c>
      <c r="AG119" s="5">
        <f>deaths!AG119-deaths!AF119</f>
        <v>0</v>
      </c>
      <c r="AH119" s="5">
        <f>deaths!AH119-deaths!AG119</f>
        <v>0</v>
      </c>
      <c r="AI119" s="5">
        <f>deaths!AI119-deaths!AH119</f>
        <v>0</v>
      </c>
      <c r="AJ119" s="5">
        <f>deaths!AJ119-deaths!AI119</f>
        <v>0</v>
      </c>
      <c r="AK119" s="5">
        <f>deaths!AK119-deaths!AJ119</f>
        <v>0</v>
      </c>
      <c r="AL119" s="5">
        <f>deaths!AL119-deaths!AK119</f>
        <v>0</v>
      </c>
      <c r="AM119" s="5">
        <f>deaths!AM119-deaths!AL119</f>
        <v>0</v>
      </c>
      <c r="AN119" s="5">
        <f>deaths!AN119-deaths!AM119</f>
        <v>0</v>
      </c>
      <c r="AO119" s="5">
        <f>deaths!AO119-deaths!AN119</f>
        <v>0</v>
      </c>
      <c r="AP119" s="5">
        <f>deaths!AP119-deaths!AO119</f>
        <v>0</v>
      </c>
      <c r="AQ119" s="5">
        <f>deaths!AQ119-deaths!AP119</f>
        <v>0</v>
      </c>
      <c r="AR119" s="5">
        <f>deaths!AR119-deaths!AQ119</f>
        <v>0</v>
      </c>
      <c r="AS119" s="5">
        <f>deaths!AS119-deaths!AR119</f>
        <v>0</v>
      </c>
      <c r="AT119" s="5">
        <f>deaths!AT119-deaths!AS119</f>
        <v>0</v>
      </c>
      <c r="AU119" s="5">
        <f>deaths!AU119-deaths!AT119</f>
        <v>0</v>
      </c>
      <c r="AV119" s="5">
        <f>deaths!AV119-deaths!AU119</f>
        <v>0</v>
      </c>
      <c r="AW119" s="5">
        <f>deaths!AW119-deaths!AV119</f>
        <v>0</v>
      </c>
      <c r="AX119" s="5">
        <f>deaths!AX119-deaths!AW119</f>
        <v>0</v>
      </c>
      <c r="AY119" s="5">
        <f>deaths!AY119-deaths!AX119</f>
        <v>0</v>
      </c>
      <c r="AZ119" s="5">
        <f>deaths!AZ119-deaths!AY119</f>
        <v>0</v>
      </c>
      <c r="BA119" s="5">
        <f>deaths!BA119-deaths!AZ119</f>
        <v>0</v>
      </c>
      <c r="BB119" s="5">
        <f>deaths!BB119-deaths!BA119</f>
        <v>0</v>
      </c>
      <c r="BC119" s="5">
        <f>deaths!BC119-deaths!BB119</f>
        <v>0</v>
      </c>
      <c r="BD119" s="5">
        <f>deaths!BD119-deaths!BC119</f>
        <v>0</v>
      </c>
      <c r="BE119" s="5">
        <f>deaths!BE119-deaths!BD119</f>
        <v>0</v>
      </c>
      <c r="BF119" s="5">
        <f>deaths!BF119-deaths!BE119</f>
        <v>0</v>
      </c>
      <c r="BG119" s="5">
        <f>deaths!BG119-deaths!BF119</f>
        <v>0</v>
      </c>
      <c r="BH119" s="5">
        <f>deaths!BH119-deaths!BG119</f>
        <v>0</v>
      </c>
      <c r="BI119" s="5">
        <f>deaths!BI119-deaths!BH119</f>
        <v>0</v>
      </c>
      <c r="BJ119" s="5">
        <f>deaths!BJ119-deaths!BI119</f>
        <v>0</v>
      </c>
      <c r="BK119" s="5">
        <f>deaths!BK119-deaths!BJ119</f>
        <v>1</v>
      </c>
      <c r="BL119" s="5">
        <f>deaths!BL119-deaths!BK119</f>
        <v>0</v>
      </c>
      <c r="BM119" s="5">
        <f>deaths!BM119-deaths!BL119</f>
        <v>0</v>
      </c>
      <c r="BN119" s="5">
        <f>deaths!BN119-deaths!BM119</f>
        <v>0</v>
      </c>
      <c r="BO119" s="5">
        <f>deaths!BO119-deaths!BN119</f>
        <v>0</v>
      </c>
      <c r="BP119" s="5">
        <f>deaths!BP119-deaths!BO119</f>
        <v>0</v>
      </c>
      <c r="BQ119" s="5">
        <f>deaths!BQ119-deaths!BP119</f>
        <v>0</v>
      </c>
      <c r="BR119" s="5">
        <f>deaths!BR119-deaths!BQ119</f>
        <v>0</v>
      </c>
      <c r="BS119" s="5">
        <f>deaths!BS119-deaths!BR119</f>
        <v>0</v>
      </c>
      <c r="BT119" s="5">
        <f>deaths!BT119-deaths!BS119</f>
        <v>0</v>
      </c>
      <c r="BU119" s="5">
        <f>deaths!BU119-deaths!BT119</f>
        <v>0</v>
      </c>
      <c r="BV119" s="5">
        <f>deaths!BV119-deaths!BU119</f>
        <v>0</v>
      </c>
      <c r="BW119" s="5">
        <f>deaths!BW119-deaths!BV119</f>
        <v>0</v>
      </c>
      <c r="BX119" s="5">
        <f>deaths!BX119-deaths!BW119</f>
        <v>0</v>
      </c>
      <c r="BY119" s="5">
        <f>deaths!BY119-deaths!BX119</f>
        <v>0</v>
      </c>
      <c r="BZ119" s="1">
        <f>deaths!BZ119</f>
        <v>1</v>
      </c>
      <c r="CA119" s="1">
        <f>deaths!CA119</f>
        <v>1</v>
      </c>
      <c r="CB119" s="1">
        <f>deaths!CB119</f>
        <v>1</v>
      </c>
      <c r="CC119" s="1" t="str">
        <f>deaths!CC119</f>
        <v/>
      </c>
    </row>
    <row r="120">
      <c r="B120" s="1" t="str">
        <f>deaths!B120</f>
        <v>Gambia</v>
      </c>
      <c r="C120" s="4">
        <f>deaths!C120</f>
        <v>13.4432</v>
      </c>
      <c r="D120" s="4">
        <f>deaths!D120</f>
        <v>-15.3101</v>
      </c>
      <c r="E120" s="5">
        <f>deaths!E120</f>
        <v>0</v>
      </c>
      <c r="F120" s="5">
        <f>deaths!F120-deaths!E120</f>
        <v>0</v>
      </c>
      <c r="G120" s="5">
        <f>deaths!G120-deaths!F120</f>
        <v>0</v>
      </c>
      <c r="H120" s="5">
        <f>deaths!H120-deaths!G120</f>
        <v>0</v>
      </c>
      <c r="I120" s="5">
        <f>deaths!I120-deaths!H120</f>
        <v>0</v>
      </c>
      <c r="J120" s="5">
        <f>deaths!J120-deaths!I120</f>
        <v>0</v>
      </c>
      <c r="K120" s="5">
        <f>deaths!K120-deaths!J120</f>
        <v>0</v>
      </c>
      <c r="L120" s="5">
        <f>deaths!L120-deaths!K120</f>
        <v>0</v>
      </c>
      <c r="M120" s="5">
        <f>deaths!M120-deaths!L120</f>
        <v>0</v>
      </c>
      <c r="N120" s="5">
        <f>deaths!N120-deaths!M120</f>
        <v>0</v>
      </c>
      <c r="O120" s="5">
        <f>deaths!O120-deaths!N120</f>
        <v>0</v>
      </c>
      <c r="P120" s="5">
        <f>deaths!P120-deaths!O120</f>
        <v>0</v>
      </c>
      <c r="Q120" s="5">
        <f>deaths!Q120-deaths!P120</f>
        <v>0</v>
      </c>
      <c r="R120" s="5">
        <f>deaths!R120-deaths!Q120</f>
        <v>0</v>
      </c>
      <c r="S120" s="5">
        <f>deaths!S120-deaths!R120</f>
        <v>0</v>
      </c>
      <c r="T120" s="5">
        <f>deaths!T120-deaths!S120</f>
        <v>0</v>
      </c>
      <c r="U120" s="5">
        <f>deaths!U120-deaths!T120</f>
        <v>0</v>
      </c>
      <c r="V120" s="5">
        <f>deaths!V120-deaths!U120</f>
        <v>0</v>
      </c>
      <c r="W120" s="5">
        <f>deaths!W120-deaths!V120</f>
        <v>0</v>
      </c>
      <c r="X120" s="5">
        <f>deaths!X120-deaths!W120</f>
        <v>0</v>
      </c>
      <c r="Y120" s="5">
        <f>deaths!Y120-deaths!X120</f>
        <v>0</v>
      </c>
      <c r="Z120" s="5">
        <f>deaths!Z120-deaths!Y120</f>
        <v>0</v>
      </c>
      <c r="AA120" s="5">
        <f>deaths!AA120-deaths!Z120</f>
        <v>0</v>
      </c>
      <c r="AB120" s="5">
        <f>deaths!AB120-deaths!AA120</f>
        <v>0</v>
      </c>
      <c r="AC120" s="5">
        <f>deaths!AC120-deaths!AB120</f>
        <v>0</v>
      </c>
      <c r="AD120" s="5">
        <f>deaths!AD120-deaths!AC120</f>
        <v>0</v>
      </c>
      <c r="AE120" s="5">
        <f>deaths!AE120-deaths!AD120</f>
        <v>0</v>
      </c>
      <c r="AF120" s="5">
        <f>deaths!AF120-deaths!AE120</f>
        <v>0</v>
      </c>
      <c r="AG120" s="5">
        <f>deaths!AG120-deaths!AF120</f>
        <v>0</v>
      </c>
      <c r="AH120" s="5">
        <f>deaths!AH120-deaths!AG120</f>
        <v>0</v>
      </c>
      <c r="AI120" s="5">
        <f>deaths!AI120-deaths!AH120</f>
        <v>0</v>
      </c>
      <c r="AJ120" s="5">
        <f>deaths!AJ120-deaths!AI120</f>
        <v>0</v>
      </c>
      <c r="AK120" s="5">
        <f>deaths!AK120-deaths!AJ120</f>
        <v>0</v>
      </c>
      <c r="AL120" s="5">
        <f>deaths!AL120-deaths!AK120</f>
        <v>0</v>
      </c>
      <c r="AM120" s="5">
        <f>deaths!AM120-deaths!AL120</f>
        <v>0</v>
      </c>
      <c r="AN120" s="5">
        <f>deaths!AN120-deaths!AM120</f>
        <v>0</v>
      </c>
      <c r="AO120" s="5">
        <f>deaths!AO120-deaths!AN120</f>
        <v>0</v>
      </c>
      <c r="AP120" s="5">
        <f>deaths!AP120-deaths!AO120</f>
        <v>0</v>
      </c>
      <c r="AQ120" s="5">
        <f>deaths!AQ120-deaths!AP120</f>
        <v>0</v>
      </c>
      <c r="AR120" s="5">
        <f>deaths!AR120-deaths!AQ120</f>
        <v>0</v>
      </c>
      <c r="AS120" s="5">
        <f>deaths!AS120-deaths!AR120</f>
        <v>0</v>
      </c>
      <c r="AT120" s="5">
        <f>deaths!AT120-deaths!AS120</f>
        <v>0</v>
      </c>
      <c r="AU120" s="5">
        <f>deaths!AU120-deaths!AT120</f>
        <v>0</v>
      </c>
      <c r="AV120" s="5">
        <f>deaths!AV120-deaths!AU120</f>
        <v>0</v>
      </c>
      <c r="AW120" s="5">
        <f>deaths!AW120-deaths!AV120</f>
        <v>0</v>
      </c>
      <c r="AX120" s="5">
        <f>deaths!AX120-deaths!AW120</f>
        <v>0</v>
      </c>
      <c r="AY120" s="5">
        <f>deaths!AY120-deaths!AX120</f>
        <v>0</v>
      </c>
      <c r="AZ120" s="5">
        <f>deaths!AZ120-deaths!AY120</f>
        <v>0</v>
      </c>
      <c r="BA120" s="5">
        <f>deaths!BA120-deaths!AZ120</f>
        <v>0</v>
      </c>
      <c r="BB120" s="5">
        <f>deaths!BB120-deaths!BA120</f>
        <v>0</v>
      </c>
      <c r="BC120" s="5">
        <f>deaths!BC120-deaths!BB120</f>
        <v>0</v>
      </c>
      <c r="BD120" s="5">
        <f>deaths!BD120-deaths!BC120</f>
        <v>0</v>
      </c>
      <c r="BE120" s="5">
        <f>deaths!BE120-deaths!BD120</f>
        <v>0</v>
      </c>
      <c r="BF120" s="5">
        <f>deaths!BF120-deaths!BE120</f>
        <v>0</v>
      </c>
      <c r="BG120" s="5">
        <f>deaths!BG120-deaths!BF120</f>
        <v>0</v>
      </c>
      <c r="BH120" s="5">
        <f>deaths!BH120-deaths!BG120</f>
        <v>0</v>
      </c>
      <c r="BI120" s="5">
        <f>deaths!BI120-deaths!BH120</f>
        <v>0</v>
      </c>
      <c r="BJ120" s="5">
        <f>deaths!BJ120-deaths!BI120</f>
        <v>0</v>
      </c>
      <c r="BK120" s="5">
        <f>deaths!BK120-deaths!BJ120</f>
        <v>0</v>
      </c>
      <c r="BL120" s="5">
        <f>deaths!BL120-deaths!BK120</f>
        <v>0</v>
      </c>
      <c r="BM120" s="5">
        <f>deaths!BM120-deaths!BL120</f>
        <v>0</v>
      </c>
      <c r="BN120" s="5">
        <f>deaths!BN120-deaths!BM120</f>
        <v>1</v>
      </c>
      <c r="BO120" s="5">
        <f>deaths!BO120-deaths!BN120</f>
        <v>0</v>
      </c>
      <c r="BP120" s="5">
        <f>deaths!BP120-deaths!BO120</f>
        <v>0</v>
      </c>
      <c r="BQ120" s="5">
        <f>deaths!BQ120-deaths!BP120</f>
        <v>0</v>
      </c>
      <c r="BR120" s="5">
        <f>deaths!BR120-deaths!BQ120</f>
        <v>0</v>
      </c>
      <c r="BS120" s="5">
        <f>deaths!BS120-deaths!BR120</f>
        <v>0</v>
      </c>
      <c r="BT120" s="5">
        <f>deaths!BT120-deaths!BS120</f>
        <v>0</v>
      </c>
      <c r="BU120" s="5">
        <f>deaths!BU120-deaths!BT120</f>
        <v>0</v>
      </c>
      <c r="BV120" s="5">
        <f>deaths!BV120-deaths!BU120</f>
        <v>0</v>
      </c>
      <c r="BW120" s="5">
        <f>deaths!BW120-deaths!BV120</f>
        <v>0</v>
      </c>
      <c r="BX120" s="5">
        <f>deaths!BX120-deaths!BW120</f>
        <v>0</v>
      </c>
      <c r="BY120" s="5">
        <f>deaths!BY120-deaths!BX120</f>
        <v>0</v>
      </c>
      <c r="BZ120" s="1">
        <f>deaths!BZ120</f>
        <v>1</v>
      </c>
      <c r="CA120" s="1">
        <f>deaths!CA120</f>
        <v>1</v>
      </c>
      <c r="CB120" s="1">
        <f>deaths!CB120</f>
        <v>1</v>
      </c>
      <c r="CC120" s="1" t="str">
        <f>deaths!CC120</f>
        <v/>
      </c>
    </row>
    <row r="121">
      <c r="B121" s="1" t="str">
        <f>deaths!B121</f>
        <v>Georgia</v>
      </c>
      <c r="C121" s="4">
        <f>deaths!C121</f>
        <v>42.3154</v>
      </c>
      <c r="D121" s="4">
        <f>deaths!D121</f>
        <v>43.3569</v>
      </c>
      <c r="E121" s="5">
        <f>deaths!E121</f>
        <v>0</v>
      </c>
      <c r="F121" s="5">
        <f>deaths!F121-deaths!E121</f>
        <v>0</v>
      </c>
      <c r="G121" s="5">
        <f>deaths!G121-deaths!F121</f>
        <v>0</v>
      </c>
      <c r="H121" s="5">
        <f>deaths!H121-deaths!G121</f>
        <v>0</v>
      </c>
      <c r="I121" s="5">
        <f>deaths!I121-deaths!H121</f>
        <v>0</v>
      </c>
      <c r="J121" s="5">
        <f>deaths!J121-deaths!I121</f>
        <v>0</v>
      </c>
      <c r="K121" s="5">
        <f>deaths!K121-deaths!J121</f>
        <v>0</v>
      </c>
      <c r="L121" s="5">
        <f>deaths!L121-deaths!K121</f>
        <v>0</v>
      </c>
      <c r="M121" s="5">
        <f>deaths!M121-deaths!L121</f>
        <v>0</v>
      </c>
      <c r="N121" s="5">
        <f>deaths!N121-deaths!M121</f>
        <v>0</v>
      </c>
      <c r="O121" s="5">
        <f>deaths!O121-deaths!N121</f>
        <v>0</v>
      </c>
      <c r="P121" s="5">
        <f>deaths!P121-deaths!O121</f>
        <v>0</v>
      </c>
      <c r="Q121" s="5">
        <f>deaths!Q121-deaths!P121</f>
        <v>0</v>
      </c>
      <c r="R121" s="5">
        <f>deaths!R121-deaths!Q121</f>
        <v>0</v>
      </c>
      <c r="S121" s="5">
        <f>deaths!S121-deaths!R121</f>
        <v>0</v>
      </c>
      <c r="T121" s="5">
        <f>deaths!T121-deaths!S121</f>
        <v>0</v>
      </c>
      <c r="U121" s="5">
        <f>deaths!U121-deaths!T121</f>
        <v>0</v>
      </c>
      <c r="V121" s="5">
        <f>deaths!V121-deaths!U121</f>
        <v>0</v>
      </c>
      <c r="W121" s="5">
        <f>deaths!W121-deaths!V121</f>
        <v>0</v>
      </c>
      <c r="X121" s="5">
        <f>deaths!X121-deaths!W121</f>
        <v>0</v>
      </c>
      <c r="Y121" s="5">
        <f>deaths!Y121-deaths!X121</f>
        <v>0</v>
      </c>
      <c r="Z121" s="5">
        <f>deaths!Z121-deaths!Y121</f>
        <v>0</v>
      </c>
      <c r="AA121" s="5">
        <f>deaths!AA121-deaths!Z121</f>
        <v>0</v>
      </c>
      <c r="AB121" s="5">
        <f>deaths!AB121-deaths!AA121</f>
        <v>0</v>
      </c>
      <c r="AC121" s="5">
        <f>deaths!AC121-deaths!AB121</f>
        <v>0</v>
      </c>
      <c r="AD121" s="5">
        <f>deaths!AD121-deaths!AC121</f>
        <v>0</v>
      </c>
      <c r="AE121" s="5">
        <f>deaths!AE121-deaths!AD121</f>
        <v>0</v>
      </c>
      <c r="AF121" s="5">
        <f>deaths!AF121-deaths!AE121</f>
        <v>0</v>
      </c>
      <c r="AG121" s="5">
        <f>deaths!AG121-deaths!AF121</f>
        <v>0</v>
      </c>
      <c r="AH121" s="5">
        <f>deaths!AH121-deaths!AG121</f>
        <v>0</v>
      </c>
      <c r="AI121" s="5">
        <f>deaths!AI121-deaths!AH121</f>
        <v>0</v>
      </c>
      <c r="AJ121" s="5">
        <f>deaths!AJ121-deaths!AI121</f>
        <v>0</v>
      </c>
      <c r="AK121" s="5">
        <f>deaths!AK121-deaths!AJ121</f>
        <v>0</v>
      </c>
      <c r="AL121" s="5">
        <f>deaths!AL121-deaths!AK121</f>
        <v>0</v>
      </c>
      <c r="AM121" s="5">
        <f>deaths!AM121-deaths!AL121</f>
        <v>0</v>
      </c>
      <c r="AN121" s="5">
        <f>deaths!AN121-deaths!AM121</f>
        <v>0</v>
      </c>
      <c r="AO121" s="5">
        <f>deaths!AO121-deaths!AN121</f>
        <v>0</v>
      </c>
      <c r="AP121" s="5">
        <f>deaths!AP121-deaths!AO121</f>
        <v>0</v>
      </c>
      <c r="AQ121" s="5">
        <f>deaths!AQ121-deaths!AP121</f>
        <v>0</v>
      </c>
      <c r="AR121" s="5">
        <f>deaths!AR121-deaths!AQ121</f>
        <v>0</v>
      </c>
      <c r="AS121" s="5">
        <f>deaths!AS121-deaths!AR121</f>
        <v>0</v>
      </c>
      <c r="AT121" s="5">
        <f>deaths!AT121-deaths!AS121</f>
        <v>0</v>
      </c>
      <c r="AU121" s="5">
        <f>deaths!AU121-deaths!AT121</f>
        <v>0</v>
      </c>
      <c r="AV121" s="5">
        <f>deaths!AV121-deaths!AU121</f>
        <v>0</v>
      </c>
      <c r="AW121" s="5">
        <f>deaths!AW121-deaths!AV121</f>
        <v>0</v>
      </c>
      <c r="AX121" s="5">
        <f>deaths!AX121-deaths!AW121</f>
        <v>0</v>
      </c>
      <c r="AY121" s="5">
        <f>deaths!AY121-deaths!AX121</f>
        <v>0</v>
      </c>
      <c r="AZ121" s="5">
        <f>deaths!AZ121-deaths!AY121</f>
        <v>0</v>
      </c>
      <c r="BA121" s="5">
        <f>deaths!BA121-deaths!AZ121</f>
        <v>0</v>
      </c>
      <c r="BB121" s="5">
        <f>deaths!BB121-deaths!BA121</f>
        <v>0</v>
      </c>
      <c r="BC121" s="5">
        <f>deaths!BC121-deaths!BB121</f>
        <v>0</v>
      </c>
      <c r="BD121" s="5">
        <f>deaths!BD121-deaths!BC121</f>
        <v>0</v>
      </c>
      <c r="BE121" s="5">
        <f>deaths!BE121-deaths!BD121</f>
        <v>0</v>
      </c>
      <c r="BF121" s="5">
        <f>deaths!BF121-deaths!BE121</f>
        <v>0</v>
      </c>
      <c r="BG121" s="5">
        <f>deaths!BG121-deaths!BF121</f>
        <v>0</v>
      </c>
      <c r="BH121" s="5">
        <f>deaths!BH121-deaths!BG121</f>
        <v>0</v>
      </c>
      <c r="BI121" s="5">
        <f>deaths!BI121-deaths!BH121</f>
        <v>0</v>
      </c>
      <c r="BJ121" s="5">
        <f>deaths!BJ121-deaths!BI121</f>
        <v>0</v>
      </c>
      <c r="BK121" s="5">
        <f>deaths!BK121-deaths!BJ121</f>
        <v>0</v>
      </c>
      <c r="BL121" s="5">
        <f>deaths!BL121-deaths!BK121</f>
        <v>0</v>
      </c>
      <c r="BM121" s="5">
        <f>deaths!BM121-deaths!BL121</f>
        <v>0</v>
      </c>
      <c r="BN121" s="5">
        <f>deaths!BN121-deaths!BM121</f>
        <v>0</v>
      </c>
      <c r="BO121" s="5">
        <f>deaths!BO121-deaths!BN121</f>
        <v>0</v>
      </c>
      <c r="BP121" s="5">
        <f>deaths!BP121-deaths!BO121</f>
        <v>0</v>
      </c>
      <c r="BQ121" s="5">
        <f>deaths!BQ121-deaths!BP121</f>
        <v>0</v>
      </c>
      <c r="BR121" s="5">
        <f>deaths!BR121-deaths!BQ121</f>
        <v>0</v>
      </c>
      <c r="BS121" s="5">
        <f>deaths!BS121-deaths!BR121</f>
        <v>0</v>
      </c>
      <c r="BT121" s="5">
        <f>deaths!BT121-deaths!BS121</f>
        <v>0</v>
      </c>
      <c r="BU121" s="5">
        <f>deaths!BU121-deaths!BT121</f>
        <v>0</v>
      </c>
      <c r="BV121" s="5">
        <f>deaths!BV121-deaths!BU121</f>
        <v>0</v>
      </c>
      <c r="BW121" s="5">
        <f>deaths!BW121-deaths!BV121</f>
        <v>0</v>
      </c>
      <c r="BX121" s="5">
        <f>deaths!BX121-deaths!BW121</f>
        <v>0</v>
      </c>
      <c r="BY121" s="5">
        <f>deaths!BY121-deaths!BX121</f>
        <v>0</v>
      </c>
      <c r="BZ121" s="1">
        <f>deaths!BZ121</f>
        <v>1</v>
      </c>
      <c r="CA121" s="1">
        <f>deaths!CA121</f>
        <v>2</v>
      </c>
      <c r="CB121" s="1">
        <f>deaths!CB121</f>
        <v>2</v>
      </c>
      <c r="CC121" s="1" t="str">
        <f>deaths!CC121</f>
        <v/>
      </c>
    </row>
    <row r="122">
      <c r="B122" s="1" t="str">
        <f>deaths!B122</f>
        <v>Germany</v>
      </c>
      <c r="C122" s="4">
        <f>deaths!C122</f>
        <v>51</v>
      </c>
      <c r="D122" s="4">
        <f>deaths!D122</f>
        <v>9</v>
      </c>
      <c r="E122" s="5">
        <f>deaths!E122</f>
        <v>0</v>
      </c>
      <c r="F122" s="5">
        <f>deaths!F122-deaths!E122</f>
        <v>0</v>
      </c>
      <c r="G122" s="5">
        <f>deaths!G122-deaths!F122</f>
        <v>0</v>
      </c>
      <c r="H122" s="5">
        <f>deaths!H122-deaths!G122</f>
        <v>0</v>
      </c>
      <c r="I122" s="5">
        <f>deaths!I122-deaths!H122</f>
        <v>0</v>
      </c>
      <c r="J122" s="5">
        <f>deaths!J122-deaths!I122</f>
        <v>0</v>
      </c>
      <c r="K122" s="5">
        <f>deaths!K122-deaths!J122</f>
        <v>0</v>
      </c>
      <c r="L122" s="5">
        <f>deaths!L122-deaths!K122</f>
        <v>0</v>
      </c>
      <c r="M122" s="5">
        <f>deaths!M122-deaths!L122</f>
        <v>0</v>
      </c>
      <c r="N122" s="5">
        <f>deaths!N122-deaths!M122</f>
        <v>0</v>
      </c>
      <c r="O122" s="5">
        <f>deaths!O122-deaths!N122</f>
        <v>0</v>
      </c>
      <c r="P122" s="5">
        <f>deaths!P122-deaths!O122</f>
        <v>0</v>
      </c>
      <c r="Q122" s="5">
        <f>deaths!Q122-deaths!P122</f>
        <v>0</v>
      </c>
      <c r="R122" s="5">
        <f>deaths!R122-deaths!Q122</f>
        <v>0</v>
      </c>
      <c r="S122" s="5">
        <f>deaths!S122-deaths!R122</f>
        <v>0</v>
      </c>
      <c r="T122" s="5">
        <f>deaths!T122-deaths!S122</f>
        <v>0</v>
      </c>
      <c r="U122" s="5">
        <f>deaths!U122-deaths!T122</f>
        <v>0</v>
      </c>
      <c r="V122" s="5">
        <f>deaths!V122-deaths!U122</f>
        <v>0</v>
      </c>
      <c r="W122" s="5">
        <f>deaths!W122-deaths!V122</f>
        <v>0</v>
      </c>
      <c r="X122" s="5">
        <f>deaths!X122-deaths!W122</f>
        <v>0</v>
      </c>
      <c r="Y122" s="5">
        <f>deaths!Y122-deaths!X122</f>
        <v>0</v>
      </c>
      <c r="Z122" s="5">
        <f>deaths!Z122-deaths!Y122</f>
        <v>0</v>
      </c>
      <c r="AA122" s="5">
        <f>deaths!AA122-deaths!Z122</f>
        <v>0</v>
      </c>
      <c r="AB122" s="5">
        <f>deaths!AB122-deaths!AA122</f>
        <v>0</v>
      </c>
      <c r="AC122" s="5">
        <f>deaths!AC122-deaths!AB122</f>
        <v>0</v>
      </c>
      <c r="AD122" s="5">
        <f>deaths!AD122-deaths!AC122</f>
        <v>0</v>
      </c>
      <c r="AE122" s="5">
        <f>deaths!AE122-deaths!AD122</f>
        <v>0</v>
      </c>
      <c r="AF122" s="5">
        <f>deaths!AF122-deaths!AE122</f>
        <v>0</v>
      </c>
      <c r="AG122" s="5">
        <f>deaths!AG122-deaths!AF122</f>
        <v>0</v>
      </c>
      <c r="AH122" s="5">
        <f>deaths!AH122-deaths!AG122</f>
        <v>0</v>
      </c>
      <c r="AI122" s="5">
        <f>deaths!AI122-deaths!AH122</f>
        <v>0</v>
      </c>
      <c r="AJ122" s="5">
        <f>deaths!AJ122-deaths!AI122</f>
        <v>0</v>
      </c>
      <c r="AK122" s="5">
        <f>deaths!AK122-deaths!AJ122</f>
        <v>0</v>
      </c>
      <c r="AL122" s="5">
        <f>deaths!AL122-deaths!AK122</f>
        <v>0</v>
      </c>
      <c r="AM122" s="5">
        <f>deaths!AM122-deaths!AL122</f>
        <v>0</v>
      </c>
      <c r="AN122" s="5">
        <f>deaths!AN122-deaths!AM122</f>
        <v>0</v>
      </c>
      <c r="AO122" s="5">
        <f>deaths!AO122-deaths!AN122</f>
        <v>0</v>
      </c>
      <c r="AP122" s="5">
        <f>deaths!AP122-deaths!AO122</f>
        <v>0</v>
      </c>
      <c r="AQ122" s="5">
        <f>deaths!AQ122-deaths!AP122</f>
        <v>0</v>
      </c>
      <c r="AR122" s="5">
        <f>deaths!AR122-deaths!AQ122</f>
        <v>0</v>
      </c>
      <c r="AS122" s="5">
        <f>deaths!AS122-deaths!AR122</f>
        <v>0</v>
      </c>
      <c r="AT122" s="5">
        <f>deaths!AT122-deaths!AS122</f>
        <v>0</v>
      </c>
      <c r="AU122" s="5">
        <f>deaths!AU122-deaths!AT122</f>
        <v>0</v>
      </c>
      <c r="AV122" s="5">
        <f>deaths!AV122-deaths!AU122</f>
        <v>0</v>
      </c>
      <c r="AW122" s="5">
        <f>deaths!AW122-deaths!AV122</f>
        <v>0</v>
      </c>
      <c r="AX122" s="5">
        <f>deaths!AX122-deaths!AW122</f>
        <v>0</v>
      </c>
      <c r="AY122" s="5">
        <f>deaths!AY122-deaths!AX122</f>
        <v>0</v>
      </c>
      <c r="AZ122" s="5">
        <f>deaths!AZ122-deaths!AY122</f>
        <v>2</v>
      </c>
      <c r="BA122" s="5">
        <f>deaths!BA122-deaths!AZ122</f>
        <v>0</v>
      </c>
      <c r="BB122" s="5">
        <f>deaths!BB122-deaths!BA122</f>
        <v>1</v>
      </c>
      <c r="BC122" s="5">
        <f>deaths!BC122-deaths!BB122</f>
        <v>0</v>
      </c>
      <c r="BD122" s="5">
        <f>deaths!BD122-deaths!BC122</f>
        <v>4</v>
      </c>
      <c r="BE122" s="5">
        <f>deaths!BE122-deaths!BD122</f>
        <v>2</v>
      </c>
      <c r="BF122" s="5">
        <f>deaths!BF122-deaths!BE122</f>
        <v>2</v>
      </c>
      <c r="BG122" s="5">
        <f>deaths!BG122-deaths!BF122</f>
        <v>6</v>
      </c>
      <c r="BH122" s="5">
        <f>deaths!BH122-deaths!BG122</f>
        <v>7</v>
      </c>
      <c r="BI122" s="5">
        <f>deaths!BI122-deaths!BH122</f>
        <v>4</v>
      </c>
      <c r="BJ122" s="5">
        <f>deaths!BJ122-deaths!BI122</f>
        <v>16</v>
      </c>
      <c r="BK122" s="5">
        <f>deaths!BK122-deaths!BJ122</f>
        <v>23</v>
      </c>
      <c r="BL122" s="5">
        <f>deaths!BL122-deaths!BK122</f>
        <v>17</v>
      </c>
      <c r="BM122" s="5">
        <f>deaths!BM122-deaths!BL122</f>
        <v>10</v>
      </c>
      <c r="BN122" s="5">
        <f>deaths!BN122-deaths!BM122</f>
        <v>29</v>
      </c>
      <c r="BO122" s="5">
        <f>deaths!BO122-deaths!BN122</f>
        <v>34</v>
      </c>
      <c r="BP122" s="5">
        <f>deaths!BP122-deaths!BO122</f>
        <v>49</v>
      </c>
      <c r="BQ122" s="5">
        <f>deaths!BQ122-deaths!BP122</f>
        <v>61</v>
      </c>
      <c r="BR122" s="5">
        <f>deaths!BR122-deaths!BQ122</f>
        <v>75</v>
      </c>
      <c r="BS122" s="5">
        <f>deaths!BS122-deaths!BR122</f>
        <v>91</v>
      </c>
      <c r="BT122" s="5">
        <f>deaths!BT122-deaths!BS122</f>
        <v>100</v>
      </c>
      <c r="BU122" s="5">
        <f>deaths!BU122-deaths!BT122</f>
        <v>112</v>
      </c>
      <c r="BV122" s="5">
        <f>deaths!BV122-deaths!BU122</f>
        <v>130</v>
      </c>
      <c r="BW122" s="5">
        <f>deaths!BW122-deaths!BV122</f>
        <v>145</v>
      </c>
      <c r="BX122" s="5">
        <f>deaths!BX122-deaths!BW122</f>
        <v>187</v>
      </c>
      <c r="BY122" s="5">
        <f>deaths!BY122-deaths!BX122</f>
        <v>168</v>
      </c>
      <c r="BZ122" s="1">
        <f>deaths!BZ122</f>
        <v>1444</v>
      </c>
      <c r="CA122" s="1">
        <f>deaths!CA122</f>
        <v>1584</v>
      </c>
      <c r="CB122" s="1">
        <f>deaths!CB122</f>
        <v>1810</v>
      </c>
      <c r="CC122" s="1" t="str">
        <f>deaths!CC122</f>
        <v/>
      </c>
    </row>
    <row r="123">
      <c r="B123" s="1" t="str">
        <f>deaths!B123</f>
        <v>Ghana</v>
      </c>
      <c r="C123" s="4">
        <f>deaths!C123</f>
        <v>7.9465</v>
      </c>
      <c r="D123" s="4">
        <f>deaths!D123</f>
        <v>-1.0232</v>
      </c>
      <c r="E123" s="5">
        <f>deaths!E123</f>
        <v>0</v>
      </c>
      <c r="F123" s="5">
        <f>deaths!F123-deaths!E123</f>
        <v>0</v>
      </c>
      <c r="G123" s="5">
        <f>deaths!G123-deaths!F123</f>
        <v>0</v>
      </c>
      <c r="H123" s="5">
        <f>deaths!H123-deaths!G123</f>
        <v>0</v>
      </c>
      <c r="I123" s="5">
        <f>deaths!I123-deaths!H123</f>
        <v>0</v>
      </c>
      <c r="J123" s="5">
        <f>deaths!J123-deaths!I123</f>
        <v>0</v>
      </c>
      <c r="K123" s="5">
        <f>deaths!K123-deaths!J123</f>
        <v>0</v>
      </c>
      <c r="L123" s="5">
        <f>deaths!L123-deaths!K123</f>
        <v>0</v>
      </c>
      <c r="M123" s="5">
        <f>deaths!M123-deaths!L123</f>
        <v>0</v>
      </c>
      <c r="N123" s="5">
        <f>deaths!N123-deaths!M123</f>
        <v>0</v>
      </c>
      <c r="O123" s="5">
        <f>deaths!O123-deaths!N123</f>
        <v>0</v>
      </c>
      <c r="P123" s="5">
        <f>deaths!P123-deaths!O123</f>
        <v>0</v>
      </c>
      <c r="Q123" s="5">
        <f>deaths!Q123-deaths!P123</f>
        <v>0</v>
      </c>
      <c r="R123" s="5">
        <f>deaths!R123-deaths!Q123</f>
        <v>0</v>
      </c>
      <c r="S123" s="5">
        <f>deaths!S123-deaths!R123</f>
        <v>0</v>
      </c>
      <c r="T123" s="5">
        <f>deaths!T123-deaths!S123</f>
        <v>0</v>
      </c>
      <c r="U123" s="5">
        <f>deaths!U123-deaths!T123</f>
        <v>0</v>
      </c>
      <c r="V123" s="5">
        <f>deaths!V123-deaths!U123</f>
        <v>0</v>
      </c>
      <c r="W123" s="5">
        <f>deaths!W123-deaths!V123</f>
        <v>0</v>
      </c>
      <c r="X123" s="5">
        <f>deaths!X123-deaths!W123</f>
        <v>0</v>
      </c>
      <c r="Y123" s="5">
        <f>deaths!Y123-deaths!X123</f>
        <v>0</v>
      </c>
      <c r="Z123" s="5">
        <f>deaths!Z123-deaths!Y123</f>
        <v>0</v>
      </c>
      <c r="AA123" s="5">
        <f>deaths!AA123-deaths!Z123</f>
        <v>0</v>
      </c>
      <c r="AB123" s="5">
        <f>deaths!AB123-deaths!AA123</f>
        <v>0</v>
      </c>
      <c r="AC123" s="5">
        <f>deaths!AC123-deaths!AB123</f>
        <v>0</v>
      </c>
      <c r="AD123" s="5">
        <f>deaths!AD123-deaths!AC123</f>
        <v>0</v>
      </c>
      <c r="AE123" s="5">
        <f>deaths!AE123-deaths!AD123</f>
        <v>0</v>
      </c>
      <c r="AF123" s="5">
        <f>deaths!AF123-deaths!AE123</f>
        <v>0</v>
      </c>
      <c r="AG123" s="5">
        <f>deaths!AG123-deaths!AF123</f>
        <v>0</v>
      </c>
      <c r="AH123" s="5">
        <f>deaths!AH123-deaths!AG123</f>
        <v>0</v>
      </c>
      <c r="AI123" s="5">
        <f>deaths!AI123-deaths!AH123</f>
        <v>0</v>
      </c>
      <c r="AJ123" s="5">
        <f>deaths!AJ123-deaths!AI123</f>
        <v>0</v>
      </c>
      <c r="AK123" s="5">
        <f>deaths!AK123-deaths!AJ123</f>
        <v>0</v>
      </c>
      <c r="AL123" s="5">
        <f>deaths!AL123-deaths!AK123</f>
        <v>0</v>
      </c>
      <c r="AM123" s="5">
        <f>deaths!AM123-deaths!AL123</f>
        <v>0</v>
      </c>
      <c r="AN123" s="5">
        <f>deaths!AN123-deaths!AM123</f>
        <v>0</v>
      </c>
      <c r="AO123" s="5">
        <f>deaths!AO123-deaths!AN123</f>
        <v>0</v>
      </c>
      <c r="AP123" s="5">
        <f>deaths!AP123-deaths!AO123</f>
        <v>0</v>
      </c>
      <c r="AQ123" s="5">
        <f>deaths!AQ123-deaths!AP123</f>
        <v>0</v>
      </c>
      <c r="AR123" s="5">
        <f>deaths!AR123-deaths!AQ123</f>
        <v>0</v>
      </c>
      <c r="AS123" s="5">
        <f>deaths!AS123-deaths!AR123</f>
        <v>0</v>
      </c>
      <c r="AT123" s="5">
        <f>deaths!AT123-deaths!AS123</f>
        <v>0</v>
      </c>
      <c r="AU123" s="5">
        <f>deaths!AU123-deaths!AT123</f>
        <v>0</v>
      </c>
      <c r="AV123" s="5">
        <f>deaths!AV123-deaths!AU123</f>
        <v>0</v>
      </c>
      <c r="AW123" s="5">
        <f>deaths!AW123-deaths!AV123</f>
        <v>0</v>
      </c>
      <c r="AX123" s="5">
        <f>deaths!AX123-deaths!AW123</f>
        <v>0</v>
      </c>
      <c r="AY123" s="5">
        <f>deaths!AY123-deaths!AX123</f>
        <v>0</v>
      </c>
      <c r="AZ123" s="5">
        <f>deaths!AZ123-deaths!AY123</f>
        <v>0</v>
      </c>
      <c r="BA123" s="5">
        <f>deaths!BA123-deaths!AZ123</f>
        <v>0</v>
      </c>
      <c r="BB123" s="5">
        <f>deaths!BB123-deaths!BA123</f>
        <v>0</v>
      </c>
      <c r="BC123" s="5">
        <f>deaths!BC123-deaths!BB123</f>
        <v>0</v>
      </c>
      <c r="BD123" s="5">
        <f>deaths!BD123-deaths!BC123</f>
        <v>0</v>
      </c>
      <c r="BE123" s="5">
        <f>deaths!BE123-deaths!BD123</f>
        <v>0</v>
      </c>
      <c r="BF123" s="5">
        <f>deaths!BF123-deaths!BE123</f>
        <v>0</v>
      </c>
      <c r="BG123" s="5">
        <f>deaths!BG123-deaths!BF123</f>
        <v>0</v>
      </c>
      <c r="BH123" s="5">
        <f>deaths!BH123-deaths!BG123</f>
        <v>0</v>
      </c>
      <c r="BI123" s="5">
        <f>deaths!BI123-deaths!BH123</f>
        <v>0</v>
      </c>
      <c r="BJ123" s="5">
        <f>deaths!BJ123-deaths!BI123</f>
        <v>0</v>
      </c>
      <c r="BK123" s="5">
        <f>deaths!BK123-deaths!BJ123</f>
        <v>0</v>
      </c>
      <c r="BL123" s="5">
        <f>deaths!BL123-deaths!BK123</f>
        <v>1</v>
      </c>
      <c r="BM123" s="5">
        <f>deaths!BM123-deaths!BL123</f>
        <v>0</v>
      </c>
      <c r="BN123" s="5">
        <f>deaths!BN123-deaths!BM123</f>
        <v>1</v>
      </c>
      <c r="BO123" s="5">
        <f>deaths!BO123-deaths!BN123</f>
        <v>0</v>
      </c>
      <c r="BP123" s="5">
        <f>deaths!BP123-deaths!BO123</f>
        <v>2</v>
      </c>
      <c r="BQ123" s="5">
        <f>deaths!BQ123-deaths!BP123</f>
        <v>0</v>
      </c>
      <c r="BR123" s="5">
        <f>deaths!BR123-deaths!BQ123</f>
        <v>0</v>
      </c>
      <c r="BS123" s="5">
        <f>deaths!BS123-deaths!BR123</f>
        <v>1</v>
      </c>
      <c r="BT123" s="5">
        <f>deaths!BT123-deaths!BS123</f>
        <v>0</v>
      </c>
      <c r="BU123" s="5">
        <f>deaths!BU123-deaths!BT123</f>
        <v>0</v>
      </c>
      <c r="BV123" s="5">
        <f>deaths!BV123-deaths!BU123</f>
        <v>0</v>
      </c>
      <c r="BW123" s="5">
        <f>deaths!BW123-deaths!BV123</f>
        <v>0</v>
      </c>
      <c r="BX123" s="5">
        <f>deaths!BX123-deaths!BW123</f>
        <v>0</v>
      </c>
      <c r="BY123" s="5">
        <f>deaths!BY123-deaths!BX123</f>
        <v>0</v>
      </c>
      <c r="BZ123" s="1">
        <f>deaths!BZ123</f>
        <v>5</v>
      </c>
      <c r="CA123" s="1">
        <f>deaths!CA123</f>
        <v>5</v>
      </c>
      <c r="CB123" s="1">
        <f>deaths!CB123</f>
        <v>5</v>
      </c>
      <c r="CC123" s="1" t="str">
        <f>deaths!CC123</f>
        <v/>
      </c>
    </row>
    <row r="124">
      <c r="B124" s="1" t="str">
        <f>deaths!B124</f>
        <v>Greece</v>
      </c>
      <c r="C124" s="4">
        <f>deaths!C124</f>
        <v>39.0742</v>
      </c>
      <c r="D124" s="4">
        <f>deaths!D124</f>
        <v>21.8243</v>
      </c>
      <c r="E124" s="5">
        <f>deaths!E124</f>
        <v>0</v>
      </c>
      <c r="F124" s="5">
        <f>deaths!F124-deaths!E124</f>
        <v>0</v>
      </c>
      <c r="G124" s="5">
        <f>deaths!G124-deaths!F124</f>
        <v>0</v>
      </c>
      <c r="H124" s="5">
        <f>deaths!H124-deaths!G124</f>
        <v>0</v>
      </c>
      <c r="I124" s="5">
        <f>deaths!I124-deaths!H124</f>
        <v>0</v>
      </c>
      <c r="J124" s="5">
        <f>deaths!J124-deaths!I124</f>
        <v>0</v>
      </c>
      <c r="K124" s="5">
        <f>deaths!K124-deaths!J124</f>
        <v>0</v>
      </c>
      <c r="L124" s="5">
        <f>deaths!L124-deaths!K124</f>
        <v>0</v>
      </c>
      <c r="M124" s="5">
        <f>deaths!M124-deaths!L124</f>
        <v>0</v>
      </c>
      <c r="N124" s="5">
        <f>deaths!N124-deaths!M124</f>
        <v>0</v>
      </c>
      <c r="O124" s="5">
        <f>deaths!O124-deaths!N124</f>
        <v>0</v>
      </c>
      <c r="P124" s="5">
        <f>deaths!P124-deaths!O124</f>
        <v>0</v>
      </c>
      <c r="Q124" s="5">
        <f>deaths!Q124-deaths!P124</f>
        <v>0</v>
      </c>
      <c r="R124" s="5">
        <f>deaths!R124-deaths!Q124</f>
        <v>0</v>
      </c>
      <c r="S124" s="5">
        <f>deaths!S124-deaths!R124</f>
        <v>0</v>
      </c>
      <c r="T124" s="5">
        <f>deaths!T124-deaths!S124</f>
        <v>0</v>
      </c>
      <c r="U124" s="5">
        <f>deaths!U124-deaths!T124</f>
        <v>0</v>
      </c>
      <c r="V124" s="5">
        <f>deaths!V124-deaths!U124</f>
        <v>0</v>
      </c>
      <c r="W124" s="5">
        <f>deaths!W124-deaths!V124</f>
        <v>0</v>
      </c>
      <c r="X124" s="5">
        <f>deaths!X124-deaths!W124</f>
        <v>0</v>
      </c>
      <c r="Y124" s="5">
        <f>deaths!Y124-deaths!X124</f>
        <v>0</v>
      </c>
      <c r="Z124" s="5">
        <f>deaths!Z124-deaths!Y124</f>
        <v>0</v>
      </c>
      <c r="AA124" s="5">
        <f>deaths!AA124-deaths!Z124</f>
        <v>0</v>
      </c>
      <c r="AB124" s="5">
        <f>deaths!AB124-deaths!AA124</f>
        <v>0</v>
      </c>
      <c r="AC124" s="5">
        <f>deaths!AC124-deaths!AB124</f>
        <v>0</v>
      </c>
      <c r="AD124" s="5">
        <f>deaths!AD124-deaths!AC124</f>
        <v>0</v>
      </c>
      <c r="AE124" s="5">
        <f>deaths!AE124-deaths!AD124</f>
        <v>0</v>
      </c>
      <c r="AF124" s="5">
        <f>deaths!AF124-deaths!AE124</f>
        <v>0</v>
      </c>
      <c r="AG124" s="5">
        <f>deaths!AG124-deaths!AF124</f>
        <v>0</v>
      </c>
      <c r="AH124" s="5">
        <f>deaths!AH124-deaths!AG124</f>
        <v>0</v>
      </c>
      <c r="AI124" s="5">
        <f>deaths!AI124-deaths!AH124</f>
        <v>0</v>
      </c>
      <c r="AJ124" s="5">
        <f>deaths!AJ124-deaths!AI124</f>
        <v>0</v>
      </c>
      <c r="AK124" s="5">
        <f>deaths!AK124-deaths!AJ124</f>
        <v>0</v>
      </c>
      <c r="AL124" s="5">
        <f>deaths!AL124-deaths!AK124</f>
        <v>0</v>
      </c>
      <c r="AM124" s="5">
        <f>deaths!AM124-deaths!AL124</f>
        <v>0</v>
      </c>
      <c r="AN124" s="5">
        <f>deaths!AN124-deaths!AM124</f>
        <v>0</v>
      </c>
      <c r="AO124" s="5">
        <f>deaths!AO124-deaths!AN124</f>
        <v>0</v>
      </c>
      <c r="AP124" s="5">
        <f>deaths!AP124-deaths!AO124</f>
        <v>0</v>
      </c>
      <c r="AQ124" s="5">
        <f>deaths!AQ124-deaths!AP124</f>
        <v>0</v>
      </c>
      <c r="AR124" s="5">
        <f>deaths!AR124-deaths!AQ124</f>
        <v>0</v>
      </c>
      <c r="AS124" s="5">
        <f>deaths!AS124-deaths!AR124</f>
        <v>0</v>
      </c>
      <c r="AT124" s="5">
        <f>deaths!AT124-deaths!AS124</f>
        <v>0</v>
      </c>
      <c r="AU124" s="5">
        <f>deaths!AU124-deaths!AT124</f>
        <v>0</v>
      </c>
      <c r="AV124" s="5">
        <f>deaths!AV124-deaths!AU124</f>
        <v>0</v>
      </c>
      <c r="AW124" s="5">
        <f>deaths!AW124-deaths!AV124</f>
        <v>0</v>
      </c>
      <c r="AX124" s="5">
        <f>deaths!AX124-deaths!AW124</f>
        <v>0</v>
      </c>
      <c r="AY124" s="5">
        <f>deaths!AY124-deaths!AX124</f>
        <v>0</v>
      </c>
      <c r="AZ124" s="5">
        <f>deaths!AZ124-deaths!AY124</f>
        <v>0</v>
      </c>
      <c r="BA124" s="5">
        <f>deaths!BA124-deaths!AZ124</f>
        <v>0</v>
      </c>
      <c r="BB124" s="5">
        <f>deaths!BB124-deaths!BA124</f>
        <v>1</v>
      </c>
      <c r="BC124" s="5">
        <f>deaths!BC124-deaths!BB124</f>
        <v>0</v>
      </c>
      <c r="BD124" s="5">
        <f>deaths!BD124-deaths!BC124</f>
        <v>0</v>
      </c>
      <c r="BE124" s="5">
        <f>deaths!BE124-deaths!BD124</f>
        <v>2</v>
      </c>
      <c r="BF124" s="5">
        <f>deaths!BF124-deaths!BE124</f>
        <v>1</v>
      </c>
      <c r="BG124" s="5">
        <f>deaths!BG124-deaths!BF124</f>
        <v>0</v>
      </c>
      <c r="BH124" s="5">
        <f>deaths!BH124-deaths!BG124</f>
        <v>1</v>
      </c>
      <c r="BI124" s="5">
        <f>deaths!BI124-deaths!BH124</f>
        <v>0</v>
      </c>
      <c r="BJ124" s="5">
        <f>deaths!BJ124-deaths!BI124</f>
        <v>1</v>
      </c>
      <c r="BK124" s="5">
        <f>deaths!BK124-deaths!BJ124</f>
        <v>0</v>
      </c>
      <c r="BL124" s="5">
        <f>deaths!BL124-deaths!BK124</f>
        <v>7</v>
      </c>
      <c r="BM124" s="5">
        <f>deaths!BM124-deaths!BL124</f>
        <v>2</v>
      </c>
      <c r="BN124" s="5">
        <f>deaths!BN124-deaths!BM124</f>
        <v>2</v>
      </c>
      <c r="BO124" s="5">
        <f>deaths!BO124-deaths!BN124</f>
        <v>3</v>
      </c>
      <c r="BP124" s="5">
        <f>deaths!BP124-deaths!BO124</f>
        <v>2</v>
      </c>
      <c r="BQ124" s="5">
        <f>deaths!BQ124-deaths!BP124</f>
        <v>4</v>
      </c>
      <c r="BR124" s="5">
        <f>deaths!BR124-deaths!BQ124</f>
        <v>2</v>
      </c>
      <c r="BS124" s="5">
        <f>deaths!BS124-deaths!BR124</f>
        <v>4</v>
      </c>
      <c r="BT124" s="5">
        <f>deaths!BT124-deaths!BS124</f>
        <v>6</v>
      </c>
      <c r="BU124" s="5">
        <f>deaths!BU124-deaths!BT124</f>
        <v>5</v>
      </c>
      <c r="BV124" s="5">
        <f>deaths!BV124-deaths!BU124</f>
        <v>6</v>
      </c>
      <c r="BW124" s="5">
        <f>deaths!BW124-deaths!BV124</f>
        <v>1</v>
      </c>
      <c r="BX124" s="5">
        <f>deaths!BX124-deaths!BW124</f>
        <v>3</v>
      </c>
      <c r="BY124" s="5">
        <f>deaths!BY124-deaths!BX124</f>
        <v>10</v>
      </c>
      <c r="BZ124" s="1">
        <f>deaths!BZ124</f>
        <v>68</v>
      </c>
      <c r="CA124" s="1">
        <f>deaths!CA124</f>
        <v>73</v>
      </c>
      <c r="CB124" s="1">
        <f>deaths!CB124</f>
        <v>79</v>
      </c>
      <c r="CC124" s="1" t="str">
        <f>deaths!CC124</f>
        <v/>
      </c>
    </row>
    <row r="125">
      <c r="B125" s="1" t="str">
        <f>deaths!B125</f>
        <v>Guatemala</v>
      </c>
      <c r="C125" s="4">
        <f>deaths!C125</f>
        <v>15.7835</v>
      </c>
      <c r="D125" s="4">
        <f>deaths!D125</f>
        <v>-90.2308</v>
      </c>
      <c r="E125" s="5">
        <f>deaths!E125</f>
        <v>0</v>
      </c>
      <c r="F125" s="5">
        <f>deaths!F125-deaths!E125</f>
        <v>0</v>
      </c>
      <c r="G125" s="5">
        <f>deaths!G125-deaths!F125</f>
        <v>0</v>
      </c>
      <c r="H125" s="5">
        <f>deaths!H125-deaths!G125</f>
        <v>0</v>
      </c>
      <c r="I125" s="5">
        <f>deaths!I125-deaths!H125</f>
        <v>0</v>
      </c>
      <c r="J125" s="5">
        <f>deaths!J125-deaths!I125</f>
        <v>0</v>
      </c>
      <c r="K125" s="5">
        <f>deaths!K125-deaths!J125</f>
        <v>0</v>
      </c>
      <c r="L125" s="5">
        <f>deaths!L125-deaths!K125</f>
        <v>0</v>
      </c>
      <c r="M125" s="5">
        <f>deaths!M125-deaths!L125</f>
        <v>0</v>
      </c>
      <c r="N125" s="5">
        <f>deaths!N125-deaths!M125</f>
        <v>0</v>
      </c>
      <c r="O125" s="5">
        <f>deaths!O125-deaths!N125</f>
        <v>0</v>
      </c>
      <c r="P125" s="5">
        <f>deaths!P125-deaths!O125</f>
        <v>0</v>
      </c>
      <c r="Q125" s="5">
        <f>deaths!Q125-deaths!P125</f>
        <v>0</v>
      </c>
      <c r="R125" s="5">
        <f>deaths!R125-deaths!Q125</f>
        <v>0</v>
      </c>
      <c r="S125" s="5">
        <f>deaths!S125-deaths!R125</f>
        <v>0</v>
      </c>
      <c r="T125" s="5">
        <f>deaths!T125-deaths!S125</f>
        <v>0</v>
      </c>
      <c r="U125" s="5">
        <f>deaths!U125-deaths!T125</f>
        <v>0</v>
      </c>
      <c r="V125" s="5">
        <f>deaths!V125-deaths!U125</f>
        <v>0</v>
      </c>
      <c r="W125" s="5">
        <f>deaths!W125-deaths!V125</f>
        <v>0</v>
      </c>
      <c r="X125" s="5">
        <f>deaths!X125-deaths!W125</f>
        <v>0</v>
      </c>
      <c r="Y125" s="5">
        <f>deaths!Y125-deaths!X125</f>
        <v>0</v>
      </c>
      <c r="Z125" s="5">
        <f>deaths!Z125-deaths!Y125</f>
        <v>0</v>
      </c>
      <c r="AA125" s="5">
        <f>deaths!AA125-deaths!Z125</f>
        <v>0</v>
      </c>
      <c r="AB125" s="5">
        <f>deaths!AB125-deaths!AA125</f>
        <v>0</v>
      </c>
      <c r="AC125" s="5">
        <f>deaths!AC125-deaths!AB125</f>
        <v>0</v>
      </c>
      <c r="AD125" s="5">
        <f>deaths!AD125-deaths!AC125</f>
        <v>0</v>
      </c>
      <c r="AE125" s="5">
        <f>deaths!AE125-deaths!AD125</f>
        <v>0</v>
      </c>
      <c r="AF125" s="5">
        <f>deaths!AF125-deaths!AE125</f>
        <v>0</v>
      </c>
      <c r="AG125" s="5">
        <f>deaths!AG125-deaths!AF125</f>
        <v>0</v>
      </c>
      <c r="AH125" s="5">
        <f>deaths!AH125-deaths!AG125</f>
        <v>0</v>
      </c>
      <c r="AI125" s="5">
        <f>deaths!AI125-deaths!AH125</f>
        <v>0</v>
      </c>
      <c r="AJ125" s="5">
        <f>deaths!AJ125-deaths!AI125</f>
        <v>0</v>
      </c>
      <c r="AK125" s="5">
        <f>deaths!AK125-deaths!AJ125</f>
        <v>0</v>
      </c>
      <c r="AL125" s="5">
        <f>deaths!AL125-deaths!AK125</f>
        <v>0</v>
      </c>
      <c r="AM125" s="5">
        <f>deaths!AM125-deaths!AL125</f>
        <v>0</v>
      </c>
      <c r="AN125" s="5">
        <f>deaths!AN125-deaths!AM125</f>
        <v>0</v>
      </c>
      <c r="AO125" s="5">
        <f>deaths!AO125-deaths!AN125</f>
        <v>0</v>
      </c>
      <c r="AP125" s="5">
        <f>deaths!AP125-deaths!AO125</f>
        <v>0</v>
      </c>
      <c r="AQ125" s="5">
        <f>deaths!AQ125-deaths!AP125</f>
        <v>0</v>
      </c>
      <c r="AR125" s="5">
        <f>deaths!AR125-deaths!AQ125</f>
        <v>0</v>
      </c>
      <c r="AS125" s="5">
        <f>deaths!AS125-deaths!AR125</f>
        <v>0</v>
      </c>
      <c r="AT125" s="5">
        <f>deaths!AT125-deaths!AS125</f>
        <v>0</v>
      </c>
      <c r="AU125" s="5">
        <f>deaths!AU125-deaths!AT125</f>
        <v>0</v>
      </c>
      <c r="AV125" s="5">
        <f>deaths!AV125-deaths!AU125</f>
        <v>0</v>
      </c>
      <c r="AW125" s="5">
        <f>deaths!AW125-deaths!AV125</f>
        <v>0</v>
      </c>
      <c r="AX125" s="5">
        <f>deaths!AX125-deaths!AW125</f>
        <v>0</v>
      </c>
      <c r="AY125" s="5">
        <f>deaths!AY125-deaths!AX125</f>
        <v>0</v>
      </c>
      <c r="AZ125" s="5">
        <f>deaths!AZ125-deaths!AY125</f>
        <v>0</v>
      </c>
      <c r="BA125" s="5">
        <f>deaths!BA125-deaths!AZ125</f>
        <v>0</v>
      </c>
      <c r="BB125" s="5">
        <f>deaths!BB125-deaths!BA125</f>
        <v>0</v>
      </c>
      <c r="BC125" s="5">
        <f>deaths!BC125-deaths!BB125</f>
        <v>0</v>
      </c>
      <c r="BD125" s="5">
        <f>deaths!BD125-deaths!BC125</f>
        <v>0</v>
      </c>
      <c r="BE125" s="5">
        <f>deaths!BE125-deaths!BD125</f>
        <v>0</v>
      </c>
      <c r="BF125" s="5">
        <f>deaths!BF125-deaths!BE125</f>
        <v>0</v>
      </c>
      <c r="BG125" s="5">
        <f>deaths!BG125-deaths!BF125</f>
        <v>1</v>
      </c>
      <c r="BH125" s="5">
        <f>deaths!BH125-deaths!BG125</f>
        <v>0</v>
      </c>
      <c r="BI125" s="5">
        <f>deaths!BI125-deaths!BH125</f>
        <v>0</v>
      </c>
      <c r="BJ125" s="5">
        <f>deaths!BJ125-deaths!BI125</f>
        <v>0</v>
      </c>
      <c r="BK125" s="5">
        <f>deaths!BK125-deaths!BJ125</f>
        <v>0</v>
      </c>
      <c r="BL125" s="5">
        <f>deaths!BL125-deaths!BK125</f>
        <v>0</v>
      </c>
      <c r="BM125" s="5">
        <f>deaths!BM125-deaths!BL125</f>
        <v>0</v>
      </c>
      <c r="BN125" s="5">
        <f>deaths!BN125-deaths!BM125</f>
        <v>0</v>
      </c>
      <c r="BO125" s="5">
        <f>deaths!BO125-deaths!BN125</f>
        <v>0</v>
      </c>
      <c r="BP125" s="5">
        <f>deaths!BP125-deaths!BO125</f>
        <v>0</v>
      </c>
      <c r="BQ125" s="5">
        <f>deaths!BQ125-deaths!BP125</f>
        <v>0</v>
      </c>
      <c r="BR125" s="5">
        <f>deaths!BR125-deaths!BQ125</f>
        <v>0</v>
      </c>
      <c r="BS125" s="5">
        <f>deaths!BS125-deaths!BR125</f>
        <v>0</v>
      </c>
      <c r="BT125" s="5">
        <f>deaths!BT125-deaths!BS125</f>
        <v>0</v>
      </c>
      <c r="BU125" s="5">
        <f>deaths!BU125-deaths!BT125</f>
        <v>0</v>
      </c>
      <c r="BV125" s="5">
        <f>deaths!BV125-deaths!BU125</f>
        <v>0</v>
      </c>
      <c r="BW125" s="5">
        <f>deaths!BW125-deaths!BV125</f>
        <v>0</v>
      </c>
      <c r="BX125" s="5">
        <f>deaths!BX125-deaths!BW125</f>
        <v>0</v>
      </c>
      <c r="BY125" s="5">
        <f>deaths!BY125-deaths!BX125</f>
        <v>0</v>
      </c>
      <c r="BZ125" s="1">
        <f>deaths!BZ125</f>
        <v>2</v>
      </c>
      <c r="CA125" s="1">
        <f>deaths!CA125</f>
        <v>2</v>
      </c>
      <c r="CB125" s="1">
        <f>deaths!CB125</f>
        <v>3</v>
      </c>
      <c r="CC125" s="1" t="str">
        <f>deaths!CC125</f>
        <v/>
      </c>
    </row>
    <row r="126">
      <c r="B126" s="1" t="str">
        <f>deaths!B126</f>
        <v>Guinea</v>
      </c>
      <c r="C126" s="4">
        <f>deaths!C126</f>
        <v>9.9456</v>
      </c>
      <c r="D126" s="4">
        <f>deaths!D126</f>
        <v>-9.6966</v>
      </c>
      <c r="E126" s="5">
        <f>deaths!E126</f>
        <v>0</v>
      </c>
      <c r="F126" s="5">
        <f>deaths!F126-deaths!E126</f>
        <v>0</v>
      </c>
      <c r="G126" s="5">
        <f>deaths!G126-deaths!F126</f>
        <v>0</v>
      </c>
      <c r="H126" s="5">
        <f>deaths!H126-deaths!G126</f>
        <v>0</v>
      </c>
      <c r="I126" s="5">
        <f>deaths!I126-deaths!H126</f>
        <v>0</v>
      </c>
      <c r="J126" s="5">
        <f>deaths!J126-deaths!I126</f>
        <v>0</v>
      </c>
      <c r="K126" s="5">
        <f>deaths!K126-deaths!J126</f>
        <v>0</v>
      </c>
      <c r="L126" s="5">
        <f>deaths!L126-deaths!K126</f>
        <v>0</v>
      </c>
      <c r="M126" s="5">
        <f>deaths!M126-deaths!L126</f>
        <v>0</v>
      </c>
      <c r="N126" s="5">
        <f>deaths!N126-deaths!M126</f>
        <v>0</v>
      </c>
      <c r="O126" s="5">
        <f>deaths!O126-deaths!N126</f>
        <v>0</v>
      </c>
      <c r="P126" s="5">
        <f>deaths!P126-deaths!O126</f>
        <v>0</v>
      </c>
      <c r="Q126" s="5">
        <f>deaths!Q126-deaths!P126</f>
        <v>0</v>
      </c>
      <c r="R126" s="5">
        <f>deaths!R126-deaths!Q126</f>
        <v>0</v>
      </c>
      <c r="S126" s="5">
        <f>deaths!S126-deaths!R126</f>
        <v>0</v>
      </c>
      <c r="T126" s="5">
        <f>deaths!T126-deaths!S126</f>
        <v>0</v>
      </c>
      <c r="U126" s="5">
        <f>deaths!U126-deaths!T126</f>
        <v>0</v>
      </c>
      <c r="V126" s="5">
        <f>deaths!V126-deaths!U126</f>
        <v>0</v>
      </c>
      <c r="W126" s="5">
        <f>deaths!W126-deaths!V126</f>
        <v>0</v>
      </c>
      <c r="X126" s="5">
        <f>deaths!X126-deaths!W126</f>
        <v>0</v>
      </c>
      <c r="Y126" s="5">
        <f>deaths!Y126-deaths!X126</f>
        <v>0</v>
      </c>
      <c r="Z126" s="5">
        <f>deaths!Z126-deaths!Y126</f>
        <v>0</v>
      </c>
      <c r="AA126" s="5">
        <f>deaths!AA126-deaths!Z126</f>
        <v>0</v>
      </c>
      <c r="AB126" s="5">
        <f>deaths!AB126-deaths!AA126</f>
        <v>0</v>
      </c>
      <c r="AC126" s="5">
        <f>deaths!AC126-deaths!AB126</f>
        <v>0</v>
      </c>
      <c r="AD126" s="5">
        <f>deaths!AD126-deaths!AC126</f>
        <v>0</v>
      </c>
      <c r="AE126" s="5">
        <f>deaths!AE126-deaths!AD126</f>
        <v>0</v>
      </c>
      <c r="AF126" s="5">
        <f>deaths!AF126-deaths!AE126</f>
        <v>0</v>
      </c>
      <c r="AG126" s="5">
        <f>deaths!AG126-deaths!AF126</f>
        <v>0</v>
      </c>
      <c r="AH126" s="5">
        <f>deaths!AH126-deaths!AG126</f>
        <v>0</v>
      </c>
      <c r="AI126" s="5">
        <f>deaths!AI126-deaths!AH126</f>
        <v>0</v>
      </c>
      <c r="AJ126" s="5">
        <f>deaths!AJ126-deaths!AI126</f>
        <v>0</v>
      </c>
      <c r="AK126" s="5">
        <f>deaths!AK126-deaths!AJ126</f>
        <v>0</v>
      </c>
      <c r="AL126" s="5">
        <f>deaths!AL126-deaths!AK126</f>
        <v>0</v>
      </c>
      <c r="AM126" s="5">
        <f>deaths!AM126-deaths!AL126</f>
        <v>0</v>
      </c>
      <c r="AN126" s="5">
        <f>deaths!AN126-deaths!AM126</f>
        <v>0</v>
      </c>
      <c r="AO126" s="5">
        <f>deaths!AO126-deaths!AN126</f>
        <v>0</v>
      </c>
      <c r="AP126" s="5">
        <f>deaths!AP126-deaths!AO126</f>
        <v>0</v>
      </c>
      <c r="AQ126" s="5">
        <f>deaths!AQ126-deaths!AP126</f>
        <v>0</v>
      </c>
      <c r="AR126" s="5">
        <f>deaths!AR126-deaths!AQ126</f>
        <v>0</v>
      </c>
      <c r="AS126" s="5">
        <f>deaths!AS126-deaths!AR126</f>
        <v>0</v>
      </c>
      <c r="AT126" s="5">
        <f>deaths!AT126-deaths!AS126</f>
        <v>0</v>
      </c>
      <c r="AU126" s="5">
        <f>deaths!AU126-deaths!AT126</f>
        <v>0</v>
      </c>
      <c r="AV126" s="5">
        <f>deaths!AV126-deaths!AU126</f>
        <v>0</v>
      </c>
      <c r="AW126" s="5">
        <f>deaths!AW126-deaths!AV126</f>
        <v>0</v>
      </c>
      <c r="AX126" s="5">
        <f>deaths!AX126-deaths!AW126</f>
        <v>0</v>
      </c>
      <c r="AY126" s="5">
        <f>deaths!AY126-deaths!AX126</f>
        <v>0</v>
      </c>
      <c r="AZ126" s="5">
        <f>deaths!AZ126-deaths!AY126</f>
        <v>0</v>
      </c>
      <c r="BA126" s="5">
        <f>deaths!BA126-deaths!AZ126</f>
        <v>0</v>
      </c>
      <c r="BB126" s="5">
        <f>deaths!BB126-deaths!BA126</f>
        <v>0</v>
      </c>
      <c r="BC126" s="5">
        <f>deaths!BC126-deaths!BB126</f>
        <v>0</v>
      </c>
      <c r="BD126" s="5">
        <f>deaths!BD126-deaths!BC126</f>
        <v>0</v>
      </c>
      <c r="BE126" s="5">
        <f>deaths!BE126-deaths!BD126</f>
        <v>0</v>
      </c>
      <c r="BF126" s="5">
        <f>deaths!BF126-deaths!BE126</f>
        <v>0</v>
      </c>
      <c r="BG126" s="5">
        <f>deaths!BG126-deaths!BF126</f>
        <v>0</v>
      </c>
      <c r="BH126" s="5">
        <f>deaths!BH126-deaths!BG126</f>
        <v>0</v>
      </c>
      <c r="BI126" s="5">
        <f>deaths!BI126-deaths!BH126</f>
        <v>0</v>
      </c>
      <c r="BJ126" s="5">
        <f>deaths!BJ126-deaths!BI126</f>
        <v>0</v>
      </c>
      <c r="BK126" s="5">
        <f>deaths!BK126-deaths!BJ126</f>
        <v>0</v>
      </c>
      <c r="BL126" s="5">
        <f>deaths!BL126-deaths!BK126</f>
        <v>0</v>
      </c>
      <c r="BM126" s="5">
        <f>deaths!BM126-deaths!BL126</f>
        <v>0</v>
      </c>
      <c r="BN126" s="5">
        <f>deaths!BN126-deaths!BM126</f>
        <v>0</v>
      </c>
      <c r="BO126" s="5">
        <f>deaths!BO126-deaths!BN126</f>
        <v>0</v>
      </c>
      <c r="BP126" s="5">
        <f>deaths!BP126-deaths!BO126</f>
        <v>0</v>
      </c>
      <c r="BQ126" s="5">
        <f>deaths!BQ126-deaths!BP126</f>
        <v>0</v>
      </c>
      <c r="BR126" s="5">
        <f>deaths!BR126-deaths!BQ126</f>
        <v>0</v>
      </c>
      <c r="BS126" s="5">
        <f>deaths!BS126-deaths!BR126</f>
        <v>0</v>
      </c>
      <c r="BT126" s="5">
        <f>deaths!BT126-deaths!BS126</f>
        <v>0</v>
      </c>
      <c r="BU126" s="5">
        <f>deaths!BU126-deaths!BT126</f>
        <v>0</v>
      </c>
      <c r="BV126" s="5">
        <f>deaths!BV126-deaths!BU126</f>
        <v>0</v>
      </c>
      <c r="BW126" s="5">
        <f>deaths!BW126-deaths!BV126</f>
        <v>0</v>
      </c>
      <c r="BX126" s="5">
        <f>deaths!BX126-deaths!BW126</f>
        <v>0</v>
      </c>
      <c r="BY126" s="5">
        <f>deaths!BY126-deaths!BX126</f>
        <v>0</v>
      </c>
      <c r="BZ126" s="1">
        <f>deaths!BZ126</f>
        <v>0</v>
      </c>
      <c r="CA126" s="1">
        <f>deaths!CA126</f>
        <v>0</v>
      </c>
      <c r="CB126" s="1">
        <f>deaths!CB126</f>
        <v>0</v>
      </c>
      <c r="CC126" s="1" t="str">
        <f>deaths!CC126</f>
        <v/>
      </c>
    </row>
    <row r="127">
      <c r="B127" s="1" t="str">
        <f>deaths!B127</f>
        <v>Guyana</v>
      </c>
      <c r="C127" s="4">
        <f>deaths!C127</f>
        <v>5</v>
      </c>
      <c r="D127" s="4">
        <f>deaths!D127</f>
        <v>-58.75</v>
      </c>
      <c r="E127" s="5">
        <f>deaths!E127</f>
        <v>0</v>
      </c>
      <c r="F127" s="5">
        <f>deaths!F127-deaths!E127</f>
        <v>0</v>
      </c>
      <c r="G127" s="5">
        <f>deaths!G127-deaths!F127</f>
        <v>0</v>
      </c>
      <c r="H127" s="5">
        <f>deaths!H127-deaths!G127</f>
        <v>0</v>
      </c>
      <c r="I127" s="5">
        <f>deaths!I127-deaths!H127</f>
        <v>0</v>
      </c>
      <c r="J127" s="5">
        <f>deaths!J127-deaths!I127</f>
        <v>0</v>
      </c>
      <c r="K127" s="5">
        <f>deaths!K127-deaths!J127</f>
        <v>0</v>
      </c>
      <c r="L127" s="5">
        <f>deaths!L127-deaths!K127</f>
        <v>0</v>
      </c>
      <c r="M127" s="5">
        <f>deaths!M127-deaths!L127</f>
        <v>0</v>
      </c>
      <c r="N127" s="5">
        <f>deaths!N127-deaths!M127</f>
        <v>0</v>
      </c>
      <c r="O127" s="5">
        <f>deaths!O127-deaths!N127</f>
        <v>0</v>
      </c>
      <c r="P127" s="5">
        <f>deaths!P127-deaths!O127</f>
        <v>0</v>
      </c>
      <c r="Q127" s="5">
        <f>deaths!Q127-deaths!P127</f>
        <v>0</v>
      </c>
      <c r="R127" s="5">
        <f>deaths!R127-deaths!Q127</f>
        <v>0</v>
      </c>
      <c r="S127" s="5">
        <f>deaths!S127-deaths!R127</f>
        <v>0</v>
      </c>
      <c r="T127" s="5">
        <f>deaths!T127-deaths!S127</f>
        <v>0</v>
      </c>
      <c r="U127" s="5">
        <f>deaths!U127-deaths!T127</f>
        <v>0</v>
      </c>
      <c r="V127" s="5">
        <f>deaths!V127-deaths!U127</f>
        <v>0</v>
      </c>
      <c r="W127" s="5">
        <f>deaths!W127-deaths!V127</f>
        <v>0</v>
      </c>
      <c r="X127" s="5">
        <f>deaths!X127-deaths!W127</f>
        <v>0</v>
      </c>
      <c r="Y127" s="5">
        <f>deaths!Y127-deaths!X127</f>
        <v>0</v>
      </c>
      <c r="Z127" s="5">
        <f>deaths!Z127-deaths!Y127</f>
        <v>0</v>
      </c>
      <c r="AA127" s="5">
        <f>deaths!AA127-deaths!Z127</f>
        <v>0</v>
      </c>
      <c r="AB127" s="5">
        <f>deaths!AB127-deaths!AA127</f>
        <v>0</v>
      </c>
      <c r="AC127" s="5">
        <f>deaths!AC127-deaths!AB127</f>
        <v>0</v>
      </c>
      <c r="AD127" s="5">
        <f>deaths!AD127-deaths!AC127</f>
        <v>0</v>
      </c>
      <c r="AE127" s="5">
        <f>deaths!AE127-deaths!AD127</f>
        <v>0</v>
      </c>
      <c r="AF127" s="5">
        <f>deaths!AF127-deaths!AE127</f>
        <v>0</v>
      </c>
      <c r="AG127" s="5">
        <f>deaths!AG127-deaths!AF127</f>
        <v>0</v>
      </c>
      <c r="AH127" s="5">
        <f>deaths!AH127-deaths!AG127</f>
        <v>0</v>
      </c>
      <c r="AI127" s="5">
        <f>deaths!AI127-deaths!AH127</f>
        <v>0</v>
      </c>
      <c r="AJ127" s="5">
        <f>deaths!AJ127-deaths!AI127</f>
        <v>0</v>
      </c>
      <c r="AK127" s="5">
        <f>deaths!AK127-deaths!AJ127</f>
        <v>0</v>
      </c>
      <c r="AL127" s="5">
        <f>deaths!AL127-deaths!AK127</f>
        <v>0</v>
      </c>
      <c r="AM127" s="5">
        <f>deaths!AM127-deaths!AL127</f>
        <v>0</v>
      </c>
      <c r="AN127" s="5">
        <f>deaths!AN127-deaths!AM127</f>
        <v>0</v>
      </c>
      <c r="AO127" s="5">
        <f>deaths!AO127-deaths!AN127</f>
        <v>0</v>
      </c>
      <c r="AP127" s="5">
        <f>deaths!AP127-deaths!AO127</f>
        <v>0</v>
      </c>
      <c r="AQ127" s="5">
        <f>deaths!AQ127-deaths!AP127</f>
        <v>0</v>
      </c>
      <c r="AR127" s="5">
        <f>deaths!AR127-deaths!AQ127</f>
        <v>0</v>
      </c>
      <c r="AS127" s="5">
        <f>deaths!AS127-deaths!AR127</f>
        <v>0</v>
      </c>
      <c r="AT127" s="5">
        <f>deaths!AT127-deaths!AS127</f>
        <v>0</v>
      </c>
      <c r="AU127" s="5">
        <f>deaths!AU127-deaths!AT127</f>
        <v>0</v>
      </c>
      <c r="AV127" s="5">
        <f>deaths!AV127-deaths!AU127</f>
        <v>0</v>
      </c>
      <c r="AW127" s="5">
        <f>deaths!AW127-deaths!AV127</f>
        <v>0</v>
      </c>
      <c r="AX127" s="5">
        <f>deaths!AX127-deaths!AW127</f>
        <v>0</v>
      </c>
      <c r="AY127" s="5">
        <f>deaths!AY127-deaths!AX127</f>
        <v>0</v>
      </c>
      <c r="AZ127" s="5">
        <f>deaths!AZ127-deaths!AY127</f>
        <v>0</v>
      </c>
      <c r="BA127" s="5">
        <f>deaths!BA127-deaths!AZ127</f>
        <v>0</v>
      </c>
      <c r="BB127" s="5">
        <f>deaths!BB127-deaths!BA127</f>
        <v>0</v>
      </c>
      <c r="BC127" s="5">
        <f>deaths!BC127-deaths!BB127</f>
        <v>1</v>
      </c>
      <c r="BD127" s="5">
        <f>deaths!BD127-deaths!BC127</f>
        <v>0</v>
      </c>
      <c r="BE127" s="5">
        <f>deaths!BE127-deaths!BD127</f>
        <v>0</v>
      </c>
      <c r="BF127" s="5">
        <f>deaths!BF127-deaths!BE127</f>
        <v>0</v>
      </c>
      <c r="BG127" s="5">
        <f>deaths!BG127-deaths!BF127</f>
        <v>0</v>
      </c>
      <c r="BH127" s="5">
        <f>deaths!BH127-deaths!BG127</f>
        <v>0</v>
      </c>
      <c r="BI127" s="5">
        <f>deaths!BI127-deaths!BH127</f>
        <v>0</v>
      </c>
      <c r="BJ127" s="5">
        <f>deaths!BJ127-deaths!BI127</f>
        <v>0</v>
      </c>
      <c r="BK127" s="5">
        <f>deaths!BK127-deaths!BJ127</f>
        <v>0</v>
      </c>
      <c r="BL127" s="5">
        <f>deaths!BL127-deaths!BK127</f>
        <v>0</v>
      </c>
      <c r="BM127" s="5">
        <f>deaths!BM127-deaths!BL127</f>
        <v>0</v>
      </c>
      <c r="BN127" s="5">
        <f>deaths!BN127-deaths!BM127</f>
        <v>0</v>
      </c>
      <c r="BO127" s="5">
        <f>deaths!BO127-deaths!BN127</f>
        <v>0</v>
      </c>
      <c r="BP127" s="5">
        <f>deaths!BP127-deaths!BO127</f>
        <v>0</v>
      </c>
      <c r="BQ127" s="5">
        <f>deaths!BQ127-deaths!BP127</f>
        <v>0</v>
      </c>
      <c r="BR127" s="5">
        <f>deaths!BR127-deaths!BQ127</f>
        <v>0</v>
      </c>
      <c r="BS127" s="5">
        <f>deaths!BS127-deaths!BR127</f>
        <v>0</v>
      </c>
      <c r="BT127" s="5">
        <f>deaths!BT127-deaths!BS127</f>
        <v>0</v>
      </c>
      <c r="BU127" s="5">
        <f>deaths!BU127-deaths!BT127</f>
        <v>0</v>
      </c>
      <c r="BV127" s="5">
        <f>deaths!BV127-deaths!BU127</f>
        <v>1</v>
      </c>
      <c r="BW127" s="5">
        <f>deaths!BW127-deaths!BV127</f>
        <v>0</v>
      </c>
      <c r="BX127" s="5">
        <f>deaths!BX127-deaths!BW127</f>
        <v>2</v>
      </c>
      <c r="BY127" s="5">
        <f>deaths!BY127-deaths!BX127</f>
        <v>0</v>
      </c>
      <c r="BZ127" s="1">
        <f>deaths!BZ127</f>
        <v>4</v>
      </c>
      <c r="CA127" s="1">
        <f>deaths!CA127</f>
        <v>4</v>
      </c>
      <c r="CB127" s="1">
        <f>deaths!CB127</f>
        <v>4</v>
      </c>
      <c r="CC127" s="1" t="str">
        <f>deaths!CC127</f>
        <v/>
      </c>
    </row>
    <row r="128">
      <c r="B128" s="1" t="str">
        <f>deaths!B128</f>
        <v>Haiti</v>
      </c>
      <c r="C128" s="4">
        <f>deaths!C128</f>
        <v>18.9712</v>
      </c>
      <c r="D128" s="4">
        <f>deaths!D128</f>
        <v>-72.2852</v>
      </c>
      <c r="E128" s="5">
        <f>deaths!E128</f>
        <v>0</v>
      </c>
      <c r="F128" s="5">
        <f>deaths!F128-deaths!E128</f>
        <v>0</v>
      </c>
      <c r="G128" s="5">
        <f>deaths!G128-deaths!F128</f>
        <v>0</v>
      </c>
      <c r="H128" s="5">
        <f>deaths!H128-deaths!G128</f>
        <v>0</v>
      </c>
      <c r="I128" s="5">
        <f>deaths!I128-deaths!H128</f>
        <v>0</v>
      </c>
      <c r="J128" s="5">
        <f>deaths!J128-deaths!I128</f>
        <v>0</v>
      </c>
      <c r="K128" s="5">
        <f>deaths!K128-deaths!J128</f>
        <v>0</v>
      </c>
      <c r="L128" s="5">
        <f>deaths!L128-deaths!K128</f>
        <v>0</v>
      </c>
      <c r="M128" s="5">
        <f>deaths!M128-deaths!L128</f>
        <v>0</v>
      </c>
      <c r="N128" s="5">
        <f>deaths!N128-deaths!M128</f>
        <v>0</v>
      </c>
      <c r="O128" s="5">
        <f>deaths!O128-deaths!N128</f>
        <v>0</v>
      </c>
      <c r="P128" s="5">
        <f>deaths!P128-deaths!O128</f>
        <v>0</v>
      </c>
      <c r="Q128" s="5">
        <f>deaths!Q128-deaths!P128</f>
        <v>0</v>
      </c>
      <c r="R128" s="5">
        <f>deaths!R128-deaths!Q128</f>
        <v>0</v>
      </c>
      <c r="S128" s="5">
        <f>deaths!S128-deaths!R128</f>
        <v>0</v>
      </c>
      <c r="T128" s="5">
        <f>deaths!T128-deaths!S128</f>
        <v>0</v>
      </c>
      <c r="U128" s="5">
        <f>deaths!U128-deaths!T128</f>
        <v>0</v>
      </c>
      <c r="V128" s="5">
        <f>deaths!V128-deaths!U128</f>
        <v>0</v>
      </c>
      <c r="W128" s="5">
        <f>deaths!W128-deaths!V128</f>
        <v>0</v>
      </c>
      <c r="X128" s="5">
        <f>deaths!X128-deaths!W128</f>
        <v>0</v>
      </c>
      <c r="Y128" s="5">
        <f>deaths!Y128-deaths!X128</f>
        <v>0</v>
      </c>
      <c r="Z128" s="5">
        <f>deaths!Z128-deaths!Y128</f>
        <v>0</v>
      </c>
      <c r="AA128" s="5">
        <f>deaths!AA128-deaths!Z128</f>
        <v>0</v>
      </c>
      <c r="AB128" s="5">
        <f>deaths!AB128-deaths!AA128</f>
        <v>0</v>
      </c>
      <c r="AC128" s="5">
        <f>deaths!AC128-deaths!AB128</f>
        <v>0</v>
      </c>
      <c r="AD128" s="5">
        <f>deaths!AD128-deaths!AC128</f>
        <v>0</v>
      </c>
      <c r="AE128" s="5">
        <f>deaths!AE128-deaths!AD128</f>
        <v>0</v>
      </c>
      <c r="AF128" s="5">
        <f>deaths!AF128-deaths!AE128</f>
        <v>0</v>
      </c>
      <c r="AG128" s="5">
        <f>deaths!AG128-deaths!AF128</f>
        <v>0</v>
      </c>
      <c r="AH128" s="5">
        <f>deaths!AH128-deaths!AG128</f>
        <v>0</v>
      </c>
      <c r="AI128" s="5">
        <f>deaths!AI128-deaths!AH128</f>
        <v>0</v>
      </c>
      <c r="AJ128" s="5">
        <f>deaths!AJ128-deaths!AI128</f>
        <v>0</v>
      </c>
      <c r="AK128" s="5">
        <f>deaths!AK128-deaths!AJ128</f>
        <v>0</v>
      </c>
      <c r="AL128" s="5">
        <f>deaths!AL128-deaths!AK128</f>
        <v>0</v>
      </c>
      <c r="AM128" s="5">
        <f>deaths!AM128-deaths!AL128</f>
        <v>0</v>
      </c>
      <c r="AN128" s="5">
        <f>deaths!AN128-deaths!AM128</f>
        <v>0</v>
      </c>
      <c r="AO128" s="5">
        <f>deaths!AO128-deaths!AN128</f>
        <v>0</v>
      </c>
      <c r="AP128" s="5">
        <f>deaths!AP128-deaths!AO128</f>
        <v>0</v>
      </c>
      <c r="AQ128" s="5">
        <f>deaths!AQ128-deaths!AP128</f>
        <v>0</v>
      </c>
      <c r="AR128" s="5">
        <f>deaths!AR128-deaths!AQ128</f>
        <v>0</v>
      </c>
      <c r="AS128" s="5">
        <f>deaths!AS128-deaths!AR128</f>
        <v>0</v>
      </c>
      <c r="AT128" s="5">
        <f>deaths!AT128-deaths!AS128</f>
        <v>0</v>
      </c>
      <c r="AU128" s="5">
        <f>deaths!AU128-deaths!AT128</f>
        <v>0</v>
      </c>
      <c r="AV128" s="5">
        <f>deaths!AV128-deaths!AU128</f>
        <v>0</v>
      </c>
      <c r="AW128" s="5">
        <f>deaths!AW128-deaths!AV128</f>
        <v>0</v>
      </c>
      <c r="AX128" s="5">
        <f>deaths!AX128-deaths!AW128</f>
        <v>0</v>
      </c>
      <c r="AY128" s="5">
        <f>deaths!AY128-deaths!AX128</f>
        <v>0</v>
      </c>
      <c r="AZ128" s="5">
        <f>deaths!AZ128-deaths!AY128</f>
        <v>0</v>
      </c>
      <c r="BA128" s="5">
        <f>deaths!BA128-deaths!AZ128</f>
        <v>0</v>
      </c>
      <c r="BB128" s="5">
        <f>deaths!BB128-deaths!BA128</f>
        <v>0</v>
      </c>
      <c r="BC128" s="5">
        <f>deaths!BC128-deaths!BB128</f>
        <v>0</v>
      </c>
      <c r="BD128" s="5">
        <f>deaths!BD128-deaths!BC128</f>
        <v>0</v>
      </c>
      <c r="BE128" s="5">
        <f>deaths!BE128-deaths!BD128</f>
        <v>0</v>
      </c>
      <c r="BF128" s="5">
        <f>deaths!BF128-deaths!BE128</f>
        <v>0</v>
      </c>
      <c r="BG128" s="5">
        <f>deaths!BG128-deaths!BF128</f>
        <v>0</v>
      </c>
      <c r="BH128" s="5">
        <f>deaths!BH128-deaths!BG128</f>
        <v>0</v>
      </c>
      <c r="BI128" s="5">
        <f>deaths!BI128-deaths!BH128</f>
        <v>0</v>
      </c>
      <c r="BJ128" s="5">
        <f>deaths!BJ128-deaths!BI128</f>
        <v>0</v>
      </c>
      <c r="BK128" s="5">
        <f>deaths!BK128-deaths!BJ128</f>
        <v>0</v>
      </c>
      <c r="BL128" s="5">
        <f>deaths!BL128-deaths!BK128</f>
        <v>0</v>
      </c>
      <c r="BM128" s="5">
        <f>deaths!BM128-deaths!BL128</f>
        <v>0</v>
      </c>
      <c r="BN128" s="5">
        <f>deaths!BN128-deaths!BM128</f>
        <v>0</v>
      </c>
      <c r="BO128" s="5">
        <f>deaths!BO128-deaths!BN128</f>
        <v>0</v>
      </c>
      <c r="BP128" s="5">
        <f>deaths!BP128-deaths!BO128</f>
        <v>0</v>
      </c>
      <c r="BQ128" s="5">
        <f>deaths!BQ128-deaths!BP128</f>
        <v>0</v>
      </c>
      <c r="BR128" s="5">
        <f>deaths!BR128-deaths!BQ128</f>
        <v>0</v>
      </c>
      <c r="BS128" s="5">
        <f>deaths!BS128-deaths!BR128</f>
        <v>0</v>
      </c>
      <c r="BT128" s="5">
        <f>deaths!BT128-deaths!BS128</f>
        <v>0</v>
      </c>
      <c r="BU128" s="5">
        <f>deaths!BU128-deaths!BT128</f>
        <v>0</v>
      </c>
      <c r="BV128" s="5">
        <f>deaths!BV128-deaths!BU128</f>
        <v>0</v>
      </c>
      <c r="BW128" s="5">
        <f>deaths!BW128-deaths!BV128</f>
        <v>0</v>
      </c>
      <c r="BX128" s="5">
        <f>deaths!BX128-deaths!BW128</f>
        <v>0</v>
      </c>
      <c r="BY128" s="5">
        <f>deaths!BY128-deaths!BX128</f>
        <v>0</v>
      </c>
      <c r="BZ128" s="1">
        <f>deaths!BZ128</f>
        <v>0</v>
      </c>
      <c r="CA128" s="1">
        <f>deaths!CA128</f>
        <v>1</v>
      </c>
      <c r="CB128" s="1">
        <f>deaths!CB128</f>
        <v>1</v>
      </c>
      <c r="CC128" s="1" t="str">
        <f>deaths!CC128</f>
        <v/>
      </c>
    </row>
    <row r="129">
      <c r="B129" s="1" t="str">
        <f>deaths!B129</f>
        <v>Holy See</v>
      </c>
      <c r="C129" s="4">
        <f>deaths!C129</f>
        <v>41.9029</v>
      </c>
      <c r="D129" s="4">
        <f>deaths!D129</f>
        <v>12.4534</v>
      </c>
      <c r="E129" s="5">
        <f>deaths!E129</f>
        <v>0</v>
      </c>
      <c r="F129" s="5">
        <f>deaths!F129-deaths!E129</f>
        <v>0</v>
      </c>
      <c r="G129" s="5">
        <f>deaths!G129-deaths!F129</f>
        <v>0</v>
      </c>
      <c r="H129" s="5">
        <f>deaths!H129-deaths!G129</f>
        <v>0</v>
      </c>
      <c r="I129" s="5">
        <f>deaths!I129-deaths!H129</f>
        <v>0</v>
      </c>
      <c r="J129" s="5">
        <f>deaths!J129-deaths!I129</f>
        <v>0</v>
      </c>
      <c r="K129" s="5">
        <f>deaths!K129-deaths!J129</f>
        <v>0</v>
      </c>
      <c r="L129" s="5">
        <f>deaths!L129-deaths!K129</f>
        <v>0</v>
      </c>
      <c r="M129" s="5">
        <f>deaths!M129-deaths!L129</f>
        <v>0</v>
      </c>
      <c r="N129" s="5">
        <f>deaths!N129-deaths!M129</f>
        <v>0</v>
      </c>
      <c r="O129" s="5">
        <f>deaths!O129-deaths!N129</f>
        <v>0</v>
      </c>
      <c r="P129" s="5">
        <f>deaths!P129-deaths!O129</f>
        <v>0</v>
      </c>
      <c r="Q129" s="5">
        <f>deaths!Q129-deaths!P129</f>
        <v>0</v>
      </c>
      <c r="R129" s="5">
        <f>deaths!R129-deaths!Q129</f>
        <v>0</v>
      </c>
      <c r="S129" s="5">
        <f>deaths!S129-deaths!R129</f>
        <v>0</v>
      </c>
      <c r="T129" s="5">
        <f>deaths!T129-deaths!S129</f>
        <v>0</v>
      </c>
      <c r="U129" s="5">
        <f>deaths!U129-deaths!T129</f>
        <v>0</v>
      </c>
      <c r="V129" s="5">
        <f>deaths!V129-deaths!U129</f>
        <v>0</v>
      </c>
      <c r="W129" s="5">
        <f>deaths!W129-deaths!V129</f>
        <v>0</v>
      </c>
      <c r="X129" s="5">
        <f>deaths!X129-deaths!W129</f>
        <v>0</v>
      </c>
      <c r="Y129" s="5">
        <f>deaths!Y129-deaths!X129</f>
        <v>0</v>
      </c>
      <c r="Z129" s="5">
        <f>deaths!Z129-deaths!Y129</f>
        <v>0</v>
      </c>
      <c r="AA129" s="5">
        <f>deaths!AA129-deaths!Z129</f>
        <v>0</v>
      </c>
      <c r="AB129" s="5">
        <f>deaths!AB129-deaths!AA129</f>
        <v>0</v>
      </c>
      <c r="AC129" s="5">
        <f>deaths!AC129-deaths!AB129</f>
        <v>0</v>
      </c>
      <c r="AD129" s="5">
        <f>deaths!AD129-deaths!AC129</f>
        <v>0</v>
      </c>
      <c r="AE129" s="5">
        <f>deaths!AE129-deaths!AD129</f>
        <v>0</v>
      </c>
      <c r="AF129" s="5">
        <f>deaths!AF129-deaths!AE129</f>
        <v>0</v>
      </c>
      <c r="AG129" s="5">
        <f>deaths!AG129-deaths!AF129</f>
        <v>0</v>
      </c>
      <c r="AH129" s="5">
        <f>deaths!AH129-deaths!AG129</f>
        <v>0</v>
      </c>
      <c r="AI129" s="5">
        <f>deaths!AI129-deaths!AH129</f>
        <v>0</v>
      </c>
      <c r="AJ129" s="5">
        <f>deaths!AJ129-deaths!AI129</f>
        <v>0</v>
      </c>
      <c r="AK129" s="5">
        <f>deaths!AK129-deaths!AJ129</f>
        <v>0</v>
      </c>
      <c r="AL129" s="5">
        <f>deaths!AL129-deaths!AK129</f>
        <v>0</v>
      </c>
      <c r="AM129" s="5">
        <f>deaths!AM129-deaths!AL129</f>
        <v>0</v>
      </c>
      <c r="AN129" s="5">
        <f>deaths!AN129-deaths!AM129</f>
        <v>0</v>
      </c>
      <c r="AO129" s="5">
        <f>deaths!AO129-deaths!AN129</f>
        <v>0</v>
      </c>
      <c r="AP129" s="5">
        <f>deaths!AP129-deaths!AO129</f>
        <v>0</v>
      </c>
      <c r="AQ129" s="5">
        <f>deaths!AQ129-deaths!AP129</f>
        <v>0</v>
      </c>
      <c r="AR129" s="5">
        <f>deaths!AR129-deaths!AQ129</f>
        <v>0</v>
      </c>
      <c r="AS129" s="5">
        <f>deaths!AS129-deaths!AR129</f>
        <v>0</v>
      </c>
      <c r="AT129" s="5">
        <f>deaths!AT129-deaths!AS129</f>
        <v>0</v>
      </c>
      <c r="AU129" s="5">
        <f>deaths!AU129-deaths!AT129</f>
        <v>0</v>
      </c>
      <c r="AV129" s="5">
        <f>deaths!AV129-deaths!AU129</f>
        <v>0</v>
      </c>
      <c r="AW129" s="5">
        <f>deaths!AW129-deaths!AV129</f>
        <v>0</v>
      </c>
      <c r="AX129" s="5">
        <f>deaths!AX129-deaths!AW129</f>
        <v>0</v>
      </c>
      <c r="AY129" s="5">
        <f>deaths!AY129-deaths!AX129</f>
        <v>0</v>
      </c>
      <c r="AZ129" s="5">
        <f>deaths!AZ129-deaths!AY129</f>
        <v>0</v>
      </c>
      <c r="BA129" s="5">
        <f>deaths!BA129-deaths!AZ129</f>
        <v>0</v>
      </c>
      <c r="BB129" s="5">
        <f>deaths!BB129-deaths!BA129</f>
        <v>0</v>
      </c>
      <c r="BC129" s="5">
        <f>deaths!BC129-deaths!BB129</f>
        <v>0</v>
      </c>
      <c r="BD129" s="5">
        <f>deaths!BD129-deaths!BC129</f>
        <v>0</v>
      </c>
      <c r="BE129" s="5">
        <f>deaths!BE129-deaths!BD129</f>
        <v>0</v>
      </c>
      <c r="BF129" s="5">
        <f>deaths!BF129-deaths!BE129</f>
        <v>0</v>
      </c>
      <c r="BG129" s="5">
        <f>deaths!BG129-deaths!BF129</f>
        <v>0</v>
      </c>
      <c r="BH129" s="5">
        <f>deaths!BH129-deaths!BG129</f>
        <v>0</v>
      </c>
      <c r="BI129" s="5">
        <f>deaths!BI129-deaths!BH129</f>
        <v>0</v>
      </c>
      <c r="BJ129" s="5">
        <f>deaths!BJ129-deaths!BI129</f>
        <v>0</v>
      </c>
      <c r="BK129" s="5">
        <f>deaths!BK129-deaths!BJ129</f>
        <v>0</v>
      </c>
      <c r="BL129" s="5">
        <f>deaths!BL129-deaths!BK129</f>
        <v>0</v>
      </c>
      <c r="BM129" s="5">
        <f>deaths!BM129-deaths!BL129</f>
        <v>0</v>
      </c>
      <c r="BN129" s="5">
        <f>deaths!BN129-deaths!BM129</f>
        <v>0</v>
      </c>
      <c r="BO129" s="5">
        <f>deaths!BO129-deaths!BN129</f>
        <v>0</v>
      </c>
      <c r="BP129" s="5">
        <f>deaths!BP129-deaths!BO129</f>
        <v>0</v>
      </c>
      <c r="BQ129" s="5">
        <f>deaths!BQ129-deaths!BP129</f>
        <v>0</v>
      </c>
      <c r="BR129" s="5">
        <f>deaths!BR129-deaths!BQ129</f>
        <v>0</v>
      </c>
      <c r="BS129" s="5">
        <f>deaths!BS129-deaths!BR129</f>
        <v>0</v>
      </c>
      <c r="BT129" s="5">
        <f>deaths!BT129-deaths!BS129</f>
        <v>0</v>
      </c>
      <c r="BU129" s="5">
        <f>deaths!BU129-deaths!BT129</f>
        <v>0</v>
      </c>
      <c r="BV129" s="5">
        <f>deaths!BV129-deaths!BU129</f>
        <v>0</v>
      </c>
      <c r="BW129" s="5">
        <f>deaths!BW129-deaths!BV129</f>
        <v>0</v>
      </c>
      <c r="BX129" s="5">
        <f>deaths!BX129-deaths!BW129</f>
        <v>0</v>
      </c>
      <c r="BY129" s="5">
        <f>deaths!BY129-deaths!BX129</f>
        <v>0</v>
      </c>
      <c r="BZ129" s="1">
        <f>deaths!BZ129</f>
        <v>0</v>
      </c>
      <c r="CA129" s="1">
        <f>deaths!CA129</f>
        <v>0</v>
      </c>
      <c r="CB129" s="1">
        <f>deaths!CB129</f>
        <v>0</v>
      </c>
      <c r="CC129" s="1" t="str">
        <f>deaths!CC129</f>
        <v/>
      </c>
    </row>
    <row r="130">
      <c r="B130" s="1" t="str">
        <f>deaths!B130</f>
        <v>Honduras</v>
      </c>
      <c r="C130" s="4">
        <f>deaths!C130</f>
        <v>15.2</v>
      </c>
      <c r="D130" s="4">
        <f>deaths!D130</f>
        <v>-86.2419</v>
      </c>
      <c r="E130" s="5">
        <f>deaths!E130</f>
        <v>0</v>
      </c>
      <c r="F130" s="5">
        <f>deaths!F130-deaths!E130</f>
        <v>0</v>
      </c>
      <c r="G130" s="5">
        <f>deaths!G130-deaths!F130</f>
        <v>0</v>
      </c>
      <c r="H130" s="5">
        <f>deaths!H130-deaths!G130</f>
        <v>0</v>
      </c>
      <c r="I130" s="5">
        <f>deaths!I130-deaths!H130</f>
        <v>0</v>
      </c>
      <c r="J130" s="5">
        <f>deaths!J130-deaths!I130</f>
        <v>0</v>
      </c>
      <c r="K130" s="5">
        <f>deaths!K130-deaths!J130</f>
        <v>0</v>
      </c>
      <c r="L130" s="5">
        <f>deaths!L130-deaths!K130</f>
        <v>0</v>
      </c>
      <c r="M130" s="5">
        <f>deaths!M130-deaths!L130</f>
        <v>0</v>
      </c>
      <c r="N130" s="5">
        <f>deaths!N130-deaths!M130</f>
        <v>0</v>
      </c>
      <c r="O130" s="5">
        <f>deaths!O130-deaths!N130</f>
        <v>0</v>
      </c>
      <c r="P130" s="5">
        <f>deaths!P130-deaths!O130</f>
        <v>0</v>
      </c>
      <c r="Q130" s="5">
        <f>deaths!Q130-deaths!P130</f>
        <v>0</v>
      </c>
      <c r="R130" s="5">
        <f>deaths!R130-deaths!Q130</f>
        <v>0</v>
      </c>
      <c r="S130" s="5">
        <f>deaths!S130-deaths!R130</f>
        <v>0</v>
      </c>
      <c r="T130" s="5">
        <f>deaths!T130-deaths!S130</f>
        <v>0</v>
      </c>
      <c r="U130" s="5">
        <f>deaths!U130-deaths!T130</f>
        <v>0</v>
      </c>
      <c r="V130" s="5">
        <f>deaths!V130-deaths!U130</f>
        <v>0</v>
      </c>
      <c r="W130" s="5">
        <f>deaths!W130-deaths!V130</f>
        <v>0</v>
      </c>
      <c r="X130" s="5">
        <f>deaths!X130-deaths!W130</f>
        <v>0</v>
      </c>
      <c r="Y130" s="5">
        <f>deaths!Y130-deaths!X130</f>
        <v>0</v>
      </c>
      <c r="Z130" s="5">
        <f>deaths!Z130-deaths!Y130</f>
        <v>0</v>
      </c>
      <c r="AA130" s="5">
        <f>deaths!AA130-deaths!Z130</f>
        <v>0</v>
      </c>
      <c r="AB130" s="5">
        <f>deaths!AB130-deaths!AA130</f>
        <v>0</v>
      </c>
      <c r="AC130" s="5">
        <f>deaths!AC130-deaths!AB130</f>
        <v>0</v>
      </c>
      <c r="AD130" s="5">
        <f>deaths!AD130-deaths!AC130</f>
        <v>0</v>
      </c>
      <c r="AE130" s="5">
        <f>deaths!AE130-deaths!AD130</f>
        <v>0</v>
      </c>
      <c r="AF130" s="5">
        <f>deaths!AF130-deaths!AE130</f>
        <v>0</v>
      </c>
      <c r="AG130" s="5">
        <f>deaths!AG130-deaths!AF130</f>
        <v>0</v>
      </c>
      <c r="AH130" s="5">
        <f>deaths!AH130-deaths!AG130</f>
        <v>0</v>
      </c>
      <c r="AI130" s="5">
        <f>deaths!AI130-deaths!AH130</f>
        <v>0</v>
      </c>
      <c r="AJ130" s="5">
        <f>deaths!AJ130-deaths!AI130</f>
        <v>0</v>
      </c>
      <c r="AK130" s="5">
        <f>deaths!AK130-deaths!AJ130</f>
        <v>0</v>
      </c>
      <c r="AL130" s="5">
        <f>deaths!AL130-deaths!AK130</f>
        <v>0</v>
      </c>
      <c r="AM130" s="5">
        <f>deaths!AM130-deaths!AL130</f>
        <v>0</v>
      </c>
      <c r="AN130" s="5">
        <f>deaths!AN130-deaths!AM130</f>
        <v>0</v>
      </c>
      <c r="AO130" s="5">
        <f>deaths!AO130-deaths!AN130</f>
        <v>0</v>
      </c>
      <c r="AP130" s="5">
        <f>deaths!AP130-deaths!AO130</f>
        <v>0</v>
      </c>
      <c r="AQ130" s="5">
        <f>deaths!AQ130-deaths!AP130</f>
        <v>0</v>
      </c>
      <c r="AR130" s="5">
        <f>deaths!AR130-deaths!AQ130</f>
        <v>0</v>
      </c>
      <c r="AS130" s="5">
        <f>deaths!AS130-deaths!AR130</f>
        <v>0</v>
      </c>
      <c r="AT130" s="5">
        <f>deaths!AT130-deaths!AS130</f>
        <v>0</v>
      </c>
      <c r="AU130" s="5">
        <f>deaths!AU130-deaths!AT130</f>
        <v>0</v>
      </c>
      <c r="AV130" s="5">
        <f>deaths!AV130-deaths!AU130</f>
        <v>0</v>
      </c>
      <c r="AW130" s="5">
        <f>deaths!AW130-deaths!AV130</f>
        <v>0</v>
      </c>
      <c r="AX130" s="5">
        <f>deaths!AX130-deaths!AW130</f>
        <v>0</v>
      </c>
      <c r="AY130" s="5">
        <f>deaths!AY130-deaths!AX130</f>
        <v>0</v>
      </c>
      <c r="AZ130" s="5">
        <f>deaths!AZ130-deaths!AY130</f>
        <v>0</v>
      </c>
      <c r="BA130" s="5">
        <f>deaths!BA130-deaths!AZ130</f>
        <v>0</v>
      </c>
      <c r="BB130" s="5">
        <f>deaths!BB130-deaths!BA130</f>
        <v>0</v>
      </c>
      <c r="BC130" s="5">
        <f>deaths!BC130-deaths!BB130</f>
        <v>0</v>
      </c>
      <c r="BD130" s="5">
        <f>deaths!BD130-deaths!BC130</f>
        <v>0</v>
      </c>
      <c r="BE130" s="5">
        <f>deaths!BE130-deaths!BD130</f>
        <v>0</v>
      </c>
      <c r="BF130" s="5">
        <f>deaths!BF130-deaths!BE130</f>
        <v>0</v>
      </c>
      <c r="BG130" s="5">
        <f>deaths!BG130-deaths!BF130</f>
        <v>0</v>
      </c>
      <c r="BH130" s="5">
        <f>deaths!BH130-deaths!BG130</f>
        <v>0</v>
      </c>
      <c r="BI130" s="5">
        <f>deaths!BI130-deaths!BH130</f>
        <v>0</v>
      </c>
      <c r="BJ130" s="5">
        <f>deaths!BJ130-deaths!BI130</f>
        <v>0</v>
      </c>
      <c r="BK130" s="5">
        <f>deaths!BK130-deaths!BJ130</f>
        <v>0</v>
      </c>
      <c r="BL130" s="5">
        <f>deaths!BL130-deaths!BK130</f>
        <v>0</v>
      </c>
      <c r="BM130" s="5">
        <f>deaths!BM130-deaths!BL130</f>
        <v>0</v>
      </c>
      <c r="BN130" s="5">
        <f>deaths!BN130-deaths!BM130</f>
        <v>0</v>
      </c>
      <c r="BO130" s="5">
        <f>deaths!BO130-deaths!BN130</f>
        <v>0</v>
      </c>
      <c r="BP130" s="5">
        <f>deaths!BP130-deaths!BO130</f>
        <v>0</v>
      </c>
      <c r="BQ130" s="5">
        <f>deaths!BQ130-deaths!BP130</f>
        <v>1</v>
      </c>
      <c r="BR130" s="5">
        <f>deaths!BR130-deaths!BQ130</f>
        <v>0</v>
      </c>
      <c r="BS130" s="5">
        <f>deaths!BS130-deaths!BR130</f>
        <v>0</v>
      </c>
      <c r="BT130" s="5">
        <f>deaths!BT130-deaths!BS130</f>
        <v>2</v>
      </c>
      <c r="BU130" s="5">
        <f>deaths!BU130-deaths!BT130</f>
        <v>4</v>
      </c>
      <c r="BV130" s="5">
        <f>deaths!BV130-deaths!BU130</f>
        <v>0</v>
      </c>
      <c r="BW130" s="5">
        <f>deaths!BW130-deaths!BV130</f>
        <v>3</v>
      </c>
      <c r="BX130" s="5">
        <f>deaths!BX130-deaths!BW130</f>
        <v>4</v>
      </c>
      <c r="BY130" s="5">
        <f>deaths!BY130-deaths!BX130</f>
        <v>1</v>
      </c>
      <c r="BZ130" s="1">
        <f>deaths!BZ130</f>
        <v>15</v>
      </c>
      <c r="CA130" s="1">
        <f>deaths!CA130</f>
        <v>22</v>
      </c>
      <c r="CB130" s="1">
        <f>deaths!CB130</f>
        <v>22</v>
      </c>
      <c r="CC130" s="1" t="str">
        <f>deaths!CC130</f>
        <v/>
      </c>
    </row>
    <row r="131">
      <c r="B131" s="1" t="str">
        <f>deaths!B131</f>
        <v>Hungary</v>
      </c>
      <c r="C131" s="4">
        <f>deaths!C131</f>
        <v>47.1625</v>
      </c>
      <c r="D131" s="4">
        <f>deaths!D131</f>
        <v>19.5033</v>
      </c>
      <c r="E131" s="5">
        <f>deaths!E131</f>
        <v>0</v>
      </c>
      <c r="F131" s="5">
        <f>deaths!F131-deaths!E131</f>
        <v>0</v>
      </c>
      <c r="G131" s="5">
        <f>deaths!G131-deaths!F131</f>
        <v>0</v>
      </c>
      <c r="H131" s="5">
        <f>deaths!H131-deaths!G131</f>
        <v>0</v>
      </c>
      <c r="I131" s="5">
        <f>deaths!I131-deaths!H131</f>
        <v>0</v>
      </c>
      <c r="J131" s="5">
        <f>deaths!J131-deaths!I131</f>
        <v>0</v>
      </c>
      <c r="K131" s="5">
        <f>deaths!K131-deaths!J131</f>
        <v>0</v>
      </c>
      <c r="L131" s="5">
        <f>deaths!L131-deaths!K131</f>
        <v>0</v>
      </c>
      <c r="M131" s="5">
        <f>deaths!M131-deaths!L131</f>
        <v>0</v>
      </c>
      <c r="N131" s="5">
        <f>deaths!N131-deaths!M131</f>
        <v>0</v>
      </c>
      <c r="O131" s="5">
        <f>deaths!O131-deaths!N131</f>
        <v>0</v>
      </c>
      <c r="P131" s="5">
        <f>deaths!P131-deaths!O131</f>
        <v>0</v>
      </c>
      <c r="Q131" s="5">
        <f>deaths!Q131-deaths!P131</f>
        <v>0</v>
      </c>
      <c r="R131" s="5">
        <f>deaths!R131-deaths!Q131</f>
        <v>0</v>
      </c>
      <c r="S131" s="5">
        <f>deaths!S131-deaths!R131</f>
        <v>0</v>
      </c>
      <c r="T131" s="5">
        <f>deaths!T131-deaths!S131</f>
        <v>0</v>
      </c>
      <c r="U131" s="5">
        <f>deaths!U131-deaths!T131</f>
        <v>0</v>
      </c>
      <c r="V131" s="5">
        <f>deaths!V131-deaths!U131</f>
        <v>0</v>
      </c>
      <c r="W131" s="5">
        <f>deaths!W131-deaths!V131</f>
        <v>0</v>
      </c>
      <c r="X131" s="5">
        <f>deaths!X131-deaths!W131</f>
        <v>0</v>
      </c>
      <c r="Y131" s="5">
        <f>deaths!Y131-deaths!X131</f>
        <v>0</v>
      </c>
      <c r="Z131" s="5">
        <f>deaths!Z131-deaths!Y131</f>
        <v>0</v>
      </c>
      <c r="AA131" s="5">
        <f>deaths!AA131-deaths!Z131</f>
        <v>0</v>
      </c>
      <c r="AB131" s="5">
        <f>deaths!AB131-deaths!AA131</f>
        <v>0</v>
      </c>
      <c r="AC131" s="5">
        <f>deaths!AC131-deaths!AB131</f>
        <v>0</v>
      </c>
      <c r="AD131" s="5">
        <f>deaths!AD131-deaths!AC131</f>
        <v>0</v>
      </c>
      <c r="AE131" s="5">
        <f>deaths!AE131-deaths!AD131</f>
        <v>0</v>
      </c>
      <c r="AF131" s="5">
        <f>deaths!AF131-deaths!AE131</f>
        <v>0</v>
      </c>
      <c r="AG131" s="5">
        <f>deaths!AG131-deaths!AF131</f>
        <v>0</v>
      </c>
      <c r="AH131" s="5">
        <f>deaths!AH131-deaths!AG131</f>
        <v>0</v>
      </c>
      <c r="AI131" s="5">
        <f>deaths!AI131-deaths!AH131</f>
        <v>0</v>
      </c>
      <c r="AJ131" s="5">
        <f>deaths!AJ131-deaths!AI131</f>
        <v>0</v>
      </c>
      <c r="AK131" s="5">
        <f>deaths!AK131-deaths!AJ131</f>
        <v>0</v>
      </c>
      <c r="AL131" s="5">
        <f>deaths!AL131-deaths!AK131</f>
        <v>0</v>
      </c>
      <c r="AM131" s="5">
        <f>deaths!AM131-deaths!AL131</f>
        <v>0</v>
      </c>
      <c r="AN131" s="5">
        <f>deaths!AN131-deaths!AM131</f>
        <v>0</v>
      </c>
      <c r="AO131" s="5">
        <f>deaths!AO131-deaths!AN131</f>
        <v>0</v>
      </c>
      <c r="AP131" s="5">
        <f>deaths!AP131-deaths!AO131</f>
        <v>0</v>
      </c>
      <c r="AQ131" s="5">
        <f>deaths!AQ131-deaths!AP131</f>
        <v>0</v>
      </c>
      <c r="AR131" s="5">
        <f>deaths!AR131-deaths!AQ131</f>
        <v>0</v>
      </c>
      <c r="AS131" s="5">
        <f>deaths!AS131-deaths!AR131</f>
        <v>0</v>
      </c>
      <c r="AT131" s="5">
        <f>deaths!AT131-deaths!AS131</f>
        <v>0</v>
      </c>
      <c r="AU131" s="5">
        <f>deaths!AU131-deaths!AT131</f>
        <v>0</v>
      </c>
      <c r="AV131" s="5">
        <f>deaths!AV131-deaths!AU131</f>
        <v>0</v>
      </c>
      <c r="AW131" s="5">
        <f>deaths!AW131-deaths!AV131</f>
        <v>0</v>
      </c>
      <c r="AX131" s="5">
        <f>deaths!AX131-deaths!AW131</f>
        <v>0</v>
      </c>
      <c r="AY131" s="5">
        <f>deaths!AY131-deaths!AX131</f>
        <v>0</v>
      </c>
      <c r="AZ131" s="5">
        <f>deaths!AZ131-deaths!AY131</f>
        <v>0</v>
      </c>
      <c r="BA131" s="5">
        <f>deaths!BA131-deaths!AZ131</f>
        <v>0</v>
      </c>
      <c r="BB131" s="5">
        <f>deaths!BB131-deaths!BA131</f>
        <v>0</v>
      </c>
      <c r="BC131" s="5">
        <f>deaths!BC131-deaths!BB131</f>
        <v>0</v>
      </c>
      <c r="BD131" s="5">
        <f>deaths!BD131-deaths!BC131</f>
        <v>0</v>
      </c>
      <c r="BE131" s="5">
        <f>deaths!BE131-deaths!BD131</f>
        <v>0</v>
      </c>
      <c r="BF131" s="5">
        <f>deaths!BF131-deaths!BE131</f>
        <v>1</v>
      </c>
      <c r="BG131" s="5">
        <f>deaths!BG131-deaths!BF131</f>
        <v>0</v>
      </c>
      <c r="BH131" s="5">
        <f>deaths!BH131-deaths!BG131</f>
        <v>0</v>
      </c>
      <c r="BI131" s="5">
        <f>deaths!BI131-deaths!BH131</f>
        <v>0</v>
      </c>
      <c r="BJ131" s="5">
        <f>deaths!BJ131-deaths!BI131</f>
        <v>0</v>
      </c>
      <c r="BK131" s="5">
        <f>deaths!BK131-deaths!BJ131</f>
        <v>2</v>
      </c>
      <c r="BL131" s="5">
        <f>deaths!BL131-deaths!BK131</f>
        <v>1</v>
      </c>
      <c r="BM131" s="5">
        <f>deaths!BM131-deaths!BL131</f>
        <v>2</v>
      </c>
      <c r="BN131" s="5">
        <f>deaths!BN131-deaths!BM131</f>
        <v>1</v>
      </c>
      <c r="BO131" s="5">
        <f>deaths!BO131-deaths!BN131</f>
        <v>2</v>
      </c>
      <c r="BP131" s="5">
        <f>deaths!BP131-deaths!BO131</f>
        <v>1</v>
      </c>
      <c r="BQ131" s="5">
        <f>deaths!BQ131-deaths!BP131</f>
        <v>0</v>
      </c>
      <c r="BR131" s="5">
        <f>deaths!BR131-deaths!BQ131</f>
        <v>0</v>
      </c>
      <c r="BS131" s="5">
        <f>deaths!BS131-deaths!BR131</f>
        <v>1</v>
      </c>
      <c r="BT131" s="5">
        <f>deaths!BT131-deaths!BS131</f>
        <v>2</v>
      </c>
      <c r="BU131" s="5">
        <f>deaths!BU131-deaths!BT131</f>
        <v>2</v>
      </c>
      <c r="BV131" s="5">
        <f>deaths!BV131-deaths!BU131</f>
        <v>1</v>
      </c>
      <c r="BW131" s="5">
        <f>deaths!BW131-deaths!BV131</f>
        <v>4</v>
      </c>
      <c r="BX131" s="5">
        <f>deaths!BX131-deaths!BW131</f>
        <v>1</v>
      </c>
      <c r="BY131" s="5">
        <f>deaths!BY131-deaths!BX131</f>
        <v>5</v>
      </c>
      <c r="BZ131" s="1">
        <f>deaths!BZ131</f>
        <v>32</v>
      </c>
      <c r="CA131" s="1">
        <f>deaths!CA131</f>
        <v>34</v>
      </c>
      <c r="CB131" s="1">
        <f>deaths!CB131</f>
        <v>38</v>
      </c>
      <c r="CC131" s="1" t="str">
        <f>deaths!CC131</f>
        <v/>
      </c>
    </row>
    <row r="132">
      <c r="B132" s="1" t="str">
        <f>deaths!B132</f>
        <v>Iceland</v>
      </c>
      <c r="C132" s="4">
        <f>deaths!C132</f>
        <v>64.9631</v>
      </c>
      <c r="D132" s="4">
        <f>deaths!D132</f>
        <v>-19.0208</v>
      </c>
      <c r="E132" s="5">
        <f>deaths!E132</f>
        <v>0</v>
      </c>
      <c r="F132" s="5">
        <f>deaths!F132-deaths!E132</f>
        <v>0</v>
      </c>
      <c r="G132" s="5">
        <f>deaths!G132-deaths!F132</f>
        <v>0</v>
      </c>
      <c r="H132" s="5">
        <f>deaths!H132-deaths!G132</f>
        <v>0</v>
      </c>
      <c r="I132" s="5">
        <f>deaths!I132-deaths!H132</f>
        <v>0</v>
      </c>
      <c r="J132" s="5">
        <f>deaths!J132-deaths!I132</f>
        <v>0</v>
      </c>
      <c r="K132" s="5">
        <f>deaths!K132-deaths!J132</f>
        <v>0</v>
      </c>
      <c r="L132" s="5">
        <f>deaths!L132-deaths!K132</f>
        <v>0</v>
      </c>
      <c r="M132" s="5">
        <f>deaths!M132-deaths!L132</f>
        <v>0</v>
      </c>
      <c r="N132" s="5">
        <f>deaths!N132-deaths!M132</f>
        <v>0</v>
      </c>
      <c r="O132" s="5">
        <f>deaths!O132-deaths!N132</f>
        <v>0</v>
      </c>
      <c r="P132" s="5">
        <f>deaths!P132-deaths!O132</f>
        <v>0</v>
      </c>
      <c r="Q132" s="5">
        <f>deaths!Q132-deaths!P132</f>
        <v>0</v>
      </c>
      <c r="R132" s="5">
        <f>deaths!R132-deaths!Q132</f>
        <v>0</v>
      </c>
      <c r="S132" s="5">
        <f>deaths!S132-deaths!R132</f>
        <v>0</v>
      </c>
      <c r="T132" s="5">
        <f>deaths!T132-deaths!S132</f>
        <v>0</v>
      </c>
      <c r="U132" s="5">
        <f>deaths!U132-deaths!T132</f>
        <v>0</v>
      </c>
      <c r="V132" s="5">
        <f>deaths!V132-deaths!U132</f>
        <v>0</v>
      </c>
      <c r="W132" s="5">
        <f>deaths!W132-deaths!V132</f>
        <v>0</v>
      </c>
      <c r="X132" s="5">
        <f>deaths!X132-deaths!W132</f>
        <v>0</v>
      </c>
      <c r="Y132" s="5">
        <f>deaths!Y132-deaths!X132</f>
        <v>0</v>
      </c>
      <c r="Z132" s="5">
        <f>deaths!Z132-deaths!Y132</f>
        <v>0</v>
      </c>
      <c r="AA132" s="5">
        <f>deaths!AA132-deaths!Z132</f>
        <v>0</v>
      </c>
      <c r="AB132" s="5">
        <f>deaths!AB132-deaths!AA132</f>
        <v>0</v>
      </c>
      <c r="AC132" s="5">
        <f>deaths!AC132-deaths!AB132</f>
        <v>0</v>
      </c>
      <c r="AD132" s="5">
        <f>deaths!AD132-deaths!AC132</f>
        <v>0</v>
      </c>
      <c r="AE132" s="5">
        <f>deaths!AE132-deaths!AD132</f>
        <v>0</v>
      </c>
      <c r="AF132" s="5">
        <f>deaths!AF132-deaths!AE132</f>
        <v>0</v>
      </c>
      <c r="AG132" s="5">
        <f>deaths!AG132-deaths!AF132</f>
        <v>0</v>
      </c>
      <c r="AH132" s="5">
        <f>deaths!AH132-deaths!AG132</f>
        <v>0</v>
      </c>
      <c r="AI132" s="5">
        <f>deaths!AI132-deaths!AH132</f>
        <v>0</v>
      </c>
      <c r="AJ132" s="5">
        <f>deaths!AJ132-deaths!AI132</f>
        <v>0</v>
      </c>
      <c r="AK132" s="5">
        <f>deaths!AK132-deaths!AJ132</f>
        <v>0</v>
      </c>
      <c r="AL132" s="5">
        <f>deaths!AL132-deaths!AK132</f>
        <v>0</v>
      </c>
      <c r="AM132" s="5">
        <f>deaths!AM132-deaths!AL132</f>
        <v>0</v>
      </c>
      <c r="AN132" s="5">
        <f>deaths!AN132-deaths!AM132</f>
        <v>0</v>
      </c>
      <c r="AO132" s="5">
        <f>deaths!AO132-deaths!AN132</f>
        <v>0</v>
      </c>
      <c r="AP132" s="5">
        <f>deaths!AP132-deaths!AO132</f>
        <v>0</v>
      </c>
      <c r="AQ132" s="5">
        <f>deaths!AQ132-deaths!AP132</f>
        <v>0</v>
      </c>
      <c r="AR132" s="5">
        <f>deaths!AR132-deaths!AQ132</f>
        <v>0</v>
      </c>
      <c r="AS132" s="5">
        <f>deaths!AS132-deaths!AR132</f>
        <v>0</v>
      </c>
      <c r="AT132" s="5">
        <f>deaths!AT132-deaths!AS132</f>
        <v>0</v>
      </c>
      <c r="AU132" s="5">
        <f>deaths!AU132-deaths!AT132</f>
        <v>0</v>
      </c>
      <c r="AV132" s="5">
        <f>deaths!AV132-deaths!AU132</f>
        <v>0</v>
      </c>
      <c r="AW132" s="5">
        <f>deaths!AW132-deaths!AV132</f>
        <v>0</v>
      </c>
      <c r="AX132" s="5">
        <f>deaths!AX132-deaths!AW132</f>
        <v>0</v>
      </c>
      <c r="AY132" s="5">
        <f>deaths!AY132-deaths!AX132</f>
        <v>0</v>
      </c>
      <c r="AZ132" s="5">
        <f>deaths!AZ132-deaths!AY132</f>
        <v>0</v>
      </c>
      <c r="BA132" s="5">
        <f>deaths!BA132-deaths!AZ132</f>
        <v>0</v>
      </c>
      <c r="BB132" s="5">
        <f>deaths!BB132-deaths!BA132</f>
        <v>0</v>
      </c>
      <c r="BC132" s="5">
        <f>deaths!BC132-deaths!BB132</f>
        <v>0</v>
      </c>
      <c r="BD132" s="5">
        <f>deaths!BD132-deaths!BC132</f>
        <v>0</v>
      </c>
      <c r="BE132" s="5">
        <f>deaths!BE132-deaths!BD132</f>
        <v>0</v>
      </c>
      <c r="BF132" s="5">
        <f>deaths!BF132-deaths!BE132</f>
        <v>5</v>
      </c>
      <c r="BG132" s="5">
        <f>deaths!BG132-deaths!BF132</f>
        <v>-5</v>
      </c>
      <c r="BH132" s="5">
        <f>deaths!BH132-deaths!BG132</f>
        <v>1</v>
      </c>
      <c r="BI132" s="5">
        <f>deaths!BI132-deaths!BH132</f>
        <v>0</v>
      </c>
      <c r="BJ132" s="5">
        <f>deaths!BJ132-deaths!BI132</f>
        <v>0</v>
      </c>
      <c r="BK132" s="5">
        <f>deaths!BK132-deaths!BJ132</f>
        <v>-1</v>
      </c>
      <c r="BL132" s="5">
        <f>deaths!BL132-deaths!BK132</f>
        <v>1</v>
      </c>
      <c r="BM132" s="5">
        <f>deaths!BM132-deaths!BL132</f>
        <v>0</v>
      </c>
      <c r="BN132" s="5">
        <f>deaths!BN132-deaths!BM132</f>
        <v>0</v>
      </c>
      <c r="BO132" s="5">
        <f>deaths!BO132-deaths!BN132</f>
        <v>1</v>
      </c>
      <c r="BP132" s="5">
        <f>deaths!BP132-deaths!BO132</f>
        <v>0</v>
      </c>
      <c r="BQ132" s="5">
        <f>deaths!BQ132-deaths!BP132</f>
        <v>0</v>
      </c>
      <c r="BR132" s="5">
        <f>deaths!BR132-deaths!BQ132</f>
        <v>0</v>
      </c>
      <c r="BS132" s="5">
        <f>deaths!BS132-deaths!BR132</f>
        <v>0</v>
      </c>
      <c r="BT132" s="5">
        <f>deaths!BT132-deaths!BS132</f>
        <v>0</v>
      </c>
      <c r="BU132" s="5">
        <f>deaths!BU132-deaths!BT132</f>
        <v>0</v>
      </c>
      <c r="BV132" s="5">
        <f>deaths!BV132-deaths!BU132</f>
        <v>0</v>
      </c>
      <c r="BW132" s="5">
        <f>deaths!BW132-deaths!BV132</f>
        <v>0</v>
      </c>
      <c r="BX132" s="5">
        <f>deaths!BX132-deaths!BW132</f>
        <v>2</v>
      </c>
      <c r="BY132" s="5">
        <f>deaths!BY132-deaths!BX132</f>
        <v>0</v>
      </c>
      <c r="BZ132" s="1">
        <f>deaths!BZ132</f>
        <v>4</v>
      </c>
      <c r="CA132" s="1">
        <f>deaths!CA132</f>
        <v>4</v>
      </c>
      <c r="CB132" s="1">
        <f>deaths!CB132</f>
        <v>6</v>
      </c>
      <c r="CC132" s="1" t="str">
        <f>deaths!CC132</f>
        <v/>
      </c>
    </row>
    <row r="133">
      <c r="B133" s="1" t="str">
        <f>deaths!B133</f>
        <v>India</v>
      </c>
      <c r="C133" s="4">
        <f>deaths!C133</f>
        <v>21</v>
      </c>
      <c r="D133" s="4">
        <f>deaths!D133</f>
        <v>78</v>
      </c>
      <c r="E133" s="5">
        <f>deaths!E133</f>
        <v>0</v>
      </c>
      <c r="F133" s="5">
        <f>deaths!F133-deaths!E133</f>
        <v>0</v>
      </c>
      <c r="G133" s="5">
        <f>deaths!G133-deaths!F133</f>
        <v>0</v>
      </c>
      <c r="H133" s="5">
        <f>deaths!H133-deaths!G133</f>
        <v>0</v>
      </c>
      <c r="I133" s="5">
        <f>deaths!I133-deaths!H133</f>
        <v>0</v>
      </c>
      <c r="J133" s="5">
        <f>deaths!J133-deaths!I133</f>
        <v>0</v>
      </c>
      <c r="K133" s="5">
        <f>deaths!K133-deaths!J133</f>
        <v>0</v>
      </c>
      <c r="L133" s="5">
        <f>deaths!L133-deaths!K133</f>
        <v>0</v>
      </c>
      <c r="M133" s="5">
        <f>deaths!M133-deaths!L133</f>
        <v>0</v>
      </c>
      <c r="N133" s="5">
        <f>deaths!N133-deaths!M133</f>
        <v>0</v>
      </c>
      <c r="O133" s="5">
        <f>deaths!O133-deaths!N133</f>
        <v>0</v>
      </c>
      <c r="P133" s="5">
        <f>deaths!P133-deaths!O133</f>
        <v>0</v>
      </c>
      <c r="Q133" s="5">
        <f>deaths!Q133-deaths!P133</f>
        <v>0</v>
      </c>
      <c r="R133" s="5">
        <f>deaths!R133-deaths!Q133</f>
        <v>0</v>
      </c>
      <c r="S133" s="5">
        <f>deaths!S133-deaths!R133</f>
        <v>0</v>
      </c>
      <c r="T133" s="5">
        <f>deaths!T133-deaths!S133</f>
        <v>0</v>
      </c>
      <c r="U133" s="5">
        <f>deaths!U133-deaths!T133</f>
        <v>0</v>
      </c>
      <c r="V133" s="5">
        <f>deaths!V133-deaths!U133</f>
        <v>0</v>
      </c>
      <c r="W133" s="5">
        <f>deaths!W133-deaths!V133</f>
        <v>0</v>
      </c>
      <c r="X133" s="5">
        <f>deaths!X133-deaths!W133</f>
        <v>0</v>
      </c>
      <c r="Y133" s="5">
        <f>deaths!Y133-deaths!X133</f>
        <v>0</v>
      </c>
      <c r="Z133" s="5">
        <f>deaths!Z133-deaths!Y133</f>
        <v>0</v>
      </c>
      <c r="AA133" s="5">
        <f>deaths!AA133-deaths!Z133</f>
        <v>0</v>
      </c>
      <c r="AB133" s="5">
        <f>deaths!AB133-deaths!AA133</f>
        <v>0</v>
      </c>
      <c r="AC133" s="5">
        <f>deaths!AC133-deaths!AB133</f>
        <v>0</v>
      </c>
      <c r="AD133" s="5">
        <f>deaths!AD133-deaths!AC133</f>
        <v>0</v>
      </c>
      <c r="AE133" s="5">
        <f>deaths!AE133-deaths!AD133</f>
        <v>0</v>
      </c>
      <c r="AF133" s="5">
        <f>deaths!AF133-deaths!AE133</f>
        <v>0</v>
      </c>
      <c r="AG133" s="5">
        <f>deaths!AG133-deaths!AF133</f>
        <v>0</v>
      </c>
      <c r="AH133" s="5">
        <f>deaths!AH133-deaths!AG133</f>
        <v>0</v>
      </c>
      <c r="AI133" s="5">
        <f>deaths!AI133-deaths!AH133</f>
        <v>0</v>
      </c>
      <c r="AJ133" s="5">
        <f>deaths!AJ133-deaths!AI133</f>
        <v>0</v>
      </c>
      <c r="AK133" s="5">
        <f>deaths!AK133-deaths!AJ133</f>
        <v>0</v>
      </c>
      <c r="AL133" s="5">
        <f>deaths!AL133-deaths!AK133</f>
        <v>0</v>
      </c>
      <c r="AM133" s="5">
        <f>deaths!AM133-deaths!AL133</f>
        <v>0</v>
      </c>
      <c r="AN133" s="5">
        <f>deaths!AN133-deaths!AM133</f>
        <v>0</v>
      </c>
      <c r="AO133" s="5">
        <f>deaths!AO133-deaths!AN133</f>
        <v>0</v>
      </c>
      <c r="AP133" s="5">
        <f>deaths!AP133-deaths!AO133</f>
        <v>0</v>
      </c>
      <c r="AQ133" s="5">
        <f>deaths!AQ133-deaths!AP133</f>
        <v>0</v>
      </c>
      <c r="AR133" s="5">
        <f>deaths!AR133-deaths!AQ133</f>
        <v>0</v>
      </c>
      <c r="AS133" s="5">
        <f>deaths!AS133-deaths!AR133</f>
        <v>0</v>
      </c>
      <c r="AT133" s="5">
        <f>deaths!AT133-deaths!AS133</f>
        <v>0</v>
      </c>
      <c r="AU133" s="5">
        <f>deaths!AU133-deaths!AT133</f>
        <v>0</v>
      </c>
      <c r="AV133" s="5">
        <f>deaths!AV133-deaths!AU133</f>
        <v>0</v>
      </c>
      <c r="AW133" s="5">
        <f>deaths!AW133-deaths!AV133</f>
        <v>0</v>
      </c>
      <c r="AX133" s="5">
        <f>deaths!AX133-deaths!AW133</f>
        <v>0</v>
      </c>
      <c r="AY133" s="5">
        <f>deaths!AY133-deaths!AX133</f>
        <v>0</v>
      </c>
      <c r="AZ133" s="5">
        <f>deaths!AZ133-deaths!AY133</f>
        <v>0</v>
      </c>
      <c r="BA133" s="5">
        <f>deaths!BA133-deaths!AZ133</f>
        <v>0</v>
      </c>
      <c r="BB133" s="5">
        <f>deaths!BB133-deaths!BA133</f>
        <v>1</v>
      </c>
      <c r="BC133" s="5">
        <f>deaths!BC133-deaths!BB133</f>
        <v>0</v>
      </c>
      <c r="BD133" s="5">
        <f>deaths!BD133-deaths!BC133</f>
        <v>1</v>
      </c>
      <c r="BE133" s="5">
        <f>deaths!BE133-deaths!BD133</f>
        <v>0</v>
      </c>
      <c r="BF133" s="5">
        <f>deaths!BF133-deaths!BE133</f>
        <v>0</v>
      </c>
      <c r="BG133" s="5">
        <f>deaths!BG133-deaths!BF133</f>
        <v>0</v>
      </c>
      <c r="BH133" s="5">
        <f>deaths!BH133-deaths!BG133</f>
        <v>1</v>
      </c>
      <c r="BI133" s="5">
        <f>deaths!BI133-deaths!BH133</f>
        <v>0</v>
      </c>
      <c r="BJ133" s="5">
        <f>deaths!BJ133-deaths!BI133</f>
        <v>1</v>
      </c>
      <c r="BK133" s="5">
        <f>deaths!BK133-deaths!BJ133</f>
        <v>1</v>
      </c>
      <c r="BL133" s="5">
        <f>deaths!BL133-deaths!BK133</f>
        <v>-1</v>
      </c>
      <c r="BM133" s="5">
        <f>deaths!BM133-deaths!BL133</f>
        <v>3</v>
      </c>
      <c r="BN133" s="5">
        <f>deaths!BN133-deaths!BM133</f>
        <v>3</v>
      </c>
      <c r="BO133" s="5">
        <f>deaths!BO133-deaths!BN133</f>
        <v>0</v>
      </c>
      <c r="BP133" s="5">
        <f>deaths!BP133-deaths!BO133</f>
        <v>2</v>
      </c>
      <c r="BQ133" s="5">
        <f>deaths!BQ133-deaths!BP133</f>
        <v>8</v>
      </c>
      <c r="BR133" s="5">
        <f>deaths!BR133-deaths!BQ133</f>
        <v>0</v>
      </c>
      <c r="BS133" s="5">
        <f>deaths!BS133-deaths!BR133</f>
        <v>4</v>
      </c>
      <c r="BT133" s="5">
        <f>deaths!BT133-deaths!BS133</f>
        <v>3</v>
      </c>
      <c r="BU133" s="5">
        <f>deaths!BU133-deaths!BT133</f>
        <v>5</v>
      </c>
      <c r="BV133" s="5">
        <f>deaths!BV133-deaths!BU133</f>
        <v>3</v>
      </c>
      <c r="BW133" s="5">
        <f>deaths!BW133-deaths!BV133</f>
        <v>23</v>
      </c>
      <c r="BX133" s="5">
        <f>deaths!BX133-deaths!BW133</f>
        <v>14</v>
      </c>
      <c r="BY133" s="5">
        <f>deaths!BY133-deaths!BX133</f>
        <v>0</v>
      </c>
      <c r="BZ133" s="1">
        <f>deaths!BZ133</f>
        <v>86</v>
      </c>
      <c r="CA133" s="1">
        <f>deaths!CA133</f>
        <v>99</v>
      </c>
      <c r="CB133" s="1">
        <f>deaths!CB133</f>
        <v>136</v>
      </c>
      <c r="CC133" s="1" t="str">
        <f>deaths!CC133</f>
        <v/>
      </c>
    </row>
    <row r="134">
      <c r="B134" s="1" t="str">
        <f>deaths!B134</f>
        <v>Indonesia</v>
      </c>
      <c r="C134" s="4">
        <f>deaths!C134</f>
        <v>-0.7893</v>
      </c>
      <c r="D134" s="4">
        <f>deaths!D134</f>
        <v>113.9213</v>
      </c>
      <c r="E134" s="5">
        <f>deaths!E134</f>
        <v>0</v>
      </c>
      <c r="F134" s="5">
        <f>deaths!F134-deaths!E134</f>
        <v>0</v>
      </c>
      <c r="G134" s="5">
        <f>deaths!G134-deaths!F134</f>
        <v>0</v>
      </c>
      <c r="H134" s="5">
        <f>deaths!H134-deaths!G134</f>
        <v>0</v>
      </c>
      <c r="I134" s="5">
        <f>deaths!I134-deaths!H134</f>
        <v>0</v>
      </c>
      <c r="J134" s="5">
        <f>deaths!J134-deaths!I134</f>
        <v>0</v>
      </c>
      <c r="K134" s="5">
        <f>deaths!K134-deaths!J134</f>
        <v>0</v>
      </c>
      <c r="L134" s="5">
        <f>deaths!L134-deaths!K134</f>
        <v>0</v>
      </c>
      <c r="M134" s="5">
        <f>deaths!M134-deaths!L134</f>
        <v>0</v>
      </c>
      <c r="N134" s="5">
        <f>deaths!N134-deaths!M134</f>
        <v>0</v>
      </c>
      <c r="O134" s="5">
        <f>deaths!O134-deaths!N134</f>
        <v>0</v>
      </c>
      <c r="P134" s="5">
        <f>deaths!P134-deaths!O134</f>
        <v>0</v>
      </c>
      <c r="Q134" s="5">
        <f>deaths!Q134-deaths!P134</f>
        <v>0</v>
      </c>
      <c r="R134" s="5">
        <f>deaths!R134-deaths!Q134</f>
        <v>0</v>
      </c>
      <c r="S134" s="5">
        <f>deaths!S134-deaths!R134</f>
        <v>0</v>
      </c>
      <c r="T134" s="5">
        <f>deaths!T134-deaths!S134</f>
        <v>0</v>
      </c>
      <c r="U134" s="5">
        <f>deaths!U134-deaths!T134</f>
        <v>0</v>
      </c>
      <c r="V134" s="5">
        <f>deaths!V134-deaths!U134</f>
        <v>0</v>
      </c>
      <c r="W134" s="5">
        <f>deaths!W134-deaths!V134</f>
        <v>0</v>
      </c>
      <c r="X134" s="5">
        <f>deaths!X134-deaths!W134</f>
        <v>0</v>
      </c>
      <c r="Y134" s="5">
        <f>deaths!Y134-deaths!X134</f>
        <v>0</v>
      </c>
      <c r="Z134" s="5">
        <f>deaths!Z134-deaths!Y134</f>
        <v>0</v>
      </c>
      <c r="AA134" s="5">
        <f>deaths!AA134-deaths!Z134</f>
        <v>0</v>
      </c>
      <c r="AB134" s="5">
        <f>deaths!AB134-deaths!AA134</f>
        <v>0</v>
      </c>
      <c r="AC134" s="5">
        <f>deaths!AC134-deaths!AB134</f>
        <v>0</v>
      </c>
      <c r="AD134" s="5">
        <f>deaths!AD134-deaths!AC134</f>
        <v>0</v>
      </c>
      <c r="AE134" s="5">
        <f>deaths!AE134-deaths!AD134</f>
        <v>0</v>
      </c>
      <c r="AF134" s="5">
        <f>deaths!AF134-deaths!AE134</f>
        <v>0</v>
      </c>
      <c r="AG134" s="5">
        <f>deaths!AG134-deaths!AF134</f>
        <v>0</v>
      </c>
      <c r="AH134" s="5">
        <f>deaths!AH134-deaths!AG134</f>
        <v>0</v>
      </c>
      <c r="AI134" s="5">
        <f>deaths!AI134-deaths!AH134</f>
        <v>0</v>
      </c>
      <c r="AJ134" s="5">
        <f>deaths!AJ134-deaths!AI134</f>
        <v>0</v>
      </c>
      <c r="AK134" s="5">
        <f>deaths!AK134-deaths!AJ134</f>
        <v>0</v>
      </c>
      <c r="AL134" s="5">
        <f>deaths!AL134-deaths!AK134</f>
        <v>0</v>
      </c>
      <c r="AM134" s="5">
        <f>deaths!AM134-deaths!AL134</f>
        <v>0</v>
      </c>
      <c r="AN134" s="5">
        <f>deaths!AN134-deaths!AM134</f>
        <v>0</v>
      </c>
      <c r="AO134" s="5">
        <f>deaths!AO134-deaths!AN134</f>
        <v>0</v>
      </c>
      <c r="AP134" s="5">
        <f>deaths!AP134-deaths!AO134</f>
        <v>0</v>
      </c>
      <c r="AQ134" s="5">
        <f>deaths!AQ134-deaths!AP134</f>
        <v>0</v>
      </c>
      <c r="AR134" s="5">
        <f>deaths!AR134-deaths!AQ134</f>
        <v>0</v>
      </c>
      <c r="AS134" s="5">
        <f>deaths!AS134-deaths!AR134</f>
        <v>0</v>
      </c>
      <c r="AT134" s="5">
        <f>deaths!AT134-deaths!AS134</f>
        <v>0</v>
      </c>
      <c r="AU134" s="5">
        <f>deaths!AU134-deaths!AT134</f>
        <v>0</v>
      </c>
      <c r="AV134" s="5">
        <f>deaths!AV134-deaths!AU134</f>
        <v>0</v>
      </c>
      <c r="AW134" s="5">
        <f>deaths!AW134-deaths!AV134</f>
        <v>0</v>
      </c>
      <c r="AX134" s="5">
        <f>deaths!AX134-deaths!AW134</f>
        <v>0</v>
      </c>
      <c r="AY134" s="5">
        <f>deaths!AY134-deaths!AX134</f>
        <v>0</v>
      </c>
      <c r="AZ134" s="5">
        <f>deaths!AZ134-deaths!AY134</f>
        <v>0</v>
      </c>
      <c r="BA134" s="5">
        <f>deaths!BA134-deaths!AZ134</f>
        <v>0</v>
      </c>
      <c r="BB134" s="5">
        <f>deaths!BB134-deaths!BA134</f>
        <v>1</v>
      </c>
      <c r="BC134" s="5">
        <f>deaths!BC134-deaths!BB134</f>
        <v>0</v>
      </c>
      <c r="BD134" s="5">
        <f>deaths!BD134-deaths!BC134</f>
        <v>3</v>
      </c>
      <c r="BE134" s="5">
        <f>deaths!BE134-deaths!BD134</f>
        <v>1</v>
      </c>
      <c r="BF134" s="5">
        <f>deaths!BF134-deaths!BE134</f>
        <v>0</v>
      </c>
      <c r="BG134" s="5">
        <f>deaths!BG134-deaths!BF134</f>
        <v>0</v>
      </c>
      <c r="BH134" s="5">
        <f>deaths!BH134-deaths!BG134</f>
        <v>0</v>
      </c>
      <c r="BI134" s="5">
        <f>deaths!BI134-deaths!BH134</f>
        <v>14</v>
      </c>
      <c r="BJ134" s="5">
        <f>deaths!BJ134-deaths!BI134</f>
        <v>6</v>
      </c>
      <c r="BK134" s="5">
        <f>deaths!BK134-deaths!BJ134</f>
        <v>7</v>
      </c>
      <c r="BL134" s="5">
        <f>deaths!BL134-deaths!BK134</f>
        <v>6</v>
      </c>
      <c r="BM134" s="5">
        <f>deaths!BM134-deaths!BL134</f>
        <v>10</v>
      </c>
      <c r="BN134" s="5">
        <f>deaths!BN134-deaths!BM134</f>
        <v>1</v>
      </c>
      <c r="BO134" s="5">
        <f>deaths!BO134-deaths!BN134</f>
        <v>6</v>
      </c>
      <c r="BP134" s="5">
        <f>deaths!BP134-deaths!BO134</f>
        <v>3</v>
      </c>
      <c r="BQ134" s="5">
        <f>deaths!BQ134-deaths!BP134</f>
        <v>20</v>
      </c>
      <c r="BR134" s="5">
        <f>deaths!BR134-deaths!BQ134</f>
        <v>9</v>
      </c>
      <c r="BS134" s="5">
        <f>deaths!BS134-deaths!BR134</f>
        <v>15</v>
      </c>
      <c r="BT134" s="5">
        <f>deaths!BT134-deaths!BS134</f>
        <v>12</v>
      </c>
      <c r="BU134" s="5">
        <f>deaths!BU134-deaths!BT134</f>
        <v>8</v>
      </c>
      <c r="BV134" s="5">
        <f>deaths!BV134-deaths!BU134</f>
        <v>14</v>
      </c>
      <c r="BW134" s="5">
        <f>deaths!BW134-deaths!BV134</f>
        <v>21</v>
      </c>
      <c r="BX134" s="5">
        <f>deaths!BX134-deaths!BW134</f>
        <v>13</v>
      </c>
      <c r="BY134" s="5">
        <f>deaths!BY134-deaths!BX134</f>
        <v>11</v>
      </c>
      <c r="BZ134" s="1">
        <f>deaths!BZ134</f>
        <v>191</v>
      </c>
      <c r="CA134" s="1">
        <f>deaths!CA134</f>
        <v>198</v>
      </c>
      <c r="CB134" s="1">
        <f>deaths!CB134</f>
        <v>209</v>
      </c>
      <c r="CC134" s="1" t="str">
        <f>deaths!CC134</f>
        <v/>
      </c>
    </row>
    <row r="135">
      <c r="B135" s="1" t="str">
        <f>deaths!B135</f>
        <v>Iran</v>
      </c>
      <c r="C135" s="4">
        <f>deaths!C135</f>
        <v>32</v>
      </c>
      <c r="D135" s="4">
        <f>deaths!D135</f>
        <v>53</v>
      </c>
      <c r="E135" s="5">
        <f>deaths!E135</f>
        <v>0</v>
      </c>
      <c r="F135" s="5">
        <f>deaths!F135-deaths!E135</f>
        <v>0</v>
      </c>
      <c r="G135" s="5">
        <f>deaths!G135-deaths!F135</f>
        <v>0</v>
      </c>
      <c r="H135" s="5">
        <f>deaths!H135-deaths!G135</f>
        <v>0</v>
      </c>
      <c r="I135" s="5">
        <f>deaths!I135-deaths!H135</f>
        <v>0</v>
      </c>
      <c r="J135" s="5">
        <f>deaths!J135-deaths!I135</f>
        <v>0</v>
      </c>
      <c r="K135" s="5">
        <f>deaths!K135-deaths!J135</f>
        <v>0</v>
      </c>
      <c r="L135" s="5">
        <f>deaths!L135-deaths!K135</f>
        <v>0</v>
      </c>
      <c r="M135" s="5">
        <f>deaths!M135-deaths!L135</f>
        <v>0</v>
      </c>
      <c r="N135" s="5">
        <f>deaths!N135-deaths!M135</f>
        <v>0</v>
      </c>
      <c r="O135" s="5">
        <f>deaths!O135-deaths!N135</f>
        <v>0</v>
      </c>
      <c r="P135" s="5">
        <f>deaths!P135-deaths!O135</f>
        <v>0</v>
      </c>
      <c r="Q135" s="5">
        <f>deaths!Q135-deaths!P135</f>
        <v>0</v>
      </c>
      <c r="R135" s="5">
        <f>deaths!R135-deaths!Q135</f>
        <v>0</v>
      </c>
      <c r="S135" s="5">
        <f>deaths!S135-deaths!R135</f>
        <v>0</v>
      </c>
      <c r="T135" s="5">
        <f>deaths!T135-deaths!S135</f>
        <v>0</v>
      </c>
      <c r="U135" s="5">
        <f>deaths!U135-deaths!T135</f>
        <v>0</v>
      </c>
      <c r="V135" s="5">
        <f>deaths!V135-deaths!U135</f>
        <v>0</v>
      </c>
      <c r="W135" s="5">
        <f>deaths!W135-deaths!V135</f>
        <v>0</v>
      </c>
      <c r="X135" s="5">
        <f>deaths!X135-deaths!W135</f>
        <v>0</v>
      </c>
      <c r="Y135" s="5">
        <f>deaths!Y135-deaths!X135</f>
        <v>0</v>
      </c>
      <c r="Z135" s="5">
        <f>deaths!Z135-deaths!Y135</f>
        <v>0</v>
      </c>
      <c r="AA135" s="5">
        <f>deaths!AA135-deaths!Z135</f>
        <v>0</v>
      </c>
      <c r="AB135" s="5">
        <f>deaths!AB135-deaths!AA135</f>
        <v>0</v>
      </c>
      <c r="AC135" s="5">
        <f>deaths!AC135-deaths!AB135</f>
        <v>0</v>
      </c>
      <c r="AD135" s="5">
        <f>deaths!AD135-deaths!AC135</f>
        <v>0</v>
      </c>
      <c r="AE135" s="5">
        <f>deaths!AE135-deaths!AD135</f>
        <v>0</v>
      </c>
      <c r="AF135" s="5">
        <f>deaths!AF135-deaths!AE135</f>
        <v>0</v>
      </c>
      <c r="AG135" s="5">
        <f>deaths!AG135-deaths!AF135</f>
        <v>2</v>
      </c>
      <c r="AH135" s="5">
        <f>deaths!AH135-deaths!AG135</f>
        <v>0</v>
      </c>
      <c r="AI135" s="5">
        <f>deaths!AI135-deaths!AH135</f>
        <v>2</v>
      </c>
      <c r="AJ135" s="5">
        <f>deaths!AJ135-deaths!AI135</f>
        <v>1</v>
      </c>
      <c r="AK135" s="5">
        <f>deaths!AK135-deaths!AJ135</f>
        <v>3</v>
      </c>
      <c r="AL135" s="5">
        <f>deaths!AL135-deaths!AK135</f>
        <v>4</v>
      </c>
      <c r="AM135" s="5">
        <f>deaths!AM135-deaths!AL135</f>
        <v>4</v>
      </c>
      <c r="AN135" s="5">
        <f>deaths!AN135-deaths!AM135</f>
        <v>3</v>
      </c>
      <c r="AO135" s="5">
        <f>deaths!AO135-deaths!AN135</f>
        <v>7</v>
      </c>
      <c r="AP135" s="5">
        <f>deaths!AP135-deaths!AO135</f>
        <v>8</v>
      </c>
      <c r="AQ135" s="5">
        <f>deaths!AQ135-deaths!AP135</f>
        <v>9</v>
      </c>
      <c r="AR135" s="5">
        <f>deaths!AR135-deaths!AQ135</f>
        <v>11</v>
      </c>
      <c r="AS135" s="5">
        <f>deaths!AS135-deaths!AR135</f>
        <v>12</v>
      </c>
      <c r="AT135" s="5">
        <f>deaths!AT135-deaths!AS135</f>
        <v>11</v>
      </c>
      <c r="AU135" s="5">
        <f>deaths!AU135-deaths!AT135</f>
        <v>15</v>
      </c>
      <c r="AV135" s="5">
        <f>deaths!AV135-deaths!AU135</f>
        <v>15</v>
      </c>
      <c r="AW135" s="5">
        <f>deaths!AW135-deaths!AV135</f>
        <v>17</v>
      </c>
      <c r="AX135" s="5">
        <f>deaths!AX135-deaths!AW135</f>
        <v>21</v>
      </c>
      <c r="AY135" s="5">
        <f>deaths!AY135-deaths!AX135</f>
        <v>49</v>
      </c>
      <c r="AZ135" s="5">
        <f>deaths!AZ135-deaths!AY135</f>
        <v>43</v>
      </c>
      <c r="BA135" s="5">
        <f>deaths!BA135-deaths!AZ135</f>
        <v>54</v>
      </c>
      <c r="BB135" s="5">
        <f>deaths!BB135-deaths!BA135</f>
        <v>63</v>
      </c>
      <c r="BC135" s="5">
        <f>deaths!BC135-deaths!BB135</f>
        <v>75</v>
      </c>
      <c r="BD135" s="5">
        <f>deaths!BD135-deaths!BC135</f>
        <v>85</v>
      </c>
      <c r="BE135" s="5">
        <f>deaths!BE135-deaths!BD135</f>
        <v>97</v>
      </c>
      <c r="BF135" s="5">
        <f>deaths!BF135-deaths!BE135</f>
        <v>113</v>
      </c>
      <c r="BG135" s="5">
        <f>deaths!BG135-deaths!BF135</f>
        <v>129</v>
      </c>
      <c r="BH135" s="5">
        <f>deaths!BH135-deaths!BG135</f>
        <v>135</v>
      </c>
      <c r="BI135" s="5">
        <f>deaths!BI135-deaths!BH135</f>
        <v>147</v>
      </c>
      <c r="BJ135" s="5">
        <f>deaths!BJ135-deaths!BI135</f>
        <v>149</v>
      </c>
      <c r="BK135" s="5">
        <f>deaths!BK135-deaths!BJ135</f>
        <v>149</v>
      </c>
      <c r="BL135" s="5">
        <f>deaths!BL135-deaths!BK135</f>
        <v>123</v>
      </c>
      <c r="BM135" s="5">
        <f>deaths!BM135-deaths!BL135</f>
        <v>129</v>
      </c>
      <c r="BN135" s="5">
        <f>deaths!BN135-deaths!BM135</f>
        <v>127</v>
      </c>
      <c r="BO135" s="5">
        <f>deaths!BO135-deaths!BN135</f>
        <v>122</v>
      </c>
      <c r="BP135" s="5">
        <f>deaths!BP135-deaths!BO135</f>
        <v>143</v>
      </c>
      <c r="BQ135" s="5">
        <f>deaths!BQ135-deaths!BP135</f>
        <v>157</v>
      </c>
      <c r="BR135" s="5">
        <f>deaths!BR135-deaths!BQ135</f>
        <v>144</v>
      </c>
      <c r="BS135" s="5">
        <f>deaths!BS135-deaths!BR135</f>
        <v>139</v>
      </c>
      <c r="BT135" s="5">
        <f>deaths!BT135-deaths!BS135</f>
        <v>123</v>
      </c>
      <c r="BU135" s="5">
        <f>deaths!BU135-deaths!BT135</f>
        <v>117</v>
      </c>
      <c r="BV135" s="5">
        <f>deaths!BV135-deaths!BU135</f>
        <v>141</v>
      </c>
      <c r="BW135" s="5">
        <f>deaths!BW135-deaths!BV135</f>
        <v>138</v>
      </c>
      <c r="BX135" s="5">
        <f>deaths!BX135-deaths!BW135</f>
        <v>124</v>
      </c>
      <c r="BY135" s="5">
        <f>deaths!BY135-deaths!BX135</f>
        <v>134</v>
      </c>
      <c r="BZ135" s="1">
        <f>deaths!BZ135</f>
        <v>3452</v>
      </c>
      <c r="CA135" s="1">
        <f>deaths!CA135</f>
        <v>3603</v>
      </c>
      <c r="CB135" s="1">
        <f>deaths!CB135</f>
        <v>3739</v>
      </c>
      <c r="CC135" s="1" t="str">
        <f>deaths!CC135</f>
        <v/>
      </c>
    </row>
    <row r="136">
      <c r="B136" s="1" t="str">
        <f>deaths!B136</f>
        <v>Iraq</v>
      </c>
      <c r="C136" s="4">
        <f>deaths!C136</f>
        <v>33</v>
      </c>
      <c r="D136" s="4">
        <f>deaths!D136</f>
        <v>44</v>
      </c>
      <c r="E136" s="5">
        <f>deaths!E136</f>
        <v>0</v>
      </c>
      <c r="F136" s="5">
        <f>deaths!F136-deaths!E136</f>
        <v>0</v>
      </c>
      <c r="G136" s="5">
        <f>deaths!G136-deaths!F136</f>
        <v>0</v>
      </c>
      <c r="H136" s="5">
        <f>deaths!H136-deaths!G136</f>
        <v>0</v>
      </c>
      <c r="I136" s="5">
        <f>deaths!I136-deaths!H136</f>
        <v>0</v>
      </c>
      <c r="J136" s="5">
        <f>deaths!J136-deaths!I136</f>
        <v>0</v>
      </c>
      <c r="K136" s="5">
        <f>deaths!K136-deaths!J136</f>
        <v>0</v>
      </c>
      <c r="L136" s="5">
        <f>deaths!L136-deaths!K136</f>
        <v>0</v>
      </c>
      <c r="M136" s="5">
        <f>deaths!M136-deaths!L136</f>
        <v>0</v>
      </c>
      <c r="N136" s="5">
        <f>deaths!N136-deaths!M136</f>
        <v>0</v>
      </c>
      <c r="O136" s="5">
        <f>deaths!O136-deaths!N136</f>
        <v>0</v>
      </c>
      <c r="P136" s="5">
        <f>deaths!P136-deaths!O136</f>
        <v>0</v>
      </c>
      <c r="Q136" s="5">
        <f>deaths!Q136-deaths!P136</f>
        <v>0</v>
      </c>
      <c r="R136" s="5">
        <f>deaths!R136-deaths!Q136</f>
        <v>0</v>
      </c>
      <c r="S136" s="5">
        <f>deaths!S136-deaths!R136</f>
        <v>0</v>
      </c>
      <c r="T136" s="5">
        <f>deaths!T136-deaths!S136</f>
        <v>0</v>
      </c>
      <c r="U136" s="5">
        <f>deaths!U136-deaths!T136</f>
        <v>0</v>
      </c>
      <c r="V136" s="5">
        <f>deaths!V136-deaths!U136</f>
        <v>0</v>
      </c>
      <c r="W136" s="5">
        <f>deaths!W136-deaths!V136</f>
        <v>0</v>
      </c>
      <c r="X136" s="5">
        <f>deaths!X136-deaths!W136</f>
        <v>0</v>
      </c>
      <c r="Y136" s="5">
        <f>deaths!Y136-deaths!X136</f>
        <v>0</v>
      </c>
      <c r="Z136" s="5">
        <f>deaths!Z136-deaths!Y136</f>
        <v>0</v>
      </c>
      <c r="AA136" s="5">
        <f>deaths!AA136-deaths!Z136</f>
        <v>0</v>
      </c>
      <c r="AB136" s="5">
        <f>deaths!AB136-deaths!AA136</f>
        <v>0</v>
      </c>
      <c r="AC136" s="5">
        <f>deaths!AC136-deaths!AB136</f>
        <v>0</v>
      </c>
      <c r="AD136" s="5">
        <f>deaths!AD136-deaths!AC136</f>
        <v>0</v>
      </c>
      <c r="AE136" s="5">
        <f>deaths!AE136-deaths!AD136</f>
        <v>0</v>
      </c>
      <c r="AF136" s="5">
        <f>deaths!AF136-deaths!AE136</f>
        <v>0</v>
      </c>
      <c r="AG136" s="5">
        <f>deaths!AG136-deaths!AF136</f>
        <v>0</v>
      </c>
      <c r="AH136" s="5">
        <f>deaths!AH136-deaths!AG136</f>
        <v>0</v>
      </c>
      <c r="AI136" s="5">
        <f>deaths!AI136-deaths!AH136</f>
        <v>0</v>
      </c>
      <c r="AJ136" s="5">
        <f>deaths!AJ136-deaths!AI136</f>
        <v>0</v>
      </c>
      <c r="AK136" s="5">
        <f>deaths!AK136-deaths!AJ136</f>
        <v>0</v>
      </c>
      <c r="AL136" s="5">
        <f>deaths!AL136-deaths!AK136</f>
        <v>0</v>
      </c>
      <c r="AM136" s="5">
        <f>deaths!AM136-deaths!AL136</f>
        <v>0</v>
      </c>
      <c r="AN136" s="5">
        <f>deaths!AN136-deaths!AM136</f>
        <v>0</v>
      </c>
      <c r="AO136" s="5">
        <f>deaths!AO136-deaths!AN136</f>
        <v>0</v>
      </c>
      <c r="AP136" s="5">
        <f>deaths!AP136-deaths!AO136</f>
        <v>0</v>
      </c>
      <c r="AQ136" s="5">
        <f>deaths!AQ136-deaths!AP136</f>
        <v>0</v>
      </c>
      <c r="AR136" s="5">
        <f>deaths!AR136-deaths!AQ136</f>
        <v>0</v>
      </c>
      <c r="AS136" s="5">
        <f>deaths!AS136-deaths!AR136</f>
        <v>0</v>
      </c>
      <c r="AT136" s="5">
        <f>deaths!AT136-deaths!AS136</f>
        <v>0</v>
      </c>
      <c r="AU136" s="5">
        <f>deaths!AU136-deaths!AT136</f>
        <v>2</v>
      </c>
      <c r="AV136" s="5">
        <f>deaths!AV136-deaths!AU136</f>
        <v>0</v>
      </c>
      <c r="AW136" s="5">
        <f>deaths!AW136-deaths!AV136</f>
        <v>1</v>
      </c>
      <c r="AX136" s="5">
        <f>deaths!AX136-deaths!AW136</f>
        <v>1</v>
      </c>
      <c r="AY136" s="5">
        <f>deaths!AY136-deaths!AX136</f>
        <v>2</v>
      </c>
      <c r="AZ136" s="5">
        <f>deaths!AZ136-deaths!AY136</f>
        <v>0</v>
      </c>
      <c r="BA136" s="5">
        <f>deaths!BA136-deaths!AZ136</f>
        <v>1</v>
      </c>
      <c r="BB136" s="5">
        <f>deaths!BB136-deaths!BA136</f>
        <v>0</v>
      </c>
      <c r="BC136" s="5">
        <f>deaths!BC136-deaths!BB136</f>
        <v>1</v>
      </c>
      <c r="BD136" s="5">
        <f>deaths!BD136-deaths!BC136</f>
        <v>1</v>
      </c>
      <c r="BE136" s="5">
        <f>deaths!BE136-deaths!BD136</f>
        <v>1</v>
      </c>
      <c r="BF136" s="5">
        <f>deaths!BF136-deaths!BE136</f>
        <v>0</v>
      </c>
      <c r="BG136" s="5">
        <f>deaths!BG136-deaths!BF136</f>
        <v>0</v>
      </c>
      <c r="BH136" s="5">
        <f>deaths!BH136-deaths!BG136</f>
        <v>1</v>
      </c>
      <c r="BI136" s="5">
        <f>deaths!BI136-deaths!BH136</f>
        <v>1</v>
      </c>
      <c r="BJ136" s="5">
        <f>deaths!BJ136-deaths!BI136</f>
        <v>1</v>
      </c>
      <c r="BK136" s="5">
        <f>deaths!BK136-deaths!BJ136</f>
        <v>4</v>
      </c>
      <c r="BL136" s="5">
        <f>deaths!BL136-deaths!BK136</f>
        <v>0</v>
      </c>
      <c r="BM136" s="5">
        <f>deaths!BM136-deaths!BL136</f>
        <v>3</v>
      </c>
      <c r="BN136" s="5">
        <f>deaths!BN136-deaths!BM136</f>
        <v>3</v>
      </c>
      <c r="BO136" s="5">
        <f>deaths!BO136-deaths!BN136</f>
        <v>4</v>
      </c>
      <c r="BP136" s="5">
        <f>deaths!BP136-deaths!BO136</f>
        <v>2</v>
      </c>
      <c r="BQ136" s="5">
        <f>deaths!BQ136-deaths!BP136</f>
        <v>7</v>
      </c>
      <c r="BR136" s="5">
        <f>deaths!BR136-deaths!BQ136</f>
        <v>4</v>
      </c>
      <c r="BS136" s="5">
        <f>deaths!BS136-deaths!BR136</f>
        <v>2</v>
      </c>
      <c r="BT136" s="5">
        <f>deaths!BT136-deaths!BS136</f>
        <v>0</v>
      </c>
      <c r="BU136" s="5">
        <f>deaths!BU136-deaths!BT136</f>
        <v>4</v>
      </c>
      <c r="BV136" s="5">
        <f>deaths!BV136-deaths!BU136</f>
        <v>4</v>
      </c>
      <c r="BW136" s="5">
        <f>deaths!BW136-deaths!BV136</f>
        <v>2</v>
      </c>
      <c r="BX136" s="5">
        <f>deaths!BX136-deaths!BW136</f>
        <v>2</v>
      </c>
      <c r="BY136" s="5">
        <f>deaths!BY136-deaths!BX136</f>
        <v>0</v>
      </c>
      <c r="BZ136" s="1">
        <f>deaths!BZ136</f>
        <v>56</v>
      </c>
      <c r="CA136" s="1">
        <f>deaths!CA136</f>
        <v>61</v>
      </c>
      <c r="CB136" s="1">
        <f>deaths!CB136</f>
        <v>64</v>
      </c>
      <c r="CC136" s="1" t="str">
        <f>deaths!CC136</f>
        <v/>
      </c>
    </row>
    <row r="137">
      <c r="B137" s="1" t="str">
        <f>deaths!B137</f>
        <v>Ireland</v>
      </c>
      <c r="C137" s="4">
        <f>deaths!C137</f>
        <v>53.1424</v>
      </c>
      <c r="D137" s="4">
        <f>deaths!D137</f>
        <v>-7.6921</v>
      </c>
      <c r="E137" s="5">
        <f>deaths!E137</f>
        <v>0</v>
      </c>
      <c r="F137" s="5">
        <f>deaths!F137-deaths!E137</f>
        <v>0</v>
      </c>
      <c r="G137" s="5">
        <f>deaths!G137-deaths!F137</f>
        <v>0</v>
      </c>
      <c r="H137" s="5">
        <f>deaths!H137-deaths!G137</f>
        <v>0</v>
      </c>
      <c r="I137" s="5">
        <f>deaths!I137-deaths!H137</f>
        <v>0</v>
      </c>
      <c r="J137" s="5">
        <f>deaths!J137-deaths!I137</f>
        <v>0</v>
      </c>
      <c r="K137" s="5">
        <f>deaths!K137-deaths!J137</f>
        <v>0</v>
      </c>
      <c r="L137" s="5">
        <f>deaths!L137-deaths!K137</f>
        <v>0</v>
      </c>
      <c r="M137" s="5">
        <f>deaths!M137-deaths!L137</f>
        <v>0</v>
      </c>
      <c r="N137" s="5">
        <f>deaths!N137-deaths!M137</f>
        <v>0</v>
      </c>
      <c r="O137" s="5">
        <f>deaths!O137-deaths!N137</f>
        <v>0</v>
      </c>
      <c r="P137" s="5">
        <f>deaths!P137-deaths!O137</f>
        <v>0</v>
      </c>
      <c r="Q137" s="5">
        <f>deaths!Q137-deaths!P137</f>
        <v>0</v>
      </c>
      <c r="R137" s="5">
        <f>deaths!R137-deaths!Q137</f>
        <v>0</v>
      </c>
      <c r="S137" s="5">
        <f>deaths!S137-deaths!R137</f>
        <v>0</v>
      </c>
      <c r="T137" s="5">
        <f>deaths!T137-deaths!S137</f>
        <v>0</v>
      </c>
      <c r="U137" s="5">
        <f>deaths!U137-deaths!T137</f>
        <v>0</v>
      </c>
      <c r="V137" s="5">
        <f>deaths!V137-deaths!U137</f>
        <v>0</v>
      </c>
      <c r="W137" s="5">
        <f>deaths!W137-deaths!V137</f>
        <v>0</v>
      </c>
      <c r="X137" s="5">
        <f>deaths!X137-deaths!W137</f>
        <v>0</v>
      </c>
      <c r="Y137" s="5">
        <f>deaths!Y137-deaths!X137</f>
        <v>0</v>
      </c>
      <c r="Z137" s="5">
        <f>deaths!Z137-deaths!Y137</f>
        <v>0</v>
      </c>
      <c r="AA137" s="5">
        <f>deaths!AA137-deaths!Z137</f>
        <v>0</v>
      </c>
      <c r="AB137" s="5">
        <f>deaths!AB137-deaths!AA137</f>
        <v>0</v>
      </c>
      <c r="AC137" s="5">
        <f>deaths!AC137-deaths!AB137</f>
        <v>0</v>
      </c>
      <c r="AD137" s="5">
        <f>deaths!AD137-deaths!AC137</f>
        <v>0</v>
      </c>
      <c r="AE137" s="5">
        <f>deaths!AE137-deaths!AD137</f>
        <v>0</v>
      </c>
      <c r="AF137" s="5">
        <f>deaths!AF137-deaths!AE137</f>
        <v>0</v>
      </c>
      <c r="AG137" s="5">
        <f>deaths!AG137-deaths!AF137</f>
        <v>0</v>
      </c>
      <c r="AH137" s="5">
        <f>deaths!AH137-deaths!AG137</f>
        <v>0</v>
      </c>
      <c r="AI137" s="5">
        <f>deaths!AI137-deaths!AH137</f>
        <v>0</v>
      </c>
      <c r="AJ137" s="5">
        <f>deaths!AJ137-deaths!AI137</f>
        <v>0</v>
      </c>
      <c r="AK137" s="5">
        <f>deaths!AK137-deaths!AJ137</f>
        <v>0</v>
      </c>
      <c r="AL137" s="5">
        <f>deaths!AL137-deaths!AK137</f>
        <v>0</v>
      </c>
      <c r="AM137" s="5">
        <f>deaths!AM137-deaths!AL137</f>
        <v>0</v>
      </c>
      <c r="AN137" s="5">
        <f>deaths!AN137-deaths!AM137</f>
        <v>0</v>
      </c>
      <c r="AO137" s="5">
        <f>deaths!AO137-deaths!AN137</f>
        <v>0</v>
      </c>
      <c r="AP137" s="5">
        <f>deaths!AP137-deaths!AO137</f>
        <v>0</v>
      </c>
      <c r="AQ137" s="5">
        <f>deaths!AQ137-deaths!AP137</f>
        <v>0</v>
      </c>
      <c r="AR137" s="5">
        <f>deaths!AR137-deaths!AQ137</f>
        <v>0</v>
      </c>
      <c r="AS137" s="5">
        <f>deaths!AS137-deaths!AR137</f>
        <v>0</v>
      </c>
      <c r="AT137" s="5">
        <f>deaths!AT137-deaths!AS137</f>
        <v>0</v>
      </c>
      <c r="AU137" s="5">
        <f>deaths!AU137-deaths!AT137</f>
        <v>0</v>
      </c>
      <c r="AV137" s="5">
        <f>deaths!AV137-deaths!AU137</f>
        <v>0</v>
      </c>
      <c r="AW137" s="5">
        <f>deaths!AW137-deaths!AV137</f>
        <v>0</v>
      </c>
      <c r="AX137" s="5">
        <f>deaths!AX137-deaths!AW137</f>
        <v>0</v>
      </c>
      <c r="AY137" s="5">
        <f>deaths!AY137-deaths!AX137</f>
        <v>0</v>
      </c>
      <c r="AZ137" s="5">
        <f>deaths!AZ137-deaths!AY137</f>
        <v>0</v>
      </c>
      <c r="BA137" s="5">
        <f>deaths!BA137-deaths!AZ137</f>
        <v>0</v>
      </c>
      <c r="BB137" s="5">
        <f>deaths!BB137-deaths!BA137</f>
        <v>1</v>
      </c>
      <c r="BC137" s="5">
        <f>deaths!BC137-deaths!BB137</f>
        <v>0</v>
      </c>
      <c r="BD137" s="5">
        <f>deaths!BD137-deaths!BC137</f>
        <v>0</v>
      </c>
      <c r="BE137" s="5">
        <f>deaths!BE137-deaths!BD137</f>
        <v>1</v>
      </c>
      <c r="BF137" s="5">
        <f>deaths!BF137-deaths!BE137</f>
        <v>0</v>
      </c>
      <c r="BG137" s="5">
        <f>deaths!BG137-deaths!BF137</f>
        <v>0</v>
      </c>
      <c r="BH137" s="5">
        <f>deaths!BH137-deaths!BG137</f>
        <v>0</v>
      </c>
      <c r="BI137" s="5">
        <f>deaths!BI137-deaths!BH137</f>
        <v>0</v>
      </c>
      <c r="BJ137" s="5">
        <f>deaths!BJ137-deaths!BI137</f>
        <v>1</v>
      </c>
      <c r="BK137" s="5">
        <f>deaths!BK137-deaths!BJ137</f>
        <v>0</v>
      </c>
      <c r="BL137" s="5">
        <f>deaths!BL137-deaths!BK137</f>
        <v>0</v>
      </c>
      <c r="BM137" s="5">
        <f>deaths!BM137-deaths!BL137</f>
        <v>1</v>
      </c>
      <c r="BN137" s="5">
        <f>deaths!BN137-deaths!BM137</f>
        <v>2</v>
      </c>
      <c r="BO137" s="5">
        <f>deaths!BO137-deaths!BN137</f>
        <v>1</v>
      </c>
      <c r="BP137" s="5">
        <f>deaths!BP137-deaths!BO137</f>
        <v>2</v>
      </c>
      <c r="BQ137" s="5">
        <f>deaths!BQ137-deaths!BP137</f>
        <v>10</v>
      </c>
      <c r="BR137" s="5">
        <f>deaths!BR137-deaths!BQ137</f>
        <v>3</v>
      </c>
      <c r="BS137" s="5">
        <f>deaths!BS137-deaths!BR137</f>
        <v>14</v>
      </c>
      <c r="BT137" s="5">
        <f>deaths!BT137-deaths!BS137</f>
        <v>10</v>
      </c>
      <c r="BU137" s="5">
        <f>deaths!BU137-deaths!BT137</f>
        <v>8</v>
      </c>
      <c r="BV137" s="5">
        <f>deaths!BV137-deaths!BU137</f>
        <v>17</v>
      </c>
      <c r="BW137" s="5">
        <f>deaths!BW137-deaths!BV137</f>
        <v>14</v>
      </c>
      <c r="BX137" s="5">
        <f>deaths!BX137-deaths!BW137</f>
        <v>13</v>
      </c>
      <c r="BY137" s="5">
        <f>deaths!BY137-deaths!BX137</f>
        <v>22</v>
      </c>
      <c r="BZ137" s="1">
        <f>deaths!BZ137</f>
        <v>137</v>
      </c>
      <c r="CA137" s="1">
        <f>deaths!CA137</f>
        <v>158</v>
      </c>
      <c r="CB137" s="1">
        <f>deaths!CB137</f>
        <v>174</v>
      </c>
      <c r="CC137" s="1" t="str">
        <f>deaths!CC137</f>
        <v/>
      </c>
    </row>
    <row r="138">
      <c r="B138" s="1" t="str">
        <f>deaths!B138</f>
        <v>Israel</v>
      </c>
      <c r="C138" s="4">
        <f>deaths!C138</f>
        <v>31</v>
      </c>
      <c r="D138" s="4">
        <f>deaths!D138</f>
        <v>35</v>
      </c>
      <c r="E138" s="5">
        <f>deaths!E138</f>
        <v>0</v>
      </c>
      <c r="F138" s="5">
        <f>deaths!F138-deaths!E138</f>
        <v>0</v>
      </c>
      <c r="G138" s="5">
        <f>deaths!G138-deaths!F138</f>
        <v>0</v>
      </c>
      <c r="H138" s="5">
        <f>deaths!H138-deaths!G138</f>
        <v>0</v>
      </c>
      <c r="I138" s="5">
        <f>deaths!I138-deaths!H138</f>
        <v>0</v>
      </c>
      <c r="J138" s="5">
        <f>deaths!J138-deaths!I138</f>
        <v>0</v>
      </c>
      <c r="K138" s="5">
        <f>deaths!K138-deaths!J138</f>
        <v>0</v>
      </c>
      <c r="L138" s="5">
        <f>deaths!L138-deaths!K138</f>
        <v>0</v>
      </c>
      <c r="M138" s="5">
        <f>deaths!M138-deaths!L138</f>
        <v>0</v>
      </c>
      <c r="N138" s="5">
        <f>deaths!N138-deaths!M138</f>
        <v>0</v>
      </c>
      <c r="O138" s="5">
        <f>deaths!O138-deaths!N138</f>
        <v>0</v>
      </c>
      <c r="P138" s="5">
        <f>deaths!P138-deaths!O138</f>
        <v>0</v>
      </c>
      <c r="Q138" s="5">
        <f>deaths!Q138-deaths!P138</f>
        <v>0</v>
      </c>
      <c r="R138" s="5">
        <f>deaths!R138-deaths!Q138</f>
        <v>0</v>
      </c>
      <c r="S138" s="5">
        <f>deaths!S138-deaths!R138</f>
        <v>0</v>
      </c>
      <c r="T138" s="5">
        <f>deaths!T138-deaths!S138</f>
        <v>0</v>
      </c>
      <c r="U138" s="5">
        <f>deaths!U138-deaths!T138</f>
        <v>0</v>
      </c>
      <c r="V138" s="5">
        <f>deaths!V138-deaths!U138</f>
        <v>0</v>
      </c>
      <c r="W138" s="5">
        <f>deaths!W138-deaths!V138</f>
        <v>0</v>
      </c>
      <c r="X138" s="5">
        <f>deaths!X138-deaths!W138</f>
        <v>0</v>
      </c>
      <c r="Y138" s="5">
        <f>deaths!Y138-deaths!X138</f>
        <v>0</v>
      </c>
      <c r="Z138" s="5">
        <f>deaths!Z138-deaths!Y138</f>
        <v>0</v>
      </c>
      <c r="AA138" s="5">
        <f>deaths!AA138-deaths!Z138</f>
        <v>0</v>
      </c>
      <c r="AB138" s="5">
        <f>deaths!AB138-deaths!AA138</f>
        <v>0</v>
      </c>
      <c r="AC138" s="5">
        <f>deaths!AC138-deaths!AB138</f>
        <v>0</v>
      </c>
      <c r="AD138" s="5">
        <f>deaths!AD138-deaths!AC138</f>
        <v>0</v>
      </c>
      <c r="AE138" s="5">
        <f>deaths!AE138-deaths!AD138</f>
        <v>0</v>
      </c>
      <c r="AF138" s="5">
        <f>deaths!AF138-deaths!AE138</f>
        <v>0</v>
      </c>
      <c r="AG138" s="5">
        <f>deaths!AG138-deaths!AF138</f>
        <v>0</v>
      </c>
      <c r="AH138" s="5">
        <f>deaths!AH138-deaths!AG138</f>
        <v>0</v>
      </c>
      <c r="AI138" s="5">
        <f>deaths!AI138-deaths!AH138</f>
        <v>0</v>
      </c>
      <c r="AJ138" s="5">
        <f>deaths!AJ138-deaths!AI138</f>
        <v>0</v>
      </c>
      <c r="AK138" s="5">
        <f>deaths!AK138-deaths!AJ138</f>
        <v>0</v>
      </c>
      <c r="AL138" s="5">
        <f>deaths!AL138-deaths!AK138</f>
        <v>0</v>
      </c>
      <c r="AM138" s="5">
        <f>deaths!AM138-deaths!AL138</f>
        <v>0</v>
      </c>
      <c r="AN138" s="5">
        <f>deaths!AN138-deaths!AM138</f>
        <v>0</v>
      </c>
      <c r="AO138" s="5">
        <f>deaths!AO138-deaths!AN138</f>
        <v>0</v>
      </c>
      <c r="AP138" s="5">
        <f>deaths!AP138-deaths!AO138</f>
        <v>0</v>
      </c>
      <c r="AQ138" s="5">
        <f>deaths!AQ138-deaths!AP138</f>
        <v>0</v>
      </c>
      <c r="AR138" s="5">
        <f>deaths!AR138-deaths!AQ138</f>
        <v>0</v>
      </c>
      <c r="AS138" s="5">
        <f>deaths!AS138-deaths!AR138</f>
        <v>0</v>
      </c>
      <c r="AT138" s="5">
        <f>deaths!AT138-deaths!AS138</f>
        <v>0</v>
      </c>
      <c r="AU138" s="5">
        <f>deaths!AU138-deaths!AT138</f>
        <v>0</v>
      </c>
      <c r="AV138" s="5">
        <f>deaths!AV138-deaths!AU138</f>
        <v>0</v>
      </c>
      <c r="AW138" s="5">
        <f>deaths!AW138-deaths!AV138</f>
        <v>0</v>
      </c>
      <c r="AX138" s="5">
        <f>deaths!AX138-deaths!AW138</f>
        <v>0</v>
      </c>
      <c r="AY138" s="5">
        <f>deaths!AY138-deaths!AX138</f>
        <v>0</v>
      </c>
      <c r="AZ138" s="5">
        <f>deaths!AZ138-deaths!AY138</f>
        <v>0</v>
      </c>
      <c r="BA138" s="5">
        <f>deaths!BA138-deaths!AZ138</f>
        <v>0</v>
      </c>
      <c r="BB138" s="5">
        <f>deaths!BB138-deaths!BA138</f>
        <v>0</v>
      </c>
      <c r="BC138" s="5">
        <f>deaths!BC138-deaths!BB138</f>
        <v>0</v>
      </c>
      <c r="BD138" s="5">
        <f>deaths!BD138-deaths!BC138</f>
        <v>0</v>
      </c>
      <c r="BE138" s="5">
        <f>deaths!BE138-deaths!BD138</f>
        <v>0</v>
      </c>
      <c r="BF138" s="5">
        <f>deaths!BF138-deaths!BE138</f>
        <v>0</v>
      </c>
      <c r="BG138" s="5">
        <f>deaths!BG138-deaths!BF138</f>
        <v>0</v>
      </c>
      <c r="BH138" s="5">
        <f>deaths!BH138-deaths!BG138</f>
        <v>0</v>
      </c>
      <c r="BI138" s="5">
        <f>deaths!BI138-deaths!BH138</f>
        <v>0</v>
      </c>
      <c r="BJ138" s="5">
        <f>deaths!BJ138-deaths!BI138</f>
        <v>0</v>
      </c>
      <c r="BK138" s="5">
        <f>deaths!BK138-deaths!BJ138</f>
        <v>0</v>
      </c>
      <c r="BL138" s="5">
        <f>deaths!BL138-deaths!BK138</f>
        <v>1</v>
      </c>
      <c r="BM138" s="5">
        <f>deaths!BM138-deaths!BL138</f>
        <v>0</v>
      </c>
      <c r="BN138" s="5">
        <f>deaths!BN138-deaths!BM138</f>
        <v>0</v>
      </c>
      <c r="BO138" s="5">
        <f>deaths!BO138-deaths!BN138</f>
        <v>2</v>
      </c>
      <c r="BP138" s="5">
        <f>deaths!BP138-deaths!BO138</f>
        <v>2</v>
      </c>
      <c r="BQ138" s="5">
        <f>deaths!BQ138-deaths!BP138</f>
        <v>3</v>
      </c>
      <c r="BR138" s="5">
        <f>deaths!BR138-deaths!BQ138</f>
        <v>4</v>
      </c>
      <c r="BS138" s="5">
        <f>deaths!BS138-deaths!BR138</f>
        <v>0</v>
      </c>
      <c r="BT138" s="5">
        <f>deaths!BT138-deaths!BS138</f>
        <v>3</v>
      </c>
      <c r="BU138" s="5">
        <f>deaths!BU138-deaths!BT138</f>
        <v>1</v>
      </c>
      <c r="BV138" s="5">
        <f>deaths!BV138-deaths!BU138</f>
        <v>4</v>
      </c>
      <c r="BW138" s="5">
        <f>deaths!BW138-deaths!BV138</f>
        <v>6</v>
      </c>
      <c r="BX138" s="5">
        <f>deaths!BX138-deaths!BW138</f>
        <v>10</v>
      </c>
      <c r="BY138" s="5">
        <f>deaths!BY138-deaths!BX138</f>
        <v>4</v>
      </c>
      <c r="BZ138" s="1">
        <f>deaths!BZ138</f>
        <v>44</v>
      </c>
      <c r="CA138" s="1">
        <f>deaths!CA138</f>
        <v>49</v>
      </c>
      <c r="CB138" s="1">
        <f>deaths!CB138</f>
        <v>57</v>
      </c>
      <c r="CC138" s="1" t="str">
        <f>deaths!CC138</f>
        <v/>
      </c>
    </row>
    <row r="139">
      <c r="B139" s="1" t="str">
        <f>deaths!B139</f>
        <v>Italy</v>
      </c>
      <c r="C139" s="4">
        <f>deaths!C139</f>
        <v>43</v>
      </c>
      <c r="D139" s="4">
        <f>deaths!D139</f>
        <v>12</v>
      </c>
      <c r="E139" s="5">
        <f>deaths!E139</f>
        <v>0</v>
      </c>
      <c r="F139" s="5">
        <f>deaths!F139-deaths!E139</f>
        <v>0</v>
      </c>
      <c r="G139" s="5">
        <f>deaths!G139-deaths!F139</f>
        <v>0</v>
      </c>
      <c r="H139" s="5">
        <f>deaths!H139-deaths!G139</f>
        <v>0</v>
      </c>
      <c r="I139" s="5">
        <f>deaths!I139-deaths!H139</f>
        <v>0</v>
      </c>
      <c r="J139" s="5">
        <f>deaths!J139-deaths!I139</f>
        <v>0</v>
      </c>
      <c r="K139" s="5">
        <f>deaths!K139-deaths!J139</f>
        <v>0</v>
      </c>
      <c r="L139" s="5">
        <f>deaths!L139-deaths!K139</f>
        <v>0</v>
      </c>
      <c r="M139" s="5">
        <f>deaths!M139-deaths!L139</f>
        <v>0</v>
      </c>
      <c r="N139" s="5">
        <f>deaths!N139-deaths!M139</f>
        <v>0</v>
      </c>
      <c r="O139" s="5">
        <f>deaths!O139-deaths!N139</f>
        <v>0</v>
      </c>
      <c r="P139" s="5">
        <f>deaths!P139-deaths!O139</f>
        <v>0</v>
      </c>
      <c r="Q139" s="5">
        <f>deaths!Q139-deaths!P139</f>
        <v>0</v>
      </c>
      <c r="R139" s="5">
        <f>deaths!R139-deaths!Q139</f>
        <v>0</v>
      </c>
      <c r="S139" s="5">
        <f>deaths!S139-deaths!R139</f>
        <v>0</v>
      </c>
      <c r="T139" s="5">
        <f>deaths!T139-deaths!S139</f>
        <v>0</v>
      </c>
      <c r="U139" s="5">
        <f>deaths!U139-deaths!T139</f>
        <v>0</v>
      </c>
      <c r="V139" s="5">
        <f>deaths!V139-deaths!U139</f>
        <v>0</v>
      </c>
      <c r="W139" s="5">
        <f>deaths!W139-deaths!V139</f>
        <v>0</v>
      </c>
      <c r="X139" s="5">
        <f>deaths!X139-deaths!W139</f>
        <v>0</v>
      </c>
      <c r="Y139" s="5">
        <f>deaths!Y139-deaths!X139</f>
        <v>0</v>
      </c>
      <c r="Z139" s="5">
        <f>deaths!Z139-deaths!Y139</f>
        <v>0</v>
      </c>
      <c r="AA139" s="5">
        <f>deaths!AA139-deaths!Z139</f>
        <v>0</v>
      </c>
      <c r="AB139" s="5">
        <f>deaths!AB139-deaths!AA139</f>
        <v>0</v>
      </c>
      <c r="AC139" s="5">
        <f>deaths!AC139-deaths!AB139</f>
        <v>0</v>
      </c>
      <c r="AD139" s="5">
        <f>deaths!AD139-deaths!AC139</f>
        <v>0</v>
      </c>
      <c r="AE139" s="5">
        <f>deaths!AE139-deaths!AD139</f>
        <v>0</v>
      </c>
      <c r="AF139" s="5">
        <f>deaths!AF139-deaths!AE139</f>
        <v>0</v>
      </c>
      <c r="AG139" s="5">
        <f>deaths!AG139-deaths!AF139</f>
        <v>0</v>
      </c>
      <c r="AH139" s="5">
        <f>deaths!AH139-deaths!AG139</f>
        <v>0</v>
      </c>
      <c r="AI139" s="5">
        <f>deaths!AI139-deaths!AH139</f>
        <v>1</v>
      </c>
      <c r="AJ139" s="5">
        <f>deaths!AJ139-deaths!AI139</f>
        <v>1</v>
      </c>
      <c r="AK139" s="5">
        <f>deaths!AK139-deaths!AJ139</f>
        <v>1</v>
      </c>
      <c r="AL139" s="5">
        <f>deaths!AL139-deaths!AK139</f>
        <v>4</v>
      </c>
      <c r="AM139" s="5">
        <f>deaths!AM139-deaths!AL139</f>
        <v>3</v>
      </c>
      <c r="AN139" s="5">
        <f>deaths!AN139-deaths!AM139</f>
        <v>2</v>
      </c>
      <c r="AO139" s="5">
        <f>deaths!AO139-deaths!AN139</f>
        <v>5</v>
      </c>
      <c r="AP139" s="5">
        <f>deaths!AP139-deaths!AO139</f>
        <v>4</v>
      </c>
      <c r="AQ139" s="5">
        <f>deaths!AQ139-deaths!AP139</f>
        <v>8</v>
      </c>
      <c r="AR139" s="5">
        <f>deaths!AR139-deaths!AQ139</f>
        <v>5</v>
      </c>
      <c r="AS139" s="5">
        <f>deaths!AS139-deaths!AR139</f>
        <v>18</v>
      </c>
      <c r="AT139" s="5">
        <f>deaths!AT139-deaths!AS139</f>
        <v>27</v>
      </c>
      <c r="AU139" s="5">
        <f>deaths!AU139-deaths!AT139</f>
        <v>28</v>
      </c>
      <c r="AV139" s="5">
        <f>deaths!AV139-deaths!AU139</f>
        <v>41</v>
      </c>
      <c r="AW139" s="5">
        <f>deaths!AW139-deaths!AV139</f>
        <v>49</v>
      </c>
      <c r="AX139" s="5">
        <f>deaths!AX139-deaths!AW139</f>
        <v>36</v>
      </c>
      <c r="AY139" s="5">
        <f>deaths!AY139-deaths!AX139</f>
        <v>133</v>
      </c>
      <c r="AZ139" s="5">
        <f>deaths!AZ139-deaths!AY139</f>
        <v>97</v>
      </c>
      <c r="BA139" s="5">
        <f>deaths!BA139-deaths!AZ139</f>
        <v>168</v>
      </c>
      <c r="BB139" s="5">
        <f>deaths!BB139-deaths!BA139</f>
        <v>196</v>
      </c>
      <c r="BC139" s="5">
        <f>deaths!BC139-deaths!BB139</f>
        <v>0</v>
      </c>
      <c r="BD139" s="5">
        <f>deaths!BD139-deaths!BC139</f>
        <v>439</v>
      </c>
      <c r="BE139" s="5">
        <f>deaths!BE139-deaths!BD139</f>
        <v>175</v>
      </c>
      <c r="BF139" s="5">
        <f>deaths!BF139-deaths!BE139</f>
        <v>368</v>
      </c>
      <c r="BG139" s="5">
        <f>deaths!BG139-deaths!BF139</f>
        <v>349</v>
      </c>
      <c r="BH139" s="5">
        <f>deaths!BH139-deaths!BG139</f>
        <v>345</v>
      </c>
      <c r="BI139" s="5">
        <f>deaths!BI139-deaths!BH139</f>
        <v>475</v>
      </c>
      <c r="BJ139" s="5">
        <f>deaths!BJ139-deaths!BI139</f>
        <v>427</v>
      </c>
      <c r="BK139" s="5">
        <f>deaths!BK139-deaths!BJ139</f>
        <v>627</v>
      </c>
      <c r="BL139" s="5">
        <f>deaths!BL139-deaths!BK139</f>
        <v>793</v>
      </c>
      <c r="BM139" s="5">
        <f>deaths!BM139-deaths!BL139</f>
        <v>651</v>
      </c>
      <c r="BN139" s="5">
        <f>deaths!BN139-deaths!BM139</f>
        <v>601</v>
      </c>
      <c r="BO139" s="5">
        <f>deaths!BO139-deaths!BN139</f>
        <v>743</v>
      </c>
      <c r="BP139" s="5">
        <f>deaths!BP139-deaths!BO139</f>
        <v>683</v>
      </c>
      <c r="BQ139" s="5">
        <f>deaths!BQ139-deaths!BP139</f>
        <v>712</v>
      </c>
      <c r="BR139" s="5">
        <f>deaths!BR139-deaths!BQ139</f>
        <v>919</v>
      </c>
      <c r="BS139" s="5">
        <f>deaths!BS139-deaths!BR139</f>
        <v>889</v>
      </c>
      <c r="BT139" s="5">
        <f>deaths!BT139-deaths!BS139</f>
        <v>756</v>
      </c>
      <c r="BU139" s="5">
        <f>deaths!BU139-deaths!BT139</f>
        <v>812</v>
      </c>
      <c r="BV139" s="5">
        <f>deaths!BV139-deaths!BU139</f>
        <v>837</v>
      </c>
      <c r="BW139" s="5">
        <f>deaths!BW139-deaths!BV139</f>
        <v>727</v>
      </c>
      <c r="BX139" s="5">
        <f>deaths!BX139-deaths!BW139</f>
        <v>760</v>
      </c>
      <c r="BY139" s="5">
        <f>deaths!BY139-deaths!BX139</f>
        <v>766</v>
      </c>
      <c r="BZ139" s="1">
        <f>deaths!BZ139</f>
        <v>15362</v>
      </c>
      <c r="CA139" s="1">
        <f>deaths!CA139</f>
        <v>15887</v>
      </c>
      <c r="CB139" s="1">
        <f>deaths!CB139</f>
        <v>16523</v>
      </c>
      <c r="CC139" s="1" t="str">
        <f>deaths!CC139</f>
        <v/>
      </c>
    </row>
    <row r="140">
      <c r="B140" s="1" t="str">
        <f>deaths!B140</f>
        <v>Jamaica</v>
      </c>
      <c r="C140" s="4">
        <f>deaths!C140</f>
        <v>18.1096</v>
      </c>
      <c r="D140" s="4">
        <f>deaths!D140</f>
        <v>-77.2975</v>
      </c>
      <c r="E140" s="5">
        <f>deaths!E140</f>
        <v>0</v>
      </c>
      <c r="F140" s="5">
        <f>deaths!F140-deaths!E140</f>
        <v>0</v>
      </c>
      <c r="G140" s="5">
        <f>deaths!G140-deaths!F140</f>
        <v>0</v>
      </c>
      <c r="H140" s="5">
        <f>deaths!H140-deaths!G140</f>
        <v>0</v>
      </c>
      <c r="I140" s="5">
        <f>deaths!I140-deaths!H140</f>
        <v>0</v>
      </c>
      <c r="J140" s="5">
        <f>deaths!J140-deaths!I140</f>
        <v>0</v>
      </c>
      <c r="K140" s="5">
        <f>deaths!K140-deaths!J140</f>
        <v>0</v>
      </c>
      <c r="L140" s="5">
        <f>deaths!L140-deaths!K140</f>
        <v>0</v>
      </c>
      <c r="M140" s="5">
        <f>deaths!M140-deaths!L140</f>
        <v>0</v>
      </c>
      <c r="N140" s="5">
        <f>deaths!N140-deaths!M140</f>
        <v>0</v>
      </c>
      <c r="O140" s="5">
        <f>deaths!O140-deaths!N140</f>
        <v>0</v>
      </c>
      <c r="P140" s="5">
        <f>deaths!P140-deaths!O140</f>
        <v>0</v>
      </c>
      <c r="Q140" s="5">
        <f>deaths!Q140-deaths!P140</f>
        <v>0</v>
      </c>
      <c r="R140" s="5">
        <f>deaths!R140-deaths!Q140</f>
        <v>0</v>
      </c>
      <c r="S140" s="5">
        <f>deaths!S140-deaths!R140</f>
        <v>0</v>
      </c>
      <c r="T140" s="5">
        <f>deaths!T140-deaths!S140</f>
        <v>0</v>
      </c>
      <c r="U140" s="5">
        <f>deaths!U140-deaths!T140</f>
        <v>0</v>
      </c>
      <c r="V140" s="5">
        <f>deaths!V140-deaths!U140</f>
        <v>0</v>
      </c>
      <c r="W140" s="5">
        <f>deaths!W140-deaths!V140</f>
        <v>0</v>
      </c>
      <c r="X140" s="5">
        <f>deaths!X140-deaths!W140</f>
        <v>0</v>
      </c>
      <c r="Y140" s="5">
        <f>deaths!Y140-deaths!X140</f>
        <v>0</v>
      </c>
      <c r="Z140" s="5">
        <f>deaths!Z140-deaths!Y140</f>
        <v>0</v>
      </c>
      <c r="AA140" s="5">
        <f>deaths!AA140-deaths!Z140</f>
        <v>0</v>
      </c>
      <c r="AB140" s="5">
        <f>deaths!AB140-deaths!AA140</f>
        <v>0</v>
      </c>
      <c r="AC140" s="5">
        <f>deaths!AC140-deaths!AB140</f>
        <v>0</v>
      </c>
      <c r="AD140" s="5">
        <f>deaths!AD140-deaths!AC140</f>
        <v>0</v>
      </c>
      <c r="AE140" s="5">
        <f>deaths!AE140-deaths!AD140</f>
        <v>0</v>
      </c>
      <c r="AF140" s="5">
        <f>deaths!AF140-deaths!AE140</f>
        <v>0</v>
      </c>
      <c r="AG140" s="5">
        <f>deaths!AG140-deaths!AF140</f>
        <v>0</v>
      </c>
      <c r="AH140" s="5">
        <f>deaths!AH140-deaths!AG140</f>
        <v>0</v>
      </c>
      <c r="AI140" s="5">
        <f>deaths!AI140-deaths!AH140</f>
        <v>0</v>
      </c>
      <c r="AJ140" s="5">
        <f>deaths!AJ140-deaths!AI140</f>
        <v>0</v>
      </c>
      <c r="AK140" s="5">
        <f>deaths!AK140-deaths!AJ140</f>
        <v>0</v>
      </c>
      <c r="AL140" s="5">
        <f>deaths!AL140-deaths!AK140</f>
        <v>0</v>
      </c>
      <c r="AM140" s="5">
        <f>deaths!AM140-deaths!AL140</f>
        <v>0</v>
      </c>
      <c r="AN140" s="5">
        <f>deaths!AN140-deaths!AM140</f>
        <v>0</v>
      </c>
      <c r="AO140" s="5">
        <f>deaths!AO140-deaths!AN140</f>
        <v>0</v>
      </c>
      <c r="AP140" s="5">
        <f>deaths!AP140-deaths!AO140</f>
        <v>0</v>
      </c>
      <c r="AQ140" s="5">
        <f>deaths!AQ140-deaths!AP140</f>
        <v>0</v>
      </c>
      <c r="AR140" s="5">
        <f>deaths!AR140-deaths!AQ140</f>
        <v>0</v>
      </c>
      <c r="AS140" s="5">
        <f>deaths!AS140-deaths!AR140</f>
        <v>0</v>
      </c>
      <c r="AT140" s="5">
        <f>deaths!AT140-deaths!AS140</f>
        <v>0</v>
      </c>
      <c r="AU140" s="5">
        <f>deaths!AU140-deaths!AT140</f>
        <v>0</v>
      </c>
      <c r="AV140" s="5">
        <f>deaths!AV140-deaths!AU140</f>
        <v>0</v>
      </c>
      <c r="AW140" s="5">
        <f>deaths!AW140-deaths!AV140</f>
        <v>0</v>
      </c>
      <c r="AX140" s="5">
        <f>deaths!AX140-deaths!AW140</f>
        <v>0</v>
      </c>
      <c r="AY140" s="5">
        <f>deaths!AY140-deaths!AX140</f>
        <v>0</v>
      </c>
      <c r="AZ140" s="5">
        <f>deaths!AZ140-deaths!AY140</f>
        <v>0</v>
      </c>
      <c r="BA140" s="5">
        <f>deaths!BA140-deaths!AZ140</f>
        <v>0</v>
      </c>
      <c r="BB140" s="5">
        <f>deaths!BB140-deaths!BA140</f>
        <v>0</v>
      </c>
      <c r="BC140" s="5">
        <f>deaths!BC140-deaths!BB140</f>
        <v>0</v>
      </c>
      <c r="BD140" s="5">
        <f>deaths!BD140-deaths!BC140</f>
        <v>0</v>
      </c>
      <c r="BE140" s="5">
        <f>deaths!BE140-deaths!BD140</f>
        <v>0</v>
      </c>
      <c r="BF140" s="5">
        <f>deaths!BF140-deaths!BE140</f>
        <v>0</v>
      </c>
      <c r="BG140" s="5">
        <f>deaths!BG140-deaths!BF140</f>
        <v>0</v>
      </c>
      <c r="BH140" s="5">
        <f>deaths!BH140-deaths!BG140</f>
        <v>0</v>
      </c>
      <c r="BI140" s="5">
        <f>deaths!BI140-deaths!BH140</f>
        <v>0</v>
      </c>
      <c r="BJ140" s="5">
        <f>deaths!BJ140-deaths!BI140</f>
        <v>1</v>
      </c>
      <c r="BK140" s="5">
        <f>deaths!BK140-deaths!BJ140</f>
        <v>0</v>
      </c>
      <c r="BL140" s="5">
        <f>deaths!BL140-deaths!BK140</f>
        <v>0</v>
      </c>
      <c r="BM140" s="5">
        <f>deaths!BM140-deaths!BL140</f>
        <v>0</v>
      </c>
      <c r="BN140" s="5">
        <f>deaths!BN140-deaths!BM140</f>
        <v>0</v>
      </c>
      <c r="BO140" s="5">
        <f>deaths!BO140-deaths!BN140</f>
        <v>0</v>
      </c>
      <c r="BP140" s="5">
        <f>deaths!BP140-deaths!BO140</f>
        <v>0</v>
      </c>
      <c r="BQ140" s="5">
        <f>deaths!BQ140-deaths!BP140</f>
        <v>0</v>
      </c>
      <c r="BR140" s="5">
        <f>deaths!BR140-deaths!BQ140</f>
        <v>0</v>
      </c>
      <c r="BS140" s="5">
        <f>deaths!BS140-deaths!BR140</f>
        <v>0</v>
      </c>
      <c r="BT140" s="5">
        <f>deaths!BT140-deaths!BS140</f>
        <v>0</v>
      </c>
      <c r="BU140" s="5">
        <f>deaths!BU140-deaths!BT140</f>
        <v>0</v>
      </c>
      <c r="BV140" s="5">
        <f>deaths!BV140-deaths!BU140</f>
        <v>0</v>
      </c>
      <c r="BW140" s="5">
        <f>deaths!BW140-deaths!BV140</f>
        <v>2</v>
      </c>
      <c r="BX140" s="5">
        <f>deaths!BX140-deaths!BW140</f>
        <v>0</v>
      </c>
      <c r="BY140" s="5">
        <f>deaths!BY140-deaths!BX140</f>
        <v>0</v>
      </c>
      <c r="BZ140" s="1">
        <f>deaths!BZ140</f>
        <v>3</v>
      </c>
      <c r="CA140" s="1">
        <f>deaths!CA140</f>
        <v>3</v>
      </c>
      <c r="CB140" s="1">
        <f>deaths!CB140</f>
        <v>3</v>
      </c>
      <c r="CC140" s="1" t="str">
        <f>deaths!CC140</f>
        <v/>
      </c>
    </row>
    <row r="141">
      <c r="B141" s="1" t="str">
        <f>deaths!B141</f>
        <v>Japan</v>
      </c>
      <c r="C141" s="4">
        <f>deaths!C141</f>
        <v>36</v>
      </c>
      <c r="D141" s="4">
        <f>deaths!D141</f>
        <v>138</v>
      </c>
      <c r="E141" s="5">
        <f>deaths!E141</f>
        <v>0</v>
      </c>
      <c r="F141" s="5">
        <f>deaths!F141-deaths!E141</f>
        <v>0</v>
      </c>
      <c r="G141" s="5">
        <f>deaths!G141-deaths!F141</f>
        <v>0</v>
      </c>
      <c r="H141" s="5">
        <f>deaths!H141-deaths!G141</f>
        <v>0</v>
      </c>
      <c r="I141" s="5">
        <f>deaths!I141-deaths!H141</f>
        <v>0</v>
      </c>
      <c r="J141" s="5">
        <f>deaths!J141-deaths!I141</f>
        <v>0</v>
      </c>
      <c r="K141" s="5">
        <f>deaths!K141-deaths!J141</f>
        <v>0</v>
      </c>
      <c r="L141" s="5">
        <f>deaths!L141-deaths!K141</f>
        <v>0</v>
      </c>
      <c r="M141" s="5">
        <f>deaths!M141-deaths!L141</f>
        <v>0</v>
      </c>
      <c r="N141" s="5">
        <f>deaths!N141-deaths!M141</f>
        <v>0</v>
      </c>
      <c r="O141" s="5">
        <f>deaths!O141-deaths!N141</f>
        <v>0</v>
      </c>
      <c r="P141" s="5">
        <f>deaths!P141-deaths!O141</f>
        <v>0</v>
      </c>
      <c r="Q141" s="5">
        <f>deaths!Q141-deaths!P141</f>
        <v>0</v>
      </c>
      <c r="R141" s="5">
        <f>deaths!R141-deaths!Q141</f>
        <v>0</v>
      </c>
      <c r="S141" s="5">
        <f>deaths!S141-deaths!R141</f>
        <v>0</v>
      </c>
      <c r="T141" s="5">
        <f>deaths!T141-deaths!S141</f>
        <v>0</v>
      </c>
      <c r="U141" s="5">
        <f>deaths!U141-deaths!T141</f>
        <v>0</v>
      </c>
      <c r="V141" s="5">
        <f>deaths!V141-deaths!U141</f>
        <v>0</v>
      </c>
      <c r="W141" s="5">
        <f>deaths!W141-deaths!V141</f>
        <v>0</v>
      </c>
      <c r="X141" s="5">
        <f>deaths!X141-deaths!W141</f>
        <v>0</v>
      </c>
      <c r="Y141" s="5">
        <f>deaths!Y141-deaths!X141</f>
        <v>0</v>
      </c>
      <c r="Z141" s="5">
        <f>deaths!Z141-deaths!Y141</f>
        <v>0</v>
      </c>
      <c r="AA141" s="5">
        <f>deaths!AA141-deaths!Z141</f>
        <v>1</v>
      </c>
      <c r="AB141" s="5">
        <f>deaths!AB141-deaths!AA141</f>
        <v>0</v>
      </c>
      <c r="AC141" s="5">
        <f>deaths!AC141-deaths!AB141</f>
        <v>0</v>
      </c>
      <c r="AD141" s="5">
        <f>deaths!AD141-deaths!AC141</f>
        <v>0</v>
      </c>
      <c r="AE141" s="5">
        <f>deaths!AE141-deaths!AD141</f>
        <v>0</v>
      </c>
      <c r="AF141" s="5">
        <f>deaths!AF141-deaths!AE141</f>
        <v>0</v>
      </c>
      <c r="AG141" s="5">
        <f>deaths!AG141-deaths!AF141</f>
        <v>0</v>
      </c>
      <c r="AH141" s="5">
        <f>deaths!AH141-deaths!AG141</f>
        <v>0</v>
      </c>
      <c r="AI141" s="5">
        <f>deaths!AI141-deaths!AH141</f>
        <v>0</v>
      </c>
      <c r="AJ141" s="5">
        <f>deaths!AJ141-deaths!AI141</f>
        <v>0</v>
      </c>
      <c r="AK141" s="5">
        <f>deaths!AK141-deaths!AJ141</f>
        <v>0</v>
      </c>
      <c r="AL141" s="5">
        <f>deaths!AL141-deaths!AK141</f>
        <v>0</v>
      </c>
      <c r="AM141" s="5">
        <f>deaths!AM141-deaths!AL141</f>
        <v>0</v>
      </c>
      <c r="AN141" s="5">
        <f>deaths!AN141-deaths!AM141</f>
        <v>1</v>
      </c>
      <c r="AO141" s="5">
        <f>deaths!AO141-deaths!AN141</f>
        <v>2</v>
      </c>
      <c r="AP141" s="5">
        <f>deaths!AP141-deaths!AO141</f>
        <v>0</v>
      </c>
      <c r="AQ141" s="5">
        <f>deaths!AQ141-deaths!AP141</f>
        <v>1</v>
      </c>
      <c r="AR141" s="5">
        <f>deaths!AR141-deaths!AQ141</f>
        <v>1</v>
      </c>
      <c r="AS141" s="5">
        <f>deaths!AS141-deaths!AR141</f>
        <v>0</v>
      </c>
      <c r="AT141" s="5">
        <f>deaths!AT141-deaths!AS141</f>
        <v>0</v>
      </c>
      <c r="AU141" s="5">
        <f>deaths!AU141-deaths!AT141</f>
        <v>0</v>
      </c>
      <c r="AV141" s="5">
        <f>deaths!AV141-deaths!AU141</f>
        <v>0</v>
      </c>
      <c r="AW141" s="5">
        <f>deaths!AW141-deaths!AV141</f>
        <v>0</v>
      </c>
      <c r="AX141" s="5">
        <f>deaths!AX141-deaths!AW141</f>
        <v>0</v>
      </c>
      <c r="AY141" s="5">
        <f>deaths!AY141-deaths!AX141</f>
        <v>0</v>
      </c>
      <c r="AZ141" s="5">
        <f>deaths!AZ141-deaths!AY141</f>
        <v>4</v>
      </c>
      <c r="BA141" s="5">
        <f>deaths!BA141-deaths!AZ141</f>
        <v>0</v>
      </c>
      <c r="BB141" s="5">
        <f>deaths!BB141-deaths!BA141</f>
        <v>5</v>
      </c>
      <c r="BC141" s="5">
        <f>deaths!BC141-deaths!BB141</f>
        <v>1</v>
      </c>
      <c r="BD141" s="5">
        <f>deaths!BD141-deaths!BC141</f>
        <v>3</v>
      </c>
      <c r="BE141" s="5">
        <f>deaths!BE141-deaths!BD141</f>
        <v>3</v>
      </c>
      <c r="BF141" s="5">
        <f>deaths!BF141-deaths!BE141</f>
        <v>0</v>
      </c>
      <c r="BG141" s="5">
        <f>deaths!BG141-deaths!BF141</f>
        <v>5</v>
      </c>
      <c r="BH141" s="5">
        <f>deaths!BH141-deaths!BG141</f>
        <v>2</v>
      </c>
      <c r="BI141" s="5">
        <f>deaths!BI141-deaths!BH141</f>
        <v>0</v>
      </c>
      <c r="BJ141" s="5">
        <f>deaths!BJ141-deaths!BI141</f>
        <v>0</v>
      </c>
      <c r="BK141" s="5">
        <f>deaths!BK141-deaths!BJ141</f>
        <v>4</v>
      </c>
      <c r="BL141" s="5">
        <f>deaths!BL141-deaths!BK141</f>
        <v>2</v>
      </c>
      <c r="BM141" s="5">
        <f>deaths!BM141-deaths!BL141</f>
        <v>6</v>
      </c>
      <c r="BN141" s="5">
        <f>deaths!BN141-deaths!BM141</f>
        <v>1</v>
      </c>
      <c r="BO141" s="5">
        <f>deaths!BO141-deaths!BN141</f>
        <v>1</v>
      </c>
      <c r="BP141" s="5">
        <f>deaths!BP141-deaths!BO141</f>
        <v>2</v>
      </c>
      <c r="BQ141" s="5">
        <f>deaths!BQ141-deaths!BP141</f>
        <v>2</v>
      </c>
      <c r="BR141" s="5">
        <f>deaths!BR141-deaths!BQ141</f>
        <v>2</v>
      </c>
      <c r="BS141" s="5">
        <f>deaths!BS141-deaths!BR141</f>
        <v>3</v>
      </c>
      <c r="BT141" s="5">
        <f>deaths!BT141-deaths!BS141</f>
        <v>2</v>
      </c>
      <c r="BU141" s="5">
        <f>deaths!BU141-deaths!BT141</f>
        <v>0</v>
      </c>
      <c r="BV141" s="5">
        <f>deaths!BV141-deaths!BU141</f>
        <v>2</v>
      </c>
      <c r="BW141" s="5">
        <f>deaths!BW141-deaths!BV141</f>
        <v>1</v>
      </c>
      <c r="BX141" s="5">
        <f>deaths!BX141-deaths!BW141</f>
        <v>5</v>
      </c>
      <c r="BY141" s="5">
        <f>deaths!BY141-deaths!BX141</f>
        <v>1</v>
      </c>
      <c r="BZ141" s="1">
        <f>deaths!BZ141</f>
        <v>77</v>
      </c>
      <c r="CA141" s="1">
        <f>deaths!CA141</f>
        <v>77</v>
      </c>
      <c r="CB141" s="1">
        <f>deaths!CB141</f>
        <v>85</v>
      </c>
      <c r="CC141" s="1" t="str">
        <f>deaths!CC141</f>
        <v/>
      </c>
    </row>
    <row r="142">
      <c r="B142" s="1" t="str">
        <f>deaths!B142</f>
        <v>Jordan</v>
      </c>
      <c r="C142" s="4">
        <f>deaths!C142</f>
        <v>31.24</v>
      </c>
      <c r="D142" s="4">
        <f>deaths!D142</f>
        <v>36.51</v>
      </c>
      <c r="E142" s="5">
        <f>deaths!E142</f>
        <v>0</v>
      </c>
      <c r="F142" s="5">
        <f>deaths!F142-deaths!E142</f>
        <v>0</v>
      </c>
      <c r="G142" s="5">
        <f>deaths!G142-deaths!F142</f>
        <v>0</v>
      </c>
      <c r="H142" s="5">
        <f>deaths!H142-deaths!G142</f>
        <v>0</v>
      </c>
      <c r="I142" s="5">
        <f>deaths!I142-deaths!H142</f>
        <v>0</v>
      </c>
      <c r="J142" s="5">
        <f>deaths!J142-deaths!I142</f>
        <v>0</v>
      </c>
      <c r="K142" s="5">
        <f>deaths!K142-deaths!J142</f>
        <v>0</v>
      </c>
      <c r="L142" s="5">
        <f>deaths!L142-deaths!K142</f>
        <v>0</v>
      </c>
      <c r="M142" s="5">
        <f>deaths!M142-deaths!L142</f>
        <v>0</v>
      </c>
      <c r="N142" s="5">
        <f>deaths!N142-deaths!M142</f>
        <v>0</v>
      </c>
      <c r="O142" s="5">
        <f>deaths!O142-deaths!N142</f>
        <v>0</v>
      </c>
      <c r="P142" s="5">
        <f>deaths!P142-deaths!O142</f>
        <v>0</v>
      </c>
      <c r="Q142" s="5">
        <f>deaths!Q142-deaths!P142</f>
        <v>0</v>
      </c>
      <c r="R142" s="5">
        <f>deaths!R142-deaths!Q142</f>
        <v>0</v>
      </c>
      <c r="S142" s="5">
        <f>deaths!S142-deaths!R142</f>
        <v>0</v>
      </c>
      <c r="T142" s="5">
        <f>deaths!T142-deaths!S142</f>
        <v>0</v>
      </c>
      <c r="U142" s="5">
        <f>deaths!U142-deaths!T142</f>
        <v>0</v>
      </c>
      <c r="V142" s="5">
        <f>deaths!V142-deaths!U142</f>
        <v>0</v>
      </c>
      <c r="W142" s="5">
        <f>deaths!W142-deaths!V142</f>
        <v>0</v>
      </c>
      <c r="X142" s="5">
        <f>deaths!X142-deaths!W142</f>
        <v>0</v>
      </c>
      <c r="Y142" s="5">
        <f>deaths!Y142-deaths!X142</f>
        <v>0</v>
      </c>
      <c r="Z142" s="5">
        <f>deaths!Z142-deaths!Y142</f>
        <v>0</v>
      </c>
      <c r="AA142" s="5">
        <f>deaths!AA142-deaths!Z142</f>
        <v>0</v>
      </c>
      <c r="AB142" s="5">
        <f>deaths!AB142-deaths!AA142</f>
        <v>0</v>
      </c>
      <c r="AC142" s="5">
        <f>deaths!AC142-deaths!AB142</f>
        <v>0</v>
      </c>
      <c r="AD142" s="5">
        <f>deaths!AD142-deaths!AC142</f>
        <v>0</v>
      </c>
      <c r="AE142" s="5">
        <f>deaths!AE142-deaths!AD142</f>
        <v>0</v>
      </c>
      <c r="AF142" s="5">
        <f>deaths!AF142-deaths!AE142</f>
        <v>0</v>
      </c>
      <c r="AG142" s="5">
        <f>deaths!AG142-deaths!AF142</f>
        <v>0</v>
      </c>
      <c r="AH142" s="5">
        <f>deaths!AH142-deaths!AG142</f>
        <v>0</v>
      </c>
      <c r="AI142" s="5">
        <f>deaths!AI142-deaths!AH142</f>
        <v>0</v>
      </c>
      <c r="AJ142" s="5">
        <f>deaths!AJ142-deaths!AI142</f>
        <v>0</v>
      </c>
      <c r="AK142" s="5">
        <f>deaths!AK142-deaths!AJ142</f>
        <v>0</v>
      </c>
      <c r="AL142" s="5">
        <f>deaths!AL142-deaths!AK142</f>
        <v>0</v>
      </c>
      <c r="AM142" s="5">
        <f>deaths!AM142-deaths!AL142</f>
        <v>0</v>
      </c>
      <c r="AN142" s="5">
        <f>deaths!AN142-deaths!AM142</f>
        <v>0</v>
      </c>
      <c r="AO142" s="5">
        <f>deaths!AO142-deaths!AN142</f>
        <v>0</v>
      </c>
      <c r="AP142" s="5">
        <f>deaths!AP142-deaths!AO142</f>
        <v>0</v>
      </c>
      <c r="AQ142" s="5">
        <f>deaths!AQ142-deaths!AP142</f>
        <v>0</v>
      </c>
      <c r="AR142" s="5">
        <f>deaths!AR142-deaths!AQ142</f>
        <v>0</v>
      </c>
      <c r="AS142" s="5">
        <f>deaths!AS142-deaths!AR142</f>
        <v>0</v>
      </c>
      <c r="AT142" s="5">
        <f>deaths!AT142-deaths!AS142</f>
        <v>0</v>
      </c>
      <c r="AU142" s="5">
        <f>deaths!AU142-deaths!AT142</f>
        <v>0</v>
      </c>
      <c r="AV142" s="5">
        <f>deaths!AV142-deaths!AU142</f>
        <v>0</v>
      </c>
      <c r="AW142" s="5">
        <f>deaths!AW142-deaths!AV142</f>
        <v>0</v>
      </c>
      <c r="AX142" s="5">
        <f>deaths!AX142-deaths!AW142</f>
        <v>0</v>
      </c>
      <c r="AY142" s="5">
        <f>deaths!AY142-deaths!AX142</f>
        <v>0</v>
      </c>
      <c r="AZ142" s="5">
        <f>deaths!AZ142-deaths!AY142</f>
        <v>0</v>
      </c>
      <c r="BA142" s="5">
        <f>deaths!BA142-deaths!AZ142</f>
        <v>0</v>
      </c>
      <c r="BB142" s="5">
        <f>deaths!BB142-deaths!BA142</f>
        <v>0</v>
      </c>
      <c r="BC142" s="5">
        <f>deaths!BC142-deaths!BB142</f>
        <v>0</v>
      </c>
      <c r="BD142" s="5">
        <f>deaths!BD142-deaths!BC142</f>
        <v>0</v>
      </c>
      <c r="BE142" s="5">
        <f>deaths!BE142-deaths!BD142</f>
        <v>0</v>
      </c>
      <c r="BF142" s="5">
        <f>deaths!BF142-deaths!BE142</f>
        <v>0</v>
      </c>
      <c r="BG142" s="5">
        <f>deaths!BG142-deaths!BF142</f>
        <v>0</v>
      </c>
      <c r="BH142" s="5">
        <f>deaths!BH142-deaths!BG142</f>
        <v>0</v>
      </c>
      <c r="BI142" s="5">
        <f>deaths!BI142-deaths!BH142</f>
        <v>0</v>
      </c>
      <c r="BJ142" s="5">
        <f>deaths!BJ142-deaths!BI142</f>
        <v>0</v>
      </c>
      <c r="BK142" s="5">
        <f>deaths!BK142-deaths!BJ142</f>
        <v>0</v>
      </c>
      <c r="BL142" s="5">
        <f>deaths!BL142-deaths!BK142</f>
        <v>0</v>
      </c>
      <c r="BM142" s="5">
        <f>deaths!BM142-deaths!BL142</f>
        <v>0</v>
      </c>
      <c r="BN142" s="5">
        <f>deaths!BN142-deaths!BM142</f>
        <v>0</v>
      </c>
      <c r="BO142" s="5">
        <f>deaths!BO142-deaths!BN142</f>
        <v>0</v>
      </c>
      <c r="BP142" s="5">
        <f>deaths!BP142-deaths!BO142</f>
        <v>0</v>
      </c>
      <c r="BQ142" s="5">
        <f>deaths!BQ142-deaths!BP142</f>
        <v>0</v>
      </c>
      <c r="BR142" s="5">
        <f>deaths!BR142-deaths!BQ142</f>
        <v>1</v>
      </c>
      <c r="BS142" s="5">
        <f>deaths!BS142-deaths!BR142</f>
        <v>0</v>
      </c>
      <c r="BT142" s="5">
        <f>deaths!BT142-deaths!BS142</f>
        <v>2</v>
      </c>
      <c r="BU142" s="5">
        <f>deaths!BU142-deaths!BT142</f>
        <v>2</v>
      </c>
      <c r="BV142" s="5">
        <f>deaths!BV142-deaths!BU142</f>
        <v>0</v>
      </c>
      <c r="BW142" s="5">
        <f>deaths!BW142-deaths!BV142</f>
        <v>0</v>
      </c>
      <c r="BX142" s="5">
        <f>deaths!BX142-deaths!BW142</f>
        <v>0</v>
      </c>
      <c r="BY142" s="5">
        <f>deaths!BY142-deaths!BX142</f>
        <v>0</v>
      </c>
      <c r="BZ142" s="1">
        <f>deaths!BZ142</f>
        <v>5</v>
      </c>
      <c r="CA142" s="1">
        <f>deaths!CA142</f>
        <v>5</v>
      </c>
      <c r="CB142" s="1">
        <f>deaths!CB142</f>
        <v>6</v>
      </c>
      <c r="CC142" s="1" t="str">
        <f>deaths!CC142</f>
        <v/>
      </c>
    </row>
    <row r="143">
      <c r="B143" s="1" t="str">
        <f>deaths!B143</f>
        <v>Kazakhstan</v>
      </c>
      <c r="C143" s="4">
        <f>deaths!C143</f>
        <v>48.0196</v>
      </c>
      <c r="D143" s="4">
        <f>deaths!D143</f>
        <v>66.9237</v>
      </c>
      <c r="E143" s="5">
        <f>deaths!E143</f>
        <v>0</v>
      </c>
      <c r="F143" s="5">
        <f>deaths!F143-deaths!E143</f>
        <v>0</v>
      </c>
      <c r="G143" s="5">
        <f>deaths!G143-deaths!F143</f>
        <v>0</v>
      </c>
      <c r="H143" s="5">
        <f>deaths!H143-deaths!G143</f>
        <v>0</v>
      </c>
      <c r="I143" s="5">
        <f>deaths!I143-deaths!H143</f>
        <v>0</v>
      </c>
      <c r="J143" s="5">
        <f>deaths!J143-deaths!I143</f>
        <v>0</v>
      </c>
      <c r="K143" s="5">
        <f>deaths!K143-deaths!J143</f>
        <v>0</v>
      </c>
      <c r="L143" s="5">
        <f>deaths!L143-deaths!K143</f>
        <v>0</v>
      </c>
      <c r="M143" s="5">
        <f>deaths!M143-deaths!L143</f>
        <v>0</v>
      </c>
      <c r="N143" s="5">
        <f>deaths!N143-deaths!M143</f>
        <v>0</v>
      </c>
      <c r="O143" s="5">
        <f>deaths!O143-deaths!N143</f>
        <v>0</v>
      </c>
      <c r="P143" s="5">
        <f>deaths!P143-deaths!O143</f>
        <v>0</v>
      </c>
      <c r="Q143" s="5">
        <f>deaths!Q143-deaths!P143</f>
        <v>0</v>
      </c>
      <c r="R143" s="5">
        <f>deaths!R143-deaths!Q143</f>
        <v>0</v>
      </c>
      <c r="S143" s="5">
        <f>deaths!S143-deaths!R143</f>
        <v>0</v>
      </c>
      <c r="T143" s="5">
        <f>deaths!T143-deaths!S143</f>
        <v>0</v>
      </c>
      <c r="U143" s="5">
        <f>deaths!U143-deaths!T143</f>
        <v>0</v>
      </c>
      <c r="V143" s="5">
        <f>deaths!V143-deaths!U143</f>
        <v>0</v>
      </c>
      <c r="W143" s="5">
        <f>deaths!W143-deaths!V143</f>
        <v>0</v>
      </c>
      <c r="X143" s="5">
        <f>deaths!X143-deaths!W143</f>
        <v>0</v>
      </c>
      <c r="Y143" s="5">
        <f>deaths!Y143-deaths!X143</f>
        <v>0</v>
      </c>
      <c r="Z143" s="5">
        <f>deaths!Z143-deaths!Y143</f>
        <v>0</v>
      </c>
      <c r="AA143" s="5">
        <f>deaths!AA143-deaths!Z143</f>
        <v>0</v>
      </c>
      <c r="AB143" s="5">
        <f>deaths!AB143-deaths!AA143</f>
        <v>0</v>
      </c>
      <c r="AC143" s="5">
        <f>deaths!AC143-deaths!AB143</f>
        <v>0</v>
      </c>
      <c r="AD143" s="5">
        <f>deaths!AD143-deaths!AC143</f>
        <v>0</v>
      </c>
      <c r="AE143" s="5">
        <f>deaths!AE143-deaths!AD143</f>
        <v>0</v>
      </c>
      <c r="AF143" s="5">
        <f>deaths!AF143-deaths!AE143</f>
        <v>0</v>
      </c>
      <c r="AG143" s="5">
        <f>deaths!AG143-deaths!AF143</f>
        <v>0</v>
      </c>
      <c r="AH143" s="5">
        <f>deaths!AH143-deaths!AG143</f>
        <v>0</v>
      </c>
      <c r="AI143" s="5">
        <f>deaths!AI143-deaths!AH143</f>
        <v>0</v>
      </c>
      <c r="AJ143" s="5">
        <f>deaths!AJ143-deaths!AI143</f>
        <v>0</v>
      </c>
      <c r="AK143" s="5">
        <f>deaths!AK143-deaths!AJ143</f>
        <v>0</v>
      </c>
      <c r="AL143" s="5">
        <f>deaths!AL143-deaths!AK143</f>
        <v>0</v>
      </c>
      <c r="AM143" s="5">
        <f>deaths!AM143-deaths!AL143</f>
        <v>0</v>
      </c>
      <c r="AN143" s="5">
        <f>deaths!AN143-deaths!AM143</f>
        <v>0</v>
      </c>
      <c r="AO143" s="5">
        <f>deaths!AO143-deaths!AN143</f>
        <v>0</v>
      </c>
      <c r="AP143" s="5">
        <f>deaths!AP143-deaths!AO143</f>
        <v>0</v>
      </c>
      <c r="AQ143" s="5">
        <f>deaths!AQ143-deaths!AP143</f>
        <v>0</v>
      </c>
      <c r="AR143" s="5">
        <f>deaths!AR143-deaths!AQ143</f>
        <v>0</v>
      </c>
      <c r="AS143" s="5">
        <f>deaths!AS143-deaths!AR143</f>
        <v>0</v>
      </c>
      <c r="AT143" s="5">
        <f>deaths!AT143-deaths!AS143</f>
        <v>0</v>
      </c>
      <c r="AU143" s="5">
        <f>deaths!AU143-deaths!AT143</f>
        <v>0</v>
      </c>
      <c r="AV143" s="5">
        <f>deaths!AV143-deaths!AU143</f>
        <v>0</v>
      </c>
      <c r="AW143" s="5">
        <f>deaths!AW143-deaths!AV143</f>
        <v>0</v>
      </c>
      <c r="AX143" s="5">
        <f>deaths!AX143-deaths!AW143</f>
        <v>0</v>
      </c>
      <c r="AY143" s="5">
        <f>deaths!AY143-deaths!AX143</f>
        <v>0</v>
      </c>
      <c r="AZ143" s="5">
        <f>deaths!AZ143-deaths!AY143</f>
        <v>0</v>
      </c>
      <c r="BA143" s="5">
        <f>deaths!BA143-deaths!AZ143</f>
        <v>0</v>
      </c>
      <c r="BB143" s="5">
        <f>deaths!BB143-deaths!BA143</f>
        <v>0</v>
      </c>
      <c r="BC143" s="5">
        <f>deaths!BC143-deaths!BB143</f>
        <v>0</v>
      </c>
      <c r="BD143" s="5">
        <f>deaths!BD143-deaths!BC143</f>
        <v>0</v>
      </c>
      <c r="BE143" s="5">
        <f>deaths!BE143-deaths!BD143</f>
        <v>0</v>
      </c>
      <c r="BF143" s="5">
        <f>deaths!BF143-deaths!BE143</f>
        <v>0</v>
      </c>
      <c r="BG143" s="5">
        <f>deaths!BG143-deaths!BF143</f>
        <v>0</v>
      </c>
      <c r="BH143" s="5">
        <f>deaths!BH143-deaths!BG143</f>
        <v>0</v>
      </c>
      <c r="BI143" s="5">
        <f>deaths!BI143-deaths!BH143</f>
        <v>0</v>
      </c>
      <c r="BJ143" s="5">
        <f>deaths!BJ143-deaths!BI143</f>
        <v>0</v>
      </c>
      <c r="BK143" s="5">
        <f>deaths!BK143-deaths!BJ143</f>
        <v>3</v>
      </c>
      <c r="BL143" s="5">
        <f>deaths!BL143-deaths!BK143</f>
        <v>-3</v>
      </c>
      <c r="BM143" s="5">
        <f>deaths!BM143-deaths!BL143</f>
        <v>0</v>
      </c>
      <c r="BN143" s="5">
        <f>deaths!BN143-deaths!BM143</f>
        <v>0</v>
      </c>
      <c r="BO143" s="5">
        <f>deaths!BO143-deaths!BN143</f>
        <v>0</v>
      </c>
      <c r="BP143" s="5">
        <f>deaths!BP143-deaths!BO143</f>
        <v>0</v>
      </c>
      <c r="BQ143" s="5">
        <f>deaths!BQ143-deaths!BP143</f>
        <v>1</v>
      </c>
      <c r="BR143" s="5">
        <f>deaths!BR143-deaths!BQ143</f>
        <v>0</v>
      </c>
      <c r="BS143" s="5">
        <f>deaths!BS143-deaths!BR143</f>
        <v>0</v>
      </c>
      <c r="BT143" s="5">
        <f>deaths!BT143-deaths!BS143</f>
        <v>0</v>
      </c>
      <c r="BU143" s="5">
        <f>deaths!BU143-deaths!BT143</f>
        <v>0</v>
      </c>
      <c r="BV143" s="5">
        <f>deaths!BV143-deaths!BU143</f>
        <v>1</v>
      </c>
      <c r="BW143" s="5">
        <f>deaths!BW143-deaths!BV143</f>
        <v>1</v>
      </c>
      <c r="BX143" s="5">
        <f>deaths!BX143-deaths!BW143</f>
        <v>0</v>
      </c>
      <c r="BY143" s="5">
        <f>deaths!BY143-deaths!BX143</f>
        <v>3</v>
      </c>
      <c r="BZ143" s="1">
        <f>deaths!BZ143</f>
        <v>5</v>
      </c>
      <c r="CA143" s="1">
        <f>deaths!CA143</f>
        <v>6</v>
      </c>
      <c r="CB143" s="1">
        <f>deaths!CB143</f>
        <v>6</v>
      </c>
      <c r="CC143" s="1" t="str">
        <f>deaths!CC143</f>
        <v/>
      </c>
    </row>
    <row r="144">
      <c r="B144" s="1" t="str">
        <f>deaths!B144</f>
        <v>Kenya</v>
      </c>
      <c r="C144" s="4">
        <f>deaths!C144</f>
        <v>-0.0236</v>
      </c>
      <c r="D144" s="4">
        <f>deaths!D144</f>
        <v>37.9062</v>
      </c>
      <c r="E144" s="5">
        <f>deaths!E144</f>
        <v>0</v>
      </c>
      <c r="F144" s="5">
        <f>deaths!F144-deaths!E144</f>
        <v>0</v>
      </c>
      <c r="G144" s="5">
        <f>deaths!G144-deaths!F144</f>
        <v>0</v>
      </c>
      <c r="H144" s="5">
        <f>deaths!H144-deaths!G144</f>
        <v>0</v>
      </c>
      <c r="I144" s="5">
        <f>deaths!I144-deaths!H144</f>
        <v>0</v>
      </c>
      <c r="J144" s="5">
        <f>deaths!J144-deaths!I144</f>
        <v>0</v>
      </c>
      <c r="K144" s="5">
        <f>deaths!K144-deaths!J144</f>
        <v>0</v>
      </c>
      <c r="L144" s="5">
        <f>deaths!L144-deaths!K144</f>
        <v>0</v>
      </c>
      <c r="M144" s="5">
        <f>deaths!M144-deaths!L144</f>
        <v>0</v>
      </c>
      <c r="N144" s="5">
        <f>deaths!N144-deaths!M144</f>
        <v>0</v>
      </c>
      <c r="O144" s="5">
        <f>deaths!O144-deaths!N144</f>
        <v>0</v>
      </c>
      <c r="P144" s="5">
        <f>deaths!P144-deaths!O144</f>
        <v>0</v>
      </c>
      <c r="Q144" s="5">
        <f>deaths!Q144-deaths!P144</f>
        <v>0</v>
      </c>
      <c r="R144" s="5">
        <f>deaths!R144-deaths!Q144</f>
        <v>0</v>
      </c>
      <c r="S144" s="5">
        <f>deaths!S144-deaths!R144</f>
        <v>0</v>
      </c>
      <c r="T144" s="5">
        <f>deaths!T144-deaths!S144</f>
        <v>0</v>
      </c>
      <c r="U144" s="5">
        <f>deaths!U144-deaths!T144</f>
        <v>0</v>
      </c>
      <c r="V144" s="5">
        <f>deaths!V144-deaths!U144</f>
        <v>0</v>
      </c>
      <c r="W144" s="5">
        <f>deaths!W144-deaths!V144</f>
        <v>0</v>
      </c>
      <c r="X144" s="5">
        <f>deaths!X144-deaths!W144</f>
        <v>0</v>
      </c>
      <c r="Y144" s="5">
        <f>deaths!Y144-deaths!X144</f>
        <v>0</v>
      </c>
      <c r="Z144" s="5">
        <f>deaths!Z144-deaths!Y144</f>
        <v>0</v>
      </c>
      <c r="AA144" s="5">
        <f>deaths!AA144-deaths!Z144</f>
        <v>0</v>
      </c>
      <c r="AB144" s="5">
        <f>deaths!AB144-deaths!AA144</f>
        <v>0</v>
      </c>
      <c r="AC144" s="5">
        <f>deaths!AC144-deaths!AB144</f>
        <v>0</v>
      </c>
      <c r="AD144" s="5">
        <f>deaths!AD144-deaths!AC144</f>
        <v>0</v>
      </c>
      <c r="AE144" s="5">
        <f>deaths!AE144-deaths!AD144</f>
        <v>0</v>
      </c>
      <c r="AF144" s="5">
        <f>deaths!AF144-deaths!AE144</f>
        <v>0</v>
      </c>
      <c r="AG144" s="5">
        <f>deaths!AG144-deaths!AF144</f>
        <v>0</v>
      </c>
      <c r="AH144" s="5">
        <f>deaths!AH144-deaths!AG144</f>
        <v>0</v>
      </c>
      <c r="AI144" s="5">
        <f>deaths!AI144-deaths!AH144</f>
        <v>0</v>
      </c>
      <c r="AJ144" s="5">
        <f>deaths!AJ144-deaths!AI144</f>
        <v>0</v>
      </c>
      <c r="AK144" s="5">
        <f>deaths!AK144-deaths!AJ144</f>
        <v>0</v>
      </c>
      <c r="AL144" s="5">
        <f>deaths!AL144-deaths!AK144</f>
        <v>0</v>
      </c>
      <c r="AM144" s="5">
        <f>deaths!AM144-deaths!AL144</f>
        <v>0</v>
      </c>
      <c r="AN144" s="5">
        <f>deaths!AN144-deaths!AM144</f>
        <v>0</v>
      </c>
      <c r="AO144" s="5">
        <f>deaths!AO144-deaths!AN144</f>
        <v>0</v>
      </c>
      <c r="AP144" s="5">
        <f>deaths!AP144-deaths!AO144</f>
        <v>0</v>
      </c>
      <c r="AQ144" s="5">
        <f>deaths!AQ144-deaths!AP144</f>
        <v>0</v>
      </c>
      <c r="AR144" s="5">
        <f>deaths!AR144-deaths!AQ144</f>
        <v>0</v>
      </c>
      <c r="AS144" s="5">
        <f>deaths!AS144-deaths!AR144</f>
        <v>0</v>
      </c>
      <c r="AT144" s="5">
        <f>deaths!AT144-deaths!AS144</f>
        <v>0</v>
      </c>
      <c r="AU144" s="5">
        <f>deaths!AU144-deaths!AT144</f>
        <v>0</v>
      </c>
      <c r="AV144" s="5">
        <f>deaths!AV144-deaths!AU144</f>
        <v>0</v>
      </c>
      <c r="AW144" s="5">
        <f>deaths!AW144-deaths!AV144</f>
        <v>0</v>
      </c>
      <c r="AX144" s="5">
        <f>deaths!AX144-deaths!AW144</f>
        <v>0</v>
      </c>
      <c r="AY144" s="5">
        <f>deaths!AY144-deaths!AX144</f>
        <v>0</v>
      </c>
      <c r="AZ144" s="5">
        <f>deaths!AZ144-deaths!AY144</f>
        <v>0</v>
      </c>
      <c r="BA144" s="5">
        <f>deaths!BA144-deaths!AZ144</f>
        <v>0</v>
      </c>
      <c r="BB144" s="5">
        <f>deaths!BB144-deaths!BA144</f>
        <v>0</v>
      </c>
      <c r="BC144" s="5">
        <f>deaths!BC144-deaths!BB144</f>
        <v>0</v>
      </c>
      <c r="BD144" s="5">
        <f>deaths!BD144-deaths!BC144</f>
        <v>0</v>
      </c>
      <c r="BE144" s="5">
        <f>deaths!BE144-deaths!BD144</f>
        <v>0</v>
      </c>
      <c r="BF144" s="5">
        <f>deaths!BF144-deaths!BE144</f>
        <v>0</v>
      </c>
      <c r="BG144" s="5">
        <f>deaths!BG144-deaths!BF144</f>
        <v>0</v>
      </c>
      <c r="BH144" s="5">
        <f>deaths!BH144-deaths!BG144</f>
        <v>0</v>
      </c>
      <c r="BI144" s="5">
        <f>deaths!BI144-deaths!BH144</f>
        <v>0</v>
      </c>
      <c r="BJ144" s="5">
        <f>deaths!BJ144-deaths!BI144</f>
        <v>0</v>
      </c>
      <c r="BK144" s="5">
        <f>deaths!BK144-deaths!BJ144</f>
        <v>0</v>
      </c>
      <c r="BL144" s="5">
        <f>deaths!BL144-deaths!BK144</f>
        <v>0</v>
      </c>
      <c r="BM144" s="5">
        <f>deaths!BM144-deaths!BL144</f>
        <v>0</v>
      </c>
      <c r="BN144" s="5">
        <f>deaths!BN144-deaths!BM144</f>
        <v>0</v>
      </c>
      <c r="BO144" s="5">
        <f>deaths!BO144-deaths!BN144</f>
        <v>0</v>
      </c>
      <c r="BP144" s="5">
        <f>deaths!BP144-deaths!BO144</f>
        <v>0</v>
      </c>
      <c r="BQ144" s="5">
        <f>deaths!BQ144-deaths!BP144</f>
        <v>1</v>
      </c>
      <c r="BR144" s="5">
        <f>deaths!BR144-deaths!BQ144</f>
        <v>0</v>
      </c>
      <c r="BS144" s="5">
        <f>deaths!BS144-deaths!BR144</f>
        <v>0</v>
      </c>
      <c r="BT144" s="5">
        <f>deaths!BT144-deaths!BS144</f>
        <v>0</v>
      </c>
      <c r="BU144" s="5">
        <f>deaths!BU144-deaths!BT144</f>
        <v>0</v>
      </c>
      <c r="BV144" s="5">
        <f>deaths!BV144-deaths!BU144</f>
        <v>0</v>
      </c>
      <c r="BW144" s="5">
        <f>deaths!BW144-deaths!BV144</f>
        <v>0</v>
      </c>
      <c r="BX144" s="5">
        <f>deaths!BX144-deaths!BW144</f>
        <v>2</v>
      </c>
      <c r="BY144" s="5">
        <f>deaths!BY144-deaths!BX144</f>
        <v>1</v>
      </c>
      <c r="BZ144" s="1">
        <f>deaths!BZ144</f>
        <v>4</v>
      </c>
      <c r="CA144" s="1">
        <f>deaths!CA144</f>
        <v>4</v>
      </c>
      <c r="CB144" s="1">
        <f>deaths!CB144</f>
        <v>6</v>
      </c>
      <c r="CC144" s="1" t="str">
        <f>deaths!CC144</f>
        <v/>
      </c>
    </row>
    <row r="145">
      <c r="B145" s="1" t="str">
        <f>deaths!B145</f>
        <v>Korea, South</v>
      </c>
      <c r="C145" s="4">
        <f>deaths!C145</f>
        <v>36</v>
      </c>
      <c r="D145" s="4">
        <f>deaths!D145</f>
        <v>128</v>
      </c>
      <c r="E145" s="5">
        <f>deaths!E145</f>
        <v>0</v>
      </c>
      <c r="F145" s="5">
        <f>deaths!F145-deaths!E145</f>
        <v>0</v>
      </c>
      <c r="G145" s="5">
        <f>deaths!G145-deaths!F145</f>
        <v>0</v>
      </c>
      <c r="H145" s="5">
        <f>deaths!H145-deaths!G145</f>
        <v>0</v>
      </c>
      <c r="I145" s="5">
        <f>deaths!I145-deaths!H145</f>
        <v>0</v>
      </c>
      <c r="J145" s="5">
        <f>deaths!J145-deaths!I145</f>
        <v>0</v>
      </c>
      <c r="K145" s="5">
        <f>deaths!K145-deaths!J145</f>
        <v>0</v>
      </c>
      <c r="L145" s="5">
        <f>deaths!L145-deaths!K145</f>
        <v>0</v>
      </c>
      <c r="M145" s="5">
        <f>deaths!M145-deaths!L145</f>
        <v>0</v>
      </c>
      <c r="N145" s="5">
        <f>deaths!N145-deaths!M145</f>
        <v>0</v>
      </c>
      <c r="O145" s="5">
        <f>deaths!O145-deaths!N145</f>
        <v>0</v>
      </c>
      <c r="P145" s="5">
        <f>deaths!P145-deaths!O145</f>
        <v>0</v>
      </c>
      <c r="Q145" s="5">
        <f>deaths!Q145-deaths!P145</f>
        <v>0</v>
      </c>
      <c r="R145" s="5">
        <f>deaths!R145-deaths!Q145</f>
        <v>0</v>
      </c>
      <c r="S145" s="5">
        <f>deaths!S145-deaths!R145</f>
        <v>0</v>
      </c>
      <c r="T145" s="5">
        <f>deaths!T145-deaths!S145</f>
        <v>0</v>
      </c>
      <c r="U145" s="5">
        <f>deaths!U145-deaths!T145</f>
        <v>0</v>
      </c>
      <c r="V145" s="5">
        <f>deaths!V145-deaths!U145</f>
        <v>0</v>
      </c>
      <c r="W145" s="5">
        <f>deaths!W145-deaths!V145</f>
        <v>0</v>
      </c>
      <c r="X145" s="5">
        <f>deaths!X145-deaths!W145</f>
        <v>0</v>
      </c>
      <c r="Y145" s="5">
        <f>deaths!Y145-deaths!X145</f>
        <v>0</v>
      </c>
      <c r="Z145" s="5">
        <f>deaths!Z145-deaths!Y145</f>
        <v>0</v>
      </c>
      <c r="AA145" s="5">
        <f>deaths!AA145-deaths!Z145</f>
        <v>0</v>
      </c>
      <c r="AB145" s="5">
        <f>deaths!AB145-deaths!AA145</f>
        <v>0</v>
      </c>
      <c r="AC145" s="5">
        <f>deaths!AC145-deaths!AB145</f>
        <v>0</v>
      </c>
      <c r="AD145" s="5">
        <f>deaths!AD145-deaths!AC145</f>
        <v>0</v>
      </c>
      <c r="AE145" s="5">
        <f>deaths!AE145-deaths!AD145</f>
        <v>0</v>
      </c>
      <c r="AF145" s="5">
        <f>deaths!AF145-deaths!AE145</f>
        <v>0</v>
      </c>
      <c r="AG145" s="5">
        <f>deaths!AG145-deaths!AF145</f>
        <v>0</v>
      </c>
      <c r="AH145" s="5">
        <f>deaths!AH145-deaths!AG145</f>
        <v>1</v>
      </c>
      <c r="AI145" s="5">
        <f>deaths!AI145-deaths!AH145</f>
        <v>1</v>
      </c>
      <c r="AJ145" s="5">
        <f>deaths!AJ145-deaths!AI145</f>
        <v>0</v>
      </c>
      <c r="AK145" s="5">
        <f>deaths!AK145-deaths!AJ145</f>
        <v>4</v>
      </c>
      <c r="AL145" s="5">
        <f>deaths!AL145-deaths!AK145</f>
        <v>2</v>
      </c>
      <c r="AM145" s="5">
        <f>deaths!AM145-deaths!AL145</f>
        <v>2</v>
      </c>
      <c r="AN145" s="5">
        <f>deaths!AN145-deaths!AM145</f>
        <v>2</v>
      </c>
      <c r="AO145" s="5">
        <f>deaths!AO145-deaths!AN145</f>
        <v>1</v>
      </c>
      <c r="AP145" s="5">
        <f>deaths!AP145-deaths!AO145</f>
        <v>0</v>
      </c>
      <c r="AQ145" s="5">
        <f>deaths!AQ145-deaths!AP145</f>
        <v>3</v>
      </c>
      <c r="AR145" s="5">
        <f>deaths!AR145-deaths!AQ145</f>
        <v>1</v>
      </c>
      <c r="AS145" s="5">
        <f>deaths!AS145-deaths!AR145</f>
        <v>11</v>
      </c>
      <c r="AT145" s="5">
        <f>deaths!AT145-deaths!AS145</f>
        <v>0</v>
      </c>
      <c r="AU145" s="5">
        <f>deaths!AU145-deaths!AT145</f>
        <v>7</v>
      </c>
      <c r="AV145" s="5">
        <f>deaths!AV145-deaths!AU145</f>
        <v>0</v>
      </c>
      <c r="AW145" s="5">
        <f>deaths!AW145-deaths!AV145</f>
        <v>7</v>
      </c>
      <c r="AX145" s="5">
        <f>deaths!AX145-deaths!AW145</f>
        <v>2</v>
      </c>
      <c r="AY145" s="5">
        <f>deaths!AY145-deaths!AX145</f>
        <v>6</v>
      </c>
      <c r="AZ145" s="5">
        <f>deaths!AZ145-deaths!AY145</f>
        <v>3</v>
      </c>
      <c r="BA145" s="5">
        <f>deaths!BA145-deaths!AZ145</f>
        <v>1</v>
      </c>
      <c r="BB145" s="5">
        <f>deaths!BB145-deaths!BA145</f>
        <v>6</v>
      </c>
      <c r="BC145" s="5">
        <f>deaths!BC145-deaths!BB145</f>
        <v>6</v>
      </c>
      <c r="BD145" s="5">
        <f>deaths!BD145-deaths!BC145</f>
        <v>0</v>
      </c>
      <c r="BE145" s="5">
        <f>deaths!BE145-deaths!BD145</f>
        <v>6</v>
      </c>
      <c r="BF145" s="5">
        <f>deaths!BF145-deaths!BE145</f>
        <v>3</v>
      </c>
      <c r="BG145" s="5">
        <f>deaths!BG145-deaths!BF145</f>
        <v>0</v>
      </c>
      <c r="BH145" s="5">
        <f>deaths!BH145-deaths!BG145</f>
        <v>6</v>
      </c>
      <c r="BI145" s="5">
        <f>deaths!BI145-deaths!BH145</f>
        <v>3</v>
      </c>
      <c r="BJ145" s="5">
        <f>deaths!BJ145-deaths!BI145</f>
        <v>7</v>
      </c>
      <c r="BK145" s="5">
        <f>deaths!BK145-deaths!BJ145</f>
        <v>3</v>
      </c>
      <c r="BL145" s="5">
        <f>deaths!BL145-deaths!BK145</f>
        <v>8</v>
      </c>
      <c r="BM145" s="5">
        <f>deaths!BM145-deaths!BL145</f>
        <v>9</v>
      </c>
      <c r="BN145" s="5">
        <f>deaths!BN145-deaths!BM145</f>
        <v>0</v>
      </c>
      <c r="BO145" s="5">
        <f>deaths!BO145-deaths!BN145</f>
        <v>9</v>
      </c>
      <c r="BP145" s="5">
        <f>deaths!BP145-deaths!BO145</f>
        <v>6</v>
      </c>
      <c r="BQ145" s="5">
        <f>deaths!BQ145-deaths!BP145</f>
        <v>5</v>
      </c>
      <c r="BR145" s="5">
        <f>deaths!BR145-deaths!BQ145</f>
        <v>8</v>
      </c>
      <c r="BS145" s="5">
        <f>deaths!BS145-deaths!BR145</f>
        <v>5</v>
      </c>
      <c r="BT145" s="5">
        <f>deaths!BT145-deaths!BS145</f>
        <v>8</v>
      </c>
      <c r="BU145" s="5">
        <f>deaths!BU145-deaths!BT145</f>
        <v>6</v>
      </c>
      <c r="BV145" s="5">
        <f>deaths!BV145-deaths!BU145</f>
        <v>4</v>
      </c>
      <c r="BW145" s="5">
        <f>deaths!BW145-deaths!BV145</f>
        <v>3</v>
      </c>
      <c r="BX145" s="5">
        <f>deaths!BX145-deaths!BW145</f>
        <v>4</v>
      </c>
      <c r="BY145" s="5">
        <f>deaths!BY145-deaths!BX145</f>
        <v>5</v>
      </c>
      <c r="BZ145" s="1">
        <f>deaths!BZ145</f>
        <v>177</v>
      </c>
      <c r="CA145" s="1">
        <f>deaths!CA145</f>
        <v>183</v>
      </c>
      <c r="CB145" s="1">
        <f>deaths!CB145</f>
        <v>186</v>
      </c>
      <c r="CC145" s="1" t="str">
        <f>deaths!CC145</f>
        <v/>
      </c>
    </row>
    <row r="146">
      <c r="B146" s="1" t="str">
        <f>deaths!B146</f>
        <v>Kuwait</v>
      </c>
      <c r="C146" s="4">
        <f>deaths!C146</f>
        <v>29.5</v>
      </c>
      <c r="D146" s="4">
        <f>deaths!D146</f>
        <v>47.75</v>
      </c>
      <c r="E146" s="5">
        <f>deaths!E146</f>
        <v>0</v>
      </c>
      <c r="F146" s="5">
        <f>deaths!F146-deaths!E146</f>
        <v>0</v>
      </c>
      <c r="G146" s="5">
        <f>deaths!G146-deaths!F146</f>
        <v>0</v>
      </c>
      <c r="H146" s="5">
        <f>deaths!H146-deaths!G146</f>
        <v>0</v>
      </c>
      <c r="I146" s="5">
        <f>deaths!I146-deaths!H146</f>
        <v>0</v>
      </c>
      <c r="J146" s="5">
        <f>deaths!J146-deaths!I146</f>
        <v>0</v>
      </c>
      <c r="K146" s="5">
        <f>deaths!K146-deaths!J146</f>
        <v>0</v>
      </c>
      <c r="L146" s="5">
        <f>deaths!L146-deaths!K146</f>
        <v>0</v>
      </c>
      <c r="M146" s="5">
        <f>deaths!M146-deaths!L146</f>
        <v>0</v>
      </c>
      <c r="N146" s="5">
        <f>deaths!N146-deaths!M146</f>
        <v>0</v>
      </c>
      <c r="O146" s="5">
        <f>deaths!O146-deaths!N146</f>
        <v>0</v>
      </c>
      <c r="P146" s="5">
        <f>deaths!P146-deaths!O146</f>
        <v>0</v>
      </c>
      <c r="Q146" s="5">
        <f>deaths!Q146-deaths!P146</f>
        <v>0</v>
      </c>
      <c r="R146" s="5">
        <f>deaths!R146-deaths!Q146</f>
        <v>0</v>
      </c>
      <c r="S146" s="5">
        <f>deaths!S146-deaths!R146</f>
        <v>0</v>
      </c>
      <c r="T146" s="5">
        <f>deaths!T146-deaths!S146</f>
        <v>0</v>
      </c>
      <c r="U146" s="5">
        <f>deaths!U146-deaths!T146</f>
        <v>0</v>
      </c>
      <c r="V146" s="5">
        <f>deaths!V146-deaths!U146</f>
        <v>0</v>
      </c>
      <c r="W146" s="5">
        <f>deaths!W146-deaths!V146</f>
        <v>0</v>
      </c>
      <c r="X146" s="5">
        <f>deaths!X146-deaths!W146</f>
        <v>0</v>
      </c>
      <c r="Y146" s="5">
        <f>deaths!Y146-deaths!X146</f>
        <v>0</v>
      </c>
      <c r="Z146" s="5">
        <f>deaths!Z146-deaths!Y146</f>
        <v>0</v>
      </c>
      <c r="AA146" s="5">
        <f>deaths!AA146-deaths!Z146</f>
        <v>0</v>
      </c>
      <c r="AB146" s="5">
        <f>deaths!AB146-deaths!AA146</f>
        <v>0</v>
      </c>
      <c r="AC146" s="5">
        <f>deaths!AC146-deaths!AB146</f>
        <v>0</v>
      </c>
      <c r="AD146" s="5">
        <f>deaths!AD146-deaths!AC146</f>
        <v>0</v>
      </c>
      <c r="AE146" s="5">
        <f>deaths!AE146-deaths!AD146</f>
        <v>0</v>
      </c>
      <c r="AF146" s="5">
        <f>deaths!AF146-deaths!AE146</f>
        <v>0</v>
      </c>
      <c r="AG146" s="5">
        <f>deaths!AG146-deaths!AF146</f>
        <v>0</v>
      </c>
      <c r="AH146" s="5">
        <f>deaths!AH146-deaths!AG146</f>
        <v>0</v>
      </c>
      <c r="AI146" s="5">
        <f>deaths!AI146-deaths!AH146</f>
        <v>0</v>
      </c>
      <c r="AJ146" s="5">
        <f>deaths!AJ146-deaths!AI146</f>
        <v>0</v>
      </c>
      <c r="AK146" s="5">
        <f>deaths!AK146-deaths!AJ146</f>
        <v>0</v>
      </c>
      <c r="AL146" s="5">
        <f>deaths!AL146-deaths!AK146</f>
        <v>0</v>
      </c>
      <c r="AM146" s="5">
        <f>deaths!AM146-deaths!AL146</f>
        <v>0</v>
      </c>
      <c r="AN146" s="5">
        <f>deaths!AN146-deaths!AM146</f>
        <v>0</v>
      </c>
      <c r="AO146" s="5">
        <f>deaths!AO146-deaths!AN146</f>
        <v>0</v>
      </c>
      <c r="AP146" s="5">
        <f>deaths!AP146-deaths!AO146</f>
        <v>0</v>
      </c>
      <c r="AQ146" s="5">
        <f>deaths!AQ146-deaths!AP146</f>
        <v>0</v>
      </c>
      <c r="AR146" s="5">
        <f>deaths!AR146-deaths!AQ146</f>
        <v>0</v>
      </c>
      <c r="AS146" s="5">
        <f>deaths!AS146-deaths!AR146</f>
        <v>0</v>
      </c>
      <c r="AT146" s="5">
        <f>deaths!AT146-deaths!AS146</f>
        <v>0</v>
      </c>
      <c r="AU146" s="5">
        <f>deaths!AU146-deaths!AT146</f>
        <v>0</v>
      </c>
      <c r="AV146" s="5">
        <f>deaths!AV146-deaths!AU146</f>
        <v>0</v>
      </c>
      <c r="AW146" s="5">
        <f>deaths!AW146-deaths!AV146</f>
        <v>0</v>
      </c>
      <c r="AX146" s="5">
        <f>deaths!AX146-deaths!AW146</f>
        <v>0</v>
      </c>
      <c r="AY146" s="5">
        <f>deaths!AY146-deaths!AX146</f>
        <v>0</v>
      </c>
      <c r="AZ146" s="5">
        <f>deaths!AZ146-deaths!AY146</f>
        <v>0</v>
      </c>
      <c r="BA146" s="5">
        <f>deaths!BA146-deaths!AZ146</f>
        <v>0</v>
      </c>
      <c r="BB146" s="5">
        <f>deaths!BB146-deaths!BA146</f>
        <v>0</v>
      </c>
      <c r="BC146" s="5">
        <f>deaths!BC146-deaths!BB146</f>
        <v>0</v>
      </c>
      <c r="BD146" s="5">
        <f>deaths!BD146-deaths!BC146</f>
        <v>0</v>
      </c>
      <c r="BE146" s="5">
        <f>deaths!BE146-deaths!BD146</f>
        <v>0</v>
      </c>
      <c r="BF146" s="5">
        <f>deaths!BF146-deaths!BE146</f>
        <v>0</v>
      </c>
      <c r="BG146" s="5">
        <f>deaths!BG146-deaths!BF146</f>
        <v>0</v>
      </c>
      <c r="BH146" s="5">
        <f>deaths!BH146-deaths!BG146</f>
        <v>0</v>
      </c>
      <c r="BI146" s="5">
        <f>deaths!BI146-deaths!BH146</f>
        <v>0</v>
      </c>
      <c r="BJ146" s="5">
        <f>deaths!BJ146-deaths!BI146</f>
        <v>0</v>
      </c>
      <c r="BK146" s="5">
        <f>deaths!BK146-deaths!BJ146</f>
        <v>0</v>
      </c>
      <c r="BL146" s="5">
        <f>deaths!BL146-deaths!BK146</f>
        <v>0</v>
      </c>
      <c r="BM146" s="5">
        <f>deaths!BM146-deaths!BL146</f>
        <v>0</v>
      </c>
      <c r="BN146" s="5">
        <f>deaths!BN146-deaths!BM146</f>
        <v>0</v>
      </c>
      <c r="BO146" s="5">
        <f>deaths!BO146-deaths!BN146</f>
        <v>0</v>
      </c>
      <c r="BP146" s="5">
        <f>deaths!BP146-deaths!BO146</f>
        <v>0</v>
      </c>
      <c r="BQ146" s="5">
        <f>deaths!BQ146-deaths!BP146</f>
        <v>0</v>
      </c>
      <c r="BR146" s="5">
        <f>deaths!BR146-deaths!BQ146</f>
        <v>0</v>
      </c>
      <c r="BS146" s="5">
        <f>deaths!BS146-deaths!BR146</f>
        <v>0</v>
      </c>
      <c r="BT146" s="5">
        <f>deaths!BT146-deaths!BS146</f>
        <v>0</v>
      </c>
      <c r="BU146" s="5">
        <f>deaths!BU146-deaths!BT146</f>
        <v>0</v>
      </c>
      <c r="BV146" s="5">
        <f>deaths!BV146-deaths!BU146</f>
        <v>0</v>
      </c>
      <c r="BW146" s="5">
        <f>deaths!BW146-deaths!BV146</f>
        <v>0</v>
      </c>
      <c r="BX146" s="5">
        <f>deaths!BX146-deaths!BW146</f>
        <v>0</v>
      </c>
      <c r="BY146" s="5">
        <f>deaths!BY146-deaths!BX146</f>
        <v>0</v>
      </c>
      <c r="BZ146" s="1">
        <f>deaths!BZ146</f>
        <v>1</v>
      </c>
      <c r="CA146" s="1">
        <f>deaths!CA146</f>
        <v>1</v>
      </c>
      <c r="CB146" s="1">
        <f>deaths!CB146</f>
        <v>1</v>
      </c>
      <c r="CC146" s="1" t="str">
        <f>deaths!CC146</f>
        <v/>
      </c>
    </row>
    <row r="147">
      <c r="B147" s="1" t="str">
        <f>deaths!B147</f>
        <v>Kyrgyzstan</v>
      </c>
      <c r="C147" s="4">
        <f>deaths!C147</f>
        <v>41.2044</v>
      </c>
      <c r="D147" s="4">
        <f>deaths!D147</f>
        <v>74.7661</v>
      </c>
      <c r="E147" s="5">
        <f>deaths!E147</f>
        <v>0</v>
      </c>
      <c r="F147" s="5">
        <f>deaths!F147-deaths!E147</f>
        <v>0</v>
      </c>
      <c r="G147" s="5">
        <f>deaths!G147-deaths!F147</f>
        <v>0</v>
      </c>
      <c r="H147" s="5">
        <f>deaths!H147-deaths!G147</f>
        <v>0</v>
      </c>
      <c r="I147" s="5">
        <f>deaths!I147-deaths!H147</f>
        <v>0</v>
      </c>
      <c r="J147" s="5">
        <f>deaths!J147-deaths!I147</f>
        <v>0</v>
      </c>
      <c r="K147" s="5">
        <f>deaths!K147-deaths!J147</f>
        <v>0</v>
      </c>
      <c r="L147" s="5">
        <f>deaths!L147-deaths!K147</f>
        <v>0</v>
      </c>
      <c r="M147" s="5">
        <f>deaths!M147-deaths!L147</f>
        <v>0</v>
      </c>
      <c r="N147" s="5">
        <f>deaths!N147-deaths!M147</f>
        <v>0</v>
      </c>
      <c r="O147" s="5">
        <f>deaths!O147-deaths!N147</f>
        <v>0</v>
      </c>
      <c r="P147" s="5">
        <f>deaths!P147-deaths!O147</f>
        <v>0</v>
      </c>
      <c r="Q147" s="5">
        <f>deaths!Q147-deaths!P147</f>
        <v>0</v>
      </c>
      <c r="R147" s="5">
        <f>deaths!R147-deaths!Q147</f>
        <v>0</v>
      </c>
      <c r="S147" s="5">
        <f>deaths!S147-deaths!R147</f>
        <v>0</v>
      </c>
      <c r="T147" s="5">
        <f>deaths!T147-deaths!S147</f>
        <v>0</v>
      </c>
      <c r="U147" s="5">
        <f>deaths!U147-deaths!T147</f>
        <v>0</v>
      </c>
      <c r="V147" s="5">
        <f>deaths!V147-deaths!U147</f>
        <v>0</v>
      </c>
      <c r="W147" s="5">
        <f>deaths!W147-deaths!V147</f>
        <v>0</v>
      </c>
      <c r="X147" s="5">
        <f>deaths!X147-deaths!W147</f>
        <v>0</v>
      </c>
      <c r="Y147" s="5">
        <f>deaths!Y147-deaths!X147</f>
        <v>0</v>
      </c>
      <c r="Z147" s="5">
        <f>deaths!Z147-deaths!Y147</f>
        <v>0</v>
      </c>
      <c r="AA147" s="5">
        <f>deaths!AA147-deaths!Z147</f>
        <v>0</v>
      </c>
      <c r="AB147" s="5">
        <f>deaths!AB147-deaths!AA147</f>
        <v>0</v>
      </c>
      <c r="AC147" s="5">
        <f>deaths!AC147-deaths!AB147</f>
        <v>0</v>
      </c>
      <c r="AD147" s="5">
        <f>deaths!AD147-deaths!AC147</f>
        <v>0</v>
      </c>
      <c r="AE147" s="5">
        <f>deaths!AE147-deaths!AD147</f>
        <v>0</v>
      </c>
      <c r="AF147" s="5">
        <f>deaths!AF147-deaths!AE147</f>
        <v>0</v>
      </c>
      <c r="AG147" s="5">
        <f>deaths!AG147-deaths!AF147</f>
        <v>0</v>
      </c>
      <c r="AH147" s="5">
        <f>deaths!AH147-deaths!AG147</f>
        <v>0</v>
      </c>
      <c r="AI147" s="5">
        <f>deaths!AI147-deaths!AH147</f>
        <v>0</v>
      </c>
      <c r="AJ147" s="5">
        <f>deaths!AJ147-deaths!AI147</f>
        <v>0</v>
      </c>
      <c r="AK147" s="5">
        <f>deaths!AK147-deaths!AJ147</f>
        <v>0</v>
      </c>
      <c r="AL147" s="5">
        <f>deaths!AL147-deaths!AK147</f>
        <v>0</v>
      </c>
      <c r="AM147" s="5">
        <f>deaths!AM147-deaths!AL147</f>
        <v>0</v>
      </c>
      <c r="AN147" s="5">
        <f>deaths!AN147-deaths!AM147</f>
        <v>0</v>
      </c>
      <c r="AO147" s="5">
        <f>deaths!AO147-deaths!AN147</f>
        <v>0</v>
      </c>
      <c r="AP147" s="5">
        <f>deaths!AP147-deaths!AO147</f>
        <v>0</v>
      </c>
      <c r="AQ147" s="5">
        <f>deaths!AQ147-deaths!AP147</f>
        <v>0</v>
      </c>
      <c r="AR147" s="5">
        <f>deaths!AR147-deaths!AQ147</f>
        <v>0</v>
      </c>
      <c r="AS147" s="5">
        <f>deaths!AS147-deaths!AR147</f>
        <v>0</v>
      </c>
      <c r="AT147" s="5">
        <f>deaths!AT147-deaths!AS147</f>
        <v>0</v>
      </c>
      <c r="AU147" s="5">
        <f>deaths!AU147-deaths!AT147</f>
        <v>0</v>
      </c>
      <c r="AV147" s="5">
        <f>deaths!AV147-deaths!AU147</f>
        <v>0</v>
      </c>
      <c r="AW147" s="5">
        <f>deaths!AW147-deaths!AV147</f>
        <v>0</v>
      </c>
      <c r="AX147" s="5">
        <f>deaths!AX147-deaths!AW147</f>
        <v>0</v>
      </c>
      <c r="AY147" s="5">
        <f>deaths!AY147-deaths!AX147</f>
        <v>0</v>
      </c>
      <c r="AZ147" s="5">
        <f>deaths!AZ147-deaths!AY147</f>
        <v>0</v>
      </c>
      <c r="BA147" s="5">
        <f>deaths!BA147-deaths!AZ147</f>
        <v>0</v>
      </c>
      <c r="BB147" s="5">
        <f>deaths!BB147-deaths!BA147</f>
        <v>0</v>
      </c>
      <c r="BC147" s="5">
        <f>deaths!BC147-deaths!BB147</f>
        <v>0</v>
      </c>
      <c r="BD147" s="5">
        <f>deaths!BD147-deaths!BC147</f>
        <v>0</v>
      </c>
      <c r="BE147" s="5">
        <f>deaths!BE147-deaths!BD147</f>
        <v>0</v>
      </c>
      <c r="BF147" s="5">
        <f>deaths!BF147-deaths!BE147</f>
        <v>0</v>
      </c>
      <c r="BG147" s="5">
        <f>deaths!BG147-deaths!BF147</f>
        <v>0</v>
      </c>
      <c r="BH147" s="5">
        <f>deaths!BH147-deaths!BG147</f>
        <v>0</v>
      </c>
      <c r="BI147" s="5">
        <f>deaths!BI147-deaths!BH147</f>
        <v>0</v>
      </c>
      <c r="BJ147" s="5">
        <f>deaths!BJ147-deaths!BI147</f>
        <v>0</v>
      </c>
      <c r="BK147" s="5">
        <f>deaths!BK147-deaths!BJ147</f>
        <v>0</v>
      </c>
      <c r="BL147" s="5">
        <f>deaths!BL147-deaths!BK147</f>
        <v>0</v>
      </c>
      <c r="BM147" s="5">
        <f>deaths!BM147-deaths!BL147</f>
        <v>0</v>
      </c>
      <c r="BN147" s="5">
        <f>deaths!BN147-deaths!BM147</f>
        <v>0</v>
      </c>
      <c r="BO147" s="5">
        <f>deaths!BO147-deaths!BN147</f>
        <v>0</v>
      </c>
      <c r="BP147" s="5">
        <f>deaths!BP147-deaths!BO147</f>
        <v>0</v>
      </c>
      <c r="BQ147" s="5">
        <f>deaths!BQ147-deaths!BP147</f>
        <v>0</v>
      </c>
      <c r="BR147" s="5">
        <f>deaths!BR147-deaths!BQ147</f>
        <v>0</v>
      </c>
      <c r="BS147" s="5">
        <f>deaths!BS147-deaths!BR147</f>
        <v>0</v>
      </c>
      <c r="BT147" s="5">
        <f>deaths!BT147-deaths!BS147</f>
        <v>0</v>
      </c>
      <c r="BU147" s="5">
        <f>deaths!BU147-deaths!BT147</f>
        <v>0</v>
      </c>
      <c r="BV147" s="5">
        <f>deaths!BV147-deaths!BU147</f>
        <v>0</v>
      </c>
      <c r="BW147" s="5">
        <f>deaths!BW147-deaths!BV147</f>
        <v>0</v>
      </c>
      <c r="BX147" s="5">
        <f>deaths!BX147-deaths!BW147</f>
        <v>0</v>
      </c>
      <c r="BY147" s="5">
        <f>deaths!BY147-deaths!BX147</f>
        <v>1</v>
      </c>
      <c r="BZ147" s="1">
        <f>deaths!BZ147</f>
        <v>1</v>
      </c>
      <c r="CA147" s="1">
        <f>deaths!CA147</f>
        <v>1</v>
      </c>
      <c r="CB147" s="1">
        <f>deaths!CB147</f>
        <v>4</v>
      </c>
      <c r="CC147" s="1" t="str">
        <f>deaths!CC147</f>
        <v/>
      </c>
    </row>
    <row r="148">
      <c r="B148" s="1" t="str">
        <f>deaths!B148</f>
        <v>Latvia</v>
      </c>
      <c r="C148" s="4">
        <f>deaths!C148</f>
        <v>56.8796</v>
      </c>
      <c r="D148" s="4">
        <f>deaths!D148</f>
        <v>24.6032</v>
      </c>
      <c r="E148" s="5">
        <f>deaths!E148</f>
        <v>0</v>
      </c>
      <c r="F148" s="5">
        <f>deaths!F148-deaths!E148</f>
        <v>0</v>
      </c>
      <c r="G148" s="5">
        <f>deaths!G148-deaths!F148</f>
        <v>0</v>
      </c>
      <c r="H148" s="5">
        <f>deaths!H148-deaths!G148</f>
        <v>0</v>
      </c>
      <c r="I148" s="5">
        <f>deaths!I148-deaths!H148</f>
        <v>0</v>
      </c>
      <c r="J148" s="5">
        <f>deaths!J148-deaths!I148</f>
        <v>0</v>
      </c>
      <c r="K148" s="5">
        <f>deaths!K148-deaths!J148</f>
        <v>0</v>
      </c>
      <c r="L148" s="5">
        <f>deaths!L148-deaths!K148</f>
        <v>0</v>
      </c>
      <c r="M148" s="5">
        <f>deaths!M148-deaths!L148</f>
        <v>0</v>
      </c>
      <c r="N148" s="5">
        <f>deaths!N148-deaths!M148</f>
        <v>0</v>
      </c>
      <c r="O148" s="5">
        <f>deaths!O148-deaths!N148</f>
        <v>0</v>
      </c>
      <c r="P148" s="5">
        <f>deaths!P148-deaths!O148</f>
        <v>0</v>
      </c>
      <c r="Q148" s="5">
        <f>deaths!Q148-deaths!P148</f>
        <v>0</v>
      </c>
      <c r="R148" s="5">
        <f>deaths!R148-deaths!Q148</f>
        <v>0</v>
      </c>
      <c r="S148" s="5">
        <f>deaths!S148-deaths!R148</f>
        <v>0</v>
      </c>
      <c r="T148" s="5">
        <f>deaths!T148-deaths!S148</f>
        <v>0</v>
      </c>
      <c r="U148" s="5">
        <f>deaths!U148-deaths!T148</f>
        <v>0</v>
      </c>
      <c r="V148" s="5">
        <f>deaths!V148-deaths!U148</f>
        <v>0</v>
      </c>
      <c r="W148" s="5">
        <f>deaths!W148-deaths!V148</f>
        <v>0</v>
      </c>
      <c r="X148" s="5">
        <f>deaths!X148-deaths!W148</f>
        <v>0</v>
      </c>
      <c r="Y148" s="5">
        <f>deaths!Y148-deaths!X148</f>
        <v>0</v>
      </c>
      <c r="Z148" s="5">
        <f>deaths!Z148-deaths!Y148</f>
        <v>0</v>
      </c>
      <c r="AA148" s="5">
        <f>deaths!AA148-deaths!Z148</f>
        <v>0</v>
      </c>
      <c r="AB148" s="5">
        <f>deaths!AB148-deaths!AA148</f>
        <v>0</v>
      </c>
      <c r="AC148" s="5">
        <f>deaths!AC148-deaths!AB148</f>
        <v>0</v>
      </c>
      <c r="AD148" s="5">
        <f>deaths!AD148-deaths!AC148</f>
        <v>0</v>
      </c>
      <c r="AE148" s="5">
        <f>deaths!AE148-deaths!AD148</f>
        <v>0</v>
      </c>
      <c r="AF148" s="5">
        <f>deaths!AF148-deaths!AE148</f>
        <v>0</v>
      </c>
      <c r="AG148" s="5">
        <f>deaths!AG148-deaths!AF148</f>
        <v>0</v>
      </c>
      <c r="AH148" s="5">
        <f>deaths!AH148-deaths!AG148</f>
        <v>0</v>
      </c>
      <c r="AI148" s="5">
        <f>deaths!AI148-deaths!AH148</f>
        <v>0</v>
      </c>
      <c r="AJ148" s="5">
        <f>deaths!AJ148-deaths!AI148</f>
        <v>0</v>
      </c>
      <c r="AK148" s="5">
        <f>deaths!AK148-deaths!AJ148</f>
        <v>0</v>
      </c>
      <c r="AL148" s="5">
        <f>deaths!AL148-deaths!AK148</f>
        <v>0</v>
      </c>
      <c r="AM148" s="5">
        <f>deaths!AM148-deaths!AL148</f>
        <v>0</v>
      </c>
      <c r="AN148" s="5">
        <f>deaths!AN148-deaths!AM148</f>
        <v>0</v>
      </c>
      <c r="AO148" s="5">
        <f>deaths!AO148-deaths!AN148</f>
        <v>0</v>
      </c>
      <c r="AP148" s="5">
        <f>deaths!AP148-deaths!AO148</f>
        <v>0</v>
      </c>
      <c r="AQ148" s="5">
        <f>deaths!AQ148-deaths!AP148</f>
        <v>0</v>
      </c>
      <c r="AR148" s="5">
        <f>deaths!AR148-deaths!AQ148</f>
        <v>0</v>
      </c>
      <c r="AS148" s="5">
        <f>deaths!AS148-deaths!AR148</f>
        <v>0</v>
      </c>
      <c r="AT148" s="5">
        <f>deaths!AT148-deaths!AS148</f>
        <v>0</v>
      </c>
      <c r="AU148" s="5">
        <f>deaths!AU148-deaths!AT148</f>
        <v>0</v>
      </c>
      <c r="AV148" s="5">
        <f>deaths!AV148-deaths!AU148</f>
        <v>0</v>
      </c>
      <c r="AW148" s="5">
        <f>deaths!AW148-deaths!AV148</f>
        <v>0</v>
      </c>
      <c r="AX148" s="5">
        <f>deaths!AX148-deaths!AW148</f>
        <v>0</v>
      </c>
      <c r="AY148" s="5">
        <f>deaths!AY148-deaths!AX148</f>
        <v>0</v>
      </c>
      <c r="AZ148" s="5">
        <f>deaths!AZ148-deaths!AY148</f>
        <v>0</v>
      </c>
      <c r="BA148" s="5">
        <f>deaths!BA148-deaths!AZ148</f>
        <v>0</v>
      </c>
      <c r="BB148" s="5">
        <f>deaths!BB148-deaths!BA148</f>
        <v>0</v>
      </c>
      <c r="BC148" s="5">
        <f>deaths!BC148-deaths!BB148</f>
        <v>0</v>
      </c>
      <c r="BD148" s="5">
        <f>deaths!BD148-deaths!BC148</f>
        <v>0</v>
      </c>
      <c r="BE148" s="5">
        <f>deaths!BE148-deaths!BD148</f>
        <v>0</v>
      </c>
      <c r="BF148" s="5">
        <f>deaths!BF148-deaths!BE148</f>
        <v>0</v>
      </c>
      <c r="BG148" s="5">
        <f>deaths!BG148-deaths!BF148</f>
        <v>0</v>
      </c>
      <c r="BH148" s="5">
        <f>deaths!BH148-deaths!BG148</f>
        <v>0</v>
      </c>
      <c r="BI148" s="5">
        <f>deaths!BI148-deaths!BH148</f>
        <v>0</v>
      </c>
      <c r="BJ148" s="5">
        <f>deaths!BJ148-deaths!BI148</f>
        <v>0</v>
      </c>
      <c r="BK148" s="5">
        <f>deaths!BK148-deaths!BJ148</f>
        <v>0</v>
      </c>
      <c r="BL148" s="5">
        <f>deaths!BL148-deaths!BK148</f>
        <v>0</v>
      </c>
      <c r="BM148" s="5">
        <f>deaths!BM148-deaths!BL148</f>
        <v>0</v>
      </c>
      <c r="BN148" s="5">
        <f>deaths!BN148-deaths!BM148</f>
        <v>0</v>
      </c>
      <c r="BO148" s="5">
        <f>deaths!BO148-deaths!BN148</f>
        <v>0</v>
      </c>
      <c r="BP148" s="5">
        <f>deaths!BP148-deaths!BO148</f>
        <v>0</v>
      </c>
      <c r="BQ148" s="5">
        <f>deaths!BQ148-deaths!BP148</f>
        <v>0</v>
      </c>
      <c r="BR148" s="5">
        <f>deaths!BR148-deaths!BQ148</f>
        <v>0</v>
      </c>
      <c r="BS148" s="5">
        <f>deaths!BS148-deaths!BR148</f>
        <v>0</v>
      </c>
      <c r="BT148" s="5">
        <f>deaths!BT148-deaths!BS148</f>
        <v>0</v>
      </c>
      <c r="BU148" s="5">
        <f>deaths!BU148-deaths!BT148</f>
        <v>0</v>
      </c>
      <c r="BV148" s="5">
        <f>deaths!BV148-deaths!BU148</f>
        <v>0</v>
      </c>
      <c r="BW148" s="5">
        <f>deaths!BW148-deaths!BV148</f>
        <v>0</v>
      </c>
      <c r="BX148" s="5">
        <f>deaths!BX148-deaths!BW148</f>
        <v>0</v>
      </c>
      <c r="BY148" s="5">
        <f>deaths!BY148-deaths!BX148</f>
        <v>1</v>
      </c>
      <c r="BZ148" s="1">
        <f>deaths!BZ148</f>
        <v>1</v>
      </c>
      <c r="CA148" s="1">
        <f>deaths!CA148</f>
        <v>1</v>
      </c>
      <c r="CB148" s="1">
        <f>deaths!CB148</f>
        <v>1</v>
      </c>
      <c r="CC148" s="1" t="str">
        <f>deaths!CC148</f>
        <v/>
      </c>
    </row>
    <row r="149">
      <c r="B149" s="1" t="str">
        <f>deaths!B149</f>
        <v>Lebanon</v>
      </c>
      <c r="C149" s="4">
        <f>deaths!C149</f>
        <v>33.8547</v>
      </c>
      <c r="D149" s="4">
        <f>deaths!D149</f>
        <v>35.8623</v>
      </c>
      <c r="E149" s="5">
        <f>deaths!E149</f>
        <v>0</v>
      </c>
      <c r="F149" s="5">
        <f>deaths!F149-deaths!E149</f>
        <v>0</v>
      </c>
      <c r="G149" s="5">
        <f>deaths!G149-deaths!F149</f>
        <v>0</v>
      </c>
      <c r="H149" s="5">
        <f>deaths!H149-deaths!G149</f>
        <v>0</v>
      </c>
      <c r="I149" s="5">
        <f>deaths!I149-deaths!H149</f>
        <v>0</v>
      </c>
      <c r="J149" s="5">
        <f>deaths!J149-deaths!I149</f>
        <v>0</v>
      </c>
      <c r="K149" s="5">
        <f>deaths!K149-deaths!J149</f>
        <v>0</v>
      </c>
      <c r="L149" s="5">
        <f>deaths!L149-deaths!K149</f>
        <v>0</v>
      </c>
      <c r="M149" s="5">
        <f>deaths!M149-deaths!L149</f>
        <v>0</v>
      </c>
      <c r="N149" s="5">
        <f>deaths!N149-deaths!M149</f>
        <v>0</v>
      </c>
      <c r="O149" s="5">
        <f>deaths!O149-deaths!N149</f>
        <v>0</v>
      </c>
      <c r="P149" s="5">
        <f>deaths!P149-deaths!O149</f>
        <v>0</v>
      </c>
      <c r="Q149" s="5">
        <f>deaths!Q149-deaths!P149</f>
        <v>0</v>
      </c>
      <c r="R149" s="5">
        <f>deaths!R149-deaths!Q149</f>
        <v>0</v>
      </c>
      <c r="S149" s="5">
        <f>deaths!S149-deaths!R149</f>
        <v>0</v>
      </c>
      <c r="T149" s="5">
        <f>deaths!T149-deaths!S149</f>
        <v>0</v>
      </c>
      <c r="U149" s="5">
        <f>deaths!U149-deaths!T149</f>
        <v>0</v>
      </c>
      <c r="V149" s="5">
        <f>deaths!V149-deaths!U149</f>
        <v>0</v>
      </c>
      <c r="W149" s="5">
        <f>deaths!W149-deaths!V149</f>
        <v>0</v>
      </c>
      <c r="X149" s="5">
        <f>deaths!X149-deaths!W149</f>
        <v>0</v>
      </c>
      <c r="Y149" s="5">
        <f>deaths!Y149-deaths!X149</f>
        <v>0</v>
      </c>
      <c r="Z149" s="5">
        <f>deaths!Z149-deaths!Y149</f>
        <v>0</v>
      </c>
      <c r="AA149" s="5">
        <f>deaths!AA149-deaths!Z149</f>
        <v>0</v>
      </c>
      <c r="AB149" s="5">
        <f>deaths!AB149-deaths!AA149</f>
        <v>0</v>
      </c>
      <c r="AC149" s="5">
        <f>deaths!AC149-deaths!AB149</f>
        <v>0</v>
      </c>
      <c r="AD149" s="5">
        <f>deaths!AD149-deaths!AC149</f>
        <v>0</v>
      </c>
      <c r="AE149" s="5">
        <f>deaths!AE149-deaths!AD149</f>
        <v>0</v>
      </c>
      <c r="AF149" s="5">
        <f>deaths!AF149-deaths!AE149</f>
        <v>0</v>
      </c>
      <c r="AG149" s="5">
        <f>deaths!AG149-deaths!AF149</f>
        <v>0</v>
      </c>
      <c r="AH149" s="5">
        <f>deaths!AH149-deaths!AG149</f>
        <v>0</v>
      </c>
      <c r="AI149" s="5">
        <f>deaths!AI149-deaths!AH149</f>
        <v>0</v>
      </c>
      <c r="AJ149" s="5">
        <f>deaths!AJ149-deaths!AI149</f>
        <v>0</v>
      </c>
      <c r="AK149" s="5">
        <f>deaths!AK149-deaths!AJ149</f>
        <v>0</v>
      </c>
      <c r="AL149" s="5">
        <f>deaths!AL149-deaths!AK149</f>
        <v>0</v>
      </c>
      <c r="AM149" s="5">
        <f>deaths!AM149-deaths!AL149</f>
        <v>0</v>
      </c>
      <c r="AN149" s="5">
        <f>deaths!AN149-deaths!AM149</f>
        <v>0</v>
      </c>
      <c r="AO149" s="5">
        <f>deaths!AO149-deaths!AN149</f>
        <v>0</v>
      </c>
      <c r="AP149" s="5">
        <f>deaths!AP149-deaths!AO149</f>
        <v>0</v>
      </c>
      <c r="AQ149" s="5">
        <f>deaths!AQ149-deaths!AP149</f>
        <v>0</v>
      </c>
      <c r="AR149" s="5">
        <f>deaths!AR149-deaths!AQ149</f>
        <v>0</v>
      </c>
      <c r="AS149" s="5">
        <f>deaths!AS149-deaths!AR149</f>
        <v>0</v>
      </c>
      <c r="AT149" s="5">
        <f>deaths!AT149-deaths!AS149</f>
        <v>0</v>
      </c>
      <c r="AU149" s="5">
        <f>deaths!AU149-deaths!AT149</f>
        <v>0</v>
      </c>
      <c r="AV149" s="5">
        <f>deaths!AV149-deaths!AU149</f>
        <v>0</v>
      </c>
      <c r="AW149" s="5">
        <f>deaths!AW149-deaths!AV149</f>
        <v>0</v>
      </c>
      <c r="AX149" s="5">
        <f>deaths!AX149-deaths!AW149</f>
        <v>0</v>
      </c>
      <c r="AY149" s="5">
        <f>deaths!AY149-deaths!AX149</f>
        <v>0</v>
      </c>
      <c r="AZ149" s="5">
        <f>deaths!AZ149-deaths!AY149</f>
        <v>0</v>
      </c>
      <c r="BA149" s="5">
        <f>deaths!BA149-deaths!AZ149</f>
        <v>1</v>
      </c>
      <c r="BB149" s="5">
        <f>deaths!BB149-deaths!BA149</f>
        <v>2</v>
      </c>
      <c r="BC149" s="5">
        <f>deaths!BC149-deaths!BB149</f>
        <v>0</v>
      </c>
      <c r="BD149" s="5">
        <f>deaths!BD149-deaths!BC149</f>
        <v>0</v>
      </c>
      <c r="BE149" s="5">
        <f>deaths!BE149-deaths!BD149</f>
        <v>0</v>
      </c>
      <c r="BF149" s="5">
        <f>deaths!BF149-deaths!BE149</f>
        <v>0</v>
      </c>
      <c r="BG149" s="5">
        <f>deaths!BG149-deaths!BF149</f>
        <v>0</v>
      </c>
      <c r="BH149" s="5">
        <f>deaths!BH149-deaths!BG149</f>
        <v>0</v>
      </c>
      <c r="BI149" s="5">
        <f>deaths!BI149-deaths!BH149</f>
        <v>0</v>
      </c>
      <c r="BJ149" s="5">
        <f>deaths!BJ149-deaths!BI149</f>
        <v>1</v>
      </c>
      <c r="BK149" s="5">
        <f>deaths!BK149-deaths!BJ149</f>
        <v>0</v>
      </c>
      <c r="BL149" s="5">
        <f>deaths!BL149-deaths!BK149</f>
        <v>0</v>
      </c>
      <c r="BM149" s="5">
        <f>deaths!BM149-deaths!BL149</f>
        <v>0</v>
      </c>
      <c r="BN149" s="5">
        <f>deaths!BN149-deaths!BM149</f>
        <v>0</v>
      </c>
      <c r="BO149" s="5">
        <f>deaths!BO149-deaths!BN149</f>
        <v>0</v>
      </c>
      <c r="BP149" s="5">
        <f>deaths!BP149-deaths!BO149</f>
        <v>2</v>
      </c>
      <c r="BQ149" s="5">
        <f>deaths!BQ149-deaths!BP149</f>
        <v>0</v>
      </c>
      <c r="BR149" s="5">
        <f>deaths!BR149-deaths!BQ149</f>
        <v>2</v>
      </c>
      <c r="BS149" s="5">
        <f>deaths!BS149-deaths!BR149</f>
        <v>0</v>
      </c>
      <c r="BT149" s="5">
        <f>deaths!BT149-deaths!BS149</f>
        <v>2</v>
      </c>
      <c r="BU149" s="5">
        <f>deaths!BU149-deaths!BT149</f>
        <v>1</v>
      </c>
      <c r="BV149" s="5">
        <f>deaths!BV149-deaths!BU149</f>
        <v>1</v>
      </c>
      <c r="BW149" s="5">
        <f>deaths!BW149-deaths!BV149</f>
        <v>2</v>
      </c>
      <c r="BX149" s="5">
        <f>deaths!BX149-deaths!BW149</f>
        <v>2</v>
      </c>
      <c r="BY149" s="5">
        <f>deaths!BY149-deaths!BX149</f>
        <v>1</v>
      </c>
      <c r="BZ149" s="1">
        <f>deaths!BZ149</f>
        <v>17</v>
      </c>
      <c r="CA149" s="1">
        <f>deaths!CA149</f>
        <v>18</v>
      </c>
      <c r="CB149" s="1">
        <f>deaths!CB149</f>
        <v>19</v>
      </c>
      <c r="CC149" s="1" t="str">
        <f>deaths!CC149</f>
        <v/>
      </c>
    </row>
    <row r="150">
      <c r="B150" s="1" t="str">
        <f>deaths!B150</f>
        <v>Liberia</v>
      </c>
      <c r="C150" s="4">
        <f>deaths!C150</f>
        <v>6.4281</v>
      </c>
      <c r="D150" s="4">
        <f>deaths!D150</f>
        <v>-9.4295</v>
      </c>
      <c r="E150" s="5">
        <f>deaths!E150</f>
        <v>0</v>
      </c>
      <c r="F150" s="5">
        <f>deaths!F150-deaths!E150</f>
        <v>0</v>
      </c>
      <c r="G150" s="5">
        <f>deaths!G150-deaths!F150</f>
        <v>0</v>
      </c>
      <c r="H150" s="5">
        <f>deaths!H150-deaths!G150</f>
        <v>0</v>
      </c>
      <c r="I150" s="5">
        <f>deaths!I150-deaths!H150</f>
        <v>0</v>
      </c>
      <c r="J150" s="5">
        <f>deaths!J150-deaths!I150</f>
        <v>0</v>
      </c>
      <c r="K150" s="5">
        <f>deaths!K150-deaths!J150</f>
        <v>0</v>
      </c>
      <c r="L150" s="5">
        <f>deaths!L150-deaths!K150</f>
        <v>0</v>
      </c>
      <c r="M150" s="5">
        <f>deaths!M150-deaths!L150</f>
        <v>0</v>
      </c>
      <c r="N150" s="5">
        <f>deaths!N150-deaths!M150</f>
        <v>0</v>
      </c>
      <c r="O150" s="5">
        <f>deaths!O150-deaths!N150</f>
        <v>0</v>
      </c>
      <c r="P150" s="5">
        <f>deaths!P150-deaths!O150</f>
        <v>0</v>
      </c>
      <c r="Q150" s="5">
        <f>deaths!Q150-deaths!P150</f>
        <v>0</v>
      </c>
      <c r="R150" s="5">
        <f>deaths!R150-deaths!Q150</f>
        <v>0</v>
      </c>
      <c r="S150" s="5">
        <f>deaths!S150-deaths!R150</f>
        <v>0</v>
      </c>
      <c r="T150" s="5">
        <f>deaths!T150-deaths!S150</f>
        <v>0</v>
      </c>
      <c r="U150" s="5">
        <f>deaths!U150-deaths!T150</f>
        <v>0</v>
      </c>
      <c r="V150" s="5">
        <f>deaths!V150-deaths!U150</f>
        <v>0</v>
      </c>
      <c r="W150" s="5">
        <f>deaths!W150-deaths!V150</f>
        <v>0</v>
      </c>
      <c r="X150" s="5">
        <f>deaths!X150-deaths!W150</f>
        <v>0</v>
      </c>
      <c r="Y150" s="5">
        <f>deaths!Y150-deaths!X150</f>
        <v>0</v>
      </c>
      <c r="Z150" s="5">
        <f>deaths!Z150-deaths!Y150</f>
        <v>0</v>
      </c>
      <c r="AA150" s="5">
        <f>deaths!AA150-deaths!Z150</f>
        <v>0</v>
      </c>
      <c r="AB150" s="5">
        <f>deaths!AB150-deaths!AA150</f>
        <v>0</v>
      </c>
      <c r="AC150" s="5">
        <f>deaths!AC150-deaths!AB150</f>
        <v>0</v>
      </c>
      <c r="AD150" s="5">
        <f>deaths!AD150-deaths!AC150</f>
        <v>0</v>
      </c>
      <c r="AE150" s="5">
        <f>deaths!AE150-deaths!AD150</f>
        <v>0</v>
      </c>
      <c r="AF150" s="5">
        <f>deaths!AF150-deaths!AE150</f>
        <v>0</v>
      </c>
      <c r="AG150" s="5">
        <f>deaths!AG150-deaths!AF150</f>
        <v>0</v>
      </c>
      <c r="AH150" s="5">
        <f>deaths!AH150-deaths!AG150</f>
        <v>0</v>
      </c>
      <c r="AI150" s="5">
        <f>deaths!AI150-deaths!AH150</f>
        <v>0</v>
      </c>
      <c r="AJ150" s="5">
        <f>deaths!AJ150-deaths!AI150</f>
        <v>0</v>
      </c>
      <c r="AK150" s="5">
        <f>deaths!AK150-deaths!AJ150</f>
        <v>0</v>
      </c>
      <c r="AL150" s="5">
        <f>deaths!AL150-deaths!AK150</f>
        <v>0</v>
      </c>
      <c r="AM150" s="5">
        <f>deaths!AM150-deaths!AL150</f>
        <v>0</v>
      </c>
      <c r="AN150" s="5">
        <f>deaths!AN150-deaths!AM150</f>
        <v>0</v>
      </c>
      <c r="AO150" s="5">
        <f>deaths!AO150-deaths!AN150</f>
        <v>0</v>
      </c>
      <c r="AP150" s="5">
        <f>deaths!AP150-deaths!AO150</f>
        <v>0</v>
      </c>
      <c r="AQ150" s="5">
        <f>deaths!AQ150-deaths!AP150</f>
        <v>0</v>
      </c>
      <c r="AR150" s="5">
        <f>deaths!AR150-deaths!AQ150</f>
        <v>0</v>
      </c>
      <c r="AS150" s="5">
        <f>deaths!AS150-deaths!AR150</f>
        <v>0</v>
      </c>
      <c r="AT150" s="5">
        <f>deaths!AT150-deaths!AS150</f>
        <v>0</v>
      </c>
      <c r="AU150" s="5">
        <f>deaths!AU150-deaths!AT150</f>
        <v>0</v>
      </c>
      <c r="AV150" s="5">
        <f>deaths!AV150-deaths!AU150</f>
        <v>0</v>
      </c>
      <c r="AW150" s="5">
        <f>deaths!AW150-deaths!AV150</f>
        <v>0</v>
      </c>
      <c r="AX150" s="5">
        <f>deaths!AX150-deaths!AW150</f>
        <v>0</v>
      </c>
      <c r="AY150" s="5">
        <f>deaths!AY150-deaths!AX150</f>
        <v>0</v>
      </c>
      <c r="AZ150" s="5">
        <f>deaths!AZ150-deaths!AY150</f>
        <v>0</v>
      </c>
      <c r="BA150" s="5">
        <f>deaths!BA150-deaths!AZ150</f>
        <v>0</v>
      </c>
      <c r="BB150" s="5">
        <f>deaths!BB150-deaths!BA150</f>
        <v>0</v>
      </c>
      <c r="BC150" s="5">
        <f>deaths!BC150-deaths!BB150</f>
        <v>0</v>
      </c>
      <c r="BD150" s="5">
        <f>deaths!BD150-deaths!BC150</f>
        <v>0</v>
      </c>
      <c r="BE150" s="5">
        <f>deaths!BE150-deaths!BD150</f>
        <v>0</v>
      </c>
      <c r="BF150" s="5">
        <f>deaths!BF150-deaths!BE150</f>
        <v>0</v>
      </c>
      <c r="BG150" s="5">
        <f>deaths!BG150-deaths!BF150</f>
        <v>0</v>
      </c>
      <c r="BH150" s="5">
        <f>deaths!BH150-deaths!BG150</f>
        <v>0</v>
      </c>
      <c r="BI150" s="5">
        <f>deaths!BI150-deaths!BH150</f>
        <v>0</v>
      </c>
      <c r="BJ150" s="5">
        <f>deaths!BJ150-deaths!BI150</f>
        <v>0</v>
      </c>
      <c r="BK150" s="5">
        <f>deaths!BK150-deaths!BJ150</f>
        <v>0</v>
      </c>
      <c r="BL150" s="5">
        <f>deaths!BL150-deaths!BK150</f>
        <v>0</v>
      </c>
      <c r="BM150" s="5">
        <f>deaths!BM150-deaths!BL150</f>
        <v>0</v>
      </c>
      <c r="BN150" s="5">
        <f>deaths!BN150-deaths!BM150</f>
        <v>0</v>
      </c>
      <c r="BO150" s="5">
        <f>deaths!BO150-deaths!BN150</f>
        <v>0</v>
      </c>
      <c r="BP150" s="5">
        <f>deaths!BP150-deaths!BO150</f>
        <v>0</v>
      </c>
      <c r="BQ150" s="5">
        <f>deaths!BQ150-deaths!BP150</f>
        <v>0</v>
      </c>
      <c r="BR150" s="5">
        <f>deaths!BR150-deaths!BQ150</f>
        <v>0</v>
      </c>
      <c r="BS150" s="5">
        <f>deaths!BS150-deaths!BR150</f>
        <v>0</v>
      </c>
      <c r="BT150" s="5">
        <f>deaths!BT150-deaths!BS150</f>
        <v>0</v>
      </c>
      <c r="BU150" s="5">
        <f>deaths!BU150-deaths!BT150</f>
        <v>0</v>
      </c>
      <c r="BV150" s="5">
        <f>deaths!BV150-deaths!BU150</f>
        <v>0</v>
      </c>
      <c r="BW150" s="5">
        <f>deaths!BW150-deaths!BV150</f>
        <v>0</v>
      </c>
      <c r="BX150" s="5">
        <f>deaths!BX150-deaths!BW150</f>
        <v>0</v>
      </c>
      <c r="BY150" s="5">
        <f>deaths!BY150-deaths!BX150</f>
        <v>0</v>
      </c>
      <c r="BZ150" s="1">
        <f>deaths!BZ150</f>
        <v>1</v>
      </c>
      <c r="CA150" s="1">
        <f>deaths!CA150</f>
        <v>3</v>
      </c>
      <c r="CB150" s="1">
        <f>deaths!CB150</f>
        <v>3</v>
      </c>
      <c r="CC150" s="1" t="str">
        <f>deaths!CC150</f>
        <v/>
      </c>
    </row>
    <row r="151">
      <c r="B151" s="1" t="str">
        <f>deaths!B151</f>
        <v>Liechtenstein</v>
      </c>
      <c r="C151" s="4">
        <f>deaths!C151</f>
        <v>47.14</v>
      </c>
      <c r="D151" s="4">
        <f>deaths!D151</f>
        <v>9.55</v>
      </c>
      <c r="E151" s="5">
        <f>deaths!E151</f>
        <v>0</v>
      </c>
      <c r="F151" s="5">
        <f>deaths!F151-deaths!E151</f>
        <v>0</v>
      </c>
      <c r="G151" s="5">
        <f>deaths!G151-deaths!F151</f>
        <v>0</v>
      </c>
      <c r="H151" s="5">
        <f>deaths!H151-deaths!G151</f>
        <v>0</v>
      </c>
      <c r="I151" s="5">
        <f>deaths!I151-deaths!H151</f>
        <v>0</v>
      </c>
      <c r="J151" s="5">
        <f>deaths!J151-deaths!I151</f>
        <v>0</v>
      </c>
      <c r="K151" s="5">
        <f>deaths!K151-deaths!J151</f>
        <v>0</v>
      </c>
      <c r="L151" s="5">
        <f>deaths!L151-deaths!K151</f>
        <v>0</v>
      </c>
      <c r="M151" s="5">
        <f>deaths!M151-deaths!L151</f>
        <v>0</v>
      </c>
      <c r="N151" s="5">
        <f>deaths!N151-deaths!M151</f>
        <v>0</v>
      </c>
      <c r="O151" s="5">
        <f>deaths!O151-deaths!N151</f>
        <v>0</v>
      </c>
      <c r="P151" s="5">
        <f>deaths!P151-deaths!O151</f>
        <v>0</v>
      </c>
      <c r="Q151" s="5">
        <f>deaths!Q151-deaths!P151</f>
        <v>0</v>
      </c>
      <c r="R151" s="5">
        <f>deaths!R151-deaths!Q151</f>
        <v>0</v>
      </c>
      <c r="S151" s="5">
        <f>deaths!S151-deaths!R151</f>
        <v>0</v>
      </c>
      <c r="T151" s="5">
        <f>deaths!T151-deaths!S151</f>
        <v>0</v>
      </c>
      <c r="U151" s="5">
        <f>deaths!U151-deaths!T151</f>
        <v>0</v>
      </c>
      <c r="V151" s="5">
        <f>deaths!V151-deaths!U151</f>
        <v>0</v>
      </c>
      <c r="W151" s="5">
        <f>deaths!W151-deaths!V151</f>
        <v>0</v>
      </c>
      <c r="X151" s="5">
        <f>deaths!X151-deaths!W151</f>
        <v>0</v>
      </c>
      <c r="Y151" s="5">
        <f>deaths!Y151-deaths!X151</f>
        <v>0</v>
      </c>
      <c r="Z151" s="5">
        <f>deaths!Z151-deaths!Y151</f>
        <v>0</v>
      </c>
      <c r="AA151" s="5">
        <f>deaths!AA151-deaths!Z151</f>
        <v>0</v>
      </c>
      <c r="AB151" s="5">
        <f>deaths!AB151-deaths!AA151</f>
        <v>0</v>
      </c>
      <c r="AC151" s="5">
        <f>deaths!AC151-deaths!AB151</f>
        <v>0</v>
      </c>
      <c r="AD151" s="5">
        <f>deaths!AD151-deaths!AC151</f>
        <v>0</v>
      </c>
      <c r="AE151" s="5">
        <f>deaths!AE151-deaths!AD151</f>
        <v>0</v>
      </c>
      <c r="AF151" s="5">
        <f>deaths!AF151-deaths!AE151</f>
        <v>0</v>
      </c>
      <c r="AG151" s="5">
        <f>deaths!AG151-deaths!AF151</f>
        <v>0</v>
      </c>
      <c r="AH151" s="5">
        <f>deaths!AH151-deaths!AG151</f>
        <v>0</v>
      </c>
      <c r="AI151" s="5">
        <f>deaths!AI151-deaths!AH151</f>
        <v>0</v>
      </c>
      <c r="AJ151" s="5">
        <f>deaths!AJ151-deaths!AI151</f>
        <v>0</v>
      </c>
      <c r="AK151" s="5">
        <f>deaths!AK151-deaths!AJ151</f>
        <v>0</v>
      </c>
      <c r="AL151" s="5">
        <f>deaths!AL151-deaths!AK151</f>
        <v>0</v>
      </c>
      <c r="AM151" s="5">
        <f>deaths!AM151-deaths!AL151</f>
        <v>0</v>
      </c>
      <c r="AN151" s="5">
        <f>deaths!AN151-deaths!AM151</f>
        <v>0</v>
      </c>
      <c r="AO151" s="5">
        <f>deaths!AO151-deaths!AN151</f>
        <v>0</v>
      </c>
      <c r="AP151" s="5">
        <f>deaths!AP151-deaths!AO151</f>
        <v>0</v>
      </c>
      <c r="AQ151" s="5">
        <f>deaths!AQ151-deaths!AP151</f>
        <v>0</v>
      </c>
      <c r="AR151" s="5">
        <f>deaths!AR151-deaths!AQ151</f>
        <v>0</v>
      </c>
      <c r="AS151" s="5">
        <f>deaths!AS151-deaths!AR151</f>
        <v>0</v>
      </c>
      <c r="AT151" s="5">
        <f>deaths!AT151-deaths!AS151</f>
        <v>0</v>
      </c>
      <c r="AU151" s="5">
        <f>deaths!AU151-deaths!AT151</f>
        <v>0</v>
      </c>
      <c r="AV151" s="5">
        <f>deaths!AV151-deaths!AU151</f>
        <v>0</v>
      </c>
      <c r="AW151" s="5">
        <f>deaths!AW151-deaths!AV151</f>
        <v>0</v>
      </c>
      <c r="AX151" s="5">
        <f>deaths!AX151-deaths!AW151</f>
        <v>0</v>
      </c>
      <c r="AY151" s="5">
        <f>deaths!AY151-deaths!AX151</f>
        <v>0</v>
      </c>
      <c r="AZ151" s="5">
        <f>deaths!AZ151-deaths!AY151</f>
        <v>0</v>
      </c>
      <c r="BA151" s="5">
        <f>deaths!BA151-deaths!AZ151</f>
        <v>0</v>
      </c>
      <c r="BB151" s="5">
        <f>deaths!BB151-deaths!BA151</f>
        <v>0</v>
      </c>
      <c r="BC151" s="5">
        <f>deaths!BC151-deaths!BB151</f>
        <v>0</v>
      </c>
      <c r="BD151" s="5">
        <f>deaths!BD151-deaths!BC151</f>
        <v>0</v>
      </c>
      <c r="BE151" s="5">
        <f>deaths!BE151-deaths!BD151</f>
        <v>0</v>
      </c>
      <c r="BF151" s="5">
        <f>deaths!BF151-deaths!BE151</f>
        <v>0</v>
      </c>
      <c r="BG151" s="5">
        <f>deaths!BG151-deaths!BF151</f>
        <v>0</v>
      </c>
      <c r="BH151" s="5">
        <f>deaths!BH151-deaths!BG151</f>
        <v>0</v>
      </c>
      <c r="BI151" s="5">
        <f>deaths!BI151-deaths!BH151</f>
        <v>0</v>
      </c>
      <c r="BJ151" s="5">
        <f>deaths!BJ151-deaths!BI151</f>
        <v>0</v>
      </c>
      <c r="BK151" s="5">
        <f>deaths!BK151-deaths!BJ151</f>
        <v>0</v>
      </c>
      <c r="BL151" s="5">
        <f>deaths!BL151-deaths!BK151</f>
        <v>0</v>
      </c>
      <c r="BM151" s="5">
        <f>deaths!BM151-deaths!BL151</f>
        <v>0</v>
      </c>
      <c r="BN151" s="5">
        <f>deaths!BN151-deaths!BM151</f>
        <v>0</v>
      </c>
      <c r="BO151" s="5">
        <f>deaths!BO151-deaths!BN151</f>
        <v>0</v>
      </c>
      <c r="BP151" s="5">
        <f>deaths!BP151-deaths!BO151</f>
        <v>0</v>
      </c>
      <c r="BQ151" s="5">
        <f>deaths!BQ151-deaths!BP151</f>
        <v>0</v>
      </c>
      <c r="BR151" s="5">
        <f>deaths!BR151-deaths!BQ151</f>
        <v>0</v>
      </c>
      <c r="BS151" s="5">
        <f>deaths!BS151-deaths!BR151</f>
        <v>0</v>
      </c>
      <c r="BT151" s="5">
        <f>deaths!BT151-deaths!BS151</f>
        <v>0</v>
      </c>
      <c r="BU151" s="5">
        <f>deaths!BU151-deaths!BT151</f>
        <v>0</v>
      </c>
      <c r="BV151" s="5">
        <f>deaths!BV151-deaths!BU151</f>
        <v>0</v>
      </c>
      <c r="BW151" s="5">
        <f>deaths!BW151-deaths!BV151</f>
        <v>0</v>
      </c>
      <c r="BX151" s="5">
        <f>deaths!BX151-deaths!BW151</f>
        <v>0</v>
      </c>
      <c r="BY151" s="5">
        <f>deaths!BY151-deaths!BX151</f>
        <v>0</v>
      </c>
      <c r="BZ151" s="1">
        <f>deaths!BZ151</f>
        <v>1</v>
      </c>
      <c r="CA151" s="1">
        <f>deaths!CA151</f>
        <v>1</v>
      </c>
      <c r="CB151" s="1">
        <f>deaths!CB151</f>
        <v>1</v>
      </c>
      <c r="CC151" s="1" t="str">
        <f>deaths!CC151</f>
        <v/>
      </c>
    </row>
    <row r="152">
      <c r="B152" s="1" t="str">
        <f>deaths!B152</f>
        <v>Lithuania</v>
      </c>
      <c r="C152" s="4">
        <f>deaths!C152</f>
        <v>55.1694</v>
      </c>
      <c r="D152" s="4">
        <f>deaths!D152</f>
        <v>23.8813</v>
      </c>
      <c r="E152" s="5">
        <f>deaths!E152</f>
        <v>0</v>
      </c>
      <c r="F152" s="5">
        <f>deaths!F152-deaths!E152</f>
        <v>0</v>
      </c>
      <c r="G152" s="5">
        <f>deaths!G152-deaths!F152</f>
        <v>0</v>
      </c>
      <c r="H152" s="5">
        <f>deaths!H152-deaths!G152</f>
        <v>0</v>
      </c>
      <c r="I152" s="5">
        <f>deaths!I152-deaths!H152</f>
        <v>0</v>
      </c>
      <c r="J152" s="5">
        <f>deaths!J152-deaths!I152</f>
        <v>0</v>
      </c>
      <c r="K152" s="5">
        <f>deaths!K152-deaths!J152</f>
        <v>0</v>
      </c>
      <c r="L152" s="5">
        <f>deaths!L152-deaths!K152</f>
        <v>0</v>
      </c>
      <c r="M152" s="5">
        <f>deaths!M152-deaths!L152</f>
        <v>0</v>
      </c>
      <c r="N152" s="5">
        <f>deaths!N152-deaths!M152</f>
        <v>0</v>
      </c>
      <c r="O152" s="5">
        <f>deaths!O152-deaths!N152</f>
        <v>0</v>
      </c>
      <c r="P152" s="5">
        <f>deaths!P152-deaths!O152</f>
        <v>0</v>
      </c>
      <c r="Q152" s="5">
        <f>deaths!Q152-deaths!P152</f>
        <v>0</v>
      </c>
      <c r="R152" s="5">
        <f>deaths!R152-deaths!Q152</f>
        <v>0</v>
      </c>
      <c r="S152" s="5">
        <f>deaths!S152-deaths!R152</f>
        <v>0</v>
      </c>
      <c r="T152" s="5">
        <f>deaths!T152-deaths!S152</f>
        <v>0</v>
      </c>
      <c r="U152" s="5">
        <f>deaths!U152-deaths!T152</f>
        <v>0</v>
      </c>
      <c r="V152" s="5">
        <f>deaths!V152-deaths!U152</f>
        <v>0</v>
      </c>
      <c r="W152" s="5">
        <f>deaths!W152-deaths!V152</f>
        <v>0</v>
      </c>
      <c r="X152" s="5">
        <f>deaths!X152-deaths!W152</f>
        <v>0</v>
      </c>
      <c r="Y152" s="5">
        <f>deaths!Y152-deaths!X152</f>
        <v>0</v>
      </c>
      <c r="Z152" s="5">
        <f>deaths!Z152-deaths!Y152</f>
        <v>0</v>
      </c>
      <c r="AA152" s="5">
        <f>deaths!AA152-deaths!Z152</f>
        <v>0</v>
      </c>
      <c r="AB152" s="5">
        <f>deaths!AB152-deaths!AA152</f>
        <v>0</v>
      </c>
      <c r="AC152" s="5">
        <f>deaths!AC152-deaths!AB152</f>
        <v>0</v>
      </c>
      <c r="AD152" s="5">
        <f>deaths!AD152-deaths!AC152</f>
        <v>0</v>
      </c>
      <c r="AE152" s="5">
        <f>deaths!AE152-deaths!AD152</f>
        <v>0</v>
      </c>
      <c r="AF152" s="5">
        <f>deaths!AF152-deaths!AE152</f>
        <v>0</v>
      </c>
      <c r="AG152" s="5">
        <f>deaths!AG152-deaths!AF152</f>
        <v>0</v>
      </c>
      <c r="AH152" s="5">
        <f>deaths!AH152-deaths!AG152</f>
        <v>0</v>
      </c>
      <c r="AI152" s="5">
        <f>deaths!AI152-deaths!AH152</f>
        <v>0</v>
      </c>
      <c r="AJ152" s="5">
        <f>deaths!AJ152-deaths!AI152</f>
        <v>0</v>
      </c>
      <c r="AK152" s="5">
        <f>deaths!AK152-deaths!AJ152</f>
        <v>0</v>
      </c>
      <c r="AL152" s="5">
        <f>deaths!AL152-deaths!AK152</f>
        <v>0</v>
      </c>
      <c r="AM152" s="5">
        <f>deaths!AM152-deaths!AL152</f>
        <v>0</v>
      </c>
      <c r="AN152" s="5">
        <f>deaths!AN152-deaths!AM152</f>
        <v>0</v>
      </c>
      <c r="AO152" s="5">
        <f>deaths!AO152-deaths!AN152</f>
        <v>0</v>
      </c>
      <c r="AP152" s="5">
        <f>deaths!AP152-deaths!AO152</f>
        <v>0</v>
      </c>
      <c r="AQ152" s="5">
        <f>deaths!AQ152-deaths!AP152</f>
        <v>0</v>
      </c>
      <c r="AR152" s="5">
        <f>deaths!AR152-deaths!AQ152</f>
        <v>0</v>
      </c>
      <c r="AS152" s="5">
        <f>deaths!AS152-deaths!AR152</f>
        <v>0</v>
      </c>
      <c r="AT152" s="5">
        <f>deaths!AT152-deaths!AS152</f>
        <v>0</v>
      </c>
      <c r="AU152" s="5">
        <f>deaths!AU152-deaths!AT152</f>
        <v>0</v>
      </c>
      <c r="AV152" s="5">
        <f>deaths!AV152-deaths!AU152</f>
        <v>0</v>
      </c>
      <c r="AW152" s="5">
        <f>deaths!AW152-deaths!AV152</f>
        <v>0</v>
      </c>
      <c r="AX152" s="5">
        <f>deaths!AX152-deaths!AW152</f>
        <v>0</v>
      </c>
      <c r="AY152" s="5">
        <f>deaths!AY152-deaths!AX152</f>
        <v>0</v>
      </c>
      <c r="AZ152" s="5">
        <f>deaths!AZ152-deaths!AY152</f>
        <v>0</v>
      </c>
      <c r="BA152" s="5">
        <f>deaths!BA152-deaths!AZ152</f>
        <v>0</v>
      </c>
      <c r="BB152" s="5">
        <f>deaths!BB152-deaths!BA152</f>
        <v>0</v>
      </c>
      <c r="BC152" s="5">
        <f>deaths!BC152-deaths!BB152</f>
        <v>0</v>
      </c>
      <c r="BD152" s="5">
        <f>deaths!BD152-deaths!BC152</f>
        <v>0</v>
      </c>
      <c r="BE152" s="5">
        <f>deaths!BE152-deaths!BD152</f>
        <v>0</v>
      </c>
      <c r="BF152" s="5">
        <f>deaths!BF152-deaths!BE152</f>
        <v>0</v>
      </c>
      <c r="BG152" s="5">
        <f>deaths!BG152-deaths!BF152</f>
        <v>0</v>
      </c>
      <c r="BH152" s="5">
        <f>deaths!BH152-deaths!BG152</f>
        <v>0</v>
      </c>
      <c r="BI152" s="5">
        <f>deaths!BI152-deaths!BH152</f>
        <v>0</v>
      </c>
      <c r="BJ152" s="5">
        <f>deaths!BJ152-deaths!BI152</f>
        <v>0</v>
      </c>
      <c r="BK152" s="5">
        <f>deaths!BK152-deaths!BJ152</f>
        <v>0</v>
      </c>
      <c r="BL152" s="5">
        <f>deaths!BL152-deaths!BK152</f>
        <v>1</v>
      </c>
      <c r="BM152" s="5">
        <f>deaths!BM152-deaths!BL152</f>
        <v>0</v>
      </c>
      <c r="BN152" s="5">
        <f>deaths!BN152-deaths!BM152</f>
        <v>0</v>
      </c>
      <c r="BO152" s="5">
        <f>deaths!BO152-deaths!BN152</f>
        <v>1</v>
      </c>
      <c r="BP152" s="5">
        <f>deaths!BP152-deaths!BO152</f>
        <v>2</v>
      </c>
      <c r="BQ152" s="5">
        <f>deaths!BQ152-deaths!BP152</f>
        <v>0</v>
      </c>
      <c r="BR152" s="5">
        <f>deaths!BR152-deaths!BQ152</f>
        <v>1</v>
      </c>
      <c r="BS152" s="5">
        <f>deaths!BS152-deaths!BR152</f>
        <v>2</v>
      </c>
      <c r="BT152" s="5">
        <f>deaths!BT152-deaths!BS152</f>
        <v>0</v>
      </c>
      <c r="BU152" s="5">
        <f>deaths!BU152-deaths!BT152</f>
        <v>0</v>
      </c>
      <c r="BV152" s="5">
        <f>deaths!BV152-deaths!BU152</f>
        <v>1</v>
      </c>
      <c r="BW152" s="5">
        <f>deaths!BW152-deaths!BV152</f>
        <v>0</v>
      </c>
      <c r="BX152" s="5">
        <f>deaths!BX152-deaths!BW152</f>
        <v>1</v>
      </c>
      <c r="BY152" s="5">
        <f>deaths!BY152-deaths!BX152</f>
        <v>0</v>
      </c>
      <c r="BZ152" s="1">
        <f>deaths!BZ152</f>
        <v>11</v>
      </c>
      <c r="CA152" s="1">
        <f>deaths!CA152</f>
        <v>13</v>
      </c>
      <c r="CB152" s="1">
        <f>deaths!CB152</f>
        <v>15</v>
      </c>
      <c r="CC152" s="1" t="str">
        <f>deaths!CC152</f>
        <v/>
      </c>
    </row>
    <row r="153">
      <c r="B153" s="1" t="str">
        <f>deaths!B153</f>
        <v>Luxembourg</v>
      </c>
      <c r="C153" s="4">
        <f>deaths!C153</f>
        <v>49.8153</v>
      </c>
      <c r="D153" s="4">
        <f>deaths!D153</f>
        <v>6.1296</v>
      </c>
      <c r="E153" s="5">
        <f>deaths!E153</f>
        <v>0</v>
      </c>
      <c r="F153" s="5">
        <f>deaths!F153-deaths!E153</f>
        <v>0</v>
      </c>
      <c r="G153" s="5">
        <f>deaths!G153-deaths!F153</f>
        <v>0</v>
      </c>
      <c r="H153" s="5">
        <f>deaths!H153-deaths!G153</f>
        <v>0</v>
      </c>
      <c r="I153" s="5">
        <f>deaths!I153-deaths!H153</f>
        <v>0</v>
      </c>
      <c r="J153" s="5">
        <f>deaths!J153-deaths!I153</f>
        <v>0</v>
      </c>
      <c r="K153" s="5">
        <f>deaths!K153-deaths!J153</f>
        <v>0</v>
      </c>
      <c r="L153" s="5">
        <f>deaths!L153-deaths!K153</f>
        <v>0</v>
      </c>
      <c r="M153" s="5">
        <f>deaths!M153-deaths!L153</f>
        <v>0</v>
      </c>
      <c r="N153" s="5">
        <f>deaths!N153-deaths!M153</f>
        <v>0</v>
      </c>
      <c r="O153" s="5">
        <f>deaths!O153-deaths!N153</f>
        <v>0</v>
      </c>
      <c r="P153" s="5">
        <f>deaths!P153-deaths!O153</f>
        <v>0</v>
      </c>
      <c r="Q153" s="5">
        <f>deaths!Q153-deaths!P153</f>
        <v>0</v>
      </c>
      <c r="R153" s="5">
        <f>deaths!R153-deaths!Q153</f>
        <v>0</v>
      </c>
      <c r="S153" s="5">
        <f>deaths!S153-deaths!R153</f>
        <v>0</v>
      </c>
      <c r="T153" s="5">
        <f>deaths!T153-deaths!S153</f>
        <v>0</v>
      </c>
      <c r="U153" s="5">
        <f>deaths!U153-deaths!T153</f>
        <v>0</v>
      </c>
      <c r="V153" s="5">
        <f>deaths!V153-deaths!U153</f>
        <v>0</v>
      </c>
      <c r="W153" s="5">
        <f>deaths!W153-deaths!V153</f>
        <v>0</v>
      </c>
      <c r="X153" s="5">
        <f>deaths!X153-deaths!W153</f>
        <v>0</v>
      </c>
      <c r="Y153" s="5">
        <f>deaths!Y153-deaths!X153</f>
        <v>0</v>
      </c>
      <c r="Z153" s="5">
        <f>deaths!Z153-deaths!Y153</f>
        <v>0</v>
      </c>
      <c r="AA153" s="5">
        <f>deaths!AA153-deaths!Z153</f>
        <v>0</v>
      </c>
      <c r="AB153" s="5">
        <f>deaths!AB153-deaths!AA153</f>
        <v>0</v>
      </c>
      <c r="AC153" s="5">
        <f>deaths!AC153-deaths!AB153</f>
        <v>0</v>
      </c>
      <c r="AD153" s="5">
        <f>deaths!AD153-deaths!AC153</f>
        <v>0</v>
      </c>
      <c r="AE153" s="5">
        <f>deaths!AE153-deaths!AD153</f>
        <v>0</v>
      </c>
      <c r="AF153" s="5">
        <f>deaths!AF153-deaths!AE153</f>
        <v>0</v>
      </c>
      <c r="AG153" s="5">
        <f>deaths!AG153-deaths!AF153</f>
        <v>0</v>
      </c>
      <c r="AH153" s="5">
        <f>deaths!AH153-deaths!AG153</f>
        <v>0</v>
      </c>
      <c r="AI153" s="5">
        <f>deaths!AI153-deaths!AH153</f>
        <v>0</v>
      </c>
      <c r="AJ153" s="5">
        <f>deaths!AJ153-deaths!AI153</f>
        <v>0</v>
      </c>
      <c r="AK153" s="5">
        <f>deaths!AK153-deaths!AJ153</f>
        <v>0</v>
      </c>
      <c r="AL153" s="5">
        <f>deaths!AL153-deaths!AK153</f>
        <v>0</v>
      </c>
      <c r="AM153" s="5">
        <f>deaths!AM153-deaths!AL153</f>
        <v>0</v>
      </c>
      <c r="AN153" s="5">
        <f>deaths!AN153-deaths!AM153</f>
        <v>0</v>
      </c>
      <c r="AO153" s="5">
        <f>deaths!AO153-deaths!AN153</f>
        <v>0</v>
      </c>
      <c r="AP153" s="5">
        <f>deaths!AP153-deaths!AO153</f>
        <v>0</v>
      </c>
      <c r="AQ153" s="5">
        <f>deaths!AQ153-deaths!AP153</f>
        <v>0</v>
      </c>
      <c r="AR153" s="5">
        <f>deaths!AR153-deaths!AQ153</f>
        <v>0</v>
      </c>
      <c r="AS153" s="5">
        <f>deaths!AS153-deaths!AR153</f>
        <v>0</v>
      </c>
      <c r="AT153" s="5">
        <f>deaths!AT153-deaths!AS153</f>
        <v>0</v>
      </c>
      <c r="AU153" s="5">
        <f>deaths!AU153-deaths!AT153</f>
        <v>0</v>
      </c>
      <c r="AV153" s="5">
        <f>deaths!AV153-deaths!AU153</f>
        <v>0</v>
      </c>
      <c r="AW153" s="5">
        <f>deaths!AW153-deaths!AV153</f>
        <v>0</v>
      </c>
      <c r="AX153" s="5">
        <f>deaths!AX153-deaths!AW153</f>
        <v>0</v>
      </c>
      <c r="AY153" s="5">
        <f>deaths!AY153-deaths!AX153</f>
        <v>0</v>
      </c>
      <c r="AZ153" s="5">
        <f>deaths!AZ153-deaths!AY153</f>
        <v>0</v>
      </c>
      <c r="BA153" s="5">
        <f>deaths!BA153-deaths!AZ153</f>
        <v>0</v>
      </c>
      <c r="BB153" s="5">
        <f>deaths!BB153-deaths!BA153</f>
        <v>0</v>
      </c>
      <c r="BC153" s="5">
        <f>deaths!BC153-deaths!BB153</f>
        <v>0</v>
      </c>
      <c r="BD153" s="5">
        <f>deaths!BD153-deaths!BC153</f>
        <v>0</v>
      </c>
      <c r="BE153" s="5">
        <f>deaths!BE153-deaths!BD153</f>
        <v>1</v>
      </c>
      <c r="BF153" s="5">
        <f>deaths!BF153-deaths!BE153</f>
        <v>0</v>
      </c>
      <c r="BG153" s="5">
        <f>deaths!BG153-deaths!BF153</f>
        <v>0</v>
      </c>
      <c r="BH153" s="5">
        <f>deaths!BH153-deaths!BG153</f>
        <v>0</v>
      </c>
      <c r="BI153" s="5">
        <f>deaths!BI153-deaths!BH153</f>
        <v>1</v>
      </c>
      <c r="BJ153" s="5">
        <f>deaths!BJ153-deaths!BI153</f>
        <v>2</v>
      </c>
      <c r="BK153" s="5">
        <f>deaths!BK153-deaths!BJ153</f>
        <v>0</v>
      </c>
      <c r="BL153" s="5">
        <f>deaths!BL153-deaths!BK153</f>
        <v>4</v>
      </c>
      <c r="BM153" s="5">
        <f>deaths!BM153-deaths!BL153</f>
        <v>0</v>
      </c>
      <c r="BN153" s="5">
        <f>deaths!BN153-deaths!BM153</f>
        <v>0</v>
      </c>
      <c r="BO153" s="5">
        <f>deaths!BO153-deaths!BN153</f>
        <v>0</v>
      </c>
      <c r="BP153" s="5">
        <f>deaths!BP153-deaths!BO153</f>
        <v>0</v>
      </c>
      <c r="BQ153" s="5">
        <f>deaths!BQ153-deaths!BP153</f>
        <v>1</v>
      </c>
      <c r="BR153" s="5">
        <f>deaths!BR153-deaths!BQ153</f>
        <v>6</v>
      </c>
      <c r="BS153" s="5">
        <f>deaths!BS153-deaths!BR153</f>
        <v>3</v>
      </c>
      <c r="BT153" s="5">
        <f>deaths!BT153-deaths!BS153</f>
        <v>3</v>
      </c>
      <c r="BU153" s="5">
        <f>deaths!BU153-deaths!BT153</f>
        <v>1</v>
      </c>
      <c r="BV153" s="5">
        <f>deaths!BV153-deaths!BU153</f>
        <v>1</v>
      </c>
      <c r="BW153" s="5">
        <f>deaths!BW153-deaths!BV153</f>
        <v>6</v>
      </c>
      <c r="BX153" s="5">
        <f>deaths!BX153-deaths!BW153</f>
        <v>1</v>
      </c>
      <c r="BY153" s="5">
        <f>deaths!BY153-deaths!BX153</f>
        <v>1</v>
      </c>
      <c r="BZ153" s="1">
        <f>deaths!BZ153</f>
        <v>31</v>
      </c>
      <c r="CA153" s="1">
        <f>deaths!CA153</f>
        <v>36</v>
      </c>
      <c r="CB153" s="1">
        <f>deaths!CB153</f>
        <v>41</v>
      </c>
      <c r="CC153" s="1" t="str">
        <f>deaths!CC153</f>
        <v/>
      </c>
    </row>
    <row r="154">
      <c r="B154" s="1" t="str">
        <f>deaths!B154</f>
        <v>Madagascar</v>
      </c>
      <c r="C154" s="4">
        <f>deaths!C154</f>
        <v>-18.7669</v>
      </c>
      <c r="D154" s="4">
        <f>deaths!D154</f>
        <v>46.8691</v>
      </c>
      <c r="E154" s="5">
        <f>deaths!E154</f>
        <v>0</v>
      </c>
      <c r="F154" s="5">
        <f>deaths!F154-deaths!E154</f>
        <v>0</v>
      </c>
      <c r="G154" s="5">
        <f>deaths!G154-deaths!F154</f>
        <v>0</v>
      </c>
      <c r="H154" s="5">
        <f>deaths!H154-deaths!G154</f>
        <v>0</v>
      </c>
      <c r="I154" s="5">
        <f>deaths!I154-deaths!H154</f>
        <v>0</v>
      </c>
      <c r="J154" s="5">
        <f>deaths!J154-deaths!I154</f>
        <v>0</v>
      </c>
      <c r="K154" s="5">
        <f>deaths!K154-deaths!J154</f>
        <v>0</v>
      </c>
      <c r="L154" s="5">
        <f>deaths!L154-deaths!K154</f>
        <v>0</v>
      </c>
      <c r="M154" s="5">
        <f>deaths!M154-deaths!L154</f>
        <v>0</v>
      </c>
      <c r="N154" s="5">
        <f>deaths!N154-deaths!M154</f>
        <v>0</v>
      </c>
      <c r="O154" s="5">
        <f>deaths!O154-deaths!N154</f>
        <v>0</v>
      </c>
      <c r="P154" s="5">
        <f>deaths!P154-deaths!O154</f>
        <v>0</v>
      </c>
      <c r="Q154" s="5">
        <f>deaths!Q154-deaths!P154</f>
        <v>0</v>
      </c>
      <c r="R154" s="5">
        <f>deaths!R154-deaths!Q154</f>
        <v>0</v>
      </c>
      <c r="S154" s="5">
        <f>deaths!S154-deaths!R154</f>
        <v>0</v>
      </c>
      <c r="T154" s="5">
        <f>deaths!T154-deaths!S154</f>
        <v>0</v>
      </c>
      <c r="U154" s="5">
        <f>deaths!U154-deaths!T154</f>
        <v>0</v>
      </c>
      <c r="V154" s="5">
        <f>deaths!V154-deaths!U154</f>
        <v>0</v>
      </c>
      <c r="W154" s="5">
        <f>deaths!W154-deaths!V154</f>
        <v>0</v>
      </c>
      <c r="X154" s="5">
        <f>deaths!X154-deaths!W154</f>
        <v>0</v>
      </c>
      <c r="Y154" s="5">
        <f>deaths!Y154-deaths!X154</f>
        <v>0</v>
      </c>
      <c r="Z154" s="5">
        <f>deaths!Z154-deaths!Y154</f>
        <v>0</v>
      </c>
      <c r="AA154" s="5">
        <f>deaths!AA154-deaths!Z154</f>
        <v>0</v>
      </c>
      <c r="AB154" s="5">
        <f>deaths!AB154-deaths!AA154</f>
        <v>0</v>
      </c>
      <c r="AC154" s="5">
        <f>deaths!AC154-deaths!AB154</f>
        <v>0</v>
      </c>
      <c r="AD154" s="5">
        <f>deaths!AD154-deaths!AC154</f>
        <v>0</v>
      </c>
      <c r="AE154" s="5">
        <f>deaths!AE154-deaths!AD154</f>
        <v>0</v>
      </c>
      <c r="AF154" s="5">
        <f>deaths!AF154-deaths!AE154</f>
        <v>0</v>
      </c>
      <c r="AG154" s="5">
        <f>deaths!AG154-deaths!AF154</f>
        <v>0</v>
      </c>
      <c r="AH154" s="5">
        <f>deaths!AH154-deaths!AG154</f>
        <v>0</v>
      </c>
      <c r="AI154" s="5">
        <f>deaths!AI154-deaths!AH154</f>
        <v>0</v>
      </c>
      <c r="AJ154" s="5">
        <f>deaths!AJ154-deaths!AI154</f>
        <v>0</v>
      </c>
      <c r="AK154" s="5">
        <f>deaths!AK154-deaths!AJ154</f>
        <v>0</v>
      </c>
      <c r="AL154" s="5">
        <f>deaths!AL154-deaths!AK154</f>
        <v>0</v>
      </c>
      <c r="AM154" s="5">
        <f>deaths!AM154-deaths!AL154</f>
        <v>0</v>
      </c>
      <c r="AN154" s="5">
        <f>deaths!AN154-deaths!AM154</f>
        <v>0</v>
      </c>
      <c r="AO154" s="5">
        <f>deaths!AO154-deaths!AN154</f>
        <v>0</v>
      </c>
      <c r="AP154" s="5">
        <f>deaths!AP154-deaths!AO154</f>
        <v>0</v>
      </c>
      <c r="AQ154" s="5">
        <f>deaths!AQ154-deaths!AP154</f>
        <v>0</v>
      </c>
      <c r="AR154" s="5">
        <f>deaths!AR154-deaths!AQ154</f>
        <v>0</v>
      </c>
      <c r="AS154" s="5">
        <f>deaths!AS154-deaths!AR154</f>
        <v>0</v>
      </c>
      <c r="AT154" s="5">
        <f>deaths!AT154-deaths!AS154</f>
        <v>0</v>
      </c>
      <c r="AU154" s="5">
        <f>deaths!AU154-deaths!AT154</f>
        <v>0</v>
      </c>
      <c r="AV154" s="5">
        <f>deaths!AV154-deaths!AU154</f>
        <v>0</v>
      </c>
      <c r="AW154" s="5">
        <f>deaths!AW154-deaths!AV154</f>
        <v>0</v>
      </c>
      <c r="AX154" s="5">
        <f>deaths!AX154-deaths!AW154</f>
        <v>0</v>
      </c>
      <c r="AY154" s="5">
        <f>deaths!AY154-deaths!AX154</f>
        <v>0</v>
      </c>
      <c r="AZ154" s="5">
        <f>deaths!AZ154-deaths!AY154</f>
        <v>0</v>
      </c>
      <c r="BA154" s="5">
        <f>deaths!BA154-deaths!AZ154</f>
        <v>0</v>
      </c>
      <c r="BB154" s="5">
        <f>deaths!BB154-deaths!BA154</f>
        <v>0</v>
      </c>
      <c r="BC154" s="5">
        <f>deaths!BC154-deaths!BB154</f>
        <v>0</v>
      </c>
      <c r="BD154" s="5">
        <f>deaths!BD154-deaths!BC154</f>
        <v>0</v>
      </c>
      <c r="BE154" s="5">
        <f>deaths!BE154-deaths!BD154</f>
        <v>0</v>
      </c>
      <c r="BF154" s="5">
        <f>deaths!BF154-deaths!BE154</f>
        <v>0</v>
      </c>
      <c r="BG154" s="5">
        <f>deaths!BG154-deaths!BF154</f>
        <v>0</v>
      </c>
      <c r="BH154" s="5">
        <f>deaths!BH154-deaths!BG154</f>
        <v>0</v>
      </c>
      <c r="BI154" s="5">
        <f>deaths!BI154-deaths!BH154</f>
        <v>0</v>
      </c>
      <c r="BJ154" s="5">
        <f>deaths!BJ154-deaths!BI154</f>
        <v>0</v>
      </c>
      <c r="BK154" s="5">
        <f>deaths!BK154-deaths!BJ154</f>
        <v>0</v>
      </c>
      <c r="BL154" s="5">
        <f>deaths!BL154-deaths!BK154</f>
        <v>0</v>
      </c>
      <c r="BM154" s="5">
        <f>deaths!BM154-deaths!BL154</f>
        <v>0</v>
      </c>
      <c r="BN154" s="5">
        <f>deaths!BN154-deaths!BM154</f>
        <v>0</v>
      </c>
      <c r="BO154" s="5">
        <f>deaths!BO154-deaths!BN154</f>
        <v>0</v>
      </c>
      <c r="BP154" s="5">
        <f>deaths!BP154-deaths!BO154</f>
        <v>0</v>
      </c>
      <c r="BQ154" s="5">
        <f>deaths!BQ154-deaths!BP154</f>
        <v>0</v>
      </c>
      <c r="BR154" s="5">
        <f>deaths!BR154-deaths!BQ154</f>
        <v>0</v>
      </c>
      <c r="BS154" s="5">
        <f>deaths!BS154-deaths!BR154</f>
        <v>0</v>
      </c>
      <c r="BT154" s="5">
        <f>deaths!BT154-deaths!BS154</f>
        <v>0</v>
      </c>
      <c r="BU154" s="5">
        <f>deaths!BU154-deaths!BT154</f>
        <v>0</v>
      </c>
      <c r="BV154" s="5">
        <f>deaths!BV154-deaths!BU154</f>
        <v>0</v>
      </c>
      <c r="BW154" s="5">
        <f>deaths!BW154-deaths!BV154</f>
        <v>0</v>
      </c>
      <c r="BX154" s="5">
        <f>deaths!BX154-deaths!BW154</f>
        <v>0</v>
      </c>
      <c r="BY154" s="5">
        <f>deaths!BY154-deaths!BX154</f>
        <v>0</v>
      </c>
      <c r="BZ154" s="1">
        <f>deaths!BZ154</f>
        <v>0</v>
      </c>
      <c r="CA154" s="1">
        <f>deaths!CA154</f>
        <v>0</v>
      </c>
      <c r="CB154" s="1">
        <f>deaths!CB154</f>
        <v>0</v>
      </c>
      <c r="CC154" s="1" t="str">
        <f>deaths!CC154</f>
        <v/>
      </c>
    </row>
    <row r="155">
      <c r="B155" s="1" t="str">
        <f>deaths!B155</f>
        <v>Malaysia</v>
      </c>
      <c r="C155" s="4">
        <f>deaths!C155</f>
        <v>2.5</v>
      </c>
      <c r="D155" s="4">
        <f>deaths!D155</f>
        <v>112.5</v>
      </c>
      <c r="E155" s="5">
        <f>deaths!E155</f>
        <v>0</v>
      </c>
      <c r="F155" s="5">
        <f>deaths!F155-deaths!E155</f>
        <v>0</v>
      </c>
      <c r="G155" s="5">
        <f>deaths!G155-deaths!F155</f>
        <v>0</v>
      </c>
      <c r="H155" s="5">
        <f>deaths!H155-deaths!G155</f>
        <v>0</v>
      </c>
      <c r="I155" s="5">
        <f>deaths!I155-deaths!H155</f>
        <v>0</v>
      </c>
      <c r="J155" s="5">
        <f>deaths!J155-deaths!I155</f>
        <v>0</v>
      </c>
      <c r="K155" s="5">
        <f>deaths!K155-deaths!J155</f>
        <v>0</v>
      </c>
      <c r="L155" s="5">
        <f>deaths!L155-deaths!K155</f>
        <v>0</v>
      </c>
      <c r="M155" s="5">
        <f>deaths!M155-deaths!L155</f>
        <v>0</v>
      </c>
      <c r="N155" s="5">
        <f>deaths!N155-deaths!M155</f>
        <v>0</v>
      </c>
      <c r="O155" s="5">
        <f>deaths!O155-deaths!N155</f>
        <v>0</v>
      </c>
      <c r="P155" s="5">
        <f>deaths!P155-deaths!O155</f>
        <v>0</v>
      </c>
      <c r="Q155" s="5">
        <f>deaths!Q155-deaths!P155</f>
        <v>0</v>
      </c>
      <c r="R155" s="5">
        <f>deaths!R155-deaths!Q155</f>
        <v>0</v>
      </c>
      <c r="S155" s="5">
        <f>deaths!S155-deaths!R155</f>
        <v>0</v>
      </c>
      <c r="T155" s="5">
        <f>deaths!T155-deaths!S155</f>
        <v>0</v>
      </c>
      <c r="U155" s="5">
        <f>deaths!U155-deaths!T155</f>
        <v>0</v>
      </c>
      <c r="V155" s="5">
        <f>deaths!V155-deaths!U155</f>
        <v>0</v>
      </c>
      <c r="W155" s="5">
        <f>deaths!W155-deaths!V155</f>
        <v>0</v>
      </c>
      <c r="X155" s="5">
        <f>deaths!X155-deaths!W155</f>
        <v>0</v>
      </c>
      <c r="Y155" s="5">
        <f>deaths!Y155-deaths!X155</f>
        <v>0</v>
      </c>
      <c r="Z155" s="5">
        <f>deaths!Z155-deaths!Y155</f>
        <v>0</v>
      </c>
      <c r="AA155" s="5">
        <f>deaths!AA155-deaths!Z155</f>
        <v>0</v>
      </c>
      <c r="AB155" s="5">
        <f>deaths!AB155-deaths!AA155</f>
        <v>0</v>
      </c>
      <c r="AC155" s="5">
        <f>deaths!AC155-deaths!AB155</f>
        <v>0</v>
      </c>
      <c r="AD155" s="5">
        <f>deaths!AD155-deaths!AC155</f>
        <v>0</v>
      </c>
      <c r="AE155" s="5">
        <f>deaths!AE155-deaths!AD155</f>
        <v>0</v>
      </c>
      <c r="AF155" s="5">
        <f>deaths!AF155-deaths!AE155</f>
        <v>0</v>
      </c>
      <c r="AG155" s="5">
        <f>deaths!AG155-deaths!AF155</f>
        <v>0</v>
      </c>
      <c r="AH155" s="5">
        <f>deaths!AH155-deaths!AG155</f>
        <v>0</v>
      </c>
      <c r="AI155" s="5">
        <f>deaths!AI155-deaths!AH155</f>
        <v>0</v>
      </c>
      <c r="AJ155" s="5">
        <f>deaths!AJ155-deaths!AI155</f>
        <v>0</v>
      </c>
      <c r="AK155" s="5">
        <f>deaths!AK155-deaths!AJ155</f>
        <v>0</v>
      </c>
      <c r="AL155" s="5">
        <f>deaths!AL155-deaths!AK155</f>
        <v>0</v>
      </c>
      <c r="AM155" s="5">
        <f>deaths!AM155-deaths!AL155</f>
        <v>0</v>
      </c>
      <c r="AN155" s="5">
        <f>deaths!AN155-deaths!AM155</f>
        <v>0</v>
      </c>
      <c r="AO155" s="5">
        <f>deaths!AO155-deaths!AN155</f>
        <v>0</v>
      </c>
      <c r="AP155" s="5">
        <f>deaths!AP155-deaths!AO155</f>
        <v>0</v>
      </c>
      <c r="AQ155" s="5">
        <f>deaths!AQ155-deaths!AP155</f>
        <v>0</v>
      </c>
      <c r="AR155" s="5">
        <f>deaths!AR155-deaths!AQ155</f>
        <v>0</v>
      </c>
      <c r="AS155" s="5">
        <f>deaths!AS155-deaths!AR155</f>
        <v>0</v>
      </c>
      <c r="AT155" s="5">
        <f>deaths!AT155-deaths!AS155</f>
        <v>0</v>
      </c>
      <c r="AU155" s="5">
        <f>deaths!AU155-deaths!AT155</f>
        <v>0</v>
      </c>
      <c r="AV155" s="5">
        <f>deaths!AV155-deaths!AU155</f>
        <v>0</v>
      </c>
      <c r="AW155" s="5">
        <f>deaths!AW155-deaths!AV155</f>
        <v>0</v>
      </c>
      <c r="AX155" s="5">
        <f>deaths!AX155-deaths!AW155</f>
        <v>0</v>
      </c>
      <c r="AY155" s="5">
        <f>deaths!AY155-deaths!AX155</f>
        <v>0</v>
      </c>
      <c r="AZ155" s="5">
        <f>deaths!AZ155-deaths!AY155</f>
        <v>0</v>
      </c>
      <c r="BA155" s="5">
        <f>deaths!BA155-deaths!AZ155</f>
        <v>0</v>
      </c>
      <c r="BB155" s="5">
        <f>deaths!BB155-deaths!BA155</f>
        <v>0</v>
      </c>
      <c r="BC155" s="5">
        <f>deaths!BC155-deaths!BB155</f>
        <v>0</v>
      </c>
      <c r="BD155" s="5">
        <f>deaths!BD155-deaths!BC155</f>
        <v>0</v>
      </c>
      <c r="BE155" s="5">
        <f>deaths!BE155-deaths!BD155</f>
        <v>0</v>
      </c>
      <c r="BF155" s="5">
        <f>deaths!BF155-deaths!BE155</f>
        <v>0</v>
      </c>
      <c r="BG155" s="5">
        <f>deaths!BG155-deaths!BF155</f>
        <v>0</v>
      </c>
      <c r="BH155" s="5">
        <f>deaths!BH155-deaths!BG155</f>
        <v>2</v>
      </c>
      <c r="BI155" s="5">
        <f>deaths!BI155-deaths!BH155</f>
        <v>0</v>
      </c>
      <c r="BJ155" s="5">
        <f>deaths!BJ155-deaths!BI155</f>
        <v>0</v>
      </c>
      <c r="BK155" s="5">
        <f>deaths!BK155-deaths!BJ155</f>
        <v>1</v>
      </c>
      <c r="BL155" s="5">
        <f>deaths!BL155-deaths!BK155</f>
        <v>1</v>
      </c>
      <c r="BM155" s="5">
        <f>deaths!BM155-deaths!BL155</f>
        <v>6</v>
      </c>
      <c r="BN155" s="5">
        <f>deaths!BN155-deaths!BM155</f>
        <v>4</v>
      </c>
      <c r="BO155" s="5">
        <f>deaths!BO155-deaths!BN155</f>
        <v>2</v>
      </c>
      <c r="BP155" s="5">
        <f>deaths!BP155-deaths!BO155</f>
        <v>4</v>
      </c>
      <c r="BQ155" s="5">
        <f>deaths!BQ155-deaths!BP155</f>
        <v>3</v>
      </c>
      <c r="BR155" s="5">
        <f>deaths!BR155-deaths!BQ155</f>
        <v>3</v>
      </c>
      <c r="BS155" s="5">
        <f>deaths!BS155-deaths!BR155</f>
        <v>1</v>
      </c>
      <c r="BT155" s="5">
        <f>deaths!BT155-deaths!BS155</f>
        <v>8</v>
      </c>
      <c r="BU155" s="5">
        <f>deaths!BU155-deaths!BT155</f>
        <v>2</v>
      </c>
      <c r="BV155" s="5">
        <f>deaths!BV155-deaths!BU155</f>
        <v>6</v>
      </c>
      <c r="BW155" s="5">
        <f>deaths!BW155-deaths!BV155</f>
        <v>2</v>
      </c>
      <c r="BX155" s="5">
        <f>deaths!BX155-deaths!BW155</f>
        <v>5</v>
      </c>
      <c r="BY155" s="5">
        <f>deaths!BY155-deaths!BX155</f>
        <v>3</v>
      </c>
      <c r="BZ155" s="1">
        <f>deaths!BZ155</f>
        <v>57</v>
      </c>
      <c r="CA155" s="1">
        <f>deaths!CA155</f>
        <v>61</v>
      </c>
      <c r="CB155" s="1">
        <f>deaths!CB155</f>
        <v>62</v>
      </c>
      <c r="CC155" s="1" t="str">
        <f>deaths!CC155</f>
        <v/>
      </c>
    </row>
    <row r="156">
      <c r="B156" s="1" t="str">
        <f>deaths!B156</f>
        <v>Maldives</v>
      </c>
      <c r="C156" s="4">
        <f>deaths!C156</f>
        <v>3.2028</v>
      </c>
      <c r="D156" s="4">
        <f>deaths!D156</f>
        <v>73.2207</v>
      </c>
      <c r="E156" s="5">
        <f>deaths!E156</f>
        <v>0</v>
      </c>
      <c r="F156" s="5">
        <f>deaths!F156-deaths!E156</f>
        <v>0</v>
      </c>
      <c r="G156" s="5">
        <f>deaths!G156-deaths!F156</f>
        <v>0</v>
      </c>
      <c r="H156" s="5">
        <f>deaths!H156-deaths!G156</f>
        <v>0</v>
      </c>
      <c r="I156" s="5">
        <f>deaths!I156-deaths!H156</f>
        <v>0</v>
      </c>
      <c r="J156" s="5">
        <f>deaths!J156-deaths!I156</f>
        <v>0</v>
      </c>
      <c r="K156" s="5">
        <f>deaths!K156-deaths!J156</f>
        <v>0</v>
      </c>
      <c r="L156" s="5">
        <f>deaths!L156-deaths!K156</f>
        <v>0</v>
      </c>
      <c r="M156" s="5">
        <f>deaths!M156-deaths!L156</f>
        <v>0</v>
      </c>
      <c r="N156" s="5">
        <f>deaths!N156-deaths!M156</f>
        <v>0</v>
      </c>
      <c r="O156" s="5">
        <f>deaths!O156-deaths!N156</f>
        <v>0</v>
      </c>
      <c r="P156" s="5">
        <f>deaths!P156-deaths!O156</f>
        <v>0</v>
      </c>
      <c r="Q156" s="5">
        <f>deaths!Q156-deaths!P156</f>
        <v>0</v>
      </c>
      <c r="R156" s="5">
        <f>deaths!R156-deaths!Q156</f>
        <v>0</v>
      </c>
      <c r="S156" s="5">
        <f>deaths!S156-deaths!R156</f>
        <v>0</v>
      </c>
      <c r="T156" s="5">
        <f>deaths!T156-deaths!S156</f>
        <v>0</v>
      </c>
      <c r="U156" s="5">
        <f>deaths!U156-deaths!T156</f>
        <v>0</v>
      </c>
      <c r="V156" s="5">
        <f>deaths!V156-deaths!U156</f>
        <v>0</v>
      </c>
      <c r="W156" s="5">
        <f>deaths!W156-deaths!V156</f>
        <v>0</v>
      </c>
      <c r="X156" s="5">
        <f>deaths!X156-deaths!W156</f>
        <v>0</v>
      </c>
      <c r="Y156" s="5">
        <f>deaths!Y156-deaths!X156</f>
        <v>0</v>
      </c>
      <c r="Z156" s="5">
        <f>deaths!Z156-deaths!Y156</f>
        <v>0</v>
      </c>
      <c r="AA156" s="5">
        <f>deaths!AA156-deaths!Z156</f>
        <v>0</v>
      </c>
      <c r="AB156" s="5">
        <f>deaths!AB156-deaths!AA156</f>
        <v>0</v>
      </c>
      <c r="AC156" s="5">
        <f>deaths!AC156-deaths!AB156</f>
        <v>0</v>
      </c>
      <c r="AD156" s="5">
        <f>deaths!AD156-deaths!AC156</f>
        <v>0</v>
      </c>
      <c r="AE156" s="5">
        <f>deaths!AE156-deaths!AD156</f>
        <v>0</v>
      </c>
      <c r="AF156" s="5">
        <f>deaths!AF156-deaths!AE156</f>
        <v>0</v>
      </c>
      <c r="AG156" s="5">
        <f>deaths!AG156-deaths!AF156</f>
        <v>0</v>
      </c>
      <c r="AH156" s="5">
        <f>deaths!AH156-deaths!AG156</f>
        <v>0</v>
      </c>
      <c r="AI156" s="5">
        <f>deaths!AI156-deaths!AH156</f>
        <v>0</v>
      </c>
      <c r="AJ156" s="5">
        <f>deaths!AJ156-deaths!AI156</f>
        <v>0</v>
      </c>
      <c r="AK156" s="5">
        <f>deaths!AK156-deaths!AJ156</f>
        <v>0</v>
      </c>
      <c r="AL156" s="5">
        <f>deaths!AL156-deaths!AK156</f>
        <v>0</v>
      </c>
      <c r="AM156" s="5">
        <f>deaths!AM156-deaths!AL156</f>
        <v>0</v>
      </c>
      <c r="AN156" s="5">
        <f>deaths!AN156-deaths!AM156</f>
        <v>0</v>
      </c>
      <c r="AO156" s="5">
        <f>deaths!AO156-deaths!AN156</f>
        <v>0</v>
      </c>
      <c r="AP156" s="5">
        <f>deaths!AP156-deaths!AO156</f>
        <v>0</v>
      </c>
      <c r="AQ156" s="5">
        <f>deaths!AQ156-deaths!AP156</f>
        <v>0</v>
      </c>
      <c r="AR156" s="5">
        <f>deaths!AR156-deaths!AQ156</f>
        <v>0</v>
      </c>
      <c r="AS156" s="5">
        <f>deaths!AS156-deaths!AR156</f>
        <v>0</v>
      </c>
      <c r="AT156" s="5">
        <f>deaths!AT156-deaths!AS156</f>
        <v>0</v>
      </c>
      <c r="AU156" s="5">
        <f>deaths!AU156-deaths!AT156</f>
        <v>0</v>
      </c>
      <c r="AV156" s="5">
        <f>deaths!AV156-deaths!AU156</f>
        <v>0</v>
      </c>
      <c r="AW156" s="5">
        <f>deaths!AW156-deaths!AV156</f>
        <v>0</v>
      </c>
      <c r="AX156" s="5">
        <f>deaths!AX156-deaths!AW156</f>
        <v>0</v>
      </c>
      <c r="AY156" s="5">
        <f>deaths!AY156-deaths!AX156</f>
        <v>0</v>
      </c>
      <c r="AZ156" s="5">
        <f>deaths!AZ156-deaths!AY156</f>
        <v>0</v>
      </c>
      <c r="BA156" s="5">
        <f>deaths!BA156-deaths!AZ156</f>
        <v>0</v>
      </c>
      <c r="BB156" s="5">
        <f>deaths!BB156-deaths!BA156</f>
        <v>0</v>
      </c>
      <c r="BC156" s="5">
        <f>deaths!BC156-deaths!BB156</f>
        <v>0</v>
      </c>
      <c r="BD156" s="5">
        <f>deaths!BD156-deaths!BC156</f>
        <v>0</v>
      </c>
      <c r="BE156" s="5">
        <f>deaths!BE156-deaths!BD156</f>
        <v>0</v>
      </c>
      <c r="BF156" s="5">
        <f>deaths!BF156-deaths!BE156</f>
        <v>0</v>
      </c>
      <c r="BG156" s="5">
        <f>deaths!BG156-deaths!BF156</f>
        <v>0</v>
      </c>
      <c r="BH156" s="5">
        <f>deaths!BH156-deaths!BG156</f>
        <v>0</v>
      </c>
      <c r="BI156" s="5">
        <f>deaths!BI156-deaths!BH156</f>
        <v>0</v>
      </c>
      <c r="BJ156" s="5">
        <f>deaths!BJ156-deaths!BI156</f>
        <v>0</v>
      </c>
      <c r="BK156" s="5">
        <f>deaths!BK156-deaths!BJ156</f>
        <v>0</v>
      </c>
      <c r="BL156" s="5">
        <f>deaths!BL156-deaths!BK156</f>
        <v>0</v>
      </c>
      <c r="BM156" s="5">
        <f>deaths!BM156-deaths!BL156</f>
        <v>0</v>
      </c>
      <c r="BN156" s="5">
        <f>deaths!BN156-deaths!BM156</f>
        <v>0</v>
      </c>
      <c r="BO156" s="5">
        <f>deaths!BO156-deaths!BN156</f>
        <v>0</v>
      </c>
      <c r="BP156" s="5">
        <f>deaths!BP156-deaths!BO156</f>
        <v>0</v>
      </c>
      <c r="BQ156" s="5">
        <f>deaths!BQ156-deaths!BP156</f>
        <v>0</v>
      </c>
      <c r="BR156" s="5">
        <f>deaths!BR156-deaths!BQ156</f>
        <v>0</v>
      </c>
      <c r="BS156" s="5">
        <f>deaths!BS156-deaths!BR156</f>
        <v>0</v>
      </c>
      <c r="BT156" s="5">
        <f>deaths!BT156-deaths!BS156</f>
        <v>0</v>
      </c>
      <c r="BU156" s="5">
        <f>deaths!BU156-deaths!BT156</f>
        <v>0</v>
      </c>
      <c r="BV156" s="5">
        <f>deaths!BV156-deaths!BU156</f>
        <v>0</v>
      </c>
      <c r="BW156" s="5">
        <f>deaths!BW156-deaths!BV156</f>
        <v>0</v>
      </c>
      <c r="BX156" s="5">
        <f>deaths!BX156-deaths!BW156</f>
        <v>0</v>
      </c>
      <c r="BY156" s="5">
        <f>deaths!BY156-deaths!BX156</f>
        <v>0</v>
      </c>
      <c r="BZ156" s="1">
        <f>deaths!BZ156</f>
        <v>0</v>
      </c>
      <c r="CA156" s="1">
        <f>deaths!CA156</f>
        <v>0</v>
      </c>
      <c r="CB156" s="1">
        <f>deaths!CB156</f>
        <v>0</v>
      </c>
      <c r="CC156" s="1" t="str">
        <f>deaths!CC156</f>
        <v/>
      </c>
    </row>
    <row r="157">
      <c r="B157" s="1" t="str">
        <f>deaths!B157</f>
        <v>Malta</v>
      </c>
      <c r="C157" s="4">
        <f>deaths!C157</f>
        <v>35.9375</v>
      </c>
      <c r="D157" s="4">
        <f>deaths!D157</f>
        <v>14.3754</v>
      </c>
      <c r="E157" s="5">
        <f>deaths!E157</f>
        <v>0</v>
      </c>
      <c r="F157" s="5">
        <f>deaths!F157-deaths!E157</f>
        <v>0</v>
      </c>
      <c r="G157" s="5">
        <f>deaths!G157-deaths!F157</f>
        <v>0</v>
      </c>
      <c r="H157" s="5">
        <f>deaths!H157-deaths!G157</f>
        <v>0</v>
      </c>
      <c r="I157" s="5">
        <f>deaths!I157-deaths!H157</f>
        <v>0</v>
      </c>
      <c r="J157" s="5">
        <f>deaths!J157-deaths!I157</f>
        <v>0</v>
      </c>
      <c r="K157" s="5">
        <f>deaths!K157-deaths!J157</f>
        <v>0</v>
      </c>
      <c r="L157" s="5">
        <f>deaths!L157-deaths!K157</f>
        <v>0</v>
      </c>
      <c r="M157" s="5">
        <f>deaths!M157-deaths!L157</f>
        <v>0</v>
      </c>
      <c r="N157" s="5">
        <f>deaths!N157-deaths!M157</f>
        <v>0</v>
      </c>
      <c r="O157" s="5">
        <f>deaths!O157-deaths!N157</f>
        <v>0</v>
      </c>
      <c r="P157" s="5">
        <f>deaths!P157-deaths!O157</f>
        <v>0</v>
      </c>
      <c r="Q157" s="5">
        <f>deaths!Q157-deaths!P157</f>
        <v>0</v>
      </c>
      <c r="R157" s="5">
        <f>deaths!R157-deaths!Q157</f>
        <v>0</v>
      </c>
      <c r="S157" s="5">
        <f>deaths!S157-deaths!R157</f>
        <v>0</v>
      </c>
      <c r="T157" s="5">
        <f>deaths!T157-deaths!S157</f>
        <v>0</v>
      </c>
      <c r="U157" s="5">
        <f>deaths!U157-deaths!T157</f>
        <v>0</v>
      </c>
      <c r="V157" s="5">
        <f>deaths!V157-deaths!U157</f>
        <v>0</v>
      </c>
      <c r="W157" s="5">
        <f>deaths!W157-deaths!V157</f>
        <v>0</v>
      </c>
      <c r="X157" s="5">
        <f>deaths!X157-deaths!W157</f>
        <v>0</v>
      </c>
      <c r="Y157" s="5">
        <f>deaths!Y157-deaths!X157</f>
        <v>0</v>
      </c>
      <c r="Z157" s="5">
        <f>deaths!Z157-deaths!Y157</f>
        <v>0</v>
      </c>
      <c r="AA157" s="5">
        <f>deaths!AA157-deaths!Z157</f>
        <v>0</v>
      </c>
      <c r="AB157" s="5">
        <f>deaths!AB157-deaths!AA157</f>
        <v>0</v>
      </c>
      <c r="AC157" s="5">
        <f>deaths!AC157-deaths!AB157</f>
        <v>0</v>
      </c>
      <c r="AD157" s="5">
        <f>deaths!AD157-deaths!AC157</f>
        <v>0</v>
      </c>
      <c r="AE157" s="5">
        <f>deaths!AE157-deaths!AD157</f>
        <v>0</v>
      </c>
      <c r="AF157" s="5">
        <f>deaths!AF157-deaths!AE157</f>
        <v>0</v>
      </c>
      <c r="AG157" s="5">
        <f>deaths!AG157-deaths!AF157</f>
        <v>0</v>
      </c>
      <c r="AH157" s="5">
        <f>deaths!AH157-deaths!AG157</f>
        <v>0</v>
      </c>
      <c r="AI157" s="5">
        <f>deaths!AI157-deaths!AH157</f>
        <v>0</v>
      </c>
      <c r="AJ157" s="5">
        <f>deaths!AJ157-deaths!AI157</f>
        <v>0</v>
      </c>
      <c r="AK157" s="5">
        <f>deaths!AK157-deaths!AJ157</f>
        <v>0</v>
      </c>
      <c r="AL157" s="5">
        <f>deaths!AL157-deaths!AK157</f>
        <v>0</v>
      </c>
      <c r="AM157" s="5">
        <f>deaths!AM157-deaths!AL157</f>
        <v>0</v>
      </c>
      <c r="AN157" s="5">
        <f>deaths!AN157-deaths!AM157</f>
        <v>0</v>
      </c>
      <c r="AO157" s="5">
        <f>deaths!AO157-deaths!AN157</f>
        <v>0</v>
      </c>
      <c r="AP157" s="5">
        <f>deaths!AP157-deaths!AO157</f>
        <v>0</v>
      </c>
      <c r="AQ157" s="5">
        <f>deaths!AQ157-deaths!AP157</f>
        <v>0</v>
      </c>
      <c r="AR157" s="5">
        <f>deaths!AR157-deaths!AQ157</f>
        <v>0</v>
      </c>
      <c r="AS157" s="5">
        <f>deaths!AS157-deaths!AR157</f>
        <v>0</v>
      </c>
      <c r="AT157" s="5">
        <f>deaths!AT157-deaths!AS157</f>
        <v>0</v>
      </c>
      <c r="AU157" s="5">
        <f>deaths!AU157-deaths!AT157</f>
        <v>0</v>
      </c>
      <c r="AV157" s="5">
        <f>deaths!AV157-deaths!AU157</f>
        <v>0</v>
      </c>
      <c r="AW157" s="5">
        <f>deaths!AW157-deaths!AV157</f>
        <v>0</v>
      </c>
      <c r="AX157" s="5">
        <f>deaths!AX157-deaths!AW157</f>
        <v>0</v>
      </c>
      <c r="AY157" s="5">
        <f>deaths!AY157-deaths!AX157</f>
        <v>0</v>
      </c>
      <c r="AZ157" s="5">
        <f>deaths!AZ157-deaths!AY157</f>
        <v>0</v>
      </c>
      <c r="BA157" s="5">
        <f>deaths!BA157-deaths!AZ157</f>
        <v>0</v>
      </c>
      <c r="BB157" s="5">
        <f>deaths!BB157-deaths!BA157</f>
        <v>0</v>
      </c>
      <c r="BC157" s="5">
        <f>deaths!BC157-deaths!BB157</f>
        <v>0</v>
      </c>
      <c r="BD157" s="5">
        <f>deaths!BD157-deaths!BC157</f>
        <v>0</v>
      </c>
      <c r="BE157" s="5">
        <f>deaths!BE157-deaths!BD157</f>
        <v>0</v>
      </c>
      <c r="BF157" s="5">
        <f>deaths!BF157-deaths!BE157</f>
        <v>0</v>
      </c>
      <c r="BG157" s="5">
        <f>deaths!BG157-deaths!BF157</f>
        <v>0</v>
      </c>
      <c r="BH157" s="5">
        <f>deaths!BH157-deaths!BG157</f>
        <v>0</v>
      </c>
      <c r="BI157" s="5">
        <f>deaths!BI157-deaths!BH157</f>
        <v>0</v>
      </c>
      <c r="BJ157" s="5">
        <f>deaths!BJ157-deaths!BI157</f>
        <v>0</v>
      </c>
      <c r="BK157" s="5">
        <f>deaths!BK157-deaths!BJ157</f>
        <v>0</v>
      </c>
      <c r="BL157" s="5">
        <f>deaths!BL157-deaths!BK157</f>
        <v>0</v>
      </c>
      <c r="BM157" s="5">
        <f>deaths!BM157-deaths!BL157</f>
        <v>0</v>
      </c>
      <c r="BN157" s="5">
        <f>deaths!BN157-deaths!BM157</f>
        <v>0</v>
      </c>
      <c r="BO157" s="5">
        <f>deaths!BO157-deaths!BN157</f>
        <v>0</v>
      </c>
      <c r="BP157" s="5">
        <f>deaths!BP157-deaths!BO157</f>
        <v>0</v>
      </c>
      <c r="BQ157" s="5">
        <f>deaths!BQ157-deaths!BP157</f>
        <v>0</v>
      </c>
      <c r="BR157" s="5">
        <f>deaths!BR157-deaths!BQ157</f>
        <v>0</v>
      </c>
      <c r="BS157" s="5">
        <f>deaths!BS157-deaths!BR157</f>
        <v>0</v>
      </c>
      <c r="BT157" s="5">
        <f>deaths!BT157-deaths!BS157</f>
        <v>0</v>
      </c>
      <c r="BU157" s="5">
        <f>deaths!BU157-deaths!BT157</f>
        <v>0</v>
      </c>
      <c r="BV157" s="5">
        <f>deaths!BV157-deaths!BU157</f>
        <v>0</v>
      </c>
      <c r="BW157" s="5">
        <f>deaths!BW157-deaths!BV157</f>
        <v>0</v>
      </c>
      <c r="BX157" s="5">
        <f>deaths!BX157-deaths!BW157</f>
        <v>0</v>
      </c>
      <c r="BY157" s="5">
        <f>deaths!BY157-deaths!BX157</f>
        <v>0</v>
      </c>
      <c r="BZ157" s="1">
        <f>deaths!BZ157</f>
        <v>0</v>
      </c>
      <c r="CA157" s="1">
        <f>deaths!CA157</f>
        <v>0</v>
      </c>
      <c r="CB157" s="1">
        <f>deaths!CB157</f>
        <v>0</v>
      </c>
      <c r="CC157" s="1" t="str">
        <f>deaths!CC157</f>
        <v/>
      </c>
    </row>
    <row r="158">
      <c r="B158" s="1" t="str">
        <f>deaths!B158</f>
        <v>Mauritania</v>
      </c>
      <c r="C158" s="4">
        <f>deaths!C158</f>
        <v>21.0079</v>
      </c>
      <c r="D158" s="4">
        <f>deaths!D158</f>
        <v>10.9408</v>
      </c>
      <c r="E158" s="5">
        <f>deaths!E158</f>
        <v>0</v>
      </c>
      <c r="F158" s="5">
        <f>deaths!F158-deaths!E158</f>
        <v>0</v>
      </c>
      <c r="G158" s="5">
        <f>deaths!G158-deaths!F158</f>
        <v>0</v>
      </c>
      <c r="H158" s="5">
        <f>deaths!H158-deaths!G158</f>
        <v>0</v>
      </c>
      <c r="I158" s="5">
        <f>deaths!I158-deaths!H158</f>
        <v>0</v>
      </c>
      <c r="J158" s="5">
        <f>deaths!J158-deaths!I158</f>
        <v>0</v>
      </c>
      <c r="K158" s="5">
        <f>deaths!K158-deaths!J158</f>
        <v>0</v>
      </c>
      <c r="L158" s="5">
        <f>deaths!L158-deaths!K158</f>
        <v>0</v>
      </c>
      <c r="M158" s="5">
        <f>deaths!M158-deaths!L158</f>
        <v>0</v>
      </c>
      <c r="N158" s="5">
        <f>deaths!N158-deaths!M158</f>
        <v>0</v>
      </c>
      <c r="O158" s="5">
        <f>deaths!O158-deaths!N158</f>
        <v>0</v>
      </c>
      <c r="P158" s="5">
        <f>deaths!P158-deaths!O158</f>
        <v>0</v>
      </c>
      <c r="Q158" s="5">
        <f>deaths!Q158-deaths!P158</f>
        <v>0</v>
      </c>
      <c r="R158" s="5">
        <f>deaths!R158-deaths!Q158</f>
        <v>0</v>
      </c>
      <c r="S158" s="5">
        <f>deaths!S158-deaths!R158</f>
        <v>0</v>
      </c>
      <c r="T158" s="5">
        <f>deaths!T158-deaths!S158</f>
        <v>0</v>
      </c>
      <c r="U158" s="5">
        <f>deaths!U158-deaths!T158</f>
        <v>0</v>
      </c>
      <c r="V158" s="5">
        <f>deaths!V158-deaths!U158</f>
        <v>0</v>
      </c>
      <c r="W158" s="5">
        <f>deaths!W158-deaths!V158</f>
        <v>0</v>
      </c>
      <c r="X158" s="5">
        <f>deaths!X158-deaths!W158</f>
        <v>0</v>
      </c>
      <c r="Y158" s="5">
        <f>deaths!Y158-deaths!X158</f>
        <v>0</v>
      </c>
      <c r="Z158" s="5">
        <f>deaths!Z158-deaths!Y158</f>
        <v>0</v>
      </c>
      <c r="AA158" s="5">
        <f>deaths!AA158-deaths!Z158</f>
        <v>0</v>
      </c>
      <c r="AB158" s="5">
        <f>deaths!AB158-deaths!AA158</f>
        <v>0</v>
      </c>
      <c r="AC158" s="5">
        <f>deaths!AC158-deaths!AB158</f>
        <v>0</v>
      </c>
      <c r="AD158" s="5">
        <f>deaths!AD158-deaths!AC158</f>
        <v>0</v>
      </c>
      <c r="AE158" s="5">
        <f>deaths!AE158-deaths!AD158</f>
        <v>0</v>
      </c>
      <c r="AF158" s="5">
        <f>deaths!AF158-deaths!AE158</f>
        <v>0</v>
      </c>
      <c r="AG158" s="5">
        <f>deaths!AG158-deaths!AF158</f>
        <v>0</v>
      </c>
      <c r="AH158" s="5">
        <f>deaths!AH158-deaths!AG158</f>
        <v>0</v>
      </c>
      <c r="AI158" s="5">
        <f>deaths!AI158-deaths!AH158</f>
        <v>0</v>
      </c>
      <c r="AJ158" s="5">
        <f>deaths!AJ158-deaths!AI158</f>
        <v>0</v>
      </c>
      <c r="AK158" s="5">
        <f>deaths!AK158-deaths!AJ158</f>
        <v>0</v>
      </c>
      <c r="AL158" s="5">
        <f>deaths!AL158-deaths!AK158</f>
        <v>0</v>
      </c>
      <c r="AM158" s="5">
        <f>deaths!AM158-deaths!AL158</f>
        <v>0</v>
      </c>
      <c r="AN158" s="5">
        <f>deaths!AN158-deaths!AM158</f>
        <v>0</v>
      </c>
      <c r="AO158" s="5">
        <f>deaths!AO158-deaths!AN158</f>
        <v>0</v>
      </c>
      <c r="AP158" s="5">
        <f>deaths!AP158-deaths!AO158</f>
        <v>0</v>
      </c>
      <c r="AQ158" s="5">
        <f>deaths!AQ158-deaths!AP158</f>
        <v>0</v>
      </c>
      <c r="AR158" s="5">
        <f>deaths!AR158-deaths!AQ158</f>
        <v>0</v>
      </c>
      <c r="AS158" s="5">
        <f>deaths!AS158-deaths!AR158</f>
        <v>0</v>
      </c>
      <c r="AT158" s="5">
        <f>deaths!AT158-deaths!AS158</f>
        <v>0</v>
      </c>
      <c r="AU158" s="5">
        <f>deaths!AU158-deaths!AT158</f>
        <v>0</v>
      </c>
      <c r="AV158" s="5">
        <f>deaths!AV158-deaths!AU158</f>
        <v>0</v>
      </c>
      <c r="AW158" s="5">
        <f>deaths!AW158-deaths!AV158</f>
        <v>0</v>
      </c>
      <c r="AX158" s="5">
        <f>deaths!AX158-deaths!AW158</f>
        <v>0</v>
      </c>
      <c r="AY158" s="5">
        <f>deaths!AY158-deaths!AX158</f>
        <v>0</v>
      </c>
      <c r="AZ158" s="5">
        <f>deaths!AZ158-deaths!AY158</f>
        <v>0</v>
      </c>
      <c r="BA158" s="5">
        <f>deaths!BA158-deaths!AZ158</f>
        <v>0</v>
      </c>
      <c r="BB158" s="5">
        <f>deaths!BB158-deaths!BA158</f>
        <v>0</v>
      </c>
      <c r="BC158" s="5">
        <f>deaths!BC158-deaths!BB158</f>
        <v>0</v>
      </c>
      <c r="BD158" s="5">
        <f>deaths!BD158-deaths!BC158</f>
        <v>0</v>
      </c>
      <c r="BE158" s="5">
        <f>deaths!BE158-deaths!BD158</f>
        <v>0</v>
      </c>
      <c r="BF158" s="5">
        <f>deaths!BF158-deaths!BE158</f>
        <v>0</v>
      </c>
      <c r="BG158" s="5">
        <f>deaths!BG158-deaths!BF158</f>
        <v>0</v>
      </c>
      <c r="BH158" s="5">
        <f>deaths!BH158-deaths!BG158</f>
        <v>0</v>
      </c>
      <c r="BI158" s="5">
        <f>deaths!BI158-deaths!BH158</f>
        <v>0</v>
      </c>
      <c r="BJ158" s="5">
        <f>deaths!BJ158-deaths!BI158</f>
        <v>0</v>
      </c>
      <c r="BK158" s="5">
        <f>deaths!BK158-deaths!BJ158</f>
        <v>0</v>
      </c>
      <c r="BL158" s="5">
        <f>deaths!BL158-deaths!BK158</f>
        <v>0</v>
      </c>
      <c r="BM158" s="5">
        <f>deaths!BM158-deaths!BL158</f>
        <v>0</v>
      </c>
      <c r="BN158" s="5">
        <f>deaths!BN158-deaths!BM158</f>
        <v>0</v>
      </c>
      <c r="BO158" s="5">
        <f>deaths!BO158-deaths!BN158</f>
        <v>0</v>
      </c>
      <c r="BP158" s="5">
        <f>deaths!BP158-deaths!BO158</f>
        <v>0</v>
      </c>
      <c r="BQ158" s="5">
        <f>deaths!BQ158-deaths!BP158</f>
        <v>0</v>
      </c>
      <c r="BR158" s="5">
        <f>deaths!BR158-deaths!BQ158</f>
        <v>0</v>
      </c>
      <c r="BS158" s="5">
        <f>deaths!BS158-deaths!BR158</f>
        <v>0</v>
      </c>
      <c r="BT158" s="5">
        <f>deaths!BT158-deaths!BS158</f>
        <v>0</v>
      </c>
      <c r="BU158" s="5">
        <f>deaths!BU158-deaths!BT158</f>
        <v>1</v>
      </c>
      <c r="BV158" s="5">
        <f>deaths!BV158-deaths!BU158</f>
        <v>0</v>
      </c>
      <c r="BW158" s="5">
        <f>deaths!BW158-deaths!BV158</f>
        <v>0</v>
      </c>
      <c r="BX158" s="5">
        <f>deaths!BX158-deaths!BW158</f>
        <v>0</v>
      </c>
      <c r="BY158" s="5">
        <f>deaths!BY158-deaths!BX158</f>
        <v>0</v>
      </c>
      <c r="BZ158" s="1">
        <f>deaths!BZ158</f>
        <v>1</v>
      </c>
      <c r="CA158" s="1">
        <f>deaths!CA158</f>
        <v>1</v>
      </c>
      <c r="CB158" s="1">
        <f>deaths!CB158</f>
        <v>1</v>
      </c>
      <c r="CC158" s="1" t="str">
        <f>deaths!CC158</f>
        <v/>
      </c>
    </row>
    <row r="159">
      <c r="B159" s="1" t="str">
        <f>deaths!B159</f>
        <v>Mauritius</v>
      </c>
      <c r="C159" s="4">
        <f>deaths!C159</f>
        <v>-20.2</v>
      </c>
      <c r="D159" s="4">
        <f>deaths!D159</f>
        <v>57.5</v>
      </c>
      <c r="E159" s="5">
        <f>deaths!E159</f>
        <v>0</v>
      </c>
      <c r="F159" s="5">
        <f>deaths!F159-deaths!E159</f>
        <v>0</v>
      </c>
      <c r="G159" s="5">
        <f>deaths!G159-deaths!F159</f>
        <v>0</v>
      </c>
      <c r="H159" s="5">
        <f>deaths!H159-deaths!G159</f>
        <v>0</v>
      </c>
      <c r="I159" s="5">
        <f>deaths!I159-deaths!H159</f>
        <v>0</v>
      </c>
      <c r="J159" s="5">
        <f>deaths!J159-deaths!I159</f>
        <v>0</v>
      </c>
      <c r="K159" s="5">
        <f>deaths!K159-deaths!J159</f>
        <v>0</v>
      </c>
      <c r="L159" s="5">
        <f>deaths!L159-deaths!K159</f>
        <v>0</v>
      </c>
      <c r="M159" s="5">
        <f>deaths!M159-deaths!L159</f>
        <v>0</v>
      </c>
      <c r="N159" s="5">
        <f>deaths!N159-deaths!M159</f>
        <v>0</v>
      </c>
      <c r="O159" s="5">
        <f>deaths!O159-deaths!N159</f>
        <v>0</v>
      </c>
      <c r="P159" s="5">
        <f>deaths!P159-deaths!O159</f>
        <v>0</v>
      </c>
      <c r="Q159" s="5">
        <f>deaths!Q159-deaths!P159</f>
        <v>0</v>
      </c>
      <c r="R159" s="5">
        <f>deaths!R159-deaths!Q159</f>
        <v>0</v>
      </c>
      <c r="S159" s="5">
        <f>deaths!S159-deaths!R159</f>
        <v>0</v>
      </c>
      <c r="T159" s="5">
        <f>deaths!T159-deaths!S159</f>
        <v>0</v>
      </c>
      <c r="U159" s="5">
        <f>deaths!U159-deaths!T159</f>
        <v>0</v>
      </c>
      <c r="V159" s="5">
        <f>deaths!V159-deaths!U159</f>
        <v>0</v>
      </c>
      <c r="W159" s="5">
        <f>deaths!W159-deaths!V159</f>
        <v>0</v>
      </c>
      <c r="X159" s="5">
        <f>deaths!X159-deaths!W159</f>
        <v>0</v>
      </c>
      <c r="Y159" s="5">
        <f>deaths!Y159-deaths!X159</f>
        <v>0</v>
      </c>
      <c r="Z159" s="5">
        <f>deaths!Z159-deaths!Y159</f>
        <v>0</v>
      </c>
      <c r="AA159" s="5">
        <f>deaths!AA159-deaths!Z159</f>
        <v>0</v>
      </c>
      <c r="AB159" s="5">
        <f>deaths!AB159-deaths!AA159</f>
        <v>0</v>
      </c>
      <c r="AC159" s="5">
        <f>deaths!AC159-deaths!AB159</f>
        <v>0</v>
      </c>
      <c r="AD159" s="5">
        <f>deaths!AD159-deaths!AC159</f>
        <v>0</v>
      </c>
      <c r="AE159" s="5">
        <f>deaths!AE159-deaths!AD159</f>
        <v>0</v>
      </c>
      <c r="AF159" s="5">
        <f>deaths!AF159-deaths!AE159</f>
        <v>0</v>
      </c>
      <c r="AG159" s="5">
        <f>deaths!AG159-deaths!AF159</f>
        <v>0</v>
      </c>
      <c r="AH159" s="5">
        <f>deaths!AH159-deaths!AG159</f>
        <v>0</v>
      </c>
      <c r="AI159" s="5">
        <f>deaths!AI159-deaths!AH159</f>
        <v>0</v>
      </c>
      <c r="AJ159" s="5">
        <f>deaths!AJ159-deaths!AI159</f>
        <v>0</v>
      </c>
      <c r="AK159" s="5">
        <f>deaths!AK159-deaths!AJ159</f>
        <v>0</v>
      </c>
      <c r="AL159" s="5">
        <f>deaths!AL159-deaths!AK159</f>
        <v>0</v>
      </c>
      <c r="AM159" s="5">
        <f>deaths!AM159-deaths!AL159</f>
        <v>0</v>
      </c>
      <c r="AN159" s="5">
        <f>deaths!AN159-deaths!AM159</f>
        <v>0</v>
      </c>
      <c r="AO159" s="5">
        <f>deaths!AO159-deaths!AN159</f>
        <v>0</v>
      </c>
      <c r="AP159" s="5">
        <f>deaths!AP159-deaths!AO159</f>
        <v>0</v>
      </c>
      <c r="AQ159" s="5">
        <f>deaths!AQ159-deaths!AP159</f>
        <v>0</v>
      </c>
      <c r="AR159" s="5">
        <f>deaths!AR159-deaths!AQ159</f>
        <v>0</v>
      </c>
      <c r="AS159" s="5">
        <f>deaths!AS159-deaths!AR159</f>
        <v>0</v>
      </c>
      <c r="AT159" s="5">
        <f>deaths!AT159-deaths!AS159</f>
        <v>0</v>
      </c>
      <c r="AU159" s="5">
        <f>deaths!AU159-deaths!AT159</f>
        <v>0</v>
      </c>
      <c r="AV159" s="5">
        <f>deaths!AV159-deaths!AU159</f>
        <v>0</v>
      </c>
      <c r="AW159" s="5">
        <f>deaths!AW159-deaths!AV159</f>
        <v>0</v>
      </c>
      <c r="AX159" s="5">
        <f>deaths!AX159-deaths!AW159</f>
        <v>0</v>
      </c>
      <c r="AY159" s="5">
        <f>deaths!AY159-deaths!AX159</f>
        <v>0</v>
      </c>
      <c r="AZ159" s="5">
        <f>deaths!AZ159-deaths!AY159</f>
        <v>0</v>
      </c>
      <c r="BA159" s="5">
        <f>deaths!BA159-deaths!AZ159</f>
        <v>0</v>
      </c>
      <c r="BB159" s="5">
        <f>deaths!BB159-deaths!BA159</f>
        <v>0</v>
      </c>
      <c r="BC159" s="5">
        <f>deaths!BC159-deaths!BB159</f>
        <v>0</v>
      </c>
      <c r="BD159" s="5">
        <f>deaths!BD159-deaths!BC159</f>
        <v>0</v>
      </c>
      <c r="BE159" s="5">
        <f>deaths!BE159-deaths!BD159</f>
        <v>0</v>
      </c>
      <c r="BF159" s="5">
        <f>deaths!BF159-deaths!BE159</f>
        <v>0</v>
      </c>
      <c r="BG159" s="5">
        <f>deaths!BG159-deaths!BF159</f>
        <v>0</v>
      </c>
      <c r="BH159" s="5">
        <f>deaths!BH159-deaths!BG159</f>
        <v>0</v>
      </c>
      <c r="BI159" s="5">
        <f>deaths!BI159-deaths!BH159</f>
        <v>0</v>
      </c>
      <c r="BJ159" s="5">
        <f>deaths!BJ159-deaths!BI159</f>
        <v>0</v>
      </c>
      <c r="BK159" s="5">
        <f>deaths!BK159-deaths!BJ159</f>
        <v>0</v>
      </c>
      <c r="BL159" s="5">
        <f>deaths!BL159-deaths!BK159</f>
        <v>1</v>
      </c>
      <c r="BM159" s="5">
        <f>deaths!BM159-deaths!BL159</f>
        <v>1</v>
      </c>
      <c r="BN159" s="5">
        <f>deaths!BN159-deaths!BM159</f>
        <v>0</v>
      </c>
      <c r="BO159" s="5">
        <f>deaths!BO159-deaths!BN159</f>
        <v>0</v>
      </c>
      <c r="BP159" s="5">
        <f>deaths!BP159-deaths!BO159</f>
        <v>0</v>
      </c>
      <c r="BQ159" s="5">
        <f>deaths!BQ159-deaths!BP159</f>
        <v>0</v>
      </c>
      <c r="BR159" s="5">
        <f>deaths!BR159-deaths!BQ159</f>
        <v>0</v>
      </c>
      <c r="BS159" s="5">
        <f>deaths!BS159-deaths!BR159</f>
        <v>0</v>
      </c>
      <c r="BT159" s="5">
        <f>deaths!BT159-deaths!BS159</f>
        <v>1</v>
      </c>
      <c r="BU159" s="5">
        <f>deaths!BU159-deaths!BT159</f>
        <v>0</v>
      </c>
      <c r="BV159" s="5">
        <f>deaths!BV159-deaths!BU159</f>
        <v>2</v>
      </c>
      <c r="BW159" s="5">
        <f>deaths!BW159-deaths!BV159</f>
        <v>1</v>
      </c>
      <c r="BX159" s="5">
        <f>deaths!BX159-deaths!BW159</f>
        <v>1</v>
      </c>
      <c r="BY159" s="5">
        <f>deaths!BY159-deaths!BX159</f>
        <v>0</v>
      </c>
      <c r="BZ159" s="1">
        <f>deaths!BZ159</f>
        <v>7</v>
      </c>
      <c r="CA159" s="1">
        <f>deaths!CA159</f>
        <v>7</v>
      </c>
      <c r="CB159" s="1">
        <f>deaths!CB159</f>
        <v>7</v>
      </c>
      <c r="CC159" s="1" t="str">
        <f>deaths!CC159</f>
        <v/>
      </c>
    </row>
    <row r="160">
      <c r="B160" s="1" t="str">
        <f>deaths!B160</f>
        <v>Mexico</v>
      </c>
      <c r="C160" s="4">
        <f>deaths!C160</f>
        <v>23.6345</v>
      </c>
      <c r="D160" s="4">
        <f>deaths!D160</f>
        <v>-102.5528</v>
      </c>
      <c r="E160" s="5">
        <f>deaths!E160</f>
        <v>0</v>
      </c>
      <c r="F160" s="5">
        <f>deaths!F160-deaths!E160</f>
        <v>0</v>
      </c>
      <c r="G160" s="5">
        <f>deaths!G160-deaths!F160</f>
        <v>0</v>
      </c>
      <c r="H160" s="5">
        <f>deaths!H160-deaths!G160</f>
        <v>0</v>
      </c>
      <c r="I160" s="5">
        <f>deaths!I160-deaths!H160</f>
        <v>0</v>
      </c>
      <c r="J160" s="5">
        <f>deaths!J160-deaths!I160</f>
        <v>0</v>
      </c>
      <c r="K160" s="5">
        <f>deaths!K160-deaths!J160</f>
        <v>0</v>
      </c>
      <c r="L160" s="5">
        <f>deaths!L160-deaths!K160</f>
        <v>0</v>
      </c>
      <c r="M160" s="5">
        <f>deaths!M160-deaths!L160</f>
        <v>0</v>
      </c>
      <c r="N160" s="5">
        <f>deaths!N160-deaths!M160</f>
        <v>0</v>
      </c>
      <c r="O160" s="5">
        <f>deaths!O160-deaths!N160</f>
        <v>0</v>
      </c>
      <c r="P160" s="5">
        <f>deaths!P160-deaths!O160</f>
        <v>0</v>
      </c>
      <c r="Q160" s="5">
        <f>deaths!Q160-deaths!P160</f>
        <v>0</v>
      </c>
      <c r="R160" s="5">
        <f>deaths!R160-deaths!Q160</f>
        <v>0</v>
      </c>
      <c r="S160" s="5">
        <f>deaths!S160-deaths!R160</f>
        <v>0</v>
      </c>
      <c r="T160" s="5">
        <f>deaths!T160-deaths!S160</f>
        <v>0</v>
      </c>
      <c r="U160" s="5">
        <f>deaths!U160-deaths!T160</f>
        <v>0</v>
      </c>
      <c r="V160" s="5">
        <f>deaths!V160-deaths!U160</f>
        <v>0</v>
      </c>
      <c r="W160" s="5">
        <f>deaths!W160-deaths!V160</f>
        <v>0</v>
      </c>
      <c r="X160" s="5">
        <f>deaths!X160-deaths!W160</f>
        <v>0</v>
      </c>
      <c r="Y160" s="5">
        <f>deaths!Y160-deaths!X160</f>
        <v>0</v>
      </c>
      <c r="Z160" s="5">
        <f>deaths!Z160-deaths!Y160</f>
        <v>0</v>
      </c>
      <c r="AA160" s="5">
        <f>deaths!AA160-deaths!Z160</f>
        <v>0</v>
      </c>
      <c r="AB160" s="5">
        <f>deaths!AB160-deaths!AA160</f>
        <v>0</v>
      </c>
      <c r="AC160" s="5">
        <f>deaths!AC160-deaths!AB160</f>
        <v>0</v>
      </c>
      <c r="AD160" s="5">
        <f>deaths!AD160-deaths!AC160</f>
        <v>0</v>
      </c>
      <c r="AE160" s="5">
        <f>deaths!AE160-deaths!AD160</f>
        <v>0</v>
      </c>
      <c r="AF160" s="5">
        <f>deaths!AF160-deaths!AE160</f>
        <v>0</v>
      </c>
      <c r="AG160" s="5">
        <f>deaths!AG160-deaths!AF160</f>
        <v>0</v>
      </c>
      <c r="AH160" s="5">
        <f>deaths!AH160-deaths!AG160</f>
        <v>0</v>
      </c>
      <c r="AI160" s="5">
        <f>deaths!AI160-deaths!AH160</f>
        <v>0</v>
      </c>
      <c r="AJ160" s="5">
        <f>deaths!AJ160-deaths!AI160</f>
        <v>0</v>
      </c>
      <c r="AK160" s="5">
        <f>deaths!AK160-deaths!AJ160</f>
        <v>0</v>
      </c>
      <c r="AL160" s="5">
        <f>deaths!AL160-deaths!AK160</f>
        <v>0</v>
      </c>
      <c r="AM160" s="5">
        <f>deaths!AM160-deaths!AL160</f>
        <v>0</v>
      </c>
      <c r="AN160" s="5">
        <f>deaths!AN160-deaths!AM160</f>
        <v>0</v>
      </c>
      <c r="AO160" s="5">
        <f>deaths!AO160-deaths!AN160</f>
        <v>0</v>
      </c>
      <c r="AP160" s="5">
        <f>deaths!AP160-deaths!AO160</f>
        <v>0</v>
      </c>
      <c r="AQ160" s="5">
        <f>deaths!AQ160-deaths!AP160</f>
        <v>0</v>
      </c>
      <c r="AR160" s="5">
        <f>deaths!AR160-deaths!AQ160</f>
        <v>0</v>
      </c>
      <c r="AS160" s="5">
        <f>deaths!AS160-deaths!AR160</f>
        <v>0</v>
      </c>
      <c r="AT160" s="5">
        <f>deaths!AT160-deaths!AS160</f>
        <v>0</v>
      </c>
      <c r="AU160" s="5">
        <f>deaths!AU160-deaths!AT160</f>
        <v>0</v>
      </c>
      <c r="AV160" s="5">
        <f>deaths!AV160-deaths!AU160</f>
        <v>0</v>
      </c>
      <c r="AW160" s="5">
        <f>deaths!AW160-deaths!AV160</f>
        <v>0</v>
      </c>
      <c r="AX160" s="5">
        <f>deaths!AX160-deaths!AW160</f>
        <v>0</v>
      </c>
      <c r="AY160" s="5">
        <f>deaths!AY160-deaths!AX160</f>
        <v>0</v>
      </c>
      <c r="AZ160" s="5">
        <f>deaths!AZ160-deaths!AY160</f>
        <v>0</v>
      </c>
      <c r="BA160" s="5">
        <f>deaths!BA160-deaths!AZ160</f>
        <v>0</v>
      </c>
      <c r="BB160" s="5">
        <f>deaths!BB160-deaths!BA160</f>
        <v>0</v>
      </c>
      <c r="BC160" s="5">
        <f>deaths!BC160-deaths!BB160</f>
        <v>0</v>
      </c>
      <c r="BD160" s="5">
        <f>deaths!BD160-deaths!BC160</f>
        <v>0</v>
      </c>
      <c r="BE160" s="5">
        <f>deaths!BE160-deaths!BD160</f>
        <v>0</v>
      </c>
      <c r="BF160" s="5">
        <f>deaths!BF160-deaths!BE160</f>
        <v>0</v>
      </c>
      <c r="BG160" s="5">
        <f>deaths!BG160-deaths!BF160</f>
        <v>0</v>
      </c>
      <c r="BH160" s="5">
        <f>deaths!BH160-deaths!BG160</f>
        <v>0</v>
      </c>
      <c r="BI160" s="5">
        <f>deaths!BI160-deaths!BH160</f>
        <v>0</v>
      </c>
      <c r="BJ160" s="5">
        <f>deaths!BJ160-deaths!BI160</f>
        <v>1</v>
      </c>
      <c r="BK160" s="5">
        <f>deaths!BK160-deaths!BJ160</f>
        <v>0</v>
      </c>
      <c r="BL160" s="5">
        <f>deaths!BL160-deaths!BK160</f>
        <v>1</v>
      </c>
      <c r="BM160" s="5">
        <f>deaths!BM160-deaths!BL160</f>
        <v>0</v>
      </c>
      <c r="BN160" s="5">
        <f>deaths!BN160-deaths!BM160</f>
        <v>1</v>
      </c>
      <c r="BO160" s="5">
        <f>deaths!BO160-deaths!BN160</f>
        <v>1</v>
      </c>
      <c r="BP160" s="5">
        <f>deaths!BP160-deaths!BO160</f>
        <v>1</v>
      </c>
      <c r="BQ160" s="5">
        <f>deaths!BQ160-deaths!BP160</f>
        <v>1</v>
      </c>
      <c r="BR160" s="5">
        <f>deaths!BR160-deaths!BQ160</f>
        <v>2</v>
      </c>
      <c r="BS160" s="5">
        <f>deaths!BS160-deaths!BR160</f>
        <v>4</v>
      </c>
      <c r="BT160" s="5">
        <f>deaths!BT160-deaths!BS160</f>
        <v>4</v>
      </c>
      <c r="BU160" s="5">
        <f>deaths!BU160-deaths!BT160</f>
        <v>4</v>
      </c>
      <c r="BV160" s="5">
        <f>deaths!BV160-deaths!BU160</f>
        <v>8</v>
      </c>
      <c r="BW160" s="5">
        <f>deaths!BW160-deaths!BV160</f>
        <v>1</v>
      </c>
      <c r="BX160" s="5">
        <f>deaths!BX160-deaths!BW160</f>
        <v>8</v>
      </c>
      <c r="BY160" s="5">
        <f>deaths!BY160-deaths!BX160</f>
        <v>13</v>
      </c>
      <c r="BZ160" s="1">
        <f>deaths!BZ160</f>
        <v>60</v>
      </c>
      <c r="CA160" s="1">
        <f>deaths!CA160</f>
        <v>79</v>
      </c>
      <c r="CB160" s="1">
        <f>deaths!CB160</f>
        <v>94</v>
      </c>
      <c r="CC160" s="1" t="str">
        <f>deaths!CC160</f>
        <v/>
      </c>
    </row>
    <row r="161">
      <c r="B161" s="1" t="str">
        <f>deaths!B161</f>
        <v>Moldova</v>
      </c>
      <c r="C161" s="4">
        <f>deaths!C161</f>
        <v>47.4116</v>
      </c>
      <c r="D161" s="4">
        <f>deaths!D161</f>
        <v>28.3699</v>
      </c>
      <c r="E161" s="5">
        <f>deaths!E161</f>
        <v>0</v>
      </c>
      <c r="F161" s="5">
        <f>deaths!F161-deaths!E161</f>
        <v>0</v>
      </c>
      <c r="G161" s="5">
        <f>deaths!G161-deaths!F161</f>
        <v>0</v>
      </c>
      <c r="H161" s="5">
        <f>deaths!H161-deaths!G161</f>
        <v>0</v>
      </c>
      <c r="I161" s="5">
        <f>deaths!I161-deaths!H161</f>
        <v>0</v>
      </c>
      <c r="J161" s="5">
        <f>deaths!J161-deaths!I161</f>
        <v>0</v>
      </c>
      <c r="K161" s="5">
        <f>deaths!K161-deaths!J161</f>
        <v>0</v>
      </c>
      <c r="L161" s="5">
        <f>deaths!L161-deaths!K161</f>
        <v>0</v>
      </c>
      <c r="M161" s="5">
        <f>deaths!M161-deaths!L161</f>
        <v>0</v>
      </c>
      <c r="N161" s="5">
        <f>deaths!N161-deaths!M161</f>
        <v>0</v>
      </c>
      <c r="O161" s="5">
        <f>deaths!O161-deaths!N161</f>
        <v>0</v>
      </c>
      <c r="P161" s="5">
        <f>deaths!P161-deaths!O161</f>
        <v>0</v>
      </c>
      <c r="Q161" s="5">
        <f>deaths!Q161-deaths!P161</f>
        <v>0</v>
      </c>
      <c r="R161" s="5">
        <f>deaths!R161-deaths!Q161</f>
        <v>0</v>
      </c>
      <c r="S161" s="5">
        <f>deaths!S161-deaths!R161</f>
        <v>0</v>
      </c>
      <c r="T161" s="5">
        <f>deaths!T161-deaths!S161</f>
        <v>0</v>
      </c>
      <c r="U161" s="5">
        <f>deaths!U161-deaths!T161</f>
        <v>0</v>
      </c>
      <c r="V161" s="5">
        <f>deaths!V161-deaths!U161</f>
        <v>0</v>
      </c>
      <c r="W161" s="5">
        <f>deaths!W161-deaths!V161</f>
        <v>0</v>
      </c>
      <c r="X161" s="5">
        <f>deaths!X161-deaths!W161</f>
        <v>0</v>
      </c>
      <c r="Y161" s="5">
        <f>deaths!Y161-deaths!X161</f>
        <v>0</v>
      </c>
      <c r="Z161" s="5">
        <f>deaths!Z161-deaths!Y161</f>
        <v>0</v>
      </c>
      <c r="AA161" s="5">
        <f>deaths!AA161-deaths!Z161</f>
        <v>0</v>
      </c>
      <c r="AB161" s="5">
        <f>deaths!AB161-deaths!AA161</f>
        <v>0</v>
      </c>
      <c r="AC161" s="5">
        <f>deaths!AC161-deaths!AB161</f>
        <v>0</v>
      </c>
      <c r="AD161" s="5">
        <f>deaths!AD161-deaths!AC161</f>
        <v>0</v>
      </c>
      <c r="AE161" s="5">
        <f>deaths!AE161-deaths!AD161</f>
        <v>0</v>
      </c>
      <c r="AF161" s="5">
        <f>deaths!AF161-deaths!AE161</f>
        <v>0</v>
      </c>
      <c r="AG161" s="5">
        <f>deaths!AG161-deaths!AF161</f>
        <v>0</v>
      </c>
      <c r="AH161" s="5">
        <f>deaths!AH161-deaths!AG161</f>
        <v>0</v>
      </c>
      <c r="AI161" s="5">
        <f>deaths!AI161-deaths!AH161</f>
        <v>0</v>
      </c>
      <c r="AJ161" s="5">
        <f>deaths!AJ161-deaths!AI161</f>
        <v>0</v>
      </c>
      <c r="AK161" s="5">
        <f>deaths!AK161-deaths!AJ161</f>
        <v>0</v>
      </c>
      <c r="AL161" s="5">
        <f>deaths!AL161-deaths!AK161</f>
        <v>0</v>
      </c>
      <c r="AM161" s="5">
        <f>deaths!AM161-deaths!AL161</f>
        <v>0</v>
      </c>
      <c r="AN161" s="5">
        <f>deaths!AN161-deaths!AM161</f>
        <v>0</v>
      </c>
      <c r="AO161" s="5">
        <f>deaths!AO161-deaths!AN161</f>
        <v>0</v>
      </c>
      <c r="AP161" s="5">
        <f>deaths!AP161-deaths!AO161</f>
        <v>0</v>
      </c>
      <c r="AQ161" s="5">
        <f>deaths!AQ161-deaths!AP161</f>
        <v>0</v>
      </c>
      <c r="AR161" s="5">
        <f>deaths!AR161-deaths!AQ161</f>
        <v>0</v>
      </c>
      <c r="AS161" s="5">
        <f>deaths!AS161-deaths!AR161</f>
        <v>0</v>
      </c>
      <c r="AT161" s="5">
        <f>deaths!AT161-deaths!AS161</f>
        <v>0</v>
      </c>
      <c r="AU161" s="5">
        <f>deaths!AU161-deaths!AT161</f>
        <v>0</v>
      </c>
      <c r="AV161" s="5">
        <f>deaths!AV161-deaths!AU161</f>
        <v>0</v>
      </c>
      <c r="AW161" s="5">
        <f>deaths!AW161-deaths!AV161</f>
        <v>0</v>
      </c>
      <c r="AX161" s="5">
        <f>deaths!AX161-deaths!AW161</f>
        <v>0</v>
      </c>
      <c r="AY161" s="5">
        <f>deaths!AY161-deaths!AX161</f>
        <v>0</v>
      </c>
      <c r="AZ161" s="5">
        <f>deaths!AZ161-deaths!AY161</f>
        <v>0</v>
      </c>
      <c r="BA161" s="5">
        <f>deaths!BA161-deaths!AZ161</f>
        <v>0</v>
      </c>
      <c r="BB161" s="5">
        <f>deaths!BB161-deaths!BA161</f>
        <v>0</v>
      </c>
      <c r="BC161" s="5">
        <f>deaths!BC161-deaths!BB161</f>
        <v>0</v>
      </c>
      <c r="BD161" s="5">
        <f>deaths!BD161-deaths!BC161</f>
        <v>0</v>
      </c>
      <c r="BE161" s="5">
        <f>deaths!BE161-deaths!BD161</f>
        <v>0</v>
      </c>
      <c r="BF161" s="5">
        <f>deaths!BF161-deaths!BE161</f>
        <v>0</v>
      </c>
      <c r="BG161" s="5">
        <f>deaths!BG161-deaths!BF161</f>
        <v>0</v>
      </c>
      <c r="BH161" s="5">
        <f>deaths!BH161-deaths!BG161</f>
        <v>0</v>
      </c>
      <c r="BI161" s="5">
        <f>deaths!BI161-deaths!BH161</f>
        <v>1</v>
      </c>
      <c r="BJ161" s="5">
        <f>deaths!BJ161-deaths!BI161</f>
        <v>0</v>
      </c>
      <c r="BK161" s="5">
        <f>deaths!BK161-deaths!BJ161</f>
        <v>0</v>
      </c>
      <c r="BL161" s="5">
        <f>deaths!BL161-deaths!BK161</f>
        <v>0</v>
      </c>
      <c r="BM161" s="5">
        <f>deaths!BM161-deaths!BL161</f>
        <v>0</v>
      </c>
      <c r="BN161" s="5">
        <f>deaths!BN161-deaths!BM161</f>
        <v>0</v>
      </c>
      <c r="BO161" s="5">
        <f>deaths!BO161-deaths!BN161</f>
        <v>0</v>
      </c>
      <c r="BP161" s="5">
        <f>deaths!BP161-deaths!BO161</f>
        <v>0</v>
      </c>
      <c r="BQ161" s="5">
        <f>deaths!BQ161-deaths!BP161</f>
        <v>0</v>
      </c>
      <c r="BR161" s="5">
        <f>deaths!BR161-deaths!BQ161</f>
        <v>1</v>
      </c>
      <c r="BS161" s="5">
        <f>deaths!BS161-deaths!BR161</f>
        <v>0</v>
      </c>
      <c r="BT161" s="5">
        <f>deaths!BT161-deaths!BS161</f>
        <v>0</v>
      </c>
      <c r="BU161" s="5">
        <f>deaths!BU161-deaths!BT161</f>
        <v>0</v>
      </c>
      <c r="BV161" s="5">
        <f>deaths!BV161-deaths!BU161</f>
        <v>2</v>
      </c>
      <c r="BW161" s="5">
        <f>deaths!BW161-deaths!BV161</f>
        <v>1</v>
      </c>
      <c r="BX161" s="5">
        <f>deaths!BX161-deaths!BW161</f>
        <v>1</v>
      </c>
      <c r="BY161" s="5">
        <f>deaths!BY161-deaths!BX161</f>
        <v>2</v>
      </c>
      <c r="BZ161" s="1">
        <f>deaths!BZ161</f>
        <v>12</v>
      </c>
      <c r="CA161" s="1">
        <f>deaths!CA161</f>
        <v>15</v>
      </c>
      <c r="CB161" s="1">
        <f>deaths!CB161</f>
        <v>19</v>
      </c>
      <c r="CC161" s="1" t="str">
        <f>deaths!CC161</f>
        <v/>
      </c>
    </row>
    <row r="162">
      <c r="B162" s="1" t="str">
        <f>deaths!B162</f>
        <v>Monaco</v>
      </c>
      <c r="C162" s="4">
        <f>deaths!C162</f>
        <v>43.7333</v>
      </c>
      <c r="D162" s="4">
        <f>deaths!D162</f>
        <v>7.4167</v>
      </c>
      <c r="E162" s="5">
        <f>deaths!E162</f>
        <v>0</v>
      </c>
      <c r="F162" s="5">
        <f>deaths!F162-deaths!E162</f>
        <v>0</v>
      </c>
      <c r="G162" s="5">
        <f>deaths!G162-deaths!F162</f>
        <v>0</v>
      </c>
      <c r="H162" s="5">
        <f>deaths!H162-deaths!G162</f>
        <v>0</v>
      </c>
      <c r="I162" s="5">
        <f>deaths!I162-deaths!H162</f>
        <v>0</v>
      </c>
      <c r="J162" s="5">
        <f>deaths!J162-deaths!I162</f>
        <v>0</v>
      </c>
      <c r="K162" s="5">
        <f>deaths!K162-deaths!J162</f>
        <v>0</v>
      </c>
      <c r="L162" s="5">
        <f>deaths!L162-deaths!K162</f>
        <v>0</v>
      </c>
      <c r="M162" s="5">
        <f>deaths!M162-deaths!L162</f>
        <v>0</v>
      </c>
      <c r="N162" s="5">
        <f>deaths!N162-deaths!M162</f>
        <v>0</v>
      </c>
      <c r="O162" s="5">
        <f>deaths!O162-deaths!N162</f>
        <v>0</v>
      </c>
      <c r="P162" s="5">
        <f>deaths!P162-deaths!O162</f>
        <v>0</v>
      </c>
      <c r="Q162" s="5">
        <f>deaths!Q162-deaths!P162</f>
        <v>0</v>
      </c>
      <c r="R162" s="5">
        <f>deaths!R162-deaths!Q162</f>
        <v>0</v>
      </c>
      <c r="S162" s="5">
        <f>deaths!S162-deaths!R162</f>
        <v>0</v>
      </c>
      <c r="T162" s="5">
        <f>deaths!T162-deaths!S162</f>
        <v>0</v>
      </c>
      <c r="U162" s="5">
        <f>deaths!U162-deaths!T162</f>
        <v>0</v>
      </c>
      <c r="V162" s="5">
        <f>deaths!V162-deaths!U162</f>
        <v>0</v>
      </c>
      <c r="W162" s="5">
        <f>deaths!W162-deaths!V162</f>
        <v>0</v>
      </c>
      <c r="X162" s="5">
        <f>deaths!X162-deaths!W162</f>
        <v>0</v>
      </c>
      <c r="Y162" s="5">
        <f>deaths!Y162-deaths!X162</f>
        <v>0</v>
      </c>
      <c r="Z162" s="5">
        <f>deaths!Z162-deaths!Y162</f>
        <v>0</v>
      </c>
      <c r="AA162" s="5">
        <f>deaths!AA162-deaths!Z162</f>
        <v>0</v>
      </c>
      <c r="AB162" s="5">
        <f>deaths!AB162-deaths!AA162</f>
        <v>0</v>
      </c>
      <c r="AC162" s="5">
        <f>deaths!AC162-deaths!AB162</f>
        <v>0</v>
      </c>
      <c r="AD162" s="5">
        <f>deaths!AD162-deaths!AC162</f>
        <v>0</v>
      </c>
      <c r="AE162" s="5">
        <f>deaths!AE162-deaths!AD162</f>
        <v>0</v>
      </c>
      <c r="AF162" s="5">
        <f>deaths!AF162-deaths!AE162</f>
        <v>0</v>
      </c>
      <c r="AG162" s="5">
        <f>deaths!AG162-deaths!AF162</f>
        <v>0</v>
      </c>
      <c r="AH162" s="5">
        <f>deaths!AH162-deaths!AG162</f>
        <v>0</v>
      </c>
      <c r="AI162" s="5">
        <f>deaths!AI162-deaths!AH162</f>
        <v>0</v>
      </c>
      <c r="AJ162" s="5">
        <f>deaths!AJ162-deaths!AI162</f>
        <v>0</v>
      </c>
      <c r="AK162" s="5">
        <f>deaths!AK162-deaths!AJ162</f>
        <v>0</v>
      </c>
      <c r="AL162" s="5">
        <f>deaths!AL162-deaths!AK162</f>
        <v>0</v>
      </c>
      <c r="AM162" s="5">
        <f>deaths!AM162-deaths!AL162</f>
        <v>0</v>
      </c>
      <c r="AN162" s="5">
        <f>deaths!AN162-deaths!AM162</f>
        <v>0</v>
      </c>
      <c r="AO162" s="5">
        <f>deaths!AO162-deaths!AN162</f>
        <v>0</v>
      </c>
      <c r="AP162" s="5">
        <f>deaths!AP162-deaths!AO162</f>
        <v>0</v>
      </c>
      <c r="AQ162" s="5">
        <f>deaths!AQ162-deaths!AP162</f>
        <v>0</v>
      </c>
      <c r="AR162" s="5">
        <f>deaths!AR162-deaths!AQ162</f>
        <v>0</v>
      </c>
      <c r="AS162" s="5">
        <f>deaths!AS162-deaths!AR162</f>
        <v>0</v>
      </c>
      <c r="AT162" s="5">
        <f>deaths!AT162-deaths!AS162</f>
        <v>0</v>
      </c>
      <c r="AU162" s="5">
        <f>deaths!AU162-deaths!AT162</f>
        <v>0</v>
      </c>
      <c r="AV162" s="5">
        <f>deaths!AV162-deaths!AU162</f>
        <v>0</v>
      </c>
      <c r="AW162" s="5">
        <f>deaths!AW162-deaths!AV162</f>
        <v>0</v>
      </c>
      <c r="AX162" s="5">
        <f>deaths!AX162-deaths!AW162</f>
        <v>0</v>
      </c>
      <c r="AY162" s="5">
        <f>deaths!AY162-deaths!AX162</f>
        <v>0</v>
      </c>
      <c r="AZ162" s="5">
        <f>deaths!AZ162-deaths!AY162</f>
        <v>0</v>
      </c>
      <c r="BA162" s="5">
        <f>deaths!BA162-deaths!AZ162</f>
        <v>0</v>
      </c>
      <c r="BB162" s="5">
        <f>deaths!BB162-deaths!BA162</f>
        <v>0</v>
      </c>
      <c r="BC162" s="5">
        <f>deaths!BC162-deaths!BB162</f>
        <v>0</v>
      </c>
      <c r="BD162" s="5">
        <f>deaths!BD162-deaths!BC162</f>
        <v>0</v>
      </c>
      <c r="BE162" s="5">
        <f>deaths!BE162-deaths!BD162</f>
        <v>0</v>
      </c>
      <c r="BF162" s="5">
        <f>deaths!BF162-deaths!BE162</f>
        <v>0</v>
      </c>
      <c r="BG162" s="5">
        <f>deaths!BG162-deaths!BF162</f>
        <v>0</v>
      </c>
      <c r="BH162" s="5">
        <f>deaths!BH162-deaths!BG162</f>
        <v>0</v>
      </c>
      <c r="BI162" s="5">
        <f>deaths!BI162-deaths!BH162</f>
        <v>0</v>
      </c>
      <c r="BJ162" s="5">
        <f>deaths!BJ162-deaths!BI162</f>
        <v>0</v>
      </c>
      <c r="BK162" s="5">
        <f>deaths!BK162-deaths!BJ162</f>
        <v>0</v>
      </c>
      <c r="BL162" s="5">
        <f>deaths!BL162-deaths!BK162</f>
        <v>0</v>
      </c>
      <c r="BM162" s="5">
        <f>deaths!BM162-deaths!BL162</f>
        <v>0</v>
      </c>
      <c r="BN162" s="5">
        <f>deaths!BN162-deaths!BM162</f>
        <v>0</v>
      </c>
      <c r="BO162" s="5">
        <f>deaths!BO162-deaths!BN162</f>
        <v>0</v>
      </c>
      <c r="BP162" s="5">
        <f>deaths!BP162-deaths!BO162</f>
        <v>0</v>
      </c>
      <c r="BQ162" s="5">
        <f>deaths!BQ162-deaths!BP162</f>
        <v>0</v>
      </c>
      <c r="BR162" s="5">
        <f>deaths!BR162-deaths!BQ162</f>
        <v>0</v>
      </c>
      <c r="BS162" s="5">
        <f>deaths!BS162-deaths!BR162</f>
        <v>0</v>
      </c>
      <c r="BT162" s="5">
        <f>deaths!BT162-deaths!BS162</f>
        <v>1</v>
      </c>
      <c r="BU162" s="5">
        <f>deaths!BU162-deaths!BT162</f>
        <v>0</v>
      </c>
      <c r="BV162" s="5">
        <f>deaths!BV162-deaths!BU162</f>
        <v>0</v>
      </c>
      <c r="BW162" s="5">
        <f>deaths!BW162-deaths!BV162</f>
        <v>0</v>
      </c>
      <c r="BX162" s="5">
        <f>deaths!BX162-deaths!BW162</f>
        <v>0</v>
      </c>
      <c r="BY162" s="5">
        <f>deaths!BY162-deaths!BX162</f>
        <v>0</v>
      </c>
      <c r="BZ162" s="1">
        <f>deaths!BZ162</f>
        <v>1</v>
      </c>
      <c r="CA162" s="1">
        <f>deaths!CA162</f>
        <v>1</v>
      </c>
      <c r="CB162" s="1">
        <f>deaths!CB162</f>
        <v>1</v>
      </c>
      <c r="CC162" s="1" t="str">
        <f>deaths!CC162</f>
        <v/>
      </c>
    </row>
    <row r="163">
      <c r="B163" s="1" t="str">
        <f>deaths!B163</f>
        <v>Mongolia</v>
      </c>
      <c r="C163" s="4">
        <f>deaths!C163</f>
        <v>46.8625</v>
      </c>
      <c r="D163" s="4">
        <f>deaths!D163</f>
        <v>103.8467</v>
      </c>
      <c r="E163" s="5">
        <f>deaths!E163</f>
        <v>0</v>
      </c>
      <c r="F163" s="5">
        <f>deaths!F163-deaths!E163</f>
        <v>0</v>
      </c>
      <c r="G163" s="5">
        <f>deaths!G163-deaths!F163</f>
        <v>0</v>
      </c>
      <c r="H163" s="5">
        <f>deaths!H163-deaths!G163</f>
        <v>0</v>
      </c>
      <c r="I163" s="5">
        <f>deaths!I163-deaths!H163</f>
        <v>0</v>
      </c>
      <c r="J163" s="5">
        <f>deaths!J163-deaths!I163</f>
        <v>0</v>
      </c>
      <c r="K163" s="5">
        <f>deaths!K163-deaths!J163</f>
        <v>0</v>
      </c>
      <c r="L163" s="5">
        <f>deaths!L163-deaths!K163</f>
        <v>0</v>
      </c>
      <c r="M163" s="5">
        <f>deaths!M163-deaths!L163</f>
        <v>0</v>
      </c>
      <c r="N163" s="5">
        <f>deaths!N163-deaths!M163</f>
        <v>0</v>
      </c>
      <c r="O163" s="5">
        <f>deaths!O163-deaths!N163</f>
        <v>0</v>
      </c>
      <c r="P163" s="5">
        <f>deaths!P163-deaths!O163</f>
        <v>0</v>
      </c>
      <c r="Q163" s="5">
        <f>deaths!Q163-deaths!P163</f>
        <v>0</v>
      </c>
      <c r="R163" s="5">
        <f>deaths!R163-deaths!Q163</f>
        <v>0</v>
      </c>
      <c r="S163" s="5">
        <f>deaths!S163-deaths!R163</f>
        <v>0</v>
      </c>
      <c r="T163" s="5">
        <f>deaths!T163-deaths!S163</f>
        <v>0</v>
      </c>
      <c r="U163" s="5">
        <f>deaths!U163-deaths!T163</f>
        <v>0</v>
      </c>
      <c r="V163" s="5">
        <f>deaths!V163-deaths!U163</f>
        <v>0</v>
      </c>
      <c r="W163" s="5">
        <f>deaths!W163-deaths!V163</f>
        <v>0</v>
      </c>
      <c r="X163" s="5">
        <f>deaths!X163-deaths!W163</f>
        <v>0</v>
      </c>
      <c r="Y163" s="5">
        <f>deaths!Y163-deaths!X163</f>
        <v>0</v>
      </c>
      <c r="Z163" s="5">
        <f>deaths!Z163-deaths!Y163</f>
        <v>0</v>
      </c>
      <c r="AA163" s="5">
        <f>deaths!AA163-deaths!Z163</f>
        <v>0</v>
      </c>
      <c r="AB163" s="5">
        <f>deaths!AB163-deaths!AA163</f>
        <v>0</v>
      </c>
      <c r="AC163" s="5">
        <f>deaths!AC163-deaths!AB163</f>
        <v>0</v>
      </c>
      <c r="AD163" s="5">
        <f>deaths!AD163-deaths!AC163</f>
        <v>0</v>
      </c>
      <c r="AE163" s="5">
        <f>deaths!AE163-deaths!AD163</f>
        <v>0</v>
      </c>
      <c r="AF163" s="5">
        <f>deaths!AF163-deaths!AE163</f>
        <v>0</v>
      </c>
      <c r="AG163" s="5">
        <f>deaths!AG163-deaths!AF163</f>
        <v>0</v>
      </c>
      <c r="AH163" s="5">
        <f>deaths!AH163-deaths!AG163</f>
        <v>0</v>
      </c>
      <c r="AI163" s="5">
        <f>deaths!AI163-deaths!AH163</f>
        <v>0</v>
      </c>
      <c r="AJ163" s="5">
        <f>deaths!AJ163-deaths!AI163</f>
        <v>0</v>
      </c>
      <c r="AK163" s="5">
        <f>deaths!AK163-deaths!AJ163</f>
        <v>0</v>
      </c>
      <c r="AL163" s="5">
        <f>deaths!AL163-deaths!AK163</f>
        <v>0</v>
      </c>
      <c r="AM163" s="5">
        <f>deaths!AM163-deaths!AL163</f>
        <v>0</v>
      </c>
      <c r="AN163" s="5">
        <f>deaths!AN163-deaths!AM163</f>
        <v>0</v>
      </c>
      <c r="AO163" s="5">
        <f>deaths!AO163-deaths!AN163</f>
        <v>0</v>
      </c>
      <c r="AP163" s="5">
        <f>deaths!AP163-deaths!AO163</f>
        <v>0</v>
      </c>
      <c r="AQ163" s="5">
        <f>deaths!AQ163-deaths!AP163</f>
        <v>0</v>
      </c>
      <c r="AR163" s="5">
        <f>deaths!AR163-deaths!AQ163</f>
        <v>0</v>
      </c>
      <c r="AS163" s="5">
        <f>deaths!AS163-deaths!AR163</f>
        <v>0</v>
      </c>
      <c r="AT163" s="5">
        <f>deaths!AT163-deaths!AS163</f>
        <v>0</v>
      </c>
      <c r="AU163" s="5">
        <f>deaths!AU163-deaths!AT163</f>
        <v>0</v>
      </c>
      <c r="AV163" s="5">
        <f>deaths!AV163-deaths!AU163</f>
        <v>0</v>
      </c>
      <c r="AW163" s="5">
        <f>deaths!AW163-deaths!AV163</f>
        <v>0</v>
      </c>
      <c r="AX163" s="5">
        <f>deaths!AX163-deaths!AW163</f>
        <v>0</v>
      </c>
      <c r="AY163" s="5">
        <f>deaths!AY163-deaths!AX163</f>
        <v>0</v>
      </c>
      <c r="AZ163" s="5">
        <f>deaths!AZ163-deaths!AY163</f>
        <v>0</v>
      </c>
      <c r="BA163" s="5">
        <f>deaths!BA163-deaths!AZ163</f>
        <v>0</v>
      </c>
      <c r="BB163" s="5">
        <f>deaths!BB163-deaths!BA163</f>
        <v>0</v>
      </c>
      <c r="BC163" s="5">
        <f>deaths!BC163-deaths!BB163</f>
        <v>0</v>
      </c>
      <c r="BD163" s="5">
        <f>deaths!BD163-deaths!BC163</f>
        <v>0</v>
      </c>
      <c r="BE163" s="5">
        <f>deaths!BE163-deaths!BD163</f>
        <v>0</v>
      </c>
      <c r="BF163" s="5">
        <f>deaths!BF163-deaths!BE163</f>
        <v>0</v>
      </c>
      <c r="BG163" s="5">
        <f>deaths!BG163-deaths!BF163</f>
        <v>0</v>
      </c>
      <c r="BH163" s="5">
        <f>deaths!BH163-deaths!BG163</f>
        <v>0</v>
      </c>
      <c r="BI163" s="5">
        <f>deaths!BI163-deaths!BH163</f>
        <v>0</v>
      </c>
      <c r="BJ163" s="5">
        <f>deaths!BJ163-deaths!BI163</f>
        <v>0</v>
      </c>
      <c r="BK163" s="5">
        <f>deaths!BK163-deaths!BJ163</f>
        <v>0</v>
      </c>
      <c r="BL163" s="5">
        <f>deaths!BL163-deaths!BK163</f>
        <v>0</v>
      </c>
      <c r="BM163" s="5">
        <f>deaths!BM163-deaths!BL163</f>
        <v>0</v>
      </c>
      <c r="BN163" s="5">
        <f>deaths!BN163-deaths!BM163</f>
        <v>0</v>
      </c>
      <c r="BO163" s="5">
        <f>deaths!BO163-deaths!BN163</f>
        <v>0</v>
      </c>
      <c r="BP163" s="5">
        <f>deaths!BP163-deaths!BO163</f>
        <v>0</v>
      </c>
      <c r="BQ163" s="5">
        <f>deaths!BQ163-deaths!BP163</f>
        <v>0</v>
      </c>
      <c r="BR163" s="5">
        <f>deaths!BR163-deaths!BQ163</f>
        <v>0</v>
      </c>
      <c r="BS163" s="5">
        <f>deaths!BS163-deaths!BR163</f>
        <v>0</v>
      </c>
      <c r="BT163" s="5">
        <f>deaths!BT163-deaths!BS163</f>
        <v>0</v>
      </c>
      <c r="BU163" s="5">
        <f>deaths!BU163-deaths!BT163</f>
        <v>0</v>
      </c>
      <c r="BV163" s="5">
        <f>deaths!BV163-deaths!BU163</f>
        <v>0</v>
      </c>
      <c r="BW163" s="5">
        <f>deaths!BW163-deaths!BV163</f>
        <v>0</v>
      </c>
      <c r="BX163" s="5">
        <f>deaths!BX163-deaths!BW163</f>
        <v>0</v>
      </c>
      <c r="BY163" s="5">
        <f>deaths!BY163-deaths!BX163</f>
        <v>0</v>
      </c>
      <c r="BZ163" s="1">
        <f>deaths!BZ163</f>
        <v>0</v>
      </c>
      <c r="CA163" s="1">
        <f>deaths!CA163</f>
        <v>0</v>
      </c>
      <c r="CB163" s="1">
        <f>deaths!CB163</f>
        <v>0</v>
      </c>
      <c r="CC163" s="1" t="str">
        <f>deaths!CC163</f>
        <v/>
      </c>
    </row>
    <row r="164">
      <c r="B164" s="1" t="str">
        <f>deaths!B164</f>
        <v>Montenegro</v>
      </c>
      <c r="C164" s="4">
        <f>deaths!C164</f>
        <v>42.5</v>
      </c>
      <c r="D164" s="4">
        <f>deaths!D164</f>
        <v>19.3</v>
      </c>
      <c r="E164" s="5">
        <f>deaths!E164</f>
        <v>0</v>
      </c>
      <c r="F164" s="5">
        <f>deaths!F164-deaths!E164</f>
        <v>0</v>
      </c>
      <c r="G164" s="5">
        <f>deaths!G164-deaths!F164</f>
        <v>0</v>
      </c>
      <c r="H164" s="5">
        <f>deaths!H164-deaths!G164</f>
        <v>0</v>
      </c>
      <c r="I164" s="5">
        <f>deaths!I164-deaths!H164</f>
        <v>0</v>
      </c>
      <c r="J164" s="5">
        <f>deaths!J164-deaths!I164</f>
        <v>0</v>
      </c>
      <c r="K164" s="5">
        <f>deaths!K164-deaths!J164</f>
        <v>0</v>
      </c>
      <c r="L164" s="5">
        <f>deaths!L164-deaths!K164</f>
        <v>0</v>
      </c>
      <c r="M164" s="5">
        <f>deaths!M164-deaths!L164</f>
        <v>0</v>
      </c>
      <c r="N164" s="5">
        <f>deaths!N164-deaths!M164</f>
        <v>0</v>
      </c>
      <c r="O164" s="5">
        <f>deaths!O164-deaths!N164</f>
        <v>0</v>
      </c>
      <c r="P164" s="5">
        <f>deaths!P164-deaths!O164</f>
        <v>0</v>
      </c>
      <c r="Q164" s="5">
        <f>deaths!Q164-deaths!P164</f>
        <v>0</v>
      </c>
      <c r="R164" s="5">
        <f>deaths!R164-deaths!Q164</f>
        <v>0</v>
      </c>
      <c r="S164" s="5">
        <f>deaths!S164-deaths!R164</f>
        <v>0</v>
      </c>
      <c r="T164" s="5">
        <f>deaths!T164-deaths!S164</f>
        <v>0</v>
      </c>
      <c r="U164" s="5">
        <f>deaths!U164-deaths!T164</f>
        <v>0</v>
      </c>
      <c r="V164" s="5">
        <f>deaths!V164-deaths!U164</f>
        <v>0</v>
      </c>
      <c r="W164" s="5">
        <f>deaths!W164-deaths!V164</f>
        <v>0</v>
      </c>
      <c r="X164" s="5">
        <f>deaths!X164-deaths!W164</f>
        <v>0</v>
      </c>
      <c r="Y164" s="5">
        <f>deaths!Y164-deaths!X164</f>
        <v>0</v>
      </c>
      <c r="Z164" s="5">
        <f>deaths!Z164-deaths!Y164</f>
        <v>0</v>
      </c>
      <c r="AA164" s="5">
        <f>deaths!AA164-deaths!Z164</f>
        <v>0</v>
      </c>
      <c r="AB164" s="5">
        <f>deaths!AB164-deaths!AA164</f>
        <v>0</v>
      </c>
      <c r="AC164" s="5">
        <f>deaths!AC164-deaths!AB164</f>
        <v>0</v>
      </c>
      <c r="AD164" s="5">
        <f>deaths!AD164-deaths!AC164</f>
        <v>0</v>
      </c>
      <c r="AE164" s="5">
        <f>deaths!AE164-deaths!AD164</f>
        <v>0</v>
      </c>
      <c r="AF164" s="5">
        <f>deaths!AF164-deaths!AE164</f>
        <v>0</v>
      </c>
      <c r="AG164" s="5">
        <f>deaths!AG164-deaths!AF164</f>
        <v>0</v>
      </c>
      <c r="AH164" s="5">
        <f>deaths!AH164-deaths!AG164</f>
        <v>0</v>
      </c>
      <c r="AI164" s="5">
        <f>deaths!AI164-deaths!AH164</f>
        <v>0</v>
      </c>
      <c r="AJ164" s="5">
        <f>deaths!AJ164-deaths!AI164</f>
        <v>0</v>
      </c>
      <c r="AK164" s="5">
        <f>deaths!AK164-deaths!AJ164</f>
        <v>0</v>
      </c>
      <c r="AL164" s="5">
        <f>deaths!AL164-deaths!AK164</f>
        <v>0</v>
      </c>
      <c r="AM164" s="5">
        <f>deaths!AM164-deaths!AL164</f>
        <v>0</v>
      </c>
      <c r="AN164" s="5">
        <f>deaths!AN164-deaths!AM164</f>
        <v>0</v>
      </c>
      <c r="AO164" s="5">
        <f>deaths!AO164-deaths!AN164</f>
        <v>0</v>
      </c>
      <c r="AP164" s="5">
        <f>deaths!AP164-deaths!AO164</f>
        <v>0</v>
      </c>
      <c r="AQ164" s="5">
        <f>deaths!AQ164-deaths!AP164</f>
        <v>0</v>
      </c>
      <c r="AR164" s="5">
        <f>deaths!AR164-deaths!AQ164</f>
        <v>0</v>
      </c>
      <c r="AS164" s="5">
        <f>deaths!AS164-deaths!AR164</f>
        <v>0</v>
      </c>
      <c r="AT164" s="5">
        <f>deaths!AT164-deaths!AS164</f>
        <v>0</v>
      </c>
      <c r="AU164" s="5">
        <f>deaths!AU164-deaths!AT164</f>
        <v>0</v>
      </c>
      <c r="AV164" s="5">
        <f>deaths!AV164-deaths!AU164</f>
        <v>0</v>
      </c>
      <c r="AW164" s="5">
        <f>deaths!AW164-deaths!AV164</f>
        <v>0</v>
      </c>
      <c r="AX164" s="5">
        <f>deaths!AX164-deaths!AW164</f>
        <v>0</v>
      </c>
      <c r="AY164" s="5">
        <f>deaths!AY164-deaths!AX164</f>
        <v>0</v>
      </c>
      <c r="AZ164" s="5">
        <f>deaths!AZ164-deaths!AY164</f>
        <v>0</v>
      </c>
      <c r="BA164" s="5">
        <f>deaths!BA164-deaths!AZ164</f>
        <v>0</v>
      </c>
      <c r="BB164" s="5">
        <f>deaths!BB164-deaths!BA164</f>
        <v>0</v>
      </c>
      <c r="BC164" s="5">
        <f>deaths!BC164-deaths!BB164</f>
        <v>0</v>
      </c>
      <c r="BD164" s="5">
        <f>deaths!BD164-deaths!BC164</f>
        <v>0</v>
      </c>
      <c r="BE164" s="5">
        <f>deaths!BE164-deaths!BD164</f>
        <v>0</v>
      </c>
      <c r="BF164" s="5">
        <f>deaths!BF164-deaths!BE164</f>
        <v>0</v>
      </c>
      <c r="BG164" s="5">
        <f>deaths!BG164-deaths!BF164</f>
        <v>0</v>
      </c>
      <c r="BH164" s="5">
        <f>deaths!BH164-deaths!BG164</f>
        <v>0</v>
      </c>
      <c r="BI164" s="5">
        <f>deaths!BI164-deaths!BH164</f>
        <v>0</v>
      </c>
      <c r="BJ164" s="5">
        <f>deaths!BJ164-deaths!BI164</f>
        <v>0</v>
      </c>
      <c r="BK164" s="5">
        <f>deaths!BK164-deaths!BJ164</f>
        <v>0</v>
      </c>
      <c r="BL164" s="5">
        <f>deaths!BL164-deaths!BK164</f>
        <v>0</v>
      </c>
      <c r="BM164" s="5">
        <f>deaths!BM164-deaths!BL164</f>
        <v>0</v>
      </c>
      <c r="BN164" s="5">
        <f>deaths!BN164-deaths!BM164</f>
        <v>1</v>
      </c>
      <c r="BO164" s="5">
        <f>deaths!BO164-deaths!BN164</f>
        <v>0</v>
      </c>
      <c r="BP164" s="5">
        <f>deaths!BP164-deaths!BO164</f>
        <v>0</v>
      </c>
      <c r="BQ164" s="5">
        <f>deaths!BQ164-deaths!BP164</f>
        <v>0</v>
      </c>
      <c r="BR164" s="5">
        <f>deaths!BR164-deaths!BQ164</f>
        <v>0</v>
      </c>
      <c r="BS164" s="5">
        <f>deaths!BS164-deaths!BR164</f>
        <v>0</v>
      </c>
      <c r="BT164" s="5">
        <f>deaths!BT164-deaths!BS164</f>
        <v>0</v>
      </c>
      <c r="BU164" s="5">
        <f>deaths!BU164-deaths!BT164</f>
        <v>0</v>
      </c>
      <c r="BV164" s="5">
        <f>deaths!BV164-deaths!BU164</f>
        <v>1</v>
      </c>
      <c r="BW164" s="5">
        <f>deaths!BW164-deaths!BV164</f>
        <v>0</v>
      </c>
      <c r="BX164" s="5">
        <f>deaths!BX164-deaths!BW164</f>
        <v>0</v>
      </c>
      <c r="BY164" s="5">
        <f>deaths!BY164-deaths!BX164</f>
        <v>0</v>
      </c>
      <c r="BZ164" s="1">
        <f>deaths!BZ164</f>
        <v>2</v>
      </c>
      <c r="CA164" s="1">
        <f>deaths!CA164</f>
        <v>2</v>
      </c>
      <c r="CB164" s="1">
        <f>deaths!CB164</f>
        <v>2</v>
      </c>
      <c r="CC164" s="1" t="str">
        <f>deaths!CC164</f>
        <v/>
      </c>
    </row>
    <row r="165">
      <c r="B165" s="1" t="str">
        <f>deaths!B165</f>
        <v>Morocco</v>
      </c>
      <c r="C165" s="4">
        <f>deaths!C165</f>
        <v>31.7917</v>
      </c>
      <c r="D165" s="4">
        <f>deaths!D165</f>
        <v>-7.0926</v>
      </c>
      <c r="E165" s="5">
        <f>deaths!E165</f>
        <v>0</v>
      </c>
      <c r="F165" s="5">
        <f>deaths!F165-deaths!E165</f>
        <v>0</v>
      </c>
      <c r="G165" s="5">
        <f>deaths!G165-deaths!F165</f>
        <v>0</v>
      </c>
      <c r="H165" s="5">
        <f>deaths!H165-deaths!G165</f>
        <v>0</v>
      </c>
      <c r="I165" s="5">
        <f>deaths!I165-deaths!H165</f>
        <v>0</v>
      </c>
      <c r="J165" s="5">
        <f>deaths!J165-deaths!I165</f>
        <v>0</v>
      </c>
      <c r="K165" s="5">
        <f>deaths!K165-deaths!J165</f>
        <v>0</v>
      </c>
      <c r="L165" s="5">
        <f>deaths!L165-deaths!K165</f>
        <v>0</v>
      </c>
      <c r="M165" s="5">
        <f>deaths!M165-deaths!L165</f>
        <v>0</v>
      </c>
      <c r="N165" s="5">
        <f>deaths!N165-deaths!M165</f>
        <v>0</v>
      </c>
      <c r="O165" s="5">
        <f>deaths!O165-deaths!N165</f>
        <v>0</v>
      </c>
      <c r="P165" s="5">
        <f>deaths!P165-deaths!O165</f>
        <v>0</v>
      </c>
      <c r="Q165" s="5">
        <f>deaths!Q165-deaths!P165</f>
        <v>0</v>
      </c>
      <c r="R165" s="5">
        <f>deaths!R165-deaths!Q165</f>
        <v>0</v>
      </c>
      <c r="S165" s="5">
        <f>deaths!S165-deaths!R165</f>
        <v>0</v>
      </c>
      <c r="T165" s="5">
        <f>deaths!T165-deaths!S165</f>
        <v>0</v>
      </c>
      <c r="U165" s="5">
        <f>deaths!U165-deaths!T165</f>
        <v>0</v>
      </c>
      <c r="V165" s="5">
        <f>deaths!V165-deaths!U165</f>
        <v>0</v>
      </c>
      <c r="W165" s="5">
        <f>deaths!W165-deaths!V165</f>
        <v>0</v>
      </c>
      <c r="X165" s="5">
        <f>deaths!X165-deaths!W165</f>
        <v>0</v>
      </c>
      <c r="Y165" s="5">
        <f>deaths!Y165-deaths!X165</f>
        <v>0</v>
      </c>
      <c r="Z165" s="5">
        <f>deaths!Z165-deaths!Y165</f>
        <v>0</v>
      </c>
      <c r="AA165" s="5">
        <f>deaths!AA165-deaths!Z165</f>
        <v>0</v>
      </c>
      <c r="AB165" s="5">
        <f>deaths!AB165-deaths!AA165</f>
        <v>0</v>
      </c>
      <c r="AC165" s="5">
        <f>deaths!AC165-deaths!AB165</f>
        <v>0</v>
      </c>
      <c r="AD165" s="5">
        <f>deaths!AD165-deaths!AC165</f>
        <v>0</v>
      </c>
      <c r="AE165" s="5">
        <f>deaths!AE165-deaths!AD165</f>
        <v>0</v>
      </c>
      <c r="AF165" s="5">
        <f>deaths!AF165-deaths!AE165</f>
        <v>0</v>
      </c>
      <c r="AG165" s="5">
        <f>deaths!AG165-deaths!AF165</f>
        <v>0</v>
      </c>
      <c r="AH165" s="5">
        <f>deaths!AH165-deaths!AG165</f>
        <v>0</v>
      </c>
      <c r="AI165" s="5">
        <f>deaths!AI165-deaths!AH165</f>
        <v>0</v>
      </c>
      <c r="AJ165" s="5">
        <f>deaths!AJ165-deaths!AI165</f>
        <v>0</v>
      </c>
      <c r="AK165" s="5">
        <f>deaths!AK165-deaths!AJ165</f>
        <v>0</v>
      </c>
      <c r="AL165" s="5">
        <f>deaths!AL165-deaths!AK165</f>
        <v>0</v>
      </c>
      <c r="AM165" s="5">
        <f>deaths!AM165-deaths!AL165</f>
        <v>0</v>
      </c>
      <c r="AN165" s="5">
        <f>deaths!AN165-deaths!AM165</f>
        <v>0</v>
      </c>
      <c r="AO165" s="5">
        <f>deaths!AO165-deaths!AN165</f>
        <v>0</v>
      </c>
      <c r="AP165" s="5">
        <f>deaths!AP165-deaths!AO165</f>
        <v>0</v>
      </c>
      <c r="AQ165" s="5">
        <f>deaths!AQ165-deaths!AP165</f>
        <v>0</v>
      </c>
      <c r="AR165" s="5">
        <f>deaths!AR165-deaths!AQ165</f>
        <v>0</v>
      </c>
      <c r="AS165" s="5">
        <f>deaths!AS165-deaths!AR165</f>
        <v>0</v>
      </c>
      <c r="AT165" s="5">
        <f>deaths!AT165-deaths!AS165</f>
        <v>0</v>
      </c>
      <c r="AU165" s="5">
        <f>deaths!AU165-deaths!AT165</f>
        <v>0</v>
      </c>
      <c r="AV165" s="5">
        <f>deaths!AV165-deaths!AU165</f>
        <v>0</v>
      </c>
      <c r="AW165" s="5">
        <f>deaths!AW165-deaths!AV165</f>
        <v>0</v>
      </c>
      <c r="AX165" s="5">
        <f>deaths!AX165-deaths!AW165</f>
        <v>0</v>
      </c>
      <c r="AY165" s="5">
        <f>deaths!AY165-deaths!AX165</f>
        <v>0</v>
      </c>
      <c r="AZ165" s="5">
        <f>deaths!AZ165-deaths!AY165</f>
        <v>0</v>
      </c>
      <c r="BA165" s="5">
        <f>deaths!BA165-deaths!AZ165</f>
        <v>1</v>
      </c>
      <c r="BB165" s="5">
        <f>deaths!BB165-deaths!BA165</f>
        <v>0</v>
      </c>
      <c r="BC165" s="5">
        <f>deaths!BC165-deaths!BB165</f>
        <v>0</v>
      </c>
      <c r="BD165" s="5">
        <f>deaths!BD165-deaths!BC165</f>
        <v>0</v>
      </c>
      <c r="BE165" s="5">
        <f>deaths!BE165-deaths!BD165</f>
        <v>0</v>
      </c>
      <c r="BF165" s="5">
        <f>deaths!BF165-deaths!BE165</f>
        <v>0</v>
      </c>
      <c r="BG165" s="5">
        <f>deaths!BG165-deaths!BF165</f>
        <v>0</v>
      </c>
      <c r="BH165" s="5">
        <f>deaths!BH165-deaths!BG165</f>
        <v>1</v>
      </c>
      <c r="BI165" s="5">
        <f>deaths!BI165-deaths!BH165</f>
        <v>0</v>
      </c>
      <c r="BJ165" s="5">
        <f>deaths!BJ165-deaths!BI165</f>
        <v>0</v>
      </c>
      <c r="BK165" s="5">
        <f>deaths!BK165-deaths!BJ165</f>
        <v>1</v>
      </c>
      <c r="BL165" s="5">
        <f>deaths!BL165-deaths!BK165</f>
        <v>0</v>
      </c>
      <c r="BM165" s="5">
        <f>deaths!BM165-deaths!BL165</f>
        <v>1</v>
      </c>
      <c r="BN165" s="5">
        <f>deaths!BN165-deaths!BM165</f>
        <v>0</v>
      </c>
      <c r="BO165" s="5">
        <f>deaths!BO165-deaths!BN165</f>
        <v>1</v>
      </c>
      <c r="BP165" s="5">
        <f>deaths!BP165-deaths!BO165</f>
        <v>1</v>
      </c>
      <c r="BQ165" s="5">
        <f>deaths!BQ165-deaths!BP165</f>
        <v>5</v>
      </c>
      <c r="BR165" s="5">
        <f>deaths!BR165-deaths!BQ165</f>
        <v>12</v>
      </c>
      <c r="BS165" s="5">
        <f>deaths!BS165-deaths!BR165</f>
        <v>2</v>
      </c>
      <c r="BT165" s="5">
        <f>deaths!BT165-deaths!BS165</f>
        <v>1</v>
      </c>
      <c r="BU165" s="5">
        <f>deaths!BU165-deaths!BT165</f>
        <v>7</v>
      </c>
      <c r="BV165" s="5">
        <f>deaths!BV165-deaths!BU165</f>
        <v>3</v>
      </c>
      <c r="BW165" s="5">
        <f>deaths!BW165-deaths!BV165</f>
        <v>3</v>
      </c>
      <c r="BX165" s="5">
        <f>deaths!BX165-deaths!BW165</f>
        <v>5</v>
      </c>
      <c r="BY165" s="5">
        <f>deaths!BY165-deaths!BX165</f>
        <v>4</v>
      </c>
      <c r="BZ165" s="1">
        <f>deaths!BZ165</f>
        <v>59</v>
      </c>
      <c r="CA165" s="1">
        <f>deaths!CA165</f>
        <v>70</v>
      </c>
      <c r="CB165" s="1">
        <f>deaths!CB165</f>
        <v>80</v>
      </c>
      <c r="CC165" s="1" t="str">
        <f>deaths!CC165</f>
        <v/>
      </c>
    </row>
    <row r="166">
      <c r="B166" s="1" t="str">
        <f>deaths!B166</f>
        <v>Namibia</v>
      </c>
      <c r="C166" s="4">
        <f>deaths!C166</f>
        <v>-22.9576</v>
      </c>
      <c r="D166" s="4">
        <f>deaths!D166</f>
        <v>18.4904</v>
      </c>
      <c r="E166" s="5">
        <f>deaths!E166</f>
        <v>0</v>
      </c>
      <c r="F166" s="5">
        <f>deaths!F166-deaths!E166</f>
        <v>0</v>
      </c>
      <c r="G166" s="5">
        <f>deaths!G166-deaths!F166</f>
        <v>0</v>
      </c>
      <c r="H166" s="5">
        <f>deaths!H166-deaths!G166</f>
        <v>0</v>
      </c>
      <c r="I166" s="5">
        <f>deaths!I166-deaths!H166</f>
        <v>0</v>
      </c>
      <c r="J166" s="5">
        <f>deaths!J166-deaths!I166</f>
        <v>0</v>
      </c>
      <c r="K166" s="5">
        <f>deaths!K166-deaths!J166</f>
        <v>0</v>
      </c>
      <c r="L166" s="5">
        <f>deaths!L166-deaths!K166</f>
        <v>0</v>
      </c>
      <c r="M166" s="5">
        <f>deaths!M166-deaths!L166</f>
        <v>0</v>
      </c>
      <c r="N166" s="5">
        <f>deaths!N166-deaths!M166</f>
        <v>0</v>
      </c>
      <c r="O166" s="5">
        <f>deaths!O166-deaths!N166</f>
        <v>0</v>
      </c>
      <c r="P166" s="5">
        <f>deaths!P166-deaths!O166</f>
        <v>0</v>
      </c>
      <c r="Q166" s="5">
        <f>deaths!Q166-deaths!P166</f>
        <v>0</v>
      </c>
      <c r="R166" s="5">
        <f>deaths!R166-deaths!Q166</f>
        <v>0</v>
      </c>
      <c r="S166" s="5">
        <f>deaths!S166-deaths!R166</f>
        <v>0</v>
      </c>
      <c r="T166" s="5">
        <f>deaths!T166-deaths!S166</f>
        <v>0</v>
      </c>
      <c r="U166" s="5">
        <f>deaths!U166-deaths!T166</f>
        <v>0</v>
      </c>
      <c r="V166" s="5">
        <f>deaths!V166-deaths!U166</f>
        <v>0</v>
      </c>
      <c r="W166" s="5">
        <f>deaths!W166-deaths!V166</f>
        <v>0</v>
      </c>
      <c r="X166" s="5">
        <f>deaths!X166-deaths!W166</f>
        <v>0</v>
      </c>
      <c r="Y166" s="5">
        <f>deaths!Y166-deaths!X166</f>
        <v>0</v>
      </c>
      <c r="Z166" s="5">
        <f>deaths!Z166-deaths!Y166</f>
        <v>0</v>
      </c>
      <c r="AA166" s="5">
        <f>deaths!AA166-deaths!Z166</f>
        <v>0</v>
      </c>
      <c r="AB166" s="5">
        <f>deaths!AB166-deaths!AA166</f>
        <v>0</v>
      </c>
      <c r="AC166" s="5">
        <f>deaths!AC166-deaths!AB166</f>
        <v>0</v>
      </c>
      <c r="AD166" s="5">
        <f>deaths!AD166-deaths!AC166</f>
        <v>0</v>
      </c>
      <c r="AE166" s="5">
        <f>deaths!AE166-deaths!AD166</f>
        <v>0</v>
      </c>
      <c r="AF166" s="5">
        <f>deaths!AF166-deaths!AE166</f>
        <v>0</v>
      </c>
      <c r="AG166" s="5">
        <f>deaths!AG166-deaths!AF166</f>
        <v>0</v>
      </c>
      <c r="AH166" s="5">
        <f>deaths!AH166-deaths!AG166</f>
        <v>0</v>
      </c>
      <c r="AI166" s="5">
        <f>deaths!AI166-deaths!AH166</f>
        <v>0</v>
      </c>
      <c r="AJ166" s="5">
        <f>deaths!AJ166-deaths!AI166</f>
        <v>0</v>
      </c>
      <c r="AK166" s="5">
        <f>deaths!AK166-deaths!AJ166</f>
        <v>0</v>
      </c>
      <c r="AL166" s="5">
        <f>deaths!AL166-deaths!AK166</f>
        <v>0</v>
      </c>
      <c r="AM166" s="5">
        <f>deaths!AM166-deaths!AL166</f>
        <v>0</v>
      </c>
      <c r="AN166" s="5">
        <f>deaths!AN166-deaths!AM166</f>
        <v>0</v>
      </c>
      <c r="AO166" s="5">
        <f>deaths!AO166-deaths!AN166</f>
        <v>0</v>
      </c>
      <c r="AP166" s="5">
        <f>deaths!AP166-deaths!AO166</f>
        <v>0</v>
      </c>
      <c r="AQ166" s="5">
        <f>deaths!AQ166-deaths!AP166</f>
        <v>0</v>
      </c>
      <c r="AR166" s="5">
        <f>deaths!AR166-deaths!AQ166</f>
        <v>0</v>
      </c>
      <c r="AS166" s="5">
        <f>deaths!AS166-deaths!AR166</f>
        <v>0</v>
      </c>
      <c r="AT166" s="5">
        <f>deaths!AT166-deaths!AS166</f>
        <v>0</v>
      </c>
      <c r="AU166" s="5">
        <f>deaths!AU166-deaths!AT166</f>
        <v>0</v>
      </c>
      <c r="AV166" s="5">
        <f>deaths!AV166-deaths!AU166</f>
        <v>0</v>
      </c>
      <c r="AW166" s="5">
        <f>deaths!AW166-deaths!AV166</f>
        <v>0</v>
      </c>
      <c r="AX166" s="5">
        <f>deaths!AX166-deaths!AW166</f>
        <v>0</v>
      </c>
      <c r="AY166" s="5">
        <f>deaths!AY166-deaths!AX166</f>
        <v>0</v>
      </c>
      <c r="AZ166" s="5">
        <f>deaths!AZ166-deaths!AY166</f>
        <v>0</v>
      </c>
      <c r="BA166" s="5">
        <f>deaths!BA166-deaths!AZ166</f>
        <v>0</v>
      </c>
      <c r="BB166" s="5">
        <f>deaths!BB166-deaths!BA166</f>
        <v>0</v>
      </c>
      <c r="BC166" s="5">
        <f>deaths!BC166-deaths!BB166</f>
        <v>0</v>
      </c>
      <c r="BD166" s="5">
        <f>deaths!BD166-deaths!BC166</f>
        <v>0</v>
      </c>
      <c r="BE166" s="5">
        <f>deaths!BE166-deaths!BD166</f>
        <v>0</v>
      </c>
      <c r="BF166" s="5">
        <f>deaths!BF166-deaths!BE166</f>
        <v>0</v>
      </c>
      <c r="BG166" s="5">
        <f>deaths!BG166-deaths!BF166</f>
        <v>0</v>
      </c>
      <c r="BH166" s="5">
        <f>deaths!BH166-deaths!BG166</f>
        <v>0</v>
      </c>
      <c r="BI166" s="5">
        <f>deaths!BI166-deaths!BH166</f>
        <v>0</v>
      </c>
      <c r="BJ166" s="5">
        <f>deaths!BJ166-deaths!BI166</f>
        <v>0</v>
      </c>
      <c r="BK166" s="5">
        <f>deaths!BK166-deaths!BJ166</f>
        <v>0</v>
      </c>
      <c r="BL166" s="5">
        <f>deaths!BL166-deaths!BK166</f>
        <v>0</v>
      </c>
      <c r="BM166" s="5">
        <f>deaths!BM166-deaths!BL166</f>
        <v>0</v>
      </c>
      <c r="BN166" s="5">
        <f>deaths!BN166-deaths!BM166</f>
        <v>0</v>
      </c>
      <c r="BO166" s="5">
        <f>deaths!BO166-deaths!BN166</f>
        <v>0</v>
      </c>
      <c r="BP166" s="5">
        <f>deaths!BP166-deaths!BO166</f>
        <v>0</v>
      </c>
      <c r="BQ166" s="5">
        <f>deaths!BQ166-deaths!BP166</f>
        <v>0</v>
      </c>
      <c r="BR166" s="5">
        <f>deaths!BR166-deaths!BQ166</f>
        <v>0</v>
      </c>
      <c r="BS166" s="5">
        <f>deaths!BS166-deaths!BR166</f>
        <v>0</v>
      </c>
      <c r="BT166" s="5">
        <f>deaths!BT166-deaths!BS166</f>
        <v>0</v>
      </c>
      <c r="BU166" s="5">
        <f>deaths!BU166-deaths!BT166</f>
        <v>0</v>
      </c>
      <c r="BV166" s="5">
        <f>deaths!BV166-deaths!BU166</f>
        <v>0</v>
      </c>
      <c r="BW166" s="5">
        <f>deaths!BW166-deaths!BV166</f>
        <v>0</v>
      </c>
      <c r="BX166" s="5">
        <f>deaths!BX166-deaths!BW166</f>
        <v>0</v>
      </c>
      <c r="BY166" s="5">
        <f>deaths!BY166-deaths!BX166</f>
        <v>0</v>
      </c>
      <c r="BZ166" s="1">
        <f>deaths!BZ166</f>
        <v>0</v>
      </c>
      <c r="CA166" s="1">
        <f>deaths!CA166</f>
        <v>0</v>
      </c>
      <c r="CB166" s="1">
        <f>deaths!CB166</f>
        <v>0</v>
      </c>
      <c r="CC166" s="1" t="str">
        <f>deaths!CC166</f>
        <v/>
      </c>
    </row>
    <row r="167">
      <c r="B167" s="1" t="str">
        <f>deaths!B167</f>
        <v>Nepal</v>
      </c>
      <c r="C167" s="4">
        <f>deaths!C167</f>
        <v>28.1667</v>
      </c>
      <c r="D167" s="4">
        <f>deaths!D167</f>
        <v>84.25</v>
      </c>
      <c r="E167" s="5">
        <f>deaths!E167</f>
        <v>0</v>
      </c>
      <c r="F167" s="5">
        <f>deaths!F167-deaths!E167</f>
        <v>0</v>
      </c>
      <c r="G167" s="5">
        <f>deaths!G167-deaths!F167</f>
        <v>0</v>
      </c>
      <c r="H167" s="5">
        <f>deaths!H167-deaths!G167</f>
        <v>0</v>
      </c>
      <c r="I167" s="5">
        <f>deaths!I167-deaths!H167</f>
        <v>0</v>
      </c>
      <c r="J167" s="5">
        <f>deaths!J167-deaths!I167</f>
        <v>0</v>
      </c>
      <c r="K167" s="5">
        <f>deaths!K167-deaths!J167</f>
        <v>0</v>
      </c>
      <c r="L167" s="5">
        <f>deaths!L167-deaths!K167</f>
        <v>0</v>
      </c>
      <c r="M167" s="5">
        <f>deaths!M167-deaths!L167</f>
        <v>0</v>
      </c>
      <c r="N167" s="5">
        <f>deaths!N167-deaths!M167</f>
        <v>0</v>
      </c>
      <c r="O167" s="5">
        <f>deaths!O167-deaths!N167</f>
        <v>0</v>
      </c>
      <c r="P167" s="5">
        <f>deaths!P167-deaths!O167</f>
        <v>0</v>
      </c>
      <c r="Q167" s="5">
        <f>deaths!Q167-deaths!P167</f>
        <v>0</v>
      </c>
      <c r="R167" s="5">
        <f>deaths!R167-deaths!Q167</f>
        <v>0</v>
      </c>
      <c r="S167" s="5">
        <f>deaths!S167-deaths!R167</f>
        <v>0</v>
      </c>
      <c r="T167" s="5">
        <f>deaths!T167-deaths!S167</f>
        <v>0</v>
      </c>
      <c r="U167" s="5">
        <f>deaths!U167-deaths!T167</f>
        <v>0</v>
      </c>
      <c r="V167" s="5">
        <f>deaths!V167-deaths!U167</f>
        <v>0</v>
      </c>
      <c r="W167" s="5">
        <f>deaths!W167-deaths!V167</f>
        <v>0</v>
      </c>
      <c r="X167" s="5">
        <f>deaths!X167-deaths!W167</f>
        <v>0</v>
      </c>
      <c r="Y167" s="5">
        <f>deaths!Y167-deaths!X167</f>
        <v>0</v>
      </c>
      <c r="Z167" s="5">
        <f>deaths!Z167-deaths!Y167</f>
        <v>0</v>
      </c>
      <c r="AA167" s="5">
        <f>deaths!AA167-deaths!Z167</f>
        <v>0</v>
      </c>
      <c r="AB167" s="5">
        <f>deaths!AB167-deaths!AA167</f>
        <v>0</v>
      </c>
      <c r="AC167" s="5">
        <f>deaths!AC167-deaths!AB167</f>
        <v>0</v>
      </c>
      <c r="AD167" s="5">
        <f>deaths!AD167-deaths!AC167</f>
        <v>0</v>
      </c>
      <c r="AE167" s="5">
        <f>deaths!AE167-deaths!AD167</f>
        <v>0</v>
      </c>
      <c r="AF167" s="5">
        <f>deaths!AF167-deaths!AE167</f>
        <v>0</v>
      </c>
      <c r="AG167" s="5">
        <f>deaths!AG167-deaths!AF167</f>
        <v>0</v>
      </c>
      <c r="AH167" s="5">
        <f>deaths!AH167-deaths!AG167</f>
        <v>0</v>
      </c>
      <c r="AI167" s="5">
        <f>deaths!AI167-deaths!AH167</f>
        <v>0</v>
      </c>
      <c r="AJ167" s="5">
        <f>deaths!AJ167-deaths!AI167</f>
        <v>0</v>
      </c>
      <c r="AK167" s="5">
        <f>deaths!AK167-deaths!AJ167</f>
        <v>0</v>
      </c>
      <c r="AL167" s="5">
        <f>deaths!AL167-deaths!AK167</f>
        <v>0</v>
      </c>
      <c r="AM167" s="5">
        <f>deaths!AM167-deaths!AL167</f>
        <v>0</v>
      </c>
      <c r="AN167" s="5">
        <f>deaths!AN167-deaths!AM167</f>
        <v>0</v>
      </c>
      <c r="AO167" s="5">
        <f>deaths!AO167-deaths!AN167</f>
        <v>0</v>
      </c>
      <c r="AP167" s="5">
        <f>deaths!AP167-deaths!AO167</f>
        <v>0</v>
      </c>
      <c r="AQ167" s="5">
        <f>deaths!AQ167-deaths!AP167</f>
        <v>0</v>
      </c>
      <c r="AR167" s="5">
        <f>deaths!AR167-deaths!AQ167</f>
        <v>0</v>
      </c>
      <c r="AS167" s="5">
        <f>deaths!AS167-deaths!AR167</f>
        <v>0</v>
      </c>
      <c r="AT167" s="5">
        <f>deaths!AT167-deaths!AS167</f>
        <v>0</v>
      </c>
      <c r="AU167" s="5">
        <f>deaths!AU167-deaths!AT167</f>
        <v>0</v>
      </c>
      <c r="AV167" s="5">
        <f>deaths!AV167-deaths!AU167</f>
        <v>0</v>
      </c>
      <c r="AW167" s="5">
        <f>deaths!AW167-deaths!AV167</f>
        <v>0</v>
      </c>
      <c r="AX167" s="5">
        <f>deaths!AX167-deaths!AW167</f>
        <v>0</v>
      </c>
      <c r="AY167" s="5">
        <f>deaths!AY167-deaths!AX167</f>
        <v>0</v>
      </c>
      <c r="AZ167" s="5">
        <f>deaths!AZ167-deaths!AY167</f>
        <v>0</v>
      </c>
      <c r="BA167" s="5">
        <f>deaths!BA167-deaths!AZ167</f>
        <v>0</v>
      </c>
      <c r="BB167" s="5">
        <f>deaths!BB167-deaths!BA167</f>
        <v>0</v>
      </c>
      <c r="BC167" s="5">
        <f>deaths!BC167-deaths!BB167</f>
        <v>0</v>
      </c>
      <c r="BD167" s="5">
        <f>deaths!BD167-deaths!BC167</f>
        <v>0</v>
      </c>
      <c r="BE167" s="5">
        <f>deaths!BE167-deaths!BD167</f>
        <v>0</v>
      </c>
      <c r="BF167" s="5">
        <f>deaths!BF167-deaths!BE167</f>
        <v>0</v>
      </c>
      <c r="BG167" s="5">
        <f>deaths!BG167-deaths!BF167</f>
        <v>0</v>
      </c>
      <c r="BH167" s="5">
        <f>deaths!BH167-deaths!BG167</f>
        <v>0</v>
      </c>
      <c r="BI167" s="5">
        <f>deaths!BI167-deaths!BH167</f>
        <v>0</v>
      </c>
      <c r="BJ167" s="5">
        <f>deaths!BJ167-deaths!BI167</f>
        <v>0</v>
      </c>
      <c r="BK167" s="5">
        <f>deaths!BK167-deaths!BJ167</f>
        <v>0</v>
      </c>
      <c r="BL167" s="5">
        <f>deaths!BL167-deaths!BK167</f>
        <v>0</v>
      </c>
      <c r="BM167" s="5">
        <f>deaths!BM167-deaths!BL167</f>
        <v>0</v>
      </c>
      <c r="BN167" s="5">
        <f>deaths!BN167-deaths!BM167</f>
        <v>0</v>
      </c>
      <c r="BO167" s="5">
        <f>deaths!BO167-deaths!BN167</f>
        <v>0</v>
      </c>
      <c r="BP167" s="5">
        <f>deaths!BP167-deaths!BO167</f>
        <v>0</v>
      </c>
      <c r="BQ167" s="5">
        <f>deaths!BQ167-deaths!BP167</f>
        <v>0</v>
      </c>
      <c r="BR167" s="5">
        <f>deaths!BR167-deaths!BQ167</f>
        <v>0</v>
      </c>
      <c r="BS167" s="5">
        <f>deaths!BS167-deaths!BR167</f>
        <v>0</v>
      </c>
      <c r="BT167" s="5">
        <f>deaths!BT167-deaths!BS167</f>
        <v>0</v>
      </c>
      <c r="BU167" s="5">
        <f>deaths!BU167-deaths!BT167</f>
        <v>0</v>
      </c>
      <c r="BV167" s="5">
        <f>deaths!BV167-deaths!BU167</f>
        <v>0</v>
      </c>
      <c r="BW167" s="5">
        <f>deaths!BW167-deaths!BV167</f>
        <v>0</v>
      </c>
      <c r="BX167" s="5">
        <f>deaths!BX167-deaths!BW167</f>
        <v>0</v>
      </c>
      <c r="BY167" s="5">
        <f>deaths!BY167-deaths!BX167</f>
        <v>0</v>
      </c>
      <c r="BZ167" s="1">
        <f>deaths!BZ167</f>
        <v>0</v>
      </c>
      <c r="CA167" s="1">
        <f>deaths!CA167</f>
        <v>0</v>
      </c>
      <c r="CB167" s="1">
        <f>deaths!CB167</f>
        <v>0</v>
      </c>
      <c r="CC167" s="1" t="str">
        <f>deaths!CC167</f>
        <v/>
      </c>
    </row>
    <row r="168">
      <c r="B168" s="1" t="str">
        <f>deaths!B168</f>
        <v>Netherlands</v>
      </c>
      <c r="C168" s="4">
        <f>deaths!C168</f>
        <v>12.5186</v>
      </c>
      <c r="D168" s="4">
        <f>deaths!D168</f>
        <v>-70.0358</v>
      </c>
      <c r="E168" s="5">
        <f>deaths!E168</f>
        <v>0</v>
      </c>
      <c r="F168" s="5">
        <f>deaths!F168-deaths!E168</f>
        <v>0</v>
      </c>
      <c r="G168" s="5">
        <f>deaths!G168-deaths!F168</f>
        <v>0</v>
      </c>
      <c r="H168" s="5">
        <f>deaths!H168-deaths!G168</f>
        <v>0</v>
      </c>
      <c r="I168" s="5">
        <f>deaths!I168-deaths!H168</f>
        <v>0</v>
      </c>
      <c r="J168" s="5">
        <f>deaths!J168-deaths!I168</f>
        <v>0</v>
      </c>
      <c r="K168" s="5">
        <f>deaths!K168-deaths!J168</f>
        <v>0</v>
      </c>
      <c r="L168" s="5">
        <f>deaths!L168-deaths!K168</f>
        <v>0</v>
      </c>
      <c r="M168" s="5">
        <f>deaths!M168-deaths!L168</f>
        <v>0</v>
      </c>
      <c r="N168" s="5">
        <f>deaths!N168-deaths!M168</f>
        <v>0</v>
      </c>
      <c r="O168" s="5">
        <f>deaths!O168-deaths!N168</f>
        <v>0</v>
      </c>
      <c r="P168" s="5">
        <f>deaths!P168-deaths!O168</f>
        <v>0</v>
      </c>
      <c r="Q168" s="5">
        <f>deaths!Q168-deaths!P168</f>
        <v>0</v>
      </c>
      <c r="R168" s="5">
        <f>deaths!R168-deaths!Q168</f>
        <v>0</v>
      </c>
      <c r="S168" s="5">
        <f>deaths!S168-deaths!R168</f>
        <v>0</v>
      </c>
      <c r="T168" s="5">
        <f>deaths!T168-deaths!S168</f>
        <v>0</v>
      </c>
      <c r="U168" s="5">
        <f>deaths!U168-deaths!T168</f>
        <v>0</v>
      </c>
      <c r="V168" s="5">
        <f>deaths!V168-deaths!U168</f>
        <v>0</v>
      </c>
      <c r="W168" s="5">
        <f>deaths!W168-deaths!V168</f>
        <v>0</v>
      </c>
      <c r="X168" s="5">
        <f>deaths!X168-deaths!W168</f>
        <v>0</v>
      </c>
      <c r="Y168" s="5">
        <f>deaths!Y168-deaths!X168</f>
        <v>0</v>
      </c>
      <c r="Z168" s="5">
        <f>deaths!Z168-deaths!Y168</f>
        <v>0</v>
      </c>
      <c r="AA168" s="5">
        <f>deaths!AA168-deaths!Z168</f>
        <v>0</v>
      </c>
      <c r="AB168" s="5">
        <f>deaths!AB168-deaths!AA168</f>
        <v>0</v>
      </c>
      <c r="AC168" s="5">
        <f>deaths!AC168-deaths!AB168</f>
        <v>0</v>
      </c>
      <c r="AD168" s="5">
        <f>deaths!AD168-deaths!AC168</f>
        <v>0</v>
      </c>
      <c r="AE168" s="5">
        <f>deaths!AE168-deaths!AD168</f>
        <v>0</v>
      </c>
      <c r="AF168" s="5">
        <f>deaths!AF168-deaths!AE168</f>
        <v>0</v>
      </c>
      <c r="AG168" s="5">
        <f>deaths!AG168-deaths!AF168</f>
        <v>0</v>
      </c>
      <c r="AH168" s="5">
        <f>deaths!AH168-deaths!AG168</f>
        <v>0</v>
      </c>
      <c r="AI168" s="5">
        <f>deaths!AI168-deaths!AH168</f>
        <v>0</v>
      </c>
      <c r="AJ168" s="5">
        <f>deaths!AJ168-deaths!AI168</f>
        <v>0</v>
      </c>
      <c r="AK168" s="5">
        <f>deaths!AK168-deaths!AJ168</f>
        <v>0</v>
      </c>
      <c r="AL168" s="5">
        <f>deaths!AL168-deaths!AK168</f>
        <v>0</v>
      </c>
      <c r="AM168" s="5">
        <f>deaths!AM168-deaths!AL168</f>
        <v>0</v>
      </c>
      <c r="AN168" s="5">
        <f>deaths!AN168-deaths!AM168</f>
        <v>0</v>
      </c>
      <c r="AO168" s="5">
        <f>deaths!AO168-deaths!AN168</f>
        <v>0</v>
      </c>
      <c r="AP168" s="5">
        <f>deaths!AP168-deaths!AO168</f>
        <v>0</v>
      </c>
      <c r="AQ168" s="5">
        <f>deaths!AQ168-deaths!AP168</f>
        <v>0</v>
      </c>
      <c r="AR168" s="5">
        <f>deaths!AR168-deaths!AQ168</f>
        <v>0</v>
      </c>
      <c r="AS168" s="5">
        <f>deaths!AS168-deaths!AR168</f>
        <v>0</v>
      </c>
      <c r="AT168" s="5">
        <f>deaths!AT168-deaths!AS168</f>
        <v>0</v>
      </c>
      <c r="AU168" s="5">
        <f>deaths!AU168-deaths!AT168</f>
        <v>0</v>
      </c>
      <c r="AV168" s="5">
        <f>deaths!AV168-deaths!AU168</f>
        <v>0</v>
      </c>
      <c r="AW168" s="5">
        <f>deaths!AW168-deaths!AV168</f>
        <v>0</v>
      </c>
      <c r="AX168" s="5">
        <f>deaths!AX168-deaths!AW168</f>
        <v>0</v>
      </c>
      <c r="AY168" s="5">
        <f>deaths!AY168-deaths!AX168</f>
        <v>0</v>
      </c>
      <c r="AZ168" s="5">
        <f>deaths!AZ168-deaths!AY168</f>
        <v>0</v>
      </c>
      <c r="BA168" s="5">
        <f>deaths!BA168-deaths!AZ168</f>
        <v>0</v>
      </c>
      <c r="BB168" s="5">
        <f>deaths!BB168-deaths!BA168</f>
        <v>0</v>
      </c>
      <c r="BC168" s="5">
        <f>deaths!BC168-deaths!BB168</f>
        <v>0</v>
      </c>
      <c r="BD168" s="5">
        <f>deaths!BD168-deaths!BC168</f>
        <v>0</v>
      </c>
      <c r="BE168" s="5">
        <f>deaths!BE168-deaths!BD168</f>
        <v>0</v>
      </c>
      <c r="BF168" s="5">
        <f>deaths!BF168-deaths!BE168</f>
        <v>0</v>
      </c>
      <c r="BG168" s="5">
        <f>deaths!BG168-deaths!BF168</f>
        <v>0</v>
      </c>
      <c r="BH168" s="5">
        <f>deaths!BH168-deaths!BG168</f>
        <v>0</v>
      </c>
      <c r="BI168" s="5">
        <f>deaths!BI168-deaths!BH168</f>
        <v>0</v>
      </c>
      <c r="BJ168" s="5">
        <f>deaths!BJ168-deaths!BI168</f>
        <v>0</v>
      </c>
      <c r="BK168" s="5">
        <f>deaths!BK168-deaths!BJ168</f>
        <v>0</v>
      </c>
      <c r="BL168" s="5">
        <f>deaths!BL168-deaths!BK168</f>
        <v>0</v>
      </c>
      <c r="BM168" s="5">
        <f>deaths!BM168-deaths!BL168</f>
        <v>0</v>
      </c>
      <c r="BN168" s="5">
        <f>deaths!BN168-deaths!BM168</f>
        <v>0</v>
      </c>
      <c r="BO168" s="5">
        <f>deaths!BO168-deaths!BN168</f>
        <v>0</v>
      </c>
      <c r="BP168" s="5">
        <f>deaths!BP168-deaths!BO168</f>
        <v>0</v>
      </c>
      <c r="BQ168" s="5">
        <f>deaths!BQ168-deaths!BP168</f>
        <v>0</v>
      </c>
      <c r="BR168" s="5">
        <f>deaths!BR168-deaths!BQ168</f>
        <v>0</v>
      </c>
      <c r="BS168" s="5">
        <f>deaths!BS168-deaths!BR168</f>
        <v>0</v>
      </c>
      <c r="BT168" s="5">
        <f>deaths!BT168-deaths!BS168</f>
        <v>0</v>
      </c>
      <c r="BU168" s="5">
        <f>deaths!BU168-deaths!BT168</f>
        <v>0</v>
      </c>
      <c r="BV168" s="5">
        <f>deaths!BV168-deaths!BU168</f>
        <v>0</v>
      </c>
      <c r="BW168" s="5">
        <f>deaths!BW168-deaths!BV168</f>
        <v>0</v>
      </c>
      <c r="BX168" s="5">
        <f>deaths!BX168-deaths!BW168</f>
        <v>0</v>
      </c>
      <c r="BY168" s="5">
        <f>deaths!BY168-deaths!BX168</f>
        <v>0</v>
      </c>
      <c r="BZ168" s="1">
        <f>deaths!BZ168</f>
        <v>0</v>
      </c>
      <c r="CA168" s="1">
        <f>deaths!CA168</f>
        <v>0</v>
      </c>
      <c r="CB168" s="1">
        <f>deaths!CB168</f>
        <v>0</v>
      </c>
      <c r="CC168" s="1" t="str">
        <f>deaths!CC168</f>
        <v/>
      </c>
    </row>
    <row r="169">
      <c r="B169" s="1" t="str">
        <f>deaths!B169</f>
        <v>Netherlands</v>
      </c>
      <c r="C169" s="4">
        <f>deaths!C169</f>
        <v>12.1696</v>
      </c>
      <c r="D169" s="4">
        <f>deaths!D169</f>
        <v>-68.99</v>
      </c>
      <c r="E169" s="5">
        <f>deaths!E169</f>
        <v>0</v>
      </c>
      <c r="F169" s="5">
        <f>deaths!F169-deaths!E169</f>
        <v>0</v>
      </c>
      <c r="G169" s="5">
        <f>deaths!G169-deaths!F169</f>
        <v>0</v>
      </c>
      <c r="H169" s="5">
        <f>deaths!H169-deaths!G169</f>
        <v>0</v>
      </c>
      <c r="I169" s="5">
        <f>deaths!I169-deaths!H169</f>
        <v>0</v>
      </c>
      <c r="J169" s="5">
        <f>deaths!J169-deaths!I169</f>
        <v>0</v>
      </c>
      <c r="K169" s="5">
        <f>deaths!K169-deaths!J169</f>
        <v>0</v>
      </c>
      <c r="L169" s="5">
        <f>deaths!L169-deaths!K169</f>
        <v>0</v>
      </c>
      <c r="M169" s="5">
        <f>deaths!M169-deaths!L169</f>
        <v>0</v>
      </c>
      <c r="N169" s="5">
        <f>deaths!N169-deaths!M169</f>
        <v>0</v>
      </c>
      <c r="O169" s="5">
        <f>deaths!O169-deaths!N169</f>
        <v>0</v>
      </c>
      <c r="P169" s="5">
        <f>deaths!P169-deaths!O169</f>
        <v>0</v>
      </c>
      <c r="Q169" s="5">
        <f>deaths!Q169-deaths!P169</f>
        <v>0</v>
      </c>
      <c r="R169" s="5">
        <f>deaths!R169-deaths!Q169</f>
        <v>0</v>
      </c>
      <c r="S169" s="5">
        <f>deaths!S169-deaths!R169</f>
        <v>0</v>
      </c>
      <c r="T169" s="5">
        <f>deaths!T169-deaths!S169</f>
        <v>0</v>
      </c>
      <c r="U169" s="5">
        <f>deaths!U169-deaths!T169</f>
        <v>0</v>
      </c>
      <c r="V169" s="5">
        <f>deaths!V169-deaths!U169</f>
        <v>0</v>
      </c>
      <c r="W169" s="5">
        <f>deaths!W169-deaths!V169</f>
        <v>0</v>
      </c>
      <c r="X169" s="5">
        <f>deaths!X169-deaths!W169</f>
        <v>0</v>
      </c>
      <c r="Y169" s="5">
        <f>deaths!Y169-deaths!X169</f>
        <v>0</v>
      </c>
      <c r="Z169" s="5">
        <f>deaths!Z169-deaths!Y169</f>
        <v>0</v>
      </c>
      <c r="AA169" s="5">
        <f>deaths!AA169-deaths!Z169</f>
        <v>0</v>
      </c>
      <c r="AB169" s="5">
        <f>deaths!AB169-deaths!AA169</f>
        <v>0</v>
      </c>
      <c r="AC169" s="5">
        <f>deaths!AC169-deaths!AB169</f>
        <v>0</v>
      </c>
      <c r="AD169" s="5">
        <f>deaths!AD169-deaths!AC169</f>
        <v>0</v>
      </c>
      <c r="AE169" s="5">
        <f>deaths!AE169-deaths!AD169</f>
        <v>0</v>
      </c>
      <c r="AF169" s="5">
        <f>deaths!AF169-deaths!AE169</f>
        <v>0</v>
      </c>
      <c r="AG169" s="5">
        <f>deaths!AG169-deaths!AF169</f>
        <v>0</v>
      </c>
      <c r="AH169" s="5">
        <f>deaths!AH169-deaths!AG169</f>
        <v>0</v>
      </c>
      <c r="AI169" s="5">
        <f>deaths!AI169-deaths!AH169</f>
        <v>0</v>
      </c>
      <c r="AJ169" s="5">
        <f>deaths!AJ169-deaths!AI169</f>
        <v>0</v>
      </c>
      <c r="AK169" s="5">
        <f>deaths!AK169-deaths!AJ169</f>
        <v>0</v>
      </c>
      <c r="AL169" s="5">
        <f>deaths!AL169-deaths!AK169</f>
        <v>0</v>
      </c>
      <c r="AM169" s="5">
        <f>deaths!AM169-deaths!AL169</f>
        <v>0</v>
      </c>
      <c r="AN169" s="5">
        <f>deaths!AN169-deaths!AM169</f>
        <v>0</v>
      </c>
      <c r="AO169" s="5">
        <f>deaths!AO169-deaths!AN169</f>
        <v>0</v>
      </c>
      <c r="AP169" s="5">
        <f>deaths!AP169-deaths!AO169</f>
        <v>0</v>
      </c>
      <c r="AQ169" s="5">
        <f>deaths!AQ169-deaths!AP169</f>
        <v>0</v>
      </c>
      <c r="AR169" s="5">
        <f>deaths!AR169-deaths!AQ169</f>
        <v>0</v>
      </c>
      <c r="AS169" s="5">
        <f>deaths!AS169-deaths!AR169</f>
        <v>0</v>
      </c>
      <c r="AT169" s="5">
        <f>deaths!AT169-deaths!AS169</f>
        <v>0</v>
      </c>
      <c r="AU169" s="5">
        <f>deaths!AU169-deaths!AT169</f>
        <v>0</v>
      </c>
      <c r="AV169" s="5">
        <f>deaths!AV169-deaths!AU169</f>
        <v>0</v>
      </c>
      <c r="AW169" s="5">
        <f>deaths!AW169-deaths!AV169</f>
        <v>0</v>
      </c>
      <c r="AX169" s="5">
        <f>deaths!AX169-deaths!AW169</f>
        <v>0</v>
      </c>
      <c r="AY169" s="5">
        <f>deaths!AY169-deaths!AX169</f>
        <v>0</v>
      </c>
      <c r="AZ169" s="5">
        <f>deaths!AZ169-deaths!AY169</f>
        <v>0</v>
      </c>
      <c r="BA169" s="5">
        <f>deaths!BA169-deaths!AZ169</f>
        <v>0</v>
      </c>
      <c r="BB169" s="5">
        <f>deaths!BB169-deaths!BA169</f>
        <v>0</v>
      </c>
      <c r="BC169" s="5">
        <f>deaths!BC169-deaths!BB169</f>
        <v>0</v>
      </c>
      <c r="BD169" s="5">
        <f>deaths!BD169-deaths!BC169</f>
        <v>0</v>
      </c>
      <c r="BE169" s="5">
        <f>deaths!BE169-deaths!BD169</f>
        <v>0</v>
      </c>
      <c r="BF169" s="5">
        <f>deaths!BF169-deaths!BE169</f>
        <v>0</v>
      </c>
      <c r="BG169" s="5">
        <f>deaths!BG169-deaths!BF169</f>
        <v>0</v>
      </c>
      <c r="BH169" s="5">
        <f>deaths!BH169-deaths!BG169</f>
        <v>0</v>
      </c>
      <c r="BI169" s="5">
        <f>deaths!BI169-deaths!BH169</f>
        <v>0</v>
      </c>
      <c r="BJ169" s="5">
        <f>deaths!BJ169-deaths!BI169</f>
        <v>1</v>
      </c>
      <c r="BK169" s="5">
        <f>deaths!BK169-deaths!BJ169</f>
        <v>0</v>
      </c>
      <c r="BL169" s="5">
        <f>deaths!BL169-deaths!BK169</f>
        <v>0</v>
      </c>
      <c r="BM169" s="5">
        <f>deaths!BM169-deaths!BL169</f>
        <v>0</v>
      </c>
      <c r="BN169" s="5">
        <f>deaths!BN169-deaths!BM169</f>
        <v>0</v>
      </c>
      <c r="BO169" s="5">
        <f>deaths!BO169-deaths!BN169</f>
        <v>0</v>
      </c>
      <c r="BP169" s="5">
        <f>deaths!BP169-deaths!BO169</f>
        <v>0</v>
      </c>
      <c r="BQ169" s="5">
        <f>deaths!BQ169-deaths!BP169</f>
        <v>0</v>
      </c>
      <c r="BR169" s="5">
        <f>deaths!BR169-deaths!BQ169</f>
        <v>0</v>
      </c>
      <c r="BS169" s="5">
        <f>deaths!BS169-deaths!BR169</f>
        <v>0</v>
      </c>
      <c r="BT169" s="5">
        <f>deaths!BT169-deaths!BS169</f>
        <v>0</v>
      </c>
      <c r="BU169" s="5">
        <f>deaths!BU169-deaths!BT169</f>
        <v>0</v>
      </c>
      <c r="BV169" s="5">
        <f>deaths!BV169-deaths!BU169</f>
        <v>0</v>
      </c>
      <c r="BW169" s="5">
        <f>deaths!BW169-deaths!BV169</f>
        <v>0</v>
      </c>
      <c r="BX169" s="5">
        <f>deaths!BX169-deaths!BW169</f>
        <v>0</v>
      </c>
      <c r="BY169" s="5">
        <f>deaths!BY169-deaths!BX169</f>
        <v>0</v>
      </c>
      <c r="BZ169" s="1">
        <f>deaths!BZ169</f>
        <v>1</v>
      </c>
      <c r="CA169" s="1">
        <f>deaths!CA169</f>
        <v>1</v>
      </c>
      <c r="CB169" s="1">
        <f>deaths!CB169</f>
        <v>1</v>
      </c>
      <c r="CC169" s="1" t="str">
        <f>deaths!CC169</f>
        <v/>
      </c>
    </row>
    <row r="170">
      <c r="B170" s="1" t="str">
        <f>deaths!B170</f>
        <v>Netherlands</v>
      </c>
      <c r="C170" s="4">
        <f>deaths!C170</f>
        <v>18.0425</v>
      </c>
      <c r="D170" s="4">
        <f>deaths!D170</f>
        <v>-63.0548</v>
      </c>
      <c r="E170" s="5">
        <f>deaths!E170</f>
        <v>0</v>
      </c>
      <c r="F170" s="5">
        <f>deaths!F170-deaths!E170</f>
        <v>0</v>
      </c>
      <c r="G170" s="5">
        <f>deaths!G170-deaths!F170</f>
        <v>0</v>
      </c>
      <c r="H170" s="5">
        <f>deaths!H170-deaths!G170</f>
        <v>0</v>
      </c>
      <c r="I170" s="5">
        <f>deaths!I170-deaths!H170</f>
        <v>0</v>
      </c>
      <c r="J170" s="5">
        <f>deaths!J170-deaths!I170</f>
        <v>0</v>
      </c>
      <c r="K170" s="5">
        <f>deaths!K170-deaths!J170</f>
        <v>0</v>
      </c>
      <c r="L170" s="5">
        <f>deaths!L170-deaths!K170</f>
        <v>0</v>
      </c>
      <c r="M170" s="5">
        <f>deaths!M170-deaths!L170</f>
        <v>0</v>
      </c>
      <c r="N170" s="5">
        <f>deaths!N170-deaths!M170</f>
        <v>0</v>
      </c>
      <c r="O170" s="5">
        <f>deaths!O170-deaths!N170</f>
        <v>0</v>
      </c>
      <c r="P170" s="5">
        <f>deaths!P170-deaths!O170</f>
        <v>0</v>
      </c>
      <c r="Q170" s="5">
        <f>deaths!Q170-deaths!P170</f>
        <v>0</v>
      </c>
      <c r="R170" s="5">
        <f>deaths!R170-deaths!Q170</f>
        <v>0</v>
      </c>
      <c r="S170" s="5">
        <f>deaths!S170-deaths!R170</f>
        <v>0</v>
      </c>
      <c r="T170" s="5">
        <f>deaths!T170-deaths!S170</f>
        <v>0</v>
      </c>
      <c r="U170" s="5">
        <f>deaths!U170-deaths!T170</f>
        <v>0</v>
      </c>
      <c r="V170" s="5">
        <f>deaths!V170-deaths!U170</f>
        <v>0</v>
      </c>
      <c r="W170" s="5">
        <f>deaths!W170-deaths!V170</f>
        <v>0</v>
      </c>
      <c r="X170" s="5">
        <f>deaths!X170-deaths!W170</f>
        <v>0</v>
      </c>
      <c r="Y170" s="5">
        <f>deaths!Y170-deaths!X170</f>
        <v>0</v>
      </c>
      <c r="Z170" s="5">
        <f>deaths!Z170-deaths!Y170</f>
        <v>0</v>
      </c>
      <c r="AA170" s="5">
        <f>deaths!AA170-deaths!Z170</f>
        <v>0</v>
      </c>
      <c r="AB170" s="5">
        <f>deaths!AB170-deaths!AA170</f>
        <v>0</v>
      </c>
      <c r="AC170" s="5">
        <f>deaths!AC170-deaths!AB170</f>
        <v>0</v>
      </c>
      <c r="AD170" s="5">
        <f>deaths!AD170-deaths!AC170</f>
        <v>0</v>
      </c>
      <c r="AE170" s="5">
        <f>deaths!AE170-deaths!AD170</f>
        <v>0</v>
      </c>
      <c r="AF170" s="5">
        <f>deaths!AF170-deaths!AE170</f>
        <v>0</v>
      </c>
      <c r="AG170" s="5">
        <f>deaths!AG170-deaths!AF170</f>
        <v>0</v>
      </c>
      <c r="AH170" s="5">
        <f>deaths!AH170-deaths!AG170</f>
        <v>0</v>
      </c>
      <c r="AI170" s="5">
        <f>deaths!AI170-deaths!AH170</f>
        <v>0</v>
      </c>
      <c r="AJ170" s="5">
        <f>deaths!AJ170-deaths!AI170</f>
        <v>0</v>
      </c>
      <c r="AK170" s="5">
        <f>deaths!AK170-deaths!AJ170</f>
        <v>0</v>
      </c>
      <c r="AL170" s="5">
        <f>deaths!AL170-deaths!AK170</f>
        <v>0</v>
      </c>
      <c r="AM170" s="5">
        <f>deaths!AM170-deaths!AL170</f>
        <v>0</v>
      </c>
      <c r="AN170" s="5">
        <f>deaths!AN170-deaths!AM170</f>
        <v>0</v>
      </c>
      <c r="AO170" s="5">
        <f>deaths!AO170-deaths!AN170</f>
        <v>0</v>
      </c>
      <c r="AP170" s="5">
        <f>deaths!AP170-deaths!AO170</f>
        <v>0</v>
      </c>
      <c r="AQ170" s="5">
        <f>deaths!AQ170-deaths!AP170</f>
        <v>0</v>
      </c>
      <c r="AR170" s="5">
        <f>deaths!AR170-deaths!AQ170</f>
        <v>0</v>
      </c>
      <c r="AS170" s="5">
        <f>deaths!AS170-deaths!AR170</f>
        <v>0</v>
      </c>
      <c r="AT170" s="5">
        <f>deaths!AT170-deaths!AS170</f>
        <v>0</v>
      </c>
      <c r="AU170" s="5">
        <f>deaths!AU170-deaths!AT170</f>
        <v>0</v>
      </c>
      <c r="AV170" s="5">
        <f>deaths!AV170-deaths!AU170</f>
        <v>0</v>
      </c>
      <c r="AW170" s="5">
        <f>deaths!AW170-deaths!AV170</f>
        <v>0</v>
      </c>
      <c r="AX170" s="5">
        <f>deaths!AX170-deaths!AW170</f>
        <v>0</v>
      </c>
      <c r="AY170" s="5">
        <f>deaths!AY170-deaths!AX170</f>
        <v>0</v>
      </c>
      <c r="AZ170" s="5">
        <f>deaths!AZ170-deaths!AY170</f>
        <v>0</v>
      </c>
      <c r="BA170" s="5">
        <f>deaths!BA170-deaths!AZ170</f>
        <v>0</v>
      </c>
      <c r="BB170" s="5">
        <f>deaths!BB170-deaths!BA170</f>
        <v>0</v>
      </c>
      <c r="BC170" s="5">
        <f>deaths!BC170-deaths!BB170</f>
        <v>0</v>
      </c>
      <c r="BD170" s="5">
        <f>deaths!BD170-deaths!BC170</f>
        <v>0</v>
      </c>
      <c r="BE170" s="5">
        <f>deaths!BE170-deaths!BD170</f>
        <v>0</v>
      </c>
      <c r="BF170" s="5">
        <f>deaths!BF170-deaths!BE170</f>
        <v>0</v>
      </c>
      <c r="BG170" s="5">
        <f>deaths!BG170-deaths!BF170</f>
        <v>0</v>
      </c>
      <c r="BH170" s="5">
        <f>deaths!BH170-deaths!BG170</f>
        <v>0</v>
      </c>
      <c r="BI170" s="5">
        <f>deaths!BI170-deaths!BH170</f>
        <v>0</v>
      </c>
      <c r="BJ170" s="5">
        <f>deaths!BJ170-deaths!BI170</f>
        <v>0</v>
      </c>
      <c r="BK170" s="5">
        <f>deaths!BK170-deaths!BJ170</f>
        <v>0</v>
      </c>
      <c r="BL170" s="5">
        <f>deaths!BL170-deaths!BK170</f>
        <v>0</v>
      </c>
      <c r="BM170" s="5">
        <f>deaths!BM170-deaths!BL170</f>
        <v>0</v>
      </c>
      <c r="BN170" s="5">
        <f>deaths!BN170-deaths!BM170</f>
        <v>0</v>
      </c>
      <c r="BO170" s="5">
        <f>deaths!BO170-deaths!BN170</f>
        <v>0</v>
      </c>
      <c r="BP170" s="5">
        <f>deaths!BP170-deaths!BO170</f>
        <v>0</v>
      </c>
      <c r="BQ170" s="5">
        <f>deaths!BQ170-deaths!BP170</f>
        <v>0</v>
      </c>
      <c r="BR170" s="5">
        <f>deaths!BR170-deaths!BQ170</f>
        <v>0</v>
      </c>
      <c r="BS170" s="5">
        <f>deaths!BS170-deaths!BR170</f>
        <v>0</v>
      </c>
      <c r="BT170" s="5">
        <f>deaths!BT170-deaths!BS170</f>
        <v>0</v>
      </c>
      <c r="BU170" s="5">
        <f>deaths!BU170-deaths!BT170</f>
        <v>0</v>
      </c>
      <c r="BV170" s="5">
        <f>deaths!BV170-deaths!BU170</f>
        <v>0</v>
      </c>
      <c r="BW170" s="5">
        <f>deaths!BW170-deaths!BV170</f>
        <v>1</v>
      </c>
      <c r="BX170" s="5">
        <f>deaths!BX170-deaths!BW170</f>
        <v>0</v>
      </c>
      <c r="BY170" s="5">
        <f>deaths!BY170-deaths!BX170</f>
        <v>1</v>
      </c>
      <c r="BZ170" s="1">
        <f>deaths!BZ170</f>
        <v>4</v>
      </c>
      <c r="CA170" s="1">
        <f>deaths!CA170</f>
        <v>4</v>
      </c>
      <c r="CB170" s="1">
        <f>deaths!CB170</f>
        <v>6</v>
      </c>
      <c r="CC170" s="1" t="str">
        <f>deaths!CC170</f>
        <v/>
      </c>
    </row>
    <row r="171">
      <c r="B171" s="1" t="str">
        <f>deaths!B171</f>
        <v>Netherlands</v>
      </c>
      <c r="C171" s="4">
        <f>deaths!C171</f>
        <v>52.1326</v>
      </c>
      <c r="D171" s="4">
        <f>deaths!D171</f>
        <v>5.2913</v>
      </c>
      <c r="E171" s="5">
        <f>deaths!E171</f>
        <v>0</v>
      </c>
      <c r="F171" s="5">
        <f>deaths!F171-deaths!E171</f>
        <v>0</v>
      </c>
      <c r="G171" s="5">
        <f>deaths!G171-deaths!F171</f>
        <v>0</v>
      </c>
      <c r="H171" s="5">
        <f>deaths!H171-deaths!G171</f>
        <v>0</v>
      </c>
      <c r="I171" s="5">
        <f>deaths!I171-deaths!H171</f>
        <v>0</v>
      </c>
      <c r="J171" s="5">
        <f>deaths!J171-deaths!I171</f>
        <v>0</v>
      </c>
      <c r="K171" s="5">
        <f>deaths!K171-deaths!J171</f>
        <v>0</v>
      </c>
      <c r="L171" s="5">
        <f>deaths!L171-deaths!K171</f>
        <v>0</v>
      </c>
      <c r="M171" s="5">
        <f>deaths!M171-deaths!L171</f>
        <v>0</v>
      </c>
      <c r="N171" s="5">
        <f>deaths!N171-deaths!M171</f>
        <v>0</v>
      </c>
      <c r="O171" s="5">
        <f>deaths!O171-deaths!N171</f>
        <v>0</v>
      </c>
      <c r="P171" s="5">
        <f>deaths!P171-deaths!O171</f>
        <v>0</v>
      </c>
      <c r="Q171" s="5">
        <f>deaths!Q171-deaths!P171</f>
        <v>0</v>
      </c>
      <c r="R171" s="5">
        <f>deaths!R171-deaths!Q171</f>
        <v>0</v>
      </c>
      <c r="S171" s="5">
        <f>deaths!S171-deaths!R171</f>
        <v>0</v>
      </c>
      <c r="T171" s="5">
        <f>deaths!T171-deaths!S171</f>
        <v>0</v>
      </c>
      <c r="U171" s="5">
        <f>deaths!U171-deaths!T171</f>
        <v>0</v>
      </c>
      <c r="V171" s="5">
        <f>deaths!V171-deaths!U171</f>
        <v>0</v>
      </c>
      <c r="W171" s="5">
        <f>deaths!W171-deaths!V171</f>
        <v>0</v>
      </c>
      <c r="X171" s="5">
        <f>deaths!X171-deaths!W171</f>
        <v>0</v>
      </c>
      <c r="Y171" s="5">
        <f>deaths!Y171-deaths!X171</f>
        <v>0</v>
      </c>
      <c r="Z171" s="5">
        <f>deaths!Z171-deaths!Y171</f>
        <v>0</v>
      </c>
      <c r="AA171" s="5">
        <f>deaths!AA171-deaths!Z171</f>
        <v>0</v>
      </c>
      <c r="AB171" s="5">
        <f>deaths!AB171-deaths!AA171</f>
        <v>0</v>
      </c>
      <c r="AC171" s="5">
        <f>deaths!AC171-deaths!AB171</f>
        <v>0</v>
      </c>
      <c r="AD171" s="5">
        <f>deaths!AD171-deaths!AC171</f>
        <v>0</v>
      </c>
      <c r="AE171" s="5">
        <f>deaths!AE171-deaths!AD171</f>
        <v>0</v>
      </c>
      <c r="AF171" s="5">
        <f>deaths!AF171-deaths!AE171</f>
        <v>0</v>
      </c>
      <c r="AG171" s="5">
        <f>deaths!AG171-deaths!AF171</f>
        <v>0</v>
      </c>
      <c r="AH171" s="5">
        <f>deaths!AH171-deaths!AG171</f>
        <v>0</v>
      </c>
      <c r="AI171" s="5">
        <f>deaths!AI171-deaths!AH171</f>
        <v>0</v>
      </c>
      <c r="AJ171" s="5">
        <f>deaths!AJ171-deaths!AI171</f>
        <v>0</v>
      </c>
      <c r="AK171" s="5">
        <f>deaths!AK171-deaths!AJ171</f>
        <v>0</v>
      </c>
      <c r="AL171" s="5">
        <f>deaths!AL171-deaths!AK171</f>
        <v>0</v>
      </c>
      <c r="AM171" s="5">
        <f>deaths!AM171-deaths!AL171</f>
        <v>0</v>
      </c>
      <c r="AN171" s="5">
        <f>deaths!AN171-deaths!AM171</f>
        <v>0</v>
      </c>
      <c r="AO171" s="5">
        <f>deaths!AO171-deaths!AN171</f>
        <v>0</v>
      </c>
      <c r="AP171" s="5">
        <f>deaths!AP171-deaths!AO171</f>
        <v>0</v>
      </c>
      <c r="AQ171" s="5">
        <f>deaths!AQ171-deaths!AP171</f>
        <v>0</v>
      </c>
      <c r="AR171" s="5">
        <f>deaths!AR171-deaths!AQ171</f>
        <v>0</v>
      </c>
      <c r="AS171" s="5">
        <f>deaths!AS171-deaths!AR171</f>
        <v>0</v>
      </c>
      <c r="AT171" s="5">
        <f>deaths!AT171-deaths!AS171</f>
        <v>0</v>
      </c>
      <c r="AU171" s="5">
        <f>deaths!AU171-deaths!AT171</f>
        <v>0</v>
      </c>
      <c r="AV171" s="5">
        <f>deaths!AV171-deaths!AU171</f>
        <v>0</v>
      </c>
      <c r="AW171" s="5">
        <f>deaths!AW171-deaths!AV171</f>
        <v>1</v>
      </c>
      <c r="AX171" s="5">
        <f>deaths!AX171-deaths!AW171</f>
        <v>0</v>
      </c>
      <c r="AY171" s="5">
        <f>deaths!AY171-deaths!AX171</f>
        <v>2</v>
      </c>
      <c r="AZ171" s="5">
        <f>deaths!AZ171-deaths!AY171</f>
        <v>0</v>
      </c>
      <c r="BA171" s="5">
        <f>deaths!BA171-deaths!AZ171</f>
        <v>1</v>
      </c>
      <c r="BB171" s="5">
        <f>deaths!BB171-deaths!BA171</f>
        <v>1</v>
      </c>
      <c r="BC171" s="5">
        <f>deaths!BC171-deaths!BB171</f>
        <v>0</v>
      </c>
      <c r="BD171" s="5">
        <f>deaths!BD171-deaths!BC171</f>
        <v>5</v>
      </c>
      <c r="BE171" s="5">
        <f>deaths!BE171-deaths!BD171</f>
        <v>2</v>
      </c>
      <c r="BF171" s="5">
        <f>deaths!BF171-deaths!BE171</f>
        <v>8</v>
      </c>
      <c r="BG171" s="5">
        <f>deaths!BG171-deaths!BF171</f>
        <v>4</v>
      </c>
      <c r="BH171" s="5">
        <f>deaths!BH171-deaths!BG171</f>
        <v>19</v>
      </c>
      <c r="BI171" s="5">
        <f>deaths!BI171-deaths!BH171</f>
        <v>15</v>
      </c>
      <c r="BJ171" s="5">
        <f>deaths!BJ171-deaths!BI171</f>
        <v>18</v>
      </c>
      <c r="BK171" s="5">
        <f>deaths!BK171-deaths!BJ171</f>
        <v>30</v>
      </c>
      <c r="BL171" s="5">
        <f>deaths!BL171-deaths!BK171</f>
        <v>30</v>
      </c>
      <c r="BM171" s="5">
        <f>deaths!BM171-deaths!BL171</f>
        <v>43</v>
      </c>
      <c r="BN171" s="5">
        <f>deaths!BN171-deaths!BM171</f>
        <v>34</v>
      </c>
      <c r="BO171" s="5">
        <f>deaths!BO171-deaths!BN171</f>
        <v>63</v>
      </c>
      <c r="BP171" s="5">
        <f>deaths!BP171-deaths!BO171</f>
        <v>80</v>
      </c>
      <c r="BQ171" s="5">
        <f>deaths!BQ171-deaths!BP171</f>
        <v>78</v>
      </c>
      <c r="BR171" s="5">
        <f>deaths!BR171-deaths!BQ171</f>
        <v>112</v>
      </c>
      <c r="BS171" s="5">
        <f>deaths!BS171-deaths!BR171</f>
        <v>93</v>
      </c>
      <c r="BT171" s="5">
        <f>deaths!BT171-deaths!BS171</f>
        <v>132</v>
      </c>
      <c r="BU171" s="5">
        <f>deaths!BU171-deaths!BT171</f>
        <v>93</v>
      </c>
      <c r="BV171" s="5">
        <f>deaths!BV171-deaths!BU171</f>
        <v>175</v>
      </c>
      <c r="BW171" s="5">
        <f>deaths!BW171-deaths!BV171</f>
        <v>134</v>
      </c>
      <c r="BX171" s="5">
        <f>deaths!BX171-deaths!BW171</f>
        <v>166</v>
      </c>
      <c r="BY171" s="5">
        <f>deaths!BY171-deaths!BX171</f>
        <v>148</v>
      </c>
      <c r="BZ171" s="1">
        <f>deaths!BZ171</f>
        <v>1651</v>
      </c>
      <c r="CA171" s="1">
        <f>deaths!CA171</f>
        <v>1766</v>
      </c>
      <c r="CB171" s="1">
        <f>deaths!CB171</f>
        <v>1867</v>
      </c>
      <c r="CC171" s="1" t="str">
        <f>deaths!CC171</f>
        <v/>
      </c>
    </row>
    <row r="172">
      <c r="B172" s="1" t="str">
        <f>deaths!B172</f>
        <v>New Zealand</v>
      </c>
      <c r="C172" s="4">
        <f>deaths!C172</f>
        <v>-40.9006</v>
      </c>
      <c r="D172" s="4">
        <f>deaths!D172</f>
        <v>174.886</v>
      </c>
      <c r="E172" s="5">
        <f>deaths!E172</f>
        <v>0</v>
      </c>
      <c r="F172" s="5">
        <f>deaths!F172-deaths!E172</f>
        <v>0</v>
      </c>
      <c r="G172" s="5">
        <f>deaths!G172-deaths!F172</f>
        <v>0</v>
      </c>
      <c r="H172" s="5">
        <f>deaths!H172-deaths!G172</f>
        <v>0</v>
      </c>
      <c r="I172" s="5">
        <f>deaths!I172-deaths!H172</f>
        <v>0</v>
      </c>
      <c r="J172" s="5">
        <f>deaths!J172-deaths!I172</f>
        <v>0</v>
      </c>
      <c r="K172" s="5">
        <f>deaths!K172-deaths!J172</f>
        <v>0</v>
      </c>
      <c r="L172" s="5">
        <f>deaths!L172-deaths!K172</f>
        <v>0</v>
      </c>
      <c r="M172" s="5">
        <f>deaths!M172-deaths!L172</f>
        <v>0</v>
      </c>
      <c r="N172" s="5">
        <f>deaths!N172-deaths!M172</f>
        <v>0</v>
      </c>
      <c r="O172" s="5">
        <f>deaths!O172-deaths!N172</f>
        <v>0</v>
      </c>
      <c r="P172" s="5">
        <f>deaths!P172-deaths!O172</f>
        <v>0</v>
      </c>
      <c r="Q172" s="5">
        <f>deaths!Q172-deaths!P172</f>
        <v>0</v>
      </c>
      <c r="R172" s="5">
        <f>deaths!R172-deaths!Q172</f>
        <v>0</v>
      </c>
      <c r="S172" s="5">
        <f>deaths!S172-deaths!R172</f>
        <v>0</v>
      </c>
      <c r="T172" s="5">
        <f>deaths!T172-deaths!S172</f>
        <v>0</v>
      </c>
      <c r="U172" s="5">
        <f>deaths!U172-deaths!T172</f>
        <v>0</v>
      </c>
      <c r="V172" s="5">
        <f>deaths!V172-deaths!U172</f>
        <v>0</v>
      </c>
      <c r="W172" s="5">
        <f>deaths!W172-deaths!V172</f>
        <v>0</v>
      </c>
      <c r="X172" s="5">
        <f>deaths!X172-deaths!W172</f>
        <v>0</v>
      </c>
      <c r="Y172" s="5">
        <f>deaths!Y172-deaths!X172</f>
        <v>0</v>
      </c>
      <c r="Z172" s="5">
        <f>deaths!Z172-deaths!Y172</f>
        <v>0</v>
      </c>
      <c r="AA172" s="5">
        <f>deaths!AA172-deaths!Z172</f>
        <v>0</v>
      </c>
      <c r="AB172" s="5">
        <f>deaths!AB172-deaths!AA172</f>
        <v>0</v>
      </c>
      <c r="AC172" s="5">
        <f>deaths!AC172-deaths!AB172</f>
        <v>0</v>
      </c>
      <c r="AD172" s="5">
        <f>deaths!AD172-deaths!AC172</f>
        <v>0</v>
      </c>
      <c r="AE172" s="5">
        <f>deaths!AE172-deaths!AD172</f>
        <v>0</v>
      </c>
      <c r="AF172" s="5">
        <f>deaths!AF172-deaths!AE172</f>
        <v>0</v>
      </c>
      <c r="AG172" s="5">
        <f>deaths!AG172-deaths!AF172</f>
        <v>0</v>
      </c>
      <c r="AH172" s="5">
        <f>deaths!AH172-deaths!AG172</f>
        <v>0</v>
      </c>
      <c r="AI172" s="5">
        <f>deaths!AI172-deaths!AH172</f>
        <v>0</v>
      </c>
      <c r="AJ172" s="5">
        <f>deaths!AJ172-deaths!AI172</f>
        <v>0</v>
      </c>
      <c r="AK172" s="5">
        <f>deaths!AK172-deaths!AJ172</f>
        <v>0</v>
      </c>
      <c r="AL172" s="5">
        <f>deaths!AL172-deaths!AK172</f>
        <v>0</v>
      </c>
      <c r="AM172" s="5">
        <f>deaths!AM172-deaths!AL172</f>
        <v>0</v>
      </c>
      <c r="AN172" s="5">
        <f>deaths!AN172-deaths!AM172</f>
        <v>0</v>
      </c>
      <c r="AO172" s="5">
        <f>deaths!AO172-deaths!AN172</f>
        <v>0</v>
      </c>
      <c r="AP172" s="5">
        <f>deaths!AP172-deaths!AO172</f>
        <v>0</v>
      </c>
      <c r="AQ172" s="5">
        <f>deaths!AQ172-deaths!AP172</f>
        <v>0</v>
      </c>
      <c r="AR172" s="5">
        <f>deaths!AR172-deaths!AQ172</f>
        <v>0</v>
      </c>
      <c r="AS172" s="5">
        <f>deaths!AS172-deaths!AR172</f>
        <v>0</v>
      </c>
      <c r="AT172" s="5">
        <f>deaths!AT172-deaths!AS172</f>
        <v>0</v>
      </c>
      <c r="AU172" s="5">
        <f>deaths!AU172-deaths!AT172</f>
        <v>0</v>
      </c>
      <c r="AV172" s="5">
        <f>deaths!AV172-deaths!AU172</f>
        <v>0</v>
      </c>
      <c r="AW172" s="5">
        <f>deaths!AW172-deaths!AV172</f>
        <v>0</v>
      </c>
      <c r="AX172" s="5">
        <f>deaths!AX172-deaths!AW172</f>
        <v>0</v>
      </c>
      <c r="AY172" s="5">
        <f>deaths!AY172-deaths!AX172</f>
        <v>0</v>
      </c>
      <c r="AZ172" s="5">
        <f>deaths!AZ172-deaths!AY172</f>
        <v>0</v>
      </c>
      <c r="BA172" s="5">
        <f>deaths!BA172-deaths!AZ172</f>
        <v>0</v>
      </c>
      <c r="BB172" s="5">
        <f>deaths!BB172-deaths!BA172</f>
        <v>0</v>
      </c>
      <c r="BC172" s="5">
        <f>deaths!BC172-deaths!BB172</f>
        <v>0</v>
      </c>
      <c r="BD172" s="5">
        <f>deaths!BD172-deaths!BC172</f>
        <v>0</v>
      </c>
      <c r="BE172" s="5">
        <f>deaths!BE172-deaths!BD172</f>
        <v>0</v>
      </c>
      <c r="BF172" s="5">
        <f>deaths!BF172-deaths!BE172</f>
        <v>0</v>
      </c>
      <c r="BG172" s="5">
        <f>deaths!BG172-deaths!BF172</f>
        <v>0</v>
      </c>
      <c r="BH172" s="5">
        <f>deaths!BH172-deaths!BG172</f>
        <v>0</v>
      </c>
      <c r="BI172" s="5">
        <f>deaths!BI172-deaths!BH172</f>
        <v>0</v>
      </c>
      <c r="BJ172" s="5">
        <f>deaths!BJ172-deaths!BI172</f>
        <v>0</v>
      </c>
      <c r="BK172" s="5">
        <f>deaths!BK172-deaths!BJ172</f>
        <v>0</v>
      </c>
      <c r="BL172" s="5">
        <f>deaths!BL172-deaths!BK172</f>
        <v>0</v>
      </c>
      <c r="BM172" s="5">
        <f>deaths!BM172-deaths!BL172</f>
        <v>0</v>
      </c>
      <c r="BN172" s="5">
        <f>deaths!BN172-deaths!BM172</f>
        <v>0</v>
      </c>
      <c r="BO172" s="5">
        <f>deaths!BO172-deaths!BN172</f>
        <v>0</v>
      </c>
      <c r="BP172" s="5">
        <f>deaths!BP172-deaths!BO172</f>
        <v>0</v>
      </c>
      <c r="BQ172" s="5">
        <f>deaths!BQ172-deaths!BP172</f>
        <v>0</v>
      </c>
      <c r="BR172" s="5">
        <f>deaths!BR172-deaths!BQ172</f>
        <v>0</v>
      </c>
      <c r="BS172" s="5">
        <f>deaths!BS172-deaths!BR172</f>
        <v>0</v>
      </c>
      <c r="BT172" s="5">
        <f>deaths!BT172-deaths!BS172</f>
        <v>1</v>
      </c>
      <c r="BU172" s="5">
        <f>deaths!BU172-deaths!BT172</f>
        <v>0</v>
      </c>
      <c r="BV172" s="5">
        <f>deaths!BV172-deaths!BU172</f>
        <v>0</v>
      </c>
      <c r="BW172" s="5">
        <f>deaths!BW172-deaths!BV172</f>
        <v>0</v>
      </c>
      <c r="BX172" s="5">
        <f>deaths!BX172-deaths!BW172</f>
        <v>0</v>
      </c>
      <c r="BY172" s="5">
        <f>deaths!BY172-deaths!BX172</f>
        <v>0</v>
      </c>
      <c r="BZ172" s="1">
        <f>deaths!BZ172</f>
        <v>1</v>
      </c>
      <c r="CA172" s="1">
        <f>deaths!CA172</f>
        <v>1</v>
      </c>
      <c r="CB172" s="1">
        <f>deaths!CB172</f>
        <v>1</v>
      </c>
      <c r="CC172" s="1" t="str">
        <f>deaths!CC172</f>
        <v/>
      </c>
    </row>
    <row r="173">
      <c r="B173" s="1" t="str">
        <f>deaths!B173</f>
        <v>Nicaragua</v>
      </c>
      <c r="C173" s="4">
        <f>deaths!C173</f>
        <v>12.8654</v>
      </c>
      <c r="D173" s="4">
        <f>deaths!D173</f>
        <v>-85.2072</v>
      </c>
      <c r="E173" s="5">
        <f>deaths!E173</f>
        <v>0</v>
      </c>
      <c r="F173" s="5">
        <f>deaths!F173-deaths!E173</f>
        <v>0</v>
      </c>
      <c r="G173" s="5">
        <f>deaths!G173-deaths!F173</f>
        <v>0</v>
      </c>
      <c r="H173" s="5">
        <f>deaths!H173-deaths!G173</f>
        <v>0</v>
      </c>
      <c r="I173" s="5">
        <f>deaths!I173-deaths!H173</f>
        <v>0</v>
      </c>
      <c r="J173" s="5">
        <f>deaths!J173-deaths!I173</f>
        <v>0</v>
      </c>
      <c r="K173" s="5">
        <f>deaths!K173-deaths!J173</f>
        <v>0</v>
      </c>
      <c r="L173" s="5">
        <f>deaths!L173-deaths!K173</f>
        <v>0</v>
      </c>
      <c r="M173" s="5">
        <f>deaths!M173-deaths!L173</f>
        <v>0</v>
      </c>
      <c r="N173" s="5">
        <f>deaths!N173-deaths!M173</f>
        <v>0</v>
      </c>
      <c r="O173" s="5">
        <f>deaths!O173-deaths!N173</f>
        <v>0</v>
      </c>
      <c r="P173" s="5">
        <f>deaths!P173-deaths!O173</f>
        <v>0</v>
      </c>
      <c r="Q173" s="5">
        <f>deaths!Q173-deaths!P173</f>
        <v>0</v>
      </c>
      <c r="R173" s="5">
        <f>deaths!R173-deaths!Q173</f>
        <v>0</v>
      </c>
      <c r="S173" s="5">
        <f>deaths!S173-deaths!R173</f>
        <v>0</v>
      </c>
      <c r="T173" s="5">
        <f>deaths!T173-deaths!S173</f>
        <v>0</v>
      </c>
      <c r="U173" s="5">
        <f>deaths!U173-deaths!T173</f>
        <v>0</v>
      </c>
      <c r="V173" s="5">
        <f>deaths!V173-deaths!U173</f>
        <v>0</v>
      </c>
      <c r="W173" s="5">
        <f>deaths!W173-deaths!V173</f>
        <v>0</v>
      </c>
      <c r="X173" s="5">
        <f>deaths!X173-deaths!W173</f>
        <v>0</v>
      </c>
      <c r="Y173" s="5">
        <f>deaths!Y173-deaths!X173</f>
        <v>0</v>
      </c>
      <c r="Z173" s="5">
        <f>deaths!Z173-deaths!Y173</f>
        <v>0</v>
      </c>
      <c r="AA173" s="5">
        <f>deaths!AA173-deaths!Z173</f>
        <v>0</v>
      </c>
      <c r="AB173" s="5">
        <f>deaths!AB173-deaths!AA173</f>
        <v>0</v>
      </c>
      <c r="AC173" s="5">
        <f>deaths!AC173-deaths!AB173</f>
        <v>0</v>
      </c>
      <c r="AD173" s="5">
        <f>deaths!AD173-deaths!AC173</f>
        <v>0</v>
      </c>
      <c r="AE173" s="5">
        <f>deaths!AE173-deaths!AD173</f>
        <v>0</v>
      </c>
      <c r="AF173" s="5">
        <f>deaths!AF173-deaths!AE173</f>
        <v>0</v>
      </c>
      <c r="AG173" s="5">
        <f>deaths!AG173-deaths!AF173</f>
        <v>0</v>
      </c>
      <c r="AH173" s="5">
        <f>deaths!AH173-deaths!AG173</f>
        <v>0</v>
      </c>
      <c r="AI173" s="5">
        <f>deaths!AI173-deaths!AH173</f>
        <v>0</v>
      </c>
      <c r="AJ173" s="5">
        <f>deaths!AJ173-deaths!AI173</f>
        <v>0</v>
      </c>
      <c r="AK173" s="5">
        <f>deaths!AK173-deaths!AJ173</f>
        <v>0</v>
      </c>
      <c r="AL173" s="5">
        <f>deaths!AL173-deaths!AK173</f>
        <v>0</v>
      </c>
      <c r="AM173" s="5">
        <f>deaths!AM173-deaths!AL173</f>
        <v>0</v>
      </c>
      <c r="AN173" s="5">
        <f>deaths!AN173-deaths!AM173</f>
        <v>0</v>
      </c>
      <c r="AO173" s="5">
        <f>deaths!AO173-deaths!AN173</f>
        <v>0</v>
      </c>
      <c r="AP173" s="5">
        <f>deaths!AP173-deaths!AO173</f>
        <v>0</v>
      </c>
      <c r="AQ173" s="5">
        <f>deaths!AQ173-deaths!AP173</f>
        <v>0</v>
      </c>
      <c r="AR173" s="5">
        <f>deaths!AR173-deaths!AQ173</f>
        <v>0</v>
      </c>
      <c r="AS173" s="5">
        <f>deaths!AS173-deaths!AR173</f>
        <v>0</v>
      </c>
      <c r="AT173" s="5">
        <f>deaths!AT173-deaths!AS173</f>
        <v>0</v>
      </c>
      <c r="AU173" s="5">
        <f>deaths!AU173-deaths!AT173</f>
        <v>0</v>
      </c>
      <c r="AV173" s="5">
        <f>deaths!AV173-deaths!AU173</f>
        <v>0</v>
      </c>
      <c r="AW173" s="5">
        <f>deaths!AW173-deaths!AV173</f>
        <v>0</v>
      </c>
      <c r="AX173" s="5">
        <f>deaths!AX173-deaths!AW173</f>
        <v>0</v>
      </c>
      <c r="AY173" s="5">
        <f>deaths!AY173-deaths!AX173</f>
        <v>0</v>
      </c>
      <c r="AZ173" s="5">
        <f>deaths!AZ173-deaths!AY173</f>
        <v>0</v>
      </c>
      <c r="BA173" s="5">
        <f>deaths!BA173-deaths!AZ173</f>
        <v>0</v>
      </c>
      <c r="BB173" s="5">
        <f>deaths!BB173-deaths!BA173</f>
        <v>0</v>
      </c>
      <c r="BC173" s="5">
        <f>deaths!BC173-deaths!BB173</f>
        <v>0</v>
      </c>
      <c r="BD173" s="5">
        <f>deaths!BD173-deaths!BC173</f>
        <v>0</v>
      </c>
      <c r="BE173" s="5">
        <f>deaths!BE173-deaths!BD173</f>
        <v>0</v>
      </c>
      <c r="BF173" s="5">
        <f>deaths!BF173-deaths!BE173</f>
        <v>0</v>
      </c>
      <c r="BG173" s="5">
        <f>deaths!BG173-deaths!BF173</f>
        <v>0</v>
      </c>
      <c r="BH173" s="5">
        <f>deaths!BH173-deaths!BG173</f>
        <v>0</v>
      </c>
      <c r="BI173" s="5">
        <f>deaths!BI173-deaths!BH173</f>
        <v>0</v>
      </c>
      <c r="BJ173" s="5">
        <f>deaths!BJ173-deaths!BI173</f>
        <v>0</v>
      </c>
      <c r="BK173" s="5">
        <f>deaths!BK173-deaths!BJ173</f>
        <v>0</v>
      </c>
      <c r="BL173" s="5">
        <f>deaths!BL173-deaths!BK173</f>
        <v>0</v>
      </c>
      <c r="BM173" s="5">
        <f>deaths!BM173-deaths!BL173</f>
        <v>0</v>
      </c>
      <c r="BN173" s="5">
        <f>deaths!BN173-deaths!BM173</f>
        <v>0</v>
      </c>
      <c r="BO173" s="5">
        <f>deaths!BO173-deaths!BN173</f>
        <v>0</v>
      </c>
      <c r="BP173" s="5">
        <f>deaths!BP173-deaths!BO173</f>
        <v>0</v>
      </c>
      <c r="BQ173" s="5">
        <f>deaths!BQ173-deaths!BP173</f>
        <v>0</v>
      </c>
      <c r="BR173" s="5">
        <f>deaths!BR173-deaths!BQ173</f>
        <v>1</v>
      </c>
      <c r="BS173" s="5">
        <f>deaths!BS173-deaths!BR173</f>
        <v>0</v>
      </c>
      <c r="BT173" s="5">
        <f>deaths!BT173-deaths!BS173</f>
        <v>0</v>
      </c>
      <c r="BU173" s="5">
        <f>deaths!BU173-deaths!BT173</f>
        <v>0</v>
      </c>
      <c r="BV173" s="5">
        <f>deaths!BV173-deaths!BU173</f>
        <v>0</v>
      </c>
      <c r="BW173" s="5">
        <f>deaths!BW173-deaths!BV173</f>
        <v>0</v>
      </c>
      <c r="BX173" s="5">
        <f>deaths!BX173-deaths!BW173</f>
        <v>0</v>
      </c>
      <c r="BY173" s="5">
        <f>deaths!BY173-deaths!BX173</f>
        <v>0</v>
      </c>
      <c r="BZ173" s="1">
        <f>deaths!BZ173</f>
        <v>1</v>
      </c>
      <c r="CA173" s="1">
        <f>deaths!CA173</f>
        <v>1</v>
      </c>
      <c r="CB173" s="1">
        <f>deaths!CB173</f>
        <v>1</v>
      </c>
      <c r="CC173" s="1" t="str">
        <f>deaths!CC173</f>
        <v/>
      </c>
    </row>
    <row r="174">
      <c r="B174" s="1" t="str">
        <f>deaths!B174</f>
        <v>Niger</v>
      </c>
      <c r="C174" s="4">
        <f>deaths!C174</f>
        <v>17.6078</v>
      </c>
      <c r="D174" s="4">
        <f>deaths!D174</f>
        <v>8.0817</v>
      </c>
      <c r="E174" s="5">
        <f>deaths!E174</f>
        <v>0</v>
      </c>
      <c r="F174" s="5">
        <f>deaths!F174-deaths!E174</f>
        <v>0</v>
      </c>
      <c r="G174" s="5">
        <f>deaths!G174-deaths!F174</f>
        <v>0</v>
      </c>
      <c r="H174" s="5">
        <f>deaths!H174-deaths!G174</f>
        <v>0</v>
      </c>
      <c r="I174" s="5">
        <f>deaths!I174-deaths!H174</f>
        <v>0</v>
      </c>
      <c r="J174" s="5">
        <f>deaths!J174-deaths!I174</f>
        <v>0</v>
      </c>
      <c r="K174" s="5">
        <f>deaths!K174-deaths!J174</f>
        <v>0</v>
      </c>
      <c r="L174" s="5">
        <f>deaths!L174-deaths!K174</f>
        <v>0</v>
      </c>
      <c r="M174" s="5">
        <f>deaths!M174-deaths!L174</f>
        <v>0</v>
      </c>
      <c r="N174" s="5">
        <f>deaths!N174-deaths!M174</f>
        <v>0</v>
      </c>
      <c r="O174" s="5">
        <f>deaths!O174-deaths!N174</f>
        <v>0</v>
      </c>
      <c r="P174" s="5">
        <f>deaths!P174-deaths!O174</f>
        <v>0</v>
      </c>
      <c r="Q174" s="5">
        <f>deaths!Q174-deaths!P174</f>
        <v>0</v>
      </c>
      <c r="R174" s="5">
        <f>deaths!R174-deaths!Q174</f>
        <v>0</v>
      </c>
      <c r="S174" s="5">
        <f>deaths!S174-deaths!R174</f>
        <v>0</v>
      </c>
      <c r="T174" s="5">
        <f>deaths!T174-deaths!S174</f>
        <v>0</v>
      </c>
      <c r="U174" s="5">
        <f>deaths!U174-deaths!T174</f>
        <v>0</v>
      </c>
      <c r="V174" s="5">
        <f>deaths!V174-deaths!U174</f>
        <v>0</v>
      </c>
      <c r="W174" s="5">
        <f>deaths!W174-deaths!V174</f>
        <v>0</v>
      </c>
      <c r="X174" s="5">
        <f>deaths!X174-deaths!W174</f>
        <v>0</v>
      </c>
      <c r="Y174" s="5">
        <f>deaths!Y174-deaths!X174</f>
        <v>0</v>
      </c>
      <c r="Z174" s="5">
        <f>deaths!Z174-deaths!Y174</f>
        <v>0</v>
      </c>
      <c r="AA174" s="5">
        <f>deaths!AA174-deaths!Z174</f>
        <v>0</v>
      </c>
      <c r="AB174" s="5">
        <f>deaths!AB174-deaths!AA174</f>
        <v>0</v>
      </c>
      <c r="AC174" s="5">
        <f>deaths!AC174-deaths!AB174</f>
        <v>0</v>
      </c>
      <c r="AD174" s="5">
        <f>deaths!AD174-deaths!AC174</f>
        <v>0</v>
      </c>
      <c r="AE174" s="5">
        <f>deaths!AE174-deaths!AD174</f>
        <v>0</v>
      </c>
      <c r="AF174" s="5">
        <f>deaths!AF174-deaths!AE174</f>
        <v>0</v>
      </c>
      <c r="AG174" s="5">
        <f>deaths!AG174-deaths!AF174</f>
        <v>0</v>
      </c>
      <c r="AH174" s="5">
        <f>deaths!AH174-deaths!AG174</f>
        <v>0</v>
      </c>
      <c r="AI174" s="5">
        <f>deaths!AI174-deaths!AH174</f>
        <v>0</v>
      </c>
      <c r="AJ174" s="5">
        <f>deaths!AJ174-deaths!AI174</f>
        <v>0</v>
      </c>
      <c r="AK174" s="5">
        <f>deaths!AK174-deaths!AJ174</f>
        <v>0</v>
      </c>
      <c r="AL174" s="5">
        <f>deaths!AL174-deaths!AK174</f>
        <v>0</v>
      </c>
      <c r="AM174" s="5">
        <f>deaths!AM174-deaths!AL174</f>
        <v>0</v>
      </c>
      <c r="AN174" s="5">
        <f>deaths!AN174-deaths!AM174</f>
        <v>0</v>
      </c>
      <c r="AO174" s="5">
        <f>deaths!AO174-deaths!AN174</f>
        <v>0</v>
      </c>
      <c r="AP174" s="5">
        <f>deaths!AP174-deaths!AO174</f>
        <v>0</v>
      </c>
      <c r="AQ174" s="5">
        <f>deaths!AQ174-deaths!AP174</f>
        <v>0</v>
      </c>
      <c r="AR174" s="5">
        <f>deaths!AR174-deaths!AQ174</f>
        <v>0</v>
      </c>
      <c r="AS174" s="5">
        <f>deaths!AS174-deaths!AR174</f>
        <v>0</v>
      </c>
      <c r="AT174" s="5">
        <f>deaths!AT174-deaths!AS174</f>
        <v>0</v>
      </c>
      <c r="AU174" s="5">
        <f>deaths!AU174-deaths!AT174</f>
        <v>0</v>
      </c>
      <c r="AV174" s="5">
        <f>deaths!AV174-deaths!AU174</f>
        <v>0</v>
      </c>
      <c r="AW174" s="5">
        <f>deaths!AW174-deaths!AV174</f>
        <v>0</v>
      </c>
      <c r="AX174" s="5">
        <f>deaths!AX174-deaths!AW174</f>
        <v>0</v>
      </c>
      <c r="AY174" s="5">
        <f>deaths!AY174-deaths!AX174</f>
        <v>0</v>
      </c>
      <c r="AZ174" s="5">
        <f>deaths!AZ174-deaths!AY174</f>
        <v>0</v>
      </c>
      <c r="BA174" s="5">
        <f>deaths!BA174-deaths!AZ174</f>
        <v>0</v>
      </c>
      <c r="BB174" s="5">
        <f>deaths!BB174-deaths!BA174</f>
        <v>0</v>
      </c>
      <c r="BC174" s="5">
        <f>deaths!BC174-deaths!BB174</f>
        <v>0</v>
      </c>
      <c r="BD174" s="5">
        <f>deaths!BD174-deaths!BC174</f>
        <v>0</v>
      </c>
      <c r="BE174" s="5">
        <f>deaths!BE174-deaths!BD174</f>
        <v>0</v>
      </c>
      <c r="BF174" s="5">
        <f>deaths!BF174-deaths!BE174</f>
        <v>0</v>
      </c>
      <c r="BG174" s="5">
        <f>deaths!BG174-deaths!BF174</f>
        <v>0</v>
      </c>
      <c r="BH174" s="5">
        <f>deaths!BH174-deaths!BG174</f>
        <v>0</v>
      </c>
      <c r="BI174" s="5">
        <f>deaths!BI174-deaths!BH174</f>
        <v>0</v>
      </c>
      <c r="BJ174" s="5">
        <f>deaths!BJ174-deaths!BI174</f>
        <v>0</v>
      </c>
      <c r="BK174" s="5">
        <f>deaths!BK174-deaths!BJ174</f>
        <v>0</v>
      </c>
      <c r="BL174" s="5">
        <f>deaths!BL174-deaths!BK174</f>
        <v>0</v>
      </c>
      <c r="BM174" s="5">
        <f>deaths!BM174-deaths!BL174</f>
        <v>0</v>
      </c>
      <c r="BN174" s="5">
        <f>deaths!BN174-deaths!BM174</f>
        <v>0</v>
      </c>
      <c r="BO174" s="5">
        <f>deaths!BO174-deaths!BN174</f>
        <v>0</v>
      </c>
      <c r="BP174" s="5">
        <f>deaths!BP174-deaths!BO174</f>
        <v>1</v>
      </c>
      <c r="BQ174" s="5">
        <f>deaths!BQ174-deaths!BP174</f>
        <v>0</v>
      </c>
      <c r="BR174" s="5">
        <f>deaths!BR174-deaths!BQ174</f>
        <v>0</v>
      </c>
      <c r="BS174" s="5">
        <f>deaths!BS174-deaths!BR174</f>
        <v>0</v>
      </c>
      <c r="BT174" s="5">
        <f>deaths!BT174-deaths!BS174</f>
        <v>0</v>
      </c>
      <c r="BU174" s="5">
        <f>deaths!BU174-deaths!BT174</f>
        <v>2</v>
      </c>
      <c r="BV174" s="5">
        <f>deaths!BV174-deaths!BU174</f>
        <v>0</v>
      </c>
      <c r="BW174" s="5">
        <f>deaths!BW174-deaths!BV174</f>
        <v>2</v>
      </c>
      <c r="BX174" s="5">
        <f>deaths!BX174-deaths!BW174</f>
        <v>0</v>
      </c>
      <c r="BY174" s="5">
        <f>deaths!BY174-deaths!BX174</f>
        <v>0</v>
      </c>
      <c r="BZ174" s="1">
        <f>deaths!BZ174</f>
        <v>8</v>
      </c>
      <c r="CA174" s="1">
        <f>deaths!CA174</f>
        <v>10</v>
      </c>
      <c r="CB174" s="1">
        <f>deaths!CB174</f>
        <v>10</v>
      </c>
      <c r="CC174" s="1" t="str">
        <f>deaths!CC174</f>
        <v/>
      </c>
    </row>
    <row r="175">
      <c r="B175" s="1" t="str">
        <f>deaths!B175</f>
        <v>Nigeria</v>
      </c>
      <c r="C175" s="4">
        <f>deaths!C175</f>
        <v>9.082</v>
      </c>
      <c r="D175" s="4">
        <f>deaths!D175</f>
        <v>8.6753</v>
      </c>
      <c r="E175" s="5">
        <f>deaths!E175</f>
        <v>0</v>
      </c>
      <c r="F175" s="5">
        <f>deaths!F175-deaths!E175</f>
        <v>0</v>
      </c>
      <c r="G175" s="5">
        <f>deaths!G175-deaths!F175</f>
        <v>0</v>
      </c>
      <c r="H175" s="5">
        <f>deaths!H175-deaths!G175</f>
        <v>0</v>
      </c>
      <c r="I175" s="5">
        <f>deaths!I175-deaths!H175</f>
        <v>0</v>
      </c>
      <c r="J175" s="5">
        <f>deaths!J175-deaths!I175</f>
        <v>0</v>
      </c>
      <c r="K175" s="5">
        <f>deaths!K175-deaths!J175</f>
        <v>0</v>
      </c>
      <c r="L175" s="5">
        <f>deaths!L175-deaths!K175</f>
        <v>0</v>
      </c>
      <c r="M175" s="5">
        <f>deaths!M175-deaths!L175</f>
        <v>0</v>
      </c>
      <c r="N175" s="5">
        <f>deaths!N175-deaths!M175</f>
        <v>0</v>
      </c>
      <c r="O175" s="5">
        <f>deaths!O175-deaths!N175</f>
        <v>0</v>
      </c>
      <c r="P175" s="5">
        <f>deaths!P175-deaths!O175</f>
        <v>0</v>
      </c>
      <c r="Q175" s="5">
        <f>deaths!Q175-deaths!P175</f>
        <v>0</v>
      </c>
      <c r="R175" s="5">
        <f>deaths!R175-deaths!Q175</f>
        <v>0</v>
      </c>
      <c r="S175" s="5">
        <f>deaths!S175-deaths!R175</f>
        <v>0</v>
      </c>
      <c r="T175" s="5">
        <f>deaths!T175-deaths!S175</f>
        <v>0</v>
      </c>
      <c r="U175" s="5">
        <f>deaths!U175-deaths!T175</f>
        <v>0</v>
      </c>
      <c r="V175" s="5">
        <f>deaths!V175-deaths!U175</f>
        <v>0</v>
      </c>
      <c r="W175" s="5">
        <f>deaths!W175-deaths!V175</f>
        <v>0</v>
      </c>
      <c r="X175" s="5">
        <f>deaths!X175-deaths!W175</f>
        <v>0</v>
      </c>
      <c r="Y175" s="5">
        <f>deaths!Y175-deaths!X175</f>
        <v>0</v>
      </c>
      <c r="Z175" s="5">
        <f>deaths!Z175-deaths!Y175</f>
        <v>0</v>
      </c>
      <c r="AA175" s="5">
        <f>deaths!AA175-deaths!Z175</f>
        <v>0</v>
      </c>
      <c r="AB175" s="5">
        <f>deaths!AB175-deaths!AA175</f>
        <v>0</v>
      </c>
      <c r="AC175" s="5">
        <f>deaths!AC175-deaths!AB175</f>
        <v>0</v>
      </c>
      <c r="AD175" s="5">
        <f>deaths!AD175-deaths!AC175</f>
        <v>0</v>
      </c>
      <c r="AE175" s="5">
        <f>deaths!AE175-deaths!AD175</f>
        <v>0</v>
      </c>
      <c r="AF175" s="5">
        <f>deaths!AF175-deaths!AE175</f>
        <v>0</v>
      </c>
      <c r="AG175" s="5">
        <f>deaths!AG175-deaths!AF175</f>
        <v>0</v>
      </c>
      <c r="AH175" s="5">
        <f>deaths!AH175-deaths!AG175</f>
        <v>0</v>
      </c>
      <c r="AI175" s="5">
        <f>deaths!AI175-deaths!AH175</f>
        <v>0</v>
      </c>
      <c r="AJ175" s="5">
        <f>deaths!AJ175-deaths!AI175</f>
        <v>0</v>
      </c>
      <c r="AK175" s="5">
        <f>deaths!AK175-deaths!AJ175</f>
        <v>0</v>
      </c>
      <c r="AL175" s="5">
        <f>deaths!AL175-deaths!AK175</f>
        <v>0</v>
      </c>
      <c r="AM175" s="5">
        <f>deaths!AM175-deaths!AL175</f>
        <v>0</v>
      </c>
      <c r="AN175" s="5">
        <f>deaths!AN175-deaths!AM175</f>
        <v>0</v>
      </c>
      <c r="AO175" s="5">
        <f>deaths!AO175-deaths!AN175</f>
        <v>0</v>
      </c>
      <c r="AP175" s="5">
        <f>deaths!AP175-deaths!AO175</f>
        <v>0</v>
      </c>
      <c r="AQ175" s="5">
        <f>deaths!AQ175-deaths!AP175</f>
        <v>0</v>
      </c>
      <c r="AR175" s="5">
        <f>deaths!AR175-deaths!AQ175</f>
        <v>0</v>
      </c>
      <c r="AS175" s="5">
        <f>deaths!AS175-deaths!AR175</f>
        <v>0</v>
      </c>
      <c r="AT175" s="5">
        <f>deaths!AT175-deaths!AS175</f>
        <v>0</v>
      </c>
      <c r="AU175" s="5">
        <f>deaths!AU175-deaths!AT175</f>
        <v>0</v>
      </c>
      <c r="AV175" s="5">
        <f>deaths!AV175-deaths!AU175</f>
        <v>0</v>
      </c>
      <c r="AW175" s="5">
        <f>deaths!AW175-deaths!AV175</f>
        <v>0</v>
      </c>
      <c r="AX175" s="5">
        <f>deaths!AX175-deaths!AW175</f>
        <v>0</v>
      </c>
      <c r="AY175" s="5">
        <f>deaths!AY175-deaths!AX175</f>
        <v>0</v>
      </c>
      <c r="AZ175" s="5">
        <f>deaths!AZ175-deaths!AY175</f>
        <v>0</v>
      </c>
      <c r="BA175" s="5">
        <f>deaths!BA175-deaths!AZ175</f>
        <v>0</v>
      </c>
      <c r="BB175" s="5">
        <f>deaths!BB175-deaths!BA175</f>
        <v>0</v>
      </c>
      <c r="BC175" s="5">
        <f>deaths!BC175-deaths!BB175</f>
        <v>0</v>
      </c>
      <c r="BD175" s="5">
        <f>deaths!BD175-deaths!BC175</f>
        <v>0</v>
      </c>
      <c r="BE175" s="5">
        <f>deaths!BE175-deaths!BD175</f>
        <v>0</v>
      </c>
      <c r="BF175" s="5">
        <f>deaths!BF175-deaths!BE175</f>
        <v>0</v>
      </c>
      <c r="BG175" s="5">
        <f>deaths!BG175-deaths!BF175</f>
        <v>0</v>
      </c>
      <c r="BH175" s="5">
        <f>deaths!BH175-deaths!BG175</f>
        <v>0</v>
      </c>
      <c r="BI175" s="5">
        <f>deaths!BI175-deaths!BH175</f>
        <v>0</v>
      </c>
      <c r="BJ175" s="5">
        <f>deaths!BJ175-deaths!BI175</f>
        <v>0</v>
      </c>
      <c r="BK175" s="5">
        <f>deaths!BK175-deaths!BJ175</f>
        <v>0</v>
      </c>
      <c r="BL175" s="5">
        <f>deaths!BL175-deaths!BK175</f>
        <v>0</v>
      </c>
      <c r="BM175" s="5">
        <f>deaths!BM175-deaths!BL175</f>
        <v>0</v>
      </c>
      <c r="BN175" s="5">
        <f>deaths!BN175-deaths!BM175</f>
        <v>1</v>
      </c>
      <c r="BO175" s="5">
        <f>deaths!BO175-deaths!BN175</f>
        <v>0</v>
      </c>
      <c r="BP175" s="5">
        <f>deaths!BP175-deaths!BO175</f>
        <v>0</v>
      </c>
      <c r="BQ175" s="5">
        <f>deaths!BQ175-deaths!BP175</f>
        <v>0</v>
      </c>
      <c r="BR175" s="5">
        <f>deaths!BR175-deaths!BQ175</f>
        <v>0</v>
      </c>
      <c r="BS175" s="5">
        <f>deaths!BS175-deaths!BR175</f>
        <v>0</v>
      </c>
      <c r="BT175" s="5">
        <f>deaths!BT175-deaths!BS175</f>
        <v>0</v>
      </c>
      <c r="BU175" s="5">
        <f>deaths!BU175-deaths!BT175</f>
        <v>1</v>
      </c>
      <c r="BV175" s="5">
        <f>deaths!BV175-deaths!BU175</f>
        <v>0</v>
      </c>
      <c r="BW175" s="5">
        <f>deaths!BW175-deaths!BV175</f>
        <v>0</v>
      </c>
      <c r="BX175" s="5">
        <f>deaths!BX175-deaths!BW175</f>
        <v>0</v>
      </c>
      <c r="BY175" s="5">
        <f>deaths!BY175-deaths!BX175</f>
        <v>2</v>
      </c>
      <c r="BZ175" s="1">
        <f>deaths!BZ175</f>
        <v>4</v>
      </c>
      <c r="CA175" s="1">
        <f>deaths!CA175</f>
        <v>5</v>
      </c>
      <c r="CB175" s="1">
        <f>deaths!CB175</f>
        <v>5</v>
      </c>
      <c r="CC175" s="1" t="str">
        <f>deaths!CC175</f>
        <v/>
      </c>
    </row>
    <row r="176">
      <c r="B176" s="1" t="str">
        <f>deaths!B176</f>
        <v>North Macedonia</v>
      </c>
      <c r="C176" s="4">
        <f>deaths!C176</f>
        <v>41.6086</v>
      </c>
      <c r="D176" s="4">
        <f>deaths!D176</f>
        <v>21.7453</v>
      </c>
      <c r="E176" s="5">
        <f>deaths!E176</f>
        <v>0</v>
      </c>
      <c r="F176" s="5">
        <f>deaths!F176-deaths!E176</f>
        <v>0</v>
      </c>
      <c r="G176" s="5">
        <f>deaths!G176-deaths!F176</f>
        <v>0</v>
      </c>
      <c r="H176" s="5">
        <f>deaths!H176-deaths!G176</f>
        <v>0</v>
      </c>
      <c r="I176" s="5">
        <f>deaths!I176-deaths!H176</f>
        <v>0</v>
      </c>
      <c r="J176" s="5">
        <f>deaths!J176-deaths!I176</f>
        <v>0</v>
      </c>
      <c r="K176" s="5">
        <f>deaths!K176-deaths!J176</f>
        <v>0</v>
      </c>
      <c r="L176" s="5">
        <f>deaths!L176-deaths!K176</f>
        <v>0</v>
      </c>
      <c r="M176" s="5">
        <f>deaths!M176-deaths!L176</f>
        <v>0</v>
      </c>
      <c r="N176" s="5">
        <f>deaths!N176-deaths!M176</f>
        <v>0</v>
      </c>
      <c r="O176" s="5">
        <f>deaths!O176-deaths!N176</f>
        <v>0</v>
      </c>
      <c r="P176" s="5">
        <f>deaths!P176-deaths!O176</f>
        <v>0</v>
      </c>
      <c r="Q176" s="5">
        <f>deaths!Q176-deaths!P176</f>
        <v>0</v>
      </c>
      <c r="R176" s="5">
        <f>deaths!R176-deaths!Q176</f>
        <v>0</v>
      </c>
      <c r="S176" s="5">
        <f>deaths!S176-deaths!R176</f>
        <v>0</v>
      </c>
      <c r="T176" s="5">
        <f>deaths!T176-deaths!S176</f>
        <v>0</v>
      </c>
      <c r="U176" s="5">
        <f>deaths!U176-deaths!T176</f>
        <v>0</v>
      </c>
      <c r="V176" s="5">
        <f>deaths!V176-deaths!U176</f>
        <v>0</v>
      </c>
      <c r="W176" s="5">
        <f>deaths!W176-deaths!V176</f>
        <v>0</v>
      </c>
      <c r="X176" s="5">
        <f>deaths!X176-deaths!W176</f>
        <v>0</v>
      </c>
      <c r="Y176" s="5">
        <f>deaths!Y176-deaths!X176</f>
        <v>0</v>
      </c>
      <c r="Z176" s="5">
        <f>deaths!Z176-deaths!Y176</f>
        <v>0</v>
      </c>
      <c r="AA176" s="5">
        <f>deaths!AA176-deaths!Z176</f>
        <v>0</v>
      </c>
      <c r="AB176" s="5">
        <f>deaths!AB176-deaths!AA176</f>
        <v>0</v>
      </c>
      <c r="AC176" s="5">
        <f>deaths!AC176-deaths!AB176</f>
        <v>0</v>
      </c>
      <c r="AD176" s="5">
        <f>deaths!AD176-deaths!AC176</f>
        <v>0</v>
      </c>
      <c r="AE176" s="5">
        <f>deaths!AE176-deaths!AD176</f>
        <v>0</v>
      </c>
      <c r="AF176" s="5">
        <f>deaths!AF176-deaths!AE176</f>
        <v>0</v>
      </c>
      <c r="AG176" s="5">
        <f>deaths!AG176-deaths!AF176</f>
        <v>0</v>
      </c>
      <c r="AH176" s="5">
        <f>deaths!AH176-deaths!AG176</f>
        <v>0</v>
      </c>
      <c r="AI176" s="5">
        <f>deaths!AI176-deaths!AH176</f>
        <v>0</v>
      </c>
      <c r="AJ176" s="5">
        <f>deaths!AJ176-deaths!AI176</f>
        <v>0</v>
      </c>
      <c r="AK176" s="5">
        <f>deaths!AK176-deaths!AJ176</f>
        <v>0</v>
      </c>
      <c r="AL176" s="5">
        <f>deaths!AL176-deaths!AK176</f>
        <v>0</v>
      </c>
      <c r="AM176" s="5">
        <f>deaths!AM176-deaths!AL176</f>
        <v>0</v>
      </c>
      <c r="AN176" s="5">
        <f>deaths!AN176-deaths!AM176</f>
        <v>0</v>
      </c>
      <c r="AO176" s="5">
        <f>deaths!AO176-deaths!AN176</f>
        <v>0</v>
      </c>
      <c r="AP176" s="5">
        <f>deaths!AP176-deaths!AO176</f>
        <v>0</v>
      </c>
      <c r="AQ176" s="5">
        <f>deaths!AQ176-deaths!AP176</f>
        <v>0</v>
      </c>
      <c r="AR176" s="5">
        <f>deaths!AR176-deaths!AQ176</f>
        <v>0</v>
      </c>
      <c r="AS176" s="5">
        <f>deaths!AS176-deaths!AR176</f>
        <v>0</v>
      </c>
      <c r="AT176" s="5">
        <f>deaths!AT176-deaths!AS176</f>
        <v>0</v>
      </c>
      <c r="AU176" s="5">
        <f>deaths!AU176-deaths!AT176</f>
        <v>0</v>
      </c>
      <c r="AV176" s="5">
        <f>deaths!AV176-deaths!AU176</f>
        <v>0</v>
      </c>
      <c r="AW176" s="5">
        <f>deaths!AW176-deaths!AV176</f>
        <v>0</v>
      </c>
      <c r="AX176" s="5">
        <f>deaths!AX176-deaths!AW176</f>
        <v>0</v>
      </c>
      <c r="AY176" s="5">
        <f>deaths!AY176-deaths!AX176</f>
        <v>0</v>
      </c>
      <c r="AZ176" s="5">
        <f>deaths!AZ176-deaths!AY176</f>
        <v>0</v>
      </c>
      <c r="BA176" s="5">
        <f>deaths!BA176-deaths!AZ176</f>
        <v>0</v>
      </c>
      <c r="BB176" s="5">
        <f>deaths!BB176-deaths!BA176</f>
        <v>0</v>
      </c>
      <c r="BC176" s="5">
        <f>deaths!BC176-deaths!BB176</f>
        <v>0</v>
      </c>
      <c r="BD176" s="5">
        <f>deaths!BD176-deaths!BC176</f>
        <v>0</v>
      </c>
      <c r="BE176" s="5">
        <f>deaths!BE176-deaths!BD176</f>
        <v>0</v>
      </c>
      <c r="BF176" s="5">
        <f>deaths!BF176-deaths!BE176</f>
        <v>0</v>
      </c>
      <c r="BG176" s="5">
        <f>deaths!BG176-deaths!BF176</f>
        <v>0</v>
      </c>
      <c r="BH176" s="5">
        <f>deaths!BH176-deaths!BG176</f>
        <v>0</v>
      </c>
      <c r="BI176" s="5">
        <f>deaths!BI176-deaths!BH176</f>
        <v>0</v>
      </c>
      <c r="BJ176" s="5">
        <f>deaths!BJ176-deaths!BI176</f>
        <v>0</v>
      </c>
      <c r="BK176" s="5">
        <f>deaths!BK176-deaths!BJ176</f>
        <v>0</v>
      </c>
      <c r="BL176" s="5">
        <f>deaths!BL176-deaths!BK176</f>
        <v>0</v>
      </c>
      <c r="BM176" s="5">
        <f>deaths!BM176-deaths!BL176</f>
        <v>1</v>
      </c>
      <c r="BN176" s="5">
        <f>deaths!BN176-deaths!BM176</f>
        <v>1</v>
      </c>
      <c r="BO176" s="5">
        <f>deaths!BO176-deaths!BN176</f>
        <v>0</v>
      </c>
      <c r="BP176" s="5">
        <f>deaths!BP176-deaths!BO176</f>
        <v>1</v>
      </c>
      <c r="BQ176" s="5">
        <f>deaths!BQ176-deaths!BP176</f>
        <v>0</v>
      </c>
      <c r="BR176" s="5">
        <f>deaths!BR176-deaths!BQ176</f>
        <v>0</v>
      </c>
      <c r="BS176" s="5">
        <f>deaths!BS176-deaths!BR176</f>
        <v>1</v>
      </c>
      <c r="BT176" s="5">
        <f>deaths!BT176-deaths!BS176</f>
        <v>2</v>
      </c>
      <c r="BU176" s="5">
        <f>deaths!BU176-deaths!BT176</f>
        <v>1</v>
      </c>
      <c r="BV176" s="5">
        <f>deaths!BV176-deaths!BU176</f>
        <v>2</v>
      </c>
      <c r="BW176" s="5">
        <f>deaths!BW176-deaths!BV176</f>
        <v>2</v>
      </c>
      <c r="BX176" s="5">
        <f>deaths!BX176-deaths!BW176</f>
        <v>0</v>
      </c>
      <c r="BY176" s="5">
        <f>deaths!BY176-deaths!BX176</f>
        <v>1</v>
      </c>
      <c r="BZ176" s="1">
        <f>deaths!BZ176</f>
        <v>17</v>
      </c>
      <c r="CA176" s="1">
        <f>deaths!CA176</f>
        <v>18</v>
      </c>
      <c r="CB176" s="1">
        <f>deaths!CB176</f>
        <v>23</v>
      </c>
      <c r="CC176" s="1" t="str">
        <f>deaths!CC176</f>
        <v/>
      </c>
    </row>
    <row r="177">
      <c r="B177" s="1" t="str">
        <f>deaths!B177</f>
        <v>Norway</v>
      </c>
      <c r="C177" s="4">
        <f>deaths!C177</f>
        <v>60.472</v>
      </c>
      <c r="D177" s="4">
        <f>deaths!D177</f>
        <v>8.4689</v>
      </c>
      <c r="E177" s="5">
        <f>deaths!E177</f>
        <v>0</v>
      </c>
      <c r="F177" s="5">
        <f>deaths!F177-deaths!E177</f>
        <v>0</v>
      </c>
      <c r="G177" s="5">
        <f>deaths!G177-deaths!F177</f>
        <v>0</v>
      </c>
      <c r="H177" s="5">
        <f>deaths!H177-deaths!G177</f>
        <v>0</v>
      </c>
      <c r="I177" s="5">
        <f>deaths!I177-deaths!H177</f>
        <v>0</v>
      </c>
      <c r="J177" s="5">
        <f>deaths!J177-deaths!I177</f>
        <v>0</v>
      </c>
      <c r="K177" s="5">
        <f>deaths!K177-deaths!J177</f>
        <v>0</v>
      </c>
      <c r="L177" s="5">
        <f>deaths!L177-deaths!K177</f>
        <v>0</v>
      </c>
      <c r="M177" s="5">
        <f>deaths!M177-deaths!L177</f>
        <v>0</v>
      </c>
      <c r="N177" s="5">
        <f>deaths!N177-deaths!M177</f>
        <v>0</v>
      </c>
      <c r="O177" s="5">
        <f>deaths!O177-deaths!N177</f>
        <v>0</v>
      </c>
      <c r="P177" s="5">
        <f>deaths!P177-deaths!O177</f>
        <v>0</v>
      </c>
      <c r="Q177" s="5">
        <f>deaths!Q177-deaths!P177</f>
        <v>0</v>
      </c>
      <c r="R177" s="5">
        <f>deaths!R177-deaths!Q177</f>
        <v>0</v>
      </c>
      <c r="S177" s="5">
        <f>deaths!S177-deaths!R177</f>
        <v>0</v>
      </c>
      <c r="T177" s="5">
        <f>deaths!T177-deaths!S177</f>
        <v>0</v>
      </c>
      <c r="U177" s="5">
        <f>deaths!U177-deaths!T177</f>
        <v>0</v>
      </c>
      <c r="V177" s="5">
        <f>deaths!V177-deaths!U177</f>
        <v>0</v>
      </c>
      <c r="W177" s="5">
        <f>deaths!W177-deaths!V177</f>
        <v>0</v>
      </c>
      <c r="X177" s="5">
        <f>deaths!X177-deaths!W177</f>
        <v>0</v>
      </c>
      <c r="Y177" s="5">
        <f>deaths!Y177-deaths!X177</f>
        <v>0</v>
      </c>
      <c r="Z177" s="5">
        <f>deaths!Z177-deaths!Y177</f>
        <v>0</v>
      </c>
      <c r="AA177" s="5">
        <f>deaths!AA177-deaths!Z177</f>
        <v>0</v>
      </c>
      <c r="AB177" s="5">
        <f>deaths!AB177-deaths!AA177</f>
        <v>0</v>
      </c>
      <c r="AC177" s="5">
        <f>deaths!AC177-deaths!AB177</f>
        <v>0</v>
      </c>
      <c r="AD177" s="5">
        <f>deaths!AD177-deaths!AC177</f>
        <v>0</v>
      </c>
      <c r="AE177" s="5">
        <f>deaths!AE177-deaths!AD177</f>
        <v>0</v>
      </c>
      <c r="AF177" s="5">
        <f>deaths!AF177-deaths!AE177</f>
        <v>0</v>
      </c>
      <c r="AG177" s="5">
        <f>deaths!AG177-deaths!AF177</f>
        <v>0</v>
      </c>
      <c r="AH177" s="5">
        <f>deaths!AH177-deaths!AG177</f>
        <v>0</v>
      </c>
      <c r="AI177" s="5">
        <f>deaths!AI177-deaths!AH177</f>
        <v>0</v>
      </c>
      <c r="AJ177" s="5">
        <f>deaths!AJ177-deaths!AI177</f>
        <v>0</v>
      </c>
      <c r="AK177" s="5">
        <f>deaths!AK177-deaths!AJ177</f>
        <v>0</v>
      </c>
      <c r="AL177" s="5">
        <f>deaths!AL177-deaths!AK177</f>
        <v>0</v>
      </c>
      <c r="AM177" s="5">
        <f>deaths!AM177-deaths!AL177</f>
        <v>0</v>
      </c>
      <c r="AN177" s="5">
        <f>deaths!AN177-deaths!AM177</f>
        <v>0</v>
      </c>
      <c r="AO177" s="5">
        <f>deaths!AO177-deaths!AN177</f>
        <v>0</v>
      </c>
      <c r="AP177" s="5">
        <f>deaths!AP177-deaths!AO177</f>
        <v>0</v>
      </c>
      <c r="AQ177" s="5">
        <f>deaths!AQ177-deaths!AP177</f>
        <v>0</v>
      </c>
      <c r="AR177" s="5">
        <f>deaths!AR177-deaths!AQ177</f>
        <v>0</v>
      </c>
      <c r="AS177" s="5">
        <f>deaths!AS177-deaths!AR177</f>
        <v>0</v>
      </c>
      <c r="AT177" s="5">
        <f>deaths!AT177-deaths!AS177</f>
        <v>0</v>
      </c>
      <c r="AU177" s="5">
        <f>deaths!AU177-deaths!AT177</f>
        <v>0</v>
      </c>
      <c r="AV177" s="5">
        <f>deaths!AV177-deaths!AU177</f>
        <v>0</v>
      </c>
      <c r="AW177" s="5">
        <f>deaths!AW177-deaths!AV177</f>
        <v>0</v>
      </c>
      <c r="AX177" s="5">
        <f>deaths!AX177-deaths!AW177</f>
        <v>0</v>
      </c>
      <c r="AY177" s="5">
        <f>deaths!AY177-deaths!AX177</f>
        <v>0</v>
      </c>
      <c r="AZ177" s="5">
        <f>deaths!AZ177-deaths!AY177</f>
        <v>0</v>
      </c>
      <c r="BA177" s="5">
        <f>deaths!BA177-deaths!AZ177</f>
        <v>0</v>
      </c>
      <c r="BB177" s="5">
        <f>deaths!BB177-deaths!BA177</f>
        <v>0</v>
      </c>
      <c r="BC177" s="5">
        <f>deaths!BC177-deaths!BB177</f>
        <v>0</v>
      </c>
      <c r="BD177" s="5">
        <f>deaths!BD177-deaths!BC177</f>
        <v>0</v>
      </c>
      <c r="BE177" s="5">
        <f>deaths!BE177-deaths!BD177</f>
        <v>3</v>
      </c>
      <c r="BF177" s="5">
        <f>deaths!BF177-deaths!BE177</f>
        <v>0</v>
      </c>
      <c r="BG177" s="5">
        <f>deaths!BG177-deaths!BF177</f>
        <v>0</v>
      </c>
      <c r="BH177" s="5">
        <f>deaths!BH177-deaths!BG177</f>
        <v>0</v>
      </c>
      <c r="BI177" s="5">
        <f>deaths!BI177-deaths!BH177</f>
        <v>3</v>
      </c>
      <c r="BJ177" s="5">
        <f>deaths!BJ177-deaths!BI177</f>
        <v>1</v>
      </c>
      <c r="BK177" s="5">
        <f>deaths!BK177-deaths!BJ177</f>
        <v>0</v>
      </c>
      <c r="BL177" s="5">
        <f>deaths!BL177-deaths!BK177</f>
        <v>0</v>
      </c>
      <c r="BM177" s="5">
        <f>deaths!BM177-deaths!BL177</f>
        <v>0</v>
      </c>
      <c r="BN177" s="5">
        <f>deaths!BN177-deaths!BM177</f>
        <v>3</v>
      </c>
      <c r="BO177" s="5">
        <f>deaths!BO177-deaths!BN177</f>
        <v>2</v>
      </c>
      <c r="BP177" s="5">
        <f>deaths!BP177-deaths!BO177</f>
        <v>2</v>
      </c>
      <c r="BQ177" s="5">
        <f>deaths!BQ177-deaths!BP177</f>
        <v>0</v>
      </c>
      <c r="BR177" s="5">
        <f>deaths!BR177-deaths!BQ177</f>
        <v>5</v>
      </c>
      <c r="BS177" s="5">
        <f>deaths!BS177-deaths!BR177</f>
        <v>4</v>
      </c>
      <c r="BT177" s="5">
        <f>deaths!BT177-deaths!BS177</f>
        <v>2</v>
      </c>
      <c r="BU177" s="5">
        <f>deaths!BU177-deaths!BT177</f>
        <v>7</v>
      </c>
      <c r="BV177" s="5">
        <f>deaths!BV177-deaths!BU177</f>
        <v>7</v>
      </c>
      <c r="BW177" s="5">
        <f>deaths!BW177-deaths!BV177</f>
        <v>5</v>
      </c>
      <c r="BX177" s="5">
        <f>deaths!BX177-deaths!BW177</f>
        <v>6</v>
      </c>
      <c r="BY177" s="5">
        <f>deaths!BY177-deaths!BX177</f>
        <v>9</v>
      </c>
      <c r="BZ177" s="1">
        <f>deaths!BZ177</f>
        <v>62</v>
      </c>
      <c r="CA177" s="1">
        <f>deaths!CA177</f>
        <v>71</v>
      </c>
      <c r="CB177" s="1">
        <f>deaths!CB177</f>
        <v>76</v>
      </c>
      <c r="CC177" s="1" t="str">
        <f>deaths!CC177</f>
        <v/>
      </c>
    </row>
    <row r="178">
      <c r="B178" s="1" t="str">
        <f>deaths!B178</f>
        <v>Oman</v>
      </c>
      <c r="C178" s="4">
        <f>deaths!C178</f>
        <v>21</v>
      </c>
      <c r="D178" s="4">
        <f>deaths!D178</f>
        <v>57</v>
      </c>
      <c r="E178" s="5">
        <f>deaths!E178</f>
        <v>0</v>
      </c>
      <c r="F178" s="5">
        <f>deaths!F178-deaths!E178</f>
        <v>0</v>
      </c>
      <c r="G178" s="5">
        <f>deaths!G178-deaths!F178</f>
        <v>0</v>
      </c>
      <c r="H178" s="5">
        <f>deaths!H178-deaths!G178</f>
        <v>0</v>
      </c>
      <c r="I178" s="5">
        <f>deaths!I178-deaths!H178</f>
        <v>0</v>
      </c>
      <c r="J178" s="5">
        <f>deaths!J178-deaths!I178</f>
        <v>0</v>
      </c>
      <c r="K178" s="5">
        <f>deaths!K178-deaths!J178</f>
        <v>0</v>
      </c>
      <c r="L178" s="5">
        <f>deaths!L178-deaths!K178</f>
        <v>0</v>
      </c>
      <c r="M178" s="5">
        <f>deaths!M178-deaths!L178</f>
        <v>0</v>
      </c>
      <c r="N178" s="5">
        <f>deaths!N178-deaths!M178</f>
        <v>0</v>
      </c>
      <c r="O178" s="5">
        <f>deaths!O178-deaths!N178</f>
        <v>0</v>
      </c>
      <c r="P178" s="5">
        <f>deaths!P178-deaths!O178</f>
        <v>0</v>
      </c>
      <c r="Q178" s="5">
        <f>deaths!Q178-deaths!P178</f>
        <v>0</v>
      </c>
      <c r="R178" s="5">
        <f>deaths!R178-deaths!Q178</f>
        <v>0</v>
      </c>
      <c r="S178" s="5">
        <f>deaths!S178-deaths!R178</f>
        <v>0</v>
      </c>
      <c r="T178" s="5">
        <f>deaths!T178-deaths!S178</f>
        <v>0</v>
      </c>
      <c r="U178" s="5">
        <f>deaths!U178-deaths!T178</f>
        <v>0</v>
      </c>
      <c r="V178" s="5">
        <f>deaths!V178-deaths!U178</f>
        <v>0</v>
      </c>
      <c r="W178" s="5">
        <f>deaths!W178-deaths!V178</f>
        <v>0</v>
      </c>
      <c r="X178" s="5">
        <f>deaths!X178-deaths!W178</f>
        <v>0</v>
      </c>
      <c r="Y178" s="5">
        <f>deaths!Y178-deaths!X178</f>
        <v>0</v>
      </c>
      <c r="Z178" s="5">
        <f>deaths!Z178-deaths!Y178</f>
        <v>0</v>
      </c>
      <c r="AA178" s="5">
        <f>deaths!AA178-deaths!Z178</f>
        <v>0</v>
      </c>
      <c r="AB178" s="5">
        <f>deaths!AB178-deaths!AA178</f>
        <v>0</v>
      </c>
      <c r="AC178" s="5">
        <f>deaths!AC178-deaths!AB178</f>
        <v>0</v>
      </c>
      <c r="AD178" s="5">
        <f>deaths!AD178-deaths!AC178</f>
        <v>0</v>
      </c>
      <c r="AE178" s="5">
        <f>deaths!AE178-deaths!AD178</f>
        <v>0</v>
      </c>
      <c r="AF178" s="5">
        <f>deaths!AF178-deaths!AE178</f>
        <v>0</v>
      </c>
      <c r="AG178" s="5">
        <f>deaths!AG178-deaths!AF178</f>
        <v>0</v>
      </c>
      <c r="AH178" s="5">
        <f>deaths!AH178-deaths!AG178</f>
        <v>0</v>
      </c>
      <c r="AI178" s="5">
        <f>deaths!AI178-deaths!AH178</f>
        <v>0</v>
      </c>
      <c r="AJ178" s="5">
        <f>deaths!AJ178-deaths!AI178</f>
        <v>0</v>
      </c>
      <c r="AK178" s="5">
        <f>deaths!AK178-deaths!AJ178</f>
        <v>0</v>
      </c>
      <c r="AL178" s="5">
        <f>deaths!AL178-deaths!AK178</f>
        <v>0</v>
      </c>
      <c r="AM178" s="5">
        <f>deaths!AM178-deaths!AL178</f>
        <v>0</v>
      </c>
      <c r="AN178" s="5">
        <f>deaths!AN178-deaths!AM178</f>
        <v>0</v>
      </c>
      <c r="AO178" s="5">
        <f>deaths!AO178-deaths!AN178</f>
        <v>0</v>
      </c>
      <c r="AP178" s="5">
        <f>deaths!AP178-deaths!AO178</f>
        <v>0</v>
      </c>
      <c r="AQ178" s="5">
        <f>deaths!AQ178-deaths!AP178</f>
        <v>0</v>
      </c>
      <c r="AR178" s="5">
        <f>deaths!AR178-deaths!AQ178</f>
        <v>0</v>
      </c>
      <c r="AS178" s="5">
        <f>deaths!AS178-deaths!AR178</f>
        <v>0</v>
      </c>
      <c r="AT178" s="5">
        <f>deaths!AT178-deaths!AS178</f>
        <v>0</v>
      </c>
      <c r="AU178" s="5">
        <f>deaths!AU178-deaths!AT178</f>
        <v>0</v>
      </c>
      <c r="AV178" s="5">
        <f>deaths!AV178-deaths!AU178</f>
        <v>0</v>
      </c>
      <c r="AW178" s="5">
        <f>deaths!AW178-deaths!AV178</f>
        <v>0</v>
      </c>
      <c r="AX178" s="5">
        <f>deaths!AX178-deaths!AW178</f>
        <v>0</v>
      </c>
      <c r="AY178" s="5">
        <f>deaths!AY178-deaths!AX178</f>
        <v>0</v>
      </c>
      <c r="AZ178" s="5">
        <f>deaths!AZ178-deaths!AY178</f>
        <v>0</v>
      </c>
      <c r="BA178" s="5">
        <f>deaths!BA178-deaths!AZ178</f>
        <v>0</v>
      </c>
      <c r="BB178" s="5">
        <f>deaths!BB178-deaths!BA178</f>
        <v>0</v>
      </c>
      <c r="BC178" s="5">
        <f>deaths!BC178-deaths!BB178</f>
        <v>0</v>
      </c>
      <c r="BD178" s="5">
        <f>deaths!BD178-deaths!BC178</f>
        <v>0</v>
      </c>
      <c r="BE178" s="5">
        <f>deaths!BE178-deaths!BD178</f>
        <v>0</v>
      </c>
      <c r="BF178" s="5">
        <f>deaths!BF178-deaths!BE178</f>
        <v>0</v>
      </c>
      <c r="BG178" s="5">
        <f>deaths!BG178-deaths!BF178</f>
        <v>0</v>
      </c>
      <c r="BH178" s="5">
        <f>deaths!BH178-deaths!BG178</f>
        <v>0</v>
      </c>
      <c r="BI178" s="5">
        <f>deaths!BI178-deaths!BH178</f>
        <v>0</v>
      </c>
      <c r="BJ178" s="5">
        <f>deaths!BJ178-deaths!BI178</f>
        <v>0</v>
      </c>
      <c r="BK178" s="5">
        <f>deaths!BK178-deaths!BJ178</f>
        <v>0</v>
      </c>
      <c r="BL178" s="5">
        <f>deaths!BL178-deaths!BK178</f>
        <v>0</v>
      </c>
      <c r="BM178" s="5">
        <f>deaths!BM178-deaths!BL178</f>
        <v>0</v>
      </c>
      <c r="BN178" s="5">
        <f>deaths!BN178-deaths!BM178</f>
        <v>0</v>
      </c>
      <c r="BO178" s="5">
        <f>deaths!BO178-deaths!BN178</f>
        <v>0</v>
      </c>
      <c r="BP178" s="5">
        <f>deaths!BP178-deaths!BO178</f>
        <v>0</v>
      </c>
      <c r="BQ178" s="5">
        <f>deaths!BQ178-deaths!BP178</f>
        <v>0</v>
      </c>
      <c r="BR178" s="5">
        <f>deaths!BR178-deaths!BQ178</f>
        <v>0</v>
      </c>
      <c r="BS178" s="5">
        <f>deaths!BS178-deaths!BR178</f>
        <v>0</v>
      </c>
      <c r="BT178" s="5">
        <f>deaths!BT178-deaths!BS178</f>
        <v>0</v>
      </c>
      <c r="BU178" s="5">
        <f>deaths!BU178-deaths!BT178</f>
        <v>0</v>
      </c>
      <c r="BV178" s="5">
        <f>deaths!BV178-deaths!BU178</f>
        <v>1</v>
      </c>
      <c r="BW178" s="5">
        <f>deaths!BW178-deaths!BV178</f>
        <v>0</v>
      </c>
      <c r="BX178" s="5">
        <f>deaths!BX178-deaths!BW178</f>
        <v>0</v>
      </c>
      <c r="BY178" s="5">
        <f>deaths!BY178-deaths!BX178</f>
        <v>0</v>
      </c>
      <c r="BZ178" s="1">
        <f>deaths!BZ178</f>
        <v>2</v>
      </c>
      <c r="CA178" s="1">
        <f>deaths!CA178</f>
        <v>2</v>
      </c>
      <c r="CB178" s="1">
        <f>deaths!CB178</f>
        <v>2</v>
      </c>
      <c r="CC178" s="1" t="str">
        <f>deaths!CC178</f>
        <v/>
      </c>
    </row>
    <row r="179">
      <c r="B179" s="1" t="str">
        <f>deaths!B179</f>
        <v>Pakistan</v>
      </c>
      <c r="C179" s="4">
        <f>deaths!C179</f>
        <v>30.3753</v>
      </c>
      <c r="D179" s="4">
        <f>deaths!D179</f>
        <v>69.3451</v>
      </c>
      <c r="E179" s="5">
        <f>deaths!E179</f>
        <v>0</v>
      </c>
      <c r="F179" s="5">
        <f>deaths!F179-deaths!E179</f>
        <v>0</v>
      </c>
      <c r="G179" s="5">
        <f>deaths!G179-deaths!F179</f>
        <v>0</v>
      </c>
      <c r="H179" s="5">
        <f>deaths!H179-deaths!G179</f>
        <v>0</v>
      </c>
      <c r="I179" s="5">
        <f>deaths!I179-deaths!H179</f>
        <v>0</v>
      </c>
      <c r="J179" s="5">
        <f>deaths!J179-deaths!I179</f>
        <v>0</v>
      </c>
      <c r="K179" s="5">
        <f>deaths!K179-deaths!J179</f>
        <v>0</v>
      </c>
      <c r="L179" s="5">
        <f>deaths!L179-deaths!K179</f>
        <v>0</v>
      </c>
      <c r="M179" s="5">
        <f>deaths!M179-deaths!L179</f>
        <v>0</v>
      </c>
      <c r="N179" s="5">
        <f>deaths!N179-deaths!M179</f>
        <v>0</v>
      </c>
      <c r="O179" s="5">
        <f>deaths!O179-deaths!N179</f>
        <v>0</v>
      </c>
      <c r="P179" s="5">
        <f>deaths!P179-deaths!O179</f>
        <v>0</v>
      </c>
      <c r="Q179" s="5">
        <f>deaths!Q179-deaths!P179</f>
        <v>0</v>
      </c>
      <c r="R179" s="5">
        <f>deaths!R179-deaths!Q179</f>
        <v>0</v>
      </c>
      <c r="S179" s="5">
        <f>deaths!S179-deaths!R179</f>
        <v>0</v>
      </c>
      <c r="T179" s="5">
        <f>deaths!T179-deaths!S179</f>
        <v>0</v>
      </c>
      <c r="U179" s="5">
        <f>deaths!U179-deaths!T179</f>
        <v>0</v>
      </c>
      <c r="V179" s="5">
        <f>deaths!V179-deaths!U179</f>
        <v>0</v>
      </c>
      <c r="W179" s="5">
        <f>deaths!W179-deaths!V179</f>
        <v>0</v>
      </c>
      <c r="X179" s="5">
        <f>deaths!X179-deaths!W179</f>
        <v>0</v>
      </c>
      <c r="Y179" s="5">
        <f>deaths!Y179-deaths!X179</f>
        <v>0</v>
      </c>
      <c r="Z179" s="5">
        <f>deaths!Z179-deaths!Y179</f>
        <v>0</v>
      </c>
      <c r="AA179" s="5">
        <f>deaths!AA179-deaths!Z179</f>
        <v>0</v>
      </c>
      <c r="AB179" s="5">
        <f>deaths!AB179-deaths!AA179</f>
        <v>0</v>
      </c>
      <c r="AC179" s="5">
        <f>deaths!AC179-deaths!AB179</f>
        <v>0</v>
      </c>
      <c r="AD179" s="5">
        <f>deaths!AD179-deaths!AC179</f>
        <v>0</v>
      </c>
      <c r="AE179" s="5">
        <f>deaths!AE179-deaths!AD179</f>
        <v>0</v>
      </c>
      <c r="AF179" s="5">
        <f>deaths!AF179-deaths!AE179</f>
        <v>0</v>
      </c>
      <c r="AG179" s="5">
        <f>deaths!AG179-deaths!AF179</f>
        <v>0</v>
      </c>
      <c r="AH179" s="5">
        <f>deaths!AH179-deaths!AG179</f>
        <v>0</v>
      </c>
      <c r="AI179" s="5">
        <f>deaths!AI179-deaths!AH179</f>
        <v>0</v>
      </c>
      <c r="AJ179" s="5">
        <f>deaths!AJ179-deaths!AI179</f>
        <v>0</v>
      </c>
      <c r="AK179" s="5">
        <f>deaths!AK179-deaths!AJ179</f>
        <v>0</v>
      </c>
      <c r="AL179" s="5">
        <f>deaths!AL179-deaths!AK179</f>
        <v>0</v>
      </c>
      <c r="AM179" s="5">
        <f>deaths!AM179-deaths!AL179</f>
        <v>0</v>
      </c>
      <c r="AN179" s="5">
        <f>deaths!AN179-deaths!AM179</f>
        <v>0</v>
      </c>
      <c r="AO179" s="5">
        <f>deaths!AO179-deaths!AN179</f>
        <v>0</v>
      </c>
      <c r="AP179" s="5">
        <f>deaths!AP179-deaths!AO179</f>
        <v>0</v>
      </c>
      <c r="AQ179" s="5">
        <f>deaths!AQ179-deaths!AP179</f>
        <v>0</v>
      </c>
      <c r="AR179" s="5">
        <f>deaths!AR179-deaths!AQ179</f>
        <v>0</v>
      </c>
      <c r="AS179" s="5">
        <f>deaths!AS179-deaths!AR179</f>
        <v>0</v>
      </c>
      <c r="AT179" s="5">
        <f>deaths!AT179-deaths!AS179</f>
        <v>0</v>
      </c>
      <c r="AU179" s="5">
        <f>deaths!AU179-deaths!AT179</f>
        <v>0</v>
      </c>
      <c r="AV179" s="5">
        <f>deaths!AV179-deaths!AU179</f>
        <v>0</v>
      </c>
      <c r="AW179" s="5">
        <f>deaths!AW179-deaths!AV179</f>
        <v>0</v>
      </c>
      <c r="AX179" s="5">
        <f>deaths!AX179-deaths!AW179</f>
        <v>0</v>
      </c>
      <c r="AY179" s="5">
        <f>deaths!AY179-deaths!AX179</f>
        <v>0</v>
      </c>
      <c r="AZ179" s="5">
        <f>deaths!AZ179-deaths!AY179</f>
        <v>0</v>
      </c>
      <c r="BA179" s="5">
        <f>deaths!BA179-deaths!AZ179</f>
        <v>0</v>
      </c>
      <c r="BB179" s="5">
        <f>deaths!BB179-deaths!BA179</f>
        <v>0</v>
      </c>
      <c r="BC179" s="5">
        <f>deaths!BC179-deaths!BB179</f>
        <v>0</v>
      </c>
      <c r="BD179" s="5">
        <f>deaths!BD179-deaths!BC179</f>
        <v>0</v>
      </c>
      <c r="BE179" s="5">
        <f>deaths!BE179-deaths!BD179</f>
        <v>0</v>
      </c>
      <c r="BF179" s="5">
        <f>deaths!BF179-deaths!BE179</f>
        <v>0</v>
      </c>
      <c r="BG179" s="5">
        <f>deaths!BG179-deaths!BF179</f>
        <v>0</v>
      </c>
      <c r="BH179" s="5">
        <f>deaths!BH179-deaths!BG179</f>
        <v>0</v>
      </c>
      <c r="BI179" s="5">
        <f>deaths!BI179-deaths!BH179</f>
        <v>0</v>
      </c>
      <c r="BJ179" s="5">
        <f>deaths!BJ179-deaths!BI179</f>
        <v>2</v>
      </c>
      <c r="BK179" s="5">
        <f>deaths!BK179-deaths!BJ179</f>
        <v>1</v>
      </c>
      <c r="BL179" s="5">
        <f>deaths!BL179-deaths!BK179</f>
        <v>0</v>
      </c>
      <c r="BM179" s="5">
        <f>deaths!BM179-deaths!BL179</f>
        <v>2</v>
      </c>
      <c r="BN179" s="5">
        <f>deaths!BN179-deaths!BM179</f>
        <v>1</v>
      </c>
      <c r="BO179" s="5">
        <f>deaths!BO179-deaths!BN179</f>
        <v>1</v>
      </c>
      <c r="BP179" s="5">
        <f>deaths!BP179-deaths!BO179</f>
        <v>1</v>
      </c>
      <c r="BQ179" s="5">
        <f>deaths!BQ179-deaths!BP179</f>
        <v>1</v>
      </c>
      <c r="BR179" s="5">
        <f>deaths!BR179-deaths!BQ179</f>
        <v>2</v>
      </c>
      <c r="BS179" s="5">
        <f>deaths!BS179-deaths!BR179</f>
        <v>1</v>
      </c>
      <c r="BT179" s="5">
        <f>deaths!BT179-deaths!BS179</f>
        <v>2</v>
      </c>
      <c r="BU179" s="5">
        <f>deaths!BU179-deaths!BT179</f>
        <v>7</v>
      </c>
      <c r="BV179" s="5">
        <f>deaths!BV179-deaths!BU179</f>
        <v>5</v>
      </c>
      <c r="BW179" s="5">
        <f>deaths!BW179-deaths!BV179</f>
        <v>1</v>
      </c>
      <c r="BX179" s="5">
        <f>deaths!BX179-deaths!BW179</f>
        <v>7</v>
      </c>
      <c r="BY179" s="5">
        <f>deaths!BY179-deaths!BX179</f>
        <v>6</v>
      </c>
      <c r="BZ179" s="1">
        <f>deaths!BZ179</f>
        <v>41</v>
      </c>
      <c r="CA179" s="1">
        <f>deaths!CA179</f>
        <v>47</v>
      </c>
      <c r="CB179" s="1">
        <f>deaths!CB179</f>
        <v>53</v>
      </c>
      <c r="CC179" s="1" t="str">
        <f>deaths!CC179</f>
        <v/>
      </c>
    </row>
    <row r="180">
      <c r="B180" s="1" t="str">
        <f>deaths!B180</f>
        <v>Panama</v>
      </c>
      <c r="C180" s="4">
        <f>deaths!C180</f>
        <v>8.538</v>
      </c>
      <c r="D180" s="4">
        <f>deaths!D180</f>
        <v>-80.7821</v>
      </c>
      <c r="E180" s="5">
        <f>deaths!E180</f>
        <v>0</v>
      </c>
      <c r="F180" s="5">
        <f>deaths!F180-deaths!E180</f>
        <v>0</v>
      </c>
      <c r="G180" s="5">
        <f>deaths!G180-deaths!F180</f>
        <v>0</v>
      </c>
      <c r="H180" s="5">
        <f>deaths!H180-deaths!G180</f>
        <v>0</v>
      </c>
      <c r="I180" s="5">
        <f>deaths!I180-deaths!H180</f>
        <v>0</v>
      </c>
      <c r="J180" s="5">
        <f>deaths!J180-deaths!I180</f>
        <v>0</v>
      </c>
      <c r="K180" s="5">
        <f>deaths!K180-deaths!J180</f>
        <v>0</v>
      </c>
      <c r="L180" s="5">
        <f>deaths!L180-deaths!K180</f>
        <v>0</v>
      </c>
      <c r="M180" s="5">
        <f>deaths!M180-deaths!L180</f>
        <v>0</v>
      </c>
      <c r="N180" s="5">
        <f>deaths!N180-deaths!M180</f>
        <v>0</v>
      </c>
      <c r="O180" s="5">
        <f>deaths!O180-deaths!N180</f>
        <v>0</v>
      </c>
      <c r="P180" s="5">
        <f>deaths!P180-deaths!O180</f>
        <v>0</v>
      </c>
      <c r="Q180" s="5">
        <f>deaths!Q180-deaths!P180</f>
        <v>0</v>
      </c>
      <c r="R180" s="5">
        <f>deaths!R180-deaths!Q180</f>
        <v>0</v>
      </c>
      <c r="S180" s="5">
        <f>deaths!S180-deaths!R180</f>
        <v>0</v>
      </c>
      <c r="T180" s="5">
        <f>deaths!T180-deaths!S180</f>
        <v>0</v>
      </c>
      <c r="U180" s="5">
        <f>deaths!U180-deaths!T180</f>
        <v>0</v>
      </c>
      <c r="V180" s="5">
        <f>deaths!V180-deaths!U180</f>
        <v>0</v>
      </c>
      <c r="W180" s="5">
        <f>deaths!W180-deaths!V180</f>
        <v>0</v>
      </c>
      <c r="X180" s="5">
        <f>deaths!X180-deaths!W180</f>
        <v>0</v>
      </c>
      <c r="Y180" s="5">
        <f>deaths!Y180-deaths!X180</f>
        <v>0</v>
      </c>
      <c r="Z180" s="5">
        <f>deaths!Z180-deaths!Y180</f>
        <v>0</v>
      </c>
      <c r="AA180" s="5">
        <f>deaths!AA180-deaths!Z180</f>
        <v>0</v>
      </c>
      <c r="AB180" s="5">
        <f>deaths!AB180-deaths!AA180</f>
        <v>0</v>
      </c>
      <c r="AC180" s="5">
        <f>deaths!AC180-deaths!AB180</f>
        <v>0</v>
      </c>
      <c r="AD180" s="5">
        <f>deaths!AD180-deaths!AC180</f>
        <v>0</v>
      </c>
      <c r="AE180" s="5">
        <f>deaths!AE180-deaths!AD180</f>
        <v>0</v>
      </c>
      <c r="AF180" s="5">
        <f>deaths!AF180-deaths!AE180</f>
        <v>0</v>
      </c>
      <c r="AG180" s="5">
        <f>deaths!AG180-deaths!AF180</f>
        <v>0</v>
      </c>
      <c r="AH180" s="5">
        <f>deaths!AH180-deaths!AG180</f>
        <v>0</v>
      </c>
      <c r="AI180" s="5">
        <f>deaths!AI180-deaths!AH180</f>
        <v>0</v>
      </c>
      <c r="AJ180" s="5">
        <f>deaths!AJ180-deaths!AI180</f>
        <v>0</v>
      </c>
      <c r="AK180" s="5">
        <f>deaths!AK180-deaths!AJ180</f>
        <v>0</v>
      </c>
      <c r="AL180" s="5">
        <f>deaths!AL180-deaths!AK180</f>
        <v>0</v>
      </c>
      <c r="AM180" s="5">
        <f>deaths!AM180-deaths!AL180</f>
        <v>0</v>
      </c>
      <c r="AN180" s="5">
        <f>deaths!AN180-deaths!AM180</f>
        <v>0</v>
      </c>
      <c r="AO180" s="5">
        <f>deaths!AO180-deaths!AN180</f>
        <v>0</v>
      </c>
      <c r="AP180" s="5">
        <f>deaths!AP180-deaths!AO180</f>
        <v>0</v>
      </c>
      <c r="AQ180" s="5">
        <f>deaths!AQ180-deaths!AP180</f>
        <v>0</v>
      </c>
      <c r="AR180" s="5">
        <f>deaths!AR180-deaths!AQ180</f>
        <v>0</v>
      </c>
      <c r="AS180" s="5">
        <f>deaths!AS180-deaths!AR180</f>
        <v>0</v>
      </c>
      <c r="AT180" s="5">
        <f>deaths!AT180-deaths!AS180</f>
        <v>0</v>
      </c>
      <c r="AU180" s="5">
        <f>deaths!AU180-deaths!AT180</f>
        <v>0</v>
      </c>
      <c r="AV180" s="5">
        <f>deaths!AV180-deaths!AU180</f>
        <v>0</v>
      </c>
      <c r="AW180" s="5">
        <f>deaths!AW180-deaths!AV180</f>
        <v>0</v>
      </c>
      <c r="AX180" s="5">
        <f>deaths!AX180-deaths!AW180</f>
        <v>0</v>
      </c>
      <c r="AY180" s="5">
        <f>deaths!AY180-deaths!AX180</f>
        <v>0</v>
      </c>
      <c r="AZ180" s="5">
        <f>deaths!AZ180-deaths!AY180</f>
        <v>0</v>
      </c>
      <c r="BA180" s="5">
        <f>deaths!BA180-deaths!AZ180</f>
        <v>0</v>
      </c>
      <c r="BB180" s="5">
        <f>deaths!BB180-deaths!BA180</f>
        <v>1</v>
      </c>
      <c r="BC180" s="5">
        <f>deaths!BC180-deaths!BB180</f>
        <v>0</v>
      </c>
      <c r="BD180" s="5">
        <f>deaths!BD180-deaths!BC180</f>
        <v>0</v>
      </c>
      <c r="BE180" s="5">
        <f>deaths!BE180-deaths!BD180</f>
        <v>0</v>
      </c>
      <c r="BF180" s="5">
        <f>deaths!BF180-deaths!BE180</f>
        <v>0</v>
      </c>
      <c r="BG180" s="5">
        <f>deaths!BG180-deaths!BF180</f>
        <v>0</v>
      </c>
      <c r="BH180" s="5">
        <f>deaths!BH180-deaths!BG180</f>
        <v>0</v>
      </c>
      <c r="BI180" s="5">
        <f>deaths!BI180-deaths!BH180</f>
        <v>0</v>
      </c>
      <c r="BJ180" s="5">
        <f>deaths!BJ180-deaths!BI180</f>
        <v>0</v>
      </c>
      <c r="BK180" s="5">
        <f>deaths!BK180-deaths!BJ180</f>
        <v>0</v>
      </c>
      <c r="BL180" s="5">
        <f>deaths!BL180-deaths!BK180</f>
        <v>0</v>
      </c>
      <c r="BM180" s="5">
        <f>deaths!BM180-deaths!BL180</f>
        <v>2</v>
      </c>
      <c r="BN180" s="5">
        <f>deaths!BN180-deaths!BM180</f>
        <v>3</v>
      </c>
      <c r="BO180" s="5">
        <f>deaths!BO180-deaths!BN180</f>
        <v>0</v>
      </c>
      <c r="BP180" s="5">
        <f>deaths!BP180-deaths!BO180</f>
        <v>2</v>
      </c>
      <c r="BQ180" s="5">
        <f>deaths!BQ180-deaths!BP180</f>
        <v>0</v>
      </c>
      <c r="BR180" s="5">
        <f>deaths!BR180-deaths!BQ180</f>
        <v>1</v>
      </c>
      <c r="BS180" s="5">
        <f>deaths!BS180-deaths!BR180</f>
        <v>5</v>
      </c>
      <c r="BT180" s="5">
        <f>deaths!BT180-deaths!BS180</f>
        <v>3</v>
      </c>
      <c r="BU180" s="5">
        <f>deaths!BU180-deaths!BT180</f>
        <v>7</v>
      </c>
      <c r="BV180" s="5">
        <f>deaths!BV180-deaths!BU180</f>
        <v>6</v>
      </c>
      <c r="BW180" s="5">
        <f>deaths!BW180-deaths!BV180</f>
        <v>0</v>
      </c>
      <c r="BX180" s="5">
        <f>deaths!BX180-deaths!BW180</f>
        <v>2</v>
      </c>
      <c r="BY180" s="5">
        <f>deaths!BY180-deaths!BX180</f>
        <v>5</v>
      </c>
      <c r="BZ180" s="1">
        <f>deaths!BZ180</f>
        <v>41</v>
      </c>
      <c r="CA180" s="1">
        <f>deaths!CA180</f>
        <v>46</v>
      </c>
      <c r="CB180" s="1">
        <f>deaths!CB180</f>
        <v>54</v>
      </c>
      <c r="CC180" s="1" t="str">
        <f>deaths!CC180</f>
        <v/>
      </c>
    </row>
    <row r="181">
      <c r="B181" s="1" t="str">
        <f>deaths!B181</f>
        <v>Papua New Guinea</v>
      </c>
      <c r="C181" s="4">
        <f>deaths!C181</f>
        <v>-6.315</v>
      </c>
      <c r="D181" s="4">
        <f>deaths!D181</f>
        <v>143.9555</v>
      </c>
      <c r="E181" s="5">
        <f>deaths!E181</f>
        <v>0</v>
      </c>
      <c r="F181" s="5">
        <f>deaths!F181-deaths!E181</f>
        <v>0</v>
      </c>
      <c r="G181" s="5">
        <f>deaths!G181-deaths!F181</f>
        <v>0</v>
      </c>
      <c r="H181" s="5">
        <f>deaths!H181-deaths!G181</f>
        <v>0</v>
      </c>
      <c r="I181" s="5">
        <f>deaths!I181-deaths!H181</f>
        <v>0</v>
      </c>
      <c r="J181" s="5">
        <f>deaths!J181-deaths!I181</f>
        <v>0</v>
      </c>
      <c r="K181" s="5">
        <f>deaths!K181-deaths!J181</f>
        <v>0</v>
      </c>
      <c r="L181" s="5">
        <f>deaths!L181-deaths!K181</f>
        <v>0</v>
      </c>
      <c r="M181" s="5">
        <f>deaths!M181-deaths!L181</f>
        <v>0</v>
      </c>
      <c r="N181" s="5">
        <f>deaths!N181-deaths!M181</f>
        <v>0</v>
      </c>
      <c r="O181" s="5">
        <f>deaths!O181-deaths!N181</f>
        <v>0</v>
      </c>
      <c r="P181" s="5">
        <f>deaths!P181-deaths!O181</f>
        <v>0</v>
      </c>
      <c r="Q181" s="5">
        <f>deaths!Q181-deaths!P181</f>
        <v>0</v>
      </c>
      <c r="R181" s="5">
        <f>deaths!R181-deaths!Q181</f>
        <v>0</v>
      </c>
      <c r="S181" s="5">
        <f>deaths!S181-deaths!R181</f>
        <v>0</v>
      </c>
      <c r="T181" s="5">
        <f>deaths!T181-deaths!S181</f>
        <v>0</v>
      </c>
      <c r="U181" s="5">
        <f>deaths!U181-deaths!T181</f>
        <v>0</v>
      </c>
      <c r="V181" s="5">
        <f>deaths!V181-deaths!U181</f>
        <v>0</v>
      </c>
      <c r="W181" s="5">
        <f>deaths!W181-deaths!V181</f>
        <v>0</v>
      </c>
      <c r="X181" s="5">
        <f>deaths!X181-deaths!W181</f>
        <v>0</v>
      </c>
      <c r="Y181" s="5">
        <f>deaths!Y181-deaths!X181</f>
        <v>0</v>
      </c>
      <c r="Z181" s="5">
        <f>deaths!Z181-deaths!Y181</f>
        <v>0</v>
      </c>
      <c r="AA181" s="5">
        <f>deaths!AA181-deaths!Z181</f>
        <v>0</v>
      </c>
      <c r="AB181" s="5">
        <f>deaths!AB181-deaths!AA181</f>
        <v>0</v>
      </c>
      <c r="AC181" s="5">
        <f>deaths!AC181-deaths!AB181</f>
        <v>0</v>
      </c>
      <c r="AD181" s="5">
        <f>deaths!AD181-deaths!AC181</f>
        <v>0</v>
      </c>
      <c r="AE181" s="5">
        <f>deaths!AE181-deaths!AD181</f>
        <v>0</v>
      </c>
      <c r="AF181" s="5">
        <f>deaths!AF181-deaths!AE181</f>
        <v>0</v>
      </c>
      <c r="AG181" s="5">
        <f>deaths!AG181-deaths!AF181</f>
        <v>0</v>
      </c>
      <c r="AH181" s="5">
        <f>deaths!AH181-deaths!AG181</f>
        <v>0</v>
      </c>
      <c r="AI181" s="5">
        <f>deaths!AI181-deaths!AH181</f>
        <v>0</v>
      </c>
      <c r="AJ181" s="5">
        <f>deaths!AJ181-deaths!AI181</f>
        <v>0</v>
      </c>
      <c r="AK181" s="5">
        <f>deaths!AK181-deaths!AJ181</f>
        <v>0</v>
      </c>
      <c r="AL181" s="5">
        <f>deaths!AL181-deaths!AK181</f>
        <v>0</v>
      </c>
      <c r="AM181" s="5">
        <f>deaths!AM181-deaths!AL181</f>
        <v>0</v>
      </c>
      <c r="AN181" s="5">
        <f>deaths!AN181-deaths!AM181</f>
        <v>0</v>
      </c>
      <c r="AO181" s="5">
        <f>deaths!AO181-deaths!AN181</f>
        <v>0</v>
      </c>
      <c r="AP181" s="5">
        <f>deaths!AP181-deaths!AO181</f>
        <v>0</v>
      </c>
      <c r="AQ181" s="5">
        <f>deaths!AQ181-deaths!AP181</f>
        <v>0</v>
      </c>
      <c r="AR181" s="5">
        <f>deaths!AR181-deaths!AQ181</f>
        <v>0</v>
      </c>
      <c r="AS181" s="5">
        <f>deaths!AS181-deaths!AR181</f>
        <v>0</v>
      </c>
      <c r="AT181" s="5">
        <f>deaths!AT181-deaths!AS181</f>
        <v>0</v>
      </c>
      <c r="AU181" s="5">
        <f>deaths!AU181-deaths!AT181</f>
        <v>0</v>
      </c>
      <c r="AV181" s="5">
        <f>deaths!AV181-deaths!AU181</f>
        <v>0</v>
      </c>
      <c r="AW181" s="5">
        <f>deaths!AW181-deaths!AV181</f>
        <v>0</v>
      </c>
      <c r="AX181" s="5">
        <f>deaths!AX181-deaths!AW181</f>
        <v>0</v>
      </c>
      <c r="AY181" s="5">
        <f>deaths!AY181-deaths!AX181</f>
        <v>0</v>
      </c>
      <c r="AZ181" s="5">
        <f>deaths!AZ181-deaths!AY181</f>
        <v>0</v>
      </c>
      <c r="BA181" s="5">
        <f>deaths!BA181-deaths!AZ181</f>
        <v>0</v>
      </c>
      <c r="BB181" s="5">
        <f>deaths!BB181-deaths!BA181</f>
        <v>0</v>
      </c>
      <c r="BC181" s="5">
        <f>deaths!BC181-deaths!BB181</f>
        <v>0</v>
      </c>
      <c r="BD181" s="5">
        <f>deaths!BD181-deaths!BC181</f>
        <v>0</v>
      </c>
      <c r="BE181" s="5">
        <f>deaths!BE181-deaths!BD181</f>
        <v>0</v>
      </c>
      <c r="BF181" s="5">
        <f>deaths!BF181-deaths!BE181</f>
        <v>0</v>
      </c>
      <c r="BG181" s="5">
        <f>deaths!BG181-deaths!BF181</f>
        <v>0</v>
      </c>
      <c r="BH181" s="5">
        <f>deaths!BH181-deaths!BG181</f>
        <v>0</v>
      </c>
      <c r="BI181" s="5">
        <f>deaths!BI181-deaths!BH181</f>
        <v>0</v>
      </c>
      <c r="BJ181" s="5">
        <f>deaths!BJ181-deaths!BI181</f>
        <v>0</v>
      </c>
      <c r="BK181" s="5">
        <f>deaths!BK181-deaths!BJ181</f>
        <v>0</v>
      </c>
      <c r="BL181" s="5">
        <f>deaths!BL181-deaths!BK181</f>
        <v>0</v>
      </c>
      <c r="BM181" s="5">
        <f>deaths!BM181-deaths!BL181</f>
        <v>0</v>
      </c>
      <c r="BN181" s="5">
        <f>deaths!BN181-deaths!BM181</f>
        <v>0</v>
      </c>
      <c r="BO181" s="5">
        <f>deaths!BO181-deaths!BN181</f>
        <v>0</v>
      </c>
      <c r="BP181" s="5">
        <f>deaths!BP181-deaths!BO181</f>
        <v>0</v>
      </c>
      <c r="BQ181" s="5">
        <f>deaths!BQ181-deaths!BP181</f>
        <v>0</v>
      </c>
      <c r="BR181" s="5">
        <f>deaths!BR181-deaths!BQ181</f>
        <v>0</v>
      </c>
      <c r="BS181" s="5">
        <f>deaths!BS181-deaths!BR181</f>
        <v>0</v>
      </c>
      <c r="BT181" s="5">
        <f>deaths!BT181-deaths!BS181</f>
        <v>0</v>
      </c>
      <c r="BU181" s="5">
        <f>deaths!BU181-deaths!BT181</f>
        <v>0</v>
      </c>
      <c r="BV181" s="5">
        <f>deaths!BV181-deaths!BU181</f>
        <v>0</v>
      </c>
      <c r="BW181" s="5">
        <f>deaths!BW181-deaths!BV181</f>
        <v>0</v>
      </c>
      <c r="BX181" s="5">
        <f>deaths!BX181-deaths!BW181</f>
        <v>0</v>
      </c>
      <c r="BY181" s="5">
        <f>deaths!BY181-deaths!BX181</f>
        <v>0</v>
      </c>
      <c r="BZ181" s="1">
        <f>deaths!BZ181</f>
        <v>0</v>
      </c>
      <c r="CA181" s="1">
        <f>deaths!CA181</f>
        <v>0</v>
      </c>
      <c r="CB181" s="1">
        <f>deaths!CB181</f>
        <v>0</v>
      </c>
      <c r="CC181" s="1" t="str">
        <f>deaths!CC181</f>
        <v/>
      </c>
    </row>
    <row r="182">
      <c r="B182" s="1" t="str">
        <f>deaths!B182</f>
        <v>Paraguay</v>
      </c>
      <c r="C182" s="4">
        <f>deaths!C182</f>
        <v>-23.4425</v>
      </c>
      <c r="D182" s="4">
        <f>deaths!D182</f>
        <v>-58.4438</v>
      </c>
      <c r="E182" s="5">
        <f>deaths!E182</f>
        <v>0</v>
      </c>
      <c r="F182" s="5">
        <f>deaths!F182-deaths!E182</f>
        <v>0</v>
      </c>
      <c r="G182" s="5">
        <f>deaths!G182-deaths!F182</f>
        <v>0</v>
      </c>
      <c r="H182" s="5">
        <f>deaths!H182-deaths!G182</f>
        <v>0</v>
      </c>
      <c r="I182" s="5">
        <f>deaths!I182-deaths!H182</f>
        <v>0</v>
      </c>
      <c r="J182" s="5">
        <f>deaths!J182-deaths!I182</f>
        <v>0</v>
      </c>
      <c r="K182" s="5">
        <f>deaths!K182-deaths!J182</f>
        <v>0</v>
      </c>
      <c r="L182" s="5">
        <f>deaths!L182-deaths!K182</f>
        <v>0</v>
      </c>
      <c r="M182" s="5">
        <f>deaths!M182-deaths!L182</f>
        <v>0</v>
      </c>
      <c r="N182" s="5">
        <f>deaths!N182-deaths!M182</f>
        <v>0</v>
      </c>
      <c r="O182" s="5">
        <f>deaths!O182-deaths!N182</f>
        <v>0</v>
      </c>
      <c r="P182" s="5">
        <f>deaths!P182-deaths!O182</f>
        <v>0</v>
      </c>
      <c r="Q182" s="5">
        <f>deaths!Q182-deaths!P182</f>
        <v>0</v>
      </c>
      <c r="R182" s="5">
        <f>deaths!R182-deaths!Q182</f>
        <v>0</v>
      </c>
      <c r="S182" s="5">
        <f>deaths!S182-deaths!R182</f>
        <v>0</v>
      </c>
      <c r="T182" s="5">
        <f>deaths!T182-deaths!S182</f>
        <v>0</v>
      </c>
      <c r="U182" s="5">
        <f>deaths!U182-deaths!T182</f>
        <v>0</v>
      </c>
      <c r="V182" s="5">
        <f>deaths!V182-deaths!U182</f>
        <v>0</v>
      </c>
      <c r="W182" s="5">
        <f>deaths!W182-deaths!V182</f>
        <v>0</v>
      </c>
      <c r="X182" s="5">
        <f>deaths!X182-deaths!W182</f>
        <v>0</v>
      </c>
      <c r="Y182" s="5">
        <f>deaths!Y182-deaths!X182</f>
        <v>0</v>
      </c>
      <c r="Z182" s="5">
        <f>deaths!Z182-deaths!Y182</f>
        <v>0</v>
      </c>
      <c r="AA182" s="5">
        <f>deaths!AA182-deaths!Z182</f>
        <v>0</v>
      </c>
      <c r="AB182" s="5">
        <f>deaths!AB182-deaths!AA182</f>
        <v>0</v>
      </c>
      <c r="AC182" s="5">
        <f>deaths!AC182-deaths!AB182</f>
        <v>0</v>
      </c>
      <c r="AD182" s="5">
        <f>deaths!AD182-deaths!AC182</f>
        <v>0</v>
      </c>
      <c r="AE182" s="5">
        <f>deaths!AE182-deaths!AD182</f>
        <v>0</v>
      </c>
      <c r="AF182" s="5">
        <f>deaths!AF182-deaths!AE182</f>
        <v>0</v>
      </c>
      <c r="AG182" s="5">
        <f>deaths!AG182-deaths!AF182</f>
        <v>0</v>
      </c>
      <c r="AH182" s="5">
        <f>deaths!AH182-deaths!AG182</f>
        <v>0</v>
      </c>
      <c r="AI182" s="5">
        <f>deaths!AI182-deaths!AH182</f>
        <v>0</v>
      </c>
      <c r="AJ182" s="5">
        <f>deaths!AJ182-deaths!AI182</f>
        <v>0</v>
      </c>
      <c r="AK182" s="5">
        <f>deaths!AK182-deaths!AJ182</f>
        <v>0</v>
      </c>
      <c r="AL182" s="5">
        <f>deaths!AL182-deaths!AK182</f>
        <v>0</v>
      </c>
      <c r="AM182" s="5">
        <f>deaths!AM182-deaths!AL182</f>
        <v>0</v>
      </c>
      <c r="AN182" s="5">
        <f>deaths!AN182-deaths!AM182</f>
        <v>0</v>
      </c>
      <c r="AO182" s="5">
        <f>deaths!AO182-deaths!AN182</f>
        <v>0</v>
      </c>
      <c r="AP182" s="5">
        <f>deaths!AP182-deaths!AO182</f>
        <v>0</v>
      </c>
      <c r="AQ182" s="5">
        <f>deaths!AQ182-deaths!AP182</f>
        <v>0</v>
      </c>
      <c r="AR182" s="5">
        <f>deaths!AR182-deaths!AQ182</f>
        <v>0</v>
      </c>
      <c r="AS182" s="5">
        <f>deaths!AS182-deaths!AR182</f>
        <v>0</v>
      </c>
      <c r="AT182" s="5">
        <f>deaths!AT182-deaths!AS182</f>
        <v>0</v>
      </c>
      <c r="AU182" s="5">
        <f>deaths!AU182-deaths!AT182</f>
        <v>0</v>
      </c>
      <c r="AV182" s="5">
        <f>deaths!AV182-deaths!AU182</f>
        <v>0</v>
      </c>
      <c r="AW182" s="5">
        <f>deaths!AW182-deaths!AV182</f>
        <v>0</v>
      </c>
      <c r="AX182" s="5">
        <f>deaths!AX182-deaths!AW182</f>
        <v>0</v>
      </c>
      <c r="AY182" s="5">
        <f>deaths!AY182-deaths!AX182</f>
        <v>0</v>
      </c>
      <c r="AZ182" s="5">
        <f>deaths!AZ182-deaths!AY182</f>
        <v>0</v>
      </c>
      <c r="BA182" s="5">
        <f>deaths!BA182-deaths!AZ182</f>
        <v>0</v>
      </c>
      <c r="BB182" s="5">
        <f>deaths!BB182-deaths!BA182</f>
        <v>0</v>
      </c>
      <c r="BC182" s="5">
        <f>deaths!BC182-deaths!BB182</f>
        <v>0</v>
      </c>
      <c r="BD182" s="5">
        <f>deaths!BD182-deaths!BC182</f>
        <v>0</v>
      </c>
      <c r="BE182" s="5">
        <f>deaths!BE182-deaths!BD182</f>
        <v>0</v>
      </c>
      <c r="BF182" s="5">
        <f>deaths!BF182-deaths!BE182</f>
        <v>0</v>
      </c>
      <c r="BG182" s="5">
        <f>deaths!BG182-deaths!BF182</f>
        <v>0</v>
      </c>
      <c r="BH182" s="5">
        <f>deaths!BH182-deaths!BG182</f>
        <v>0</v>
      </c>
      <c r="BI182" s="5">
        <f>deaths!BI182-deaths!BH182</f>
        <v>0</v>
      </c>
      <c r="BJ182" s="5">
        <f>deaths!BJ182-deaths!BI182</f>
        <v>0</v>
      </c>
      <c r="BK182" s="5">
        <f>deaths!BK182-deaths!BJ182</f>
        <v>0</v>
      </c>
      <c r="BL182" s="5">
        <f>deaths!BL182-deaths!BK182</f>
        <v>1</v>
      </c>
      <c r="BM182" s="5">
        <f>deaths!BM182-deaths!BL182</f>
        <v>0</v>
      </c>
      <c r="BN182" s="5">
        <f>deaths!BN182-deaths!BM182</f>
        <v>0</v>
      </c>
      <c r="BO182" s="5">
        <f>deaths!BO182-deaths!BN182</f>
        <v>1</v>
      </c>
      <c r="BP182" s="5">
        <f>deaths!BP182-deaths!BO182</f>
        <v>1</v>
      </c>
      <c r="BQ182" s="5">
        <f>deaths!BQ182-deaths!BP182</f>
        <v>0</v>
      </c>
      <c r="BR182" s="5">
        <f>deaths!BR182-deaths!BQ182</f>
        <v>0</v>
      </c>
      <c r="BS182" s="5">
        <f>deaths!BS182-deaths!BR182</f>
        <v>0</v>
      </c>
      <c r="BT182" s="5">
        <f>deaths!BT182-deaths!BS182</f>
        <v>0</v>
      </c>
      <c r="BU182" s="5">
        <f>deaths!BU182-deaths!BT182</f>
        <v>0</v>
      </c>
      <c r="BV182" s="5">
        <f>deaths!BV182-deaths!BU182</f>
        <v>0</v>
      </c>
      <c r="BW182" s="5">
        <f>deaths!BW182-deaths!BV182</f>
        <v>0</v>
      </c>
      <c r="BX182" s="5">
        <f>deaths!BX182-deaths!BW182</f>
        <v>0</v>
      </c>
      <c r="BY182" s="5">
        <f>deaths!BY182-deaths!BX182</f>
        <v>0</v>
      </c>
      <c r="BZ182" s="1">
        <f>deaths!BZ182</f>
        <v>3</v>
      </c>
      <c r="CA182" s="1">
        <f>deaths!CA182</f>
        <v>3</v>
      </c>
      <c r="CB182" s="1">
        <f>deaths!CB182</f>
        <v>5</v>
      </c>
      <c r="CC182" s="1" t="str">
        <f>deaths!CC182</f>
        <v/>
      </c>
    </row>
    <row r="183">
      <c r="B183" s="1" t="str">
        <f>deaths!B183</f>
        <v>Peru</v>
      </c>
      <c r="C183" s="4">
        <f>deaths!C183</f>
        <v>-9.19</v>
      </c>
      <c r="D183" s="4">
        <f>deaths!D183</f>
        <v>-75.0152</v>
      </c>
      <c r="E183" s="5">
        <f>deaths!E183</f>
        <v>0</v>
      </c>
      <c r="F183" s="5">
        <f>deaths!F183-deaths!E183</f>
        <v>0</v>
      </c>
      <c r="G183" s="5">
        <f>deaths!G183-deaths!F183</f>
        <v>0</v>
      </c>
      <c r="H183" s="5">
        <f>deaths!H183-deaths!G183</f>
        <v>0</v>
      </c>
      <c r="I183" s="5">
        <f>deaths!I183-deaths!H183</f>
        <v>0</v>
      </c>
      <c r="J183" s="5">
        <f>deaths!J183-deaths!I183</f>
        <v>0</v>
      </c>
      <c r="K183" s="5">
        <f>deaths!K183-deaths!J183</f>
        <v>0</v>
      </c>
      <c r="L183" s="5">
        <f>deaths!L183-deaths!K183</f>
        <v>0</v>
      </c>
      <c r="M183" s="5">
        <f>deaths!M183-deaths!L183</f>
        <v>0</v>
      </c>
      <c r="N183" s="5">
        <f>deaths!N183-deaths!M183</f>
        <v>0</v>
      </c>
      <c r="O183" s="5">
        <f>deaths!O183-deaths!N183</f>
        <v>0</v>
      </c>
      <c r="P183" s="5">
        <f>deaths!P183-deaths!O183</f>
        <v>0</v>
      </c>
      <c r="Q183" s="5">
        <f>deaths!Q183-deaths!P183</f>
        <v>0</v>
      </c>
      <c r="R183" s="5">
        <f>deaths!R183-deaths!Q183</f>
        <v>0</v>
      </c>
      <c r="S183" s="5">
        <f>deaths!S183-deaths!R183</f>
        <v>0</v>
      </c>
      <c r="T183" s="5">
        <f>deaths!T183-deaths!S183</f>
        <v>0</v>
      </c>
      <c r="U183" s="5">
        <f>deaths!U183-deaths!T183</f>
        <v>0</v>
      </c>
      <c r="V183" s="5">
        <f>deaths!V183-deaths!U183</f>
        <v>0</v>
      </c>
      <c r="W183" s="5">
        <f>deaths!W183-deaths!V183</f>
        <v>0</v>
      </c>
      <c r="X183" s="5">
        <f>deaths!X183-deaths!W183</f>
        <v>0</v>
      </c>
      <c r="Y183" s="5">
        <f>deaths!Y183-deaths!X183</f>
        <v>0</v>
      </c>
      <c r="Z183" s="5">
        <f>deaths!Z183-deaths!Y183</f>
        <v>0</v>
      </c>
      <c r="AA183" s="5">
        <f>deaths!AA183-deaths!Z183</f>
        <v>0</v>
      </c>
      <c r="AB183" s="5">
        <f>deaths!AB183-deaths!AA183</f>
        <v>0</v>
      </c>
      <c r="AC183" s="5">
        <f>deaths!AC183-deaths!AB183</f>
        <v>0</v>
      </c>
      <c r="AD183" s="5">
        <f>deaths!AD183-deaths!AC183</f>
        <v>0</v>
      </c>
      <c r="AE183" s="5">
        <f>deaths!AE183-deaths!AD183</f>
        <v>0</v>
      </c>
      <c r="AF183" s="5">
        <f>deaths!AF183-deaths!AE183</f>
        <v>0</v>
      </c>
      <c r="AG183" s="5">
        <f>deaths!AG183-deaths!AF183</f>
        <v>0</v>
      </c>
      <c r="AH183" s="5">
        <f>deaths!AH183-deaths!AG183</f>
        <v>0</v>
      </c>
      <c r="AI183" s="5">
        <f>deaths!AI183-deaths!AH183</f>
        <v>0</v>
      </c>
      <c r="AJ183" s="5">
        <f>deaths!AJ183-deaths!AI183</f>
        <v>0</v>
      </c>
      <c r="AK183" s="5">
        <f>deaths!AK183-deaths!AJ183</f>
        <v>0</v>
      </c>
      <c r="AL183" s="5">
        <f>deaths!AL183-deaths!AK183</f>
        <v>0</v>
      </c>
      <c r="AM183" s="5">
        <f>deaths!AM183-deaths!AL183</f>
        <v>0</v>
      </c>
      <c r="AN183" s="5">
        <f>deaths!AN183-deaths!AM183</f>
        <v>0</v>
      </c>
      <c r="AO183" s="5">
        <f>deaths!AO183-deaths!AN183</f>
        <v>0</v>
      </c>
      <c r="AP183" s="5">
        <f>deaths!AP183-deaths!AO183</f>
        <v>0</v>
      </c>
      <c r="AQ183" s="5">
        <f>deaths!AQ183-deaths!AP183</f>
        <v>0</v>
      </c>
      <c r="AR183" s="5">
        <f>deaths!AR183-deaths!AQ183</f>
        <v>0</v>
      </c>
      <c r="AS183" s="5">
        <f>deaths!AS183-deaths!AR183</f>
        <v>0</v>
      </c>
      <c r="AT183" s="5">
        <f>deaths!AT183-deaths!AS183</f>
        <v>0</v>
      </c>
      <c r="AU183" s="5">
        <f>deaths!AU183-deaths!AT183</f>
        <v>0</v>
      </c>
      <c r="AV183" s="5">
        <f>deaths!AV183-deaths!AU183</f>
        <v>0</v>
      </c>
      <c r="AW183" s="5">
        <f>deaths!AW183-deaths!AV183</f>
        <v>0</v>
      </c>
      <c r="AX183" s="5">
        <f>deaths!AX183-deaths!AW183</f>
        <v>0</v>
      </c>
      <c r="AY183" s="5">
        <f>deaths!AY183-deaths!AX183</f>
        <v>0</v>
      </c>
      <c r="AZ183" s="5">
        <f>deaths!AZ183-deaths!AY183</f>
        <v>0</v>
      </c>
      <c r="BA183" s="5">
        <f>deaths!BA183-deaths!AZ183</f>
        <v>0</v>
      </c>
      <c r="BB183" s="5">
        <f>deaths!BB183-deaths!BA183</f>
        <v>0</v>
      </c>
      <c r="BC183" s="5">
        <f>deaths!BC183-deaths!BB183</f>
        <v>0</v>
      </c>
      <c r="BD183" s="5">
        <f>deaths!BD183-deaths!BC183</f>
        <v>0</v>
      </c>
      <c r="BE183" s="5">
        <f>deaths!BE183-deaths!BD183</f>
        <v>0</v>
      </c>
      <c r="BF183" s="5">
        <f>deaths!BF183-deaths!BE183</f>
        <v>0</v>
      </c>
      <c r="BG183" s="5">
        <f>deaths!BG183-deaths!BF183</f>
        <v>0</v>
      </c>
      <c r="BH183" s="5">
        <f>deaths!BH183-deaths!BG183</f>
        <v>0</v>
      </c>
      <c r="BI183" s="5">
        <f>deaths!BI183-deaths!BH183</f>
        <v>0</v>
      </c>
      <c r="BJ183" s="5">
        <f>deaths!BJ183-deaths!BI183</f>
        <v>0</v>
      </c>
      <c r="BK183" s="5">
        <f>deaths!BK183-deaths!BJ183</f>
        <v>3</v>
      </c>
      <c r="BL183" s="5">
        <f>deaths!BL183-deaths!BK183</f>
        <v>2</v>
      </c>
      <c r="BM183" s="5">
        <f>deaths!BM183-deaths!BL183</f>
        <v>0</v>
      </c>
      <c r="BN183" s="5">
        <f>deaths!BN183-deaths!BM183</f>
        <v>0</v>
      </c>
      <c r="BO183" s="5">
        <f>deaths!BO183-deaths!BN183</f>
        <v>2</v>
      </c>
      <c r="BP183" s="5">
        <f>deaths!BP183-deaths!BO183</f>
        <v>2</v>
      </c>
      <c r="BQ183" s="5">
        <f>deaths!BQ183-deaths!BP183</f>
        <v>0</v>
      </c>
      <c r="BR183" s="5">
        <f>deaths!BR183-deaths!BQ183</f>
        <v>2</v>
      </c>
      <c r="BS183" s="5">
        <f>deaths!BS183-deaths!BR183</f>
        <v>5</v>
      </c>
      <c r="BT183" s="5">
        <f>deaths!BT183-deaths!BS183</f>
        <v>2</v>
      </c>
      <c r="BU183" s="5">
        <f>deaths!BU183-deaths!BT183</f>
        <v>6</v>
      </c>
      <c r="BV183" s="5">
        <f>deaths!BV183-deaths!BU183</f>
        <v>6</v>
      </c>
      <c r="BW183" s="5">
        <f>deaths!BW183-deaths!BV183</f>
        <v>8</v>
      </c>
      <c r="BX183" s="5">
        <f>deaths!BX183-deaths!BW183</f>
        <v>17</v>
      </c>
      <c r="BY183" s="5">
        <f>deaths!BY183-deaths!BX183</f>
        <v>6</v>
      </c>
      <c r="BZ183" s="1">
        <f>deaths!BZ183</f>
        <v>73</v>
      </c>
      <c r="CA183" s="1">
        <f>deaths!CA183</f>
        <v>83</v>
      </c>
      <c r="CB183" s="1">
        <f>deaths!CB183</f>
        <v>92</v>
      </c>
      <c r="CC183" s="1" t="str">
        <f>deaths!CC183</f>
        <v/>
      </c>
    </row>
    <row r="184">
      <c r="B184" s="1" t="str">
        <f>deaths!B184</f>
        <v>Philippines</v>
      </c>
      <c r="C184" s="4">
        <f>deaths!C184</f>
        <v>13</v>
      </c>
      <c r="D184" s="4">
        <f>deaths!D184</f>
        <v>122</v>
      </c>
      <c r="E184" s="5">
        <f>deaths!E184</f>
        <v>0</v>
      </c>
      <c r="F184" s="5">
        <f>deaths!F184-deaths!E184</f>
        <v>0</v>
      </c>
      <c r="G184" s="5">
        <f>deaths!G184-deaths!F184</f>
        <v>0</v>
      </c>
      <c r="H184" s="5">
        <f>deaths!H184-deaths!G184</f>
        <v>0</v>
      </c>
      <c r="I184" s="5">
        <f>deaths!I184-deaths!H184</f>
        <v>0</v>
      </c>
      <c r="J184" s="5">
        <f>deaths!J184-deaths!I184</f>
        <v>0</v>
      </c>
      <c r="K184" s="5">
        <f>deaths!K184-deaths!J184</f>
        <v>0</v>
      </c>
      <c r="L184" s="5">
        <f>deaths!L184-deaths!K184</f>
        <v>0</v>
      </c>
      <c r="M184" s="5">
        <f>deaths!M184-deaths!L184</f>
        <v>0</v>
      </c>
      <c r="N184" s="5">
        <f>deaths!N184-deaths!M184</f>
        <v>0</v>
      </c>
      <c r="O184" s="5">
        <f>deaths!O184-deaths!N184</f>
        <v>0</v>
      </c>
      <c r="P184" s="5">
        <f>deaths!P184-deaths!O184</f>
        <v>1</v>
      </c>
      <c r="Q184" s="5">
        <f>deaths!Q184-deaths!P184</f>
        <v>0</v>
      </c>
      <c r="R184" s="5">
        <f>deaths!R184-deaths!Q184</f>
        <v>0</v>
      </c>
      <c r="S184" s="5">
        <f>deaths!S184-deaths!R184</f>
        <v>0</v>
      </c>
      <c r="T184" s="5">
        <f>deaths!T184-deaths!S184</f>
        <v>0</v>
      </c>
      <c r="U184" s="5">
        <f>deaths!U184-deaths!T184</f>
        <v>0</v>
      </c>
      <c r="V184" s="5">
        <f>deaths!V184-deaths!U184</f>
        <v>0</v>
      </c>
      <c r="W184" s="5">
        <f>deaths!W184-deaths!V184</f>
        <v>0</v>
      </c>
      <c r="X184" s="5">
        <f>deaths!X184-deaths!W184</f>
        <v>0</v>
      </c>
      <c r="Y184" s="5">
        <f>deaths!Y184-deaths!X184</f>
        <v>0</v>
      </c>
      <c r="Z184" s="5">
        <f>deaths!Z184-deaths!Y184</f>
        <v>0</v>
      </c>
      <c r="AA184" s="5">
        <f>deaths!AA184-deaths!Z184</f>
        <v>0</v>
      </c>
      <c r="AB184" s="5">
        <f>deaths!AB184-deaths!AA184</f>
        <v>0</v>
      </c>
      <c r="AC184" s="5">
        <f>deaths!AC184-deaths!AB184</f>
        <v>0</v>
      </c>
      <c r="AD184" s="5">
        <f>deaths!AD184-deaths!AC184</f>
        <v>0</v>
      </c>
      <c r="AE184" s="5">
        <f>deaths!AE184-deaths!AD184</f>
        <v>0</v>
      </c>
      <c r="AF184" s="5">
        <f>deaths!AF184-deaths!AE184</f>
        <v>0</v>
      </c>
      <c r="AG184" s="5">
        <f>deaths!AG184-deaths!AF184</f>
        <v>0</v>
      </c>
      <c r="AH184" s="5">
        <f>deaths!AH184-deaths!AG184</f>
        <v>0</v>
      </c>
      <c r="AI184" s="5">
        <f>deaths!AI184-deaths!AH184</f>
        <v>0</v>
      </c>
      <c r="AJ184" s="5">
        <f>deaths!AJ184-deaths!AI184</f>
        <v>0</v>
      </c>
      <c r="AK184" s="5">
        <f>deaths!AK184-deaths!AJ184</f>
        <v>0</v>
      </c>
      <c r="AL184" s="5">
        <f>deaths!AL184-deaths!AK184</f>
        <v>0</v>
      </c>
      <c r="AM184" s="5">
        <f>deaths!AM184-deaths!AL184</f>
        <v>0</v>
      </c>
      <c r="AN184" s="5">
        <f>deaths!AN184-deaths!AM184</f>
        <v>0</v>
      </c>
      <c r="AO184" s="5">
        <f>deaths!AO184-deaths!AN184</f>
        <v>0</v>
      </c>
      <c r="AP184" s="5">
        <f>deaths!AP184-deaths!AO184</f>
        <v>0</v>
      </c>
      <c r="AQ184" s="5">
        <f>deaths!AQ184-deaths!AP184</f>
        <v>0</v>
      </c>
      <c r="AR184" s="5">
        <f>deaths!AR184-deaths!AQ184</f>
        <v>0</v>
      </c>
      <c r="AS184" s="5">
        <f>deaths!AS184-deaths!AR184</f>
        <v>0</v>
      </c>
      <c r="AT184" s="5">
        <f>deaths!AT184-deaths!AS184</f>
        <v>0</v>
      </c>
      <c r="AU184" s="5">
        <f>deaths!AU184-deaths!AT184</f>
        <v>0</v>
      </c>
      <c r="AV184" s="5">
        <f>deaths!AV184-deaths!AU184</f>
        <v>0</v>
      </c>
      <c r="AW184" s="5">
        <f>deaths!AW184-deaths!AV184</f>
        <v>0</v>
      </c>
      <c r="AX184" s="5">
        <f>deaths!AX184-deaths!AW184</f>
        <v>0</v>
      </c>
      <c r="AY184" s="5">
        <f>deaths!AY184-deaths!AX184</f>
        <v>0</v>
      </c>
      <c r="AZ184" s="5">
        <f>deaths!AZ184-deaths!AY184</f>
        <v>0</v>
      </c>
      <c r="BA184" s="5">
        <f>deaths!BA184-deaths!AZ184</f>
        <v>0</v>
      </c>
      <c r="BB184" s="5">
        <f>deaths!BB184-deaths!BA184</f>
        <v>0</v>
      </c>
      <c r="BC184" s="5">
        <f>deaths!BC184-deaths!BB184</f>
        <v>1</v>
      </c>
      <c r="BD184" s="5">
        <f>deaths!BD184-deaths!BC184</f>
        <v>3</v>
      </c>
      <c r="BE184" s="5">
        <f>deaths!BE184-deaths!BD184</f>
        <v>3</v>
      </c>
      <c r="BF184" s="5">
        <f>deaths!BF184-deaths!BE184</f>
        <v>3</v>
      </c>
      <c r="BG184" s="5">
        <f>deaths!BG184-deaths!BF184</f>
        <v>1</v>
      </c>
      <c r="BH184" s="5">
        <f>deaths!BH184-deaths!BG184</f>
        <v>0</v>
      </c>
      <c r="BI184" s="5">
        <f>deaths!BI184-deaths!BH184</f>
        <v>7</v>
      </c>
      <c r="BJ184" s="5">
        <f>deaths!BJ184-deaths!BI184</f>
        <v>-2</v>
      </c>
      <c r="BK184" s="5">
        <f>deaths!BK184-deaths!BJ184</f>
        <v>1</v>
      </c>
      <c r="BL184" s="5">
        <f>deaths!BL184-deaths!BK184</f>
        <v>1</v>
      </c>
      <c r="BM184" s="5">
        <f>deaths!BM184-deaths!BL184</f>
        <v>6</v>
      </c>
      <c r="BN184" s="5">
        <f>deaths!BN184-deaths!BM184</f>
        <v>8</v>
      </c>
      <c r="BO184" s="5">
        <f>deaths!BO184-deaths!BN184</f>
        <v>2</v>
      </c>
      <c r="BP184" s="5">
        <f>deaths!BP184-deaths!BO184</f>
        <v>3</v>
      </c>
      <c r="BQ184" s="5">
        <f>deaths!BQ184-deaths!BP184</f>
        <v>7</v>
      </c>
      <c r="BR184" s="5">
        <f>deaths!BR184-deaths!BQ184</f>
        <v>9</v>
      </c>
      <c r="BS184" s="5">
        <f>deaths!BS184-deaths!BR184</f>
        <v>14</v>
      </c>
      <c r="BT184" s="5">
        <f>deaths!BT184-deaths!BS184</f>
        <v>3</v>
      </c>
      <c r="BU184" s="5">
        <f>deaths!BU184-deaths!BT184</f>
        <v>7</v>
      </c>
      <c r="BV184" s="5">
        <f>deaths!BV184-deaths!BU184</f>
        <v>10</v>
      </c>
      <c r="BW184" s="5">
        <f>deaths!BW184-deaths!BV184</f>
        <v>8</v>
      </c>
      <c r="BX184" s="5">
        <f>deaths!BX184-deaths!BW184</f>
        <v>11</v>
      </c>
      <c r="BY184" s="5">
        <f>deaths!BY184-deaths!BX184</f>
        <v>29</v>
      </c>
      <c r="BZ184" s="1">
        <f>deaths!BZ184</f>
        <v>144</v>
      </c>
      <c r="CA184" s="1">
        <f>deaths!CA184</f>
        <v>152</v>
      </c>
      <c r="CB184" s="1">
        <f>deaths!CB184</f>
        <v>163</v>
      </c>
      <c r="CC184" s="1" t="str">
        <f>deaths!CC184</f>
        <v/>
      </c>
    </row>
    <row r="185">
      <c r="B185" s="1" t="str">
        <f>deaths!B185</f>
        <v>Poland</v>
      </c>
      <c r="C185" s="4">
        <f>deaths!C185</f>
        <v>51.9194</v>
      </c>
      <c r="D185" s="4">
        <f>deaths!D185</f>
        <v>19.1451</v>
      </c>
      <c r="E185" s="5">
        <f>deaths!E185</f>
        <v>0</v>
      </c>
      <c r="F185" s="5">
        <f>deaths!F185-deaths!E185</f>
        <v>0</v>
      </c>
      <c r="G185" s="5">
        <f>deaths!G185-deaths!F185</f>
        <v>0</v>
      </c>
      <c r="H185" s="5">
        <f>deaths!H185-deaths!G185</f>
        <v>0</v>
      </c>
      <c r="I185" s="5">
        <f>deaths!I185-deaths!H185</f>
        <v>0</v>
      </c>
      <c r="J185" s="5">
        <f>deaths!J185-deaths!I185</f>
        <v>0</v>
      </c>
      <c r="K185" s="5">
        <f>deaths!K185-deaths!J185</f>
        <v>0</v>
      </c>
      <c r="L185" s="5">
        <f>deaths!L185-deaths!K185</f>
        <v>0</v>
      </c>
      <c r="M185" s="5">
        <f>deaths!M185-deaths!L185</f>
        <v>0</v>
      </c>
      <c r="N185" s="5">
        <f>deaths!N185-deaths!M185</f>
        <v>0</v>
      </c>
      <c r="O185" s="5">
        <f>deaths!O185-deaths!N185</f>
        <v>0</v>
      </c>
      <c r="P185" s="5">
        <f>deaths!P185-deaths!O185</f>
        <v>0</v>
      </c>
      <c r="Q185" s="5">
        <f>deaths!Q185-deaths!P185</f>
        <v>0</v>
      </c>
      <c r="R185" s="5">
        <f>deaths!R185-deaths!Q185</f>
        <v>0</v>
      </c>
      <c r="S185" s="5">
        <f>deaths!S185-deaths!R185</f>
        <v>0</v>
      </c>
      <c r="T185" s="5">
        <f>deaths!T185-deaths!S185</f>
        <v>0</v>
      </c>
      <c r="U185" s="5">
        <f>deaths!U185-deaths!T185</f>
        <v>0</v>
      </c>
      <c r="V185" s="5">
        <f>deaths!V185-deaths!U185</f>
        <v>0</v>
      </c>
      <c r="W185" s="5">
        <f>deaths!W185-deaths!V185</f>
        <v>0</v>
      </c>
      <c r="X185" s="5">
        <f>deaths!X185-deaths!W185</f>
        <v>0</v>
      </c>
      <c r="Y185" s="5">
        <f>deaths!Y185-deaths!X185</f>
        <v>0</v>
      </c>
      <c r="Z185" s="5">
        <f>deaths!Z185-deaths!Y185</f>
        <v>0</v>
      </c>
      <c r="AA185" s="5">
        <f>deaths!AA185-deaths!Z185</f>
        <v>0</v>
      </c>
      <c r="AB185" s="5">
        <f>deaths!AB185-deaths!AA185</f>
        <v>0</v>
      </c>
      <c r="AC185" s="5">
        <f>deaths!AC185-deaths!AB185</f>
        <v>0</v>
      </c>
      <c r="AD185" s="5">
        <f>deaths!AD185-deaths!AC185</f>
        <v>0</v>
      </c>
      <c r="AE185" s="5">
        <f>deaths!AE185-deaths!AD185</f>
        <v>0</v>
      </c>
      <c r="AF185" s="5">
        <f>deaths!AF185-deaths!AE185</f>
        <v>0</v>
      </c>
      <c r="AG185" s="5">
        <f>deaths!AG185-deaths!AF185</f>
        <v>0</v>
      </c>
      <c r="AH185" s="5">
        <f>deaths!AH185-deaths!AG185</f>
        <v>0</v>
      </c>
      <c r="AI185" s="5">
        <f>deaths!AI185-deaths!AH185</f>
        <v>0</v>
      </c>
      <c r="AJ185" s="5">
        <f>deaths!AJ185-deaths!AI185</f>
        <v>0</v>
      </c>
      <c r="AK185" s="5">
        <f>deaths!AK185-deaths!AJ185</f>
        <v>0</v>
      </c>
      <c r="AL185" s="5">
        <f>deaths!AL185-deaths!AK185</f>
        <v>0</v>
      </c>
      <c r="AM185" s="5">
        <f>deaths!AM185-deaths!AL185</f>
        <v>0</v>
      </c>
      <c r="AN185" s="5">
        <f>deaths!AN185-deaths!AM185</f>
        <v>0</v>
      </c>
      <c r="AO185" s="5">
        <f>deaths!AO185-deaths!AN185</f>
        <v>0</v>
      </c>
      <c r="AP185" s="5">
        <f>deaths!AP185-deaths!AO185</f>
        <v>0</v>
      </c>
      <c r="AQ185" s="5">
        <f>deaths!AQ185-deaths!AP185</f>
        <v>0</v>
      </c>
      <c r="AR185" s="5">
        <f>deaths!AR185-deaths!AQ185</f>
        <v>0</v>
      </c>
      <c r="AS185" s="5">
        <f>deaths!AS185-deaths!AR185</f>
        <v>0</v>
      </c>
      <c r="AT185" s="5">
        <f>deaths!AT185-deaths!AS185</f>
        <v>0</v>
      </c>
      <c r="AU185" s="5">
        <f>deaths!AU185-deaths!AT185</f>
        <v>0</v>
      </c>
      <c r="AV185" s="5">
        <f>deaths!AV185-deaths!AU185</f>
        <v>0</v>
      </c>
      <c r="AW185" s="5">
        <f>deaths!AW185-deaths!AV185</f>
        <v>0</v>
      </c>
      <c r="AX185" s="5">
        <f>deaths!AX185-deaths!AW185</f>
        <v>0</v>
      </c>
      <c r="AY185" s="5">
        <f>deaths!AY185-deaths!AX185</f>
        <v>0</v>
      </c>
      <c r="AZ185" s="5">
        <f>deaths!AZ185-deaths!AY185</f>
        <v>0</v>
      </c>
      <c r="BA185" s="5">
        <f>deaths!BA185-deaths!AZ185</f>
        <v>0</v>
      </c>
      <c r="BB185" s="5">
        <f>deaths!BB185-deaths!BA185</f>
        <v>0</v>
      </c>
      <c r="BC185" s="5">
        <f>deaths!BC185-deaths!BB185</f>
        <v>1</v>
      </c>
      <c r="BD185" s="5">
        <f>deaths!BD185-deaths!BC185</f>
        <v>1</v>
      </c>
      <c r="BE185" s="5">
        <f>deaths!BE185-deaths!BD185</f>
        <v>1</v>
      </c>
      <c r="BF185" s="5">
        <f>deaths!BF185-deaths!BE185</f>
        <v>0</v>
      </c>
      <c r="BG185" s="5">
        <f>deaths!BG185-deaths!BF185</f>
        <v>1</v>
      </c>
      <c r="BH185" s="5">
        <f>deaths!BH185-deaths!BG185</f>
        <v>1</v>
      </c>
      <c r="BI185" s="5">
        <f>deaths!BI185-deaths!BH185</f>
        <v>0</v>
      </c>
      <c r="BJ185" s="5">
        <f>deaths!BJ185-deaths!BI185</f>
        <v>0</v>
      </c>
      <c r="BK185" s="5">
        <f>deaths!BK185-deaths!BJ185</f>
        <v>0</v>
      </c>
      <c r="BL185" s="5">
        <f>deaths!BL185-deaths!BK185</f>
        <v>0</v>
      </c>
      <c r="BM185" s="5">
        <f>deaths!BM185-deaths!BL185</f>
        <v>2</v>
      </c>
      <c r="BN185" s="5">
        <f>deaths!BN185-deaths!BM185</f>
        <v>1</v>
      </c>
      <c r="BO185" s="5">
        <f>deaths!BO185-deaths!BN185</f>
        <v>2</v>
      </c>
      <c r="BP185" s="5">
        <f>deaths!BP185-deaths!BO185</f>
        <v>4</v>
      </c>
      <c r="BQ185" s="5">
        <f>deaths!BQ185-deaths!BP185</f>
        <v>2</v>
      </c>
      <c r="BR185" s="5">
        <f>deaths!BR185-deaths!BQ185</f>
        <v>0</v>
      </c>
      <c r="BS185" s="5">
        <f>deaths!BS185-deaths!BR185</f>
        <v>2</v>
      </c>
      <c r="BT185" s="5">
        <f>deaths!BT185-deaths!BS185</f>
        <v>4</v>
      </c>
      <c r="BU185" s="5">
        <f>deaths!BU185-deaths!BT185</f>
        <v>9</v>
      </c>
      <c r="BV185" s="5">
        <f>deaths!BV185-deaths!BU185</f>
        <v>2</v>
      </c>
      <c r="BW185" s="5">
        <f>deaths!BW185-deaths!BV185</f>
        <v>10</v>
      </c>
      <c r="BX185" s="5">
        <f>deaths!BX185-deaths!BW185</f>
        <v>14</v>
      </c>
      <c r="BY185" s="5">
        <f>deaths!BY185-deaths!BX185</f>
        <v>14</v>
      </c>
      <c r="BZ185" s="1">
        <f>deaths!BZ185</f>
        <v>79</v>
      </c>
      <c r="CA185" s="1">
        <f>deaths!CA185</f>
        <v>94</v>
      </c>
      <c r="CB185" s="1">
        <f>deaths!CB185</f>
        <v>107</v>
      </c>
      <c r="CC185" s="1" t="str">
        <f>deaths!CC185</f>
        <v/>
      </c>
    </row>
    <row r="186">
      <c r="B186" s="1" t="str">
        <f>deaths!B186</f>
        <v>Portugal</v>
      </c>
      <c r="C186" s="4">
        <f>deaths!C186</f>
        <v>39.3999</v>
      </c>
      <c r="D186" s="4">
        <f>deaths!D186</f>
        <v>-8.2245</v>
      </c>
      <c r="E186" s="5">
        <f>deaths!E186</f>
        <v>0</v>
      </c>
      <c r="F186" s="5">
        <f>deaths!F186-deaths!E186</f>
        <v>0</v>
      </c>
      <c r="G186" s="5">
        <f>deaths!G186-deaths!F186</f>
        <v>0</v>
      </c>
      <c r="H186" s="5">
        <f>deaths!H186-deaths!G186</f>
        <v>0</v>
      </c>
      <c r="I186" s="5">
        <f>deaths!I186-deaths!H186</f>
        <v>0</v>
      </c>
      <c r="J186" s="5">
        <f>deaths!J186-deaths!I186</f>
        <v>0</v>
      </c>
      <c r="K186" s="5">
        <f>deaths!K186-deaths!J186</f>
        <v>0</v>
      </c>
      <c r="L186" s="5">
        <f>deaths!L186-deaths!K186</f>
        <v>0</v>
      </c>
      <c r="M186" s="5">
        <f>deaths!M186-deaths!L186</f>
        <v>0</v>
      </c>
      <c r="N186" s="5">
        <f>deaths!N186-deaths!M186</f>
        <v>0</v>
      </c>
      <c r="O186" s="5">
        <f>deaths!O186-deaths!N186</f>
        <v>0</v>
      </c>
      <c r="P186" s="5">
        <f>deaths!P186-deaths!O186</f>
        <v>0</v>
      </c>
      <c r="Q186" s="5">
        <f>deaths!Q186-deaths!P186</f>
        <v>0</v>
      </c>
      <c r="R186" s="5">
        <f>deaths!R186-deaths!Q186</f>
        <v>0</v>
      </c>
      <c r="S186" s="5">
        <f>deaths!S186-deaths!R186</f>
        <v>0</v>
      </c>
      <c r="T186" s="5">
        <f>deaths!T186-deaths!S186</f>
        <v>0</v>
      </c>
      <c r="U186" s="5">
        <f>deaths!U186-deaths!T186</f>
        <v>0</v>
      </c>
      <c r="V186" s="5">
        <f>deaths!V186-deaths!U186</f>
        <v>0</v>
      </c>
      <c r="W186" s="5">
        <f>deaths!W186-deaths!V186</f>
        <v>0</v>
      </c>
      <c r="X186" s="5">
        <f>deaths!X186-deaths!W186</f>
        <v>0</v>
      </c>
      <c r="Y186" s="5">
        <f>deaths!Y186-deaths!X186</f>
        <v>0</v>
      </c>
      <c r="Z186" s="5">
        <f>deaths!Z186-deaths!Y186</f>
        <v>0</v>
      </c>
      <c r="AA186" s="5">
        <f>deaths!AA186-deaths!Z186</f>
        <v>0</v>
      </c>
      <c r="AB186" s="5">
        <f>deaths!AB186-deaths!AA186</f>
        <v>0</v>
      </c>
      <c r="AC186" s="5">
        <f>deaths!AC186-deaths!AB186</f>
        <v>0</v>
      </c>
      <c r="AD186" s="5">
        <f>deaths!AD186-deaths!AC186</f>
        <v>0</v>
      </c>
      <c r="AE186" s="5">
        <f>deaths!AE186-deaths!AD186</f>
        <v>0</v>
      </c>
      <c r="AF186" s="5">
        <f>deaths!AF186-deaths!AE186</f>
        <v>0</v>
      </c>
      <c r="AG186" s="5">
        <f>deaths!AG186-deaths!AF186</f>
        <v>0</v>
      </c>
      <c r="AH186" s="5">
        <f>deaths!AH186-deaths!AG186</f>
        <v>0</v>
      </c>
      <c r="AI186" s="5">
        <f>deaths!AI186-deaths!AH186</f>
        <v>0</v>
      </c>
      <c r="AJ186" s="5">
        <f>deaths!AJ186-deaths!AI186</f>
        <v>0</v>
      </c>
      <c r="AK186" s="5">
        <f>deaths!AK186-deaths!AJ186</f>
        <v>0</v>
      </c>
      <c r="AL186" s="5">
        <f>deaths!AL186-deaths!AK186</f>
        <v>0</v>
      </c>
      <c r="AM186" s="5">
        <f>deaths!AM186-deaths!AL186</f>
        <v>0</v>
      </c>
      <c r="AN186" s="5">
        <f>deaths!AN186-deaths!AM186</f>
        <v>0</v>
      </c>
      <c r="AO186" s="5">
        <f>deaths!AO186-deaths!AN186</f>
        <v>0</v>
      </c>
      <c r="AP186" s="5">
        <f>deaths!AP186-deaths!AO186</f>
        <v>0</v>
      </c>
      <c r="AQ186" s="5">
        <f>deaths!AQ186-deaths!AP186</f>
        <v>0</v>
      </c>
      <c r="AR186" s="5">
        <f>deaths!AR186-deaths!AQ186</f>
        <v>0</v>
      </c>
      <c r="AS186" s="5">
        <f>deaths!AS186-deaths!AR186</f>
        <v>0</v>
      </c>
      <c r="AT186" s="5">
        <f>deaths!AT186-deaths!AS186</f>
        <v>0</v>
      </c>
      <c r="AU186" s="5">
        <f>deaths!AU186-deaths!AT186</f>
        <v>0</v>
      </c>
      <c r="AV186" s="5">
        <f>deaths!AV186-deaths!AU186</f>
        <v>0</v>
      </c>
      <c r="AW186" s="5">
        <f>deaths!AW186-deaths!AV186</f>
        <v>0</v>
      </c>
      <c r="AX186" s="5">
        <f>deaths!AX186-deaths!AW186</f>
        <v>0</v>
      </c>
      <c r="AY186" s="5">
        <f>deaths!AY186-deaths!AX186</f>
        <v>0</v>
      </c>
      <c r="AZ186" s="5">
        <f>deaths!AZ186-deaths!AY186</f>
        <v>0</v>
      </c>
      <c r="BA186" s="5">
        <f>deaths!BA186-deaths!AZ186</f>
        <v>0</v>
      </c>
      <c r="BB186" s="5">
        <f>deaths!BB186-deaths!BA186</f>
        <v>0</v>
      </c>
      <c r="BC186" s="5">
        <f>deaths!BC186-deaths!BB186</f>
        <v>0</v>
      </c>
      <c r="BD186" s="5">
        <f>deaths!BD186-deaths!BC186</f>
        <v>0</v>
      </c>
      <c r="BE186" s="5">
        <f>deaths!BE186-deaths!BD186</f>
        <v>0</v>
      </c>
      <c r="BF186" s="5">
        <f>deaths!BF186-deaths!BE186</f>
        <v>0</v>
      </c>
      <c r="BG186" s="5">
        <f>deaths!BG186-deaths!BF186</f>
        <v>0</v>
      </c>
      <c r="BH186" s="5">
        <f>deaths!BH186-deaths!BG186</f>
        <v>1</v>
      </c>
      <c r="BI186" s="5">
        <f>deaths!BI186-deaths!BH186</f>
        <v>1</v>
      </c>
      <c r="BJ186" s="5">
        <f>deaths!BJ186-deaths!BI186</f>
        <v>1</v>
      </c>
      <c r="BK186" s="5">
        <f>deaths!BK186-deaths!BJ186</f>
        <v>3</v>
      </c>
      <c r="BL186" s="5">
        <f>deaths!BL186-deaths!BK186</f>
        <v>6</v>
      </c>
      <c r="BM186" s="5">
        <f>deaths!BM186-deaths!BL186</f>
        <v>2</v>
      </c>
      <c r="BN186" s="5">
        <f>deaths!BN186-deaths!BM186</f>
        <v>9</v>
      </c>
      <c r="BO186" s="5">
        <f>deaths!BO186-deaths!BN186</f>
        <v>10</v>
      </c>
      <c r="BP186" s="5">
        <f>deaths!BP186-deaths!BO186</f>
        <v>10</v>
      </c>
      <c r="BQ186" s="5">
        <f>deaths!BQ186-deaths!BP186</f>
        <v>17</v>
      </c>
      <c r="BR186" s="5">
        <f>deaths!BR186-deaths!BQ186</f>
        <v>16</v>
      </c>
      <c r="BS186" s="5">
        <f>deaths!BS186-deaths!BR186</f>
        <v>24</v>
      </c>
      <c r="BT186" s="5">
        <f>deaths!BT186-deaths!BS186</f>
        <v>19</v>
      </c>
      <c r="BU186" s="5">
        <f>deaths!BU186-deaths!BT186</f>
        <v>21</v>
      </c>
      <c r="BV186" s="5">
        <f>deaths!BV186-deaths!BU186</f>
        <v>20</v>
      </c>
      <c r="BW186" s="5">
        <f>deaths!BW186-deaths!BV186</f>
        <v>27</v>
      </c>
      <c r="BX186" s="5">
        <f>deaths!BX186-deaths!BW186</f>
        <v>22</v>
      </c>
      <c r="BY186" s="5">
        <f>deaths!BY186-deaths!BX186</f>
        <v>37</v>
      </c>
      <c r="BZ186" s="1">
        <f>deaths!BZ186</f>
        <v>266</v>
      </c>
      <c r="CA186" s="1">
        <f>deaths!CA186</f>
        <v>295</v>
      </c>
      <c r="CB186" s="1">
        <f>deaths!CB186</f>
        <v>311</v>
      </c>
      <c r="CC186" s="1" t="str">
        <f>deaths!CC186</f>
        <v/>
      </c>
    </row>
    <row r="187">
      <c r="B187" s="1" t="str">
        <f>deaths!B187</f>
        <v>Qatar</v>
      </c>
      <c r="C187" s="4">
        <f>deaths!C187</f>
        <v>25.3548</v>
      </c>
      <c r="D187" s="4">
        <f>deaths!D187</f>
        <v>51.1839</v>
      </c>
      <c r="E187" s="5">
        <f>deaths!E187</f>
        <v>0</v>
      </c>
      <c r="F187" s="5">
        <f>deaths!F187-deaths!E187</f>
        <v>0</v>
      </c>
      <c r="G187" s="5">
        <f>deaths!G187-deaths!F187</f>
        <v>0</v>
      </c>
      <c r="H187" s="5">
        <f>deaths!H187-deaths!G187</f>
        <v>0</v>
      </c>
      <c r="I187" s="5">
        <f>deaths!I187-deaths!H187</f>
        <v>0</v>
      </c>
      <c r="J187" s="5">
        <f>deaths!J187-deaths!I187</f>
        <v>0</v>
      </c>
      <c r="K187" s="5">
        <f>deaths!K187-deaths!J187</f>
        <v>0</v>
      </c>
      <c r="L187" s="5">
        <f>deaths!L187-deaths!K187</f>
        <v>0</v>
      </c>
      <c r="M187" s="5">
        <f>deaths!M187-deaths!L187</f>
        <v>0</v>
      </c>
      <c r="N187" s="5">
        <f>deaths!N187-deaths!M187</f>
        <v>0</v>
      </c>
      <c r="O187" s="5">
        <f>deaths!O187-deaths!N187</f>
        <v>0</v>
      </c>
      <c r="P187" s="5">
        <f>deaths!P187-deaths!O187</f>
        <v>0</v>
      </c>
      <c r="Q187" s="5">
        <f>deaths!Q187-deaths!P187</f>
        <v>0</v>
      </c>
      <c r="R187" s="5">
        <f>deaths!R187-deaths!Q187</f>
        <v>0</v>
      </c>
      <c r="S187" s="5">
        <f>deaths!S187-deaths!R187</f>
        <v>0</v>
      </c>
      <c r="T187" s="5">
        <f>deaths!T187-deaths!S187</f>
        <v>0</v>
      </c>
      <c r="U187" s="5">
        <f>deaths!U187-deaths!T187</f>
        <v>0</v>
      </c>
      <c r="V187" s="5">
        <f>deaths!V187-deaths!U187</f>
        <v>0</v>
      </c>
      <c r="W187" s="5">
        <f>deaths!W187-deaths!V187</f>
        <v>0</v>
      </c>
      <c r="X187" s="5">
        <f>deaths!X187-deaths!W187</f>
        <v>0</v>
      </c>
      <c r="Y187" s="5">
        <f>deaths!Y187-deaths!X187</f>
        <v>0</v>
      </c>
      <c r="Z187" s="5">
        <f>deaths!Z187-deaths!Y187</f>
        <v>0</v>
      </c>
      <c r="AA187" s="5">
        <f>deaths!AA187-deaths!Z187</f>
        <v>0</v>
      </c>
      <c r="AB187" s="5">
        <f>deaths!AB187-deaths!AA187</f>
        <v>0</v>
      </c>
      <c r="AC187" s="5">
        <f>deaths!AC187-deaths!AB187</f>
        <v>0</v>
      </c>
      <c r="AD187" s="5">
        <f>deaths!AD187-deaths!AC187</f>
        <v>0</v>
      </c>
      <c r="AE187" s="5">
        <f>deaths!AE187-deaths!AD187</f>
        <v>0</v>
      </c>
      <c r="AF187" s="5">
        <f>deaths!AF187-deaths!AE187</f>
        <v>0</v>
      </c>
      <c r="AG187" s="5">
        <f>deaths!AG187-deaths!AF187</f>
        <v>0</v>
      </c>
      <c r="AH187" s="5">
        <f>deaths!AH187-deaths!AG187</f>
        <v>0</v>
      </c>
      <c r="AI187" s="5">
        <f>deaths!AI187-deaths!AH187</f>
        <v>0</v>
      </c>
      <c r="AJ187" s="5">
        <f>deaths!AJ187-deaths!AI187</f>
        <v>0</v>
      </c>
      <c r="AK187" s="5">
        <f>deaths!AK187-deaths!AJ187</f>
        <v>0</v>
      </c>
      <c r="AL187" s="5">
        <f>deaths!AL187-deaths!AK187</f>
        <v>0</v>
      </c>
      <c r="AM187" s="5">
        <f>deaths!AM187-deaths!AL187</f>
        <v>0</v>
      </c>
      <c r="AN187" s="5">
        <f>deaths!AN187-deaths!AM187</f>
        <v>0</v>
      </c>
      <c r="AO187" s="5">
        <f>deaths!AO187-deaths!AN187</f>
        <v>0</v>
      </c>
      <c r="AP187" s="5">
        <f>deaths!AP187-deaths!AO187</f>
        <v>0</v>
      </c>
      <c r="AQ187" s="5">
        <f>deaths!AQ187-deaths!AP187</f>
        <v>0</v>
      </c>
      <c r="AR187" s="5">
        <f>deaths!AR187-deaths!AQ187</f>
        <v>0</v>
      </c>
      <c r="AS187" s="5">
        <f>deaths!AS187-deaths!AR187</f>
        <v>0</v>
      </c>
      <c r="AT187" s="5">
        <f>deaths!AT187-deaths!AS187</f>
        <v>0</v>
      </c>
      <c r="AU187" s="5">
        <f>deaths!AU187-deaths!AT187</f>
        <v>0</v>
      </c>
      <c r="AV187" s="5">
        <f>deaths!AV187-deaths!AU187</f>
        <v>0</v>
      </c>
      <c r="AW187" s="5">
        <f>deaths!AW187-deaths!AV187</f>
        <v>0</v>
      </c>
      <c r="AX187" s="5">
        <f>deaths!AX187-deaths!AW187</f>
        <v>0</v>
      </c>
      <c r="AY187" s="5">
        <f>deaths!AY187-deaths!AX187</f>
        <v>0</v>
      </c>
      <c r="AZ187" s="5">
        <f>deaths!AZ187-deaths!AY187</f>
        <v>0</v>
      </c>
      <c r="BA187" s="5">
        <f>deaths!BA187-deaths!AZ187</f>
        <v>0</v>
      </c>
      <c r="BB187" s="5">
        <f>deaths!BB187-deaths!BA187</f>
        <v>0</v>
      </c>
      <c r="BC187" s="5">
        <f>deaths!BC187-deaths!BB187</f>
        <v>0</v>
      </c>
      <c r="BD187" s="5">
        <f>deaths!BD187-deaths!BC187</f>
        <v>0</v>
      </c>
      <c r="BE187" s="5">
        <f>deaths!BE187-deaths!BD187</f>
        <v>0</v>
      </c>
      <c r="BF187" s="5">
        <f>deaths!BF187-deaths!BE187</f>
        <v>0</v>
      </c>
      <c r="BG187" s="5">
        <f>deaths!BG187-deaths!BF187</f>
        <v>0</v>
      </c>
      <c r="BH187" s="5">
        <f>deaths!BH187-deaths!BG187</f>
        <v>0</v>
      </c>
      <c r="BI187" s="5">
        <f>deaths!BI187-deaths!BH187</f>
        <v>0</v>
      </c>
      <c r="BJ187" s="5">
        <f>deaths!BJ187-deaths!BI187</f>
        <v>0</v>
      </c>
      <c r="BK187" s="5">
        <f>deaths!BK187-deaths!BJ187</f>
        <v>0</v>
      </c>
      <c r="BL187" s="5">
        <f>deaths!BL187-deaths!BK187</f>
        <v>0</v>
      </c>
      <c r="BM187" s="5">
        <f>deaths!BM187-deaths!BL187</f>
        <v>0</v>
      </c>
      <c r="BN187" s="5">
        <f>deaths!BN187-deaths!BM187</f>
        <v>0</v>
      </c>
      <c r="BO187" s="5">
        <f>deaths!BO187-deaths!BN187</f>
        <v>0</v>
      </c>
      <c r="BP187" s="5">
        <f>deaths!BP187-deaths!BO187</f>
        <v>0</v>
      </c>
      <c r="BQ187" s="5">
        <f>deaths!BQ187-deaths!BP187</f>
        <v>0</v>
      </c>
      <c r="BR187" s="5">
        <f>deaths!BR187-deaths!BQ187</f>
        <v>0</v>
      </c>
      <c r="BS187" s="5">
        <f>deaths!BS187-deaths!BR187</f>
        <v>1</v>
      </c>
      <c r="BT187" s="5">
        <f>deaths!BT187-deaths!BS187</f>
        <v>0</v>
      </c>
      <c r="BU187" s="5">
        <f>deaths!BU187-deaths!BT187</f>
        <v>0</v>
      </c>
      <c r="BV187" s="5">
        <f>deaths!BV187-deaths!BU187</f>
        <v>1</v>
      </c>
      <c r="BW187" s="5">
        <f>deaths!BW187-deaths!BV187</f>
        <v>0</v>
      </c>
      <c r="BX187" s="5">
        <f>deaths!BX187-deaths!BW187</f>
        <v>1</v>
      </c>
      <c r="BY187" s="5">
        <f>deaths!BY187-deaths!BX187</f>
        <v>0</v>
      </c>
      <c r="BZ187" s="1">
        <f>deaths!BZ187</f>
        <v>3</v>
      </c>
      <c r="CA187" s="1">
        <f>deaths!CA187</f>
        <v>4</v>
      </c>
      <c r="CB187" s="1">
        <f>deaths!CB187</f>
        <v>4</v>
      </c>
      <c r="CC187" s="1" t="str">
        <f>deaths!CC187</f>
        <v/>
      </c>
    </row>
    <row r="188">
      <c r="B188" s="1" t="str">
        <f>deaths!B188</f>
        <v>Romania</v>
      </c>
      <c r="C188" s="4">
        <f>deaths!C188</f>
        <v>45.9432</v>
      </c>
      <c r="D188" s="4">
        <f>deaths!D188</f>
        <v>24.9668</v>
      </c>
      <c r="E188" s="5">
        <f>deaths!E188</f>
        <v>0</v>
      </c>
      <c r="F188" s="5">
        <f>deaths!F188-deaths!E188</f>
        <v>0</v>
      </c>
      <c r="G188" s="5">
        <f>deaths!G188-deaths!F188</f>
        <v>0</v>
      </c>
      <c r="H188" s="5">
        <f>deaths!H188-deaths!G188</f>
        <v>0</v>
      </c>
      <c r="I188" s="5">
        <f>deaths!I188-deaths!H188</f>
        <v>0</v>
      </c>
      <c r="J188" s="5">
        <f>deaths!J188-deaths!I188</f>
        <v>0</v>
      </c>
      <c r="K188" s="5">
        <f>deaths!K188-deaths!J188</f>
        <v>0</v>
      </c>
      <c r="L188" s="5">
        <f>deaths!L188-deaths!K188</f>
        <v>0</v>
      </c>
      <c r="M188" s="5">
        <f>deaths!M188-deaths!L188</f>
        <v>0</v>
      </c>
      <c r="N188" s="5">
        <f>deaths!N188-deaths!M188</f>
        <v>0</v>
      </c>
      <c r="O188" s="5">
        <f>deaths!O188-deaths!N188</f>
        <v>0</v>
      </c>
      <c r="P188" s="5">
        <f>deaths!P188-deaths!O188</f>
        <v>0</v>
      </c>
      <c r="Q188" s="5">
        <f>deaths!Q188-deaths!P188</f>
        <v>0</v>
      </c>
      <c r="R188" s="5">
        <f>deaths!R188-deaths!Q188</f>
        <v>0</v>
      </c>
      <c r="S188" s="5">
        <f>deaths!S188-deaths!R188</f>
        <v>0</v>
      </c>
      <c r="T188" s="5">
        <f>deaths!T188-deaths!S188</f>
        <v>0</v>
      </c>
      <c r="U188" s="5">
        <f>deaths!U188-deaths!T188</f>
        <v>0</v>
      </c>
      <c r="V188" s="5">
        <f>deaths!V188-deaths!U188</f>
        <v>0</v>
      </c>
      <c r="W188" s="5">
        <f>deaths!W188-deaths!V188</f>
        <v>0</v>
      </c>
      <c r="X188" s="5">
        <f>deaths!X188-deaths!W188</f>
        <v>0</v>
      </c>
      <c r="Y188" s="5">
        <f>deaths!Y188-deaths!X188</f>
        <v>0</v>
      </c>
      <c r="Z188" s="5">
        <f>deaths!Z188-deaths!Y188</f>
        <v>0</v>
      </c>
      <c r="AA188" s="5">
        <f>deaths!AA188-deaths!Z188</f>
        <v>0</v>
      </c>
      <c r="AB188" s="5">
        <f>deaths!AB188-deaths!AA188</f>
        <v>0</v>
      </c>
      <c r="AC188" s="5">
        <f>deaths!AC188-deaths!AB188</f>
        <v>0</v>
      </c>
      <c r="AD188" s="5">
        <f>deaths!AD188-deaths!AC188</f>
        <v>0</v>
      </c>
      <c r="AE188" s="5">
        <f>deaths!AE188-deaths!AD188</f>
        <v>0</v>
      </c>
      <c r="AF188" s="5">
        <f>deaths!AF188-deaths!AE188</f>
        <v>0</v>
      </c>
      <c r="AG188" s="5">
        <f>deaths!AG188-deaths!AF188</f>
        <v>0</v>
      </c>
      <c r="AH188" s="5">
        <f>deaths!AH188-deaths!AG188</f>
        <v>0</v>
      </c>
      <c r="AI188" s="5">
        <f>deaths!AI188-deaths!AH188</f>
        <v>0</v>
      </c>
      <c r="AJ188" s="5">
        <f>deaths!AJ188-deaths!AI188</f>
        <v>0</v>
      </c>
      <c r="AK188" s="5">
        <f>deaths!AK188-deaths!AJ188</f>
        <v>0</v>
      </c>
      <c r="AL188" s="5">
        <f>deaths!AL188-deaths!AK188</f>
        <v>0</v>
      </c>
      <c r="AM188" s="5">
        <f>deaths!AM188-deaths!AL188</f>
        <v>0</v>
      </c>
      <c r="AN188" s="5">
        <f>deaths!AN188-deaths!AM188</f>
        <v>0</v>
      </c>
      <c r="AO188" s="5">
        <f>deaths!AO188-deaths!AN188</f>
        <v>0</v>
      </c>
      <c r="AP188" s="5">
        <f>deaths!AP188-deaths!AO188</f>
        <v>0</v>
      </c>
      <c r="AQ188" s="5">
        <f>deaths!AQ188-deaths!AP188</f>
        <v>0</v>
      </c>
      <c r="AR188" s="5">
        <f>deaths!AR188-deaths!AQ188</f>
        <v>0</v>
      </c>
      <c r="AS188" s="5">
        <f>deaths!AS188-deaths!AR188</f>
        <v>0</v>
      </c>
      <c r="AT188" s="5">
        <f>deaths!AT188-deaths!AS188</f>
        <v>0</v>
      </c>
      <c r="AU188" s="5">
        <f>deaths!AU188-deaths!AT188</f>
        <v>0</v>
      </c>
      <c r="AV188" s="5">
        <f>deaths!AV188-deaths!AU188</f>
        <v>0</v>
      </c>
      <c r="AW188" s="5">
        <f>deaths!AW188-deaths!AV188</f>
        <v>0</v>
      </c>
      <c r="AX188" s="5">
        <f>deaths!AX188-deaths!AW188</f>
        <v>0</v>
      </c>
      <c r="AY188" s="5">
        <f>deaths!AY188-deaths!AX188</f>
        <v>0</v>
      </c>
      <c r="AZ188" s="5">
        <f>deaths!AZ188-deaths!AY188</f>
        <v>0</v>
      </c>
      <c r="BA188" s="5">
        <f>deaths!BA188-deaths!AZ188</f>
        <v>0</v>
      </c>
      <c r="BB188" s="5">
        <f>deaths!BB188-deaths!BA188</f>
        <v>0</v>
      </c>
      <c r="BC188" s="5">
        <f>deaths!BC188-deaths!BB188</f>
        <v>0</v>
      </c>
      <c r="BD188" s="5">
        <f>deaths!BD188-deaths!BC188</f>
        <v>0</v>
      </c>
      <c r="BE188" s="5">
        <f>deaths!BE188-deaths!BD188</f>
        <v>0</v>
      </c>
      <c r="BF188" s="5">
        <f>deaths!BF188-deaths!BE188</f>
        <v>0</v>
      </c>
      <c r="BG188" s="5">
        <f>deaths!BG188-deaths!BF188</f>
        <v>0</v>
      </c>
      <c r="BH188" s="5">
        <f>deaths!BH188-deaths!BG188</f>
        <v>0</v>
      </c>
      <c r="BI188" s="5">
        <f>deaths!BI188-deaths!BH188</f>
        <v>0</v>
      </c>
      <c r="BJ188" s="5">
        <f>deaths!BJ188-deaths!BI188</f>
        <v>0</v>
      </c>
      <c r="BK188" s="5">
        <f>deaths!BK188-deaths!BJ188</f>
        <v>0</v>
      </c>
      <c r="BL188" s="5">
        <f>deaths!BL188-deaths!BK188</f>
        <v>0</v>
      </c>
      <c r="BM188" s="5">
        <f>deaths!BM188-deaths!BL188</f>
        <v>3</v>
      </c>
      <c r="BN188" s="5">
        <f>deaths!BN188-deaths!BM188</f>
        <v>4</v>
      </c>
      <c r="BO188" s="5">
        <f>deaths!BO188-deaths!BN188</f>
        <v>4</v>
      </c>
      <c r="BP188" s="5">
        <f>deaths!BP188-deaths!BO188</f>
        <v>6</v>
      </c>
      <c r="BQ188" s="5">
        <f>deaths!BQ188-deaths!BP188</f>
        <v>6</v>
      </c>
      <c r="BR188" s="5">
        <f>deaths!BR188-deaths!BQ188</f>
        <v>3</v>
      </c>
      <c r="BS188" s="5">
        <f>deaths!BS188-deaths!BR188</f>
        <v>11</v>
      </c>
      <c r="BT188" s="5">
        <f>deaths!BT188-deaths!BS188</f>
        <v>6</v>
      </c>
      <c r="BU188" s="5">
        <f>deaths!BU188-deaths!BT188</f>
        <v>22</v>
      </c>
      <c r="BV188" s="5">
        <f>deaths!BV188-deaths!BU188</f>
        <v>17</v>
      </c>
      <c r="BW188" s="5">
        <f>deaths!BW188-deaths!BV188</f>
        <v>10</v>
      </c>
      <c r="BX188" s="5">
        <f>deaths!BX188-deaths!BW188</f>
        <v>23</v>
      </c>
      <c r="BY188" s="5">
        <f>deaths!BY188-deaths!BX188</f>
        <v>18</v>
      </c>
      <c r="BZ188" s="1">
        <f>deaths!BZ188</f>
        <v>146</v>
      </c>
      <c r="CA188" s="1">
        <f>deaths!CA188</f>
        <v>151</v>
      </c>
      <c r="CB188" s="1">
        <f>deaths!CB188</f>
        <v>176</v>
      </c>
      <c r="CC188" s="1" t="str">
        <f>deaths!CC188</f>
        <v/>
      </c>
    </row>
    <row r="189">
      <c r="B189" s="1" t="str">
        <f>deaths!B189</f>
        <v>Russia</v>
      </c>
      <c r="C189" s="4">
        <f>deaths!C189</f>
        <v>60</v>
      </c>
      <c r="D189" s="4">
        <f>deaths!D189</f>
        <v>90</v>
      </c>
      <c r="E189" s="5">
        <f>deaths!E189</f>
        <v>0</v>
      </c>
      <c r="F189" s="5">
        <f>deaths!F189-deaths!E189</f>
        <v>0</v>
      </c>
      <c r="G189" s="5">
        <f>deaths!G189-deaths!F189</f>
        <v>0</v>
      </c>
      <c r="H189" s="5">
        <f>deaths!H189-deaths!G189</f>
        <v>0</v>
      </c>
      <c r="I189" s="5">
        <f>deaths!I189-deaths!H189</f>
        <v>0</v>
      </c>
      <c r="J189" s="5">
        <f>deaths!J189-deaths!I189</f>
        <v>0</v>
      </c>
      <c r="K189" s="5">
        <f>deaths!K189-deaths!J189</f>
        <v>0</v>
      </c>
      <c r="L189" s="5">
        <f>deaths!L189-deaths!K189</f>
        <v>0</v>
      </c>
      <c r="M189" s="5">
        <f>deaths!M189-deaths!L189</f>
        <v>0</v>
      </c>
      <c r="N189" s="5">
        <f>deaths!N189-deaths!M189</f>
        <v>0</v>
      </c>
      <c r="O189" s="5">
        <f>deaths!O189-deaths!N189</f>
        <v>0</v>
      </c>
      <c r="P189" s="5">
        <f>deaths!P189-deaths!O189</f>
        <v>0</v>
      </c>
      <c r="Q189" s="5">
        <f>deaths!Q189-deaths!P189</f>
        <v>0</v>
      </c>
      <c r="R189" s="5">
        <f>deaths!R189-deaths!Q189</f>
        <v>0</v>
      </c>
      <c r="S189" s="5">
        <f>deaths!S189-deaths!R189</f>
        <v>0</v>
      </c>
      <c r="T189" s="5">
        <f>deaths!T189-deaths!S189</f>
        <v>0</v>
      </c>
      <c r="U189" s="5">
        <f>deaths!U189-deaths!T189</f>
        <v>0</v>
      </c>
      <c r="V189" s="5">
        <f>deaths!V189-deaths!U189</f>
        <v>0</v>
      </c>
      <c r="W189" s="5">
        <f>deaths!W189-deaths!V189</f>
        <v>0</v>
      </c>
      <c r="X189" s="5">
        <f>deaths!X189-deaths!W189</f>
        <v>0</v>
      </c>
      <c r="Y189" s="5">
        <f>deaths!Y189-deaths!X189</f>
        <v>0</v>
      </c>
      <c r="Z189" s="5">
        <f>deaths!Z189-deaths!Y189</f>
        <v>0</v>
      </c>
      <c r="AA189" s="5">
        <f>deaths!AA189-deaths!Z189</f>
        <v>0</v>
      </c>
      <c r="AB189" s="5">
        <f>deaths!AB189-deaths!AA189</f>
        <v>0</v>
      </c>
      <c r="AC189" s="5">
        <f>deaths!AC189-deaths!AB189</f>
        <v>0</v>
      </c>
      <c r="AD189" s="5">
        <f>deaths!AD189-deaths!AC189</f>
        <v>0</v>
      </c>
      <c r="AE189" s="5">
        <f>deaths!AE189-deaths!AD189</f>
        <v>0</v>
      </c>
      <c r="AF189" s="5">
        <f>deaths!AF189-deaths!AE189</f>
        <v>0</v>
      </c>
      <c r="AG189" s="5">
        <f>deaths!AG189-deaths!AF189</f>
        <v>0</v>
      </c>
      <c r="AH189" s="5">
        <f>deaths!AH189-deaths!AG189</f>
        <v>0</v>
      </c>
      <c r="AI189" s="5">
        <f>deaths!AI189-deaths!AH189</f>
        <v>0</v>
      </c>
      <c r="AJ189" s="5">
        <f>deaths!AJ189-deaths!AI189</f>
        <v>0</v>
      </c>
      <c r="AK189" s="5">
        <f>deaths!AK189-deaths!AJ189</f>
        <v>0</v>
      </c>
      <c r="AL189" s="5">
        <f>deaths!AL189-deaths!AK189</f>
        <v>0</v>
      </c>
      <c r="AM189" s="5">
        <f>deaths!AM189-deaths!AL189</f>
        <v>0</v>
      </c>
      <c r="AN189" s="5">
        <f>deaths!AN189-deaths!AM189</f>
        <v>0</v>
      </c>
      <c r="AO189" s="5">
        <f>deaths!AO189-deaths!AN189</f>
        <v>0</v>
      </c>
      <c r="AP189" s="5">
        <f>deaths!AP189-deaths!AO189</f>
        <v>0</v>
      </c>
      <c r="AQ189" s="5">
        <f>deaths!AQ189-deaths!AP189</f>
        <v>0</v>
      </c>
      <c r="AR189" s="5">
        <f>deaths!AR189-deaths!AQ189</f>
        <v>0</v>
      </c>
      <c r="AS189" s="5">
        <f>deaths!AS189-deaths!AR189</f>
        <v>0</v>
      </c>
      <c r="AT189" s="5">
        <f>deaths!AT189-deaths!AS189</f>
        <v>0</v>
      </c>
      <c r="AU189" s="5">
        <f>deaths!AU189-deaths!AT189</f>
        <v>0</v>
      </c>
      <c r="AV189" s="5">
        <f>deaths!AV189-deaths!AU189</f>
        <v>0</v>
      </c>
      <c r="AW189" s="5">
        <f>deaths!AW189-deaths!AV189</f>
        <v>0</v>
      </c>
      <c r="AX189" s="5">
        <f>deaths!AX189-deaths!AW189</f>
        <v>0</v>
      </c>
      <c r="AY189" s="5">
        <f>deaths!AY189-deaths!AX189</f>
        <v>0</v>
      </c>
      <c r="AZ189" s="5">
        <f>deaths!AZ189-deaths!AY189</f>
        <v>0</v>
      </c>
      <c r="BA189" s="5">
        <f>deaths!BA189-deaths!AZ189</f>
        <v>0</v>
      </c>
      <c r="BB189" s="5">
        <f>deaths!BB189-deaths!BA189</f>
        <v>0</v>
      </c>
      <c r="BC189" s="5">
        <f>deaths!BC189-deaths!BB189</f>
        <v>0</v>
      </c>
      <c r="BD189" s="5">
        <f>deaths!BD189-deaths!BC189</f>
        <v>0</v>
      </c>
      <c r="BE189" s="5">
        <f>deaths!BE189-deaths!BD189</f>
        <v>0</v>
      </c>
      <c r="BF189" s="5">
        <f>deaths!BF189-deaths!BE189</f>
        <v>0</v>
      </c>
      <c r="BG189" s="5">
        <f>deaths!BG189-deaths!BF189</f>
        <v>0</v>
      </c>
      <c r="BH189" s="5">
        <f>deaths!BH189-deaths!BG189</f>
        <v>0</v>
      </c>
      <c r="BI189" s="5">
        <f>deaths!BI189-deaths!BH189</f>
        <v>0</v>
      </c>
      <c r="BJ189" s="5">
        <f>deaths!BJ189-deaths!BI189</f>
        <v>1</v>
      </c>
      <c r="BK189" s="5">
        <f>deaths!BK189-deaths!BJ189</f>
        <v>0</v>
      </c>
      <c r="BL189" s="5">
        <f>deaths!BL189-deaths!BK189</f>
        <v>0</v>
      </c>
      <c r="BM189" s="5">
        <f>deaths!BM189-deaths!BL189</f>
        <v>0</v>
      </c>
      <c r="BN189" s="5">
        <f>deaths!BN189-deaths!BM189</f>
        <v>0</v>
      </c>
      <c r="BO189" s="5">
        <f>deaths!BO189-deaths!BN189</f>
        <v>0</v>
      </c>
      <c r="BP189" s="5">
        <f>deaths!BP189-deaths!BO189</f>
        <v>2</v>
      </c>
      <c r="BQ189" s="5">
        <f>deaths!BQ189-deaths!BP189</f>
        <v>0</v>
      </c>
      <c r="BR189" s="5">
        <f>deaths!BR189-deaths!BQ189</f>
        <v>1</v>
      </c>
      <c r="BS189" s="5">
        <f>deaths!BS189-deaths!BR189</f>
        <v>0</v>
      </c>
      <c r="BT189" s="5">
        <f>deaths!BT189-deaths!BS189</f>
        <v>4</v>
      </c>
      <c r="BU189" s="5">
        <f>deaths!BU189-deaths!BT189</f>
        <v>1</v>
      </c>
      <c r="BV189" s="5">
        <f>deaths!BV189-deaths!BU189</f>
        <v>8</v>
      </c>
      <c r="BW189" s="5">
        <f>deaths!BW189-deaths!BV189</f>
        <v>7</v>
      </c>
      <c r="BX189" s="5">
        <f>deaths!BX189-deaths!BW189</f>
        <v>6</v>
      </c>
      <c r="BY189" s="5">
        <f>deaths!BY189-deaths!BX189</f>
        <v>4</v>
      </c>
      <c r="BZ189" s="1">
        <f>deaths!BZ189</f>
        <v>43</v>
      </c>
      <c r="CA189" s="1">
        <f>deaths!CA189</f>
        <v>45</v>
      </c>
      <c r="CB189" s="1">
        <f>deaths!CB189</f>
        <v>47</v>
      </c>
      <c r="CC189" s="1" t="str">
        <f>deaths!CC189</f>
        <v/>
      </c>
    </row>
    <row r="190">
      <c r="B190" s="1" t="str">
        <f>deaths!B190</f>
        <v>Rwanda</v>
      </c>
      <c r="C190" s="4">
        <f>deaths!C190</f>
        <v>-1.9403</v>
      </c>
      <c r="D190" s="4">
        <f>deaths!D190</f>
        <v>29.8739</v>
      </c>
      <c r="E190" s="5">
        <f>deaths!E190</f>
        <v>0</v>
      </c>
      <c r="F190" s="5">
        <f>deaths!F190-deaths!E190</f>
        <v>0</v>
      </c>
      <c r="G190" s="5">
        <f>deaths!G190-deaths!F190</f>
        <v>0</v>
      </c>
      <c r="H190" s="5">
        <f>deaths!H190-deaths!G190</f>
        <v>0</v>
      </c>
      <c r="I190" s="5">
        <f>deaths!I190-deaths!H190</f>
        <v>0</v>
      </c>
      <c r="J190" s="5">
        <f>deaths!J190-deaths!I190</f>
        <v>0</v>
      </c>
      <c r="K190" s="5">
        <f>deaths!K190-deaths!J190</f>
        <v>0</v>
      </c>
      <c r="L190" s="5">
        <f>deaths!L190-deaths!K190</f>
        <v>0</v>
      </c>
      <c r="M190" s="5">
        <f>deaths!M190-deaths!L190</f>
        <v>0</v>
      </c>
      <c r="N190" s="5">
        <f>deaths!N190-deaths!M190</f>
        <v>0</v>
      </c>
      <c r="O190" s="5">
        <f>deaths!O190-deaths!N190</f>
        <v>0</v>
      </c>
      <c r="P190" s="5">
        <f>deaths!P190-deaths!O190</f>
        <v>0</v>
      </c>
      <c r="Q190" s="5">
        <f>deaths!Q190-deaths!P190</f>
        <v>0</v>
      </c>
      <c r="R190" s="5">
        <f>deaths!R190-deaths!Q190</f>
        <v>0</v>
      </c>
      <c r="S190" s="5">
        <f>deaths!S190-deaths!R190</f>
        <v>0</v>
      </c>
      <c r="T190" s="5">
        <f>deaths!T190-deaths!S190</f>
        <v>0</v>
      </c>
      <c r="U190" s="5">
        <f>deaths!U190-deaths!T190</f>
        <v>0</v>
      </c>
      <c r="V190" s="5">
        <f>deaths!V190-deaths!U190</f>
        <v>0</v>
      </c>
      <c r="W190" s="5">
        <f>deaths!W190-deaths!V190</f>
        <v>0</v>
      </c>
      <c r="X190" s="5">
        <f>deaths!X190-deaths!W190</f>
        <v>0</v>
      </c>
      <c r="Y190" s="5">
        <f>deaths!Y190-deaths!X190</f>
        <v>0</v>
      </c>
      <c r="Z190" s="5">
        <f>deaths!Z190-deaths!Y190</f>
        <v>0</v>
      </c>
      <c r="AA190" s="5">
        <f>deaths!AA190-deaths!Z190</f>
        <v>0</v>
      </c>
      <c r="AB190" s="5">
        <f>deaths!AB190-deaths!AA190</f>
        <v>0</v>
      </c>
      <c r="AC190" s="5">
        <f>deaths!AC190-deaths!AB190</f>
        <v>0</v>
      </c>
      <c r="AD190" s="5">
        <f>deaths!AD190-deaths!AC190</f>
        <v>0</v>
      </c>
      <c r="AE190" s="5">
        <f>deaths!AE190-deaths!AD190</f>
        <v>0</v>
      </c>
      <c r="AF190" s="5">
        <f>deaths!AF190-deaths!AE190</f>
        <v>0</v>
      </c>
      <c r="AG190" s="5">
        <f>deaths!AG190-deaths!AF190</f>
        <v>0</v>
      </c>
      <c r="AH190" s="5">
        <f>deaths!AH190-deaths!AG190</f>
        <v>0</v>
      </c>
      <c r="AI190" s="5">
        <f>deaths!AI190-deaths!AH190</f>
        <v>0</v>
      </c>
      <c r="AJ190" s="5">
        <f>deaths!AJ190-deaths!AI190</f>
        <v>0</v>
      </c>
      <c r="AK190" s="5">
        <f>deaths!AK190-deaths!AJ190</f>
        <v>0</v>
      </c>
      <c r="AL190" s="5">
        <f>deaths!AL190-deaths!AK190</f>
        <v>0</v>
      </c>
      <c r="AM190" s="5">
        <f>deaths!AM190-deaths!AL190</f>
        <v>0</v>
      </c>
      <c r="AN190" s="5">
        <f>deaths!AN190-deaths!AM190</f>
        <v>0</v>
      </c>
      <c r="AO190" s="5">
        <f>deaths!AO190-deaths!AN190</f>
        <v>0</v>
      </c>
      <c r="AP190" s="5">
        <f>deaths!AP190-deaths!AO190</f>
        <v>0</v>
      </c>
      <c r="AQ190" s="5">
        <f>deaths!AQ190-deaths!AP190</f>
        <v>0</v>
      </c>
      <c r="AR190" s="5">
        <f>deaths!AR190-deaths!AQ190</f>
        <v>0</v>
      </c>
      <c r="AS190" s="5">
        <f>deaths!AS190-deaths!AR190</f>
        <v>0</v>
      </c>
      <c r="AT190" s="5">
        <f>deaths!AT190-deaths!AS190</f>
        <v>0</v>
      </c>
      <c r="AU190" s="5">
        <f>deaths!AU190-deaths!AT190</f>
        <v>0</v>
      </c>
      <c r="AV190" s="5">
        <f>deaths!AV190-deaths!AU190</f>
        <v>0</v>
      </c>
      <c r="AW190" s="5">
        <f>deaths!AW190-deaths!AV190</f>
        <v>0</v>
      </c>
      <c r="AX190" s="5">
        <f>deaths!AX190-deaths!AW190</f>
        <v>0</v>
      </c>
      <c r="AY190" s="5">
        <f>deaths!AY190-deaths!AX190</f>
        <v>0</v>
      </c>
      <c r="AZ190" s="5">
        <f>deaths!AZ190-deaths!AY190</f>
        <v>0</v>
      </c>
      <c r="BA190" s="5">
        <f>deaths!BA190-deaths!AZ190</f>
        <v>0</v>
      </c>
      <c r="BB190" s="5">
        <f>deaths!BB190-deaths!BA190</f>
        <v>0</v>
      </c>
      <c r="BC190" s="5">
        <f>deaths!BC190-deaths!BB190</f>
        <v>0</v>
      </c>
      <c r="BD190" s="5">
        <f>deaths!BD190-deaths!BC190</f>
        <v>0</v>
      </c>
      <c r="BE190" s="5">
        <f>deaths!BE190-deaths!BD190</f>
        <v>0</v>
      </c>
      <c r="BF190" s="5">
        <f>deaths!BF190-deaths!BE190</f>
        <v>0</v>
      </c>
      <c r="BG190" s="5">
        <f>deaths!BG190-deaths!BF190</f>
        <v>0</v>
      </c>
      <c r="BH190" s="5">
        <f>deaths!BH190-deaths!BG190</f>
        <v>0</v>
      </c>
      <c r="BI190" s="5">
        <f>deaths!BI190-deaths!BH190</f>
        <v>0</v>
      </c>
      <c r="BJ190" s="5">
        <f>deaths!BJ190-deaths!BI190</f>
        <v>0</v>
      </c>
      <c r="BK190" s="5">
        <f>deaths!BK190-deaths!BJ190</f>
        <v>0</v>
      </c>
      <c r="BL190" s="5">
        <f>deaths!BL190-deaths!BK190</f>
        <v>0</v>
      </c>
      <c r="BM190" s="5">
        <f>deaths!BM190-deaths!BL190</f>
        <v>0</v>
      </c>
      <c r="BN190" s="5">
        <f>deaths!BN190-deaths!BM190</f>
        <v>0</v>
      </c>
      <c r="BO190" s="5">
        <f>deaths!BO190-deaths!BN190</f>
        <v>0</v>
      </c>
      <c r="BP190" s="5">
        <f>deaths!BP190-deaths!BO190</f>
        <v>0</v>
      </c>
      <c r="BQ190" s="5">
        <f>deaths!BQ190-deaths!BP190</f>
        <v>0</v>
      </c>
      <c r="BR190" s="5">
        <f>deaths!BR190-deaths!BQ190</f>
        <v>0</v>
      </c>
      <c r="BS190" s="5">
        <f>deaths!BS190-deaths!BR190</f>
        <v>0</v>
      </c>
      <c r="BT190" s="5">
        <f>deaths!BT190-deaths!BS190</f>
        <v>0</v>
      </c>
      <c r="BU190" s="5">
        <f>deaths!BU190-deaths!BT190</f>
        <v>0</v>
      </c>
      <c r="BV190" s="5">
        <f>deaths!BV190-deaths!BU190</f>
        <v>0</v>
      </c>
      <c r="BW190" s="5">
        <f>deaths!BW190-deaths!BV190</f>
        <v>0</v>
      </c>
      <c r="BX190" s="5">
        <f>deaths!BX190-deaths!BW190</f>
        <v>0</v>
      </c>
      <c r="BY190" s="5">
        <f>deaths!BY190-deaths!BX190</f>
        <v>0</v>
      </c>
      <c r="BZ190" s="1">
        <f>deaths!BZ190</f>
        <v>0</v>
      </c>
      <c r="CA190" s="1">
        <f>deaths!CA190</f>
        <v>0</v>
      </c>
      <c r="CB190" s="1">
        <f>deaths!CB190</f>
        <v>0</v>
      </c>
      <c r="CC190" s="1" t="str">
        <f>deaths!CC190</f>
        <v/>
      </c>
    </row>
    <row r="191">
      <c r="B191" s="1" t="str">
        <f>deaths!B191</f>
        <v>Saint Lucia</v>
      </c>
      <c r="C191" s="4">
        <f>deaths!C191</f>
        <v>13.9094</v>
      </c>
      <c r="D191" s="4">
        <f>deaths!D191</f>
        <v>-60.9789</v>
      </c>
      <c r="E191" s="5">
        <f>deaths!E191</f>
        <v>0</v>
      </c>
      <c r="F191" s="5">
        <f>deaths!F191-deaths!E191</f>
        <v>0</v>
      </c>
      <c r="G191" s="5">
        <f>deaths!G191-deaths!F191</f>
        <v>0</v>
      </c>
      <c r="H191" s="5">
        <f>deaths!H191-deaths!G191</f>
        <v>0</v>
      </c>
      <c r="I191" s="5">
        <f>deaths!I191-deaths!H191</f>
        <v>0</v>
      </c>
      <c r="J191" s="5">
        <f>deaths!J191-deaths!I191</f>
        <v>0</v>
      </c>
      <c r="K191" s="5">
        <f>deaths!K191-deaths!J191</f>
        <v>0</v>
      </c>
      <c r="L191" s="5">
        <f>deaths!L191-deaths!K191</f>
        <v>0</v>
      </c>
      <c r="M191" s="5">
        <f>deaths!M191-deaths!L191</f>
        <v>0</v>
      </c>
      <c r="N191" s="5">
        <f>deaths!N191-deaths!M191</f>
        <v>0</v>
      </c>
      <c r="O191" s="5">
        <f>deaths!O191-deaths!N191</f>
        <v>0</v>
      </c>
      <c r="P191" s="5">
        <f>deaths!P191-deaths!O191</f>
        <v>0</v>
      </c>
      <c r="Q191" s="5">
        <f>deaths!Q191-deaths!P191</f>
        <v>0</v>
      </c>
      <c r="R191" s="5">
        <f>deaths!R191-deaths!Q191</f>
        <v>0</v>
      </c>
      <c r="S191" s="5">
        <f>deaths!S191-deaths!R191</f>
        <v>0</v>
      </c>
      <c r="T191" s="5">
        <f>deaths!T191-deaths!S191</f>
        <v>0</v>
      </c>
      <c r="U191" s="5">
        <f>deaths!U191-deaths!T191</f>
        <v>0</v>
      </c>
      <c r="V191" s="5">
        <f>deaths!V191-deaths!U191</f>
        <v>0</v>
      </c>
      <c r="W191" s="5">
        <f>deaths!W191-deaths!V191</f>
        <v>0</v>
      </c>
      <c r="X191" s="5">
        <f>deaths!X191-deaths!W191</f>
        <v>0</v>
      </c>
      <c r="Y191" s="5">
        <f>deaths!Y191-deaths!X191</f>
        <v>0</v>
      </c>
      <c r="Z191" s="5">
        <f>deaths!Z191-deaths!Y191</f>
        <v>0</v>
      </c>
      <c r="AA191" s="5">
        <f>deaths!AA191-deaths!Z191</f>
        <v>0</v>
      </c>
      <c r="AB191" s="5">
        <f>deaths!AB191-deaths!AA191</f>
        <v>0</v>
      </c>
      <c r="AC191" s="5">
        <f>deaths!AC191-deaths!AB191</f>
        <v>0</v>
      </c>
      <c r="AD191" s="5">
        <f>deaths!AD191-deaths!AC191</f>
        <v>0</v>
      </c>
      <c r="AE191" s="5">
        <f>deaths!AE191-deaths!AD191</f>
        <v>0</v>
      </c>
      <c r="AF191" s="5">
        <f>deaths!AF191-deaths!AE191</f>
        <v>0</v>
      </c>
      <c r="AG191" s="5">
        <f>deaths!AG191-deaths!AF191</f>
        <v>0</v>
      </c>
      <c r="AH191" s="5">
        <f>deaths!AH191-deaths!AG191</f>
        <v>0</v>
      </c>
      <c r="AI191" s="5">
        <f>deaths!AI191-deaths!AH191</f>
        <v>0</v>
      </c>
      <c r="AJ191" s="5">
        <f>deaths!AJ191-deaths!AI191</f>
        <v>0</v>
      </c>
      <c r="AK191" s="5">
        <f>deaths!AK191-deaths!AJ191</f>
        <v>0</v>
      </c>
      <c r="AL191" s="5">
        <f>deaths!AL191-deaths!AK191</f>
        <v>0</v>
      </c>
      <c r="AM191" s="5">
        <f>deaths!AM191-deaths!AL191</f>
        <v>0</v>
      </c>
      <c r="AN191" s="5">
        <f>deaths!AN191-deaths!AM191</f>
        <v>0</v>
      </c>
      <c r="AO191" s="5">
        <f>deaths!AO191-deaths!AN191</f>
        <v>0</v>
      </c>
      <c r="AP191" s="5">
        <f>deaths!AP191-deaths!AO191</f>
        <v>0</v>
      </c>
      <c r="AQ191" s="5">
        <f>deaths!AQ191-deaths!AP191</f>
        <v>0</v>
      </c>
      <c r="AR191" s="5">
        <f>deaths!AR191-deaths!AQ191</f>
        <v>0</v>
      </c>
      <c r="AS191" s="5">
        <f>deaths!AS191-deaths!AR191</f>
        <v>0</v>
      </c>
      <c r="AT191" s="5">
        <f>deaths!AT191-deaths!AS191</f>
        <v>0</v>
      </c>
      <c r="AU191" s="5">
        <f>deaths!AU191-deaths!AT191</f>
        <v>0</v>
      </c>
      <c r="AV191" s="5">
        <f>deaths!AV191-deaths!AU191</f>
        <v>0</v>
      </c>
      <c r="AW191" s="5">
        <f>deaths!AW191-deaths!AV191</f>
        <v>0</v>
      </c>
      <c r="AX191" s="5">
        <f>deaths!AX191-deaths!AW191</f>
        <v>0</v>
      </c>
      <c r="AY191" s="5">
        <f>deaths!AY191-deaths!AX191</f>
        <v>0</v>
      </c>
      <c r="AZ191" s="5">
        <f>deaths!AZ191-deaths!AY191</f>
        <v>0</v>
      </c>
      <c r="BA191" s="5">
        <f>deaths!BA191-deaths!AZ191</f>
        <v>0</v>
      </c>
      <c r="BB191" s="5">
        <f>deaths!BB191-deaths!BA191</f>
        <v>0</v>
      </c>
      <c r="BC191" s="5">
        <f>deaths!BC191-deaths!BB191</f>
        <v>0</v>
      </c>
      <c r="BD191" s="5">
        <f>deaths!BD191-deaths!BC191</f>
        <v>0</v>
      </c>
      <c r="BE191" s="5">
        <f>deaths!BE191-deaths!BD191</f>
        <v>0</v>
      </c>
      <c r="BF191" s="5">
        <f>deaths!BF191-deaths!BE191</f>
        <v>0</v>
      </c>
      <c r="BG191" s="5">
        <f>deaths!BG191-deaths!BF191</f>
        <v>0</v>
      </c>
      <c r="BH191" s="5">
        <f>deaths!BH191-deaths!BG191</f>
        <v>0</v>
      </c>
      <c r="BI191" s="5">
        <f>deaths!BI191-deaths!BH191</f>
        <v>0</v>
      </c>
      <c r="BJ191" s="5">
        <f>deaths!BJ191-deaths!BI191</f>
        <v>0</v>
      </c>
      <c r="BK191" s="5">
        <f>deaths!BK191-deaths!BJ191</f>
        <v>0</v>
      </c>
      <c r="BL191" s="5">
        <f>deaths!BL191-deaths!BK191</f>
        <v>0</v>
      </c>
      <c r="BM191" s="5">
        <f>deaths!BM191-deaths!BL191</f>
        <v>0</v>
      </c>
      <c r="BN191" s="5">
        <f>deaths!BN191-deaths!BM191</f>
        <v>0</v>
      </c>
      <c r="BO191" s="5">
        <f>deaths!BO191-deaths!BN191</f>
        <v>0</v>
      </c>
      <c r="BP191" s="5">
        <f>deaths!BP191-deaths!BO191</f>
        <v>0</v>
      </c>
      <c r="BQ191" s="5">
        <f>deaths!BQ191-deaths!BP191</f>
        <v>0</v>
      </c>
      <c r="BR191" s="5">
        <f>deaths!BR191-deaths!BQ191</f>
        <v>0</v>
      </c>
      <c r="BS191" s="5">
        <f>deaths!BS191-deaths!BR191</f>
        <v>0</v>
      </c>
      <c r="BT191" s="5">
        <f>deaths!BT191-deaths!BS191</f>
        <v>0</v>
      </c>
      <c r="BU191" s="5">
        <f>deaths!BU191-deaths!BT191</f>
        <v>0</v>
      </c>
      <c r="BV191" s="5">
        <f>deaths!BV191-deaths!BU191</f>
        <v>0</v>
      </c>
      <c r="BW191" s="5">
        <f>deaths!BW191-deaths!BV191</f>
        <v>0</v>
      </c>
      <c r="BX191" s="5">
        <f>deaths!BX191-deaths!BW191</f>
        <v>0</v>
      </c>
      <c r="BY191" s="5">
        <f>deaths!BY191-deaths!BX191</f>
        <v>0</v>
      </c>
      <c r="BZ191" s="1">
        <f>deaths!BZ191</f>
        <v>0</v>
      </c>
      <c r="CA191" s="1">
        <f>deaths!CA191</f>
        <v>0</v>
      </c>
      <c r="CB191" s="1">
        <f>deaths!CB191</f>
        <v>0</v>
      </c>
      <c r="CC191" s="1" t="str">
        <f>deaths!CC191</f>
        <v/>
      </c>
    </row>
    <row r="192">
      <c r="B192" s="1" t="str">
        <f>deaths!B192</f>
        <v>Saint Vincent and the Grenadines</v>
      </c>
      <c r="C192" s="4">
        <f>deaths!C192</f>
        <v>12.9843</v>
      </c>
      <c r="D192" s="4">
        <f>deaths!D192</f>
        <v>-61.2872</v>
      </c>
      <c r="E192" s="5">
        <f>deaths!E192</f>
        <v>0</v>
      </c>
      <c r="F192" s="5">
        <f>deaths!F192-deaths!E192</f>
        <v>0</v>
      </c>
      <c r="G192" s="5">
        <f>deaths!G192-deaths!F192</f>
        <v>0</v>
      </c>
      <c r="H192" s="5">
        <f>deaths!H192-deaths!G192</f>
        <v>0</v>
      </c>
      <c r="I192" s="5">
        <f>deaths!I192-deaths!H192</f>
        <v>0</v>
      </c>
      <c r="J192" s="5">
        <f>deaths!J192-deaths!I192</f>
        <v>0</v>
      </c>
      <c r="K192" s="5">
        <f>deaths!K192-deaths!J192</f>
        <v>0</v>
      </c>
      <c r="L192" s="5">
        <f>deaths!L192-deaths!K192</f>
        <v>0</v>
      </c>
      <c r="M192" s="5">
        <f>deaths!M192-deaths!L192</f>
        <v>0</v>
      </c>
      <c r="N192" s="5">
        <f>deaths!N192-deaths!M192</f>
        <v>0</v>
      </c>
      <c r="O192" s="5">
        <f>deaths!O192-deaths!N192</f>
        <v>0</v>
      </c>
      <c r="P192" s="5">
        <f>deaths!P192-deaths!O192</f>
        <v>0</v>
      </c>
      <c r="Q192" s="5">
        <f>deaths!Q192-deaths!P192</f>
        <v>0</v>
      </c>
      <c r="R192" s="5">
        <f>deaths!R192-deaths!Q192</f>
        <v>0</v>
      </c>
      <c r="S192" s="5">
        <f>deaths!S192-deaths!R192</f>
        <v>0</v>
      </c>
      <c r="T192" s="5">
        <f>deaths!T192-deaths!S192</f>
        <v>0</v>
      </c>
      <c r="U192" s="5">
        <f>deaths!U192-deaths!T192</f>
        <v>0</v>
      </c>
      <c r="V192" s="5">
        <f>deaths!V192-deaths!U192</f>
        <v>0</v>
      </c>
      <c r="W192" s="5">
        <f>deaths!W192-deaths!V192</f>
        <v>0</v>
      </c>
      <c r="X192" s="5">
        <f>deaths!X192-deaths!W192</f>
        <v>0</v>
      </c>
      <c r="Y192" s="5">
        <f>deaths!Y192-deaths!X192</f>
        <v>0</v>
      </c>
      <c r="Z192" s="5">
        <f>deaths!Z192-deaths!Y192</f>
        <v>0</v>
      </c>
      <c r="AA192" s="5">
        <f>deaths!AA192-deaths!Z192</f>
        <v>0</v>
      </c>
      <c r="AB192" s="5">
        <f>deaths!AB192-deaths!AA192</f>
        <v>0</v>
      </c>
      <c r="AC192" s="5">
        <f>deaths!AC192-deaths!AB192</f>
        <v>0</v>
      </c>
      <c r="AD192" s="5">
        <f>deaths!AD192-deaths!AC192</f>
        <v>0</v>
      </c>
      <c r="AE192" s="5">
        <f>deaths!AE192-deaths!AD192</f>
        <v>0</v>
      </c>
      <c r="AF192" s="5">
        <f>deaths!AF192-deaths!AE192</f>
        <v>0</v>
      </c>
      <c r="AG192" s="5">
        <f>deaths!AG192-deaths!AF192</f>
        <v>0</v>
      </c>
      <c r="AH192" s="5">
        <f>deaths!AH192-deaths!AG192</f>
        <v>0</v>
      </c>
      <c r="AI192" s="5">
        <f>deaths!AI192-deaths!AH192</f>
        <v>0</v>
      </c>
      <c r="AJ192" s="5">
        <f>deaths!AJ192-deaths!AI192</f>
        <v>0</v>
      </c>
      <c r="AK192" s="5">
        <f>deaths!AK192-deaths!AJ192</f>
        <v>0</v>
      </c>
      <c r="AL192" s="5">
        <f>deaths!AL192-deaths!AK192</f>
        <v>0</v>
      </c>
      <c r="AM192" s="5">
        <f>deaths!AM192-deaths!AL192</f>
        <v>0</v>
      </c>
      <c r="AN192" s="5">
        <f>deaths!AN192-deaths!AM192</f>
        <v>0</v>
      </c>
      <c r="AO192" s="5">
        <f>deaths!AO192-deaths!AN192</f>
        <v>0</v>
      </c>
      <c r="AP192" s="5">
        <f>deaths!AP192-deaths!AO192</f>
        <v>0</v>
      </c>
      <c r="AQ192" s="5">
        <f>deaths!AQ192-deaths!AP192</f>
        <v>0</v>
      </c>
      <c r="AR192" s="5">
        <f>deaths!AR192-deaths!AQ192</f>
        <v>0</v>
      </c>
      <c r="AS192" s="5">
        <f>deaths!AS192-deaths!AR192</f>
        <v>0</v>
      </c>
      <c r="AT192" s="5">
        <f>deaths!AT192-deaths!AS192</f>
        <v>0</v>
      </c>
      <c r="AU192" s="5">
        <f>deaths!AU192-deaths!AT192</f>
        <v>0</v>
      </c>
      <c r="AV192" s="5">
        <f>deaths!AV192-deaths!AU192</f>
        <v>0</v>
      </c>
      <c r="AW192" s="5">
        <f>deaths!AW192-deaths!AV192</f>
        <v>0</v>
      </c>
      <c r="AX192" s="5">
        <f>deaths!AX192-deaths!AW192</f>
        <v>0</v>
      </c>
      <c r="AY192" s="5">
        <f>deaths!AY192-deaths!AX192</f>
        <v>0</v>
      </c>
      <c r="AZ192" s="5">
        <f>deaths!AZ192-deaths!AY192</f>
        <v>0</v>
      </c>
      <c r="BA192" s="5">
        <f>deaths!BA192-deaths!AZ192</f>
        <v>0</v>
      </c>
      <c r="BB192" s="5">
        <f>deaths!BB192-deaths!BA192</f>
        <v>0</v>
      </c>
      <c r="BC192" s="5">
        <f>deaths!BC192-deaths!BB192</f>
        <v>0</v>
      </c>
      <c r="BD192" s="5">
        <f>deaths!BD192-deaths!BC192</f>
        <v>0</v>
      </c>
      <c r="BE192" s="5">
        <f>deaths!BE192-deaths!BD192</f>
        <v>0</v>
      </c>
      <c r="BF192" s="5">
        <f>deaths!BF192-deaths!BE192</f>
        <v>0</v>
      </c>
      <c r="BG192" s="5">
        <f>deaths!BG192-deaths!BF192</f>
        <v>0</v>
      </c>
      <c r="BH192" s="5">
        <f>deaths!BH192-deaths!BG192</f>
        <v>0</v>
      </c>
      <c r="BI192" s="5">
        <f>deaths!BI192-deaths!BH192</f>
        <v>0</v>
      </c>
      <c r="BJ192" s="5">
        <f>deaths!BJ192-deaths!BI192</f>
        <v>0</v>
      </c>
      <c r="BK192" s="5">
        <f>deaths!BK192-deaths!BJ192</f>
        <v>0</v>
      </c>
      <c r="BL192" s="5">
        <f>deaths!BL192-deaths!BK192</f>
        <v>0</v>
      </c>
      <c r="BM192" s="5">
        <f>deaths!BM192-deaths!BL192</f>
        <v>0</v>
      </c>
      <c r="BN192" s="5">
        <f>deaths!BN192-deaths!BM192</f>
        <v>0</v>
      </c>
      <c r="BO192" s="5">
        <f>deaths!BO192-deaths!BN192</f>
        <v>0</v>
      </c>
      <c r="BP192" s="5">
        <f>deaths!BP192-deaths!BO192</f>
        <v>0</v>
      </c>
      <c r="BQ192" s="5">
        <f>deaths!BQ192-deaths!BP192</f>
        <v>0</v>
      </c>
      <c r="BR192" s="5">
        <f>deaths!BR192-deaths!BQ192</f>
        <v>0</v>
      </c>
      <c r="BS192" s="5">
        <f>deaths!BS192-deaths!BR192</f>
        <v>0</v>
      </c>
      <c r="BT192" s="5">
        <f>deaths!BT192-deaths!BS192</f>
        <v>0</v>
      </c>
      <c r="BU192" s="5">
        <f>deaths!BU192-deaths!BT192</f>
        <v>0</v>
      </c>
      <c r="BV192" s="5">
        <f>deaths!BV192-deaths!BU192</f>
        <v>0</v>
      </c>
      <c r="BW192" s="5">
        <f>deaths!BW192-deaths!BV192</f>
        <v>0</v>
      </c>
      <c r="BX192" s="5">
        <f>deaths!BX192-deaths!BW192</f>
        <v>0</v>
      </c>
      <c r="BY192" s="5">
        <f>deaths!BY192-deaths!BX192</f>
        <v>0</v>
      </c>
      <c r="BZ192" s="1">
        <f>deaths!BZ192</f>
        <v>0</v>
      </c>
      <c r="CA192" s="1">
        <f>deaths!CA192</f>
        <v>0</v>
      </c>
      <c r="CB192" s="1">
        <f>deaths!CB192</f>
        <v>0</v>
      </c>
      <c r="CC192" s="1" t="str">
        <f>deaths!CC192</f>
        <v/>
      </c>
    </row>
    <row r="193">
      <c r="B193" s="1" t="str">
        <f>deaths!B193</f>
        <v>San Marino</v>
      </c>
      <c r="C193" s="4">
        <f>deaths!C193</f>
        <v>43.9424</v>
      </c>
      <c r="D193" s="4">
        <f>deaths!D193</f>
        <v>12.4578</v>
      </c>
      <c r="E193" s="5">
        <f>deaths!E193</f>
        <v>0</v>
      </c>
      <c r="F193" s="5">
        <f>deaths!F193-deaths!E193</f>
        <v>0</v>
      </c>
      <c r="G193" s="5">
        <f>deaths!G193-deaths!F193</f>
        <v>0</v>
      </c>
      <c r="H193" s="5">
        <f>deaths!H193-deaths!G193</f>
        <v>0</v>
      </c>
      <c r="I193" s="5">
        <f>deaths!I193-deaths!H193</f>
        <v>0</v>
      </c>
      <c r="J193" s="5">
        <f>deaths!J193-deaths!I193</f>
        <v>0</v>
      </c>
      <c r="K193" s="5">
        <f>deaths!K193-deaths!J193</f>
        <v>0</v>
      </c>
      <c r="L193" s="5">
        <f>deaths!L193-deaths!K193</f>
        <v>0</v>
      </c>
      <c r="M193" s="5">
        <f>deaths!M193-deaths!L193</f>
        <v>0</v>
      </c>
      <c r="N193" s="5">
        <f>deaths!N193-deaths!M193</f>
        <v>0</v>
      </c>
      <c r="O193" s="5">
        <f>deaths!O193-deaths!N193</f>
        <v>0</v>
      </c>
      <c r="P193" s="5">
        <f>deaths!P193-deaths!O193</f>
        <v>0</v>
      </c>
      <c r="Q193" s="5">
        <f>deaths!Q193-deaths!P193</f>
        <v>0</v>
      </c>
      <c r="R193" s="5">
        <f>deaths!R193-deaths!Q193</f>
        <v>0</v>
      </c>
      <c r="S193" s="5">
        <f>deaths!S193-deaths!R193</f>
        <v>0</v>
      </c>
      <c r="T193" s="5">
        <f>deaths!T193-deaths!S193</f>
        <v>0</v>
      </c>
      <c r="U193" s="5">
        <f>deaths!U193-deaths!T193</f>
        <v>0</v>
      </c>
      <c r="V193" s="5">
        <f>deaths!V193-deaths!U193</f>
        <v>0</v>
      </c>
      <c r="W193" s="5">
        <f>deaths!W193-deaths!V193</f>
        <v>0</v>
      </c>
      <c r="X193" s="5">
        <f>deaths!X193-deaths!W193</f>
        <v>0</v>
      </c>
      <c r="Y193" s="5">
        <f>deaths!Y193-deaths!X193</f>
        <v>0</v>
      </c>
      <c r="Z193" s="5">
        <f>deaths!Z193-deaths!Y193</f>
        <v>0</v>
      </c>
      <c r="AA193" s="5">
        <f>deaths!AA193-deaths!Z193</f>
        <v>0</v>
      </c>
      <c r="AB193" s="5">
        <f>deaths!AB193-deaths!AA193</f>
        <v>0</v>
      </c>
      <c r="AC193" s="5">
        <f>deaths!AC193-deaths!AB193</f>
        <v>0</v>
      </c>
      <c r="AD193" s="5">
        <f>deaths!AD193-deaths!AC193</f>
        <v>0</v>
      </c>
      <c r="AE193" s="5">
        <f>deaths!AE193-deaths!AD193</f>
        <v>0</v>
      </c>
      <c r="AF193" s="5">
        <f>deaths!AF193-deaths!AE193</f>
        <v>0</v>
      </c>
      <c r="AG193" s="5">
        <f>deaths!AG193-deaths!AF193</f>
        <v>0</v>
      </c>
      <c r="AH193" s="5">
        <f>deaths!AH193-deaths!AG193</f>
        <v>0</v>
      </c>
      <c r="AI193" s="5">
        <f>deaths!AI193-deaths!AH193</f>
        <v>0</v>
      </c>
      <c r="AJ193" s="5">
        <f>deaths!AJ193-deaths!AI193</f>
        <v>0</v>
      </c>
      <c r="AK193" s="5">
        <f>deaths!AK193-deaths!AJ193</f>
        <v>0</v>
      </c>
      <c r="AL193" s="5">
        <f>deaths!AL193-deaths!AK193</f>
        <v>0</v>
      </c>
      <c r="AM193" s="5">
        <f>deaths!AM193-deaths!AL193</f>
        <v>0</v>
      </c>
      <c r="AN193" s="5">
        <f>deaths!AN193-deaths!AM193</f>
        <v>0</v>
      </c>
      <c r="AO193" s="5">
        <f>deaths!AO193-deaths!AN193</f>
        <v>0</v>
      </c>
      <c r="AP193" s="5">
        <f>deaths!AP193-deaths!AO193</f>
        <v>0</v>
      </c>
      <c r="AQ193" s="5">
        <f>deaths!AQ193-deaths!AP193</f>
        <v>0</v>
      </c>
      <c r="AR193" s="5">
        <f>deaths!AR193-deaths!AQ193</f>
        <v>0</v>
      </c>
      <c r="AS193" s="5">
        <f>deaths!AS193-deaths!AR193</f>
        <v>0</v>
      </c>
      <c r="AT193" s="5">
        <f>deaths!AT193-deaths!AS193</f>
        <v>1</v>
      </c>
      <c r="AU193" s="5">
        <f>deaths!AU193-deaths!AT193</f>
        <v>0</v>
      </c>
      <c r="AV193" s="5">
        <f>deaths!AV193-deaths!AU193</f>
        <v>0</v>
      </c>
      <c r="AW193" s="5">
        <f>deaths!AW193-deaths!AV193</f>
        <v>0</v>
      </c>
      <c r="AX193" s="5">
        <f>deaths!AX193-deaths!AW193</f>
        <v>0</v>
      </c>
      <c r="AY193" s="5">
        <f>deaths!AY193-deaths!AX193</f>
        <v>0</v>
      </c>
      <c r="AZ193" s="5">
        <f>deaths!AZ193-deaths!AY193</f>
        <v>0</v>
      </c>
      <c r="BA193" s="5">
        <f>deaths!BA193-deaths!AZ193</f>
        <v>1</v>
      </c>
      <c r="BB193" s="5">
        <f>deaths!BB193-deaths!BA193</f>
        <v>0</v>
      </c>
      <c r="BC193" s="5">
        <f>deaths!BC193-deaths!BB193</f>
        <v>1</v>
      </c>
      <c r="BD193" s="5">
        <f>deaths!BD193-deaths!BC193</f>
        <v>2</v>
      </c>
      <c r="BE193" s="5">
        <f>deaths!BE193-deaths!BD193</f>
        <v>0</v>
      </c>
      <c r="BF193" s="5">
        <f>deaths!BF193-deaths!BE193</f>
        <v>0</v>
      </c>
      <c r="BG193" s="5">
        <f>deaths!BG193-deaths!BF193</f>
        <v>2</v>
      </c>
      <c r="BH193" s="5">
        <f>deaths!BH193-deaths!BG193</f>
        <v>0</v>
      </c>
      <c r="BI193" s="5">
        <f>deaths!BI193-deaths!BH193</f>
        <v>4</v>
      </c>
      <c r="BJ193" s="5">
        <f>deaths!BJ193-deaths!BI193</f>
        <v>0</v>
      </c>
      <c r="BK193" s="5">
        <f>deaths!BK193-deaths!BJ193</f>
        <v>3</v>
      </c>
      <c r="BL193" s="5">
        <f>deaths!BL193-deaths!BK193</f>
        <v>6</v>
      </c>
      <c r="BM193" s="5">
        <f>deaths!BM193-deaths!BL193</f>
        <v>0</v>
      </c>
      <c r="BN193" s="5">
        <f>deaths!BN193-deaths!BM193</f>
        <v>0</v>
      </c>
      <c r="BO193" s="5">
        <f>deaths!BO193-deaths!BN193</f>
        <v>1</v>
      </c>
      <c r="BP193" s="5">
        <f>deaths!BP193-deaths!BO193</f>
        <v>0</v>
      </c>
      <c r="BQ193" s="5">
        <f>deaths!BQ193-deaths!BP193</f>
        <v>0</v>
      </c>
      <c r="BR193" s="5">
        <f>deaths!BR193-deaths!BQ193</f>
        <v>0</v>
      </c>
      <c r="BS193" s="5">
        <f>deaths!BS193-deaths!BR193</f>
        <v>1</v>
      </c>
      <c r="BT193" s="5">
        <f>deaths!BT193-deaths!BS193</f>
        <v>0</v>
      </c>
      <c r="BU193" s="5">
        <f>deaths!BU193-deaths!BT193</f>
        <v>3</v>
      </c>
      <c r="BV193" s="5">
        <f>deaths!BV193-deaths!BU193</f>
        <v>1</v>
      </c>
      <c r="BW193" s="5">
        <f>deaths!BW193-deaths!BV193</f>
        <v>0</v>
      </c>
      <c r="BX193" s="5">
        <f>deaths!BX193-deaths!BW193</f>
        <v>4</v>
      </c>
      <c r="BY193" s="5">
        <f>deaths!BY193-deaths!BX193</f>
        <v>0</v>
      </c>
      <c r="BZ193" s="1">
        <f>deaths!BZ193</f>
        <v>32</v>
      </c>
      <c r="CA193" s="1">
        <f>deaths!CA193</f>
        <v>32</v>
      </c>
      <c r="CB193" s="1">
        <f>deaths!CB193</f>
        <v>32</v>
      </c>
      <c r="CC193" s="1" t="str">
        <f>deaths!CC193</f>
        <v/>
      </c>
    </row>
    <row r="194">
      <c r="B194" s="1" t="str">
        <f>deaths!B194</f>
        <v>Saudi Arabia</v>
      </c>
      <c r="C194" s="4">
        <f>deaths!C194</f>
        <v>24</v>
      </c>
      <c r="D194" s="4">
        <f>deaths!D194</f>
        <v>45</v>
      </c>
      <c r="E194" s="5">
        <f>deaths!E194</f>
        <v>0</v>
      </c>
      <c r="F194" s="5">
        <f>deaths!F194-deaths!E194</f>
        <v>0</v>
      </c>
      <c r="G194" s="5">
        <f>deaths!G194-deaths!F194</f>
        <v>0</v>
      </c>
      <c r="H194" s="5">
        <f>deaths!H194-deaths!G194</f>
        <v>0</v>
      </c>
      <c r="I194" s="5">
        <f>deaths!I194-deaths!H194</f>
        <v>0</v>
      </c>
      <c r="J194" s="5">
        <f>deaths!J194-deaths!I194</f>
        <v>0</v>
      </c>
      <c r="K194" s="5">
        <f>deaths!K194-deaths!J194</f>
        <v>0</v>
      </c>
      <c r="L194" s="5">
        <f>deaths!L194-deaths!K194</f>
        <v>0</v>
      </c>
      <c r="M194" s="5">
        <f>deaths!M194-deaths!L194</f>
        <v>0</v>
      </c>
      <c r="N194" s="5">
        <f>deaths!N194-deaths!M194</f>
        <v>0</v>
      </c>
      <c r="O194" s="5">
        <f>deaths!O194-deaths!N194</f>
        <v>0</v>
      </c>
      <c r="P194" s="5">
        <f>deaths!P194-deaths!O194</f>
        <v>0</v>
      </c>
      <c r="Q194" s="5">
        <f>deaths!Q194-deaths!P194</f>
        <v>0</v>
      </c>
      <c r="R194" s="5">
        <f>deaths!R194-deaths!Q194</f>
        <v>0</v>
      </c>
      <c r="S194" s="5">
        <f>deaths!S194-deaths!R194</f>
        <v>0</v>
      </c>
      <c r="T194" s="5">
        <f>deaths!T194-deaths!S194</f>
        <v>0</v>
      </c>
      <c r="U194" s="5">
        <f>deaths!U194-deaths!T194</f>
        <v>0</v>
      </c>
      <c r="V194" s="5">
        <f>deaths!V194-deaths!U194</f>
        <v>0</v>
      </c>
      <c r="W194" s="5">
        <f>deaths!W194-deaths!V194</f>
        <v>0</v>
      </c>
      <c r="X194" s="5">
        <f>deaths!X194-deaths!W194</f>
        <v>0</v>
      </c>
      <c r="Y194" s="5">
        <f>deaths!Y194-deaths!X194</f>
        <v>0</v>
      </c>
      <c r="Z194" s="5">
        <f>deaths!Z194-deaths!Y194</f>
        <v>0</v>
      </c>
      <c r="AA194" s="5">
        <f>deaths!AA194-deaths!Z194</f>
        <v>0</v>
      </c>
      <c r="AB194" s="5">
        <f>deaths!AB194-deaths!AA194</f>
        <v>0</v>
      </c>
      <c r="AC194" s="5">
        <f>deaths!AC194-deaths!AB194</f>
        <v>0</v>
      </c>
      <c r="AD194" s="5">
        <f>deaths!AD194-deaths!AC194</f>
        <v>0</v>
      </c>
      <c r="AE194" s="5">
        <f>deaths!AE194-deaths!AD194</f>
        <v>0</v>
      </c>
      <c r="AF194" s="5">
        <f>deaths!AF194-deaths!AE194</f>
        <v>0</v>
      </c>
      <c r="AG194" s="5">
        <f>deaths!AG194-deaths!AF194</f>
        <v>0</v>
      </c>
      <c r="AH194" s="5">
        <f>deaths!AH194-deaths!AG194</f>
        <v>0</v>
      </c>
      <c r="AI194" s="5">
        <f>deaths!AI194-deaths!AH194</f>
        <v>0</v>
      </c>
      <c r="AJ194" s="5">
        <f>deaths!AJ194-deaths!AI194</f>
        <v>0</v>
      </c>
      <c r="AK194" s="5">
        <f>deaths!AK194-deaths!AJ194</f>
        <v>0</v>
      </c>
      <c r="AL194" s="5">
        <f>deaths!AL194-deaths!AK194</f>
        <v>0</v>
      </c>
      <c r="AM194" s="5">
        <f>deaths!AM194-deaths!AL194</f>
        <v>0</v>
      </c>
      <c r="AN194" s="5">
        <f>deaths!AN194-deaths!AM194</f>
        <v>0</v>
      </c>
      <c r="AO194" s="5">
        <f>deaths!AO194-deaths!AN194</f>
        <v>0</v>
      </c>
      <c r="AP194" s="5">
        <f>deaths!AP194-deaths!AO194</f>
        <v>0</v>
      </c>
      <c r="AQ194" s="5">
        <f>deaths!AQ194-deaths!AP194</f>
        <v>0</v>
      </c>
      <c r="AR194" s="5">
        <f>deaths!AR194-deaths!AQ194</f>
        <v>0</v>
      </c>
      <c r="AS194" s="5">
        <f>deaths!AS194-deaths!AR194</f>
        <v>0</v>
      </c>
      <c r="AT194" s="5">
        <f>deaths!AT194-deaths!AS194</f>
        <v>0</v>
      </c>
      <c r="AU194" s="5">
        <f>deaths!AU194-deaths!AT194</f>
        <v>0</v>
      </c>
      <c r="AV194" s="5">
        <f>deaths!AV194-deaths!AU194</f>
        <v>0</v>
      </c>
      <c r="AW194" s="5">
        <f>deaths!AW194-deaths!AV194</f>
        <v>0</v>
      </c>
      <c r="AX194" s="5">
        <f>deaths!AX194-deaths!AW194</f>
        <v>0</v>
      </c>
      <c r="AY194" s="5">
        <f>deaths!AY194-deaths!AX194</f>
        <v>0</v>
      </c>
      <c r="AZ194" s="5">
        <f>deaths!AZ194-deaths!AY194</f>
        <v>0</v>
      </c>
      <c r="BA194" s="5">
        <f>deaths!BA194-deaths!AZ194</f>
        <v>0</v>
      </c>
      <c r="BB194" s="5">
        <f>deaths!BB194-deaths!BA194</f>
        <v>0</v>
      </c>
      <c r="BC194" s="5">
        <f>deaths!BC194-deaths!BB194</f>
        <v>0</v>
      </c>
      <c r="BD194" s="5">
        <f>deaths!BD194-deaths!BC194</f>
        <v>0</v>
      </c>
      <c r="BE194" s="5">
        <f>deaths!BE194-deaths!BD194</f>
        <v>0</v>
      </c>
      <c r="BF194" s="5">
        <f>deaths!BF194-deaths!BE194</f>
        <v>0</v>
      </c>
      <c r="BG194" s="5">
        <f>deaths!BG194-deaths!BF194</f>
        <v>0</v>
      </c>
      <c r="BH194" s="5">
        <f>deaths!BH194-deaths!BG194</f>
        <v>0</v>
      </c>
      <c r="BI194" s="5">
        <f>deaths!BI194-deaths!BH194</f>
        <v>0</v>
      </c>
      <c r="BJ194" s="5">
        <f>deaths!BJ194-deaths!BI194</f>
        <v>0</v>
      </c>
      <c r="BK194" s="5">
        <f>deaths!BK194-deaths!BJ194</f>
        <v>0</v>
      </c>
      <c r="BL194" s="5">
        <f>deaths!BL194-deaths!BK194</f>
        <v>0</v>
      </c>
      <c r="BM194" s="5">
        <f>deaths!BM194-deaths!BL194</f>
        <v>0</v>
      </c>
      <c r="BN194" s="5">
        <f>deaths!BN194-deaths!BM194</f>
        <v>0</v>
      </c>
      <c r="BO194" s="5">
        <f>deaths!BO194-deaths!BN194</f>
        <v>1</v>
      </c>
      <c r="BP194" s="5">
        <f>deaths!BP194-deaths!BO194</f>
        <v>1</v>
      </c>
      <c r="BQ194" s="5">
        <f>deaths!BQ194-deaths!BP194</f>
        <v>1</v>
      </c>
      <c r="BR194" s="5">
        <f>deaths!BR194-deaths!BQ194</f>
        <v>0</v>
      </c>
      <c r="BS194" s="5">
        <f>deaths!BS194-deaths!BR194</f>
        <v>1</v>
      </c>
      <c r="BT194" s="5">
        <f>deaths!BT194-deaths!BS194</f>
        <v>4</v>
      </c>
      <c r="BU194" s="5">
        <f>deaths!BU194-deaths!BT194</f>
        <v>0</v>
      </c>
      <c r="BV194" s="5">
        <f>deaths!BV194-deaths!BU194</f>
        <v>2</v>
      </c>
      <c r="BW194" s="5">
        <f>deaths!BW194-deaths!BV194</f>
        <v>6</v>
      </c>
      <c r="BX194" s="5">
        <f>deaths!BX194-deaths!BW194</f>
        <v>5</v>
      </c>
      <c r="BY194" s="5">
        <f>deaths!BY194-deaths!BX194</f>
        <v>4</v>
      </c>
      <c r="BZ194" s="1">
        <f>deaths!BZ194</f>
        <v>29</v>
      </c>
      <c r="CA194" s="1">
        <f>deaths!CA194</f>
        <v>34</v>
      </c>
      <c r="CB194" s="1">
        <f>deaths!CB194</f>
        <v>38</v>
      </c>
      <c r="CC194" s="1" t="str">
        <f>deaths!CC194</f>
        <v/>
      </c>
    </row>
    <row r="195">
      <c r="B195" s="1" t="str">
        <f>deaths!B195</f>
        <v>Senegal</v>
      </c>
      <c r="C195" s="4">
        <f>deaths!C195</f>
        <v>14.4974</v>
      </c>
      <c r="D195" s="4">
        <f>deaths!D195</f>
        <v>-14.4524</v>
      </c>
      <c r="E195" s="5">
        <f>deaths!E195</f>
        <v>0</v>
      </c>
      <c r="F195" s="5">
        <f>deaths!F195-deaths!E195</f>
        <v>0</v>
      </c>
      <c r="G195" s="5">
        <f>deaths!G195-deaths!F195</f>
        <v>0</v>
      </c>
      <c r="H195" s="5">
        <f>deaths!H195-deaths!G195</f>
        <v>0</v>
      </c>
      <c r="I195" s="5">
        <f>deaths!I195-deaths!H195</f>
        <v>0</v>
      </c>
      <c r="J195" s="5">
        <f>deaths!J195-deaths!I195</f>
        <v>0</v>
      </c>
      <c r="K195" s="5">
        <f>deaths!K195-deaths!J195</f>
        <v>0</v>
      </c>
      <c r="L195" s="5">
        <f>deaths!L195-deaths!K195</f>
        <v>0</v>
      </c>
      <c r="M195" s="5">
        <f>deaths!M195-deaths!L195</f>
        <v>0</v>
      </c>
      <c r="N195" s="5">
        <f>deaths!N195-deaths!M195</f>
        <v>0</v>
      </c>
      <c r="O195" s="5">
        <f>deaths!O195-deaths!N195</f>
        <v>0</v>
      </c>
      <c r="P195" s="5">
        <f>deaths!P195-deaths!O195</f>
        <v>0</v>
      </c>
      <c r="Q195" s="5">
        <f>deaths!Q195-deaths!P195</f>
        <v>0</v>
      </c>
      <c r="R195" s="5">
        <f>deaths!R195-deaths!Q195</f>
        <v>0</v>
      </c>
      <c r="S195" s="5">
        <f>deaths!S195-deaths!R195</f>
        <v>0</v>
      </c>
      <c r="T195" s="5">
        <f>deaths!T195-deaths!S195</f>
        <v>0</v>
      </c>
      <c r="U195" s="5">
        <f>deaths!U195-deaths!T195</f>
        <v>0</v>
      </c>
      <c r="V195" s="5">
        <f>deaths!V195-deaths!U195</f>
        <v>0</v>
      </c>
      <c r="W195" s="5">
        <f>deaths!W195-deaths!V195</f>
        <v>0</v>
      </c>
      <c r="X195" s="5">
        <f>deaths!X195-deaths!W195</f>
        <v>0</v>
      </c>
      <c r="Y195" s="5">
        <f>deaths!Y195-deaths!X195</f>
        <v>0</v>
      </c>
      <c r="Z195" s="5">
        <f>deaths!Z195-deaths!Y195</f>
        <v>0</v>
      </c>
      <c r="AA195" s="5">
        <f>deaths!AA195-deaths!Z195</f>
        <v>0</v>
      </c>
      <c r="AB195" s="5">
        <f>deaths!AB195-deaths!AA195</f>
        <v>0</v>
      </c>
      <c r="AC195" s="5">
        <f>deaths!AC195-deaths!AB195</f>
        <v>0</v>
      </c>
      <c r="AD195" s="5">
        <f>deaths!AD195-deaths!AC195</f>
        <v>0</v>
      </c>
      <c r="AE195" s="5">
        <f>deaths!AE195-deaths!AD195</f>
        <v>0</v>
      </c>
      <c r="AF195" s="5">
        <f>deaths!AF195-deaths!AE195</f>
        <v>0</v>
      </c>
      <c r="AG195" s="5">
        <f>deaths!AG195-deaths!AF195</f>
        <v>0</v>
      </c>
      <c r="AH195" s="5">
        <f>deaths!AH195-deaths!AG195</f>
        <v>0</v>
      </c>
      <c r="AI195" s="5">
        <f>deaths!AI195-deaths!AH195</f>
        <v>0</v>
      </c>
      <c r="AJ195" s="5">
        <f>deaths!AJ195-deaths!AI195</f>
        <v>0</v>
      </c>
      <c r="AK195" s="5">
        <f>deaths!AK195-deaths!AJ195</f>
        <v>0</v>
      </c>
      <c r="AL195" s="5">
        <f>deaths!AL195-deaths!AK195</f>
        <v>0</v>
      </c>
      <c r="AM195" s="5">
        <f>deaths!AM195-deaths!AL195</f>
        <v>0</v>
      </c>
      <c r="AN195" s="5">
        <f>deaths!AN195-deaths!AM195</f>
        <v>0</v>
      </c>
      <c r="AO195" s="5">
        <f>deaths!AO195-deaths!AN195</f>
        <v>0</v>
      </c>
      <c r="AP195" s="5">
        <f>deaths!AP195-deaths!AO195</f>
        <v>0</v>
      </c>
      <c r="AQ195" s="5">
        <f>deaths!AQ195-deaths!AP195</f>
        <v>0</v>
      </c>
      <c r="AR195" s="5">
        <f>deaths!AR195-deaths!AQ195</f>
        <v>0</v>
      </c>
      <c r="AS195" s="5">
        <f>deaths!AS195-deaths!AR195</f>
        <v>0</v>
      </c>
      <c r="AT195" s="5">
        <f>deaths!AT195-deaths!AS195</f>
        <v>0</v>
      </c>
      <c r="AU195" s="5">
        <f>deaths!AU195-deaths!AT195</f>
        <v>0</v>
      </c>
      <c r="AV195" s="5">
        <f>deaths!AV195-deaths!AU195</f>
        <v>0</v>
      </c>
      <c r="AW195" s="5">
        <f>deaths!AW195-deaths!AV195</f>
        <v>0</v>
      </c>
      <c r="AX195" s="5">
        <f>deaths!AX195-deaths!AW195</f>
        <v>0</v>
      </c>
      <c r="AY195" s="5">
        <f>deaths!AY195-deaths!AX195</f>
        <v>0</v>
      </c>
      <c r="AZ195" s="5">
        <f>deaths!AZ195-deaths!AY195</f>
        <v>0</v>
      </c>
      <c r="BA195" s="5">
        <f>deaths!BA195-deaths!AZ195</f>
        <v>0</v>
      </c>
      <c r="BB195" s="5">
        <f>deaths!BB195-deaths!BA195</f>
        <v>0</v>
      </c>
      <c r="BC195" s="5">
        <f>deaths!BC195-deaths!BB195</f>
        <v>0</v>
      </c>
      <c r="BD195" s="5">
        <f>deaths!BD195-deaths!BC195</f>
        <v>0</v>
      </c>
      <c r="BE195" s="5">
        <f>deaths!BE195-deaths!BD195</f>
        <v>0</v>
      </c>
      <c r="BF195" s="5">
        <f>deaths!BF195-deaths!BE195</f>
        <v>0</v>
      </c>
      <c r="BG195" s="5">
        <f>deaths!BG195-deaths!BF195</f>
        <v>0</v>
      </c>
      <c r="BH195" s="5">
        <f>deaths!BH195-deaths!BG195</f>
        <v>0</v>
      </c>
      <c r="BI195" s="5">
        <f>deaths!BI195-deaths!BH195</f>
        <v>0</v>
      </c>
      <c r="BJ195" s="5">
        <f>deaths!BJ195-deaths!BI195</f>
        <v>0</v>
      </c>
      <c r="BK195" s="5">
        <f>deaths!BK195-deaths!BJ195</f>
        <v>0</v>
      </c>
      <c r="BL195" s="5">
        <f>deaths!BL195-deaths!BK195</f>
        <v>0</v>
      </c>
      <c r="BM195" s="5">
        <f>deaths!BM195-deaths!BL195</f>
        <v>0</v>
      </c>
      <c r="BN195" s="5">
        <f>deaths!BN195-deaths!BM195</f>
        <v>0</v>
      </c>
      <c r="BO195" s="5">
        <f>deaths!BO195-deaths!BN195</f>
        <v>0</v>
      </c>
      <c r="BP195" s="5">
        <f>deaths!BP195-deaths!BO195</f>
        <v>0</v>
      </c>
      <c r="BQ195" s="5">
        <f>deaths!BQ195-deaths!BP195</f>
        <v>0</v>
      </c>
      <c r="BR195" s="5">
        <f>deaths!BR195-deaths!BQ195</f>
        <v>0</v>
      </c>
      <c r="BS195" s="5">
        <f>deaths!BS195-deaths!BR195</f>
        <v>0</v>
      </c>
      <c r="BT195" s="5">
        <f>deaths!BT195-deaths!BS195</f>
        <v>0</v>
      </c>
      <c r="BU195" s="5">
        <f>deaths!BU195-deaths!BT195</f>
        <v>0</v>
      </c>
      <c r="BV195" s="5">
        <f>deaths!BV195-deaths!BU195</f>
        <v>0</v>
      </c>
      <c r="BW195" s="5">
        <f>deaths!BW195-deaths!BV195</f>
        <v>1</v>
      </c>
      <c r="BX195" s="5">
        <f>deaths!BX195-deaths!BW195</f>
        <v>0</v>
      </c>
      <c r="BY195" s="5">
        <f>deaths!BY195-deaths!BX195</f>
        <v>0</v>
      </c>
      <c r="BZ195" s="1">
        <f>deaths!BZ195</f>
        <v>2</v>
      </c>
      <c r="CA195" s="1">
        <f>deaths!CA195</f>
        <v>2</v>
      </c>
      <c r="CB195" s="1">
        <f>deaths!CB195</f>
        <v>2</v>
      </c>
      <c r="CC195" s="1" t="str">
        <f>deaths!CC195</f>
        <v/>
      </c>
    </row>
    <row r="196">
      <c r="B196" s="1" t="str">
        <f>deaths!B196</f>
        <v>Serbia</v>
      </c>
      <c r="C196" s="4">
        <f>deaths!C196</f>
        <v>44.0165</v>
      </c>
      <c r="D196" s="4">
        <f>deaths!D196</f>
        <v>21.0059</v>
      </c>
      <c r="E196" s="5">
        <f>deaths!E196</f>
        <v>0</v>
      </c>
      <c r="F196" s="5">
        <f>deaths!F196-deaths!E196</f>
        <v>0</v>
      </c>
      <c r="G196" s="5">
        <f>deaths!G196-deaths!F196</f>
        <v>0</v>
      </c>
      <c r="H196" s="5">
        <f>deaths!H196-deaths!G196</f>
        <v>0</v>
      </c>
      <c r="I196" s="5">
        <f>deaths!I196-deaths!H196</f>
        <v>0</v>
      </c>
      <c r="J196" s="5">
        <f>deaths!J196-deaths!I196</f>
        <v>0</v>
      </c>
      <c r="K196" s="5">
        <f>deaths!K196-deaths!J196</f>
        <v>0</v>
      </c>
      <c r="L196" s="5">
        <f>deaths!L196-deaths!K196</f>
        <v>0</v>
      </c>
      <c r="M196" s="5">
        <f>deaths!M196-deaths!L196</f>
        <v>0</v>
      </c>
      <c r="N196" s="5">
        <f>deaths!N196-deaths!M196</f>
        <v>0</v>
      </c>
      <c r="O196" s="5">
        <f>deaths!O196-deaths!N196</f>
        <v>0</v>
      </c>
      <c r="P196" s="5">
        <f>deaths!P196-deaths!O196</f>
        <v>0</v>
      </c>
      <c r="Q196" s="5">
        <f>deaths!Q196-deaths!P196</f>
        <v>0</v>
      </c>
      <c r="R196" s="5">
        <f>deaths!R196-deaths!Q196</f>
        <v>0</v>
      </c>
      <c r="S196" s="5">
        <f>deaths!S196-deaths!R196</f>
        <v>0</v>
      </c>
      <c r="T196" s="5">
        <f>deaths!T196-deaths!S196</f>
        <v>0</v>
      </c>
      <c r="U196" s="5">
        <f>deaths!U196-deaths!T196</f>
        <v>0</v>
      </c>
      <c r="V196" s="5">
        <f>deaths!V196-deaths!U196</f>
        <v>0</v>
      </c>
      <c r="W196" s="5">
        <f>deaths!W196-deaths!V196</f>
        <v>0</v>
      </c>
      <c r="X196" s="5">
        <f>deaths!X196-deaths!W196</f>
        <v>0</v>
      </c>
      <c r="Y196" s="5">
        <f>deaths!Y196-deaths!X196</f>
        <v>0</v>
      </c>
      <c r="Z196" s="5">
        <f>deaths!Z196-deaths!Y196</f>
        <v>0</v>
      </c>
      <c r="AA196" s="5">
        <f>deaths!AA196-deaths!Z196</f>
        <v>0</v>
      </c>
      <c r="AB196" s="5">
        <f>deaths!AB196-deaths!AA196</f>
        <v>0</v>
      </c>
      <c r="AC196" s="5">
        <f>deaths!AC196-deaths!AB196</f>
        <v>0</v>
      </c>
      <c r="AD196" s="5">
        <f>deaths!AD196-deaths!AC196</f>
        <v>0</v>
      </c>
      <c r="AE196" s="5">
        <f>deaths!AE196-deaths!AD196</f>
        <v>0</v>
      </c>
      <c r="AF196" s="5">
        <f>deaths!AF196-deaths!AE196</f>
        <v>0</v>
      </c>
      <c r="AG196" s="5">
        <f>deaths!AG196-deaths!AF196</f>
        <v>0</v>
      </c>
      <c r="AH196" s="5">
        <f>deaths!AH196-deaths!AG196</f>
        <v>0</v>
      </c>
      <c r="AI196" s="5">
        <f>deaths!AI196-deaths!AH196</f>
        <v>0</v>
      </c>
      <c r="AJ196" s="5">
        <f>deaths!AJ196-deaths!AI196</f>
        <v>0</v>
      </c>
      <c r="AK196" s="5">
        <f>deaths!AK196-deaths!AJ196</f>
        <v>0</v>
      </c>
      <c r="AL196" s="5">
        <f>deaths!AL196-deaths!AK196</f>
        <v>0</v>
      </c>
      <c r="AM196" s="5">
        <f>deaths!AM196-deaths!AL196</f>
        <v>0</v>
      </c>
      <c r="AN196" s="5">
        <f>deaths!AN196-deaths!AM196</f>
        <v>0</v>
      </c>
      <c r="AO196" s="5">
        <f>deaths!AO196-deaths!AN196</f>
        <v>0</v>
      </c>
      <c r="AP196" s="5">
        <f>deaths!AP196-deaths!AO196</f>
        <v>0</v>
      </c>
      <c r="AQ196" s="5">
        <f>deaths!AQ196-deaths!AP196</f>
        <v>0</v>
      </c>
      <c r="AR196" s="5">
        <f>deaths!AR196-deaths!AQ196</f>
        <v>0</v>
      </c>
      <c r="AS196" s="5">
        <f>deaths!AS196-deaths!AR196</f>
        <v>0</v>
      </c>
      <c r="AT196" s="5">
        <f>deaths!AT196-deaths!AS196</f>
        <v>0</v>
      </c>
      <c r="AU196" s="5">
        <f>deaths!AU196-deaths!AT196</f>
        <v>0</v>
      </c>
      <c r="AV196" s="5">
        <f>deaths!AV196-deaths!AU196</f>
        <v>0</v>
      </c>
      <c r="AW196" s="5">
        <f>deaths!AW196-deaths!AV196</f>
        <v>0</v>
      </c>
      <c r="AX196" s="5">
        <f>deaths!AX196-deaths!AW196</f>
        <v>0</v>
      </c>
      <c r="AY196" s="5">
        <f>deaths!AY196-deaths!AX196</f>
        <v>0</v>
      </c>
      <c r="AZ196" s="5">
        <f>deaths!AZ196-deaths!AY196</f>
        <v>0</v>
      </c>
      <c r="BA196" s="5">
        <f>deaths!BA196-deaths!AZ196</f>
        <v>0</v>
      </c>
      <c r="BB196" s="5">
        <f>deaths!BB196-deaths!BA196</f>
        <v>0</v>
      </c>
      <c r="BC196" s="5">
        <f>deaths!BC196-deaths!BB196</f>
        <v>0</v>
      </c>
      <c r="BD196" s="5">
        <f>deaths!BD196-deaths!BC196</f>
        <v>0</v>
      </c>
      <c r="BE196" s="5">
        <f>deaths!BE196-deaths!BD196</f>
        <v>0</v>
      </c>
      <c r="BF196" s="5">
        <f>deaths!BF196-deaths!BE196</f>
        <v>0</v>
      </c>
      <c r="BG196" s="5">
        <f>deaths!BG196-deaths!BF196</f>
        <v>0</v>
      </c>
      <c r="BH196" s="5">
        <f>deaths!BH196-deaths!BG196</f>
        <v>0</v>
      </c>
      <c r="BI196" s="5">
        <f>deaths!BI196-deaths!BH196</f>
        <v>0</v>
      </c>
      <c r="BJ196" s="5">
        <f>deaths!BJ196-deaths!BI196</f>
        <v>0</v>
      </c>
      <c r="BK196" s="5">
        <f>deaths!BK196-deaths!BJ196</f>
        <v>1</v>
      </c>
      <c r="BL196" s="5">
        <f>deaths!BL196-deaths!BK196</f>
        <v>0</v>
      </c>
      <c r="BM196" s="5">
        <f>deaths!BM196-deaths!BL196</f>
        <v>1</v>
      </c>
      <c r="BN196" s="5">
        <f>deaths!BN196-deaths!BM196</f>
        <v>1</v>
      </c>
      <c r="BO196" s="5">
        <f>deaths!BO196-deaths!BN196</f>
        <v>0</v>
      </c>
      <c r="BP196" s="5">
        <f>deaths!BP196-deaths!BO196</f>
        <v>1</v>
      </c>
      <c r="BQ196" s="5">
        <f>deaths!BQ196-deaths!BP196</f>
        <v>-3</v>
      </c>
      <c r="BR196" s="5">
        <f>deaths!BR196-deaths!BQ196</f>
        <v>0</v>
      </c>
      <c r="BS196" s="5">
        <f>deaths!BS196-deaths!BR196</f>
        <v>9</v>
      </c>
      <c r="BT196" s="5">
        <f>deaths!BT196-deaths!BS196</f>
        <v>3</v>
      </c>
      <c r="BU196" s="5">
        <f>deaths!BU196-deaths!BT196</f>
        <v>3</v>
      </c>
      <c r="BV196" s="5">
        <f>deaths!BV196-deaths!BU196</f>
        <v>0</v>
      </c>
      <c r="BW196" s="5">
        <f>deaths!BW196-deaths!BV196</f>
        <v>12</v>
      </c>
      <c r="BX196" s="5">
        <f>deaths!BX196-deaths!BW196</f>
        <v>3</v>
      </c>
      <c r="BY196" s="5">
        <f>deaths!BY196-deaths!BX196</f>
        <v>8</v>
      </c>
      <c r="BZ196" s="1">
        <f>deaths!BZ196</f>
        <v>44</v>
      </c>
      <c r="CA196" s="1">
        <f>deaths!CA196</f>
        <v>51</v>
      </c>
      <c r="CB196" s="1">
        <f>deaths!CB196</f>
        <v>58</v>
      </c>
      <c r="CC196" s="1" t="str">
        <f>deaths!CC196</f>
        <v/>
      </c>
    </row>
    <row r="197">
      <c r="B197" s="1" t="str">
        <f>deaths!B197</f>
        <v>Seychelles</v>
      </c>
      <c r="C197" s="4">
        <f>deaths!C197</f>
        <v>-4.6796</v>
      </c>
      <c r="D197" s="4">
        <f>deaths!D197</f>
        <v>55.492</v>
      </c>
      <c r="E197" s="5">
        <f>deaths!E197</f>
        <v>0</v>
      </c>
      <c r="F197" s="5">
        <f>deaths!F197-deaths!E197</f>
        <v>0</v>
      </c>
      <c r="G197" s="5">
        <f>deaths!G197-deaths!F197</f>
        <v>0</v>
      </c>
      <c r="H197" s="5">
        <f>deaths!H197-deaths!G197</f>
        <v>0</v>
      </c>
      <c r="I197" s="5">
        <f>deaths!I197-deaths!H197</f>
        <v>0</v>
      </c>
      <c r="J197" s="5">
        <f>deaths!J197-deaths!I197</f>
        <v>0</v>
      </c>
      <c r="K197" s="5">
        <f>deaths!K197-deaths!J197</f>
        <v>0</v>
      </c>
      <c r="L197" s="5">
        <f>deaths!L197-deaths!K197</f>
        <v>0</v>
      </c>
      <c r="M197" s="5">
        <f>deaths!M197-deaths!L197</f>
        <v>0</v>
      </c>
      <c r="N197" s="5">
        <f>deaths!N197-deaths!M197</f>
        <v>0</v>
      </c>
      <c r="O197" s="5">
        <f>deaths!O197-deaths!N197</f>
        <v>0</v>
      </c>
      <c r="P197" s="5">
        <f>deaths!P197-deaths!O197</f>
        <v>0</v>
      </c>
      <c r="Q197" s="5">
        <f>deaths!Q197-deaths!P197</f>
        <v>0</v>
      </c>
      <c r="R197" s="5">
        <f>deaths!R197-deaths!Q197</f>
        <v>0</v>
      </c>
      <c r="S197" s="5">
        <f>deaths!S197-deaths!R197</f>
        <v>0</v>
      </c>
      <c r="T197" s="5">
        <f>deaths!T197-deaths!S197</f>
        <v>0</v>
      </c>
      <c r="U197" s="5">
        <f>deaths!U197-deaths!T197</f>
        <v>0</v>
      </c>
      <c r="V197" s="5">
        <f>deaths!V197-deaths!U197</f>
        <v>0</v>
      </c>
      <c r="W197" s="5">
        <f>deaths!W197-deaths!V197</f>
        <v>0</v>
      </c>
      <c r="X197" s="5">
        <f>deaths!X197-deaths!W197</f>
        <v>0</v>
      </c>
      <c r="Y197" s="5">
        <f>deaths!Y197-deaths!X197</f>
        <v>0</v>
      </c>
      <c r="Z197" s="5">
        <f>deaths!Z197-deaths!Y197</f>
        <v>0</v>
      </c>
      <c r="AA197" s="5">
        <f>deaths!AA197-deaths!Z197</f>
        <v>0</v>
      </c>
      <c r="AB197" s="5">
        <f>deaths!AB197-deaths!AA197</f>
        <v>0</v>
      </c>
      <c r="AC197" s="5">
        <f>deaths!AC197-deaths!AB197</f>
        <v>0</v>
      </c>
      <c r="AD197" s="5">
        <f>deaths!AD197-deaths!AC197</f>
        <v>0</v>
      </c>
      <c r="AE197" s="5">
        <f>deaths!AE197-deaths!AD197</f>
        <v>0</v>
      </c>
      <c r="AF197" s="5">
        <f>deaths!AF197-deaths!AE197</f>
        <v>0</v>
      </c>
      <c r="AG197" s="5">
        <f>deaths!AG197-deaths!AF197</f>
        <v>0</v>
      </c>
      <c r="AH197" s="5">
        <f>deaths!AH197-deaths!AG197</f>
        <v>0</v>
      </c>
      <c r="AI197" s="5">
        <f>deaths!AI197-deaths!AH197</f>
        <v>0</v>
      </c>
      <c r="AJ197" s="5">
        <f>deaths!AJ197-deaths!AI197</f>
        <v>0</v>
      </c>
      <c r="AK197" s="5">
        <f>deaths!AK197-deaths!AJ197</f>
        <v>0</v>
      </c>
      <c r="AL197" s="5">
        <f>deaths!AL197-deaths!AK197</f>
        <v>0</v>
      </c>
      <c r="AM197" s="5">
        <f>deaths!AM197-deaths!AL197</f>
        <v>0</v>
      </c>
      <c r="AN197" s="5">
        <f>deaths!AN197-deaths!AM197</f>
        <v>0</v>
      </c>
      <c r="AO197" s="5">
        <f>deaths!AO197-deaths!AN197</f>
        <v>0</v>
      </c>
      <c r="AP197" s="5">
        <f>deaths!AP197-deaths!AO197</f>
        <v>0</v>
      </c>
      <c r="AQ197" s="5">
        <f>deaths!AQ197-deaths!AP197</f>
        <v>0</v>
      </c>
      <c r="AR197" s="5">
        <f>deaths!AR197-deaths!AQ197</f>
        <v>0</v>
      </c>
      <c r="AS197" s="5">
        <f>deaths!AS197-deaths!AR197</f>
        <v>0</v>
      </c>
      <c r="AT197" s="5">
        <f>deaths!AT197-deaths!AS197</f>
        <v>0</v>
      </c>
      <c r="AU197" s="5">
        <f>deaths!AU197-deaths!AT197</f>
        <v>0</v>
      </c>
      <c r="AV197" s="5">
        <f>deaths!AV197-deaths!AU197</f>
        <v>0</v>
      </c>
      <c r="AW197" s="5">
        <f>deaths!AW197-deaths!AV197</f>
        <v>0</v>
      </c>
      <c r="AX197" s="5">
        <f>deaths!AX197-deaths!AW197</f>
        <v>0</v>
      </c>
      <c r="AY197" s="5">
        <f>deaths!AY197-deaths!AX197</f>
        <v>0</v>
      </c>
      <c r="AZ197" s="5">
        <f>deaths!AZ197-deaths!AY197</f>
        <v>0</v>
      </c>
      <c r="BA197" s="5">
        <f>deaths!BA197-deaths!AZ197</f>
        <v>0</v>
      </c>
      <c r="BB197" s="5">
        <f>deaths!BB197-deaths!BA197</f>
        <v>0</v>
      </c>
      <c r="BC197" s="5">
        <f>deaths!BC197-deaths!BB197</f>
        <v>0</v>
      </c>
      <c r="BD197" s="5">
        <f>deaths!BD197-deaths!BC197</f>
        <v>0</v>
      </c>
      <c r="BE197" s="5">
        <f>deaths!BE197-deaths!BD197</f>
        <v>0</v>
      </c>
      <c r="BF197" s="5">
        <f>deaths!BF197-deaths!BE197</f>
        <v>0</v>
      </c>
      <c r="BG197" s="5">
        <f>deaths!BG197-deaths!BF197</f>
        <v>0</v>
      </c>
      <c r="BH197" s="5">
        <f>deaths!BH197-deaths!BG197</f>
        <v>0</v>
      </c>
      <c r="BI197" s="5">
        <f>deaths!BI197-deaths!BH197</f>
        <v>0</v>
      </c>
      <c r="BJ197" s="5">
        <f>deaths!BJ197-deaths!BI197</f>
        <v>0</v>
      </c>
      <c r="BK197" s="5">
        <f>deaths!BK197-deaths!BJ197</f>
        <v>0</v>
      </c>
      <c r="BL197" s="5">
        <f>deaths!BL197-deaths!BK197</f>
        <v>0</v>
      </c>
      <c r="BM197" s="5">
        <f>deaths!BM197-deaths!BL197</f>
        <v>0</v>
      </c>
      <c r="BN197" s="5">
        <f>deaths!BN197-deaths!BM197</f>
        <v>0</v>
      </c>
      <c r="BO197" s="5">
        <f>deaths!BO197-deaths!BN197</f>
        <v>0</v>
      </c>
      <c r="BP197" s="5">
        <f>deaths!BP197-deaths!BO197</f>
        <v>0</v>
      </c>
      <c r="BQ197" s="5">
        <f>deaths!BQ197-deaths!BP197</f>
        <v>0</v>
      </c>
      <c r="BR197" s="5">
        <f>deaths!BR197-deaths!BQ197</f>
        <v>0</v>
      </c>
      <c r="BS197" s="5">
        <f>deaths!BS197-deaths!BR197</f>
        <v>0</v>
      </c>
      <c r="BT197" s="5">
        <f>deaths!BT197-deaths!BS197</f>
        <v>0</v>
      </c>
      <c r="BU197" s="5">
        <f>deaths!BU197-deaths!BT197</f>
        <v>0</v>
      </c>
      <c r="BV197" s="5">
        <f>deaths!BV197-deaths!BU197</f>
        <v>0</v>
      </c>
      <c r="BW197" s="5">
        <f>deaths!BW197-deaths!BV197</f>
        <v>0</v>
      </c>
      <c r="BX197" s="5">
        <f>deaths!BX197-deaths!BW197</f>
        <v>0</v>
      </c>
      <c r="BY197" s="5">
        <f>deaths!BY197-deaths!BX197</f>
        <v>0</v>
      </c>
      <c r="BZ197" s="1">
        <f>deaths!BZ197</f>
        <v>0</v>
      </c>
      <c r="CA197" s="1">
        <f>deaths!CA197</f>
        <v>0</v>
      </c>
      <c r="CB197" s="1">
        <f>deaths!CB197</f>
        <v>0</v>
      </c>
      <c r="CC197" s="1" t="str">
        <f>deaths!CC197</f>
        <v/>
      </c>
    </row>
    <row r="198">
      <c r="B198" s="1" t="str">
        <f>deaths!B198</f>
        <v>Singapore</v>
      </c>
      <c r="C198" s="4">
        <f>deaths!C198</f>
        <v>1.2833</v>
      </c>
      <c r="D198" s="4">
        <f>deaths!D198</f>
        <v>103.8333</v>
      </c>
      <c r="E198" s="5">
        <f>deaths!E198</f>
        <v>0</v>
      </c>
      <c r="F198" s="5">
        <f>deaths!F198-deaths!E198</f>
        <v>0</v>
      </c>
      <c r="G198" s="5">
        <f>deaths!G198-deaths!F198</f>
        <v>0</v>
      </c>
      <c r="H198" s="5">
        <f>deaths!H198-deaths!G198</f>
        <v>0</v>
      </c>
      <c r="I198" s="5">
        <f>deaths!I198-deaths!H198</f>
        <v>0</v>
      </c>
      <c r="J198" s="5">
        <f>deaths!J198-deaths!I198</f>
        <v>0</v>
      </c>
      <c r="K198" s="5">
        <f>deaths!K198-deaths!J198</f>
        <v>0</v>
      </c>
      <c r="L198" s="5">
        <f>deaths!L198-deaths!K198</f>
        <v>0</v>
      </c>
      <c r="M198" s="5">
        <f>deaths!M198-deaths!L198</f>
        <v>0</v>
      </c>
      <c r="N198" s="5">
        <f>deaths!N198-deaths!M198</f>
        <v>0</v>
      </c>
      <c r="O198" s="5">
        <f>deaths!O198-deaths!N198</f>
        <v>0</v>
      </c>
      <c r="P198" s="5">
        <f>deaths!P198-deaths!O198</f>
        <v>0</v>
      </c>
      <c r="Q198" s="5">
        <f>deaths!Q198-deaths!P198</f>
        <v>0</v>
      </c>
      <c r="R198" s="5">
        <f>deaths!R198-deaths!Q198</f>
        <v>0</v>
      </c>
      <c r="S198" s="5">
        <f>deaths!S198-deaths!R198</f>
        <v>0</v>
      </c>
      <c r="T198" s="5">
        <f>deaths!T198-deaths!S198</f>
        <v>0</v>
      </c>
      <c r="U198" s="5">
        <f>deaths!U198-deaths!T198</f>
        <v>0</v>
      </c>
      <c r="V198" s="5">
        <f>deaths!V198-deaths!U198</f>
        <v>0</v>
      </c>
      <c r="W198" s="5">
        <f>deaths!W198-deaths!V198</f>
        <v>0</v>
      </c>
      <c r="X198" s="5">
        <f>deaths!X198-deaths!W198</f>
        <v>0</v>
      </c>
      <c r="Y198" s="5">
        <f>deaths!Y198-deaths!X198</f>
        <v>0</v>
      </c>
      <c r="Z198" s="5">
        <f>deaths!Z198-deaths!Y198</f>
        <v>0</v>
      </c>
      <c r="AA198" s="5">
        <f>deaths!AA198-deaths!Z198</f>
        <v>0</v>
      </c>
      <c r="AB198" s="5">
        <f>deaths!AB198-deaths!AA198</f>
        <v>0</v>
      </c>
      <c r="AC198" s="5">
        <f>deaths!AC198-deaths!AB198</f>
        <v>0</v>
      </c>
      <c r="AD198" s="5">
        <f>deaths!AD198-deaths!AC198</f>
        <v>0</v>
      </c>
      <c r="AE198" s="5">
        <f>deaths!AE198-deaths!AD198</f>
        <v>0</v>
      </c>
      <c r="AF198" s="5">
        <f>deaths!AF198-deaths!AE198</f>
        <v>0</v>
      </c>
      <c r="AG198" s="5">
        <f>deaths!AG198-deaths!AF198</f>
        <v>0</v>
      </c>
      <c r="AH198" s="5">
        <f>deaths!AH198-deaths!AG198</f>
        <v>0</v>
      </c>
      <c r="AI198" s="5">
        <f>deaths!AI198-deaths!AH198</f>
        <v>0</v>
      </c>
      <c r="AJ198" s="5">
        <f>deaths!AJ198-deaths!AI198</f>
        <v>0</v>
      </c>
      <c r="AK198" s="5">
        <f>deaths!AK198-deaths!AJ198</f>
        <v>0</v>
      </c>
      <c r="AL198" s="5">
        <f>deaths!AL198-deaths!AK198</f>
        <v>0</v>
      </c>
      <c r="AM198" s="5">
        <f>deaths!AM198-deaths!AL198</f>
        <v>0</v>
      </c>
      <c r="AN198" s="5">
        <f>deaths!AN198-deaths!AM198</f>
        <v>0</v>
      </c>
      <c r="AO198" s="5">
        <f>deaths!AO198-deaths!AN198</f>
        <v>0</v>
      </c>
      <c r="AP198" s="5">
        <f>deaths!AP198-deaths!AO198</f>
        <v>0</v>
      </c>
      <c r="AQ198" s="5">
        <f>deaths!AQ198-deaths!AP198</f>
        <v>0</v>
      </c>
      <c r="AR198" s="5">
        <f>deaths!AR198-deaths!AQ198</f>
        <v>0</v>
      </c>
      <c r="AS198" s="5">
        <f>deaths!AS198-deaths!AR198</f>
        <v>0</v>
      </c>
      <c r="AT198" s="5">
        <f>deaths!AT198-deaths!AS198</f>
        <v>0</v>
      </c>
      <c r="AU198" s="5">
        <f>deaths!AU198-deaths!AT198</f>
        <v>0</v>
      </c>
      <c r="AV198" s="5">
        <f>deaths!AV198-deaths!AU198</f>
        <v>0</v>
      </c>
      <c r="AW198" s="5">
        <f>deaths!AW198-deaths!AV198</f>
        <v>0</v>
      </c>
      <c r="AX198" s="5">
        <f>deaths!AX198-deaths!AW198</f>
        <v>0</v>
      </c>
      <c r="AY198" s="5">
        <f>deaths!AY198-deaths!AX198</f>
        <v>0</v>
      </c>
      <c r="AZ198" s="5">
        <f>deaths!AZ198-deaths!AY198</f>
        <v>0</v>
      </c>
      <c r="BA198" s="5">
        <f>deaths!BA198-deaths!AZ198</f>
        <v>0</v>
      </c>
      <c r="BB198" s="5">
        <f>deaths!BB198-deaths!BA198</f>
        <v>0</v>
      </c>
      <c r="BC198" s="5">
        <f>deaths!BC198-deaths!BB198</f>
        <v>0</v>
      </c>
      <c r="BD198" s="5">
        <f>deaths!BD198-deaths!BC198</f>
        <v>0</v>
      </c>
      <c r="BE198" s="5">
        <f>deaths!BE198-deaths!BD198</f>
        <v>0</v>
      </c>
      <c r="BF198" s="5">
        <f>deaths!BF198-deaths!BE198</f>
        <v>0</v>
      </c>
      <c r="BG198" s="5">
        <f>deaths!BG198-deaths!BF198</f>
        <v>0</v>
      </c>
      <c r="BH198" s="5">
        <f>deaths!BH198-deaths!BG198</f>
        <v>0</v>
      </c>
      <c r="BI198" s="5">
        <f>deaths!BI198-deaths!BH198</f>
        <v>0</v>
      </c>
      <c r="BJ198" s="5">
        <f>deaths!BJ198-deaths!BI198</f>
        <v>0</v>
      </c>
      <c r="BK198" s="5">
        <f>deaths!BK198-deaths!BJ198</f>
        <v>0</v>
      </c>
      <c r="BL198" s="5">
        <f>deaths!BL198-deaths!BK198</f>
        <v>2</v>
      </c>
      <c r="BM198" s="5">
        <f>deaths!BM198-deaths!BL198</f>
        <v>0</v>
      </c>
      <c r="BN198" s="5">
        <f>deaths!BN198-deaths!BM198</f>
        <v>0</v>
      </c>
      <c r="BO198" s="5">
        <f>deaths!BO198-deaths!BN198</f>
        <v>0</v>
      </c>
      <c r="BP198" s="5">
        <f>deaths!BP198-deaths!BO198</f>
        <v>0</v>
      </c>
      <c r="BQ198" s="5">
        <f>deaths!BQ198-deaths!BP198</f>
        <v>0</v>
      </c>
      <c r="BR198" s="5">
        <f>deaths!BR198-deaths!BQ198</f>
        <v>0</v>
      </c>
      <c r="BS198" s="5">
        <f>deaths!BS198-deaths!BR198</f>
        <v>0</v>
      </c>
      <c r="BT198" s="5">
        <f>deaths!BT198-deaths!BS198</f>
        <v>1</v>
      </c>
      <c r="BU198" s="5">
        <f>deaths!BU198-deaths!BT198</f>
        <v>0</v>
      </c>
      <c r="BV198" s="5">
        <f>deaths!BV198-deaths!BU198</f>
        <v>0</v>
      </c>
      <c r="BW198" s="5">
        <f>deaths!BW198-deaths!BV198</f>
        <v>0</v>
      </c>
      <c r="BX198" s="5">
        <f>deaths!BX198-deaths!BW198</f>
        <v>1</v>
      </c>
      <c r="BY198" s="5">
        <f>deaths!BY198-deaths!BX198</f>
        <v>1</v>
      </c>
      <c r="BZ198" s="1">
        <f>deaths!BZ198</f>
        <v>6</v>
      </c>
      <c r="CA198" s="1">
        <f>deaths!CA198</f>
        <v>6</v>
      </c>
      <c r="CB198" s="1">
        <f>deaths!CB198</f>
        <v>6</v>
      </c>
      <c r="CC198" s="1" t="str">
        <f>deaths!CC198</f>
        <v/>
      </c>
    </row>
    <row r="199">
      <c r="B199" s="1" t="str">
        <f>deaths!B199</f>
        <v>Slovakia</v>
      </c>
      <c r="C199" s="4">
        <f>deaths!C199</f>
        <v>48.669</v>
      </c>
      <c r="D199" s="4">
        <f>deaths!D199</f>
        <v>19.699</v>
      </c>
      <c r="E199" s="5">
        <f>deaths!E199</f>
        <v>0</v>
      </c>
      <c r="F199" s="5">
        <f>deaths!F199-deaths!E199</f>
        <v>0</v>
      </c>
      <c r="G199" s="5">
        <f>deaths!G199-deaths!F199</f>
        <v>0</v>
      </c>
      <c r="H199" s="5">
        <f>deaths!H199-deaths!G199</f>
        <v>0</v>
      </c>
      <c r="I199" s="5">
        <f>deaths!I199-deaths!H199</f>
        <v>0</v>
      </c>
      <c r="J199" s="5">
        <f>deaths!J199-deaths!I199</f>
        <v>0</v>
      </c>
      <c r="K199" s="5">
        <f>deaths!K199-deaths!J199</f>
        <v>0</v>
      </c>
      <c r="L199" s="5">
        <f>deaths!L199-deaths!K199</f>
        <v>0</v>
      </c>
      <c r="M199" s="5">
        <f>deaths!M199-deaths!L199</f>
        <v>0</v>
      </c>
      <c r="N199" s="5">
        <f>deaths!N199-deaths!M199</f>
        <v>0</v>
      </c>
      <c r="O199" s="5">
        <f>deaths!O199-deaths!N199</f>
        <v>0</v>
      </c>
      <c r="P199" s="5">
        <f>deaths!P199-deaths!O199</f>
        <v>0</v>
      </c>
      <c r="Q199" s="5">
        <f>deaths!Q199-deaths!P199</f>
        <v>0</v>
      </c>
      <c r="R199" s="5">
        <f>deaths!R199-deaths!Q199</f>
        <v>0</v>
      </c>
      <c r="S199" s="5">
        <f>deaths!S199-deaths!R199</f>
        <v>0</v>
      </c>
      <c r="T199" s="5">
        <f>deaths!T199-deaths!S199</f>
        <v>0</v>
      </c>
      <c r="U199" s="5">
        <f>deaths!U199-deaths!T199</f>
        <v>0</v>
      </c>
      <c r="V199" s="5">
        <f>deaths!V199-deaths!U199</f>
        <v>0</v>
      </c>
      <c r="W199" s="5">
        <f>deaths!W199-deaths!V199</f>
        <v>0</v>
      </c>
      <c r="X199" s="5">
        <f>deaths!X199-deaths!W199</f>
        <v>0</v>
      </c>
      <c r="Y199" s="5">
        <f>deaths!Y199-deaths!X199</f>
        <v>0</v>
      </c>
      <c r="Z199" s="5">
        <f>deaths!Z199-deaths!Y199</f>
        <v>0</v>
      </c>
      <c r="AA199" s="5">
        <f>deaths!AA199-deaths!Z199</f>
        <v>0</v>
      </c>
      <c r="AB199" s="5">
        <f>deaths!AB199-deaths!AA199</f>
        <v>0</v>
      </c>
      <c r="AC199" s="5">
        <f>deaths!AC199-deaths!AB199</f>
        <v>0</v>
      </c>
      <c r="AD199" s="5">
        <f>deaths!AD199-deaths!AC199</f>
        <v>0</v>
      </c>
      <c r="AE199" s="5">
        <f>deaths!AE199-deaths!AD199</f>
        <v>0</v>
      </c>
      <c r="AF199" s="5">
        <f>deaths!AF199-deaths!AE199</f>
        <v>0</v>
      </c>
      <c r="AG199" s="5">
        <f>deaths!AG199-deaths!AF199</f>
        <v>0</v>
      </c>
      <c r="AH199" s="5">
        <f>deaths!AH199-deaths!AG199</f>
        <v>0</v>
      </c>
      <c r="AI199" s="5">
        <f>deaths!AI199-deaths!AH199</f>
        <v>0</v>
      </c>
      <c r="AJ199" s="5">
        <f>deaths!AJ199-deaths!AI199</f>
        <v>0</v>
      </c>
      <c r="AK199" s="5">
        <f>deaths!AK199-deaths!AJ199</f>
        <v>0</v>
      </c>
      <c r="AL199" s="5">
        <f>deaths!AL199-deaths!AK199</f>
        <v>0</v>
      </c>
      <c r="AM199" s="5">
        <f>deaths!AM199-deaths!AL199</f>
        <v>0</v>
      </c>
      <c r="AN199" s="5">
        <f>deaths!AN199-deaths!AM199</f>
        <v>0</v>
      </c>
      <c r="AO199" s="5">
        <f>deaths!AO199-deaths!AN199</f>
        <v>0</v>
      </c>
      <c r="AP199" s="5">
        <f>deaths!AP199-deaths!AO199</f>
        <v>0</v>
      </c>
      <c r="AQ199" s="5">
        <f>deaths!AQ199-deaths!AP199</f>
        <v>0</v>
      </c>
      <c r="AR199" s="5">
        <f>deaths!AR199-deaths!AQ199</f>
        <v>0</v>
      </c>
      <c r="AS199" s="5">
        <f>deaths!AS199-deaths!AR199</f>
        <v>0</v>
      </c>
      <c r="AT199" s="5">
        <f>deaths!AT199-deaths!AS199</f>
        <v>0</v>
      </c>
      <c r="AU199" s="5">
        <f>deaths!AU199-deaths!AT199</f>
        <v>0</v>
      </c>
      <c r="AV199" s="5">
        <f>deaths!AV199-deaths!AU199</f>
        <v>0</v>
      </c>
      <c r="AW199" s="5">
        <f>deaths!AW199-deaths!AV199</f>
        <v>0</v>
      </c>
      <c r="AX199" s="5">
        <f>deaths!AX199-deaths!AW199</f>
        <v>0</v>
      </c>
      <c r="AY199" s="5">
        <f>deaths!AY199-deaths!AX199</f>
        <v>0</v>
      </c>
      <c r="AZ199" s="5">
        <f>deaths!AZ199-deaths!AY199</f>
        <v>0</v>
      </c>
      <c r="BA199" s="5">
        <f>deaths!BA199-deaths!AZ199</f>
        <v>0</v>
      </c>
      <c r="BB199" s="5">
        <f>deaths!BB199-deaths!BA199</f>
        <v>0</v>
      </c>
      <c r="BC199" s="5">
        <f>deaths!BC199-deaths!BB199</f>
        <v>0</v>
      </c>
      <c r="BD199" s="5">
        <f>deaths!BD199-deaths!BC199</f>
        <v>0</v>
      </c>
      <c r="BE199" s="5">
        <f>deaths!BE199-deaths!BD199</f>
        <v>0</v>
      </c>
      <c r="BF199" s="5">
        <f>deaths!BF199-deaths!BE199</f>
        <v>0</v>
      </c>
      <c r="BG199" s="5">
        <f>deaths!BG199-deaths!BF199</f>
        <v>0</v>
      </c>
      <c r="BH199" s="5">
        <f>deaths!BH199-deaths!BG199</f>
        <v>0</v>
      </c>
      <c r="BI199" s="5">
        <f>deaths!BI199-deaths!BH199</f>
        <v>1</v>
      </c>
      <c r="BJ199" s="5">
        <f>deaths!BJ199-deaths!BI199</f>
        <v>0</v>
      </c>
      <c r="BK199" s="5">
        <f>deaths!BK199-deaths!BJ199</f>
        <v>0</v>
      </c>
      <c r="BL199" s="5">
        <f>deaths!BL199-deaths!BK199</f>
        <v>0</v>
      </c>
      <c r="BM199" s="5">
        <f>deaths!BM199-deaths!BL199</f>
        <v>-1</v>
      </c>
      <c r="BN199" s="5">
        <f>deaths!BN199-deaths!BM199</f>
        <v>0</v>
      </c>
      <c r="BO199" s="5">
        <f>deaths!BO199-deaths!BN199</f>
        <v>0</v>
      </c>
      <c r="BP199" s="5">
        <f>deaths!BP199-deaths!BO199</f>
        <v>0</v>
      </c>
      <c r="BQ199" s="5">
        <f>deaths!BQ199-deaths!BP199</f>
        <v>0</v>
      </c>
      <c r="BR199" s="5">
        <f>deaths!BR199-deaths!BQ199</f>
        <v>0</v>
      </c>
      <c r="BS199" s="5">
        <f>deaths!BS199-deaths!BR199</f>
        <v>0</v>
      </c>
      <c r="BT199" s="5">
        <f>deaths!BT199-deaths!BS199</f>
        <v>0</v>
      </c>
      <c r="BU199" s="5">
        <f>deaths!BU199-deaths!BT199</f>
        <v>0</v>
      </c>
      <c r="BV199" s="5">
        <f>deaths!BV199-deaths!BU199</f>
        <v>0</v>
      </c>
      <c r="BW199" s="5">
        <f>deaths!BW199-deaths!BV199</f>
        <v>1</v>
      </c>
      <c r="BX199" s="5">
        <f>deaths!BX199-deaths!BW199</f>
        <v>0</v>
      </c>
      <c r="BY199" s="5">
        <f>deaths!BY199-deaths!BX199</f>
        <v>0</v>
      </c>
      <c r="BZ199" s="1">
        <f>deaths!BZ199</f>
        <v>1</v>
      </c>
      <c r="CA199" s="1">
        <f>deaths!CA199</f>
        <v>1</v>
      </c>
      <c r="CB199" s="1">
        <f>deaths!CB199</f>
        <v>2</v>
      </c>
      <c r="CC199" s="1" t="str">
        <f>deaths!CC199</f>
        <v/>
      </c>
    </row>
    <row r="200">
      <c r="B200" s="1" t="str">
        <f>deaths!B200</f>
        <v>Slovenia</v>
      </c>
      <c r="C200" s="4">
        <f>deaths!C200</f>
        <v>46.1512</v>
      </c>
      <c r="D200" s="4">
        <f>deaths!D200</f>
        <v>14.9955</v>
      </c>
      <c r="E200" s="5">
        <f>deaths!E200</f>
        <v>0</v>
      </c>
      <c r="F200" s="5">
        <f>deaths!F200-deaths!E200</f>
        <v>0</v>
      </c>
      <c r="G200" s="5">
        <f>deaths!G200-deaths!F200</f>
        <v>0</v>
      </c>
      <c r="H200" s="5">
        <f>deaths!H200-deaths!G200</f>
        <v>0</v>
      </c>
      <c r="I200" s="5">
        <f>deaths!I200-deaths!H200</f>
        <v>0</v>
      </c>
      <c r="J200" s="5">
        <f>deaths!J200-deaths!I200</f>
        <v>0</v>
      </c>
      <c r="K200" s="5">
        <f>deaths!K200-deaths!J200</f>
        <v>0</v>
      </c>
      <c r="L200" s="5">
        <f>deaths!L200-deaths!K200</f>
        <v>0</v>
      </c>
      <c r="M200" s="5">
        <f>deaths!M200-deaths!L200</f>
        <v>0</v>
      </c>
      <c r="N200" s="5">
        <f>deaths!N200-deaths!M200</f>
        <v>0</v>
      </c>
      <c r="O200" s="5">
        <f>deaths!O200-deaths!N200</f>
        <v>0</v>
      </c>
      <c r="P200" s="5">
        <f>deaths!P200-deaths!O200</f>
        <v>0</v>
      </c>
      <c r="Q200" s="5">
        <f>deaths!Q200-deaths!P200</f>
        <v>0</v>
      </c>
      <c r="R200" s="5">
        <f>deaths!R200-deaths!Q200</f>
        <v>0</v>
      </c>
      <c r="S200" s="5">
        <f>deaths!S200-deaths!R200</f>
        <v>0</v>
      </c>
      <c r="T200" s="5">
        <f>deaths!T200-deaths!S200</f>
        <v>0</v>
      </c>
      <c r="U200" s="5">
        <f>deaths!U200-deaths!T200</f>
        <v>0</v>
      </c>
      <c r="V200" s="5">
        <f>deaths!V200-deaths!U200</f>
        <v>0</v>
      </c>
      <c r="W200" s="5">
        <f>deaths!W200-deaths!V200</f>
        <v>0</v>
      </c>
      <c r="X200" s="5">
        <f>deaths!X200-deaths!W200</f>
        <v>0</v>
      </c>
      <c r="Y200" s="5">
        <f>deaths!Y200-deaths!X200</f>
        <v>0</v>
      </c>
      <c r="Z200" s="5">
        <f>deaths!Z200-deaths!Y200</f>
        <v>0</v>
      </c>
      <c r="AA200" s="5">
        <f>deaths!AA200-deaths!Z200</f>
        <v>0</v>
      </c>
      <c r="AB200" s="5">
        <f>deaths!AB200-deaths!AA200</f>
        <v>0</v>
      </c>
      <c r="AC200" s="5">
        <f>deaths!AC200-deaths!AB200</f>
        <v>0</v>
      </c>
      <c r="AD200" s="5">
        <f>deaths!AD200-deaths!AC200</f>
        <v>0</v>
      </c>
      <c r="AE200" s="5">
        <f>deaths!AE200-deaths!AD200</f>
        <v>0</v>
      </c>
      <c r="AF200" s="5">
        <f>deaths!AF200-deaths!AE200</f>
        <v>0</v>
      </c>
      <c r="AG200" s="5">
        <f>deaths!AG200-deaths!AF200</f>
        <v>0</v>
      </c>
      <c r="AH200" s="5">
        <f>deaths!AH200-deaths!AG200</f>
        <v>0</v>
      </c>
      <c r="AI200" s="5">
        <f>deaths!AI200-deaths!AH200</f>
        <v>0</v>
      </c>
      <c r="AJ200" s="5">
        <f>deaths!AJ200-deaths!AI200</f>
        <v>0</v>
      </c>
      <c r="AK200" s="5">
        <f>deaths!AK200-deaths!AJ200</f>
        <v>0</v>
      </c>
      <c r="AL200" s="5">
        <f>deaths!AL200-deaths!AK200</f>
        <v>0</v>
      </c>
      <c r="AM200" s="5">
        <f>deaths!AM200-deaths!AL200</f>
        <v>0</v>
      </c>
      <c r="AN200" s="5">
        <f>deaths!AN200-deaths!AM200</f>
        <v>0</v>
      </c>
      <c r="AO200" s="5">
        <f>deaths!AO200-deaths!AN200</f>
        <v>0</v>
      </c>
      <c r="AP200" s="5">
        <f>deaths!AP200-deaths!AO200</f>
        <v>0</v>
      </c>
      <c r="AQ200" s="5">
        <f>deaths!AQ200-deaths!AP200</f>
        <v>0</v>
      </c>
      <c r="AR200" s="5">
        <f>deaths!AR200-deaths!AQ200</f>
        <v>0</v>
      </c>
      <c r="AS200" s="5">
        <f>deaths!AS200-deaths!AR200</f>
        <v>0</v>
      </c>
      <c r="AT200" s="5">
        <f>deaths!AT200-deaths!AS200</f>
        <v>0</v>
      </c>
      <c r="AU200" s="5">
        <f>deaths!AU200-deaths!AT200</f>
        <v>0</v>
      </c>
      <c r="AV200" s="5">
        <f>deaths!AV200-deaths!AU200</f>
        <v>0</v>
      </c>
      <c r="AW200" s="5">
        <f>deaths!AW200-deaths!AV200</f>
        <v>0</v>
      </c>
      <c r="AX200" s="5">
        <f>deaths!AX200-deaths!AW200</f>
        <v>0</v>
      </c>
      <c r="AY200" s="5">
        <f>deaths!AY200-deaths!AX200</f>
        <v>0</v>
      </c>
      <c r="AZ200" s="5">
        <f>deaths!AZ200-deaths!AY200</f>
        <v>0</v>
      </c>
      <c r="BA200" s="5">
        <f>deaths!BA200-deaths!AZ200</f>
        <v>0</v>
      </c>
      <c r="BB200" s="5">
        <f>deaths!BB200-deaths!BA200</f>
        <v>0</v>
      </c>
      <c r="BC200" s="5">
        <f>deaths!BC200-deaths!BB200</f>
        <v>0</v>
      </c>
      <c r="BD200" s="5">
        <f>deaths!BD200-deaths!BC200</f>
        <v>0</v>
      </c>
      <c r="BE200" s="5">
        <f>deaths!BE200-deaths!BD200</f>
        <v>1</v>
      </c>
      <c r="BF200" s="5">
        <f>deaths!BF200-deaths!BE200</f>
        <v>0</v>
      </c>
      <c r="BG200" s="5">
        <f>deaths!BG200-deaths!BF200</f>
        <v>0</v>
      </c>
      <c r="BH200" s="5">
        <f>deaths!BH200-deaths!BG200</f>
        <v>0</v>
      </c>
      <c r="BI200" s="5">
        <f>deaths!BI200-deaths!BH200</f>
        <v>0</v>
      </c>
      <c r="BJ200" s="5">
        <f>deaths!BJ200-deaths!BI200</f>
        <v>0</v>
      </c>
      <c r="BK200" s="5">
        <f>deaths!BK200-deaths!BJ200</f>
        <v>0</v>
      </c>
      <c r="BL200" s="5">
        <f>deaths!BL200-deaths!BK200</f>
        <v>0</v>
      </c>
      <c r="BM200" s="5">
        <f>deaths!BM200-deaths!BL200</f>
        <v>1</v>
      </c>
      <c r="BN200" s="5">
        <f>deaths!BN200-deaths!BM200</f>
        <v>1</v>
      </c>
      <c r="BO200" s="5">
        <f>deaths!BO200-deaths!BN200</f>
        <v>1</v>
      </c>
      <c r="BP200" s="5">
        <f>deaths!BP200-deaths!BO200</f>
        <v>1</v>
      </c>
      <c r="BQ200" s="5">
        <f>deaths!BQ200-deaths!BP200</f>
        <v>1</v>
      </c>
      <c r="BR200" s="5">
        <f>deaths!BR200-deaths!BQ200</f>
        <v>3</v>
      </c>
      <c r="BS200" s="5">
        <f>deaths!BS200-deaths!BR200</f>
        <v>0</v>
      </c>
      <c r="BT200" s="5">
        <f>deaths!BT200-deaths!BS200</f>
        <v>2</v>
      </c>
      <c r="BU200" s="5">
        <f>deaths!BU200-deaths!BT200</f>
        <v>0</v>
      </c>
      <c r="BV200" s="5">
        <f>deaths!BV200-deaths!BU200</f>
        <v>4</v>
      </c>
      <c r="BW200" s="5">
        <f>deaths!BW200-deaths!BV200</f>
        <v>0</v>
      </c>
      <c r="BX200" s="5">
        <f>deaths!BX200-deaths!BW200</f>
        <v>2</v>
      </c>
      <c r="BY200" s="5">
        <f>deaths!BY200-deaths!BX200</f>
        <v>3</v>
      </c>
      <c r="BZ200" s="1">
        <f>deaths!BZ200</f>
        <v>22</v>
      </c>
      <c r="CA200" s="1">
        <f>deaths!CA200</f>
        <v>28</v>
      </c>
      <c r="CB200" s="1">
        <f>deaths!CB200</f>
        <v>30</v>
      </c>
      <c r="CC200" s="1" t="str">
        <f>deaths!CC200</f>
        <v/>
      </c>
    </row>
    <row r="201">
      <c r="B201" s="1" t="str">
        <f>deaths!B201</f>
        <v>Somalia</v>
      </c>
      <c r="C201" s="4">
        <f>deaths!C201</f>
        <v>5.1521</v>
      </c>
      <c r="D201" s="4">
        <f>deaths!D201</f>
        <v>46.1996</v>
      </c>
      <c r="E201" s="5">
        <f>deaths!E201</f>
        <v>0</v>
      </c>
      <c r="F201" s="5">
        <f>deaths!F201-deaths!E201</f>
        <v>0</v>
      </c>
      <c r="G201" s="5">
        <f>deaths!G201-deaths!F201</f>
        <v>0</v>
      </c>
      <c r="H201" s="5">
        <f>deaths!H201-deaths!G201</f>
        <v>0</v>
      </c>
      <c r="I201" s="5">
        <f>deaths!I201-deaths!H201</f>
        <v>0</v>
      </c>
      <c r="J201" s="5">
        <f>deaths!J201-deaths!I201</f>
        <v>0</v>
      </c>
      <c r="K201" s="5">
        <f>deaths!K201-deaths!J201</f>
        <v>0</v>
      </c>
      <c r="L201" s="5">
        <f>deaths!L201-deaths!K201</f>
        <v>0</v>
      </c>
      <c r="M201" s="5">
        <f>deaths!M201-deaths!L201</f>
        <v>0</v>
      </c>
      <c r="N201" s="5">
        <f>deaths!N201-deaths!M201</f>
        <v>0</v>
      </c>
      <c r="O201" s="5">
        <f>deaths!O201-deaths!N201</f>
        <v>0</v>
      </c>
      <c r="P201" s="5">
        <f>deaths!P201-deaths!O201</f>
        <v>0</v>
      </c>
      <c r="Q201" s="5">
        <f>deaths!Q201-deaths!P201</f>
        <v>0</v>
      </c>
      <c r="R201" s="5">
        <f>deaths!R201-deaths!Q201</f>
        <v>0</v>
      </c>
      <c r="S201" s="5">
        <f>deaths!S201-deaths!R201</f>
        <v>0</v>
      </c>
      <c r="T201" s="5">
        <f>deaths!T201-deaths!S201</f>
        <v>0</v>
      </c>
      <c r="U201" s="5">
        <f>deaths!U201-deaths!T201</f>
        <v>0</v>
      </c>
      <c r="V201" s="5">
        <f>deaths!V201-deaths!U201</f>
        <v>0</v>
      </c>
      <c r="W201" s="5">
        <f>deaths!W201-deaths!V201</f>
        <v>0</v>
      </c>
      <c r="X201" s="5">
        <f>deaths!X201-deaths!W201</f>
        <v>0</v>
      </c>
      <c r="Y201" s="5">
        <f>deaths!Y201-deaths!X201</f>
        <v>0</v>
      </c>
      <c r="Z201" s="5">
        <f>deaths!Z201-deaths!Y201</f>
        <v>0</v>
      </c>
      <c r="AA201" s="5">
        <f>deaths!AA201-deaths!Z201</f>
        <v>0</v>
      </c>
      <c r="AB201" s="5">
        <f>deaths!AB201-deaths!AA201</f>
        <v>0</v>
      </c>
      <c r="AC201" s="5">
        <f>deaths!AC201-deaths!AB201</f>
        <v>0</v>
      </c>
      <c r="AD201" s="5">
        <f>deaths!AD201-deaths!AC201</f>
        <v>0</v>
      </c>
      <c r="AE201" s="5">
        <f>deaths!AE201-deaths!AD201</f>
        <v>0</v>
      </c>
      <c r="AF201" s="5">
        <f>deaths!AF201-deaths!AE201</f>
        <v>0</v>
      </c>
      <c r="AG201" s="5">
        <f>deaths!AG201-deaths!AF201</f>
        <v>0</v>
      </c>
      <c r="AH201" s="5">
        <f>deaths!AH201-deaths!AG201</f>
        <v>0</v>
      </c>
      <c r="AI201" s="5">
        <f>deaths!AI201-deaths!AH201</f>
        <v>0</v>
      </c>
      <c r="AJ201" s="5">
        <f>deaths!AJ201-deaths!AI201</f>
        <v>0</v>
      </c>
      <c r="AK201" s="5">
        <f>deaths!AK201-deaths!AJ201</f>
        <v>0</v>
      </c>
      <c r="AL201" s="5">
        <f>deaths!AL201-deaths!AK201</f>
        <v>0</v>
      </c>
      <c r="AM201" s="5">
        <f>deaths!AM201-deaths!AL201</f>
        <v>0</v>
      </c>
      <c r="AN201" s="5">
        <f>deaths!AN201-deaths!AM201</f>
        <v>0</v>
      </c>
      <c r="AO201" s="5">
        <f>deaths!AO201-deaths!AN201</f>
        <v>0</v>
      </c>
      <c r="AP201" s="5">
        <f>deaths!AP201-deaths!AO201</f>
        <v>0</v>
      </c>
      <c r="AQ201" s="5">
        <f>deaths!AQ201-deaths!AP201</f>
        <v>0</v>
      </c>
      <c r="AR201" s="5">
        <f>deaths!AR201-deaths!AQ201</f>
        <v>0</v>
      </c>
      <c r="AS201" s="5">
        <f>deaths!AS201-deaths!AR201</f>
        <v>0</v>
      </c>
      <c r="AT201" s="5">
        <f>deaths!AT201-deaths!AS201</f>
        <v>0</v>
      </c>
      <c r="AU201" s="5">
        <f>deaths!AU201-deaths!AT201</f>
        <v>0</v>
      </c>
      <c r="AV201" s="5">
        <f>deaths!AV201-deaths!AU201</f>
        <v>0</v>
      </c>
      <c r="AW201" s="5">
        <f>deaths!AW201-deaths!AV201</f>
        <v>0</v>
      </c>
      <c r="AX201" s="5">
        <f>deaths!AX201-deaths!AW201</f>
        <v>0</v>
      </c>
      <c r="AY201" s="5">
        <f>deaths!AY201-deaths!AX201</f>
        <v>0</v>
      </c>
      <c r="AZ201" s="5">
        <f>deaths!AZ201-deaths!AY201</f>
        <v>0</v>
      </c>
      <c r="BA201" s="5">
        <f>deaths!BA201-deaths!AZ201</f>
        <v>0</v>
      </c>
      <c r="BB201" s="5">
        <f>deaths!BB201-deaths!BA201</f>
        <v>0</v>
      </c>
      <c r="BC201" s="5">
        <f>deaths!BC201-deaths!BB201</f>
        <v>0</v>
      </c>
      <c r="BD201" s="5">
        <f>deaths!BD201-deaths!BC201</f>
        <v>0</v>
      </c>
      <c r="BE201" s="5">
        <f>deaths!BE201-deaths!BD201</f>
        <v>0</v>
      </c>
      <c r="BF201" s="5">
        <f>deaths!BF201-deaths!BE201</f>
        <v>0</v>
      </c>
      <c r="BG201" s="5">
        <f>deaths!BG201-deaths!BF201</f>
        <v>0</v>
      </c>
      <c r="BH201" s="5">
        <f>deaths!BH201-deaths!BG201</f>
        <v>0</v>
      </c>
      <c r="BI201" s="5">
        <f>deaths!BI201-deaths!BH201</f>
        <v>0</v>
      </c>
      <c r="BJ201" s="5">
        <f>deaths!BJ201-deaths!BI201</f>
        <v>0</v>
      </c>
      <c r="BK201" s="5">
        <f>deaths!BK201-deaths!BJ201</f>
        <v>0</v>
      </c>
      <c r="BL201" s="5">
        <f>deaths!BL201-deaths!BK201</f>
        <v>0</v>
      </c>
      <c r="BM201" s="5">
        <f>deaths!BM201-deaths!BL201</f>
        <v>0</v>
      </c>
      <c r="BN201" s="5">
        <f>deaths!BN201-deaths!BM201</f>
        <v>0</v>
      </c>
      <c r="BO201" s="5">
        <f>deaths!BO201-deaths!BN201</f>
        <v>0</v>
      </c>
      <c r="BP201" s="5">
        <f>deaths!BP201-deaths!BO201</f>
        <v>0</v>
      </c>
      <c r="BQ201" s="5">
        <f>deaths!BQ201-deaths!BP201</f>
        <v>0</v>
      </c>
      <c r="BR201" s="5">
        <f>deaths!BR201-deaths!BQ201</f>
        <v>0</v>
      </c>
      <c r="BS201" s="5">
        <f>deaths!BS201-deaths!BR201</f>
        <v>0</v>
      </c>
      <c r="BT201" s="5">
        <f>deaths!BT201-deaths!BS201</f>
        <v>0</v>
      </c>
      <c r="BU201" s="5">
        <f>deaths!BU201-deaths!BT201</f>
        <v>0</v>
      </c>
      <c r="BV201" s="5">
        <f>deaths!BV201-deaths!BU201</f>
        <v>0</v>
      </c>
      <c r="BW201" s="5">
        <f>deaths!BW201-deaths!BV201</f>
        <v>0</v>
      </c>
      <c r="BX201" s="5">
        <f>deaths!BX201-deaths!BW201</f>
        <v>0</v>
      </c>
      <c r="BY201" s="5">
        <f>deaths!BY201-deaths!BX201</f>
        <v>0</v>
      </c>
      <c r="BZ201" s="1">
        <f>deaths!BZ201</f>
        <v>0</v>
      </c>
      <c r="CA201" s="1">
        <f>deaths!CA201</f>
        <v>0</v>
      </c>
      <c r="CB201" s="1">
        <f>deaths!CB201</f>
        <v>0</v>
      </c>
      <c r="CC201" s="1" t="str">
        <f>deaths!CC201</f>
        <v/>
      </c>
    </row>
    <row r="202">
      <c r="B202" s="1" t="str">
        <f>deaths!B202</f>
        <v>South Africa</v>
      </c>
      <c r="C202" s="4">
        <f>deaths!C202</f>
        <v>-30.5595</v>
      </c>
      <c r="D202" s="4">
        <f>deaths!D202</f>
        <v>22.9375</v>
      </c>
      <c r="E202" s="5">
        <f>deaths!E202</f>
        <v>0</v>
      </c>
      <c r="F202" s="5">
        <f>deaths!F202-deaths!E202</f>
        <v>0</v>
      </c>
      <c r="G202" s="5">
        <f>deaths!G202-deaths!F202</f>
        <v>0</v>
      </c>
      <c r="H202" s="5">
        <f>deaths!H202-deaths!G202</f>
        <v>0</v>
      </c>
      <c r="I202" s="5">
        <f>deaths!I202-deaths!H202</f>
        <v>0</v>
      </c>
      <c r="J202" s="5">
        <f>deaths!J202-deaths!I202</f>
        <v>0</v>
      </c>
      <c r="K202" s="5">
        <f>deaths!K202-deaths!J202</f>
        <v>0</v>
      </c>
      <c r="L202" s="5">
        <f>deaths!L202-deaths!K202</f>
        <v>0</v>
      </c>
      <c r="M202" s="5">
        <f>deaths!M202-deaths!L202</f>
        <v>0</v>
      </c>
      <c r="N202" s="5">
        <f>deaths!N202-deaths!M202</f>
        <v>0</v>
      </c>
      <c r="O202" s="5">
        <f>deaths!O202-deaths!N202</f>
        <v>0</v>
      </c>
      <c r="P202" s="5">
        <f>deaths!P202-deaths!O202</f>
        <v>0</v>
      </c>
      <c r="Q202" s="5">
        <f>deaths!Q202-deaths!P202</f>
        <v>0</v>
      </c>
      <c r="R202" s="5">
        <f>deaths!R202-deaths!Q202</f>
        <v>0</v>
      </c>
      <c r="S202" s="5">
        <f>deaths!S202-deaths!R202</f>
        <v>0</v>
      </c>
      <c r="T202" s="5">
        <f>deaths!T202-deaths!S202</f>
        <v>0</v>
      </c>
      <c r="U202" s="5">
        <f>deaths!U202-deaths!T202</f>
        <v>0</v>
      </c>
      <c r="V202" s="5">
        <f>deaths!V202-deaths!U202</f>
        <v>0</v>
      </c>
      <c r="W202" s="5">
        <f>deaths!W202-deaths!V202</f>
        <v>0</v>
      </c>
      <c r="X202" s="5">
        <f>deaths!X202-deaths!W202</f>
        <v>0</v>
      </c>
      <c r="Y202" s="5">
        <f>deaths!Y202-deaths!X202</f>
        <v>0</v>
      </c>
      <c r="Z202" s="5">
        <f>deaths!Z202-deaths!Y202</f>
        <v>0</v>
      </c>
      <c r="AA202" s="5">
        <f>deaths!AA202-deaths!Z202</f>
        <v>0</v>
      </c>
      <c r="AB202" s="5">
        <f>deaths!AB202-deaths!AA202</f>
        <v>0</v>
      </c>
      <c r="AC202" s="5">
        <f>deaths!AC202-deaths!AB202</f>
        <v>0</v>
      </c>
      <c r="AD202" s="5">
        <f>deaths!AD202-deaths!AC202</f>
        <v>0</v>
      </c>
      <c r="AE202" s="5">
        <f>deaths!AE202-deaths!AD202</f>
        <v>0</v>
      </c>
      <c r="AF202" s="5">
        <f>deaths!AF202-deaths!AE202</f>
        <v>0</v>
      </c>
      <c r="AG202" s="5">
        <f>deaths!AG202-deaths!AF202</f>
        <v>0</v>
      </c>
      <c r="AH202" s="5">
        <f>deaths!AH202-deaths!AG202</f>
        <v>0</v>
      </c>
      <c r="AI202" s="5">
        <f>deaths!AI202-deaths!AH202</f>
        <v>0</v>
      </c>
      <c r="AJ202" s="5">
        <f>deaths!AJ202-deaths!AI202</f>
        <v>0</v>
      </c>
      <c r="AK202" s="5">
        <f>deaths!AK202-deaths!AJ202</f>
        <v>0</v>
      </c>
      <c r="AL202" s="5">
        <f>deaths!AL202-deaths!AK202</f>
        <v>0</v>
      </c>
      <c r="AM202" s="5">
        <f>deaths!AM202-deaths!AL202</f>
        <v>0</v>
      </c>
      <c r="AN202" s="5">
        <f>deaths!AN202-deaths!AM202</f>
        <v>0</v>
      </c>
      <c r="AO202" s="5">
        <f>deaths!AO202-deaths!AN202</f>
        <v>0</v>
      </c>
      <c r="AP202" s="5">
        <f>deaths!AP202-deaths!AO202</f>
        <v>0</v>
      </c>
      <c r="AQ202" s="5">
        <f>deaths!AQ202-deaths!AP202</f>
        <v>0</v>
      </c>
      <c r="AR202" s="5">
        <f>deaths!AR202-deaths!AQ202</f>
        <v>0</v>
      </c>
      <c r="AS202" s="5">
        <f>deaths!AS202-deaths!AR202</f>
        <v>0</v>
      </c>
      <c r="AT202" s="5">
        <f>deaths!AT202-deaths!AS202</f>
        <v>0</v>
      </c>
      <c r="AU202" s="5">
        <f>deaths!AU202-deaths!AT202</f>
        <v>0</v>
      </c>
      <c r="AV202" s="5">
        <f>deaths!AV202-deaths!AU202</f>
        <v>0</v>
      </c>
      <c r="AW202" s="5">
        <f>deaths!AW202-deaths!AV202</f>
        <v>0</v>
      </c>
      <c r="AX202" s="5">
        <f>deaths!AX202-deaths!AW202</f>
        <v>0</v>
      </c>
      <c r="AY202" s="5">
        <f>deaths!AY202-deaths!AX202</f>
        <v>0</v>
      </c>
      <c r="AZ202" s="5">
        <f>deaths!AZ202-deaths!AY202</f>
        <v>0</v>
      </c>
      <c r="BA202" s="5">
        <f>deaths!BA202-deaths!AZ202</f>
        <v>0</v>
      </c>
      <c r="BB202" s="5">
        <f>deaths!BB202-deaths!BA202</f>
        <v>0</v>
      </c>
      <c r="BC202" s="5">
        <f>deaths!BC202-deaths!BB202</f>
        <v>0</v>
      </c>
      <c r="BD202" s="5">
        <f>deaths!BD202-deaths!BC202</f>
        <v>0</v>
      </c>
      <c r="BE202" s="5">
        <f>deaths!BE202-deaths!BD202</f>
        <v>0</v>
      </c>
      <c r="BF202" s="5">
        <f>deaths!BF202-deaths!BE202</f>
        <v>0</v>
      </c>
      <c r="BG202" s="5">
        <f>deaths!BG202-deaths!BF202</f>
        <v>0</v>
      </c>
      <c r="BH202" s="5">
        <f>deaths!BH202-deaths!BG202</f>
        <v>0</v>
      </c>
      <c r="BI202" s="5">
        <f>deaths!BI202-deaths!BH202</f>
        <v>0</v>
      </c>
      <c r="BJ202" s="5">
        <f>deaths!BJ202-deaths!BI202</f>
        <v>0</v>
      </c>
      <c r="BK202" s="5">
        <f>deaths!BK202-deaths!BJ202</f>
        <v>0</v>
      </c>
      <c r="BL202" s="5">
        <f>deaths!BL202-deaths!BK202</f>
        <v>0</v>
      </c>
      <c r="BM202" s="5">
        <f>deaths!BM202-deaths!BL202</f>
        <v>0</v>
      </c>
      <c r="BN202" s="5">
        <f>deaths!BN202-deaths!BM202</f>
        <v>0</v>
      </c>
      <c r="BO202" s="5">
        <f>deaths!BO202-deaths!BN202</f>
        <v>0</v>
      </c>
      <c r="BP202" s="5">
        <f>deaths!BP202-deaths!BO202</f>
        <v>0</v>
      </c>
      <c r="BQ202" s="5">
        <f>deaths!BQ202-deaths!BP202</f>
        <v>0</v>
      </c>
      <c r="BR202" s="5">
        <f>deaths!BR202-deaths!BQ202</f>
        <v>1</v>
      </c>
      <c r="BS202" s="5">
        <f>deaths!BS202-deaths!BR202</f>
        <v>0</v>
      </c>
      <c r="BT202" s="5">
        <f>deaths!BT202-deaths!BS202</f>
        <v>1</v>
      </c>
      <c r="BU202" s="5">
        <f>deaths!BU202-deaths!BT202</f>
        <v>1</v>
      </c>
      <c r="BV202" s="5">
        <f>deaths!BV202-deaths!BU202</f>
        <v>2</v>
      </c>
      <c r="BW202" s="5">
        <f>deaths!BW202-deaths!BV202</f>
        <v>0</v>
      </c>
      <c r="BX202" s="5">
        <f>deaths!BX202-deaths!BW202</f>
        <v>0</v>
      </c>
      <c r="BY202" s="5">
        <f>deaths!BY202-deaths!BX202</f>
        <v>4</v>
      </c>
      <c r="BZ202" s="1">
        <f>deaths!BZ202</f>
        <v>9</v>
      </c>
      <c r="CA202" s="1">
        <f>deaths!CA202</f>
        <v>11</v>
      </c>
      <c r="CB202" s="1">
        <f>deaths!CB202</f>
        <v>12</v>
      </c>
      <c r="CC202" s="1" t="str">
        <f>deaths!CC202</f>
        <v/>
      </c>
    </row>
    <row r="203">
      <c r="B203" s="1" t="str">
        <f>deaths!B203</f>
        <v>Spain</v>
      </c>
      <c r="C203" s="4">
        <f>deaths!C203</f>
        <v>40</v>
      </c>
      <c r="D203" s="4">
        <f>deaths!D203</f>
        <v>-4</v>
      </c>
      <c r="E203" s="5">
        <f>deaths!E203</f>
        <v>0</v>
      </c>
      <c r="F203" s="5">
        <f>deaths!F203-deaths!E203</f>
        <v>0</v>
      </c>
      <c r="G203" s="5">
        <f>deaths!G203-deaths!F203</f>
        <v>0</v>
      </c>
      <c r="H203" s="5">
        <f>deaths!H203-deaths!G203</f>
        <v>0</v>
      </c>
      <c r="I203" s="5">
        <f>deaths!I203-deaths!H203</f>
        <v>0</v>
      </c>
      <c r="J203" s="5">
        <f>deaths!J203-deaths!I203</f>
        <v>0</v>
      </c>
      <c r="K203" s="5">
        <f>deaths!K203-deaths!J203</f>
        <v>0</v>
      </c>
      <c r="L203" s="5">
        <f>deaths!L203-deaths!K203</f>
        <v>0</v>
      </c>
      <c r="M203" s="5">
        <f>deaths!M203-deaths!L203</f>
        <v>0</v>
      </c>
      <c r="N203" s="5">
        <f>deaths!N203-deaths!M203</f>
        <v>0</v>
      </c>
      <c r="O203" s="5">
        <f>deaths!O203-deaths!N203</f>
        <v>0</v>
      </c>
      <c r="P203" s="5">
        <f>deaths!P203-deaths!O203</f>
        <v>0</v>
      </c>
      <c r="Q203" s="5">
        <f>deaths!Q203-deaths!P203</f>
        <v>0</v>
      </c>
      <c r="R203" s="5">
        <f>deaths!R203-deaths!Q203</f>
        <v>0</v>
      </c>
      <c r="S203" s="5">
        <f>deaths!S203-deaths!R203</f>
        <v>0</v>
      </c>
      <c r="T203" s="5">
        <f>deaths!T203-deaths!S203</f>
        <v>0</v>
      </c>
      <c r="U203" s="5">
        <f>deaths!U203-deaths!T203</f>
        <v>0</v>
      </c>
      <c r="V203" s="5">
        <f>deaths!V203-deaths!U203</f>
        <v>0</v>
      </c>
      <c r="W203" s="5">
        <f>deaths!W203-deaths!V203</f>
        <v>0</v>
      </c>
      <c r="X203" s="5">
        <f>deaths!X203-deaths!W203</f>
        <v>0</v>
      </c>
      <c r="Y203" s="5">
        <f>deaths!Y203-deaths!X203</f>
        <v>0</v>
      </c>
      <c r="Z203" s="5">
        <f>deaths!Z203-deaths!Y203</f>
        <v>0</v>
      </c>
      <c r="AA203" s="5">
        <f>deaths!AA203-deaths!Z203</f>
        <v>0</v>
      </c>
      <c r="AB203" s="5">
        <f>deaths!AB203-deaths!AA203</f>
        <v>0</v>
      </c>
      <c r="AC203" s="5">
        <f>deaths!AC203-deaths!AB203</f>
        <v>0</v>
      </c>
      <c r="AD203" s="5">
        <f>deaths!AD203-deaths!AC203</f>
        <v>0</v>
      </c>
      <c r="AE203" s="5">
        <f>deaths!AE203-deaths!AD203</f>
        <v>0</v>
      </c>
      <c r="AF203" s="5">
        <f>deaths!AF203-deaths!AE203</f>
        <v>0</v>
      </c>
      <c r="AG203" s="5">
        <f>deaths!AG203-deaths!AF203</f>
        <v>0</v>
      </c>
      <c r="AH203" s="5">
        <f>deaths!AH203-deaths!AG203</f>
        <v>0</v>
      </c>
      <c r="AI203" s="5">
        <f>deaths!AI203-deaths!AH203</f>
        <v>0</v>
      </c>
      <c r="AJ203" s="5">
        <f>deaths!AJ203-deaths!AI203</f>
        <v>0</v>
      </c>
      <c r="AK203" s="5">
        <f>deaths!AK203-deaths!AJ203</f>
        <v>0</v>
      </c>
      <c r="AL203" s="5">
        <f>deaths!AL203-deaths!AK203</f>
        <v>0</v>
      </c>
      <c r="AM203" s="5">
        <f>deaths!AM203-deaths!AL203</f>
        <v>0</v>
      </c>
      <c r="AN203" s="5">
        <f>deaths!AN203-deaths!AM203</f>
        <v>0</v>
      </c>
      <c r="AO203" s="5">
        <f>deaths!AO203-deaths!AN203</f>
        <v>0</v>
      </c>
      <c r="AP203" s="5">
        <f>deaths!AP203-deaths!AO203</f>
        <v>0</v>
      </c>
      <c r="AQ203" s="5">
        <f>deaths!AQ203-deaths!AP203</f>
        <v>0</v>
      </c>
      <c r="AR203" s="5">
        <f>deaths!AR203-deaths!AQ203</f>
        <v>0</v>
      </c>
      <c r="AS203" s="5">
        <f>deaths!AS203-deaths!AR203</f>
        <v>0</v>
      </c>
      <c r="AT203" s="5">
        <f>deaths!AT203-deaths!AS203</f>
        <v>1</v>
      </c>
      <c r="AU203" s="5">
        <f>deaths!AU203-deaths!AT203</f>
        <v>1</v>
      </c>
      <c r="AV203" s="5">
        <f>deaths!AV203-deaths!AU203</f>
        <v>1</v>
      </c>
      <c r="AW203" s="5">
        <f>deaths!AW203-deaths!AV203</f>
        <v>2</v>
      </c>
      <c r="AX203" s="5">
        <f>deaths!AX203-deaths!AW203</f>
        <v>5</v>
      </c>
      <c r="AY203" s="5">
        <f>deaths!AY203-deaths!AX203</f>
        <v>7</v>
      </c>
      <c r="AZ203" s="5">
        <f>deaths!AZ203-deaths!AY203</f>
        <v>11</v>
      </c>
      <c r="BA203" s="5">
        <f>deaths!BA203-deaths!AZ203</f>
        <v>7</v>
      </c>
      <c r="BB203" s="5">
        <f>deaths!BB203-deaths!BA203</f>
        <v>19</v>
      </c>
      <c r="BC203" s="5">
        <f>deaths!BC203-deaths!BB203</f>
        <v>1</v>
      </c>
      <c r="BD203" s="5">
        <f>deaths!BD203-deaths!BC203</f>
        <v>78</v>
      </c>
      <c r="BE203" s="5">
        <f>deaths!BE203-deaths!BD203</f>
        <v>62</v>
      </c>
      <c r="BF203" s="5">
        <f>deaths!BF203-deaths!BE203</f>
        <v>94</v>
      </c>
      <c r="BG203" s="5">
        <f>deaths!BG203-deaths!BF203</f>
        <v>53</v>
      </c>
      <c r="BH203" s="5">
        <f>deaths!BH203-deaths!BG203</f>
        <v>191</v>
      </c>
      <c r="BI203" s="5">
        <f>deaths!BI203-deaths!BH203</f>
        <v>90</v>
      </c>
      <c r="BJ203" s="5">
        <f>deaths!BJ203-deaths!BI203</f>
        <v>207</v>
      </c>
      <c r="BK203" s="5">
        <f>deaths!BK203-deaths!BJ203</f>
        <v>213</v>
      </c>
      <c r="BL203" s="5">
        <f>deaths!BL203-deaths!BK203</f>
        <v>332</v>
      </c>
      <c r="BM203" s="5">
        <f>deaths!BM203-deaths!BL203</f>
        <v>397</v>
      </c>
      <c r="BN203" s="5">
        <f>deaths!BN203-deaths!BM203</f>
        <v>539</v>
      </c>
      <c r="BO203" s="5">
        <f>deaths!BO203-deaths!BN203</f>
        <v>497</v>
      </c>
      <c r="BP203" s="5">
        <f>deaths!BP203-deaths!BO203</f>
        <v>839</v>
      </c>
      <c r="BQ203" s="5">
        <f>deaths!BQ203-deaths!BP203</f>
        <v>718</v>
      </c>
      <c r="BR203" s="5">
        <f>deaths!BR203-deaths!BQ203</f>
        <v>773</v>
      </c>
      <c r="BS203" s="5">
        <f>deaths!BS203-deaths!BR203</f>
        <v>844</v>
      </c>
      <c r="BT203" s="5">
        <f>deaths!BT203-deaths!BS203</f>
        <v>821</v>
      </c>
      <c r="BU203" s="5">
        <f>deaths!BU203-deaths!BT203</f>
        <v>913</v>
      </c>
      <c r="BV203" s="5">
        <f>deaths!BV203-deaths!BU203</f>
        <v>748</v>
      </c>
      <c r="BW203" s="5">
        <f>deaths!BW203-deaths!BV203</f>
        <v>923</v>
      </c>
      <c r="BX203" s="5">
        <f>deaths!BX203-deaths!BW203</f>
        <v>961</v>
      </c>
      <c r="BY203" s="5">
        <f>deaths!BY203-deaths!BX203</f>
        <v>850</v>
      </c>
      <c r="BZ203" s="1">
        <f>deaths!BZ203</f>
        <v>11947</v>
      </c>
      <c r="CA203" s="1">
        <f>deaths!CA203</f>
        <v>12641</v>
      </c>
      <c r="CB203" s="1">
        <f>deaths!CB203</f>
        <v>13341</v>
      </c>
      <c r="CC203" s="1" t="str">
        <f>deaths!CC203</f>
        <v/>
      </c>
    </row>
    <row r="204">
      <c r="B204" s="1" t="str">
        <f>deaths!B204</f>
        <v>Sri Lanka</v>
      </c>
      <c r="C204" s="4">
        <f>deaths!C204</f>
        <v>7</v>
      </c>
      <c r="D204" s="4">
        <f>deaths!D204</f>
        <v>81</v>
      </c>
      <c r="E204" s="5">
        <f>deaths!E204</f>
        <v>0</v>
      </c>
      <c r="F204" s="5">
        <f>deaths!F204-deaths!E204</f>
        <v>0</v>
      </c>
      <c r="G204" s="5">
        <f>deaths!G204-deaths!F204</f>
        <v>0</v>
      </c>
      <c r="H204" s="5">
        <f>deaths!H204-deaths!G204</f>
        <v>0</v>
      </c>
      <c r="I204" s="5">
        <f>deaths!I204-deaths!H204</f>
        <v>0</v>
      </c>
      <c r="J204" s="5">
        <f>deaths!J204-deaths!I204</f>
        <v>0</v>
      </c>
      <c r="K204" s="5">
        <f>deaths!K204-deaths!J204</f>
        <v>0</v>
      </c>
      <c r="L204" s="5">
        <f>deaths!L204-deaths!K204</f>
        <v>0</v>
      </c>
      <c r="M204" s="5">
        <f>deaths!M204-deaths!L204</f>
        <v>0</v>
      </c>
      <c r="N204" s="5">
        <f>deaths!N204-deaths!M204</f>
        <v>0</v>
      </c>
      <c r="O204" s="5">
        <f>deaths!O204-deaths!N204</f>
        <v>0</v>
      </c>
      <c r="P204" s="5">
        <f>deaths!P204-deaths!O204</f>
        <v>0</v>
      </c>
      <c r="Q204" s="5">
        <f>deaths!Q204-deaths!P204</f>
        <v>0</v>
      </c>
      <c r="R204" s="5">
        <f>deaths!R204-deaths!Q204</f>
        <v>0</v>
      </c>
      <c r="S204" s="5">
        <f>deaths!S204-deaths!R204</f>
        <v>0</v>
      </c>
      <c r="T204" s="5">
        <f>deaths!T204-deaths!S204</f>
        <v>0</v>
      </c>
      <c r="U204" s="5">
        <f>deaths!U204-deaths!T204</f>
        <v>0</v>
      </c>
      <c r="V204" s="5">
        <f>deaths!V204-deaths!U204</f>
        <v>0</v>
      </c>
      <c r="W204" s="5">
        <f>deaths!W204-deaths!V204</f>
        <v>0</v>
      </c>
      <c r="X204" s="5">
        <f>deaths!X204-deaths!W204</f>
        <v>0</v>
      </c>
      <c r="Y204" s="5">
        <f>deaths!Y204-deaths!X204</f>
        <v>0</v>
      </c>
      <c r="Z204" s="5">
        <f>deaths!Z204-deaths!Y204</f>
        <v>0</v>
      </c>
      <c r="AA204" s="5">
        <f>deaths!AA204-deaths!Z204</f>
        <v>0</v>
      </c>
      <c r="AB204" s="5">
        <f>deaths!AB204-deaths!AA204</f>
        <v>0</v>
      </c>
      <c r="AC204" s="5">
        <f>deaths!AC204-deaths!AB204</f>
        <v>0</v>
      </c>
      <c r="AD204" s="5">
        <f>deaths!AD204-deaths!AC204</f>
        <v>0</v>
      </c>
      <c r="AE204" s="5">
        <f>deaths!AE204-deaths!AD204</f>
        <v>0</v>
      </c>
      <c r="AF204" s="5">
        <f>deaths!AF204-deaths!AE204</f>
        <v>0</v>
      </c>
      <c r="AG204" s="5">
        <f>deaths!AG204-deaths!AF204</f>
        <v>0</v>
      </c>
      <c r="AH204" s="5">
        <f>deaths!AH204-deaths!AG204</f>
        <v>0</v>
      </c>
      <c r="AI204" s="5">
        <f>deaths!AI204-deaths!AH204</f>
        <v>0</v>
      </c>
      <c r="AJ204" s="5">
        <f>deaths!AJ204-deaths!AI204</f>
        <v>0</v>
      </c>
      <c r="AK204" s="5">
        <f>deaths!AK204-deaths!AJ204</f>
        <v>0</v>
      </c>
      <c r="AL204" s="5">
        <f>deaths!AL204-deaths!AK204</f>
        <v>0</v>
      </c>
      <c r="AM204" s="5">
        <f>deaths!AM204-deaths!AL204</f>
        <v>0</v>
      </c>
      <c r="AN204" s="5">
        <f>deaths!AN204-deaths!AM204</f>
        <v>0</v>
      </c>
      <c r="AO204" s="5">
        <f>deaths!AO204-deaths!AN204</f>
        <v>0</v>
      </c>
      <c r="AP204" s="5">
        <f>deaths!AP204-deaths!AO204</f>
        <v>0</v>
      </c>
      <c r="AQ204" s="5">
        <f>deaths!AQ204-deaths!AP204</f>
        <v>0</v>
      </c>
      <c r="AR204" s="5">
        <f>deaths!AR204-deaths!AQ204</f>
        <v>0</v>
      </c>
      <c r="AS204" s="5">
        <f>deaths!AS204-deaths!AR204</f>
        <v>0</v>
      </c>
      <c r="AT204" s="5">
        <f>deaths!AT204-deaths!AS204</f>
        <v>0</v>
      </c>
      <c r="AU204" s="5">
        <f>deaths!AU204-deaths!AT204</f>
        <v>0</v>
      </c>
      <c r="AV204" s="5">
        <f>deaths!AV204-deaths!AU204</f>
        <v>0</v>
      </c>
      <c r="AW204" s="5">
        <f>deaths!AW204-deaths!AV204</f>
        <v>0</v>
      </c>
      <c r="AX204" s="5">
        <f>deaths!AX204-deaths!AW204</f>
        <v>0</v>
      </c>
      <c r="AY204" s="5">
        <f>deaths!AY204-deaths!AX204</f>
        <v>0</v>
      </c>
      <c r="AZ204" s="5">
        <f>deaths!AZ204-deaths!AY204</f>
        <v>0</v>
      </c>
      <c r="BA204" s="5">
        <f>deaths!BA204-deaths!AZ204</f>
        <v>0</v>
      </c>
      <c r="BB204" s="5">
        <f>deaths!BB204-deaths!BA204</f>
        <v>0</v>
      </c>
      <c r="BC204" s="5">
        <f>deaths!BC204-deaths!BB204</f>
        <v>0</v>
      </c>
      <c r="BD204" s="5">
        <f>deaths!BD204-deaths!BC204</f>
        <v>0</v>
      </c>
      <c r="BE204" s="5">
        <f>deaths!BE204-deaths!BD204</f>
        <v>0</v>
      </c>
      <c r="BF204" s="5">
        <f>deaths!BF204-deaths!BE204</f>
        <v>0</v>
      </c>
      <c r="BG204" s="5">
        <f>deaths!BG204-deaths!BF204</f>
        <v>0</v>
      </c>
      <c r="BH204" s="5">
        <f>deaths!BH204-deaths!BG204</f>
        <v>0</v>
      </c>
      <c r="BI204" s="5">
        <f>deaths!BI204-deaths!BH204</f>
        <v>0</v>
      </c>
      <c r="BJ204" s="5">
        <f>deaths!BJ204-deaths!BI204</f>
        <v>0</v>
      </c>
      <c r="BK204" s="5">
        <f>deaths!BK204-deaths!BJ204</f>
        <v>0</v>
      </c>
      <c r="BL204" s="5">
        <f>deaths!BL204-deaths!BK204</f>
        <v>0</v>
      </c>
      <c r="BM204" s="5">
        <f>deaths!BM204-deaths!BL204</f>
        <v>0</v>
      </c>
      <c r="BN204" s="5">
        <f>deaths!BN204-deaths!BM204</f>
        <v>0</v>
      </c>
      <c r="BO204" s="5">
        <f>deaths!BO204-deaths!BN204</f>
        <v>0</v>
      </c>
      <c r="BP204" s="5">
        <f>deaths!BP204-deaths!BO204</f>
        <v>0</v>
      </c>
      <c r="BQ204" s="5">
        <f>deaths!BQ204-deaths!BP204</f>
        <v>0</v>
      </c>
      <c r="BR204" s="5">
        <f>deaths!BR204-deaths!BQ204</f>
        <v>0</v>
      </c>
      <c r="BS204" s="5">
        <f>deaths!BS204-deaths!BR204</f>
        <v>1</v>
      </c>
      <c r="BT204" s="5">
        <f>deaths!BT204-deaths!BS204</f>
        <v>0</v>
      </c>
      <c r="BU204" s="5">
        <f>deaths!BU204-deaths!BT204</f>
        <v>1</v>
      </c>
      <c r="BV204" s="5">
        <f>deaths!BV204-deaths!BU204</f>
        <v>0</v>
      </c>
      <c r="BW204" s="5">
        <f>deaths!BW204-deaths!BV204</f>
        <v>1</v>
      </c>
      <c r="BX204" s="5">
        <f>deaths!BX204-deaths!BW204</f>
        <v>1</v>
      </c>
      <c r="BY204" s="5">
        <f>deaths!BY204-deaths!BX204</f>
        <v>0</v>
      </c>
      <c r="BZ204" s="1">
        <f>deaths!BZ204</f>
        <v>5</v>
      </c>
      <c r="CA204" s="1">
        <f>deaths!CA204</f>
        <v>5</v>
      </c>
      <c r="CB204" s="1">
        <f>deaths!CB204</f>
        <v>5</v>
      </c>
      <c r="CC204" s="1" t="str">
        <f>deaths!CC204</f>
        <v/>
      </c>
    </row>
    <row r="205">
      <c r="B205" s="1" t="str">
        <f>deaths!B205</f>
        <v>Sudan</v>
      </c>
      <c r="C205" s="4">
        <f>deaths!C205</f>
        <v>12.8628</v>
      </c>
      <c r="D205" s="4">
        <f>deaths!D205</f>
        <v>30.2176</v>
      </c>
      <c r="E205" s="5">
        <f>deaths!E205</f>
        <v>0</v>
      </c>
      <c r="F205" s="5">
        <f>deaths!F205-deaths!E205</f>
        <v>0</v>
      </c>
      <c r="G205" s="5">
        <f>deaths!G205-deaths!F205</f>
        <v>0</v>
      </c>
      <c r="H205" s="5">
        <f>deaths!H205-deaths!G205</f>
        <v>0</v>
      </c>
      <c r="I205" s="5">
        <f>deaths!I205-deaths!H205</f>
        <v>0</v>
      </c>
      <c r="J205" s="5">
        <f>deaths!J205-deaths!I205</f>
        <v>0</v>
      </c>
      <c r="K205" s="5">
        <f>deaths!K205-deaths!J205</f>
        <v>0</v>
      </c>
      <c r="L205" s="5">
        <f>deaths!L205-deaths!K205</f>
        <v>0</v>
      </c>
      <c r="M205" s="5">
        <f>deaths!M205-deaths!L205</f>
        <v>0</v>
      </c>
      <c r="N205" s="5">
        <f>deaths!N205-deaths!M205</f>
        <v>0</v>
      </c>
      <c r="O205" s="5">
        <f>deaths!O205-deaths!N205</f>
        <v>0</v>
      </c>
      <c r="P205" s="5">
        <f>deaths!P205-deaths!O205</f>
        <v>0</v>
      </c>
      <c r="Q205" s="5">
        <f>deaths!Q205-deaths!P205</f>
        <v>0</v>
      </c>
      <c r="R205" s="5">
        <f>deaths!R205-deaths!Q205</f>
        <v>0</v>
      </c>
      <c r="S205" s="5">
        <f>deaths!S205-deaths!R205</f>
        <v>0</v>
      </c>
      <c r="T205" s="5">
        <f>deaths!T205-deaths!S205</f>
        <v>0</v>
      </c>
      <c r="U205" s="5">
        <f>deaths!U205-deaths!T205</f>
        <v>0</v>
      </c>
      <c r="V205" s="5">
        <f>deaths!V205-deaths!U205</f>
        <v>0</v>
      </c>
      <c r="W205" s="5">
        <f>deaths!W205-deaths!V205</f>
        <v>0</v>
      </c>
      <c r="X205" s="5">
        <f>deaths!X205-deaths!W205</f>
        <v>0</v>
      </c>
      <c r="Y205" s="5">
        <f>deaths!Y205-deaths!X205</f>
        <v>0</v>
      </c>
      <c r="Z205" s="5">
        <f>deaths!Z205-deaths!Y205</f>
        <v>0</v>
      </c>
      <c r="AA205" s="5">
        <f>deaths!AA205-deaths!Z205</f>
        <v>0</v>
      </c>
      <c r="AB205" s="5">
        <f>deaths!AB205-deaths!AA205</f>
        <v>0</v>
      </c>
      <c r="AC205" s="5">
        <f>deaths!AC205-deaths!AB205</f>
        <v>0</v>
      </c>
      <c r="AD205" s="5">
        <f>deaths!AD205-deaths!AC205</f>
        <v>0</v>
      </c>
      <c r="AE205" s="5">
        <f>deaths!AE205-deaths!AD205</f>
        <v>0</v>
      </c>
      <c r="AF205" s="5">
        <f>deaths!AF205-deaths!AE205</f>
        <v>0</v>
      </c>
      <c r="AG205" s="5">
        <f>deaths!AG205-deaths!AF205</f>
        <v>0</v>
      </c>
      <c r="AH205" s="5">
        <f>deaths!AH205-deaths!AG205</f>
        <v>0</v>
      </c>
      <c r="AI205" s="5">
        <f>deaths!AI205-deaths!AH205</f>
        <v>0</v>
      </c>
      <c r="AJ205" s="5">
        <f>deaths!AJ205-deaths!AI205</f>
        <v>0</v>
      </c>
      <c r="AK205" s="5">
        <f>deaths!AK205-deaths!AJ205</f>
        <v>0</v>
      </c>
      <c r="AL205" s="5">
        <f>deaths!AL205-deaths!AK205</f>
        <v>0</v>
      </c>
      <c r="AM205" s="5">
        <f>deaths!AM205-deaths!AL205</f>
        <v>0</v>
      </c>
      <c r="AN205" s="5">
        <f>deaths!AN205-deaths!AM205</f>
        <v>0</v>
      </c>
      <c r="AO205" s="5">
        <f>deaths!AO205-deaths!AN205</f>
        <v>0</v>
      </c>
      <c r="AP205" s="5">
        <f>deaths!AP205-deaths!AO205</f>
        <v>0</v>
      </c>
      <c r="AQ205" s="5">
        <f>deaths!AQ205-deaths!AP205</f>
        <v>0</v>
      </c>
      <c r="AR205" s="5">
        <f>deaths!AR205-deaths!AQ205</f>
        <v>0</v>
      </c>
      <c r="AS205" s="5">
        <f>deaths!AS205-deaths!AR205</f>
        <v>0</v>
      </c>
      <c r="AT205" s="5">
        <f>deaths!AT205-deaths!AS205</f>
        <v>0</v>
      </c>
      <c r="AU205" s="5">
        <f>deaths!AU205-deaths!AT205</f>
        <v>0</v>
      </c>
      <c r="AV205" s="5">
        <f>deaths!AV205-deaths!AU205</f>
        <v>0</v>
      </c>
      <c r="AW205" s="5">
        <f>deaths!AW205-deaths!AV205</f>
        <v>0</v>
      </c>
      <c r="AX205" s="5">
        <f>deaths!AX205-deaths!AW205</f>
        <v>0</v>
      </c>
      <c r="AY205" s="5">
        <f>deaths!AY205-deaths!AX205</f>
        <v>0</v>
      </c>
      <c r="AZ205" s="5">
        <f>deaths!AZ205-deaths!AY205</f>
        <v>0</v>
      </c>
      <c r="BA205" s="5">
        <f>deaths!BA205-deaths!AZ205</f>
        <v>0</v>
      </c>
      <c r="BB205" s="5">
        <f>deaths!BB205-deaths!BA205</f>
        <v>0</v>
      </c>
      <c r="BC205" s="5">
        <f>deaths!BC205-deaths!BB205</f>
        <v>0</v>
      </c>
      <c r="BD205" s="5">
        <f>deaths!BD205-deaths!BC205</f>
        <v>1</v>
      </c>
      <c r="BE205" s="5">
        <f>deaths!BE205-deaths!BD205</f>
        <v>0</v>
      </c>
      <c r="BF205" s="5">
        <f>deaths!BF205-deaths!BE205</f>
        <v>0</v>
      </c>
      <c r="BG205" s="5">
        <f>deaths!BG205-deaths!BF205</f>
        <v>0</v>
      </c>
      <c r="BH205" s="5">
        <f>deaths!BH205-deaths!BG205</f>
        <v>0</v>
      </c>
      <c r="BI205" s="5">
        <f>deaths!BI205-deaths!BH205</f>
        <v>0</v>
      </c>
      <c r="BJ205" s="5">
        <f>deaths!BJ205-deaths!BI205</f>
        <v>0</v>
      </c>
      <c r="BK205" s="5">
        <f>deaths!BK205-deaths!BJ205</f>
        <v>0</v>
      </c>
      <c r="BL205" s="5">
        <f>deaths!BL205-deaths!BK205</f>
        <v>0</v>
      </c>
      <c r="BM205" s="5">
        <f>deaths!BM205-deaths!BL205</f>
        <v>0</v>
      </c>
      <c r="BN205" s="5">
        <f>deaths!BN205-deaths!BM205</f>
        <v>0</v>
      </c>
      <c r="BO205" s="5">
        <f>deaths!BO205-deaths!BN205</f>
        <v>0</v>
      </c>
      <c r="BP205" s="5">
        <f>deaths!BP205-deaths!BO205</f>
        <v>0</v>
      </c>
      <c r="BQ205" s="5">
        <f>deaths!BQ205-deaths!BP205</f>
        <v>0</v>
      </c>
      <c r="BR205" s="5">
        <f>deaths!BR205-deaths!BQ205</f>
        <v>0</v>
      </c>
      <c r="BS205" s="5">
        <f>deaths!BS205-deaths!BR205</f>
        <v>0</v>
      </c>
      <c r="BT205" s="5">
        <f>deaths!BT205-deaths!BS205</f>
        <v>0</v>
      </c>
      <c r="BU205" s="5">
        <f>deaths!BU205-deaths!BT205</f>
        <v>1</v>
      </c>
      <c r="BV205" s="5">
        <f>deaths!BV205-deaths!BU205</f>
        <v>0</v>
      </c>
      <c r="BW205" s="5">
        <f>deaths!BW205-deaths!BV205</f>
        <v>0</v>
      </c>
      <c r="BX205" s="5">
        <f>deaths!BX205-deaths!BW205</f>
        <v>0</v>
      </c>
      <c r="BY205" s="5">
        <f>deaths!BY205-deaths!BX205</f>
        <v>0</v>
      </c>
      <c r="BZ205" s="1">
        <f>deaths!BZ205</f>
        <v>2</v>
      </c>
      <c r="CA205" s="1">
        <f>deaths!CA205</f>
        <v>2</v>
      </c>
      <c r="CB205" s="1">
        <f>deaths!CB205</f>
        <v>2</v>
      </c>
      <c r="CC205" s="1" t="str">
        <f>deaths!CC205</f>
        <v/>
      </c>
    </row>
    <row r="206">
      <c r="B206" s="1" t="str">
        <f>deaths!B206</f>
        <v>Suriname</v>
      </c>
      <c r="C206" s="4">
        <f>deaths!C206</f>
        <v>3.9193</v>
      </c>
      <c r="D206" s="4">
        <f>deaths!D206</f>
        <v>-56.0278</v>
      </c>
      <c r="E206" s="5">
        <f>deaths!E206</f>
        <v>0</v>
      </c>
      <c r="F206" s="5">
        <f>deaths!F206-deaths!E206</f>
        <v>0</v>
      </c>
      <c r="G206" s="5">
        <f>deaths!G206-deaths!F206</f>
        <v>0</v>
      </c>
      <c r="H206" s="5">
        <f>deaths!H206-deaths!G206</f>
        <v>0</v>
      </c>
      <c r="I206" s="5">
        <f>deaths!I206-deaths!H206</f>
        <v>0</v>
      </c>
      <c r="J206" s="5">
        <f>deaths!J206-deaths!I206</f>
        <v>0</v>
      </c>
      <c r="K206" s="5">
        <f>deaths!K206-deaths!J206</f>
        <v>0</v>
      </c>
      <c r="L206" s="5">
        <f>deaths!L206-deaths!K206</f>
        <v>0</v>
      </c>
      <c r="M206" s="5">
        <f>deaths!M206-deaths!L206</f>
        <v>0</v>
      </c>
      <c r="N206" s="5">
        <f>deaths!N206-deaths!M206</f>
        <v>0</v>
      </c>
      <c r="O206" s="5">
        <f>deaths!O206-deaths!N206</f>
        <v>0</v>
      </c>
      <c r="P206" s="5">
        <f>deaths!P206-deaths!O206</f>
        <v>0</v>
      </c>
      <c r="Q206" s="5">
        <f>deaths!Q206-deaths!P206</f>
        <v>0</v>
      </c>
      <c r="R206" s="5">
        <f>deaths!R206-deaths!Q206</f>
        <v>0</v>
      </c>
      <c r="S206" s="5">
        <f>deaths!S206-deaths!R206</f>
        <v>0</v>
      </c>
      <c r="T206" s="5">
        <f>deaths!T206-deaths!S206</f>
        <v>0</v>
      </c>
      <c r="U206" s="5">
        <f>deaths!U206-deaths!T206</f>
        <v>0</v>
      </c>
      <c r="V206" s="5">
        <f>deaths!V206-deaths!U206</f>
        <v>0</v>
      </c>
      <c r="W206" s="5">
        <f>deaths!W206-deaths!V206</f>
        <v>0</v>
      </c>
      <c r="X206" s="5">
        <f>deaths!X206-deaths!W206</f>
        <v>0</v>
      </c>
      <c r="Y206" s="5">
        <f>deaths!Y206-deaths!X206</f>
        <v>0</v>
      </c>
      <c r="Z206" s="5">
        <f>deaths!Z206-deaths!Y206</f>
        <v>0</v>
      </c>
      <c r="AA206" s="5">
        <f>deaths!AA206-deaths!Z206</f>
        <v>0</v>
      </c>
      <c r="AB206" s="5">
        <f>deaths!AB206-deaths!AA206</f>
        <v>0</v>
      </c>
      <c r="AC206" s="5">
        <f>deaths!AC206-deaths!AB206</f>
        <v>0</v>
      </c>
      <c r="AD206" s="5">
        <f>deaths!AD206-deaths!AC206</f>
        <v>0</v>
      </c>
      <c r="AE206" s="5">
        <f>deaths!AE206-deaths!AD206</f>
        <v>0</v>
      </c>
      <c r="AF206" s="5">
        <f>deaths!AF206-deaths!AE206</f>
        <v>0</v>
      </c>
      <c r="AG206" s="5">
        <f>deaths!AG206-deaths!AF206</f>
        <v>0</v>
      </c>
      <c r="AH206" s="5">
        <f>deaths!AH206-deaths!AG206</f>
        <v>0</v>
      </c>
      <c r="AI206" s="5">
        <f>deaths!AI206-deaths!AH206</f>
        <v>0</v>
      </c>
      <c r="AJ206" s="5">
        <f>deaths!AJ206-deaths!AI206</f>
        <v>0</v>
      </c>
      <c r="AK206" s="5">
        <f>deaths!AK206-deaths!AJ206</f>
        <v>0</v>
      </c>
      <c r="AL206" s="5">
        <f>deaths!AL206-deaths!AK206</f>
        <v>0</v>
      </c>
      <c r="AM206" s="5">
        <f>deaths!AM206-deaths!AL206</f>
        <v>0</v>
      </c>
      <c r="AN206" s="5">
        <f>deaths!AN206-deaths!AM206</f>
        <v>0</v>
      </c>
      <c r="AO206" s="5">
        <f>deaths!AO206-deaths!AN206</f>
        <v>0</v>
      </c>
      <c r="AP206" s="5">
        <f>deaths!AP206-deaths!AO206</f>
        <v>0</v>
      </c>
      <c r="AQ206" s="5">
        <f>deaths!AQ206-deaths!AP206</f>
        <v>0</v>
      </c>
      <c r="AR206" s="5">
        <f>deaths!AR206-deaths!AQ206</f>
        <v>0</v>
      </c>
      <c r="AS206" s="5">
        <f>deaths!AS206-deaths!AR206</f>
        <v>0</v>
      </c>
      <c r="AT206" s="5">
        <f>deaths!AT206-deaths!AS206</f>
        <v>0</v>
      </c>
      <c r="AU206" s="5">
        <f>deaths!AU206-deaths!AT206</f>
        <v>0</v>
      </c>
      <c r="AV206" s="5">
        <f>deaths!AV206-deaths!AU206</f>
        <v>0</v>
      </c>
      <c r="AW206" s="5">
        <f>deaths!AW206-deaths!AV206</f>
        <v>0</v>
      </c>
      <c r="AX206" s="5">
        <f>deaths!AX206-deaths!AW206</f>
        <v>0</v>
      </c>
      <c r="AY206" s="5">
        <f>deaths!AY206-deaths!AX206</f>
        <v>0</v>
      </c>
      <c r="AZ206" s="5">
        <f>deaths!AZ206-deaths!AY206</f>
        <v>0</v>
      </c>
      <c r="BA206" s="5">
        <f>deaths!BA206-deaths!AZ206</f>
        <v>0</v>
      </c>
      <c r="BB206" s="5">
        <f>deaths!BB206-deaths!BA206</f>
        <v>0</v>
      </c>
      <c r="BC206" s="5">
        <f>deaths!BC206-deaths!BB206</f>
        <v>0</v>
      </c>
      <c r="BD206" s="5">
        <f>deaths!BD206-deaths!BC206</f>
        <v>0</v>
      </c>
      <c r="BE206" s="5">
        <f>deaths!BE206-deaths!BD206</f>
        <v>0</v>
      </c>
      <c r="BF206" s="5">
        <f>deaths!BF206-deaths!BE206</f>
        <v>0</v>
      </c>
      <c r="BG206" s="5">
        <f>deaths!BG206-deaths!BF206</f>
        <v>0</v>
      </c>
      <c r="BH206" s="5">
        <f>deaths!BH206-deaths!BG206</f>
        <v>0</v>
      </c>
      <c r="BI206" s="5">
        <f>deaths!BI206-deaths!BH206</f>
        <v>0</v>
      </c>
      <c r="BJ206" s="5">
        <f>deaths!BJ206-deaths!BI206</f>
        <v>0</v>
      </c>
      <c r="BK206" s="5">
        <f>deaths!BK206-deaths!BJ206</f>
        <v>0</v>
      </c>
      <c r="BL206" s="5">
        <f>deaths!BL206-deaths!BK206</f>
        <v>0</v>
      </c>
      <c r="BM206" s="5">
        <f>deaths!BM206-deaths!BL206</f>
        <v>0</v>
      </c>
      <c r="BN206" s="5">
        <f>deaths!BN206-deaths!BM206</f>
        <v>0</v>
      </c>
      <c r="BO206" s="5">
        <f>deaths!BO206-deaths!BN206</f>
        <v>0</v>
      </c>
      <c r="BP206" s="5">
        <f>deaths!BP206-deaths!BO206</f>
        <v>0</v>
      </c>
      <c r="BQ206" s="5">
        <f>deaths!BQ206-deaths!BP206</f>
        <v>0</v>
      </c>
      <c r="BR206" s="5">
        <f>deaths!BR206-deaths!BQ206</f>
        <v>0</v>
      </c>
      <c r="BS206" s="5">
        <f>deaths!BS206-deaths!BR206</f>
        <v>0</v>
      </c>
      <c r="BT206" s="5">
        <f>deaths!BT206-deaths!BS206</f>
        <v>0</v>
      </c>
      <c r="BU206" s="5">
        <f>deaths!BU206-deaths!BT206</f>
        <v>0</v>
      </c>
      <c r="BV206" s="5">
        <f>deaths!BV206-deaths!BU206</f>
        <v>0</v>
      </c>
      <c r="BW206" s="5">
        <f>deaths!BW206-deaths!BV206</f>
        <v>0</v>
      </c>
      <c r="BX206" s="5">
        <f>deaths!BX206-deaths!BW206</f>
        <v>0</v>
      </c>
      <c r="BY206" s="5">
        <f>deaths!BY206-deaths!BX206</f>
        <v>1</v>
      </c>
      <c r="BZ206" s="1">
        <f>deaths!BZ206</f>
        <v>1</v>
      </c>
      <c r="CA206" s="1">
        <f>deaths!CA206</f>
        <v>1</v>
      </c>
      <c r="CB206" s="1">
        <f>deaths!CB206</f>
        <v>1</v>
      </c>
      <c r="CC206" s="1" t="str">
        <f>deaths!CC206</f>
        <v/>
      </c>
    </row>
    <row r="207">
      <c r="B207" s="1" t="str">
        <f>deaths!B207</f>
        <v>Sweden</v>
      </c>
      <c r="C207" s="4">
        <f>deaths!C207</f>
        <v>63</v>
      </c>
      <c r="D207" s="4">
        <f>deaths!D207</f>
        <v>16</v>
      </c>
      <c r="E207" s="5">
        <f>deaths!E207</f>
        <v>0</v>
      </c>
      <c r="F207" s="5">
        <f>deaths!F207-deaths!E207</f>
        <v>0</v>
      </c>
      <c r="G207" s="5">
        <f>deaths!G207-deaths!F207</f>
        <v>0</v>
      </c>
      <c r="H207" s="5">
        <f>deaths!H207-deaths!G207</f>
        <v>0</v>
      </c>
      <c r="I207" s="5">
        <f>deaths!I207-deaths!H207</f>
        <v>0</v>
      </c>
      <c r="J207" s="5">
        <f>deaths!J207-deaths!I207</f>
        <v>0</v>
      </c>
      <c r="K207" s="5">
        <f>deaths!K207-deaths!J207</f>
        <v>0</v>
      </c>
      <c r="L207" s="5">
        <f>deaths!L207-deaths!K207</f>
        <v>0</v>
      </c>
      <c r="M207" s="5">
        <f>deaths!M207-deaths!L207</f>
        <v>0</v>
      </c>
      <c r="N207" s="5">
        <f>deaths!N207-deaths!M207</f>
        <v>0</v>
      </c>
      <c r="O207" s="5">
        <f>deaths!O207-deaths!N207</f>
        <v>0</v>
      </c>
      <c r="P207" s="5">
        <f>deaths!P207-deaths!O207</f>
        <v>0</v>
      </c>
      <c r="Q207" s="5">
        <f>deaths!Q207-deaths!P207</f>
        <v>0</v>
      </c>
      <c r="R207" s="5">
        <f>deaths!R207-deaths!Q207</f>
        <v>0</v>
      </c>
      <c r="S207" s="5">
        <f>deaths!S207-deaths!R207</f>
        <v>0</v>
      </c>
      <c r="T207" s="5">
        <f>deaths!T207-deaths!S207</f>
        <v>0</v>
      </c>
      <c r="U207" s="5">
        <f>deaths!U207-deaths!T207</f>
        <v>0</v>
      </c>
      <c r="V207" s="5">
        <f>deaths!V207-deaths!U207</f>
        <v>0</v>
      </c>
      <c r="W207" s="5">
        <f>deaths!W207-deaths!V207</f>
        <v>0</v>
      </c>
      <c r="X207" s="5">
        <f>deaths!X207-deaths!W207</f>
        <v>0</v>
      </c>
      <c r="Y207" s="5">
        <f>deaths!Y207-deaths!X207</f>
        <v>0</v>
      </c>
      <c r="Z207" s="5">
        <f>deaths!Z207-deaths!Y207</f>
        <v>0</v>
      </c>
      <c r="AA207" s="5">
        <f>deaths!AA207-deaths!Z207</f>
        <v>0</v>
      </c>
      <c r="AB207" s="5">
        <f>deaths!AB207-deaths!AA207</f>
        <v>0</v>
      </c>
      <c r="AC207" s="5">
        <f>deaths!AC207-deaths!AB207</f>
        <v>0</v>
      </c>
      <c r="AD207" s="5">
        <f>deaths!AD207-deaths!AC207</f>
        <v>0</v>
      </c>
      <c r="AE207" s="5">
        <f>deaths!AE207-deaths!AD207</f>
        <v>0</v>
      </c>
      <c r="AF207" s="5">
        <f>deaths!AF207-deaths!AE207</f>
        <v>0</v>
      </c>
      <c r="AG207" s="5">
        <f>deaths!AG207-deaths!AF207</f>
        <v>0</v>
      </c>
      <c r="AH207" s="5">
        <f>deaths!AH207-deaths!AG207</f>
        <v>0</v>
      </c>
      <c r="AI207" s="5">
        <f>deaths!AI207-deaths!AH207</f>
        <v>0</v>
      </c>
      <c r="AJ207" s="5">
        <f>deaths!AJ207-deaths!AI207</f>
        <v>0</v>
      </c>
      <c r="AK207" s="5">
        <f>deaths!AK207-deaths!AJ207</f>
        <v>0</v>
      </c>
      <c r="AL207" s="5">
        <f>deaths!AL207-deaths!AK207</f>
        <v>0</v>
      </c>
      <c r="AM207" s="5">
        <f>deaths!AM207-deaths!AL207</f>
        <v>0</v>
      </c>
      <c r="AN207" s="5">
        <f>deaths!AN207-deaths!AM207</f>
        <v>0</v>
      </c>
      <c r="AO207" s="5">
        <f>deaths!AO207-deaths!AN207</f>
        <v>0</v>
      </c>
      <c r="AP207" s="5">
        <f>deaths!AP207-deaths!AO207</f>
        <v>0</v>
      </c>
      <c r="AQ207" s="5">
        <f>deaths!AQ207-deaths!AP207</f>
        <v>0</v>
      </c>
      <c r="AR207" s="5">
        <f>deaths!AR207-deaths!AQ207</f>
        <v>0</v>
      </c>
      <c r="AS207" s="5">
        <f>deaths!AS207-deaths!AR207</f>
        <v>0</v>
      </c>
      <c r="AT207" s="5">
        <f>deaths!AT207-deaths!AS207</f>
        <v>0</v>
      </c>
      <c r="AU207" s="5">
        <f>deaths!AU207-deaths!AT207</f>
        <v>0</v>
      </c>
      <c r="AV207" s="5">
        <f>deaths!AV207-deaths!AU207</f>
        <v>0</v>
      </c>
      <c r="AW207" s="5">
        <f>deaths!AW207-deaths!AV207</f>
        <v>0</v>
      </c>
      <c r="AX207" s="5">
        <f>deaths!AX207-deaths!AW207</f>
        <v>0</v>
      </c>
      <c r="AY207" s="5">
        <f>deaths!AY207-deaths!AX207</f>
        <v>0</v>
      </c>
      <c r="AZ207" s="5">
        <f>deaths!AZ207-deaths!AY207</f>
        <v>0</v>
      </c>
      <c r="BA207" s="5">
        <f>deaths!BA207-deaths!AZ207</f>
        <v>0</v>
      </c>
      <c r="BB207" s="5">
        <f>deaths!BB207-deaths!BA207</f>
        <v>1</v>
      </c>
      <c r="BC207" s="5">
        <f>deaths!BC207-deaths!BB207</f>
        <v>0</v>
      </c>
      <c r="BD207" s="5">
        <f>deaths!BD207-deaths!BC207</f>
        <v>0</v>
      </c>
      <c r="BE207" s="5">
        <f>deaths!BE207-deaths!BD207</f>
        <v>1</v>
      </c>
      <c r="BF207" s="5">
        <f>deaths!BF207-deaths!BE207</f>
        <v>1</v>
      </c>
      <c r="BG207" s="5">
        <f>deaths!BG207-deaths!BF207</f>
        <v>3</v>
      </c>
      <c r="BH207" s="5">
        <f>deaths!BH207-deaths!BG207</f>
        <v>1</v>
      </c>
      <c r="BI207" s="5">
        <f>deaths!BI207-deaths!BH207</f>
        <v>3</v>
      </c>
      <c r="BJ207" s="5">
        <f>deaths!BJ207-deaths!BI207</f>
        <v>1</v>
      </c>
      <c r="BK207" s="5">
        <f>deaths!BK207-deaths!BJ207</f>
        <v>5</v>
      </c>
      <c r="BL207" s="5">
        <f>deaths!BL207-deaths!BK207</f>
        <v>4</v>
      </c>
      <c r="BM207" s="5">
        <f>deaths!BM207-deaths!BL207</f>
        <v>1</v>
      </c>
      <c r="BN207" s="5">
        <f>deaths!BN207-deaths!BM207</f>
        <v>4</v>
      </c>
      <c r="BO207" s="5">
        <f>deaths!BO207-deaths!BN207</f>
        <v>11</v>
      </c>
      <c r="BP207" s="5">
        <f>deaths!BP207-deaths!BO207</f>
        <v>26</v>
      </c>
      <c r="BQ207" s="5">
        <f>deaths!BQ207-deaths!BP207</f>
        <v>15</v>
      </c>
      <c r="BR207" s="5">
        <f>deaths!BR207-deaths!BQ207</f>
        <v>28</v>
      </c>
      <c r="BS207" s="5">
        <f>deaths!BS207-deaths!BR207</f>
        <v>0</v>
      </c>
      <c r="BT207" s="5">
        <f>deaths!BT207-deaths!BS207</f>
        <v>5</v>
      </c>
      <c r="BU207" s="5">
        <f>deaths!BU207-deaths!BT207</f>
        <v>36</v>
      </c>
      <c r="BV207" s="5">
        <f>deaths!BV207-deaths!BU207</f>
        <v>34</v>
      </c>
      <c r="BW207" s="5">
        <f>deaths!BW207-deaths!BV207</f>
        <v>59</v>
      </c>
      <c r="BX207" s="5">
        <f>deaths!BX207-deaths!BW207</f>
        <v>69</v>
      </c>
      <c r="BY207" s="5">
        <f>deaths!BY207-deaths!BX207</f>
        <v>50</v>
      </c>
      <c r="BZ207" s="1">
        <f>deaths!BZ207</f>
        <v>373</v>
      </c>
      <c r="CA207" s="1">
        <f>deaths!CA207</f>
        <v>401</v>
      </c>
      <c r="CB207" s="1">
        <f>deaths!CB207</f>
        <v>477</v>
      </c>
      <c r="CC207" s="1" t="str">
        <f>deaths!CC207</f>
        <v/>
      </c>
    </row>
    <row r="208">
      <c r="B208" s="1" t="str">
        <f>deaths!B208</f>
        <v>Switzerland</v>
      </c>
      <c r="C208" s="4">
        <f>deaths!C208</f>
        <v>46.8182</v>
      </c>
      <c r="D208" s="4">
        <f>deaths!D208</f>
        <v>8.2275</v>
      </c>
      <c r="E208" s="5">
        <f>deaths!E208</f>
        <v>0</v>
      </c>
      <c r="F208" s="5">
        <f>deaths!F208-deaths!E208</f>
        <v>0</v>
      </c>
      <c r="G208" s="5">
        <f>deaths!G208-deaths!F208</f>
        <v>0</v>
      </c>
      <c r="H208" s="5">
        <f>deaths!H208-deaths!G208</f>
        <v>0</v>
      </c>
      <c r="I208" s="5">
        <f>deaths!I208-deaths!H208</f>
        <v>0</v>
      </c>
      <c r="J208" s="5">
        <f>deaths!J208-deaths!I208</f>
        <v>0</v>
      </c>
      <c r="K208" s="5">
        <f>deaths!K208-deaths!J208</f>
        <v>0</v>
      </c>
      <c r="L208" s="5">
        <f>deaths!L208-deaths!K208</f>
        <v>0</v>
      </c>
      <c r="M208" s="5">
        <f>deaths!M208-deaths!L208</f>
        <v>0</v>
      </c>
      <c r="N208" s="5">
        <f>deaths!N208-deaths!M208</f>
        <v>0</v>
      </c>
      <c r="O208" s="5">
        <f>deaths!O208-deaths!N208</f>
        <v>0</v>
      </c>
      <c r="P208" s="5">
        <f>deaths!P208-deaths!O208</f>
        <v>0</v>
      </c>
      <c r="Q208" s="5">
        <f>deaths!Q208-deaths!P208</f>
        <v>0</v>
      </c>
      <c r="R208" s="5">
        <f>deaths!R208-deaths!Q208</f>
        <v>0</v>
      </c>
      <c r="S208" s="5">
        <f>deaths!S208-deaths!R208</f>
        <v>0</v>
      </c>
      <c r="T208" s="5">
        <f>deaths!T208-deaths!S208</f>
        <v>0</v>
      </c>
      <c r="U208" s="5">
        <f>deaths!U208-deaths!T208</f>
        <v>0</v>
      </c>
      <c r="V208" s="5">
        <f>deaths!V208-deaths!U208</f>
        <v>0</v>
      </c>
      <c r="W208" s="5">
        <f>deaths!W208-deaths!V208</f>
        <v>0</v>
      </c>
      <c r="X208" s="5">
        <f>deaths!X208-deaths!W208</f>
        <v>0</v>
      </c>
      <c r="Y208" s="5">
        <f>deaths!Y208-deaths!X208</f>
        <v>0</v>
      </c>
      <c r="Z208" s="5">
        <f>deaths!Z208-deaths!Y208</f>
        <v>0</v>
      </c>
      <c r="AA208" s="5">
        <f>deaths!AA208-deaths!Z208</f>
        <v>0</v>
      </c>
      <c r="AB208" s="5">
        <f>deaths!AB208-deaths!AA208</f>
        <v>0</v>
      </c>
      <c r="AC208" s="5">
        <f>deaths!AC208-deaths!AB208</f>
        <v>0</v>
      </c>
      <c r="AD208" s="5">
        <f>deaths!AD208-deaths!AC208</f>
        <v>0</v>
      </c>
      <c r="AE208" s="5">
        <f>deaths!AE208-deaths!AD208</f>
        <v>0</v>
      </c>
      <c r="AF208" s="5">
        <f>deaths!AF208-deaths!AE208</f>
        <v>0</v>
      </c>
      <c r="AG208" s="5">
        <f>deaths!AG208-deaths!AF208</f>
        <v>0</v>
      </c>
      <c r="AH208" s="5">
        <f>deaths!AH208-deaths!AG208</f>
        <v>0</v>
      </c>
      <c r="AI208" s="5">
        <f>deaths!AI208-deaths!AH208</f>
        <v>0</v>
      </c>
      <c r="AJ208" s="5">
        <f>deaths!AJ208-deaths!AI208</f>
        <v>0</v>
      </c>
      <c r="AK208" s="5">
        <f>deaths!AK208-deaths!AJ208</f>
        <v>0</v>
      </c>
      <c r="AL208" s="5">
        <f>deaths!AL208-deaths!AK208</f>
        <v>0</v>
      </c>
      <c r="AM208" s="5">
        <f>deaths!AM208-deaths!AL208</f>
        <v>0</v>
      </c>
      <c r="AN208" s="5">
        <f>deaths!AN208-deaths!AM208</f>
        <v>0</v>
      </c>
      <c r="AO208" s="5">
        <f>deaths!AO208-deaths!AN208</f>
        <v>0</v>
      </c>
      <c r="AP208" s="5">
        <f>deaths!AP208-deaths!AO208</f>
        <v>0</v>
      </c>
      <c r="AQ208" s="5">
        <f>deaths!AQ208-deaths!AP208</f>
        <v>0</v>
      </c>
      <c r="AR208" s="5">
        <f>deaths!AR208-deaths!AQ208</f>
        <v>0</v>
      </c>
      <c r="AS208" s="5">
        <f>deaths!AS208-deaths!AR208</f>
        <v>0</v>
      </c>
      <c r="AT208" s="5">
        <f>deaths!AT208-deaths!AS208</f>
        <v>0</v>
      </c>
      <c r="AU208" s="5">
        <f>deaths!AU208-deaths!AT208</f>
        <v>0</v>
      </c>
      <c r="AV208" s="5">
        <f>deaths!AV208-deaths!AU208</f>
        <v>1</v>
      </c>
      <c r="AW208" s="5">
        <f>deaths!AW208-deaths!AV208</f>
        <v>0</v>
      </c>
      <c r="AX208" s="5">
        <f>deaths!AX208-deaths!AW208</f>
        <v>0</v>
      </c>
      <c r="AY208" s="5">
        <f>deaths!AY208-deaths!AX208</f>
        <v>1</v>
      </c>
      <c r="AZ208" s="5">
        <f>deaths!AZ208-deaths!AY208</f>
        <v>0</v>
      </c>
      <c r="BA208" s="5">
        <f>deaths!BA208-deaths!AZ208</f>
        <v>1</v>
      </c>
      <c r="BB208" s="5">
        <f>deaths!BB208-deaths!BA208</f>
        <v>1</v>
      </c>
      <c r="BC208" s="5">
        <f>deaths!BC208-deaths!BB208</f>
        <v>0</v>
      </c>
      <c r="BD208" s="5">
        <f>deaths!BD208-deaths!BC208</f>
        <v>7</v>
      </c>
      <c r="BE208" s="5">
        <f>deaths!BE208-deaths!BD208</f>
        <v>2</v>
      </c>
      <c r="BF208" s="5">
        <f>deaths!BF208-deaths!BE208</f>
        <v>1</v>
      </c>
      <c r="BG208" s="5">
        <f>deaths!BG208-deaths!BF208</f>
        <v>0</v>
      </c>
      <c r="BH208" s="5">
        <f>deaths!BH208-deaths!BG208</f>
        <v>13</v>
      </c>
      <c r="BI208" s="5">
        <f>deaths!BI208-deaths!BH208</f>
        <v>1</v>
      </c>
      <c r="BJ208" s="5">
        <f>deaths!BJ208-deaths!BI208</f>
        <v>13</v>
      </c>
      <c r="BK208" s="5">
        <f>deaths!BK208-deaths!BJ208</f>
        <v>13</v>
      </c>
      <c r="BL208" s="5">
        <f>deaths!BL208-deaths!BK208</f>
        <v>21</v>
      </c>
      <c r="BM208" s="5">
        <f>deaths!BM208-deaths!BL208</f>
        <v>23</v>
      </c>
      <c r="BN208" s="5">
        <f>deaths!BN208-deaths!BM208</f>
        <v>22</v>
      </c>
      <c r="BO208" s="5">
        <f>deaths!BO208-deaths!BN208</f>
        <v>2</v>
      </c>
      <c r="BP208" s="5">
        <f>deaths!BP208-deaths!BO208</f>
        <v>31</v>
      </c>
      <c r="BQ208" s="5">
        <f>deaths!BQ208-deaths!BP208</f>
        <v>38</v>
      </c>
      <c r="BR208" s="5">
        <f>deaths!BR208-deaths!BQ208</f>
        <v>40</v>
      </c>
      <c r="BS208" s="5">
        <f>deaths!BS208-deaths!BR208</f>
        <v>33</v>
      </c>
      <c r="BT208" s="5">
        <f>deaths!BT208-deaths!BS208</f>
        <v>36</v>
      </c>
      <c r="BU208" s="5">
        <f>deaths!BU208-deaths!BT208</f>
        <v>59</v>
      </c>
      <c r="BV208" s="5">
        <f>deaths!BV208-deaths!BU208</f>
        <v>74</v>
      </c>
      <c r="BW208" s="5">
        <f>deaths!BW208-deaths!BV208</f>
        <v>55</v>
      </c>
      <c r="BX208" s="5">
        <f>deaths!BX208-deaths!BW208</f>
        <v>48</v>
      </c>
      <c r="BY208" s="5">
        <f>deaths!BY208-deaths!BX208</f>
        <v>55</v>
      </c>
      <c r="BZ208" s="1">
        <f>deaths!BZ208</f>
        <v>666</v>
      </c>
      <c r="CA208" s="1">
        <f>deaths!CA208</f>
        <v>715</v>
      </c>
      <c r="CB208" s="1">
        <f>deaths!CB208</f>
        <v>765</v>
      </c>
      <c r="CC208" s="1" t="str">
        <f>deaths!CC208</f>
        <v/>
      </c>
    </row>
    <row r="209">
      <c r="B209" s="1" t="str">
        <f>deaths!B209</f>
        <v>Taiwan*</v>
      </c>
      <c r="C209" s="4">
        <f>deaths!C209</f>
        <v>23.7</v>
      </c>
      <c r="D209" s="4">
        <f>deaths!D209</f>
        <v>121</v>
      </c>
      <c r="E209" s="5">
        <f>deaths!E209</f>
        <v>0</v>
      </c>
      <c r="F209" s="5">
        <f>deaths!F209-deaths!E209</f>
        <v>0</v>
      </c>
      <c r="G209" s="5">
        <f>deaths!G209-deaths!F209</f>
        <v>0</v>
      </c>
      <c r="H209" s="5">
        <f>deaths!H209-deaths!G209</f>
        <v>0</v>
      </c>
      <c r="I209" s="5">
        <f>deaths!I209-deaths!H209</f>
        <v>0</v>
      </c>
      <c r="J209" s="5">
        <f>deaths!J209-deaths!I209</f>
        <v>0</v>
      </c>
      <c r="K209" s="5">
        <f>deaths!K209-deaths!J209</f>
        <v>0</v>
      </c>
      <c r="L209" s="5">
        <f>deaths!L209-deaths!K209</f>
        <v>0</v>
      </c>
      <c r="M209" s="5">
        <f>deaths!M209-deaths!L209</f>
        <v>0</v>
      </c>
      <c r="N209" s="5">
        <f>deaths!N209-deaths!M209</f>
        <v>0</v>
      </c>
      <c r="O209" s="5">
        <f>deaths!O209-deaths!N209</f>
        <v>0</v>
      </c>
      <c r="P209" s="5">
        <f>deaths!P209-deaths!O209</f>
        <v>0</v>
      </c>
      <c r="Q209" s="5">
        <f>deaths!Q209-deaths!P209</f>
        <v>0</v>
      </c>
      <c r="R209" s="5">
        <f>deaths!R209-deaths!Q209</f>
        <v>0</v>
      </c>
      <c r="S209" s="5">
        <f>deaths!S209-deaths!R209</f>
        <v>0</v>
      </c>
      <c r="T209" s="5">
        <f>deaths!T209-deaths!S209</f>
        <v>0</v>
      </c>
      <c r="U209" s="5">
        <f>deaths!U209-deaths!T209</f>
        <v>0</v>
      </c>
      <c r="V209" s="5">
        <f>deaths!V209-deaths!U209</f>
        <v>0</v>
      </c>
      <c r="W209" s="5">
        <f>deaths!W209-deaths!V209</f>
        <v>0</v>
      </c>
      <c r="X209" s="5">
        <f>deaths!X209-deaths!W209</f>
        <v>0</v>
      </c>
      <c r="Y209" s="5">
        <f>deaths!Y209-deaths!X209</f>
        <v>0</v>
      </c>
      <c r="Z209" s="5">
        <f>deaths!Z209-deaths!Y209</f>
        <v>0</v>
      </c>
      <c r="AA209" s="5">
        <f>deaths!AA209-deaths!Z209</f>
        <v>0</v>
      </c>
      <c r="AB209" s="5">
        <f>deaths!AB209-deaths!AA209</f>
        <v>0</v>
      </c>
      <c r="AC209" s="5">
        <f>deaths!AC209-deaths!AB209</f>
        <v>0</v>
      </c>
      <c r="AD209" s="5">
        <f>deaths!AD209-deaths!AC209</f>
        <v>1</v>
      </c>
      <c r="AE209" s="5">
        <f>deaths!AE209-deaths!AD209</f>
        <v>0</v>
      </c>
      <c r="AF209" s="5">
        <f>deaths!AF209-deaths!AE209</f>
        <v>0</v>
      </c>
      <c r="AG209" s="5">
        <f>deaths!AG209-deaths!AF209</f>
        <v>0</v>
      </c>
      <c r="AH209" s="5">
        <f>deaths!AH209-deaths!AG209</f>
        <v>0</v>
      </c>
      <c r="AI209" s="5">
        <f>deaths!AI209-deaths!AH209</f>
        <v>0</v>
      </c>
      <c r="AJ209" s="5">
        <f>deaths!AJ209-deaths!AI209</f>
        <v>0</v>
      </c>
      <c r="AK209" s="5">
        <f>deaths!AK209-deaths!AJ209</f>
        <v>0</v>
      </c>
      <c r="AL209" s="5">
        <f>deaths!AL209-deaths!AK209</f>
        <v>0</v>
      </c>
      <c r="AM209" s="5">
        <f>deaths!AM209-deaths!AL209</f>
        <v>0</v>
      </c>
      <c r="AN209" s="5">
        <f>deaths!AN209-deaths!AM209</f>
        <v>0</v>
      </c>
      <c r="AO209" s="5">
        <f>deaths!AO209-deaths!AN209</f>
        <v>0</v>
      </c>
      <c r="AP209" s="5">
        <f>deaths!AP209-deaths!AO209</f>
        <v>0</v>
      </c>
      <c r="AQ209" s="5">
        <f>deaths!AQ209-deaths!AP209</f>
        <v>0</v>
      </c>
      <c r="AR209" s="5">
        <f>deaths!AR209-deaths!AQ209</f>
        <v>0</v>
      </c>
      <c r="AS209" s="5">
        <f>deaths!AS209-deaths!AR209</f>
        <v>0</v>
      </c>
      <c r="AT209" s="5">
        <f>deaths!AT209-deaths!AS209</f>
        <v>0</v>
      </c>
      <c r="AU209" s="5">
        <f>deaths!AU209-deaths!AT209</f>
        <v>0</v>
      </c>
      <c r="AV209" s="5">
        <f>deaths!AV209-deaths!AU209</f>
        <v>0</v>
      </c>
      <c r="AW209" s="5">
        <f>deaths!AW209-deaths!AV209</f>
        <v>0</v>
      </c>
      <c r="AX209" s="5">
        <f>deaths!AX209-deaths!AW209</f>
        <v>0</v>
      </c>
      <c r="AY209" s="5">
        <f>deaths!AY209-deaths!AX209</f>
        <v>0</v>
      </c>
      <c r="AZ209" s="5">
        <f>deaths!AZ209-deaths!AY209</f>
        <v>0</v>
      </c>
      <c r="BA209" s="5">
        <f>deaths!BA209-deaths!AZ209</f>
        <v>0</v>
      </c>
      <c r="BB209" s="5">
        <f>deaths!BB209-deaths!BA209</f>
        <v>0</v>
      </c>
      <c r="BC209" s="5">
        <f>deaths!BC209-deaths!BB209</f>
        <v>0</v>
      </c>
      <c r="BD209" s="5">
        <f>deaths!BD209-deaths!BC209</f>
        <v>0</v>
      </c>
      <c r="BE209" s="5">
        <f>deaths!BE209-deaths!BD209</f>
        <v>0</v>
      </c>
      <c r="BF209" s="5">
        <f>deaths!BF209-deaths!BE209</f>
        <v>0</v>
      </c>
      <c r="BG209" s="5">
        <f>deaths!BG209-deaths!BF209</f>
        <v>0</v>
      </c>
      <c r="BH209" s="5">
        <f>deaths!BH209-deaths!BG209</f>
        <v>0</v>
      </c>
      <c r="BI209" s="5">
        <f>deaths!BI209-deaths!BH209</f>
        <v>0</v>
      </c>
      <c r="BJ209" s="5">
        <f>deaths!BJ209-deaths!BI209</f>
        <v>0</v>
      </c>
      <c r="BK209" s="5">
        <f>deaths!BK209-deaths!BJ209</f>
        <v>1</v>
      </c>
      <c r="BL209" s="5">
        <f>deaths!BL209-deaths!BK209</f>
        <v>0</v>
      </c>
      <c r="BM209" s="5">
        <f>deaths!BM209-deaths!BL209</f>
        <v>0</v>
      </c>
      <c r="BN209" s="5">
        <f>deaths!BN209-deaths!BM209</f>
        <v>0</v>
      </c>
      <c r="BO209" s="5">
        <f>deaths!BO209-deaths!BN209</f>
        <v>0</v>
      </c>
      <c r="BP209" s="5">
        <f>deaths!BP209-deaths!BO209</f>
        <v>0</v>
      </c>
      <c r="BQ209" s="5">
        <f>deaths!BQ209-deaths!BP209</f>
        <v>0</v>
      </c>
      <c r="BR209" s="5">
        <f>deaths!BR209-deaths!BQ209</f>
        <v>0</v>
      </c>
      <c r="BS209" s="5">
        <f>deaths!BS209-deaths!BR209</f>
        <v>0</v>
      </c>
      <c r="BT209" s="5">
        <f>deaths!BT209-deaths!BS209</f>
        <v>0</v>
      </c>
      <c r="BU209" s="5">
        <f>deaths!BU209-deaths!BT209</f>
        <v>3</v>
      </c>
      <c r="BV209" s="5">
        <f>deaths!BV209-deaths!BU209</f>
        <v>0</v>
      </c>
      <c r="BW209" s="5">
        <f>deaths!BW209-deaths!BV209</f>
        <v>0</v>
      </c>
      <c r="BX209" s="5">
        <f>deaths!BX209-deaths!BW209</f>
        <v>0</v>
      </c>
      <c r="BY209" s="5">
        <f>deaths!BY209-deaths!BX209</f>
        <v>0</v>
      </c>
      <c r="BZ209" s="1">
        <f>deaths!BZ209</f>
        <v>5</v>
      </c>
      <c r="CA209" s="1">
        <f>deaths!CA209</f>
        <v>5</v>
      </c>
      <c r="CB209" s="1">
        <f>deaths!CB209</f>
        <v>5</v>
      </c>
      <c r="CC209" s="1" t="str">
        <f>deaths!CC209</f>
        <v/>
      </c>
    </row>
    <row r="210">
      <c r="B210" s="1" t="str">
        <f>deaths!B210</f>
        <v>Tanzania</v>
      </c>
      <c r="C210" s="4">
        <f>deaths!C210</f>
        <v>-6.369</v>
      </c>
      <c r="D210" s="4">
        <f>deaths!D210</f>
        <v>34.8888</v>
      </c>
      <c r="E210" s="5">
        <f>deaths!E210</f>
        <v>0</v>
      </c>
      <c r="F210" s="5">
        <f>deaths!F210-deaths!E210</f>
        <v>0</v>
      </c>
      <c r="G210" s="5">
        <f>deaths!G210-deaths!F210</f>
        <v>0</v>
      </c>
      <c r="H210" s="5">
        <f>deaths!H210-deaths!G210</f>
        <v>0</v>
      </c>
      <c r="I210" s="5">
        <f>deaths!I210-deaths!H210</f>
        <v>0</v>
      </c>
      <c r="J210" s="5">
        <f>deaths!J210-deaths!I210</f>
        <v>0</v>
      </c>
      <c r="K210" s="5">
        <f>deaths!K210-deaths!J210</f>
        <v>0</v>
      </c>
      <c r="L210" s="5">
        <f>deaths!L210-deaths!K210</f>
        <v>0</v>
      </c>
      <c r="M210" s="5">
        <f>deaths!M210-deaths!L210</f>
        <v>0</v>
      </c>
      <c r="N210" s="5">
        <f>deaths!N210-deaths!M210</f>
        <v>0</v>
      </c>
      <c r="O210" s="5">
        <f>deaths!O210-deaths!N210</f>
        <v>0</v>
      </c>
      <c r="P210" s="5">
        <f>deaths!P210-deaths!O210</f>
        <v>0</v>
      </c>
      <c r="Q210" s="5">
        <f>deaths!Q210-deaths!P210</f>
        <v>0</v>
      </c>
      <c r="R210" s="5">
        <f>deaths!R210-deaths!Q210</f>
        <v>0</v>
      </c>
      <c r="S210" s="5">
        <f>deaths!S210-deaths!R210</f>
        <v>0</v>
      </c>
      <c r="T210" s="5">
        <f>deaths!T210-deaths!S210</f>
        <v>0</v>
      </c>
      <c r="U210" s="5">
        <f>deaths!U210-deaths!T210</f>
        <v>0</v>
      </c>
      <c r="V210" s="5">
        <f>deaths!V210-deaths!U210</f>
        <v>0</v>
      </c>
      <c r="W210" s="5">
        <f>deaths!W210-deaths!V210</f>
        <v>0</v>
      </c>
      <c r="X210" s="5">
        <f>deaths!X210-deaths!W210</f>
        <v>0</v>
      </c>
      <c r="Y210" s="5">
        <f>deaths!Y210-deaths!X210</f>
        <v>0</v>
      </c>
      <c r="Z210" s="5">
        <f>deaths!Z210-deaths!Y210</f>
        <v>0</v>
      </c>
      <c r="AA210" s="5">
        <f>deaths!AA210-deaths!Z210</f>
        <v>0</v>
      </c>
      <c r="AB210" s="5">
        <f>deaths!AB210-deaths!AA210</f>
        <v>0</v>
      </c>
      <c r="AC210" s="5">
        <f>deaths!AC210-deaths!AB210</f>
        <v>0</v>
      </c>
      <c r="AD210" s="5">
        <f>deaths!AD210-deaths!AC210</f>
        <v>0</v>
      </c>
      <c r="AE210" s="5">
        <f>deaths!AE210-deaths!AD210</f>
        <v>0</v>
      </c>
      <c r="AF210" s="5">
        <f>deaths!AF210-deaths!AE210</f>
        <v>0</v>
      </c>
      <c r="AG210" s="5">
        <f>deaths!AG210-deaths!AF210</f>
        <v>0</v>
      </c>
      <c r="AH210" s="5">
        <f>deaths!AH210-deaths!AG210</f>
        <v>0</v>
      </c>
      <c r="AI210" s="5">
        <f>deaths!AI210-deaths!AH210</f>
        <v>0</v>
      </c>
      <c r="AJ210" s="5">
        <f>deaths!AJ210-deaths!AI210</f>
        <v>0</v>
      </c>
      <c r="AK210" s="5">
        <f>deaths!AK210-deaths!AJ210</f>
        <v>0</v>
      </c>
      <c r="AL210" s="5">
        <f>deaths!AL210-deaths!AK210</f>
        <v>0</v>
      </c>
      <c r="AM210" s="5">
        <f>deaths!AM210-deaths!AL210</f>
        <v>0</v>
      </c>
      <c r="AN210" s="5">
        <f>deaths!AN210-deaths!AM210</f>
        <v>0</v>
      </c>
      <c r="AO210" s="5">
        <f>deaths!AO210-deaths!AN210</f>
        <v>0</v>
      </c>
      <c r="AP210" s="5">
        <f>deaths!AP210-deaths!AO210</f>
        <v>0</v>
      </c>
      <c r="AQ210" s="5">
        <f>deaths!AQ210-deaths!AP210</f>
        <v>0</v>
      </c>
      <c r="AR210" s="5">
        <f>deaths!AR210-deaths!AQ210</f>
        <v>0</v>
      </c>
      <c r="AS210" s="5">
        <f>deaths!AS210-deaths!AR210</f>
        <v>0</v>
      </c>
      <c r="AT210" s="5">
        <f>deaths!AT210-deaths!AS210</f>
        <v>0</v>
      </c>
      <c r="AU210" s="5">
        <f>deaths!AU210-deaths!AT210</f>
        <v>0</v>
      </c>
      <c r="AV210" s="5">
        <f>deaths!AV210-deaths!AU210</f>
        <v>0</v>
      </c>
      <c r="AW210" s="5">
        <f>deaths!AW210-deaths!AV210</f>
        <v>0</v>
      </c>
      <c r="AX210" s="5">
        <f>deaths!AX210-deaths!AW210</f>
        <v>0</v>
      </c>
      <c r="AY210" s="5">
        <f>deaths!AY210-deaths!AX210</f>
        <v>0</v>
      </c>
      <c r="AZ210" s="5">
        <f>deaths!AZ210-deaths!AY210</f>
        <v>0</v>
      </c>
      <c r="BA210" s="5">
        <f>deaths!BA210-deaths!AZ210</f>
        <v>0</v>
      </c>
      <c r="BB210" s="5">
        <f>deaths!BB210-deaths!BA210</f>
        <v>0</v>
      </c>
      <c r="BC210" s="5">
        <f>deaths!BC210-deaths!BB210</f>
        <v>0</v>
      </c>
      <c r="BD210" s="5">
        <f>deaths!BD210-deaths!BC210</f>
        <v>0</v>
      </c>
      <c r="BE210" s="5">
        <f>deaths!BE210-deaths!BD210</f>
        <v>0</v>
      </c>
      <c r="BF210" s="5">
        <f>deaths!BF210-deaths!BE210</f>
        <v>0</v>
      </c>
      <c r="BG210" s="5">
        <f>deaths!BG210-deaths!BF210</f>
        <v>0</v>
      </c>
      <c r="BH210" s="5">
        <f>deaths!BH210-deaths!BG210</f>
        <v>0</v>
      </c>
      <c r="BI210" s="5">
        <f>deaths!BI210-deaths!BH210</f>
        <v>0</v>
      </c>
      <c r="BJ210" s="5">
        <f>deaths!BJ210-deaths!BI210</f>
        <v>0</v>
      </c>
      <c r="BK210" s="5">
        <f>deaths!BK210-deaths!BJ210</f>
        <v>0</v>
      </c>
      <c r="BL210" s="5">
        <f>deaths!BL210-deaths!BK210</f>
        <v>0</v>
      </c>
      <c r="BM210" s="5">
        <f>deaths!BM210-deaths!BL210</f>
        <v>0</v>
      </c>
      <c r="BN210" s="5">
        <f>deaths!BN210-deaths!BM210</f>
        <v>0</v>
      </c>
      <c r="BO210" s="5">
        <f>deaths!BO210-deaths!BN210</f>
        <v>0</v>
      </c>
      <c r="BP210" s="5">
        <f>deaths!BP210-deaths!BO210</f>
        <v>0</v>
      </c>
      <c r="BQ210" s="5">
        <f>deaths!BQ210-deaths!BP210</f>
        <v>0</v>
      </c>
      <c r="BR210" s="5">
        <f>deaths!BR210-deaths!BQ210</f>
        <v>0</v>
      </c>
      <c r="BS210" s="5">
        <f>deaths!BS210-deaths!BR210</f>
        <v>0</v>
      </c>
      <c r="BT210" s="5">
        <f>deaths!BT210-deaths!BS210</f>
        <v>0</v>
      </c>
      <c r="BU210" s="5">
        <f>deaths!BU210-deaths!BT210</f>
        <v>0</v>
      </c>
      <c r="BV210" s="5">
        <f>deaths!BV210-deaths!BU210</f>
        <v>1</v>
      </c>
      <c r="BW210" s="5">
        <f>deaths!BW210-deaths!BV210</f>
        <v>0</v>
      </c>
      <c r="BX210" s="5">
        <f>deaths!BX210-deaths!BW210</f>
        <v>0</v>
      </c>
      <c r="BY210" s="5">
        <f>deaths!BY210-deaths!BX210</f>
        <v>0</v>
      </c>
      <c r="BZ210" s="1">
        <f>deaths!BZ210</f>
        <v>1</v>
      </c>
      <c r="CA210" s="1">
        <f>deaths!CA210</f>
        <v>1</v>
      </c>
      <c r="CB210" s="1">
        <f>deaths!CB210</f>
        <v>1</v>
      </c>
      <c r="CC210" s="1" t="str">
        <f>deaths!CC210</f>
        <v/>
      </c>
    </row>
    <row r="211">
      <c r="B211" s="1" t="str">
        <f>deaths!B211</f>
        <v>Thailand</v>
      </c>
      <c r="C211" s="4">
        <f>deaths!C211</f>
        <v>15</v>
      </c>
      <c r="D211" s="4">
        <f>deaths!D211</f>
        <v>101</v>
      </c>
      <c r="E211" s="5">
        <f>deaths!E211</f>
        <v>0</v>
      </c>
      <c r="F211" s="5">
        <f>deaths!F211-deaths!E211</f>
        <v>0</v>
      </c>
      <c r="G211" s="5">
        <f>deaths!G211-deaths!F211</f>
        <v>0</v>
      </c>
      <c r="H211" s="5">
        <f>deaths!H211-deaths!G211</f>
        <v>0</v>
      </c>
      <c r="I211" s="5">
        <f>deaths!I211-deaths!H211</f>
        <v>0</v>
      </c>
      <c r="J211" s="5">
        <f>deaths!J211-deaths!I211</f>
        <v>0</v>
      </c>
      <c r="K211" s="5">
        <f>deaths!K211-deaths!J211</f>
        <v>0</v>
      </c>
      <c r="L211" s="5">
        <f>deaths!L211-deaths!K211</f>
        <v>0</v>
      </c>
      <c r="M211" s="5">
        <f>deaths!M211-deaths!L211</f>
        <v>0</v>
      </c>
      <c r="N211" s="5">
        <f>deaths!N211-deaths!M211</f>
        <v>0</v>
      </c>
      <c r="O211" s="5">
        <f>deaths!O211-deaths!N211</f>
        <v>0</v>
      </c>
      <c r="P211" s="5">
        <f>deaths!P211-deaths!O211</f>
        <v>0</v>
      </c>
      <c r="Q211" s="5">
        <f>deaths!Q211-deaths!P211</f>
        <v>0</v>
      </c>
      <c r="R211" s="5">
        <f>deaths!R211-deaths!Q211</f>
        <v>0</v>
      </c>
      <c r="S211" s="5">
        <f>deaths!S211-deaths!R211</f>
        <v>0</v>
      </c>
      <c r="T211" s="5">
        <f>deaths!T211-deaths!S211</f>
        <v>0</v>
      </c>
      <c r="U211" s="5">
        <f>deaths!U211-deaths!T211</f>
        <v>0</v>
      </c>
      <c r="V211" s="5">
        <f>deaths!V211-deaths!U211</f>
        <v>0</v>
      </c>
      <c r="W211" s="5">
        <f>deaths!W211-deaths!V211</f>
        <v>0</v>
      </c>
      <c r="X211" s="5">
        <f>deaths!X211-deaths!W211</f>
        <v>0</v>
      </c>
      <c r="Y211" s="5">
        <f>deaths!Y211-deaths!X211</f>
        <v>0</v>
      </c>
      <c r="Z211" s="5">
        <f>deaths!Z211-deaths!Y211</f>
        <v>0</v>
      </c>
      <c r="AA211" s="5">
        <f>deaths!AA211-deaths!Z211</f>
        <v>0</v>
      </c>
      <c r="AB211" s="5">
        <f>deaths!AB211-deaths!AA211</f>
        <v>0</v>
      </c>
      <c r="AC211" s="5">
        <f>deaths!AC211-deaths!AB211</f>
        <v>0</v>
      </c>
      <c r="AD211" s="5">
        <f>deaths!AD211-deaths!AC211</f>
        <v>0</v>
      </c>
      <c r="AE211" s="5">
        <f>deaths!AE211-deaths!AD211</f>
        <v>0</v>
      </c>
      <c r="AF211" s="5">
        <f>deaths!AF211-deaths!AE211</f>
        <v>0</v>
      </c>
      <c r="AG211" s="5">
        <f>deaths!AG211-deaths!AF211</f>
        <v>0</v>
      </c>
      <c r="AH211" s="5">
        <f>deaths!AH211-deaths!AG211</f>
        <v>0</v>
      </c>
      <c r="AI211" s="5">
        <f>deaths!AI211-deaths!AH211</f>
        <v>0</v>
      </c>
      <c r="AJ211" s="5">
        <f>deaths!AJ211-deaths!AI211</f>
        <v>0</v>
      </c>
      <c r="AK211" s="5">
        <f>deaths!AK211-deaths!AJ211</f>
        <v>0</v>
      </c>
      <c r="AL211" s="5">
        <f>deaths!AL211-deaths!AK211</f>
        <v>0</v>
      </c>
      <c r="AM211" s="5">
        <f>deaths!AM211-deaths!AL211</f>
        <v>0</v>
      </c>
      <c r="AN211" s="5">
        <f>deaths!AN211-deaths!AM211</f>
        <v>0</v>
      </c>
      <c r="AO211" s="5">
        <f>deaths!AO211-deaths!AN211</f>
        <v>0</v>
      </c>
      <c r="AP211" s="5">
        <f>deaths!AP211-deaths!AO211</f>
        <v>0</v>
      </c>
      <c r="AQ211" s="5">
        <f>deaths!AQ211-deaths!AP211</f>
        <v>0</v>
      </c>
      <c r="AR211" s="5">
        <f>deaths!AR211-deaths!AQ211</f>
        <v>1</v>
      </c>
      <c r="AS211" s="5">
        <f>deaths!AS211-deaths!AR211</f>
        <v>0</v>
      </c>
      <c r="AT211" s="5">
        <f>deaths!AT211-deaths!AS211</f>
        <v>0</v>
      </c>
      <c r="AU211" s="5">
        <f>deaths!AU211-deaths!AT211</f>
        <v>0</v>
      </c>
      <c r="AV211" s="5">
        <f>deaths!AV211-deaths!AU211</f>
        <v>0</v>
      </c>
      <c r="AW211" s="5">
        <f>deaths!AW211-deaths!AV211</f>
        <v>0</v>
      </c>
      <c r="AX211" s="5">
        <f>deaths!AX211-deaths!AW211</f>
        <v>0</v>
      </c>
      <c r="AY211" s="5">
        <f>deaths!AY211-deaths!AX211</f>
        <v>0</v>
      </c>
      <c r="AZ211" s="5">
        <f>deaths!AZ211-deaths!AY211</f>
        <v>0</v>
      </c>
      <c r="BA211" s="5">
        <f>deaths!BA211-deaths!AZ211</f>
        <v>0</v>
      </c>
      <c r="BB211" s="5">
        <f>deaths!BB211-deaths!BA211</f>
        <v>0</v>
      </c>
      <c r="BC211" s="5">
        <f>deaths!BC211-deaths!BB211</f>
        <v>0</v>
      </c>
      <c r="BD211" s="5">
        <f>deaths!BD211-deaths!BC211</f>
        <v>0</v>
      </c>
      <c r="BE211" s="5">
        <f>deaths!BE211-deaths!BD211</f>
        <v>0</v>
      </c>
      <c r="BF211" s="5">
        <f>deaths!BF211-deaths!BE211</f>
        <v>0</v>
      </c>
      <c r="BG211" s="5">
        <f>deaths!BG211-deaths!BF211</f>
        <v>0</v>
      </c>
      <c r="BH211" s="5">
        <f>deaths!BH211-deaths!BG211</f>
        <v>0</v>
      </c>
      <c r="BI211" s="5">
        <f>deaths!BI211-deaths!BH211</f>
        <v>0</v>
      </c>
      <c r="BJ211" s="5">
        <f>deaths!BJ211-deaths!BI211</f>
        <v>0</v>
      </c>
      <c r="BK211" s="5">
        <f>deaths!BK211-deaths!BJ211</f>
        <v>0</v>
      </c>
      <c r="BL211" s="5">
        <f>deaths!BL211-deaths!BK211</f>
        <v>0</v>
      </c>
      <c r="BM211" s="5">
        <f>deaths!BM211-deaths!BL211</f>
        <v>0</v>
      </c>
      <c r="BN211" s="5">
        <f>deaths!BN211-deaths!BM211</f>
        <v>0</v>
      </c>
      <c r="BO211" s="5">
        <f>deaths!BO211-deaths!BN211</f>
        <v>3</v>
      </c>
      <c r="BP211" s="5">
        <f>deaths!BP211-deaths!BO211</f>
        <v>0</v>
      </c>
      <c r="BQ211" s="5">
        <f>deaths!BQ211-deaths!BP211</f>
        <v>0</v>
      </c>
      <c r="BR211" s="5">
        <f>deaths!BR211-deaths!BQ211</f>
        <v>1</v>
      </c>
      <c r="BS211" s="5">
        <f>deaths!BS211-deaths!BR211</f>
        <v>1</v>
      </c>
      <c r="BT211" s="5">
        <f>deaths!BT211-deaths!BS211</f>
        <v>1</v>
      </c>
      <c r="BU211" s="5">
        <f>deaths!BU211-deaths!BT211</f>
        <v>2</v>
      </c>
      <c r="BV211" s="5">
        <f>deaths!BV211-deaths!BU211</f>
        <v>1</v>
      </c>
      <c r="BW211" s="5">
        <f>deaths!BW211-deaths!BV211</f>
        <v>2</v>
      </c>
      <c r="BX211" s="5">
        <f>deaths!BX211-deaths!BW211</f>
        <v>3</v>
      </c>
      <c r="BY211" s="5">
        <f>deaths!BY211-deaths!BX211</f>
        <v>4</v>
      </c>
      <c r="BZ211" s="1">
        <f>deaths!BZ211</f>
        <v>20</v>
      </c>
      <c r="CA211" s="1">
        <f>deaths!CA211</f>
        <v>23</v>
      </c>
      <c r="CB211" s="1">
        <f>deaths!CB211</f>
        <v>26</v>
      </c>
      <c r="CC211" s="1" t="str">
        <f>deaths!CC211</f>
        <v/>
      </c>
    </row>
    <row r="212">
      <c r="B212" s="1" t="str">
        <f>deaths!B212</f>
        <v>Togo</v>
      </c>
      <c r="C212" s="4">
        <f>deaths!C212</f>
        <v>8.6195</v>
      </c>
      <c r="D212" s="4">
        <f>deaths!D212</f>
        <v>0.8248</v>
      </c>
      <c r="E212" s="5">
        <f>deaths!E212</f>
        <v>0</v>
      </c>
      <c r="F212" s="5">
        <f>deaths!F212-deaths!E212</f>
        <v>0</v>
      </c>
      <c r="G212" s="5">
        <f>deaths!G212-deaths!F212</f>
        <v>0</v>
      </c>
      <c r="H212" s="5">
        <f>deaths!H212-deaths!G212</f>
        <v>0</v>
      </c>
      <c r="I212" s="5">
        <f>deaths!I212-deaths!H212</f>
        <v>0</v>
      </c>
      <c r="J212" s="5">
        <f>deaths!J212-deaths!I212</f>
        <v>0</v>
      </c>
      <c r="K212" s="5">
        <f>deaths!K212-deaths!J212</f>
        <v>0</v>
      </c>
      <c r="L212" s="5">
        <f>deaths!L212-deaths!K212</f>
        <v>0</v>
      </c>
      <c r="M212" s="5">
        <f>deaths!M212-deaths!L212</f>
        <v>0</v>
      </c>
      <c r="N212" s="5">
        <f>deaths!N212-deaths!M212</f>
        <v>0</v>
      </c>
      <c r="O212" s="5">
        <f>deaths!O212-deaths!N212</f>
        <v>0</v>
      </c>
      <c r="P212" s="5">
        <f>deaths!P212-deaths!O212</f>
        <v>0</v>
      </c>
      <c r="Q212" s="5">
        <f>deaths!Q212-deaths!P212</f>
        <v>0</v>
      </c>
      <c r="R212" s="5">
        <f>deaths!R212-deaths!Q212</f>
        <v>0</v>
      </c>
      <c r="S212" s="5">
        <f>deaths!S212-deaths!R212</f>
        <v>0</v>
      </c>
      <c r="T212" s="5">
        <f>deaths!T212-deaths!S212</f>
        <v>0</v>
      </c>
      <c r="U212" s="5">
        <f>deaths!U212-deaths!T212</f>
        <v>0</v>
      </c>
      <c r="V212" s="5">
        <f>deaths!V212-deaths!U212</f>
        <v>0</v>
      </c>
      <c r="W212" s="5">
        <f>deaths!W212-deaths!V212</f>
        <v>0</v>
      </c>
      <c r="X212" s="5">
        <f>deaths!X212-deaths!W212</f>
        <v>0</v>
      </c>
      <c r="Y212" s="5">
        <f>deaths!Y212-deaths!X212</f>
        <v>0</v>
      </c>
      <c r="Z212" s="5">
        <f>deaths!Z212-deaths!Y212</f>
        <v>0</v>
      </c>
      <c r="AA212" s="5">
        <f>deaths!AA212-deaths!Z212</f>
        <v>0</v>
      </c>
      <c r="AB212" s="5">
        <f>deaths!AB212-deaths!AA212</f>
        <v>0</v>
      </c>
      <c r="AC212" s="5">
        <f>deaths!AC212-deaths!AB212</f>
        <v>0</v>
      </c>
      <c r="AD212" s="5">
        <f>deaths!AD212-deaths!AC212</f>
        <v>0</v>
      </c>
      <c r="AE212" s="5">
        <f>deaths!AE212-deaths!AD212</f>
        <v>0</v>
      </c>
      <c r="AF212" s="5">
        <f>deaths!AF212-deaths!AE212</f>
        <v>0</v>
      </c>
      <c r="AG212" s="5">
        <f>deaths!AG212-deaths!AF212</f>
        <v>0</v>
      </c>
      <c r="AH212" s="5">
        <f>deaths!AH212-deaths!AG212</f>
        <v>0</v>
      </c>
      <c r="AI212" s="5">
        <f>deaths!AI212-deaths!AH212</f>
        <v>0</v>
      </c>
      <c r="AJ212" s="5">
        <f>deaths!AJ212-deaths!AI212</f>
        <v>0</v>
      </c>
      <c r="AK212" s="5">
        <f>deaths!AK212-deaths!AJ212</f>
        <v>0</v>
      </c>
      <c r="AL212" s="5">
        <f>deaths!AL212-deaths!AK212</f>
        <v>0</v>
      </c>
      <c r="AM212" s="5">
        <f>deaths!AM212-deaths!AL212</f>
        <v>0</v>
      </c>
      <c r="AN212" s="5">
        <f>deaths!AN212-deaths!AM212</f>
        <v>0</v>
      </c>
      <c r="AO212" s="5">
        <f>deaths!AO212-deaths!AN212</f>
        <v>0</v>
      </c>
      <c r="AP212" s="5">
        <f>deaths!AP212-deaths!AO212</f>
        <v>0</v>
      </c>
      <c r="AQ212" s="5">
        <f>deaths!AQ212-deaths!AP212</f>
        <v>0</v>
      </c>
      <c r="AR212" s="5">
        <f>deaths!AR212-deaths!AQ212</f>
        <v>0</v>
      </c>
      <c r="AS212" s="5">
        <f>deaths!AS212-deaths!AR212</f>
        <v>0</v>
      </c>
      <c r="AT212" s="5">
        <f>deaths!AT212-deaths!AS212</f>
        <v>0</v>
      </c>
      <c r="AU212" s="5">
        <f>deaths!AU212-deaths!AT212</f>
        <v>0</v>
      </c>
      <c r="AV212" s="5">
        <f>deaths!AV212-deaths!AU212</f>
        <v>0</v>
      </c>
      <c r="AW212" s="5">
        <f>deaths!AW212-deaths!AV212</f>
        <v>0</v>
      </c>
      <c r="AX212" s="5">
        <f>deaths!AX212-deaths!AW212</f>
        <v>0</v>
      </c>
      <c r="AY212" s="5">
        <f>deaths!AY212-deaths!AX212</f>
        <v>0</v>
      </c>
      <c r="AZ212" s="5">
        <f>deaths!AZ212-deaths!AY212</f>
        <v>0</v>
      </c>
      <c r="BA212" s="5">
        <f>deaths!BA212-deaths!AZ212</f>
        <v>0</v>
      </c>
      <c r="BB212" s="5">
        <f>deaths!BB212-deaths!BA212</f>
        <v>0</v>
      </c>
      <c r="BC212" s="5">
        <f>deaths!BC212-deaths!BB212</f>
        <v>0</v>
      </c>
      <c r="BD212" s="5">
        <f>deaths!BD212-deaths!BC212</f>
        <v>0</v>
      </c>
      <c r="BE212" s="5">
        <f>deaths!BE212-deaths!BD212</f>
        <v>0</v>
      </c>
      <c r="BF212" s="5">
        <f>deaths!BF212-deaths!BE212</f>
        <v>0</v>
      </c>
      <c r="BG212" s="5">
        <f>deaths!BG212-deaths!BF212</f>
        <v>0</v>
      </c>
      <c r="BH212" s="5">
        <f>deaths!BH212-deaths!BG212</f>
        <v>0</v>
      </c>
      <c r="BI212" s="5">
        <f>deaths!BI212-deaths!BH212</f>
        <v>0</v>
      </c>
      <c r="BJ212" s="5">
        <f>deaths!BJ212-deaths!BI212</f>
        <v>0</v>
      </c>
      <c r="BK212" s="5">
        <f>deaths!BK212-deaths!BJ212</f>
        <v>0</v>
      </c>
      <c r="BL212" s="5">
        <f>deaths!BL212-deaths!BK212</f>
        <v>0</v>
      </c>
      <c r="BM212" s="5">
        <f>deaths!BM212-deaths!BL212</f>
        <v>0</v>
      </c>
      <c r="BN212" s="5">
        <f>deaths!BN212-deaths!BM212</f>
        <v>0</v>
      </c>
      <c r="BO212" s="5">
        <f>deaths!BO212-deaths!BN212</f>
        <v>0</v>
      </c>
      <c r="BP212" s="5">
        <f>deaths!BP212-deaths!BO212</f>
        <v>0</v>
      </c>
      <c r="BQ212" s="5">
        <f>deaths!BQ212-deaths!BP212</f>
        <v>0</v>
      </c>
      <c r="BR212" s="5">
        <f>deaths!BR212-deaths!BQ212</f>
        <v>1</v>
      </c>
      <c r="BS212" s="5">
        <f>deaths!BS212-deaths!BR212</f>
        <v>0</v>
      </c>
      <c r="BT212" s="5">
        <f>deaths!BT212-deaths!BS212</f>
        <v>0</v>
      </c>
      <c r="BU212" s="5">
        <f>deaths!BU212-deaths!BT212</f>
        <v>0</v>
      </c>
      <c r="BV212" s="5">
        <f>deaths!BV212-deaths!BU212</f>
        <v>0</v>
      </c>
      <c r="BW212" s="5">
        <f>deaths!BW212-deaths!BV212</f>
        <v>1</v>
      </c>
      <c r="BX212" s="5">
        <f>deaths!BX212-deaths!BW212</f>
        <v>0</v>
      </c>
      <c r="BY212" s="5">
        <f>deaths!BY212-deaths!BX212</f>
        <v>1</v>
      </c>
      <c r="BZ212" s="1">
        <f>deaths!BZ212</f>
        <v>3</v>
      </c>
      <c r="CA212" s="1">
        <f>deaths!CA212</f>
        <v>3</v>
      </c>
      <c r="CB212" s="1">
        <f>deaths!CB212</f>
        <v>3</v>
      </c>
      <c r="CC212" s="1" t="str">
        <f>deaths!CC212</f>
        <v/>
      </c>
    </row>
    <row r="213">
      <c r="B213" s="1" t="str">
        <f>deaths!B213</f>
        <v>Trinidad and Tobago</v>
      </c>
      <c r="C213" s="4">
        <f>deaths!C213</f>
        <v>10.6918</v>
      </c>
      <c r="D213" s="4">
        <f>deaths!D213</f>
        <v>-61.2225</v>
      </c>
      <c r="E213" s="5">
        <f>deaths!E213</f>
        <v>0</v>
      </c>
      <c r="F213" s="5">
        <f>deaths!F213-deaths!E213</f>
        <v>0</v>
      </c>
      <c r="G213" s="5">
        <f>deaths!G213-deaths!F213</f>
        <v>0</v>
      </c>
      <c r="H213" s="5">
        <f>deaths!H213-deaths!G213</f>
        <v>0</v>
      </c>
      <c r="I213" s="5">
        <f>deaths!I213-deaths!H213</f>
        <v>0</v>
      </c>
      <c r="J213" s="5">
        <f>deaths!J213-deaths!I213</f>
        <v>0</v>
      </c>
      <c r="K213" s="5">
        <f>deaths!K213-deaths!J213</f>
        <v>0</v>
      </c>
      <c r="L213" s="5">
        <f>deaths!L213-deaths!K213</f>
        <v>0</v>
      </c>
      <c r="M213" s="5">
        <f>deaths!M213-deaths!L213</f>
        <v>0</v>
      </c>
      <c r="N213" s="5">
        <f>deaths!N213-deaths!M213</f>
        <v>0</v>
      </c>
      <c r="O213" s="5">
        <f>deaths!O213-deaths!N213</f>
        <v>0</v>
      </c>
      <c r="P213" s="5">
        <f>deaths!P213-deaths!O213</f>
        <v>0</v>
      </c>
      <c r="Q213" s="5">
        <f>deaths!Q213-deaths!P213</f>
        <v>0</v>
      </c>
      <c r="R213" s="5">
        <f>deaths!R213-deaths!Q213</f>
        <v>0</v>
      </c>
      <c r="S213" s="5">
        <f>deaths!S213-deaths!R213</f>
        <v>0</v>
      </c>
      <c r="T213" s="5">
        <f>deaths!T213-deaths!S213</f>
        <v>0</v>
      </c>
      <c r="U213" s="5">
        <f>deaths!U213-deaths!T213</f>
        <v>0</v>
      </c>
      <c r="V213" s="5">
        <f>deaths!V213-deaths!U213</f>
        <v>0</v>
      </c>
      <c r="W213" s="5">
        <f>deaths!W213-deaths!V213</f>
        <v>0</v>
      </c>
      <c r="X213" s="5">
        <f>deaths!X213-deaths!W213</f>
        <v>0</v>
      </c>
      <c r="Y213" s="5">
        <f>deaths!Y213-deaths!X213</f>
        <v>0</v>
      </c>
      <c r="Z213" s="5">
        <f>deaths!Z213-deaths!Y213</f>
        <v>0</v>
      </c>
      <c r="AA213" s="5">
        <f>deaths!AA213-deaths!Z213</f>
        <v>0</v>
      </c>
      <c r="AB213" s="5">
        <f>deaths!AB213-deaths!AA213</f>
        <v>0</v>
      </c>
      <c r="AC213" s="5">
        <f>deaths!AC213-deaths!AB213</f>
        <v>0</v>
      </c>
      <c r="AD213" s="5">
        <f>deaths!AD213-deaths!AC213</f>
        <v>0</v>
      </c>
      <c r="AE213" s="5">
        <f>deaths!AE213-deaths!AD213</f>
        <v>0</v>
      </c>
      <c r="AF213" s="5">
        <f>deaths!AF213-deaths!AE213</f>
        <v>0</v>
      </c>
      <c r="AG213" s="5">
        <f>deaths!AG213-deaths!AF213</f>
        <v>0</v>
      </c>
      <c r="AH213" s="5">
        <f>deaths!AH213-deaths!AG213</f>
        <v>0</v>
      </c>
      <c r="AI213" s="5">
        <f>deaths!AI213-deaths!AH213</f>
        <v>0</v>
      </c>
      <c r="AJ213" s="5">
        <f>deaths!AJ213-deaths!AI213</f>
        <v>0</v>
      </c>
      <c r="AK213" s="5">
        <f>deaths!AK213-deaths!AJ213</f>
        <v>0</v>
      </c>
      <c r="AL213" s="5">
        <f>deaths!AL213-deaths!AK213</f>
        <v>0</v>
      </c>
      <c r="AM213" s="5">
        <f>deaths!AM213-deaths!AL213</f>
        <v>0</v>
      </c>
      <c r="AN213" s="5">
        <f>deaths!AN213-deaths!AM213</f>
        <v>0</v>
      </c>
      <c r="AO213" s="5">
        <f>deaths!AO213-deaths!AN213</f>
        <v>0</v>
      </c>
      <c r="AP213" s="5">
        <f>deaths!AP213-deaths!AO213</f>
        <v>0</v>
      </c>
      <c r="AQ213" s="5">
        <f>deaths!AQ213-deaths!AP213</f>
        <v>0</v>
      </c>
      <c r="AR213" s="5">
        <f>deaths!AR213-deaths!AQ213</f>
        <v>0</v>
      </c>
      <c r="AS213" s="5">
        <f>deaths!AS213-deaths!AR213</f>
        <v>0</v>
      </c>
      <c r="AT213" s="5">
        <f>deaths!AT213-deaths!AS213</f>
        <v>0</v>
      </c>
      <c r="AU213" s="5">
        <f>deaths!AU213-deaths!AT213</f>
        <v>0</v>
      </c>
      <c r="AV213" s="5">
        <f>deaths!AV213-deaths!AU213</f>
        <v>0</v>
      </c>
      <c r="AW213" s="5">
        <f>deaths!AW213-deaths!AV213</f>
        <v>0</v>
      </c>
      <c r="AX213" s="5">
        <f>deaths!AX213-deaths!AW213</f>
        <v>0</v>
      </c>
      <c r="AY213" s="5">
        <f>deaths!AY213-deaths!AX213</f>
        <v>0</v>
      </c>
      <c r="AZ213" s="5">
        <f>deaths!AZ213-deaths!AY213</f>
        <v>0</v>
      </c>
      <c r="BA213" s="5">
        <f>deaths!BA213-deaths!AZ213</f>
        <v>0</v>
      </c>
      <c r="BB213" s="5">
        <f>deaths!BB213-deaths!BA213</f>
        <v>0</v>
      </c>
      <c r="BC213" s="5">
        <f>deaths!BC213-deaths!BB213</f>
        <v>0</v>
      </c>
      <c r="BD213" s="5">
        <f>deaths!BD213-deaths!BC213</f>
        <v>0</v>
      </c>
      <c r="BE213" s="5">
        <f>deaths!BE213-deaths!BD213</f>
        <v>0</v>
      </c>
      <c r="BF213" s="5">
        <f>deaths!BF213-deaths!BE213</f>
        <v>0</v>
      </c>
      <c r="BG213" s="5">
        <f>deaths!BG213-deaths!BF213</f>
        <v>0</v>
      </c>
      <c r="BH213" s="5">
        <f>deaths!BH213-deaths!BG213</f>
        <v>0</v>
      </c>
      <c r="BI213" s="5">
        <f>deaths!BI213-deaths!BH213</f>
        <v>0</v>
      </c>
      <c r="BJ213" s="5">
        <f>deaths!BJ213-deaths!BI213</f>
        <v>0</v>
      </c>
      <c r="BK213" s="5">
        <f>deaths!BK213-deaths!BJ213</f>
        <v>0</v>
      </c>
      <c r="BL213" s="5">
        <f>deaths!BL213-deaths!BK213</f>
        <v>0</v>
      </c>
      <c r="BM213" s="5">
        <f>deaths!BM213-deaths!BL213</f>
        <v>0</v>
      </c>
      <c r="BN213" s="5">
        <f>deaths!BN213-deaths!BM213</f>
        <v>0</v>
      </c>
      <c r="BO213" s="5">
        <f>deaths!BO213-deaths!BN213</f>
        <v>0</v>
      </c>
      <c r="BP213" s="5">
        <f>deaths!BP213-deaths!BO213</f>
        <v>1</v>
      </c>
      <c r="BQ213" s="5">
        <f>deaths!BQ213-deaths!BP213</f>
        <v>0</v>
      </c>
      <c r="BR213" s="5">
        <f>deaths!BR213-deaths!BQ213</f>
        <v>1</v>
      </c>
      <c r="BS213" s="5">
        <f>deaths!BS213-deaths!BR213</f>
        <v>1</v>
      </c>
      <c r="BT213" s="5">
        <f>deaths!BT213-deaths!BS213</f>
        <v>0</v>
      </c>
      <c r="BU213" s="5">
        <f>deaths!BU213-deaths!BT213</f>
        <v>0</v>
      </c>
      <c r="BV213" s="5">
        <f>deaths!BV213-deaths!BU213</f>
        <v>0</v>
      </c>
      <c r="BW213" s="5">
        <f>deaths!BW213-deaths!BV213</f>
        <v>2</v>
      </c>
      <c r="BX213" s="5">
        <f>deaths!BX213-deaths!BW213</f>
        <v>0</v>
      </c>
      <c r="BY213" s="5">
        <f>deaths!BY213-deaths!BX213</f>
        <v>1</v>
      </c>
      <c r="BZ213" s="1">
        <f>deaths!BZ213</f>
        <v>6</v>
      </c>
      <c r="CA213" s="1">
        <f>deaths!CA213</f>
        <v>7</v>
      </c>
      <c r="CB213" s="1">
        <f>deaths!CB213</f>
        <v>8</v>
      </c>
      <c r="CC213" s="1" t="str">
        <f>deaths!CC213</f>
        <v/>
      </c>
    </row>
    <row r="214">
      <c r="B214" s="1" t="str">
        <f>deaths!B214</f>
        <v>Tunisia</v>
      </c>
      <c r="C214" s="4">
        <f>deaths!C214</f>
        <v>34</v>
      </c>
      <c r="D214" s="4">
        <f>deaths!D214</f>
        <v>9</v>
      </c>
      <c r="E214" s="5">
        <f>deaths!E214</f>
        <v>0</v>
      </c>
      <c r="F214" s="5">
        <f>deaths!F214-deaths!E214</f>
        <v>0</v>
      </c>
      <c r="G214" s="5">
        <f>deaths!G214-deaths!F214</f>
        <v>0</v>
      </c>
      <c r="H214" s="5">
        <f>deaths!H214-deaths!G214</f>
        <v>0</v>
      </c>
      <c r="I214" s="5">
        <f>deaths!I214-deaths!H214</f>
        <v>0</v>
      </c>
      <c r="J214" s="5">
        <f>deaths!J214-deaths!I214</f>
        <v>0</v>
      </c>
      <c r="K214" s="5">
        <f>deaths!K214-deaths!J214</f>
        <v>0</v>
      </c>
      <c r="L214" s="5">
        <f>deaths!L214-deaths!K214</f>
        <v>0</v>
      </c>
      <c r="M214" s="5">
        <f>deaths!M214-deaths!L214</f>
        <v>0</v>
      </c>
      <c r="N214" s="5">
        <f>deaths!N214-deaths!M214</f>
        <v>0</v>
      </c>
      <c r="O214" s="5">
        <f>deaths!O214-deaths!N214</f>
        <v>0</v>
      </c>
      <c r="P214" s="5">
        <f>deaths!P214-deaths!O214</f>
        <v>0</v>
      </c>
      <c r="Q214" s="5">
        <f>deaths!Q214-deaths!P214</f>
        <v>0</v>
      </c>
      <c r="R214" s="5">
        <f>deaths!R214-deaths!Q214</f>
        <v>0</v>
      </c>
      <c r="S214" s="5">
        <f>deaths!S214-deaths!R214</f>
        <v>0</v>
      </c>
      <c r="T214" s="5">
        <f>deaths!T214-deaths!S214</f>
        <v>0</v>
      </c>
      <c r="U214" s="5">
        <f>deaths!U214-deaths!T214</f>
        <v>0</v>
      </c>
      <c r="V214" s="5">
        <f>deaths!V214-deaths!U214</f>
        <v>0</v>
      </c>
      <c r="W214" s="5">
        <f>deaths!W214-deaths!V214</f>
        <v>0</v>
      </c>
      <c r="X214" s="5">
        <f>deaths!X214-deaths!W214</f>
        <v>0</v>
      </c>
      <c r="Y214" s="5">
        <f>deaths!Y214-deaths!X214</f>
        <v>0</v>
      </c>
      <c r="Z214" s="5">
        <f>deaths!Z214-deaths!Y214</f>
        <v>0</v>
      </c>
      <c r="AA214" s="5">
        <f>deaths!AA214-deaths!Z214</f>
        <v>0</v>
      </c>
      <c r="AB214" s="5">
        <f>deaths!AB214-deaths!AA214</f>
        <v>0</v>
      </c>
      <c r="AC214" s="5">
        <f>deaths!AC214-deaths!AB214</f>
        <v>0</v>
      </c>
      <c r="AD214" s="5">
        <f>deaths!AD214-deaths!AC214</f>
        <v>0</v>
      </c>
      <c r="AE214" s="5">
        <f>deaths!AE214-deaths!AD214</f>
        <v>0</v>
      </c>
      <c r="AF214" s="5">
        <f>deaths!AF214-deaths!AE214</f>
        <v>0</v>
      </c>
      <c r="AG214" s="5">
        <f>deaths!AG214-deaths!AF214</f>
        <v>0</v>
      </c>
      <c r="AH214" s="5">
        <f>deaths!AH214-deaths!AG214</f>
        <v>0</v>
      </c>
      <c r="AI214" s="5">
        <f>deaths!AI214-deaths!AH214</f>
        <v>0</v>
      </c>
      <c r="AJ214" s="5">
        <f>deaths!AJ214-deaths!AI214</f>
        <v>0</v>
      </c>
      <c r="AK214" s="5">
        <f>deaths!AK214-deaths!AJ214</f>
        <v>0</v>
      </c>
      <c r="AL214" s="5">
        <f>deaths!AL214-deaths!AK214</f>
        <v>0</v>
      </c>
      <c r="AM214" s="5">
        <f>deaths!AM214-deaths!AL214</f>
        <v>0</v>
      </c>
      <c r="AN214" s="5">
        <f>deaths!AN214-deaths!AM214</f>
        <v>0</v>
      </c>
      <c r="AO214" s="5">
        <f>deaths!AO214-deaths!AN214</f>
        <v>0</v>
      </c>
      <c r="AP214" s="5">
        <f>deaths!AP214-deaths!AO214</f>
        <v>0</v>
      </c>
      <c r="AQ214" s="5">
        <f>deaths!AQ214-deaths!AP214</f>
        <v>0</v>
      </c>
      <c r="AR214" s="5">
        <f>deaths!AR214-deaths!AQ214</f>
        <v>0</v>
      </c>
      <c r="AS214" s="5">
        <f>deaths!AS214-deaths!AR214</f>
        <v>0</v>
      </c>
      <c r="AT214" s="5">
        <f>deaths!AT214-deaths!AS214</f>
        <v>0</v>
      </c>
      <c r="AU214" s="5">
        <f>deaths!AU214-deaths!AT214</f>
        <v>0</v>
      </c>
      <c r="AV214" s="5">
        <f>deaths!AV214-deaths!AU214</f>
        <v>0</v>
      </c>
      <c r="AW214" s="5">
        <f>deaths!AW214-deaths!AV214</f>
        <v>0</v>
      </c>
      <c r="AX214" s="5">
        <f>deaths!AX214-deaths!AW214</f>
        <v>0</v>
      </c>
      <c r="AY214" s="5">
        <f>deaths!AY214-deaths!AX214</f>
        <v>0</v>
      </c>
      <c r="AZ214" s="5">
        <f>deaths!AZ214-deaths!AY214</f>
        <v>0</v>
      </c>
      <c r="BA214" s="5">
        <f>deaths!BA214-deaths!AZ214</f>
        <v>0</v>
      </c>
      <c r="BB214" s="5">
        <f>deaths!BB214-deaths!BA214</f>
        <v>0</v>
      </c>
      <c r="BC214" s="5">
        <f>deaths!BC214-deaths!BB214</f>
        <v>0</v>
      </c>
      <c r="BD214" s="5">
        <f>deaths!BD214-deaths!BC214</f>
        <v>0</v>
      </c>
      <c r="BE214" s="5">
        <f>deaths!BE214-deaths!BD214</f>
        <v>0</v>
      </c>
      <c r="BF214" s="5">
        <f>deaths!BF214-deaths!BE214</f>
        <v>0</v>
      </c>
      <c r="BG214" s="5">
        <f>deaths!BG214-deaths!BF214</f>
        <v>0</v>
      </c>
      <c r="BH214" s="5">
        <f>deaths!BH214-deaths!BG214</f>
        <v>0</v>
      </c>
      <c r="BI214" s="5">
        <f>deaths!BI214-deaths!BH214</f>
        <v>0</v>
      </c>
      <c r="BJ214" s="5">
        <f>deaths!BJ214-deaths!BI214</f>
        <v>1</v>
      </c>
      <c r="BK214" s="5">
        <f>deaths!BK214-deaths!BJ214</f>
        <v>0</v>
      </c>
      <c r="BL214" s="5">
        <f>deaths!BL214-deaths!BK214</f>
        <v>0</v>
      </c>
      <c r="BM214" s="5">
        <f>deaths!BM214-deaths!BL214</f>
        <v>2</v>
      </c>
      <c r="BN214" s="5">
        <f>deaths!BN214-deaths!BM214</f>
        <v>0</v>
      </c>
      <c r="BO214" s="5">
        <f>deaths!BO214-deaths!BN214</f>
        <v>1</v>
      </c>
      <c r="BP214" s="5">
        <f>deaths!BP214-deaths!BO214</f>
        <v>1</v>
      </c>
      <c r="BQ214" s="5">
        <f>deaths!BQ214-deaths!BP214</f>
        <v>1</v>
      </c>
      <c r="BR214" s="5">
        <f>deaths!BR214-deaths!BQ214</f>
        <v>0</v>
      </c>
      <c r="BS214" s="5">
        <f>deaths!BS214-deaths!BR214</f>
        <v>2</v>
      </c>
      <c r="BT214" s="5">
        <f>deaths!BT214-deaths!BS214</f>
        <v>0</v>
      </c>
      <c r="BU214" s="5">
        <f>deaths!BU214-deaths!BT214</f>
        <v>0</v>
      </c>
      <c r="BV214" s="5">
        <f>deaths!BV214-deaths!BU214</f>
        <v>2</v>
      </c>
      <c r="BW214" s="5">
        <f>deaths!BW214-deaths!BV214</f>
        <v>2</v>
      </c>
      <c r="BX214" s="5">
        <f>deaths!BX214-deaths!BW214</f>
        <v>2</v>
      </c>
      <c r="BY214" s="5">
        <f>deaths!BY214-deaths!BX214</f>
        <v>4</v>
      </c>
      <c r="BZ214" s="1">
        <f>deaths!BZ214</f>
        <v>18</v>
      </c>
      <c r="CA214" s="1">
        <f>deaths!CA214</f>
        <v>22</v>
      </c>
      <c r="CB214" s="1">
        <f>deaths!CB214</f>
        <v>22</v>
      </c>
      <c r="CC214" s="1" t="str">
        <f>deaths!CC214</f>
        <v/>
      </c>
    </row>
    <row r="215">
      <c r="B215" s="1" t="str">
        <f>deaths!B215</f>
        <v>Turkey</v>
      </c>
      <c r="C215" s="4">
        <f>deaths!C215</f>
        <v>38.9637</v>
      </c>
      <c r="D215" s="4">
        <f>deaths!D215</f>
        <v>35.2433</v>
      </c>
      <c r="E215" s="5">
        <f>deaths!E215</f>
        <v>0</v>
      </c>
      <c r="F215" s="5">
        <f>deaths!F215-deaths!E215</f>
        <v>0</v>
      </c>
      <c r="G215" s="5">
        <f>deaths!G215-deaths!F215</f>
        <v>0</v>
      </c>
      <c r="H215" s="5">
        <f>deaths!H215-deaths!G215</f>
        <v>0</v>
      </c>
      <c r="I215" s="5">
        <f>deaths!I215-deaths!H215</f>
        <v>0</v>
      </c>
      <c r="J215" s="5">
        <f>deaths!J215-deaths!I215</f>
        <v>0</v>
      </c>
      <c r="K215" s="5">
        <f>deaths!K215-deaths!J215</f>
        <v>0</v>
      </c>
      <c r="L215" s="5">
        <f>deaths!L215-deaths!K215</f>
        <v>0</v>
      </c>
      <c r="M215" s="5">
        <f>deaths!M215-deaths!L215</f>
        <v>0</v>
      </c>
      <c r="N215" s="5">
        <f>deaths!N215-deaths!M215</f>
        <v>0</v>
      </c>
      <c r="O215" s="5">
        <f>deaths!O215-deaths!N215</f>
        <v>0</v>
      </c>
      <c r="P215" s="5">
        <f>deaths!P215-deaths!O215</f>
        <v>0</v>
      </c>
      <c r="Q215" s="5">
        <f>deaths!Q215-deaths!P215</f>
        <v>0</v>
      </c>
      <c r="R215" s="5">
        <f>deaths!R215-deaths!Q215</f>
        <v>0</v>
      </c>
      <c r="S215" s="5">
        <f>deaths!S215-deaths!R215</f>
        <v>0</v>
      </c>
      <c r="T215" s="5">
        <f>deaths!T215-deaths!S215</f>
        <v>0</v>
      </c>
      <c r="U215" s="5">
        <f>deaths!U215-deaths!T215</f>
        <v>0</v>
      </c>
      <c r="V215" s="5">
        <f>deaths!V215-deaths!U215</f>
        <v>0</v>
      </c>
      <c r="W215" s="5">
        <f>deaths!W215-deaths!V215</f>
        <v>0</v>
      </c>
      <c r="X215" s="5">
        <f>deaths!X215-deaths!W215</f>
        <v>0</v>
      </c>
      <c r="Y215" s="5">
        <f>deaths!Y215-deaths!X215</f>
        <v>0</v>
      </c>
      <c r="Z215" s="5">
        <f>deaths!Z215-deaths!Y215</f>
        <v>0</v>
      </c>
      <c r="AA215" s="5">
        <f>deaths!AA215-deaths!Z215</f>
        <v>0</v>
      </c>
      <c r="AB215" s="5">
        <f>deaths!AB215-deaths!AA215</f>
        <v>0</v>
      </c>
      <c r="AC215" s="5">
        <f>deaths!AC215-deaths!AB215</f>
        <v>0</v>
      </c>
      <c r="AD215" s="5">
        <f>deaths!AD215-deaths!AC215</f>
        <v>0</v>
      </c>
      <c r="AE215" s="5">
        <f>deaths!AE215-deaths!AD215</f>
        <v>0</v>
      </c>
      <c r="AF215" s="5">
        <f>deaths!AF215-deaths!AE215</f>
        <v>0</v>
      </c>
      <c r="AG215" s="5">
        <f>deaths!AG215-deaths!AF215</f>
        <v>0</v>
      </c>
      <c r="AH215" s="5">
        <f>deaths!AH215-deaths!AG215</f>
        <v>0</v>
      </c>
      <c r="AI215" s="5">
        <f>deaths!AI215-deaths!AH215</f>
        <v>0</v>
      </c>
      <c r="AJ215" s="5">
        <f>deaths!AJ215-deaths!AI215</f>
        <v>0</v>
      </c>
      <c r="AK215" s="5">
        <f>deaths!AK215-deaths!AJ215</f>
        <v>0</v>
      </c>
      <c r="AL215" s="5">
        <f>deaths!AL215-deaths!AK215</f>
        <v>0</v>
      </c>
      <c r="AM215" s="5">
        <f>deaths!AM215-deaths!AL215</f>
        <v>0</v>
      </c>
      <c r="AN215" s="5">
        <f>deaths!AN215-deaths!AM215</f>
        <v>0</v>
      </c>
      <c r="AO215" s="5">
        <f>deaths!AO215-deaths!AN215</f>
        <v>0</v>
      </c>
      <c r="AP215" s="5">
        <f>deaths!AP215-deaths!AO215</f>
        <v>0</v>
      </c>
      <c r="AQ215" s="5">
        <f>deaths!AQ215-deaths!AP215</f>
        <v>0</v>
      </c>
      <c r="AR215" s="5">
        <f>deaths!AR215-deaths!AQ215</f>
        <v>0</v>
      </c>
      <c r="AS215" s="5">
        <f>deaths!AS215-deaths!AR215</f>
        <v>0</v>
      </c>
      <c r="AT215" s="5">
        <f>deaths!AT215-deaths!AS215</f>
        <v>0</v>
      </c>
      <c r="AU215" s="5">
        <f>deaths!AU215-deaths!AT215</f>
        <v>0</v>
      </c>
      <c r="AV215" s="5">
        <f>deaths!AV215-deaths!AU215</f>
        <v>0</v>
      </c>
      <c r="AW215" s="5">
        <f>deaths!AW215-deaths!AV215</f>
        <v>0</v>
      </c>
      <c r="AX215" s="5">
        <f>deaths!AX215-deaths!AW215</f>
        <v>0</v>
      </c>
      <c r="AY215" s="5">
        <f>deaths!AY215-deaths!AX215</f>
        <v>0</v>
      </c>
      <c r="AZ215" s="5">
        <f>deaths!AZ215-deaths!AY215</f>
        <v>0</v>
      </c>
      <c r="BA215" s="5">
        <f>deaths!BA215-deaths!AZ215</f>
        <v>0</v>
      </c>
      <c r="BB215" s="5">
        <f>deaths!BB215-deaths!BA215</f>
        <v>0</v>
      </c>
      <c r="BC215" s="5">
        <f>deaths!BC215-deaths!BB215</f>
        <v>0</v>
      </c>
      <c r="BD215" s="5">
        <f>deaths!BD215-deaths!BC215</f>
        <v>0</v>
      </c>
      <c r="BE215" s="5">
        <f>deaths!BE215-deaths!BD215</f>
        <v>0</v>
      </c>
      <c r="BF215" s="5">
        <f>deaths!BF215-deaths!BE215</f>
        <v>0</v>
      </c>
      <c r="BG215" s="5">
        <f>deaths!BG215-deaths!BF215</f>
        <v>0</v>
      </c>
      <c r="BH215" s="5">
        <f>deaths!BH215-deaths!BG215</f>
        <v>1</v>
      </c>
      <c r="BI215" s="5">
        <f>deaths!BI215-deaths!BH215</f>
        <v>0</v>
      </c>
      <c r="BJ215" s="5">
        <f>deaths!BJ215-deaths!BI215</f>
        <v>2</v>
      </c>
      <c r="BK215" s="5">
        <f>deaths!BK215-deaths!BJ215</f>
        <v>1</v>
      </c>
      <c r="BL215" s="5">
        <f>deaths!BL215-deaths!BK215</f>
        <v>5</v>
      </c>
      <c r="BM215" s="5">
        <f>deaths!BM215-deaths!BL215</f>
        <v>21</v>
      </c>
      <c r="BN215" s="5">
        <f>deaths!BN215-deaths!BM215</f>
        <v>7</v>
      </c>
      <c r="BO215" s="5">
        <f>deaths!BO215-deaths!BN215</f>
        <v>7</v>
      </c>
      <c r="BP215" s="5">
        <f>deaths!BP215-deaths!BO215</f>
        <v>15</v>
      </c>
      <c r="BQ215" s="5">
        <f>deaths!BQ215-deaths!BP215</f>
        <v>16</v>
      </c>
      <c r="BR215" s="5">
        <f>deaths!BR215-deaths!BQ215</f>
        <v>17</v>
      </c>
      <c r="BS215" s="5">
        <f>deaths!BS215-deaths!BR215</f>
        <v>16</v>
      </c>
      <c r="BT215" s="5">
        <f>deaths!BT215-deaths!BS215</f>
        <v>23</v>
      </c>
      <c r="BU215" s="5">
        <f>deaths!BU215-deaths!BT215</f>
        <v>37</v>
      </c>
      <c r="BV215" s="5">
        <f>deaths!BV215-deaths!BU215</f>
        <v>46</v>
      </c>
      <c r="BW215" s="5">
        <f>deaths!BW215-deaths!BV215</f>
        <v>63</v>
      </c>
      <c r="BX215" s="5">
        <f>deaths!BX215-deaths!BW215</f>
        <v>79</v>
      </c>
      <c r="BY215" s="5">
        <f>deaths!BY215-deaths!BX215</f>
        <v>69</v>
      </c>
      <c r="BZ215" s="1">
        <f>deaths!BZ215</f>
        <v>501</v>
      </c>
      <c r="CA215" s="1">
        <f>deaths!CA215</f>
        <v>574</v>
      </c>
      <c r="CB215" s="1">
        <f>deaths!CB215</f>
        <v>649</v>
      </c>
      <c r="CC215" s="1" t="str">
        <f>deaths!CC215</f>
        <v/>
      </c>
    </row>
    <row r="216">
      <c r="B216" s="1" t="str">
        <f>deaths!B216</f>
        <v>Uganda</v>
      </c>
      <c r="C216" s="4">
        <f>deaths!C216</f>
        <v>1</v>
      </c>
      <c r="D216" s="4">
        <f>deaths!D216</f>
        <v>32</v>
      </c>
      <c r="E216" s="5">
        <f>deaths!E216</f>
        <v>0</v>
      </c>
      <c r="F216" s="5">
        <f>deaths!F216-deaths!E216</f>
        <v>0</v>
      </c>
      <c r="G216" s="5">
        <f>deaths!G216-deaths!F216</f>
        <v>0</v>
      </c>
      <c r="H216" s="5">
        <f>deaths!H216-deaths!G216</f>
        <v>0</v>
      </c>
      <c r="I216" s="5">
        <f>deaths!I216-deaths!H216</f>
        <v>0</v>
      </c>
      <c r="J216" s="5">
        <f>deaths!J216-deaths!I216</f>
        <v>0</v>
      </c>
      <c r="K216" s="5">
        <f>deaths!K216-deaths!J216</f>
        <v>0</v>
      </c>
      <c r="L216" s="5">
        <f>deaths!L216-deaths!K216</f>
        <v>0</v>
      </c>
      <c r="M216" s="5">
        <f>deaths!M216-deaths!L216</f>
        <v>0</v>
      </c>
      <c r="N216" s="5">
        <f>deaths!N216-deaths!M216</f>
        <v>0</v>
      </c>
      <c r="O216" s="5">
        <f>deaths!O216-deaths!N216</f>
        <v>0</v>
      </c>
      <c r="P216" s="5">
        <f>deaths!P216-deaths!O216</f>
        <v>0</v>
      </c>
      <c r="Q216" s="5">
        <f>deaths!Q216-deaths!P216</f>
        <v>0</v>
      </c>
      <c r="R216" s="5">
        <f>deaths!R216-deaths!Q216</f>
        <v>0</v>
      </c>
      <c r="S216" s="5">
        <f>deaths!S216-deaths!R216</f>
        <v>0</v>
      </c>
      <c r="T216" s="5">
        <f>deaths!T216-deaths!S216</f>
        <v>0</v>
      </c>
      <c r="U216" s="5">
        <f>deaths!U216-deaths!T216</f>
        <v>0</v>
      </c>
      <c r="V216" s="5">
        <f>deaths!V216-deaths!U216</f>
        <v>0</v>
      </c>
      <c r="W216" s="5">
        <f>deaths!W216-deaths!V216</f>
        <v>0</v>
      </c>
      <c r="X216" s="5">
        <f>deaths!X216-deaths!W216</f>
        <v>0</v>
      </c>
      <c r="Y216" s="5">
        <f>deaths!Y216-deaths!X216</f>
        <v>0</v>
      </c>
      <c r="Z216" s="5">
        <f>deaths!Z216-deaths!Y216</f>
        <v>0</v>
      </c>
      <c r="AA216" s="5">
        <f>deaths!AA216-deaths!Z216</f>
        <v>0</v>
      </c>
      <c r="AB216" s="5">
        <f>deaths!AB216-deaths!AA216</f>
        <v>0</v>
      </c>
      <c r="AC216" s="5">
        <f>deaths!AC216-deaths!AB216</f>
        <v>0</v>
      </c>
      <c r="AD216" s="5">
        <f>deaths!AD216-deaths!AC216</f>
        <v>0</v>
      </c>
      <c r="AE216" s="5">
        <f>deaths!AE216-deaths!AD216</f>
        <v>0</v>
      </c>
      <c r="AF216" s="5">
        <f>deaths!AF216-deaths!AE216</f>
        <v>0</v>
      </c>
      <c r="AG216" s="5">
        <f>deaths!AG216-deaths!AF216</f>
        <v>0</v>
      </c>
      <c r="AH216" s="5">
        <f>deaths!AH216-deaths!AG216</f>
        <v>0</v>
      </c>
      <c r="AI216" s="5">
        <f>deaths!AI216-deaths!AH216</f>
        <v>0</v>
      </c>
      <c r="AJ216" s="5">
        <f>deaths!AJ216-deaths!AI216</f>
        <v>0</v>
      </c>
      <c r="AK216" s="5">
        <f>deaths!AK216-deaths!AJ216</f>
        <v>0</v>
      </c>
      <c r="AL216" s="5">
        <f>deaths!AL216-deaths!AK216</f>
        <v>0</v>
      </c>
      <c r="AM216" s="5">
        <f>deaths!AM216-deaths!AL216</f>
        <v>0</v>
      </c>
      <c r="AN216" s="5">
        <f>deaths!AN216-deaths!AM216</f>
        <v>0</v>
      </c>
      <c r="AO216" s="5">
        <f>deaths!AO216-deaths!AN216</f>
        <v>0</v>
      </c>
      <c r="AP216" s="5">
        <f>deaths!AP216-deaths!AO216</f>
        <v>0</v>
      </c>
      <c r="AQ216" s="5">
        <f>deaths!AQ216-deaths!AP216</f>
        <v>0</v>
      </c>
      <c r="AR216" s="5">
        <f>deaths!AR216-deaths!AQ216</f>
        <v>0</v>
      </c>
      <c r="AS216" s="5">
        <f>deaths!AS216-deaths!AR216</f>
        <v>0</v>
      </c>
      <c r="AT216" s="5">
        <f>deaths!AT216-deaths!AS216</f>
        <v>0</v>
      </c>
      <c r="AU216" s="5">
        <f>deaths!AU216-deaths!AT216</f>
        <v>0</v>
      </c>
      <c r="AV216" s="5">
        <f>deaths!AV216-deaths!AU216</f>
        <v>0</v>
      </c>
      <c r="AW216" s="5">
        <f>deaths!AW216-deaths!AV216</f>
        <v>0</v>
      </c>
      <c r="AX216" s="5">
        <f>deaths!AX216-deaths!AW216</f>
        <v>0</v>
      </c>
      <c r="AY216" s="5">
        <f>deaths!AY216-deaths!AX216</f>
        <v>0</v>
      </c>
      <c r="AZ216" s="5">
        <f>deaths!AZ216-deaths!AY216</f>
        <v>0</v>
      </c>
      <c r="BA216" s="5">
        <f>deaths!BA216-deaths!AZ216</f>
        <v>0</v>
      </c>
      <c r="BB216" s="5">
        <f>deaths!BB216-deaths!BA216</f>
        <v>0</v>
      </c>
      <c r="BC216" s="5">
        <f>deaths!BC216-deaths!BB216</f>
        <v>0</v>
      </c>
      <c r="BD216" s="5">
        <f>deaths!BD216-deaths!BC216</f>
        <v>0</v>
      </c>
      <c r="BE216" s="5">
        <f>deaths!BE216-deaths!BD216</f>
        <v>0</v>
      </c>
      <c r="BF216" s="5">
        <f>deaths!BF216-deaths!BE216</f>
        <v>0</v>
      </c>
      <c r="BG216" s="5">
        <f>deaths!BG216-deaths!BF216</f>
        <v>0</v>
      </c>
      <c r="BH216" s="5">
        <f>deaths!BH216-deaths!BG216</f>
        <v>0</v>
      </c>
      <c r="BI216" s="5">
        <f>deaths!BI216-deaths!BH216</f>
        <v>0</v>
      </c>
      <c r="BJ216" s="5">
        <f>deaths!BJ216-deaths!BI216</f>
        <v>0</v>
      </c>
      <c r="BK216" s="5">
        <f>deaths!BK216-deaths!BJ216</f>
        <v>0</v>
      </c>
      <c r="BL216" s="5">
        <f>deaths!BL216-deaths!BK216</f>
        <v>0</v>
      </c>
      <c r="BM216" s="5">
        <f>deaths!BM216-deaths!BL216</f>
        <v>0</v>
      </c>
      <c r="BN216" s="5">
        <f>deaths!BN216-deaths!BM216</f>
        <v>0</v>
      </c>
      <c r="BO216" s="5">
        <f>deaths!BO216-deaths!BN216</f>
        <v>0</v>
      </c>
      <c r="BP216" s="5">
        <f>deaths!BP216-deaths!BO216</f>
        <v>0</v>
      </c>
      <c r="BQ216" s="5">
        <f>deaths!BQ216-deaths!BP216</f>
        <v>0</v>
      </c>
      <c r="BR216" s="5">
        <f>deaths!BR216-deaths!BQ216</f>
        <v>0</v>
      </c>
      <c r="BS216" s="5">
        <f>deaths!BS216-deaths!BR216</f>
        <v>0</v>
      </c>
      <c r="BT216" s="5">
        <f>deaths!BT216-deaths!BS216</f>
        <v>0</v>
      </c>
      <c r="BU216" s="5">
        <f>deaths!BU216-deaths!BT216</f>
        <v>0</v>
      </c>
      <c r="BV216" s="5">
        <f>deaths!BV216-deaths!BU216</f>
        <v>0</v>
      </c>
      <c r="BW216" s="5">
        <f>deaths!BW216-deaths!BV216</f>
        <v>0</v>
      </c>
      <c r="BX216" s="5">
        <f>deaths!BX216-deaths!BW216</f>
        <v>0</v>
      </c>
      <c r="BY216" s="5">
        <f>deaths!BY216-deaths!BX216</f>
        <v>0</v>
      </c>
      <c r="BZ216" s="1">
        <f>deaths!BZ216</f>
        <v>0</v>
      </c>
      <c r="CA216" s="1">
        <f>deaths!CA216</f>
        <v>0</v>
      </c>
      <c r="CB216" s="1">
        <f>deaths!CB216</f>
        <v>0</v>
      </c>
      <c r="CC216" s="1" t="str">
        <f>deaths!CC216</f>
        <v/>
      </c>
    </row>
    <row r="217">
      <c r="B217" s="1" t="str">
        <f>deaths!B217</f>
        <v>Ukraine</v>
      </c>
      <c r="C217" s="4">
        <f>deaths!C217</f>
        <v>48.3794</v>
      </c>
      <c r="D217" s="4">
        <f>deaths!D217</f>
        <v>31.1656</v>
      </c>
      <c r="E217" s="5">
        <f>deaths!E217</f>
        <v>0</v>
      </c>
      <c r="F217" s="5">
        <f>deaths!F217-deaths!E217</f>
        <v>0</v>
      </c>
      <c r="G217" s="5">
        <f>deaths!G217-deaths!F217</f>
        <v>0</v>
      </c>
      <c r="H217" s="5">
        <f>deaths!H217-deaths!G217</f>
        <v>0</v>
      </c>
      <c r="I217" s="5">
        <f>deaths!I217-deaths!H217</f>
        <v>0</v>
      </c>
      <c r="J217" s="5">
        <f>deaths!J217-deaths!I217</f>
        <v>0</v>
      </c>
      <c r="K217" s="5">
        <f>deaths!K217-deaths!J217</f>
        <v>0</v>
      </c>
      <c r="L217" s="5">
        <f>deaths!L217-deaths!K217</f>
        <v>0</v>
      </c>
      <c r="M217" s="5">
        <f>deaths!M217-deaths!L217</f>
        <v>0</v>
      </c>
      <c r="N217" s="5">
        <f>deaths!N217-deaths!M217</f>
        <v>0</v>
      </c>
      <c r="O217" s="5">
        <f>deaths!O217-deaths!N217</f>
        <v>0</v>
      </c>
      <c r="P217" s="5">
        <f>deaths!P217-deaths!O217</f>
        <v>0</v>
      </c>
      <c r="Q217" s="5">
        <f>deaths!Q217-deaths!P217</f>
        <v>0</v>
      </c>
      <c r="R217" s="5">
        <f>deaths!R217-deaths!Q217</f>
        <v>0</v>
      </c>
      <c r="S217" s="5">
        <f>deaths!S217-deaths!R217</f>
        <v>0</v>
      </c>
      <c r="T217" s="5">
        <f>deaths!T217-deaths!S217</f>
        <v>0</v>
      </c>
      <c r="U217" s="5">
        <f>deaths!U217-deaths!T217</f>
        <v>0</v>
      </c>
      <c r="V217" s="5">
        <f>deaths!V217-deaths!U217</f>
        <v>0</v>
      </c>
      <c r="W217" s="5">
        <f>deaths!W217-deaths!V217</f>
        <v>0</v>
      </c>
      <c r="X217" s="5">
        <f>deaths!X217-deaths!W217</f>
        <v>0</v>
      </c>
      <c r="Y217" s="5">
        <f>deaths!Y217-deaths!X217</f>
        <v>0</v>
      </c>
      <c r="Z217" s="5">
        <f>deaths!Z217-deaths!Y217</f>
        <v>0</v>
      </c>
      <c r="AA217" s="5">
        <f>deaths!AA217-deaths!Z217</f>
        <v>0</v>
      </c>
      <c r="AB217" s="5">
        <f>deaths!AB217-deaths!AA217</f>
        <v>0</v>
      </c>
      <c r="AC217" s="5">
        <f>deaths!AC217-deaths!AB217</f>
        <v>0</v>
      </c>
      <c r="AD217" s="5">
        <f>deaths!AD217-deaths!AC217</f>
        <v>0</v>
      </c>
      <c r="AE217" s="5">
        <f>deaths!AE217-deaths!AD217</f>
        <v>0</v>
      </c>
      <c r="AF217" s="5">
        <f>deaths!AF217-deaths!AE217</f>
        <v>0</v>
      </c>
      <c r="AG217" s="5">
        <f>deaths!AG217-deaths!AF217</f>
        <v>0</v>
      </c>
      <c r="AH217" s="5">
        <f>deaths!AH217-deaths!AG217</f>
        <v>0</v>
      </c>
      <c r="AI217" s="5">
        <f>deaths!AI217-deaths!AH217</f>
        <v>0</v>
      </c>
      <c r="AJ217" s="5">
        <f>deaths!AJ217-deaths!AI217</f>
        <v>0</v>
      </c>
      <c r="AK217" s="5">
        <f>deaths!AK217-deaths!AJ217</f>
        <v>0</v>
      </c>
      <c r="AL217" s="5">
        <f>deaths!AL217-deaths!AK217</f>
        <v>0</v>
      </c>
      <c r="AM217" s="5">
        <f>deaths!AM217-deaths!AL217</f>
        <v>0</v>
      </c>
      <c r="AN217" s="5">
        <f>deaths!AN217-deaths!AM217</f>
        <v>0</v>
      </c>
      <c r="AO217" s="5">
        <f>deaths!AO217-deaths!AN217</f>
        <v>0</v>
      </c>
      <c r="AP217" s="5">
        <f>deaths!AP217-deaths!AO217</f>
        <v>0</v>
      </c>
      <c r="AQ217" s="5">
        <f>deaths!AQ217-deaths!AP217</f>
        <v>0</v>
      </c>
      <c r="AR217" s="5">
        <f>deaths!AR217-deaths!AQ217</f>
        <v>0</v>
      </c>
      <c r="AS217" s="5">
        <f>deaths!AS217-deaths!AR217</f>
        <v>0</v>
      </c>
      <c r="AT217" s="5">
        <f>deaths!AT217-deaths!AS217</f>
        <v>0</v>
      </c>
      <c r="AU217" s="5">
        <f>deaths!AU217-deaths!AT217</f>
        <v>0</v>
      </c>
      <c r="AV217" s="5">
        <f>deaths!AV217-deaths!AU217</f>
        <v>0</v>
      </c>
      <c r="AW217" s="5">
        <f>deaths!AW217-deaths!AV217</f>
        <v>0</v>
      </c>
      <c r="AX217" s="5">
        <f>deaths!AX217-deaths!AW217</f>
        <v>0</v>
      </c>
      <c r="AY217" s="5">
        <f>deaths!AY217-deaths!AX217</f>
        <v>0</v>
      </c>
      <c r="AZ217" s="5">
        <f>deaths!AZ217-deaths!AY217</f>
        <v>0</v>
      </c>
      <c r="BA217" s="5">
        <f>deaths!BA217-deaths!AZ217</f>
        <v>0</v>
      </c>
      <c r="BB217" s="5">
        <f>deaths!BB217-deaths!BA217</f>
        <v>0</v>
      </c>
      <c r="BC217" s="5">
        <f>deaths!BC217-deaths!BB217</f>
        <v>0</v>
      </c>
      <c r="BD217" s="5">
        <f>deaths!BD217-deaths!BC217</f>
        <v>1</v>
      </c>
      <c r="BE217" s="5">
        <f>deaths!BE217-deaths!BD217</f>
        <v>0</v>
      </c>
      <c r="BF217" s="5">
        <f>deaths!BF217-deaths!BE217</f>
        <v>0</v>
      </c>
      <c r="BG217" s="5">
        <f>deaths!BG217-deaths!BF217</f>
        <v>0</v>
      </c>
      <c r="BH217" s="5">
        <f>deaths!BH217-deaths!BG217</f>
        <v>1</v>
      </c>
      <c r="BI217" s="5">
        <f>deaths!BI217-deaths!BH217</f>
        <v>0</v>
      </c>
      <c r="BJ217" s="5">
        <f>deaths!BJ217-deaths!BI217</f>
        <v>0</v>
      </c>
      <c r="BK217" s="5">
        <f>deaths!BK217-deaths!BJ217</f>
        <v>1</v>
      </c>
      <c r="BL217" s="5">
        <f>deaths!BL217-deaths!BK217</f>
        <v>0</v>
      </c>
      <c r="BM217" s="5">
        <f>deaths!BM217-deaths!BL217</f>
        <v>0</v>
      </c>
      <c r="BN217" s="5">
        <f>deaths!BN217-deaths!BM217</f>
        <v>0</v>
      </c>
      <c r="BO217" s="5">
        <f>deaths!BO217-deaths!BN217</f>
        <v>0</v>
      </c>
      <c r="BP217" s="5">
        <f>deaths!BP217-deaths!BO217</f>
        <v>2</v>
      </c>
      <c r="BQ217" s="5">
        <f>deaths!BQ217-deaths!BP217</f>
        <v>0</v>
      </c>
      <c r="BR217" s="5">
        <f>deaths!BR217-deaths!BQ217</f>
        <v>0</v>
      </c>
      <c r="BS217" s="5">
        <f>deaths!BS217-deaths!BR217</f>
        <v>4</v>
      </c>
      <c r="BT217" s="5">
        <f>deaths!BT217-deaths!BS217</f>
        <v>1</v>
      </c>
      <c r="BU217" s="5">
        <f>deaths!BU217-deaths!BT217</f>
        <v>3</v>
      </c>
      <c r="BV217" s="5">
        <f>deaths!BV217-deaths!BU217</f>
        <v>4</v>
      </c>
      <c r="BW217" s="5">
        <f>deaths!BW217-deaths!BV217</f>
        <v>3</v>
      </c>
      <c r="BX217" s="5">
        <f>deaths!BX217-deaths!BW217</f>
        <v>2</v>
      </c>
      <c r="BY217" s="5">
        <f>deaths!BY217-deaths!BX217</f>
        <v>5</v>
      </c>
      <c r="BZ217" s="1">
        <f>deaths!BZ217</f>
        <v>32</v>
      </c>
      <c r="CA217" s="1">
        <f>deaths!CA217</f>
        <v>37</v>
      </c>
      <c r="CB217" s="1">
        <f>deaths!CB217</f>
        <v>38</v>
      </c>
      <c r="CC217" s="1" t="str">
        <f>deaths!CC217</f>
        <v/>
      </c>
    </row>
    <row r="218">
      <c r="B218" s="1" t="str">
        <f>deaths!B218</f>
        <v>United Arab Emirates</v>
      </c>
      <c r="C218" s="4">
        <f>deaths!C218</f>
        <v>24</v>
      </c>
      <c r="D218" s="4">
        <f>deaths!D218</f>
        <v>54</v>
      </c>
      <c r="E218" s="5">
        <f>deaths!E218</f>
        <v>0</v>
      </c>
      <c r="F218" s="5">
        <f>deaths!F218-deaths!E218</f>
        <v>0</v>
      </c>
      <c r="G218" s="5">
        <f>deaths!G218-deaths!F218</f>
        <v>0</v>
      </c>
      <c r="H218" s="5">
        <f>deaths!H218-deaths!G218</f>
        <v>0</v>
      </c>
      <c r="I218" s="5">
        <f>deaths!I218-deaths!H218</f>
        <v>0</v>
      </c>
      <c r="J218" s="5">
        <f>deaths!J218-deaths!I218</f>
        <v>0</v>
      </c>
      <c r="K218" s="5">
        <f>deaths!K218-deaths!J218</f>
        <v>0</v>
      </c>
      <c r="L218" s="5">
        <f>deaths!L218-deaths!K218</f>
        <v>0</v>
      </c>
      <c r="M218" s="5">
        <f>deaths!M218-deaths!L218</f>
        <v>0</v>
      </c>
      <c r="N218" s="5">
        <f>deaths!N218-deaths!M218</f>
        <v>0</v>
      </c>
      <c r="O218" s="5">
        <f>deaths!O218-deaths!N218</f>
        <v>0</v>
      </c>
      <c r="P218" s="5">
        <f>deaths!P218-deaths!O218</f>
        <v>0</v>
      </c>
      <c r="Q218" s="5">
        <f>deaths!Q218-deaths!P218</f>
        <v>0</v>
      </c>
      <c r="R218" s="5">
        <f>deaths!R218-deaths!Q218</f>
        <v>0</v>
      </c>
      <c r="S218" s="5">
        <f>deaths!S218-deaths!R218</f>
        <v>0</v>
      </c>
      <c r="T218" s="5">
        <f>deaths!T218-deaths!S218</f>
        <v>0</v>
      </c>
      <c r="U218" s="5">
        <f>deaths!U218-deaths!T218</f>
        <v>0</v>
      </c>
      <c r="V218" s="5">
        <f>deaths!V218-deaths!U218</f>
        <v>0</v>
      </c>
      <c r="W218" s="5">
        <f>deaths!W218-deaths!V218</f>
        <v>0</v>
      </c>
      <c r="X218" s="5">
        <f>deaths!X218-deaths!W218</f>
        <v>0</v>
      </c>
      <c r="Y218" s="5">
        <f>deaths!Y218-deaths!X218</f>
        <v>0</v>
      </c>
      <c r="Z218" s="5">
        <f>deaths!Z218-deaths!Y218</f>
        <v>0</v>
      </c>
      <c r="AA218" s="5">
        <f>deaths!AA218-deaths!Z218</f>
        <v>0</v>
      </c>
      <c r="AB218" s="5">
        <f>deaths!AB218-deaths!AA218</f>
        <v>0</v>
      </c>
      <c r="AC218" s="5">
        <f>deaths!AC218-deaths!AB218</f>
        <v>0</v>
      </c>
      <c r="AD218" s="5">
        <f>deaths!AD218-deaths!AC218</f>
        <v>0</v>
      </c>
      <c r="AE218" s="5">
        <f>deaths!AE218-deaths!AD218</f>
        <v>0</v>
      </c>
      <c r="AF218" s="5">
        <f>deaths!AF218-deaths!AE218</f>
        <v>0</v>
      </c>
      <c r="AG218" s="5">
        <f>deaths!AG218-deaths!AF218</f>
        <v>0</v>
      </c>
      <c r="AH218" s="5">
        <f>deaths!AH218-deaths!AG218</f>
        <v>0</v>
      </c>
      <c r="AI218" s="5">
        <f>deaths!AI218-deaths!AH218</f>
        <v>0</v>
      </c>
      <c r="AJ218" s="5">
        <f>deaths!AJ218-deaths!AI218</f>
        <v>0</v>
      </c>
      <c r="AK218" s="5">
        <f>deaths!AK218-deaths!AJ218</f>
        <v>0</v>
      </c>
      <c r="AL218" s="5">
        <f>deaths!AL218-deaths!AK218</f>
        <v>0</v>
      </c>
      <c r="AM218" s="5">
        <f>deaths!AM218-deaths!AL218</f>
        <v>0</v>
      </c>
      <c r="AN218" s="5">
        <f>deaths!AN218-deaths!AM218</f>
        <v>0</v>
      </c>
      <c r="AO218" s="5">
        <f>deaths!AO218-deaths!AN218</f>
        <v>0</v>
      </c>
      <c r="AP218" s="5">
        <f>deaths!AP218-deaths!AO218</f>
        <v>0</v>
      </c>
      <c r="AQ218" s="5">
        <f>deaths!AQ218-deaths!AP218</f>
        <v>0</v>
      </c>
      <c r="AR218" s="5">
        <f>deaths!AR218-deaths!AQ218</f>
        <v>0</v>
      </c>
      <c r="AS218" s="5">
        <f>deaths!AS218-deaths!AR218</f>
        <v>0</v>
      </c>
      <c r="AT218" s="5">
        <f>deaths!AT218-deaths!AS218</f>
        <v>0</v>
      </c>
      <c r="AU218" s="5">
        <f>deaths!AU218-deaths!AT218</f>
        <v>0</v>
      </c>
      <c r="AV218" s="5">
        <f>deaths!AV218-deaths!AU218</f>
        <v>0</v>
      </c>
      <c r="AW218" s="5">
        <f>deaths!AW218-deaths!AV218</f>
        <v>0</v>
      </c>
      <c r="AX218" s="5">
        <f>deaths!AX218-deaths!AW218</f>
        <v>0</v>
      </c>
      <c r="AY218" s="5">
        <f>deaths!AY218-deaths!AX218</f>
        <v>0</v>
      </c>
      <c r="AZ218" s="5">
        <f>deaths!AZ218-deaths!AY218</f>
        <v>0</v>
      </c>
      <c r="BA218" s="5">
        <f>deaths!BA218-deaths!AZ218</f>
        <v>0</v>
      </c>
      <c r="BB218" s="5">
        <f>deaths!BB218-deaths!BA218</f>
        <v>0</v>
      </c>
      <c r="BC218" s="5">
        <f>deaths!BC218-deaths!BB218</f>
        <v>0</v>
      </c>
      <c r="BD218" s="5">
        <f>deaths!BD218-deaths!BC218</f>
        <v>0</v>
      </c>
      <c r="BE218" s="5">
        <f>deaths!BE218-deaths!BD218</f>
        <v>0</v>
      </c>
      <c r="BF218" s="5">
        <f>deaths!BF218-deaths!BE218</f>
        <v>0</v>
      </c>
      <c r="BG218" s="5">
        <f>deaths!BG218-deaths!BF218</f>
        <v>0</v>
      </c>
      <c r="BH218" s="5">
        <f>deaths!BH218-deaths!BG218</f>
        <v>0</v>
      </c>
      <c r="BI218" s="5">
        <f>deaths!BI218-deaths!BH218</f>
        <v>0</v>
      </c>
      <c r="BJ218" s="5">
        <f>deaths!BJ218-deaths!BI218</f>
        <v>0</v>
      </c>
      <c r="BK218" s="5">
        <f>deaths!BK218-deaths!BJ218</f>
        <v>2</v>
      </c>
      <c r="BL218" s="5">
        <f>deaths!BL218-deaths!BK218</f>
        <v>0</v>
      </c>
      <c r="BM218" s="5">
        <f>deaths!BM218-deaths!BL218</f>
        <v>0</v>
      </c>
      <c r="BN218" s="5">
        <f>deaths!BN218-deaths!BM218</f>
        <v>0</v>
      </c>
      <c r="BO218" s="5">
        <f>deaths!BO218-deaths!BN218</f>
        <v>0</v>
      </c>
      <c r="BP218" s="5">
        <f>deaths!BP218-deaths!BO218</f>
        <v>0</v>
      </c>
      <c r="BQ218" s="5">
        <f>deaths!BQ218-deaths!BP218</f>
        <v>0</v>
      </c>
      <c r="BR218" s="5">
        <f>deaths!BR218-deaths!BQ218</f>
        <v>0</v>
      </c>
      <c r="BS218" s="5">
        <f>deaths!BS218-deaths!BR218</f>
        <v>0</v>
      </c>
      <c r="BT218" s="5">
        <f>deaths!BT218-deaths!BS218</f>
        <v>1</v>
      </c>
      <c r="BU218" s="5">
        <f>deaths!BU218-deaths!BT218</f>
        <v>2</v>
      </c>
      <c r="BV218" s="5">
        <f>deaths!BV218-deaths!BU218</f>
        <v>1</v>
      </c>
      <c r="BW218" s="5">
        <f>deaths!BW218-deaths!BV218</f>
        <v>2</v>
      </c>
      <c r="BX218" s="5">
        <f>deaths!BX218-deaths!BW218</f>
        <v>0</v>
      </c>
      <c r="BY218" s="5">
        <f>deaths!BY218-deaths!BX218</f>
        <v>1</v>
      </c>
      <c r="BZ218" s="1">
        <f>deaths!BZ218</f>
        <v>10</v>
      </c>
      <c r="CA218" s="1">
        <f>deaths!CA218</f>
        <v>10</v>
      </c>
      <c r="CB218" s="1">
        <f>deaths!CB218</f>
        <v>11</v>
      </c>
      <c r="CC218" s="1" t="str">
        <f>deaths!CC218</f>
        <v/>
      </c>
    </row>
    <row r="219">
      <c r="B219" s="1" t="str">
        <f>deaths!B219</f>
        <v>United Kingdom</v>
      </c>
      <c r="C219" s="4">
        <f>deaths!C219</f>
        <v>32.3078</v>
      </c>
      <c r="D219" s="4">
        <f>deaths!D219</f>
        <v>-64.7505</v>
      </c>
      <c r="E219" s="5">
        <f>deaths!E219</f>
        <v>0</v>
      </c>
      <c r="F219" s="5">
        <f>deaths!F219-deaths!E219</f>
        <v>0</v>
      </c>
      <c r="G219" s="5">
        <f>deaths!G219-deaths!F219</f>
        <v>0</v>
      </c>
      <c r="H219" s="5">
        <f>deaths!H219-deaths!G219</f>
        <v>0</v>
      </c>
      <c r="I219" s="5">
        <f>deaths!I219-deaths!H219</f>
        <v>0</v>
      </c>
      <c r="J219" s="5">
        <f>deaths!J219-deaths!I219</f>
        <v>0</v>
      </c>
      <c r="K219" s="5">
        <f>deaths!K219-deaths!J219</f>
        <v>0</v>
      </c>
      <c r="L219" s="5">
        <f>deaths!L219-deaths!K219</f>
        <v>0</v>
      </c>
      <c r="M219" s="5">
        <f>deaths!M219-deaths!L219</f>
        <v>0</v>
      </c>
      <c r="N219" s="5">
        <f>deaths!N219-deaths!M219</f>
        <v>0</v>
      </c>
      <c r="O219" s="5">
        <f>deaths!O219-deaths!N219</f>
        <v>0</v>
      </c>
      <c r="P219" s="5">
        <f>deaths!P219-deaths!O219</f>
        <v>0</v>
      </c>
      <c r="Q219" s="5">
        <f>deaths!Q219-deaths!P219</f>
        <v>0</v>
      </c>
      <c r="R219" s="5">
        <f>deaths!R219-deaths!Q219</f>
        <v>0</v>
      </c>
      <c r="S219" s="5">
        <f>deaths!S219-deaths!R219</f>
        <v>0</v>
      </c>
      <c r="T219" s="5">
        <f>deaths!T219-deaths!S219</f>
        <v>0</v>
      </c>
      <c r="U219" s="5">
        <f>deaths!U219-deaths!T219</f>
        <v>0</v>
      </c>
      <c r="V219" s="5">
        <f>deaths!V219-deaths!U219</f>
        <v>0</v>
      </c>
      <c r="W219" s="5">
        <f>deaths!W219-deaths!V219</f>
        <v>0</v>
      </c>
      <c r="X219" s="5">
        <f>deaths!X219-deaths!W219</f>
        <v>0</v>
      </c>
      <c r="Y219" s="5">
        <f>deaths!Y219-deaths!X219</f>
        <v>0</v>
      </c>
      <c r="Z219" s="5">
        <f>deaths!Z219-deaths!Y219</f>
        <v>0</v>
      </c>
      <c r="AA219" s="5">
        <f>deaths!AA219-deaths!Z219</f>
        <v>0</v>
      </c>
      <c r="AB219" s="5">
        <f>deaths!AB219-deaths!AA219</f>
        <v>0</v>
      </c>
      <c r="AC219" s="5">
        <f>deaths!AC219-deaths!AB219</f>
        <v>0</v>
      </c>
      <c r="AD219" s="5">
        <f>deaths!AD219-deaths!AC219</f>
        <v>0</v>
      </c>
      <c r="AE219" s="5">
        <f>deaths!AE219-deaths!AD219</f>
        <v>0</v>
      </c>
      <c r="AF219" s="5">
        <f>deaths!AF219-deaths!AE219</f>
        <v>0</v>
      </c>
      <c r="AG219" s="5">
        <f>deaths!AG219-deaths!AF219</f>
        <v>0</v>
      </c>
      <c r="AH219" s="5">
        <f>deaths!AH219-deaths!AG219</f>
        <v>0</v>
      </c>
      <c r="AI219" s="5">
        <f>deaths!AI219-deaths!AH219</f>
        <v>0</v>
      </c>
      <c r="AJ219" s="5">
        <f>deaths!AJ219-deaths!AI219</f>
        <v>0</v>
      </c>
      <c r="AK219" s="5">
        <f>deaths!AK219-deaths!AJ219</f>
        <v>0</v>
      </c>
      <c r="AL219" s="5">
        <f>deaths!AL219-deaths!AK219</f>
        <v>0</v>
      </c>
      <c r="AM219" s="5">
        <f>deaths!AM219-deaths!AL219</f>
        <v>0</v>
      </c>
      <c r="AN219" s="5">
        <f>deaths!AN219-deaths!AM219</f>
        <v>0</v>
      </c>
      <c r="AO219" s="5">
        <f>deaths!AO219-deaths!AN219</f>
        <v>0</v>
      </c>
      <c r="AP219" s="5">
        <f>deaths!AP219-deaths!AO219</f>
        <v>0</v>
      </c>
      <c r="AQ219" s="5">
        <f>deaths!AQ219-deaths!AP219</f>
        <v>0</v>
      </c>
      <c r="AR219" s="5">
        <f>deaths!AR219-deaths!AQ219</f>
        <v>0</v>
      </c>
      <c r="AS219" s="5">
        <f>deaths!AS219-deaths!AR219</f>
        <v>0</v>
      </c>
      <c r="AT219" s="5">
        <f>deaths!AT219-deaths!AS219</f>
        <v>0</v>
      </c>
      <c r="AU219" s="5">
        <f>deaths!AU219-deaths!AT219</f>
        <v>0</v>
      </c>
      <c r="AV219" s="5">
        <f>deaths!AV219-deaths!AU219</f>
        <v>0</v>
      </c>
      <c r="AW219" s="5">
        <f>deaths!AW219-deaths!AV219</f>
        <v>0</v>
      </c>
      <c r="AX219" s="5">
        <f>deaths!AX219-deaths!AW219</f>
        <v>0</v>
      </c>
      <c r="AY219" s="5">
        <f>deaths!AY219-deaths!AX219</f>
        <v>0</v>
      </c>
      <c r="AZ219" s="5">
        <f>deaths!AZ219-deaths!AY219</f>
        <v>0</v>
      </c>
      <c r="BA219" s="5">
        <f>deaths!BA219-deaths!AZ219</f>
        <v>0</v>
      </c>
      <c r="BB219" s="5">
        <f>deaths!BB219-deaths!BA219</f>
        <v>0</v>
      </c>
      <c r="BC219" s="5">
        <f>deaths!BC219-deaths!BB219</f>
        <v>0</v>
      </c>
      <c r="BD219" s="5">
        <f>deaths!BD219-deaths!BC219</f>
        <v>0</v>
      </c>
      <c r="BE219" s="5">
        <f>deaths!BE219-deaths!BD219</f>
        <v>0</v>
      </c>
      <c r="BF219" s="5">
        <f>deaths!BF219-deaths!BE219</f>
        <v>0</v>
      </c>
      <c r="BG219" s="5">
        <f>deaths!BG219-deaths!BF219</f>
        <v>0</v>
      </c>
      <c r="BH219" s="5">
        <f>deaths!BH219-deaths!BG219</f>
        <v>0</v>
      </c>
      <c r="BI219" s="5">
        <f>deaths!BI219-deaths!BH219</f>
        <v>0</v>
      </c>
      <c r="BJ219" s="5">
        <f>deaths!BJ219-deaths!BI219</f>
        <v>0</v>
      </c>
      <c r="BK219" s="5">
        <f>deaths!BK219-deaths!BJ219</f>
        <v>0</v>
      </c>
      <c r="BL219" s="5">
        <f>deaths!BL219-deaths!BK219</f>
        <v>0</v>
      </c>
      <c r="BM219" s="5">
        <f>deaths!BM219-deaths!BL219</f>
        <v>0</v>
      </c>
      <c r="BN219" s="5">
        <f>deaths!BN219-deaths!BM219</f>
        <v>0</v>
      </c>
      <c r="BO219" s="5">
        <f>deaths!BO219-deaths!BN219</f>
        <v>0</v>
      </c>
      <c r="BP219" s="5">
        <f>deaths!BP219-deaths!BO219</f>
        <v>0</v>
      </c>
      <c r="BQ219" s="5">
        <f>deaths!BQ219-deaths!BP219</f>
        <v>0</v>
      </c>
      <c r="BR219" s="5">
        <f>deaths!BR219-deaths!BQ219</f>
        <v>0</v>
      </c>
      <c r="BS219" s="5">
        <f>deaths!BS219-deaths!BR219</f>
        <v>0</v>
      </c>
      <c r="BT219" s="5">
        <f>deaths!BT219-deaths!BS219</f>
        <v>0</v>
      </c>
      <c r="BU219" s="5">
        <f>deaths!BU219-deaths!BT219</f>
        <v>0</v>
      </c>
      <c r="BV219" s="5">
        <f>deaths!BV219-deaths!BU219</f>
        <v>0</v>
      </c>
      <c r="BW219" s="5">
        <f>deaths!BW219-deaths!BV219</f>
        <v>0</v>
      </c>
      <c r="BX219" s="5">
        <f>deaths!BX219-deaths!BW219</f>
        <v>0</v>
      </c>
      <c r="BY219" s="5">
        <f>deaths!BY219-deaths!BX219</f>
        <v>0</v>
      </c>
      <c r="BZ219" s="1">
        <f>deaths!BZ219</f>
        <v>0</v>
      </c>
      <c r="CA219" s="1">
        <f>deaths!CA219</f>
        <v>0</v>
      </c>
      <c r="CB219" s="1">
        <f>deaths!CB219</f>
        <v>2</v>
      </c>
      <c r="CC219" s="1" t="str">
        <f>deaths!CC219</f>
        <v/>
      </c>
    </row>
    <row r="220">
      <c r="B220" s="1" t="str">
        <f>deaths!B220</f>
        <v>United Kingdom</v>
      </c>
      <c r="C220" s="4">
        <f>deaths!C220</f>
        <v>19.3133</v>
      </c>
      <c r="D220" s="4">
        <f>deaths!D220</f>
        <v>-81.2546</v>
      </c>
      <c r="E220" s="5">
        <f>deaths!E220</f>
        <v>0</v>
      </c>
      <c r="F220" s="5">
        <f>deaths!F220-deaths!E220</f>
        <v>0</v>
      </c>
      <c r="G220" s="5">
        <f>deaths!G220-deaths!F220</f>
        <v>0</v>
      </c>
      <c r="H220" s="5">
        <f>deaths!H220-deaths!G220</f>
        <v>0</v>
      </c>
      <c r="I220" s="5">
        <f>deaths!I220-deaths!H220</f>
        <v>0</v>
      </c>
      <c r="J220" s="5">
        <f>deaths!J220-deaths!I220</f>
        <v>0</v>
      </c>
      <c r="K220" s="5">
        <f>deaths!K220-deaths!J220</f>
        <v>0</v>
      </c>
      <c r="L220" s="5">
        <f>deaths!L220-deaths!K220</f>
        <v>0</v>
      </c>
      <c r="M220" s="5">
        <f>deaths!M220-deaths!L220</f>
        <v>0</v>
      </c>
      <c r="N220" s="5">
        <f>deaths!N220-deaths!M220</f>
        <v>0</v>
      </c>
      <c r="O220" s="5">
        <f>deaths!O220-deaths!N220</f>
        <v>0</v>
      </c>
      <c r="P220" s="5">
        <f>deaths!P220-deaths!O220</f>
        <v>0</v>
      </c>
      <c r="Q220" s="5">
        <f>deaths!Q220-deaths!P220</f>
        <v>0</v>
      </c>
      <c r="R220" s="5">
        <f>deaths!R220-deaths!Q220</f>
        <v>0</v>
      </c>
      <c r="S220" s="5">
        <f>deaths!S220-deaths!R220</f>
        <v>0</v>
      </c>
      <c r="T220" s="5">
        <f>deaths!T220-deaths!S220</f>
        <v>0</v>
      </c>
      <c r="U220" s="5">
        <f>deaths!U220-deaths!T220</f>
        <v>0</v>
      </c>
      <c r="V220" s="5">
        <f>deaths!V220-deaths!U220</f>
        <v>0</v>
      </c>
      <c r="W220" s="5">
        <f>deaths!W220-deaths!V220</f>
        <v>0</v>
      </c>
      <c r="X220" s="5">
        <f>deaths!X220-deaths!W220</f>
        <v>0</v>
      </c>
      <c r="Y220" s="5">
        <f>deaths!Y220-deaths!X220</f>
        <v>0</v>
      </c>
      <c r="Z220" s="5">
        <f>deaths!Z220-deaths!Y220</f>
        <v>0</v>
      </c>
      <c r="AA220" s="5">
        <f>deaths!AA220-deaths!Z220</f>
        <v>0</v>
      </c>
      <c r="AB220" s="5">
        <f>deaths!AB220-deaths!AA220</f>
        <v>0</v>
      </c>
      <c r="AC220" s="5">
        <f>deaths!AC220-deaths!AB220</f>
        <v>0</v>
      </c>
      <c r="AD220" s="5">
        <f>deaths!AD220-deaths!AC220</f>
        <v>0</v>
      </c>
      <c r="AE220" s="5">
        <f>deaths!AE220-deaths!AD220</f>
        <v>0</v>
      </c>
      <c r="AF220" s="5">
        <f>deaths!AF220-deaths!AE220</f>
        <v>0</v>
      </c>
      <c r="AG220" s="5">
        <f>deaths!AG220-deaths!AF220</f>
        <v>0</v>
      </c>
      <c r="AH220" s="5">
        <f>deaths!AH220-deaths!AG220</f>
        <v>0</v>
      </c>
      <c r="AI220" s="5">
        <f>deaths!AI220-deaths!AH220</f>
        <v>0</v>
      </c>
      <c r="AJ220" s="5">
        <f>deaths!AJ220-deaths!AI220</f>
        <v>0</v>
      </c>
      <c r="AK220" s="5">
        <f>deaths!AK220-deaths!AJ220</f>
        <v>0</v>
      </c>
      <c r="AL220" s="5">
        <f>deaths!AL220-deaths!AK220</f>
        <v>0</v>
      </c>
      <c r="AM220" s="5">
        <f>deaths!AM220-deaths!AL220</f>
        <v>0</v>
      </c>
      <c r="AN220" s="5">
        <f>deaths!AN220-deaths!AM220</f>
        <v>0</v>
      </c>
      <c r="AO220" s="5">
        <f>deaths!AO220-deaths!AN220</f>
        <v>0</v>
      </c>
      <c r="AP220" s="5">
        <f>deaths!AP220-deaths!AO220</f>
        <v>0</v>
      </c>
      <c r="AQ220" s="5">
        <f>deaths!AQ220-deaths!AP220</f>
        <v>0</v>
      </c>
      <c r="AR220" s="5">
        <f>deaths!AR220-deaths!AQ220</f>
        <v>0</v>
      </c>
      <c r="AS220" s="5">
        <f>deaths!AS220-deaths!AR220</f>
        <v>0</v>
      </c>
      <c r="AT220" s="5">
        <f>deaths!AT220-deaths!AS220</f>
        <v>0</v>
      </c>
      <c r="AU220" s="5">
        <f>deaths!AU220-deaths!AT220</f>
        <v>0</v>
      </c>
      <c r="AV220" s="5">
        <f>deaths!AV220-deaths!AU220</f>
        <v>0</v>
      </c>
      <c r="AW220" s="5">
        <f>deaths!AW220-deaths!AV220</f>
        <v>0</v>
      </c>
      <c r="AX220" s="5">
        <f>deaths!AX220-deaths!AW220</f>
        <v>0</v>
      </c>
      <c r="AY220" s="5">
        <f>deaths!AY220-deaths!AX220</f>
        <v>0</v>
      </c>
      <c r="AZ220" s="5">
        <f>deaths!AZ220-deaths!AY220</f>
        <v>0</v>
      </c>
      <c r="BA220" s="5">
        <f>deaths!BA220-deaths!AZ220</f>
        <v>0</v>
      </c>
      <c r="BB220" s="5">
        <f>deaths!BB220-deaths!BA220</f>
        <v>0</v>
      </c>
      <c r="BC220" s="5">
        <f>deaths!BC220-deaths!BB220</f>
        <v>0</v>
      </c>
      <c r="BD220" s="5">
        <f>deaths!BD220-deaths!BC220</f>
        <v>0</v>
      </c>
      <c r="BE220" s="5">
        <f>deaths!BE220-deaths!BD220</f>
        <v>0</v>
      </c>
      <c r="BF220" s="5">
        <f>deaths!BF220-deaths!BE220</f>
        <v>0</v>
      </c>
      <c r="BG220" s="5">
        <f>deaths!BG220-deaths!BF220</f>
        <v>1</v>
      </c>
      <c r="BH220" s="5">
        <f>deaths!BH220-deaths!BG220</f>
        <v>0</v>
      </c>
      <c r="BI220" s="5">
        <f>deaths!BI220-deaths!BH220</f>
        <v>0</v>
      </c>
      <c r="BJ220" s="5">
        <f>deaths!BJ220-deaths!BI220</f>
        <v>0</v>
      </c>
      <c r="BK220" s="5">
        <f>deaths!BK220-deaths!BJ220</f>
        <v>0</v>
      </c>
      <c r="BL220" s="5">
        <f>deaths!BL220-deaths!BK220</f>
        <v>0</v>
      </c>
      <c r="BM220" s="5">
        <f>deaths!BM220-deaths!BL220</f>
        <v>0</v>
      </c>
      <c r="BN220" s="5">
        <f>deaths!BN220-deaths!BM220</f>
        <v>0</v>
      </c>
      <c r="BO220" s="5">
        <f>deaths!BO220-deaths!BN220</f>
        <v>0</v>
      </c>
      <c r="BP220" s="5">
        <f>deaths!BP220-deaths!BO220</f>
        <v>0</v>
      </c>
      <c r="BQ220" s="5">
        <f>deaths!BQ220-deaths!BP220</f>
        <v>0</v>
      </c>
      <c r="BR220" s="5">
        <f>deaths!BR220-deaths!BQ220</f>
        <v>0</v>
      </c>
      <c r="BS220" s="5">
        <f>deaths!BS220-deaths!BR220</f>
        <v>0</v>
      </c>
      <c r="BT220" s="5">
        <f>deaths!BT220-deaths!BS220</f>
        <v>0</v>
      </c>
      <c r="BU220" s="5">
        <f>deaths!BU220-deaths!BT220</f>
        <v>0</v>
      </c>
      <c r="BV220" s="5">
        <f>deaths!BV220-deaths!BU220</f>
        <v>0</v>
      </c>
      <c r="BW220" s="5">
        <f>deaths!BW220-deaths!BV220</f>
        <v>0</v>
      </c>
      <c r="BX220" s="5">
        <f>deaths!BX220-deaths!BW220</f>
        <v>0</v>
      </c>
      <c r="BY220" s="5">
        <f>deaths!BY220-deaths!BX220</f>
        <v>0</v>
      </c>
      <c r="BZ220" s="1">
        <f>deaths!BZ220</f>
        <v>1</v>
      </c>
      <c r="CA220" s="1">
        <f>deaths!CA220</f>
        <v>1</v>
      </c>
      <c r="CB220" s="1">
        <f>deaths!CB220</f>
        <v>1</v>
      </c>
      <c r="CC220" s="1" t="str">
        <f>deaths!CC220</f>
        <v/>
      </c>
    </row>
    <row r="221">
      <c r="B221" s="1" t="str">
        <f>deaths!B221</f>
        <v>United Kingdom</v>
      </c>
      <c r="C221" s="4">
        <f>deaths!C221</f>
        <v>49.3723</v>
      </c>
      <c r="D221" s="4">
        <f>deaths!D221</f>
        <v>-2.3644</v>
      </c>
      <c r="E221" s="5">
        <f>deaths!E221</f>
        <v>0</v>
      </c>
      <c r="F221" s="5">
        <f>deaths!F221-deaths!E221</f>
        <v>0</v>
      </c>
      <c r="G221" s="5">
        <f>deaths!G221-deaths!F221</f>
        <v>0</v>
      </c>
      <c r="H221" s="5">
        <f>deaths!H221-deaths!G221</f>
        <v>0</v>
      </c>
      <c r="I221" s="5">
        <f>deaths!I221-deaths!H221</f>
        <v>0</v>
      </c>
      <c r="J221" s="5">
        <f>deaths!J221-deaths!I221</f>
        <v>0</v>
      </c>
      <c r="K221" s="5">
        <f>deaths!K221-deaths!J221</f>
        <v>0</v>
      </c>
      <c r="L221" s="5">
        <f>deaths!L221-deaths!K221</f>
        <v>0</v>
      </c>
      <c r="M221" s="5">
        <f>deaths!M221-deaths!L221</f>
        <v>0</v>
      </c>
      <c r="N221" s="5">
        <f>deaths!N221-deaths!M221</f>
        <v>0</v>
      </c>
      <c r="O221" s="5">
        <f>deaths!O221-deaths!N221</f>
        <v>0</v>
      </c>
      <c r="P221" s="5">
        <f>deaths!P221-deaths!O221</f>
        <v>0</v>
      </c>
      <c r="Q221" s="5">
        <f>deaths!Q221-deaths!P221</f>
        <v>0</v>
      </c>
      <c r="R221" s="5">
        <f>deaths!R221-deaths!Q221</f>
        <v>0</v>
      </c>
      <c r="S221" s="5">
        <f>deaths!S221-deaths!R221</f>
        <v>0</v>
      </c>
      <c r="T221" s="5">
        <f>deaths!T221-deaths!S221</f>
        <v>0</v>
      </c>
      <c r="U221" s="5">
        <f>deaths!U221-deaths!T221</f>
        <v>0</v>
      </c>
      <c r="V221" s="5">
        <f>deaths!V221-deaths!U221</f>
        <v>0</v>
      </c>
      <c r="W221" s="5">
        <f>deaths!W221-deaths!V221</f>
        <v>0</v>
      </c>
      <c r="X221" s="5">
        <f>deaths!X221-deaths!W221</f>
        <v>0</v>
      </c>
      <c r="Y221" s="5">
        <f>deaths!Y221-deaths!X221</f>
        <v>0</v>
      </c>
      <c r="Z221" s="5">
        <f>deaths!Z221-deaths!Y221</f>
        <v>0</v>
      </c>
      <c r="AA221" s="5">
        <f>deaths!AA221-deaths!Z221</f>
        <v>0</v>
      </c>
      <c r="AB221" s="5">
        <f>deaths!AB221-deaths!AA221</f>
        <v>0</v>
      </c>
      <c r="AC221" s="5">
        <f>deaths!AC221-deaths!AB221</f>
        <v>0</v>
      </c>
      <c r="AD221" s="5">
        <f>deaths!AD221-deaths!AC221</f>
        <v>0</v>
      </c>
      <c r="AE221" s="5">
        <f>deaths!AE221-deaths!AD221</f>
        <v>0</v>
      </c>
      <c r="AF221" s="5">
        <f>deaths!AF221-deaths!AE221</f>
        <v>0</v>
      </c>
      <c r="AG221" s="5">
        <f>deaths!AG221-deaths!AF221</f>
        <v>0</v>
      </c>
      <c r="AH221" s="5">
        <f>deaths!AH221-deaths!AG221</f>
        <v>0</v>
      </c>
      <c r="AI221" s="5">
        <f>deaths!AI221-deaths!AH221</f>
        <v>0</v>
      </c>
      <c r="AJ221" s="5">
        <f>deaths!AJ221-deaths!AI221</f>
        <v>0</v>
      </c>
      <c r="AK221" s="5">
        <f>deaths!AK221-deaths!AJ221</f>
        <v>0</v>
      </c>
      <c r="AL221" s="5">
        <f>deaths!AL221-deaths!AK221</f>
        <v>0</v>
      </c>
      <c r="AM221" s="5">
        <f>deaths!AM221-deaths!AL221</f>
        <v>0</v>
      </c>
      <c r="AN221" s="5">
        <f>deaths!AN221-deaths!AM221</f>
        <v>0</v>
      </c>
      <c r="AO221" s="5">
        <f>deaths!AO221-deaths!AN221</f>
        <v>0</v>
      </c>
      <c r="AP221" s="5">
        <f>deaths!AP221-deaths!AO221</f>
        <v>0</v>
      </c>
      <c r="AQ221" s="5">
        <f>deaths!AQ221-deaths!AP221</f>
        <v>0</v>
      </c>
      <c r="AR221" s="5">
        <f>deaths!AR221-deaths!AQ221</f>
        <v>0</v>
      </c>
      <c r="AS221" s="5">
        <f>deaths!AS221-deaths!AR221</f>
        <v>0</v>
      </c>
      <c r="AT221" s="5">
        <f>deaths!AT221-deaths!AS221</f>
        <v>0</v>
      </c>
      <c r="AU221" s="5">
        <f>deaths!AU221-deaths!AT221</f>
        <v>0</v>
      </c>
      <c r="AV221" s="5">
        <f>deaths!AV221-deaths!AU221</f>
        <v>0</v>
      </c>
      <c r="AW221" s="5">
        <f>deaths!AW221-deaths!AV221</f>
        <v>0</v>
      </c>
      <c r="AX221" s="5">
        <f>deaths!AX221-deaths!AW221</f>
        <v>0</v>
      </c>
      <c r="AY221" s="5">
        <f>deaths!AY221-deaths!AX221</f>
        <v>0</v>
      </c>
      <c r="AZ221" s="5">
        <f>deaths!AZ221-deaths!AY221</f>
        <v>0</v>
      </c>
      <c r="BA221" s="5">
        <f>deaths!BA221-deaths!AZ221</f>
        <v>0</v>
      </c>
      <c r="BB221" s="5">
        <f>deaths!BB221-deaths!BA221</f>
        <v>0</v>
      </c>
      <c r="BC221" s="5">
        <f>deaths!BC221-deaths!BB221</f>
        <v>0</v>
      </c>
      <c r="BD221" s="5">
        <f>deaths!BD221-deaths!BC221</f>
        <v>0</v>
      </c>
      <c r="BE221" s="5">
        <f>deaths!BE221-deaths!BD221</f>
        <v>0</v>
      </c>
      <c r="BF221" s="5">
        <f>deaths!BF221-deaths!BE221</f>
        <v>0</v>
      </c>
      <c r="BG221" s="5">
        <f>deaths!BG221-deaths!BF221</f>
        <v>0</v>
      </c>
      <c r="BH221" s="5">
        <f>deaths!BH221-deaths!BG221</f>
        <v>0</v>
      </c>
      <c r="BI221" s="5">
        <f>deaths!BI221-deaths!BH221</f>
        <v>0</v>
      </c>
      <c r="BJ221" s="5">
        <f>deaths!BJ221-deaths!BI221</f>
        <v>0</v>
      </c>
      <c r="BK221" s="5">
        <f>deaths!BK221-deaths!BJ221</f>
        <v>0</v>
      </c>
      <c r="BL221" s="5">
        <f>deaths!BL221-deaths!BK221</f>
        <v>0</v>
      </c>
      <c r="BM221" s="5">
        <f>deaths!BM221-deaths!BL221</f>
        <v>0</v>
      </c>
      <c r="BN221" s="5">
        <f>deaths!BN221-deaths!BM221</f>
        <v>0</v>
      </c>
      <c r="BO221" s="5">
        <f>deaths!BO221-deaths!BN221</f>
        <v>0</v>
      </c>
      <c r="BP221" s="5">
        <f>deaths!BP221-deaths!BO221</f>
        <v>0</v>
      </c>
      <c r="BQ221" s="5">
        <f>deaths!BQ221-deaths!BP221</f>
        <v>1</v>
      </c>
      <c r="BR221" s="5">
        <f>deaths!BR221-deaths!BQ221</f>
        <v>0</v>
      </c>
      <c r="BS221" s="5">
        <f>deaths!BS221-deaths!BR221</f>
        <v>0</v>
      </c>
      <c r="BT221" s="5">
        <f>deaths!BT221-deaths!BS221</f>
        <v>1</v>
      </c>
      <c r="BU221" s="5">
        <f>deaths!BU221-deaths!BT221</f>
        <v>0</v>
      </c>
      <c r="BV221" s="5">
        <f>deaths!BV221-deaths!BU221</f>
        <v>1</v>
      </c>
      <c r="BW221" s="5">
        <f>deaths!BW221-deaths!BV221</f>
        <v>0</v>
      </c>
      <c r="BX221" s="5">
        <f>deaths!BX221-deaths!BW221</f>
        <v>0</v>
      </c>
      <c r="BY221" s="5">
        <f>deaths!BY221-deaths!BX221</f>
        <v>1</v>
      </c>
      <c r="BZ221" s="1">
        <f>deaths!BZ221</f>
        <v>5</v>
      </c>
      <c r="CA221" s="1">
        <f>deaths!CA221</f>
        <v>6</v>
      </c>
      <c r="CB221" s="1">
        <f>deaths!CB221</f>
        <v>7</v>
      </c>
      <c r="CC221" s="1" t="str">
        <f>deaths!CC221</f>
        <v/>
      </c>
    </row>
    <row r="222">
      <c r="B222" s="1" t="str">
        <f>deaths!B222</f>
        <v>United Kingdom</v>
      </c>
      <c r="C222" s="4">
        <f>deaths!C222</f>
        <v>36.1408</v>
      </c>
      <c r="D222" s="4">
        <f>deaths!D222</f>
        <v>-5.3536</v>
      </c>
      <c r="E222" s="5">
        <f>deaths!E222</f>
        <v>0</v>
      </c>
      <c r="F222" s="5">
        <f>deaths!F222-deaths!E222</f>
        <v>0</v>
      </c>
      <c r="G222" s="5">
        <f>deaths!G222-deaths!F222</f>
        <v>0</v>
      </c>
      <c r="H222" s="5">
        <f>deaths!H222-deaths!G222</f>
        <v>0</v>
      </c>
      <c r="I222" s="5">
        <f>deaths!I222-deaths!H222</f>
        <v>0</v>
      </c>
      <c r="J222" s="5">
        <f>deaths!J222-deaths!I222</f>
        <v>0</v>
      </c>
      <c r="K222" s="5">
        <f>deaths!K222-deaths!J222</f>
        <v>0</v>
      </c>
      <c r="L222" s="5">
        <f>deaths!L222-deaths!K222</f>
        <v>0</v>
      </c>
      <c r="M222" s="5">
        <f>deaths!M222-deaths!L222</f>
        <v>0</v>
      </c>
      <c r="N222" s="5">
        <f>deaths!N222-deaths!M222</f>
        <v>0</v>
      </c>
      <c r="O222" s="5">
        <f>deaths!O222-deaths!N222</f>
        <v>0</v>
      </c>
      <c r="P222" s="5">
        <f>deaths!P222-deaths!O222</f>
        <v>0</v>
      </c>
      <c r="Q222" s="5">
        <f>deaths!Q222-deaths!P222</f>
        <v>0</v>
      </c>
      <c r="R222" s="5">
        <f>deaths!R222-deaths!Q222</f>
        <v>0</v>
      </c>
      <c r="S222" s="5">
        <f>deaths!S222-deaths!R222</f>
        <v>0</v>
      </c>
      <c r="T222" s="5">
        <f>deaths!T222-deaths!S222</f>
        <v>0</v>
      </c>
      <c r="U222" s="5">
        <f>deaths!U222-deaths!T222</f>
        <v>0</v>
      </c>
      <c r="V222" s="5">
        <f>deaths!V222-deaths!U222</f>
        <v>0</v>
      </c>
      <c r="W222" s="5">
        <f>deaths!W222-deaths!V222</f>
        <v>0</v>
      </c>
      <c r="X222" s="5">
        <f>deaths!X222-deaths!W222</f>
        <v>0</v>
      </c>
      <c r="Y222" s="5">
        <f>deaths!Y222-deaths!X222</f>
        <v>0</v>
      </c>
      <c r="Z222" s="5">
        <f>deaths!Z222-deaths!Y222</f>
        <v>0</v>
      </c>
      <c r="AA222" s="5">
        <f>deaths!AA222-deaths!Z222</f>
        <v>0</v>
      </c>
      <c r="AB222" s="5">
        <f>deaths!AB222-deaths!AA222</f>
        <v>0</v>
      </c>
      <c r="AC222" s="5">
        <f>deaths!AC222-deaths!AB222</f>
        <v>0</v>
      </c>
      <c r="AD222" s="5">
        <f>deaths!AD222-deaths!AC222</f>
        <v>0</v>
      </c>
      <c r="AE222" s="5">
        <f>deaths!AE222-deaths!AD222</f>
        <v>0</v>
      </c>
      <c r="AF222" s="5">
        <f>deaths!AF222-deaths!AE222</f>
        <v>0</v>
      </c>
      <c r="AG222" s="5">
        <f>deaths!AG222-deaths!AF222</f>
        <v>0</v>
      </c>
      <c r="AH222" s="5">
        <f>deaths!AH222-deaths!AG222</f>
        <v>0</v>
      </c>
      <c r="AI222" s="5">
        <f>deaths!AI222-deaths!AH222</f>
        <v>0</v>
      </c>
      <c r="AJ222" s="5">
        <f>deaths!AJ222-deaths!AI222</f>
        <v>0</v>
      </c>
      <c r="AK222" s="5">
        <f>deaths!AK222-deaths!AJ222</f>
        <v>0</v>
      </c>
      <c r="AL222" s="5">
        <f>deaths!AL222-deaths!AK222</f>
        <v>0</v>
      </c>
      <c r="AM222" s="5">
        <f>deaths!AM222-deaths!AL222</f>
        <v>0</v>
      </c>
      <c r="AN222" s="5">
        <f>deaths!AN222-deaths!AM222</f>
        <v>0</v>
      </c>
      <c r="AO222" s="5">
        <f>deaths!AO222-deaths!AN222</f>
        <v>0</v>
      </c>
      <c r="AP222" s="5">
        <f>deaths!AP222-deaths!AO222</f>
        <v>0</v>
      </c>
      <c r="AQ222" s="5">
        <f>deaths!AQ222-deaths!AP222</f>
        <v>0</v>
      </c>
      <c r="AR222" s="5">
        <f>deaths!AR222-deaths!AQ222</f>
        <v>0</v>
      </c>
      <c r="AS222" s="5">
        <f>deaths!AS222-deaths!AR222</f>
        <v>0</v>
      </c>
      <c r="AT222" s="5">
        <f>deaths!AT222-deaths!AS222</f>
        <v>0</v>
      </c>
      <c r="AU222" s="5">
        <f>deaths!AU222-deaths!AT222</f>
        <v>0</v>
      </c>
      <c r="AV222" s="5">
        <f>deaths!AV222-deaths!AU222</f>
        <v>0</v>
      </c>
      <c r="AW222" s="5">
        <f>deaths!AW222-deaths!AV222</f>
        <v>0</v>
      </c>
      <c r="AX222" s="5">
        <f>deaths!AX222-deaths!AW222</f>
        <v>0</v>
      </c>
      <c r="AY222" s="5">
        <f>deaths!AY222-deaths!AX222</f>
        <v>0</v>
      </c>
      <c r="AZ222" s="5">
        <f>deaths!AZ222-deaths!AY222</f>
        <v>0</v>
      </c>
      <c r="BA222" s="5">
        <f>deaths!BA222-deaths!AZ222</f>
        <v>0</v>
      </c>
      <c r="BB222" s="5">
        <f>deaths!BB222-deaths!BA222</f>
        <v>0</v>
      </c>
      <c r="BC222" s="5">
        <f>deaths!BC222-deaths!BB222</f>
        <v>0</v>
      </c>
      <c r="BD222" s="5">
        <f>deaths!BD222-deaths!BC222</f>
        <v>0</v>
      </c>
      <c r="BE222" s="5">
        <f>deaths!BE222-deaths!BD222</f>
        <v>0</v>
      </c>
      <c r="BF222" s="5">
        <f>deaths!BF222-deaths!BE222</f>
        <v>0</v>
      </c>
      <c r="BG222" s="5">
        <f>deaths!BG222-deaths!BF222</f>
        <v>0</v>
      </c>
      <c r="BH222" s="5">
        <f>deaths!BH222-deaths!BG222</f>
        <v>0</v>
      </c>
      <c r="BI222" s="5">
        <f>deaths!BI222-deaths!BH222</f>
        <v>0</v>
      </c>
      <c r="BJ222" s="5">
        <f>deaths!BJ222-deaths!BI222</f>
        <v>0</v>
      </c>
      <c r="BK222" s="5">
        <f>deaths!BK222-deaths!BJ222</f>
        <v>0</v>
      </c>
      <c r="BL222" s="5">
        <f>deaths!BL222-deaths!BK222</f>
        <v>0</v>
      </c>
      <c r="BM222" s="5">
        <f>deaths!BM222-deaths!BL222</f>
        <v>0</v>
      </c>
      <c r="BN222" s="5">
        <f>deaths!BN222-deaths!BM222</f>
        <v>0</v>
      </c>
      <c r="BO222" s="5">
        <f>deaths!BO222-deaths!BN222</f>
        <v>0</v>
      </c>
      <c r="BP222" s="5">
        <f>deaths!BP222-deaths!BO222</f>
        <v>0</v>
      </c>
      <c r="BQ222" s="5">
        <f>deaths!BQ222-deaths!BP222</f>
        <v>0</v>
      </c>
      <c r="BR222" s="5">
        <f>deaths!BR222-deaths!BQ222</f>
        <v>0</v>
      </c>
      <c r="BS222" s="5">
        <f>deaths!BS222-deaths!BR222</f>
        <v>0</v>
      </c>
      <c r="BT222" s="5">
        <f>deaths!BT222-deaths!BS222</f>
        <v>0</v>
      </c>
      <c r="BU222" s="5">
        <f>deaths!BU222-deaths!BT222</f>
        <v>0</v>
      </c>
      <c r="BV222" s="5">
        <f>deaths!BV222-deaths!BU222</f>
        <v>0</v>
      </c>
      <c r="BW222" s="5">
        <f>deaths!BW222-deaths!BV222</f>
        <v>0</v>
      </c>
      <c r="BX222" s="5">
        <f>deaths!BX222-deaths!BW222</f>
        <v>0</v>
      </c>
      <c r="BY222" s="5">
        <f>deaths!BY222-deaths!BX222</f>
        <v>0</v>
      </c>
      <c r="BZ222" s="1">
        <f>deaths!BZ222</f>
        <v>0</v>
      </c>
      <c r="CA222" s="1">
        <f>deaths!CA222</f>
        <v>0</v>
      </c>
      <c r="CB222" s="1">
        <f>deaths!CB222</f>
        <v>0</v>
      </c>
      <c r="CC222" s="1" t="str">
        <f>deaths!CC222</f>
        <v/>
      </c>
    </row>
    <row r="223">
      <c r="B223" s="1" t="str">
        <f>deaths!B223</f>
        <v>United Kingdom</v>
      </c>
      <c r="C223" s="4">
        <f>deaths!C223</f>
        <v>54.2361</v>
      </c>
      <c r="D223" s="4">
        <f>deaths!D223</f>
        <v>-4.5481</v>
      </c>
      <c r="E223" s="5">
        <f>deaths!E223</f>
        <v>0</v>
      </c>
      <c r="F223" s="5">
        <f>deaths!F223-deaths!E223</f>
        <v>0</v>
      </c>
      <c r="G223" s="5">
        <f>deaths!G223-deaths!F223</f>
        <v>0</v>
      </c>
      <c r="H223" s="5">
        <f>deaths!H223-deaths!G223</f>
        <v>0</v>
      </c>
      <c r="I223" s="5">
        <f>deaths!I223-deaths!H223</f>
        <v>0</v>
      </c>
      <c r="J223" s="5">
        <f>deaths!J223-deaths!I223</f>
        <v>0</v>
      </c>
      <c r="K223" s="5">
        <f>deaths!K223-deaths!J223</f>
        <v>0</v>
      </c>
      <c r="L223" s="5">
        <f>deaths!L223-deaths!K223</f>
        <v>0</v>
      </c>
      <c r="M223" s="5">
        <f>deaths!M223-deaths!L223</f>
        <v>0</v>
      </c>
      <c r="N223" s="5">
        <f>deaths!N223-deaths!M223</f>
        <v>0</v>
      </c>
      <c r="O223" s="5">
        <f>deaths!O223-deaths!N223</f>
        <v>0</v>
      </c>
      <c r="P223" s="5">
        <f>deaths!P223-deaths!O223</f>
        <v>0</v>
      </c>
      <c r="Q223" s="5">
        <f>deaths!Q223-deaths!P223</f>
        <v>0</v>
      </c>
      <c r="R223" s="5">
        <f>deaths!R223-deaths!Q223</f>
        <v>0</v>
      </c>
      <c r="S223" s="5">
        <f>deaths!S223-deaths!R223</f>
        <v>0</v>
      </c>
      <c r="T223" s="5">
        <f>deaths!T223-deaths!S223</f>
        <v>0</v>
      </c>
      <c r="U223" s="5">
        <f>deaths!U223-deaths!T223</f>
        <v>0</v>
      </c>
      <c r="V223" s="5">
        <f>deaths!V223-deaths!U223</f>
        <v>0</v>
      </c>
      <c r="W223" s="5">
        <f>deaths!W223-deaths!V223</f>
        <v>0</v>
      </c>
      <c r="X223" s="5">
        <f>deaths!X223-deaths!W223</f>
        <v>0</v>
      </c>
      <c r="Y223" s="5">
        <f>deaths!Y223-deaths!X223</f>
        <v>0</v>
      </c>
      <c r="Z223" s="5">
        <f>deaths!Z223-deaths!Y223</f>
        <v>0</v>
      </c>
      <c r="AA223" s="5">
        <f>deaths!AA223-deaths!Z223</f>
        <v>0</v>
      </c>
      <c r="AB223" s="5">
        <f>deaths!AB223-deaths!AA223</f>
        <v>0</v>
      </c>
      <c r="AC223" s="5">
        <f>deaths!AC223-deaths!AB223</f>
        <v>0</v>
      </c>
      <c r="AD223" s="5">
        <f>deaths!AD223-deaths!AC223</f>
        <v>0</v>
      </c>
      <c r="AE223" s="5">
        <f>deaths!AE223-deaths!AD223</f>
        <v>0</v>
      </c>
      <c r="AF223" s="5">
        <f>deaths!AF223-deaths!AE223</f>
        <v>0</v>
      </c>
      <c r="AG223" s="5">
        <f>deaths!AG223-deaths!AF223</f>
        <v>0</v>
      </c>
      <c r="AH223" s="5">
        <f>deaths!AH223-deaths!AG223</f>
        <v>0</v>
      </c>
      <c r="AI223" s="5">
        <f>deaths!AI223-deaths!AH223</f>
        <v>0</v>
      </c>
      <c r="AJ223" s="5">
        <f>deaths!AJ223-deaths!AI223</f>
        <v>0</v>
      </c>
      <c r="AK223" s="5">
        <f>deaths!AK223-deaths!AJ223</f>
        <v>0</v>
      </c>
      <c r="AL223" s="5">
        <f>deaths!AL223-deaths!AK223</f>
        <v>0</v>
      </c>
      <c r="AM223" s="5">
        <f>deaths!AM223-deaths!AL223</f>
        <v>0</v>
      </c>
      <c r="AN223" s="5">
        <f>deaths!AN223-deaths!AM223</f>
        <v>0</v>
      </c>
      <c r="AO223" s="5">
        <f>deaths!AO223-deaths!AN223</f>
        <v>0</v>
      </c>
      <c r="AP223" s="5">
        <f>deaths!AP223-deaths!AO223</f>
        <v>0</v>
      </c>
      <c r="AQ223" s="5">
        <f>deaths!AQ223-deaths!AP223</f>
        <v>0</v>
      </c>
      <c r="AR223" s="5">
        <f>deaths!AR223-deaths!AQ223</f>
        <v>0</v>
      </c>
      <c r="AS223" s="5">
        <f>deaths!AS223-deaths!AR223</f>
        <v>0</v>
      </c>
      <c r="AT223" s="5">
        <f>deaths!AT223-deaths!AS223</f>
        <v>0</v>
      </c>
      <c r="AU223" s="5">
        <f>deaths!AU223-deaths!AT223</f>
        <v>0</v>
      </c>
      <c r="AV223" s="5">
        <f>deaths!AV223-deaths!AU223</f>
        <v>0</v>
      </c>
      <c r="AW223" s="5">
        <f>deaths!AW223-deaths!AV223</f>
        <v>0</v>
      </c>
      <c r="AX223" s="5">
        <f>deaths!AX223-deaths!AW223</f>
        <v>0</v>
      </c>
      <c r="AY223" s="5">
        <f>deaths!AY223-deaths!AX223</f>
        <v>0</v>
      </c>
      <c r="AZ223" s="5">
        <f>deaths!AZ223-deaths!AY223</f>
        <v>0</v>
      </c>
      <c r="BA223" s="5">
        <f>deaths!BA223-deaths!AZ223</f>
        <v>0</v>
      </c>
      <c r="BB223" s="5">
        <f>deaths!BB223-deaths!BA223</f>
        <v>0</v>
      </c>
      <c r="BC223" s="5">
        <f>deaths!BC223-deaths!BB223</f>
        <v>0</v>
      </c>
      <c r="BD223" s="5">
        <f>deaths!BD223-deaths!BC223</f>
        <v>0</v>
      </c>
      <c r="BE223" s="5">
        <f>deaths!BE223-deaths!BD223</f>
        <v>0</v>
      </c>
      <c r="BF223" s="5">
        <f>deaths!BF223-deaths!BE223</f>
        <v>0</v>
      </c>
      <c r="BG223" s="5">
        <f>deaths!BG223-deaths!BF223</f>
        <v>0</v>
      </c>
      <c r="BH223" s="5">
        <f>deaths!BH223-deaths!BG223</f>
        <v>0</v>
      </c>
      <c r="BI223" s="5">
        <f>deaths!BI223-deaths!BH223</f>
        <v>0</v>
      </c>
      <c r="BJ223" s="5">
        <f>deaths!BJ223-deaths!BI223</f>
        <v>0</v>
      </c>
      <c r="BK223" s="5">
        <f>deaths!BK223-deaths!BJ223</f>
        <v>0</v>
      </c>
      <c r="BL223" s="5">
        <f>deaths!BL223-deaths!BK223</f>
        <v>0</v>
      </c>
      <c r="BM223" s="5">
        <f>deaths!BM223-deaths!BL223</f>
        <v>0</v>
      </c>
      <c r="BN223" s="5">
        <f>deaths!BN223-deaths!BM223</f>
        <v>0</v>
      </c>
      <c r="BO223" s="5">
        <f>deaths!BO223-deaths!BN223</f>
        <v>0</v>
      </c>
      <c r="BP223" s="5">
        <f>deaths!BP223-deaths!BO223</f>
        <v>0</v>
      </c>
      <c r="BQ223" s="5">
        <f>deaths!BQ223-deaths!BP223</f>
        <v>0</v>
      </c>
      <c r="BR223" s="5">
        <f>deaths!BR223-deaths!BQ223</f>
        <v>0</v>
      </c>
      <c r="BS223" s="5">
        <f>deaths!BS223-deaths!BR223</f>
        <v>0</v>
      </c>
      <c r="BT223" s="5">
        <f>deaths!BT223-deaths!BS223</f>
        <v>0</v>
      </c>
      <c r="BU223" s="5">
        <f>deaths!BU223-deaths!BT223</f>
        <v>0</v>
      </c>
      <c r="BV223" s="5">
        <f>deaths!BV223-deaths!BU223</f>
        <v>0</v>
      </c>
      <c r="BW223" s="5">
        <f>deaths!BW223-deaths!BV223</f>
        <v>1</v>
      </c>
      <c r="BX223" s="5">
        <f>deaths!BX223-deaths!BW223</f>
        <v>0</v>
      </c>
      <c r="BY223" s="5">
        <f>deaths!BY223-deaths!BX223</f>
        <v>0</v>
      </c>
      <c r="BZ223" s="1">
        <f>deaths!BZ223</f>
        <v>1</v>
      </c>
      <c r="CA223" s="1">
        <f>deaths!CA223</f>
        <v>1</v>
      </c>
      <c r="CB223" s="1">
        <f>deaths!CB223</f>
        <v>1</v>
      </c>
      <c r="CC223" s="1" t="str">
        <f>deaths!CC223</f>
        <v/>
      </c>
    </row>
    <row r="224">
      <c r="B224" s="1" t="str">
        <f>deaths!B224</f>
        <v>United Kingdom</v>
      </c>
      <c r="C224" s="4">
        <f>deaths!C224</f>
        <v>16.7425</v>
      </c>
      <c r="D224" s="4">
        <f>deaths!D224</f>
        <v>-62.1874</v>
      </c>
      <c r="E224" s="5">
        <f>deaths!E224</f>
        <v>0</v>
      </c>
      <c r="F224" s="5">
        <f>deaths!F224-deaths!E224</f>
        <v>0</v>
      </c>
      <c r="G224" s="5">
        <f>deaths!G224-deaths!F224</f>
        <v>0</v>
      </c>
      <c r="H224" s="5">
        <f>deaths!H224-deaths!G224</f>
        <v>0</v>
      </c>
      <c r="I224" s="5">
        <f>deaths!I224-deaths!H224</f>
        <v>0</v>
      </c>
      <c r="J224" s="5">
        <f>deaths!J224-deaths!I224</f>
        <v>0</v>
      </c>
      <c r="K224" s="5">
        <f>deaths!K224-deaths!J224</f>
        <v>0</v>
      </c>
      <c r="L224" s="5">
        <f>deaths!L224-deaths!K224</f>
        <v>0</v>
      </c>
      <c r="M224" s="5">
        <f>deaths!M224-deaths!L224</f>
        <v>0</v>
      </c>
      <c r="N224" s="5">
        <f>deaths!N224-deaths!M224</f>
        <v>0</v>
      </c>
      <c r="O224" s="5">
        <f>deaths!O224-deaths!N224</f>
        <v>0</v>
      </c>
      <c r="P224" s="5">
        <f>deaths!P224-deaths!O224</f>
        <v>0</v>
      </c>
      <c r="Q224" s="5">
        <f>deaths!Q224-deaths!P224</f>
        <v>0</v>
      </c>
      <c r="R224" s="5">
        <f>deaths!R224-deaths!Q224</f>
        <v>0</v>
      </c>
      <c r="S224" s="5">
        <f>deaths!S224-deaths!R224</f>
        <v>0</v>
      </c>
      <c r="T224" s="5">
        <f>deaths!T224-deaths!S224</f>
        <v>0</v>
      </c>
      <c r="U224" s="5">
        <f>deaths!U224-deaths!T224</f>
        <v>0</v>
      </c>
      <c r="V224" s="5">
        <f>deaths!V224-deaths!U224</f>
        <v>0</v>
      </c>
      <c r="W224" s="5">
        <f>deaths!W224-deaths!V224</f>
        <v>0</v>
      </c>
      <c r="X224" s="5">
        <f>deaths!X224-deaths!W224</f>
        <v>0</v>
      </c>
      <c r="Y224" s="5">
        <f>deaths!Y224-deaths!X224</f>
        <v>0</v>
      </c>
      <c r="Z224" s="5">
        <f>deaths!Z224-deaths!Y224</f>
        <v>0</v>
      </c>
      <c r="AA224" s="5">
        <f>deaths!AA224-deaths!Z224</f>
        <v>0</v>
      </c>
      <c r="AB224" s="5">
        <f>deaths!AB224-deaths!AA224</f>
        <v>0</v>
      </c>
      <c r="AC224" s="5">
        <f>deaths!AC224-deaths!AB224</f>
        <v>0</v>
      </c>
      <c r="AD224" s="5">
        <f>deaths!AD224-deaths!AC224</f>
        <v>0</v>
      </c>
      <c r="AE224" s="5">
        <f>deaths!AE224-deaths!AD224</f>
        <v>0</v>
      </c>
      <c r="AF224" s="5">
        <f>deaths!AF224-deaths!AE224</f>
        <v>0</v>
      </c>
      <c r="AG224" s="5">
        <f>deaths!AG224-deaths!AF224</f>
        <v>0</v>
      </c>
      <c r="AH224" s="5">
        <f>deaths!AH224-deaths!AG224</f>
        <v>0</v>
      </c>
      <c r="AI224" s="5">
        <f>deaths!AI224-deaths!AH224</f>
        <v>0</v>
      </c>
      <c r="AJ224" s="5">
        <f>deaths!AJ224-deaths!AI224</f>
        <v>0</v>
      </c>
      <c r="AK224" s="5">
        <f>deaths!AK224-deaths!AJ224</f>
        <v>0</v>
      </c>
      <c r="AL224" s="5">
        <f>deaths!AL224-deaths!AK224</f>
        <v>0</v>
      </c>
      <c r="AM224" s="5">
        <f>deaths!AM224-deaths!AL224</f>
        <v>0</v>
      </c>
      <c r="AN224" s="5">
        <f>deaths!AN224-deaths!AM224</f>
        <v>0</v>
      </c>
      <c r="AO224" s="5">
        <f>deaths!AO224-deaths!AN224</f>
        <v>0</v>
      </c>
      <c r="AP224" s="5">
        <f>deaths!AP224-deaths!AO224</f>
        <v>0</v>
      </c>
      <c r="AQ224" s="5">
        <f>deaths!AQ224-deaths!AP224</f>
        <v>0</v>
      </c>
      <c r="AR224" s="5">
        <f>deaths!AR224-deaths!AQ224</f>
        <v>0</v>
      </c>
      <c r="AS224" s="5">
        <f>deaths!AS224-deaths!AR224</f>
        <v>0</v>
      </c>
      <c r="AT224" s="5">
        <f>deaths!AT224-deaths!AS224</f>
        <v>0</v>
      </c>
      <c r="AU224" s="5">
        <f>deaths!AU224-deaths!AT224</f>
        <v>0</v>
      </c>
      <c r="AV224" s="5">
        <f>deaths!AV224-deaths!AU224</f>
        <v>0</v>
      </c>
      <c r="AW224" s="5">
        <f>deaths!AW224-deaths!AV224</f>
        <v>0</v>
      </c>
      <c r="AX224" s="5">
        <f>deaths!AX224-deaths!AW224</f>
        <v>0</v>
      </c>
      <c r="AY224" s="5">
        <f>deaths!AY224-deaths!AX224</f>
        <v>0</v>
      </c>
      <c r="AZ224" s="5">
        <f>deaths!AZ224-deaths!AY224</f>
        <v>0</v>
      </c>
      <c r="BA224" s="5">
        <f>deaths!BA224-deaths!AZ224</f>
        <v>0</v>
      </c>
      <c r="BB224" s="5">
        <f>deaths!BB224-deaths!BA224</f>
        <v>0</v>
      </c>
      <c r="BC224" s="5">
        <f>deaths!BC224-deaths!BB224</f>
        <v>0</v>
      </c>
      <c r="BD224" s="5">
        <f>deaths!BD224-deaths!BC224</f>
        <v>0</v>
      </c>
      <c r="BE224" s="5">
        <f>deaths!BE224-deaths!BD224</f>
        <v>0</v>
      </c>
      <c r="BF224" s="5">
        <f>deaths!BF224-deaths!BE224</f>
        <v>0</v>
      </c>
      <c r="BG224" s="5">
        <f>deaths!BG224-deaths!BF224</f>
        <v>0</v>
      </c>
      <c r="BH224" s="5">
        <f>deaths!BH224-deaths!BG224</f>
        <v>0</v>
      </c>
      <c r="BI224" s="5">
        <f>deaths!BI224-deaths!BH224</f>
        <v>0</v>
      </c>
      <c r="BJ224" s="5">
        <f>deaths!BJ224-deaths!BI224</f>
        <v>0</v>
      </c>
      <c r="BK224" s="5">
        <f>deaths!BK224-deaths!BJ224</f>
        <v>0</v>
      </c>
      <c r="BL224" s="5">
        <f>deaths!BL224-deaths!BK224</f>
        <v>0</v>
      </c>
      <c r="BM224" s="5">
        <f>deaths!BM224-deaths!BL224</f>
        <v>0</v>
      </c>
      <c r="BN224" s="5">
        <f>deaths!BN224-deaths!BM224</f>
        <v>0</v>
      </c>
      <c r="BO224" s="5">
        <f>deaths!BO224-deaths!BN224</f>
        <v>0</v>
      </c>
      <c r="BP224" s="5">
        <f>deaths!BP224-deaths!BO224</f>
        <v>0</v>
      </c>
      <c r="BQ224" s="5">
        <f>deaths!BQ224-deaths!BP224</f>
        <v>0</v>
      </c>
      <c r="BR224" s="5">
        <f>deaths!BR224-deaths!BQ224</f>
        <v>0</v>
      </c>
      <c r="BS224" s="5">
        <f>deaths!BS224-deaths!BR224</f>
        <v>0</v>
      </c>
      <c r="BT224" s="5">
        <f>deaths!BT224-deaths!BS224</f>
        <v>0</v>
      </c>
      <c r="BU224" s="5">
        <f>deaths!BU224-deaths!BT224</f>
        <v>0</v>
      </c>
      <c r="BV224" s="5">
        <f>deaths!BV224-deaths!BU224</f>
        <v>0</v>
      </c>
      <c r="BW224" s="5">
        <f>deaths!BW224-deaths!BV224</f>
        <v>0</v>
      </c>
      <c r="BX224" s="5">
        <f>deaths!BX224-deaths!BW224</f>
        <v>0</v>
      </c>
      <c r="BY224" s="5">
        <f>deaths!BY224-deaths!BX224</f>
        <v>0</v>
      </c>
      <c r="BZ224" s="1">
        <f>deaths!BZ224</f>
        <v>0</v>
      </c>
      <c r="CA224" s="1">
        <f>deaths!CA224</f>
        <v>0</v>
      </c>
      <c r="CB224" s="1">
        <f>deaths!CB224</f>
        <v>0</v>
      </c>
      <c r="CC224" s="1" t="str">
        <f>deaths!CC224</f>
        <v/>
      </c>
    </row>
    <row r="225">
      <c r="B225" s="1" t="str">
        <f>deaths!B225</f>
        <v>United Kingdom</v>
      </c>
      <c r="C225" s="4">
        <f>deaths!C225</f>
        <v>55.3781</v>
      </c>
      <c r="D225" s="4">
        <f>deaths!D225</f>
        <v>-3.436</v>
      </c>
      <c r="E225" s="5">
        <f>deaths!E225</f>
        <v>0</v>
      </c>
      <c r="F225" s="5">
        <f>deaths!F225-deaths!E225</f>
        <v>0</v>
      </c>
      <c r="G225" s="5">
        <f>deaths!G225-deaths!F225</f>
        <v>0</v>
      </c>
      <c r="H225" s="5">
        <f>deaths!H225-deaths!G225</f>
        <v>0</v>
      </c>
      <c r="I225" s="5">
        <f>deaths!I225-deaths!H225</f>
        <v>0</v>
      </c>
      <c r="J225" s="5">
        <f>deaths!J225-deaths!I225</f>
        <v>0</v>
      </c>
      <c r="K225" s="5">
        <f>deaths!K225-deaths!J225</f>
        <v>0</v>
      </c>
      <c r="L225" s="5">
        <f>deaths!L225-deaths!K225</f>
        <v>0</v>
      </c>
      <c r="M225" s="5">
        <f>deaths!M225-deaths!L225</f>
        <v>0</v>
      </c>
      <c r="N225" s="5">
        <f>deaths!N225-deaths!M225</f>
        <v>0</v>
      </c>
      <c r="O225" s="5">
        <f>deaths!O225-deaths!N225</f>
        <v>0</v>
      </c>
      <c r="P225" s="5">
        <f>deaths!P225-deaths!O225</f>
        <v>0</v>
      </c>
      <c r="Q225" s="5">
        <f>deaths!Q225-deaths!P225</f>
        <v>0</v>
      </c>
      <c r="R225" s="5">
        <f>deaths!R225-deaths!Q225</f>
        <v>0</v>
      </c>
      <c r="S225" s="5">
        <f>deaths!S225-deaths!R225</f>
        <v>0</v>
      </c>
      <c r="T225" s="5">
        <f>deaths!T225-deaths!S225</f>
        <v>0</v>
      </c>
      <c r="U225" s="5">
        <f>deaths!U225-deaths!T225</f>
        <v>0</v>
      </c>
      <c r="V225" s="5">
        <f>deaths!V225-deaths!U225</f>
        <v>0</v>
      </c>
      <c r="W225" s="5">
        <f>deaths!W225-deaths!V225</f>
        <v>0</v>
      </c>
      <c r="X225" s="5">
        <f>deaths!X225-deaths!W225</f>
        <v>0</v>
      </c>
      <c r="Y225" s="5">
        <f>deaths!Y225-deaths!X225</f>
        <v>0</v>
      </c>
      <c r="Z225" s="5">
        <f>deaths!Z225-deaths!Y225</f>
        <v>0</v>
      </c>
      <c r="AA225" s="5">
        <f>deaths!AA225-deaths!Z225</f>
        <v>0</v>
      </c>
      <c r="AB225" s="5">
        <f>deaths!AB225-deaths!AA225</f>
        <v>0</v>
      </c>
      <c r="AC225" s="5">
        <f>deaths!AC225-deaths!AB225</f>
        <v>0</v>
      </c>
      <c r="AD225" s="5">
        <f>deaths!AD225-deaths!AC225</f>
        <v>0</v>
      </c>
      <c r="AE225" s="5">
        <f>deaths!AE225-deaths!AD225</f>
        <v>0</v>
      </c>
      <c r="AF225" s="5">
        <f>deaths!AF225-deaths!AE225</f>
        <v>0</v>
      </c>
      <c r="AG225" s="5">
        <f>deaths!AG225-deaths!AF225</f>
        <v>0</v>
      </c>
      <c r="AH225" s="5">
        <f>deaths!AH225-deaths!AG225</f>
        <v>0</v>
      </c>
      <c r="AI225" s="5">
        <f>deaths!AI225-deaths!AH225</f>
        <v>0</v>
      </c>
      <c r="AJ225" s="5">
        <f>deaths!AJ225-deaths!AI225</f>
        <v>0</v>
      </c>
      <c r="AK225" s="5">
        <f>deaths!AK225-deaths!AJ225</f>
        <v>0</v>
      </c>
      <c r="AL225" s="5">
        <f>deaths!AL225-deaths!AK225</f>
        <v>0</v>
      </c>
      <c r="AM225" s="5">
        <f>deaths!AM225-deaths!AL225</f>
        <v>0</v>
      </c>
      <c r="AN225" s="5">
        <f>deaths!AN225-deaths!AM225</f>
        <v>0</v>
      </c>
      <c r="AO225" s="5">
        <f>deaths!AO225-deaths!AN225</f>
        <v>0</v>
      </c>
      <c r="AP225" s="5">
        <f>deaths!AP225-deaths!AO225</f>
        <v>0</v>
      </c>
      <c r="AQ225" s="5">
        <f>deaths!AQ225-deaths!AP225</f>
        <v>0</v>
      </c>
      <c r="AR225" s="5">
        <f>deaths!AR225-deaths!AQ225</f>
        <v>0</v>
      </c>
      <c r="AS225" s="5">
        <f>deaths!AS225-deaths!AR225</f>
        <v>0</v>
      </c>
      <c r="AT225" s="5">
        <f>deaths!AT225-deaths!AS225</f>
        <v>0</v>
      </c>
      <c r="AU225" s="5">
        <f>deaths!AU225-deaths!AT225</f>
        <v>0</v>
      </c>
      <c r="AV225" s="5">
        <f>deaths!AV225-deaths!AU225</f>
        <v>1</v>
      </c>
      <c r="AW225" s="5">
        <f>deaths!AW225-deaths!AV225</f>
        <v>1</v>
      </c>
      <c r="AX225" s="5">
        <f>deaths!AX225-deaths!AW225</f>
        <v>0</v>
      </c>
      <c r="AY225" s="5">
        <f>deaths!AY225-deaths!AX225</f>
        <v>1</v>
      </c>
      <c r="AZ225" s="5">
        <f>deaths!AZ225-deaths!AY225</f>
        <v>1</v>
      </c>
      <c r="BA225" s="5">
        <f>deaths!BA225-deaths!AZ225</f>
        <v>2</v>
      </c>
      <c r="BB225" s="5">
        <f>deaths!BB225-deaths!BA225</f>
        <v>2</v>
      </c>
      <c r="BC225" s="5">
        <f>deaths!BC225-deaths!BB225</f>
        <v>0</v>
      </c>
      <c r="BD225" s="5">
        <f>deaths!BD225-deaths!BC225</f>
        <v>0</v>
      </c>
      <c r="BE225" s="5">
        <f>deaths!BE225-deaths!BD225</f>
        <v>13</v>
      </c>
      <c r="BF225" s="5">
        <f>deaths!BF225-deaths!BE225</f>
        <v>0</v>
      </c>
      <c r="BG225" s="5">
        <f>deaths!BG225-deaths!BF225</f>
        <v>34</v>
      </c>
      <c r="BH225" s="5">
        <f>deaths!BH225-deaths!BG225</f>
        <v>0</v>
      </c>
      <c r="BI225" s="5">
        <f>deaths!BI225-deaths!BH225</f>
        <v>16</v>
      </c>
      <c r="BJ225" s="5">
        <f>deaths!BJ225-deaths!BI225</f>
        <v>66</v>
      </c>
      <c r="BK225" s="5">
        <f>deaths!BK225-deaths!BJ225</f>
        <v>40</v>
      </c>
      <c r="BL225" s="5">
        <f>deaths!BL225-deaths!BK225</f>
        <v>56</v>
      </c>
      <c r="BM225" s="5">
        <f>deaths!BM225-deaths!BL225</f>
        <v>48</v>
      </c>
      <c r="BN225" s="5">
        <f>deaths!BN225-deaths!BM225</f>
        <v>54</v>
      </c>
      <c r="BO225" s="5">
        <f>deaths!BO225-deaths!BN225</f>
        <v>87</v>
      </c>
      <c r="BP225" s="5">
        <f>deaths!BP225-deaths!BO225</f>
        <v>43</v>
      </c>
      <c r="BQ225" s="5">
        <f>deaths!BQ225-deaths!BP225</f>
        <v>113</v>
      </c>
      <c r="BR225" s="5">
        <f>deaths!BR225-deaths!BQ225</f>
        <v>181</v>
      </c>
      <c r="BS225" s="5">
        <f>deaths!BS225-deaths!BR225</f>
        <v>260</v>
      </c>
      <c r="BT225" s="5">
        <f>deaths!BT225-deaths!BS225</f>
        <v>209</v>
      </c>
      <c r="BU225" s="5">
        <f>deaths!BU225-deaths!BT225</f>
        <v>180</v>
      </c>
      <c r="BV225" s="5">
        <f>deaths!BV225-deaths!BU225</f>
        <v>381</v>
      </c>
      <c r="BW225" s="5">
        <f>deaths!BW225-deaths!BV225</f>
        <v>563</v>
      </c>
      <c r="BX225" s="5">
        <f>deaths!BX225-deaths!BW225</f>
        <v>569</v>
      </c>
      <c r="BY225" s="5">
        <f>deaths!BY225-deaths!BX225</f>
        <v>684</v>
      </c>
      <c r="BZ225" s="1">
        <f>deaths!BZ225</f>
        <v>4313</v>
      </c>
      <c r="CA225" s="1">
        <f>deaths!CA225</f>
        <v>4934</v>
      </c>
      <c r="CB225" s="1">
        <f>deaths!CB225</f>
        <v>5373</v>
      </c>
      <c r="CC225" s="1" t="str">
        <f>deaths!CC225</f>
        <v/>
      </c>
    </row>
    <row r="226">
      <c r="B226" s="1" t="str">
        <f>deaths!B226</f>
        <v>Uruguay</v>
      </c>
      <c r="C226" s="4">
        <f>deaths!C226</f>
        <v>-32.5228</v>
      </c>
      <c r="D226" s="4">
        <f>deaths!D226</f>
        <v>-55.7658</v>
      </c>
      <c r="E226" s="5">
        <f>deaths!E226</f>
        <v>0</v>
      </c>
      <c r="F226" s="5">
        <f>deaths!F226-deaths!E226</f>
        <v>0</v>
      </c>
      <c r="G226" s="5">
        <f>deaths!G226-deaths!F226</f>
        <v>0</v>
      </c>
      <c r="H226" s="5">
        <f>deaths!H226-deaths!G226</f>
        <v>0</v>
      </c>
      <c r="I226" s="5">
        <f>deaths!I226-deaths!H226</f>
        <v>0</v>
      </c>
      <c r="J226" s="5">
        <f>deaths!J226-deaths!I226</f>
        <v>0</v>
      </c>
      <c r="K226" s="5">
        <f>deaths!K226-deaths!J226</f>
        <v>0</v>
      </c>
      <c r="L226" s="5">
        <f>deaths!L226-deaths!K226</f>
        <v>0</v>
      </c>
      <c r="M226" s="5">
        <f>deaths!M226-deaths!L226</f>
        <v>0</v>
      </c>
      <c r="N226" s="5">
        <f>deaths!N226-deaths!M226</f>
        <v>0</v>
      </c>
      <c r="O226" s="5">
        <f>deaths!O226-deaths!N226</f>
        <v>0</v>
      </c>
      <c r="P226" s="5">
        <f>deaths!P226-deaths!O226</f>
        <v>0</v>
      </c>
      <c r="Q226" s="5">
        <f>deaths!Q226-deaths!P226</f>
        <v>0</v>
      </c>
      <c r="R226" s="5">
        <f>deaths!R226-deaths!Q226</f>
        <v>0</v>
      </c>
      <c r="S226" s="5">
        <f>deaths!S226-deaths!R226</f>
        <v>0</v>
      </c>
      <c r="T226" s="5">
        <f>deaths!T226-deaths!S226</f>
        <v>0</v>
      </c>
      <c r="U226" s="5">
        <f>deaths!U226-deaths!T226</f>
        <v>0</v>
      </c>
      <c r="V226" s="5">
        <f>deaths!V226-deaths!U226</f>
        <v>0</v>
      </c>
      <c r="W226" s="5">
        <f>deaths!W226-deaths!V226</f>
        <v>0</v>
      </c>
      <c r="X226" s="5">
        <f>deaths!X226-deaths!W226</f>
        <v>0</v>
      </c>
      <c r="Y226" s="5">
        <f>deaths!Y226-deaths!X226</f>
        <v>0</v>
      </c>
      <c r="Z226" s="5">
        <f>deaths!Z226-deaths!Y226</f>
        <v>0</v>
      </c>
      <c r="AA226" s="5">
        <f>deaths!AA226-deaths!Z226</f>
        <v>0</v>
      </c>
      <c r="AB226" s="5">
        <f>deaths!AB226-deaths!AA226</f>
        <v>0</v>
      </c>
      <c r="AC226" s="5">
        <f>deaths!AC226-deaths!AB226</f>
        <v>0</v>
      </c>
      <c r="AD226" s="5">
        <f>deaths!AD226-deaths!AC226</f>
        <v>0</v>
      </c>
      <c r="AE226" s="5">
        <f>deaths!AE226-deaths!AD226</f>
        <v>0</v>
      </c>
      <c r="AF226" s="5">
        <f>deaths!AF226-deaths!AE226</f>
        <v>0</v>
      </c>
      <c r="AG226" s="5">
        <f>deaths!AG226-deaths!AF226</f>
        <v>0</v>
      </c>
      <c r="AH226" s="5">
        <f>deaths!AH226-deaths!AG226</f>
        <v>0</v>
      </c>
      <c r="AI226" s="5">
        <f>deaths!AI226-deaths!AH226</f>
        <v>0</v>
      </c>
      <c r="AJ226" s="5">
        <f>deaths!AJ226-deaths!AI226</f>
        <v>0</v>
      </c>
      <c r="AK226" s="5">
        <f>deaths!AK226-deaths!AJ226</f>
        <v>0</v>
      </c>
      <c r="AL226" s="5">
        <f>deaths!AL226-deaths!AK226</f>
        <v>0</v>
      </c>
      <c r="AM226" s="5">
        <f>deaths!AM226-deaths!AL226</f>
        <v>0</v>
      </c>
      <c r="AN226" s="5">
        <f>deaths!AN226-deaths!AM226</f>
        <v>0</v>
      </c>
      <c r="AO226" s="5">
        <f>deaths!AO226-deaths!AN226</f>
        <v>0</v>
      </c>
      <c r="AP226" s="5">
        <f>deaths!AP226-deaths!AO226</f>
        <v>0</v>
      </c>
      <c r="AQ226" s="5">
        <f>deaths!AQ226-deaths!AP226</f>
        <v>0</v>
      </c>
      <c r="AR226" s="5">
        <f>deaths!AR226-deaths!AQ226</f>
        <v>0</v>
      </c>
      <c r="AS226" s="5">
        <f>deaths!AS226-deaths!AR226</f>
        <v>0</v>
      </c>
      <c r="AT226" s="5">
        <f>deaths!AT226-deaths!AS226</f>
        <v>0</v>
      </c>
      <c r="AU226" s="5">
        <f>deaths!AU226-deaths!AT226</f>
        <v>0</v>
      </c>
      <c r="AV226" s="5">
        <f>deaths!AV226-deaths!AU226</f>
        <v>0</v>
      </c>
      <c r="AW226" s="5">
        <f>deaths!AW226-deaths!AV226</f>
        <v>0</v>
      </c>
      <c r="AX226" s="5">
        <f>deaths!AX226-deaths!AW226</f>
        <v>0</v>
      </c>
      <c r="AY226" s="5">
        <f>deaths!AY226-deaths!AX226</f>
        <v>0</v>
      </c>
      <c r="AZ226" s="5">
        <f>deaths!AZ226-deaths!AY226</f>
        <v>0</v>
      </c>
      <c r="BA226" s="5">
        <f>deaths!BA226-deaths!AZ226</f>
        <v>0</v>
      </c>
      <c r="BB226" s="5">
        <f>deaths!BB226-deaths!BA226</f>
        <v>0</v>
      </c>
      <c r="BC226" s="5">
        <f>deaths!BC226-deaths!BB226</f>
        <v>0</v>
      </c>
      <c r="BD226" s="5">
        <f>deaths!BD226-deaths!BC226</f>
        <v>0</v>
      </c>
      <c r="BE226" s="5">
        <f>deaths!BE226-deaths!BD226</f>
        <v>0</v>
      </c>
      <c r="BF226" s="5">
        <f>deaths!BF226-deaths!BE226</f>
        <v>0</v>
      </c>
      <c r="BG226" s="5">
        <f>deaths!BG226-deaths!BF226</f>
        <v>0</v>
      </c>
      <c r="BH226" s="5">
        <f>deaths!BH226-deaths!BG226</f>
        <v>0</v>
      </c>
      <c r="BI226" s="5">
        <f>deaths!BI226-deaths!BH226</f>
        <v>0</v>
      </c>
      <c r="BJ226" s="5">
        <f>deaths!BJ226-deaths!BI226</f>
        <v>0</v>
      </c>
      <c r="BK226" s="5">
        <f>deaths!BK226-deaths!BJ226</f>
        <v>0</v>
      </c>
      <c r="BL226" s="5">
        <f>deaths!BL226-deaths!BK226</f>
        <v>0</v>
      </c>
      <c r="BM226" s="5">
        <f>deaths!BM226-deaths!BL226</f>
        <v>0</v>
      </c>
      <c r="BN226" s="5">
        <f>deaths!BN226-deaths!BM226</f>
        <v>0</v>
      </c>
      <c r="BO226" s="5">
        <f>deaths!BO226-deaths!BN226</f>
        <v>0</v>
      </c>
      <c r="BP226" s="5">
        <f>deaths!BP226-deaths!BO226</f>
        <v>0</v>
      </c>
      <c r="BQ226" s="5">
        <f>deaths!BQ226-deaths!BP226</f>
        <v>0</v>
      </c>
      <c r="BR226" s="5">
        <f>deaths!BR226-deaths!BQ226</f>
        <v>0</v>
      </c>
      <c r="BS226" s="5">
        <f>deaths!BS226-deaths!BR226</f>
        <v>0</v>
      </c>
      <c r="BT226" s="5">
        <f>deaths!BT226-deaths!BS226</f>
        <v>1</v>
      </c>
      <c r="BU226" s="5">
        <f>deaths!BU226-deaths!BT226</f>
        <v>0</v>
      </c>
      <c r="BV226" s="5">
        <f>deaths!BV226-deaths!BU226</f>
        <v>0</v>
      </c>
      <c r="BW226" s="5">
        <f>deaths!BW226-deaths!BV226</f>
        <v>1</v>
      </c>
      <c r="BX226" s="5">
        <f>deaths!BX226-deaths!BW226</f>
        <v>2</v>
      </c>
      <c r="BY226" s="5">
        <f>deaths!BY226-deaths!BX226</f>
        <v>0</v>
      </c>
      <c r="BZ226" s="1">
        <f>deaths!BZ226</f>
        <v>5</v>
      </c>
      <c r="CA226" s="1">
        <f>deaths!CA226</f>
        <v>5</v>
      </c>
      <c r="CB226" s="1">
        <f>deaths!CB226</f>
        <v>6</v>
      </c>
      <c r="CC226" s="1" t="str">
        <f>deaths!CC226</f>
        <v/>
      </c>
    </row>
    <row r="227">
      <c r="B227" s="1" t="str">
        <f>deaths!B227</f>
        <v>US</v>
      </c>
      <c r="C227" s="4">
        <f>deaths!C227</f>
        <v>37.0902</v>
      </c>
      <c r="D227" s="4">
        <f>deaths!D227</f>
        <v>-95.7129</v>
      </c>
      <c r="E227" s="5">
        <f>deaths!E227</f>
        <v>0</v>
      </c>
      <c r="F227" s="5">
        <f>deaths!F227-deaths!E227</f>
        <v>0</v>
      </c>
      <c r="G227" s="5">
        <f>deaths!G227-deaths!F227</f>
        <v>0</v>
      </c>
      <c r="H227" s="5">
        <f>deaths!H227-deaths!G227</f>
        <v>0</v>
      </c>
      <c r="I227" s="5">
        <f>deaths!I227-deaths!H227</f>
        <v>0</v>
      </c>
      <c r="J227" s="5">
        <f>deaths!J227-deaths!I227</f>
        <v>0</v>
      </c>
      <c r="K227" s="5">
        <f>deaths!K227-deaths!J227</f>
        <v>0</v>
      </c>
      <c r="L227" s="5">
        <f>deaths!L227-deaths!K227</f>
        <v>0</v>
      </c>
      <c r="M227" s="5">
        <f>deaths!M227-deaths!L227</f>
        <v>0</v>
      </c>
      <c r="N227" s="5">
        <f>deaths!N227-deaths!M227</f>
        <v>0</v>
      </c>
      <c r="O227" s="5">
        <f>deaths!O227-deaths!N227</f>
        <v>0</v>
      </c>
      <c r="P227" s="5">
        <f>deaths!P227-deaths!O227</f>
        <v>0</v>
      </c>
      <c r="Q227" s="5">
        <f>deaths!Q227-deaths!P227</f>
        <v>0</v>
      </c>
      <c r="R227" s="5">
        <f>deaths!R227-deaths!Q227</f>
        <v>0</v>
      </c>
      <c r="S227" s="5">
        <f>deaths!S227-deaths!R227</f>
        <v>0</v>
      </c>
      <c r="T227" s="5">
        <f>deaths!T227-deaths!S227</f>
        <v>0</v>
      </c>
      <c r="U227" s="5">
        <f>deaths!U227-deaths!T227</f>
        <v>0</v>
      </c>
      <c r="V227" s="5">
        <f>deaths!V227-deaths!U227</f>
        <v>0</v>
      </c>
      <c r="W227" s="5">
        <f>deaths!W227-deaths!V227</f>
        <v>0</v>
      </c>
      <c r="X227" s="5">
        <f>deaths!X227-deaths!W227</f>
        <v>0</v>
      </c>
      <c r="Y227" s="5">
        <f>deaths!Y227-deaths!X227</f>
        <v>0</v>
      </c>
      <c r="Z227" s="5">
        <f>deaths!Z227-deaths!Y227</f>
        <v>0</v>
      </c>
      <c r="AA227" s="5">
        <f>deaths!AA227-deaths!Z227</f>
        <v>0</v>
      </c>
      <c r="AB227" s="5">
        <f>deaths!AB227-deaths!AA227</f>
        <v>0</v>
      </c>
      <c r="AC227" s="5">
        <f>deaths!AC227-deaths!AB227</f>
        <v>0</v>
      </c>
      <c r="AD227" s="5">
        <f>deaths!AD227-deaths!AC227</f>
        <v>0</v>
      </c>
      <c r="AE227" s="5">
        <f>deaths!AE227-deaths!AD227</f>
        <v>0</v>
      </c>
      <c r="AF227" s="5">
        <f>deaths!AF227-deaths!AE227</f>
        <v>0</v>
      </c>
      <c r="AG227" s="5">
        <f>deaths!AG227-deaths!AF227</f>
        <v>0</v>
      </c>
      <c r="AH227" s="5">
        <f>deaths!AH227-deaths!AG227</f>
        <v>0</v>
      </c>
      <c r="AI227" s="5">
        <f>deaths!AI227-deaths!AH227</f>
        <v>0</v>
      </c>
      <c r="AJ227" s="5">
        <f>deaths!AJ227-deaths!AI227</f>
        <v>0</v>
      </c>
      <c r="AK227" s="5">
        <f>deaths!AK227-deaths!AJ227</f>
        <v>0</v>
      </c>
      <c r="AL227" s="5">
        <f>deaths!AL227-deaths!AK227</f>
        <v>0</v>
      </c>
      <c r="AM227" s="5">
        <f>deaths!AM227-deaths!AL227</f>
        <v>0</v>
      </c>
      <c r="AN227" s="5">
        <f>deaths!AN227-deaths!AM227</f>
        <v>0</v>
      </c>
      <c r="AO227" s="5">
        <f>deaths!AO227-deaths!AN227</f>
        <v>0</v>
      </c>
      <c r="AP227" s="5">
        <f>deaths!AP227-deaths!AO227</f>
        <v>0</v>
      </c>
      <c r="AQ227" s="5">
        <f>deaths!AQ227-deaths!AP227</f>
        <v>1</v>
      </c>
      <c r="AR227" s="5">
        <f>deaths!AR227-deaths!AQ227</f>
        <v>0</v>
      </c>
      <c r="AS227" s="5">
        <f>deaths!AS227-deaths!AR227</f>
        <v>5</v>
      </c>
      <c r="AT227" s="5">
        <f>deaths!AT227-deaths!AS227</f>
        <v>1</v>
      </c>
      <c r="AU227" s="5">
        <f>deaths!AU227-deaths!AT227</f>
        <v>4</v>
      </c>
      <c r="AV227" s="5">
        <f>deaths!AV227-deaths!AU227</f>
        <v>1</v>
      </c>
      <c r="AW227" s="5">
        <f>deaths!AW227-deaths!AV227</f>
        <v>2</v>
      </c>
      <c r="AX227" s="5">
        <f>deaths!AX227-deaths!AW227</f>
        <v>3</v>
      </c>
      <c r="AY227" s="5">
        <f>deaths!AY227-deaths!AX227</f>
        <v>4</v>
      </c>
      <c r="AZ227" s="5">
        <f>deaths!AZ227-deaths!AY227</f>
        <v>1</v>
      </c>
      <c r="BA227" s="5">
        <f>deaths!BA227-deaths!AZ227</f>
        <v>6</v>
      </c>
      <c r="BB227" s="5">
        <f>deaths!BB227-deaths!BA227</f>
        <v>8</v>
      </c>
      <c r="BC227" s="5">
        <f>deaths!BC227-deaths!BB227</f>
        <v>4</v>
      </c>
      <c r="BD227" s="5">
        <f>deaths!BD227-deaths!BC227</f>
        <v>7</v>
      </c>
      <c r="BE227" s="5">
        <f>deaths!BE227-deaths!BD227</f>
        <v>7</v>
      </c>
      <c r="BF227" s="5">
        <f>deaths!BF227-deaths!BE227</f>
        <v>9</v>
      </c>
      <c r="BG227" s="5">
        <f>deaths!BG227-deaths!BF227</f>
        <v>22</v>
      </c>
      <c r="BH227" s="5">
        <f>deaths!BH227-deaths!BG227</f>
        <v>23</v>
      </c>
      <c r="BI227" s="5">
        <f>deaths!BI227-deaths!BH227</f>
        <v>10</v>
      </c>
      <c r="BJ227" s="5">
        <f>deaths!BJ227-deaths!BI227</f>
        <v>82</v>
      </c>
      <c r="BK227" s="5">
        <f>deaths!BK227-deaths!BJ227</f>
        <v>44</v>
      </c>
      <c r="BL227" s="5">
        <f>deaths!BL227-deaths!BK227</f>
        <v>63</v>
      </c>
      <c r="BM227" s="5">
        <f>deaths!BM227-deaths!BL227</f>
        <v>110</v>
      </c>
      <c r="BN227" s="5">
        <f>deaths!BN227-deaths!BM227</f>
        <v>140</v>
      </c>
      <c r="BO227" s="5">
        <f>deaths!BO227-deaths!BN227</f>
        <v>149</v>
      </c>
      <c r="BP227" s="5">
        <f>deaths!BP227-deaths!BO227</f>
        <v>236</v>
      </c>
      <c r="BQ227" s="5">
        <f>deaths!BQ227-deaths!BP227</f>
        <v>267</v>
      </c>
      <c r="BR227" s="5">
        <f>deaths!BR227-deaths!BQ227</f>
        <v>372</v>
      </c>
      <c r="BS227" s="5">
        <f>deaths!BS227-deaths!BR227</f>
        <v>445</v>
      </c>
      <c r="BT227" s="5">
        <f>deaths!BT227-deaths!BS227</f>
        <v>441</v>
      </c>
      <c r="BU227" s="5">
        <f>deaths!BU227-deaths!BT227</f>
        <v>511</v>
      </c>
      <c r="BV227" s="5">
        <f>deaths!BV227-deaths!BU227</f>
        <v>895</v>
      </c>
      <c r="BW227" s="5">
        <f>deaths!BW227-deaths!BV227</f>
        <v>884</v>
      </c>
      <c r="BX227" s="5">
        <f>deaths!BX227-deaths!BW227</f>
        <v>1169</v>
      </c>
      <c r="BY227" s="5">
        <f>deaths!BY227-deaths!BX227</f>
        <v>1161</v>
      </c>
      <c r="BZ227" s="1">
        <f>deaths!BZ227</f>
        <v>8407</v>
      </c>
      <c r="CA227" s="1">
        <f>deaths!CA227</f>
        <v>9619</v>
      </c>
      <c r="CB227" s="1">
        <f>deaths!CB227</f>
        <v>10783</v>
      </c>
      <c r="CC227" s="1" t="str">
        <f>deaths!CC227</f>
        <v/>
      </c>
    </row>
    <row r="228">
      <c r="B228" s="1" t="str">
        <f>deaths!B228</f>
        <v>Uzbekistan</v>
      </c>
      <c r="C228" s="4">
        <f>deaths!C228</f>
        <v>41.3775</v>
      </c>
      <c r="D228" s="4">
        <f>deaths!D228</f>
        <v>64.5853</v>
      </c>
      <c r="E228" s="5">
        <f>deaths!E228</f>
        <v>0</v>
      </c>
      <c r="F228" s="5">
        <f>deaths!F228-deaths!E228</f>
        <v>0</v>
      </c>
      <c r="G228" s="5">
        <f>deaths!G228-deaths!F228</f>
        <v>0</v>
      </c>
      <c r="H228" s="5">
        <f>deaths!H228-deaths!G228</f>
        <v>0</v>
      </c>
      <c r="I228" s="5">
        <f>deaths!I228-deaths!H228</f>
        <v>0</v>
      </c>
      <c r="J228" s="5">
        <f>deaths!J228-deaths!I228</f>
        <v>0</v>
      </c>
      <c r="K228" s="5">
        <f>deaths!K228-deaths!J228</f>
        <v>0</v>
      </c>
      <c r="L228" s="5">
        <f>deaths!L228-deaths!K228</f>
        <v>0</v>
      </c>
      <c r="M228" s="5">
        <f>deaths!M228-deaths!L228</f>
        <v>0</v>
      </c>
      <c r="N228" s="5">
        <f>deaths!N228-deaths!M228</f>
        <v>0</v>
      </c>
      <c r="O228" s="5">
        <f>deaths!O228-deaths!N228</f>
        <v>0</v>
      </c>
      <c r="P228" s="5">
        <f>deaths!P228-deaths!O228</f>
        <v>0</v>
      </c>
      <c r="Q228" s="5">
        <f>deaths!Q228-deaths!P228</f>
        <v>0</v>
      </c>
      <c r="R228" s="5">
        <f>deaths!R228-deaths!Q228</f>
        <v>0</v>
      </c>
      <c r="S228" s="5">
        <f>deaths!S228-deaths!R228</f>
        <v>0</v>
      </c>
      <c r="T228" s="5">
        <f>deaths!T228-deaths!S228</f>
        <v>0</v>
      </c>
      <c r="U228" s="5">
        <f>deaths!U228-deaths!T228</f>
        <v>0</v>
      </c>
      <c r="V228" s="5">
        <f>deaths!V228-deaths!U228</f>
        <v>0</v>
      </c>
      <c r="W228" s="5">
        <f>deaths!W228-deaths!V228</f>
        <v>0</v>
      </c>
      <c r="X228" s="5">
        <f>deaths!X228-deaths!W228</f>
        <v>0</v>
      </c>
      <c r="Y228" s="5">
        <f>deaths!Y228-deaths!X228</f>
        <v>0</v>
      </c>
      <c r="Z228" s="5">
        <f>deaths!Z228-deaths!Y228</f>
        <v>0</v>
      </c>
      <c r="AA228" s="5">
        <f>deaths!AA228-deaths!Z228</f>
        <v>0</v>
      </c>
      <c r="AB228" s="5">
        <f>deaths!AB228-deaths!AA228</f>
        <v>0</v>
      </c>
      <c r="AC228" s="5">
        <f>deaths!AC228-deaths!AB228</f>
        <v>0</v>
      </c>
      <c r="AD228" s="5">
        <f>deaths!AD228-deaths!AC228</f>
        <v>0</v>
      </c>
      <c r="AE228" s="5">
        <f>deaths!AE228-deaths!AD228</f>
        <v>0</v>
      </c>
      <c r="AF228" s="5">
        <f>deaths!AF228-deaths!AE228</f>
        <v>0</v>
      </c>
      <c r="AG228" s="5">
        <f>deaths!AG228-deaths!AF228</f>
        <v>0</v>
      </c>
      <c r="AH228" s="5">
        <f>deaths!AH228-deaths!AG228</f>
        <v>0</v>
      </c>
      <c r="AI228" s="5">
        <f>deaths!AI228-deaths!AH228</f>
        <v>0</v>
      </c>
      <c r="AJ228" s="5">
        <f>deaths!AJ228-deaths!AI228</f>
        <v>0</v>
      </c>
      <c r="AK228" s="5">
        <f>deaths!AK228-deaths!AJ228</f>
        <v>0</v>
      </c>
      <c r="AL228" s="5">
        <f>deaths!AL228-deaths!AK228</f>
        <v>0</v>
      </c>
      <c r="AM228" s="5">
        <f>deaths!AM228-deaths!AL228</f>
        <v>0</v>
      </c>
      <c r="AN228" s="5">
        <f>deaths!AN228-deaths!AM228</f>
        <v>0</v>
      </c>
      <c r="AO228" s="5">
        <f>deaths!AO228-deaths!AN228</f>
        <v>0</v>
      </c>
      <c r="AP228" s="5">
        <f>deaths!AP228-deaths!AO228</f>
        <v>0</v>
      </c>
      <c r="AQ228" s="5">
        <f>deaths!AQ228-deaths!AP228</f>
        <v>0</v>
      </c>
      <c r="AR228" s="5">
        <f>deaths!AR228-deaths!AQ228</f>
        <v>0</v>
      </c>
      <c r="AS228" s="5">
        <f>deaths!AS228-deaths!AR228</f>
        <v>0</v>
      </c>
      <c r="AT228" s="5">
        <f>deaths!AT228-deaths!AS228</f>
        <v>0</v>
      </c>
      <c r="AU228" s="5">
        <f>deaths!AU228-deaths!AT228</f>
        <v>0</v>
      </c>
      <c r="AV228" s="5">
        <f>deaths!AV228-deaths!AU228</f>
        <v>0</v>
      </c>
      <c r="AW228" s="5">
        <f>deaths!AW228-deaths!AV228</f>
        <v>0</v>
      </c>
      <c r="AX228" s="5">
        <f>deaths!AX228-deaths!AW228</f>
        <v>0</v>
      </c>
      <c r="AY228" s="5">
        <f>deaths!AY228-deaths!AX228</f>
        <v>0</v>
      </c>
      <c r="AZ228" s="5">
        <f>deaths!AZ228-deaths!AY228</f>
        <v>0</v>
      </c>
      <c r="BA228" s="5">
        <f>deaths!BA228-deaths!AZ228</f>
        <v>0</v>
      </c>
      <c r="BB228" s="5">
        <f>deaths!BB228-deaths!BA228</f>
        <v>0</v>
      </c>
      <c r="BC228" s="5">
        <f>deaths!BC228-deaths!BB228</f>
        <v>0</v>
      </c>
      <c r="BD228" s="5">
        <f>deaths!BD228-deaths!BC228</f>
        <v>0</v>
      </c>
      <c r="BE228" s="5">
        <f>deaths!BE228-deaths!BD228</f>
        <v>0</v>
      </c>
      <c r="BF228" s="5">
        <f>deaths!BF228-deaths!BE228</f>
        <v>0</v>
      </c>
      <c r="BG228" s="5">
        <f>deaths!BG228-deaths!BF228</f>
        <v>0</v>
      </c>
      <c r="BH228" s="5">
        <f>deaths!BH228-deaths!BG228</f>
        <v>0</v>
      </c>
      <c r="BI228" s="5">
        <f>deaths!BI228-deaths!BH228</f>
        <v>0</v>
      </c>
      <c r="BJ228" s="5">
        <f>deaths!BJ228-deaths!BI228</f>
        <v>0</v>
      </c>
      <c r="BK228" s="5">
        <f>deaths!BK228-deaths!BJ228</f>
        <v>0</v>
      </c>
      <c r="BL228" s="5">
        <f>deaths!BL228-deaths!BK228</f>
        <v>0</v>
      </c>
      <c r="BM228" s="5">
        <f>deaths!BM228-deaths!BL228</f>
        <v>0</v>
      </c>
      <c r="BN228" s="5">
        <f>deaths!BN228-deaths!BM228</f>
        <v>0</v>
      </c>
      <c r="BO228" s="5">
        <f>deaths!BO228-deaths!BN228</f>
        <v>0</v>
      </c>
      <c r="BP228" s="5">
        <f>deaths!BP228-deaths!BO228</f>
        <v>0</v>
      </c>
      <c r="BQ228" s="5">
        <f>deaths!BQ228-deaths!BP228</f>
        <v>0</v>
      </c>
      <c r="BR228" s="5">
        <f>deaths!BR228-deaths!BQ228</f>
        <v>1</v>
      </c>
      <c r="BS228" s="5">
        <f>deaths!BS228-deaths!BR228</f>
        <v>1</v>
      </c>
      <c r="BT228" s="5">
        <f>deaths!BT228-deaths!BS228</f>
        <v>0</v>
      </c>
      <c r="BU228" s="5">
        <f>deaths!BU228-deaths!BT228</f>
        <v>0</v>
      </c>
      <c r="BV228" s="5">
        <f>deaths!BV228-deaths!BU228</f>
        <v>0</v>
      </c>
      <c r="BW228" s="5">
        <f>deaths!BW228-deaths!BV228</f>
        <v>0</v>
      </c>
      <c r="BX228" s="5">
        <f>deaths!BX228-deaths!BW228</f>
        <v>0</v>
      </c>
      <c r="BY228" s="5">
        <f>deaths!BY228-deaths!BX228</f>
        <v>0</v>
      </c>
      <c r="BZ228" s="1">
        <f>deaths!BZ228</f>
        <v>2</v>
      </c>
      <c r="CA228" s="1">
        <f>deaths!CA228</f>
        <v>2</v>
      </c>
      <c r="CB228" s="1">
        <f>deaths!CB228</f>
        <v>2</v>
      </c>
      <c r="CC228" s="1" t="str">
        <f>deaths!CC228</f>
        <v/>
      </c>
    </row>
    <row r="229">
      <c r="B229" s="1" t="str">
        <f>deaths!B229</f>
        <v>Venezuela</v>
      </c>
      <c r="C229" s="4">
        <f>deaths!C229</f>
        <v>6.4238</v>
      </c>
      <c r="D229" s="4">
        <f>deaths!D229</f>
        <v>-66.5897</v>
      </c>
      <c r="E229" s="5">
        <f>deaths!E229</f>
        <v>0</v>
      </c>
      <c r="F229" s="5">
        <f>deaths!F229-deaths!E229</f>
        <v>0</v>
      </c>
      <c r="G229" s="5">
        <f>deaths!G229-deaths!F229</f>
        <v>0</v>
      </c>
      <c r="H229" s="5">
        <f>deaths!H229-deaths!G229</f>
        <v>0</v>
      </c>
      <c r="I229" s="5">
        <f>deaths!I229-deaths!H229</f>
        <v>0</v>
      </c>
      <c r="J229" s="5">
        <f>deaths!J229-deaths!I229</f>
        <v>0</v>
      </c>
      <c r="K229" s="5">
        <f>deaths!K229-deaths!J229</f>
        <v>0</v>
      </c>
      <c r="L229" s="5">
        <f>deaths!L229-deaths!K229</f>
        <v>0</v>
      </c>
      <c r="M229" s="5">
        <f>deaths!M229-deaths!L229</f>
        <v>0</v>
      </c>
      <c r="N229" s="5">
        <f>deaths!N229-deaths!M229</f>
        <v>0</v>
      </c>
      <c r="O229" s="5">
        <f>deaths!O229-deaths!N229</f>
        <v>0</v>
      </c>
      <c r="P229" s="5">
        <f>deaths!P229-deaths!O229</f>
        <v>0</v>
      </c>
      <c r="Q229" s="5">
        <f>deaths!Q229-deaths!P229</f>
        <v>0</v>
      </c>
      <c r="R229" s="5">
        <f>deaths!R229-deaths!Q229</f>
        <v>0</v>
      </c>
      <c r="S229" s="5">
        <f>deaths!S229-deaths!R229</f>
        <v>0</v>
      </c>
      <c r="T229" s="5">
        <f>deaths!T229-deaths!S229</f>
        <v>0</v>
      </c>
      <c r="U229" s="5">
        <f>deaths!U229-deaths!T229</f>
        <v>0</v>
      </c>
      <c r="V229" s="5">
        <f>deaths!V229-deaths!U229</f>
        <v>0</v>
      </c>
      <c r="W229" s="5">
        <f>deaths!W229-deaths!V229</f>
        <v>0</v>
      </c>
      <c r="X229" s="5">
        <f>deaths!X229-deaths!W229</f>
        <v>0</v>
      </c>
      <c r="Y229" s="5">
        <f>deaths!Y229-deaths!X229</f>
        <v>0</v>
      </c>
      <c r="Z229" s="5">
        <f>deaths!Z229-deaths!Y229</f>
        <v>0</v>
      </c>
      <c r="AA229" s="5">
        <f>deaths!AA229-deaths!Z229</f>
        <v>0</v>
      </c>
      <c r="AB229" s="5">
        <f>deaths!AB229-deaths!AA229</f>
        <v>0</v>
      </c>
      <c r="AC229" s="5">
        <f>deaths!AC229-deaths!AB229</f>
        <v>0</v>
      </c>
      <c r="AD229" s="5">
        <f>deaths!AD229-deaths!AC229</f>
        <v>0</v>
      </c>
      <c r="AE229" s="5">
        <f>deaths!AE229-deaths!AD229</f>
        <v>0</v>
      </c>
      <c r="AF229" s="5">
        <f>deaths!AF229-deaths!AE229</f>
        <v>0</v>
      </c>
      <c r="AG229" s="5">
        <f>deaths!AG229-deaths!AF229</f>
        <v>0</v>
      </c>
      <c r="AH229" s="5">
        <f>deaths!AH229-deaths!AG229</f>
        <v>0</v>
      </c>
      <c r="AI229" s="5">
        <f>deaths!AI229-deaths!AH229</f>
        <v>0</v>
      </c>
      <c r="AJ229" s="5">
        <f>deaths!AJ229-deaths!AI229</f>
        <v>0</v>
      </c>
      <c r="AK229" s="5">
        <f>deaths!AK229-deaths!AJ229</f>
        <v>0</v>
      </c>
      <c r="AL229" s="5">
        <f>deaths!AL229-deaths!AK229</f>
        <v>0</v>
      </c>
      <c r="AM229" s="5">
        <f>deaths!AM229-deaths!AL229</f>
        <v>0</v>
      </c>
      <c r="AN229" s="5">
        <f>deaths!AN229-deaths!AM229</f>
        <v>0</v>
      </c>
      <c r="AO229" s="5">
        <f>deaths!AO229-deaths!AN229</f>
        <v>0</v>
      </c>
      <c r="AP229" s="5">
        <f>deaths!AP229-deaths!AO229</f>
        <v>0</v>
      </c>
      <c r="AQ229" s="5">
        <f>deaths!AQ229-deaths!AP229</f>
        <v>0</v>
      </c>
      <c r="AR229" s="5">
        <f>deaths!AR229-deaths!AQ229</f>
        <v>0</v>
      </c>
      <c r="AS229" s="5">
        <f>deaths!AS229-deaths!AR229</f>
        <v>0</v>
      </c>
      <c r="AT229" s="5">
        <f>deaths!AT229-deaths!AS229</f>
        <v>0</v>
      </c>
      <c r="AU229" s="5">
        <f>deaths!AU229-deaths!AT229</f>
        <v>0</v>
      </c>
      <c r="AV229" s="5">
        <f>deaths!AV229-deaths!AU229</f>
        <v>0</v>
      </c>
      <c r="AW229" s="5">
        <f>deaths!AW229-deaths!AV229</f>
        <v>0</v>
      </c>
      <c r="AX229" s="5">
        <f>deaths!AX229-deaths!AW229</f>
        <v>0</v>
      </c>
      <c r="AY229" s="5">
        <f>deaths!AY229-deaths!AX229</f>
        <v>0</v>
      </c>
      <c r="AZ229" s="5">
        <f>deaths!AZ229-deaths!AY229</f>
        <v>0</v>
      </c>
      <c r="BA229" s="5">
        <f>deaths!BA229-deaths!AZ229</f>
        <v>0</v>
      </c>
      <c r="BB229" s="5">
        <f>deaths!BB229-deaths!BA229</f>
        <v>0</v>
      </c>
      <c r="BC229" s="5">
        <f>deaths!BC229-deaths!BB229</f>
        <v>0</v>
      </c>
      <c r="BD229" s="5">
        <f>deaths!BD229-deaths!BC229</f>
        <v>0</v>
      </c>
      <c r="BE229" s="5">
        <f>deaths!BE229-deaths!BD229</f>
        <v>0</v>
      </c>
      <c r="BF229" s="5">
        <f>deaths!BF229-deaths!BE229</f>
        <v>0</v>
      </c>
      <c r="BG229" s="5">
        <f>deaths!BG229-deaths!BF229</f>
        <v>0</v>
      </c>
      <c r="BH229" s="5">
        <f>deaths!BH229-deaths!BG229</f>
        <v>0</v>
      </c>
      <c r="BI229" s="5">
        <f>deaths!BI229-deaths!BH229</f>
        <v>0</v>
      </c>
      <c r="BJ229" s="5">
        <f>deaths!BJ229-deaths!BI229</f>
        <v>0</v>
      </c>
      <c r="BK229" s="5">
        <f>deaths!BK229-deaths!BJ229</f>
        <v>0</v>
      </c>
      <c r="BL229" s="5">
        <f>deaths!BL229-deaths!BK229</f>
        <v>0</v>
      </c>
      <c r="BM229" s="5">
        <f>deaths!BM229-deaths!BL229</f>
        <v>0</v>
      </c>
      <c r="BN229" s="5">
        <f>deaths!BN229-deaths!BM229</f>
        <v>0</v>
      </c>
      <c r="BO229" s="5">
        <f>deaths!BO229-deaths!BN229</f>
        <v>0</v>
      </c>
      <c r="BP229" s="5">
        <f>deaths!BP229-deaths!BO229</f>
        <v>0</v>
      </c>
      <c r="BQ229" s="5">
        <f>deaths!BQ229-deaths!BP229</f>
        <v>0</v>
      </c>
      <c r="BR229" s="5">
        <f>deaths!BR229-deaths!BQ229</f>
        <v>1</v>
      </c>
      <c r="BS229" s="5">
        <f>deaths!BS229-deaths!BR229</f>
        <v>1</v>
      </c>
      <c r="BT229" s="5">
        <f>deaths!BT229-deaths!BS229</f>
        <v>0</v>
      </c>
      <c r="BU229" s="5">
        <f>deaths!BU229-deaths!BT229</f>
        <v>1</v>
      </c>
      <c r="BV229" s="5">
        <f>deaths!BV229-deaths!BU229</f>
        <v>0</v>
      </c>
      <c r="BW229" s="5">
        <f>deaths!BW229-deaths!BV229</f>
        <v>0</v>
      </c>
      <c r="BX229" s="5">
        <f>deaths!BX229-deaths!BW229</f>
        <v>2</v>
      </c>
      <c r="BY229" s="5">
        <f>deaths!BY229-deaths!BX229</f>
        <v>2</v>
      </c>
      <c r="BZ229" s="1">
        <f>deaths!BZ229</f>
        <v>7</v>
      </c>
      <c r="CA229" s="1">
        <f>deaths!CA229</f>
        <v>7</v>
      </c>
      <c r="CB229" s="1">
        <f>deaths!CB229</f>
        <v>7</v>
      </c>
      <c r="CC229" s="1" t="str">
        <f>deaths!CC229</f>
        <v/>
      </c>
    </row>
    <row r="230">
      <c r="B230" s="1" t="str">
        <f>deaths!B230</f>
        <v>Vietnam</v>
      </c>
      <c r="C230" s="4">
        <f>deaths!C230</f>
        <v>16</v>
      </c>
      <c r="D230" s="4">
        <f>deaths!D230</f>
        <v>108</v>
      </c>
      <c r="E230" s="5">
        <f>deaths!E230</f>
        <v>0</v>
      </c>
      <c r="F230" s="5">
        <f>deaths!F230-deaths!E230</f>
        <v>0</v>
      </c>
      <c r="G230" s="5">
        <f>deaths!G230-deaths!F230</f>
        <v>0</v>
      </c>
      <c r="H230" s="5">
        <f>deaths!H230-deaths!G230</f>
        <v>0</v>
      </c>
      <c r="I230" s="5">
        <f>deaths!I230-deaths!H230</f>
        <v>0</v>
      </c>
      <c r="J230" s="5">
        <f>deaths!J230-deaths!I230</f>
        <v>0</v>
      </c>
      <c r="K230" s="5">
        <f>deaths!K230-deaths!J230</f>
        <v>0</v>
      </c>
      <c r="L230" s="5">
        <f>deaths!L230-deaths!K230</f>
        <v>0</v>
      </c>
      <c r="M230" s="5">
        <f>deaths!M230-deaths!L230</f>
        <v>0</v>
      </c>
      <c r="N230" s="5">
        <f>deaths!N230-deaths!M230</f>
        <v>0</v>
      </c>
      <c r="O230" s="5">
        <f>deaths!O230-deaths!N230</f>
        <v>0</v>
      </c>
      <c r="P230" s="5">
        <f>deaths!P230-deaths!O230</f>
        <v>0</v>
      </c>
      <c r="Q230" s="5">
        <f>deaths!Q230-deaths!P230</f>
        <v>0</v>
      </c>
      <c r="R230" s="5">
        <f>deaths!R230-deaths!Q230</f>
        <v>0</v>
      </c>
      <c r="S230" s="5">
        <f>deaths!S230-deaths!R230</f>
        <v>0</v>
      </c>
      <c r="T230" s="5">
        <f>deaths!T230-deaths!S230</f>
        <v>0</v>
      </c>
      <c r="U230" s="5">
        <f>deaths!U230-deaths!T230</f>
        <v>0</v>
      </c>
      <c r="V230" s="5">
        <f>deaths!V230-deaths!U230</f>
        <v>0</v>
      </c>
      <c r="W230" s="5">
        <f>deaths!W230-deaths!V230</f>
        <v>0</v>
      </c>
      <c r="X230" s="5">
        <f>deaths!X230-deaths!W230</f>
        <v>0</v>
      </c>
      <c r="Y230" s="5">
        <f>deaths!Y230-deaths!X230</f>
        <v>0</v>
      </c>
      <c r="Z230" s="5">
        <f>deaths!Z230-deaths!Y230</f>
        <v>0</v>
      </c>
      <c r="AA230" s="5">
        <f>deaths!AA230-deaths!Z230</f>
        <v>0</v>
      </c>
      <c r="AB230" s="5">
        <f>deaths!AB230-deaths!AA230</f>
        <v>0</v>
      </c>
      <c r="AC230" s="5">
        <f>deaths!AC230-deaths!AB230</f>
        <v>0</v>
      </c>
      <c r="AD230" s="5">
        <f>deaths!AD230-deaths!AC230</f>
        <v>0</v>
      </c>
      <c r="AE230" s="5">
        <f>deaths!AE230-deaths!AD230</f>
        <v>0</v>
      </c>
      <c r="AF230" s="5">
        <f>deaths!AF230-deaths!AE230</f>
        <v>0</v>
      </c>
      <c r="AG230" s="5">
        <f>deaths!AG230-deaths!AF230</f>
        <v>0</v>
      </c>
      <c r="AH230" s="5">
        <f>deaths!AH230-deaths!AG230</f>
        <v>0</v>
      </c>
      <c r="AI230" s="5">
        <f>deaths!AI230-deaths!AH230</f>
        <v>0</v>
      </c>
      <c r="AJ230" s="5">
        <f>deaths!AJ230-deaths!AI230</f>
        <v>0</v>
      </c>
      <c r="AK230" s="5">
        <f>deaths!AK230-deaths!AJ230</f>
        <v>0</v>
      </c>
      <c r="AL230" s="5">
        <f>deaths!AL230-deaths!AK230</f>
        <v>0</v>
      </c>
      <c r="AM230" s="5">
        <f>deaths!AM230-deaths!AL230</f>
        <v>0</v>
      </c>
      <c r="AN230" s="5">
        <f>deaths!AN230-deaths!AM230</f>
        <v>0</v>
      </c>
      <c r="AO230" s="5">
        <f>deaths!AO230-deaths!AN230</f>
        <v>0</v>
      </c>
      <c r="AP230" s="5">
        <f>deaths!AP230-deaths!AO230</f>
        <v>0</v>
      </c>
      <c r="AQ230" s="5">
        <f>deaths!AQ230-deaths!AP230</f>
        <v>0</v>
      </c>
      <c r="AR230" s="5">
        <f>deaths!AR230-deaths!AQ230</f>
        <v>0</v>
      </c>
      <c r="AS230" s="5">
        <f>deaths!AS230-deaths!AR230</f>
        <v>0</v>
      </c>
      <c r="AT230" s="5">
        <f>deaths!AT230-deaths!AS230</f>
        <v>0</v>
      </c>
      <c r="AU230" s="5">
        <f>deaths!AU230-deaths!AT230</f>
        <v>0</v>
      </c>
      <c r="AV230" s="5">
        <f>deaths!AV230-deaths!AU230</f>
        <v>0</v>
      </c>
      <c r="AW230" s="5">
        <f>deaths!AW230-deaths!AV230</f>
        <v>0</v>
      </c>
      <c r="AX230" s="5">
        <f>deaths!AX230-deaths!AW230</f>
        <v>0</v>
      </c>
      <c r="AY230" s="5">
        <f>deaths!AY230-deaths!AX230</f>
        <v>0</v>
      </c>
      <c r="AZ230" s="5">
        <f>deaths!AZ230-deaths!AY230</f>
        <v>0</v>
      </c>
      <c r="BA230" s="5">
        <f>deaths!BA230-deaths!AZ230</f>
        <v>0</v>
      </c>
      <c r="BB230" s="5">
        <f>deaths!BB230-deaths!BA230</f>
        <v>0</v>
      </c>
      <c r="BC230" s="5">
        <f>deaths!BC230-deaths!BB230</f>
        <v>0</v>
      </c>
      <c r="BD230" s="5">
        <f>deaths!BD230-deaths!BC230</f>
        <v>0</v>
      </c>
      <c r="BE230" s="5">
        <f>deaths!BE230-deaths!BD230</f>
        <v>0</v>
      </c>
      <c r="BF230" s="5">
        <f>deaths!BF230-deaths!BE230</f>
        <v>0</v>
      </c>
      <c r="BG230" s="5">
        <f>deaths!BG230-deaths!BF230</f>
        <v>0</v>
      </c>
      <c r="BH230" s="5">
        <f>deaths!BH230-deaths!BG230</f>
        <v>0</v>
      </c>
      <c r="BI230" s="5">
        <f>deaths!BI230-deaths!BH230</f>
        <v>0</v>
      </c>
      <c r="BJ230" s="5">
        <f>deaths!BJ230-deaths!BI230</f>
        <v>0</v>
      </c>
      <c r="BK230" s="5">
        <f>deaths!BK230-deaths!BJ230</f>
        <v>0</v>
      </c>
      <c r="BL230" s="5">
        <f>deaths!BL230-deaths!BK230</f>
        <v>0</v>
      </c>
      <c r="BM230" s="5">
        <f>deaths!BM230-deaths!BL230</f>
        <v>0</v>
      </c>
      <c r="BN230" s="5">
        <f>deaths!BN230-deaths!BM230</f>
        <v>0</v>
      </c>
      <c r="BO230" s="5">
        <f>deaths!BO230-deaths!BN230</f>
        <v>0</v>
      </c>
      <c r="BP230" s="5">
        <f>deaths!BP230-deaths!BO230</f>
        <v>0</v>
      </c>
      <c r="BQ230" s="5">
        <f>deaths!BQ230-deaths!BP230</f>
        <v>0</v>
      </c>
      <c r="BR230" s="5">
        <f>deaths!BR230-deaths!BQ230</f>
        <v>0</v>
      </c>
      <c r="BS230" s="5">
        <f>deaths!BS230-deaths!BR230</f>
        <v>0</v>
      </c>
      <c r="BT230" s="5">
        <f>deaths!BT230-deaths!BS230</f>
        <v>0</v>
      </c>
      <c r="BU230" s="5">
        <f>deaths!BU230-deaths!BT230</f>
        <v>0</v>
      </c>
      <c r="BV230" s="5">
        <f>deaths!BV230-deaths!BU230</f>
        <v>0</v>
      </c>
      <c r="BW230" s="5">
        <f>deaths!BW230-deaths!BV230</f>
        <v>0</v>
      </c>
      <c r="BX230" s="5">
        <f>deaths!BX230-deaths!BW230</f>
        <v>0</v>
      </c>
      <c r="BY230" s="5">
        <f>deaths!BY230-deaths!BX230</f>
        <v>0</v>
      </c>
      <c r="BZ230" s="1">
        <f>deaths!BZ230</f>
        <v>0</v>
      </c>
      <c r="CA230" s="1">
        <f>deaths!CA230</f>
        <v>0</v>
      </c>
      <c r="CB230" s="1">
        <f>deaths!CB230</f>
        <v>0</v>
      </c>
      <c r="CC230" s="1" t="str">
        <f>deaths!CC230</f>
        <v/>
      </c>
    </row>
    <row r="231">
      <c r="B231" s="1" t="str">
        <f>deaths!B231</f>
        <v>Zambia</v>
      </c>
      <c r="C231" s="4">
        <f>deaths!C231</f>
        <v>-15.4167</v>
      </c>
      <c r="D231" s="4">
        <f>deaths!D231</f>
        <v>28.2833</v>
      </c>
      <c r="E231" s="5">
        <f>deaths!E231</f>
        <v>0</v>
      </c>
      <c r="F231" s="5">
        <f>deaths!F231-deaths!E231</f>
        <v>0</v>
      </c>
      <c r="G231" s="5">
        <f>deaths!G231-deaths!F231</f>
        <v>0</v>
      </c>
      <c r="H231" s="5">
        <f>deaths!H231-deaths!G231</f>
        <v>0</v>
      </c>
      <c r="I231" s="5">
        <f>deaths!I231-deaths!H231</f>
        <v>0</v>
      </c>
      <c r="J231" s="5">
        <f>deaths!J231-deaths!I231</f>
        <v>0</v>
      </c>
      <c r="K231" s="5">
        <f>deaths!K231-deaths!J231</f>
        <v>0</v>
      </c>
      <c r="L231" s="5">
        <f>deaths!L231-deaths!K231</f>
        <v>0</v>
      </c>
      <c r="M231" s="5">
        <f>deaths!M231-deaths!L231</f>
        <v>0</v>
      </c>
      <c r="N231" s="5">
        <f>deaths!N231-deaths!M231</f>
        <v>0</v>
      </c>
      <c r="O231" s="5">
        <f>deaths!O231-deaths!N231</f>
        <v>0</v>
      </c>
      <c r="P231" s="5">
        <f>deaths!P231-deaths!O231</f>
        <v>0</v>
      </c>
      <c r="Q231" s="5">
        <f>deaths!Q231-deaths!P231</f>
        <v>0</v>
      </c>
      <c r="R231" s="5">
        <f>deaths!R231-deaths!Q231</f>
        <v>0</v>
      </c>
      <c r="S231" s="5">
        <f>deaths!S231-deaths!R231</f>
        <v>0</v>
      </c>
      <c r="T231" s="5">
        <f>deaths!T231-deaths!S231</f>
        <v>0</v>
      </c>
      <c r="U231" s="5">
        <f>deaths!U231-deaths!T231</f>
        <v>0</v>
      </c>
      <c r="V231" s="5">
        <f>deaths!V231-deaths!U231</f>
        <v>0</v>
      </c>
      <c r="W231" s="5">
        <f>deaths!W231-deaths!V231</f>
        <v>0</v>
      </c>
      <c r="X231" s="5">
        <f>deaths!X231-deaths!W231</f>
        <v>0</v>
      </c>
      <c r="Y231" s="5">
        <f>deaths!Y231-deaths!X231</f>
        <v>0</v>
      </c>
      <c r="Z231" s="5">
        <f>deaths!Z231-deaths!Y231</f>
        <v>0</v>
      </c>
      <c r="AA231" s="5">
        <f>deaths!AA231-deaths!Z231</f>
        <v>0</v>
      </c>
      <c r="AB231" s="5">
        <f>deaths!AB231-deaths!AA231</f>
        <v>0</v>
      </c>
      <c r="AC231" s="5">
        <f>deaths!AC231-deaths!AB231</f>
        <v>0</v>
      </c>
      <c r="AD231" s="5">
        <f>deaths!AD231-deaths!AC231</f>
        <v>0</v>
      </c>
      <c r="AE231" s="5">
        <f>deaths!AE231-deaths!AD231</f>
        <v>0</v>
      </c>
      <c r="AF231" s="5">
        <f>deaths!AF231-deaths!AE231</f>
        <v>0</v>
      </c>
      <c r="AG231" s="5">
        <f>deaths!AG231-deaths!AF231</f>
        <v>0</v>
      </c>
      <c r="AH231" s="5">
        <f>deaths!AH231-deaths!AG231</f>
        <v>0</v>
      </c>
      <c r="AI231" s="5">
        <f>deaths!AI231-deaths!AH231</f>
        <v>0</v>
      </c>
      <c r="AJ231" s="5">
        <f>deaths!AJ231-deaths!AI231</f>
        <v>0</v>
      </c>
      <c r="AK231" s="5">
        <f>deaths!AK231-deaths!AJ231</f>
        <v>0</v>
      </c>
      <c r="AL231" s="5">
        <f>deaths!AL231-deaths!AK231</f>
        <v>0</v>
      </c>
      <c r="AM231" s="5">
        <f>deaths!AM231-deaths!AL231</f>
        <v>0</v>
      </c>
      <c r="AN231" s="5">
        <f>deaths!AN231-deaths!AM231</f>
        <v>0</v>
      </c>
      <c r="AO231" s="5">
        <f>deaths!AO231-deaths!AN231</f>
        <v>0</v>
      </c>
      <c r="AP231" s="5">
        <f>deaths!AP231-deaths!AO231</f>
        <v>0</v>
      </c>
      <c r="AQ231" s="5">
        <f>deaths!AQ231-deaths!AP231</f>
        <v>0</v>
      </c>
      <c r="AR231" s="5">
        <f>deaths!AR231-deaths!AQ231</f>
        <v>0</v>
      </c>
      <c r="AS231" s="5">
        <f>deaths!AS231-deaths!AR231</f>
        <v>0</v>
      </c>
      <c r="AT231" s="5">
        <f>deaths!AT231-deaths!AS231</f>
        <v>0</v>
      </c>
      <c r="AU231" s="5">
        <f>deaths!AU231-deaths!AT231</f>
        <v>0</v>
      </c>
      <c r="AV231" s="5">
        <f>deaths!AV231-deaths!AU231</f>
        <v>0</v>
      </c>
      <c r="AW231" s="5">
        <f>deaths!AW231-deaths!AV231</f>
        <v>0</v>
      </c>
      <c r="AX231" s="5">
        <f>deaths!AX231-deaths!AW231</f>
        <v>0</v>
      </c>
      <c r="AY231" s="5">
        <f>deaths!AY231-deaths!AX231</f>
        <v>0</v>
      </c>
      <c r="AZ231" s="5">
        <f>deaths!AZ231-deaths!AY231</f>
        <v>0</v>
      </c>
      <c r="BA231" s="5">
        <f>deaths!BA231-deaths!AZ231</f>
        <v>0</v>
      </c>
      <c r="BB231" s="5">
        <f>deaths!BB231-deaths!BA231</f>
        <v>0</v>
      </c>
      <c r="BC231" s="5">
        <f>deaths!BC231-deaths!BB231</f>
        <v>0</v>
      </c>
      <c r="BD231" s="5">
        <f>deaths!BD231-deaths!BC231</f>
        <v>0</v>
      </c>
      <c r="BE231" s="5">
        <f>deaths!BE231-deaths!BD231</f>
        <v>0</v>
      </c>
      <c r="BF231" s="5">
        <f>deaths!BF231-deaths!BE231</f>
        <v>0</v>
      </c>
      <c r="BG231" s="5">
        <f>deaths!BG231-deaths!BF231</f>
        <v>0</v>
      </c>
      <c r="BH231" s="5">
        <f>deaths!BH231-deaths!BG231</f>
        <v>0</v>
      </c>
      <c r="BI231" s="5">
        <f>deaths!BI231-deaths!BH231</f>
        <v>0</v>
      </c>
      <c r="BJ231" s="5">
        <f>deaths!BJ231-deaths!BI231</f>
        <v>0</v>
      </c>
      <c r="BK231" s="5">
        <f>deaths!BK231-deaths!BJ231</f>
        <v>0</v>
      </c>
      <c r="BL231" s="5">
        <f>deaths!BL231-deaths!BK231</f>
        <v>0</v>
      </c>
      <c r="BM231" s="5">
        <f>deaths!BM231-deaths!BL231</f>
        <v>0</v>
      </c>
      <c r="BN231" s="5">
        <f>deaths!BN231-deaths!BM231</f>
        <v>0</v>
      </c>
      <c r="BO231" s="5">
        <f>deaths!BO231-deaths!BN231</f>
        <v>0</v>
      </c>
      <c r="BP231" s="5">
        <f>deaths!BP231-deaths!BO231</f>
        <v>0</v>
      </c>
      <c r="BQ231" s="5">
        <f>deaths!BQ231-deaths!BP231</f>
        <v>0</v>
      </c>
      <c r="BR231" s="5">
        <f>deaths!BR231-deaths!BQ231</f>
        <v>0</v>
      </c>
      <c r="BS231" s="5">
        <f>deaths!BS231-deaths!BR231</f>
        <v>0</v>
      </c>
      <c r="BT231" s="5">
        <f>deaths!BT231-deaths!BS231</f>
        <v>0</v>
      </c>
      <c r="BU231" s="5">
        <f>deaths!BU231-deaths!BT231</f>
        <v>0</v>
      </c>
      <c r="BV231" s="5">
        <f>deaths!BV231-deaths!BU231</f>
        <v>0</v>
      </c>
      <c r="BW231" s="5">
        <f>deaths!BW231-deaths!BV231</f>
        <v>0</v>
      </c>
      <c r="BX231" s="5">
        <f>deaths!BX231-deaths!BW231</f>
        <v>1</v>
      </c>
      <c r="BY231" s="5">
        <f>deaths!BY231-deaths!BX231</f>
        <v>0</v>
      </c>
      <c r="BZ231" s="1">
        <f>deaths!BZ231</f>
        <v>1</v>
      </c>
      <c r="CA231" s="1">
        <f>deaths!CA231</f>
        <v>1</v>
      </c>
      <c r="CB231" s="1">
        <f>deaths!CB231</f>
        <v>1</v>
      </c>
      <c r="CC231" s="1" t="str">
        <f>deaths!CC231</f>
        <v/>
      </c>
    </row>
    <row r="232">
      <c r="B232" s="1" t="str">
        <f>deaths!B232</f>
        <v>Zimbabwe</v>
      </c>
      <c r="C232" s="4">
        <f>deaths!C232</f>
        <v>-20</v>
      </c>
      <c r="D232" s="4">
        <f>deaths!D232</f>
        <v>30</v>
      </c>
      <c r="E232" s="5">
        <f>deaths!E232</f>
        <v>0</v>
      </c>
      <c r="F232" s="5">
        <f>deaths!F232-deaths!E232</f>
        <v>0</v>
      </c>
      <c r="G232" s="5">
        <f>deaths!G232-deaths!F232</f>
        <v>0</v>
      </c>
      <c r="H232" s="5">
        <f>deaths!H232-deaths!G232</f>
        <v>0</v>
      </c>
      <c r="I232" s="5">
        <f>deaths!I232-deaths!H232</f>
        <v>0</v>
      </c>
      <c r="J232" s="5">
        <f>deaths!J232-deaths!I232</f>
        <v>0</v>
      </c>
      <c r="K232" s="5">
        <f>deaths!K232-deaths!J232</f>
        <v>0</v>
      </c>
      <c r="L232" s="5">
        <f>deaths!L232-deaths!K232</f>
        <v>0</v>
      </c>
      <c r="M232" s="5">
        <f>deaths!M232-deaths!L232</f>
        <v>0</v>
      </c>
      <c r="N232" s="5">
        <f>deaths!N232-deaths!M232</f>
        <v>0</v>
      </c>
      <c r="O232" s="5">
        <f>deaths!O232-deaths!N232</f>
        <v>0</v>
      </c>
      <c r="P232" s="5">
        <f>deaths!P232-deaths!O232</f>
        <v>0</v>
      </c>
      <c r="Q232" s="5">
        <f>deaths!Q232-deaths!P232</f>
        <v>0</v>
      </c>
      <c r="R232" s="5">
        <f>deaths!R232-deaths!Q232</f>
        <v>0</v>
      </c>
      <c r="S232" s="5">
        <f>deaths!S232-deaths!R232</f>
        <v>0</v>
      </c>
      <c r="T232" s="5">
        <f>deaths!T232-deaths!S232</f>
        <v>0</v>
      </c>
      <c r="U232" s="5">
        <f>deaths!U232-deaths!T232</f>
        <v>0</v>
      </c>
      <c r="V232" s="5">
        <f>deaths!V232-deaths!U232</f>
        <v>0</v>
      </c>
      <c r="W232" s="5">
        <f>deaths!W232-deaths!V232</f>
        <v>0</v>
      </c>
      <c r="X232" s="5">
        <f>deaths!X232-deaths!W232</f>
        <v>0</v>
      </c>
      <c r="Y232" s="5">
        <f>deaths!Y232-deaths!X232</f>
        <v>0</v>
      </c>
      <c r="Z232" s="5">
        <f>deaths!Z232-deaths!Y232</f>
        <v>0</v>
      </c>
      <c r="AA232" s="5">
        <f>deaths!AA232-deaths!Z232</f>
        <v>0</v>
      </c>
      <c r="AB232" s="5">
        <f>deaths!AB232-deaths!AA232</f>
        <v>0</v>
      </c>
      <c r="AC232" s="5">
        <f>deaths!AC232-deaths!AB232</f>
        <v>0</v>
      </c>
      <c r="AD232" s="5">
        <f>deaths!AD232-deaths!AC232</f>
        <v>0</v>
      </c>
      <c r="AE232" s="5">
        <f>deaths!AE232-deaths!AD232</f>
        <v>0</v>
      </c>
      <c r="AF232" s="5">
        <f>deaths!AF232-deaths!AE232</f>
        <v>0</v>
      </c>
      <c r="AG232" s="5">
        <f>deaths!AG232-deaths!AF232</f>
        <v>0</v>
      </c>
      <c r="AH232" s="5">
        <f>deaths!AH232-deaths!AG232</f>
        <v>0</v>
      </c>
      <c r="AI232" s="5">
        <f>deaths!AI232-deaths!AH232</f>
        <v>0</v>
      </c>
      <c r="AJ232" s="5">
        <f>deaths!AJ232-deaths!AI232</f>
        <v>0</v>
      </c>
      <c r="AK232" s="5">
        <f>deaths!AK232-deaths!AJ232</f>
        <v>0</v>
      </c>
      <c r="AL232" s="5">
        <f>deaths!AL232-deaths!AK232</f>
        <v>0</v>
      </c>
      <c r="AM232" s="5">
        <f>deaths!AM232-deaths!AL232</f>
        <v>0</v>
      </c>
      <c r="AN232" s="5">
        <f>deaths!AN232-deaths!AM232</f>
        <v>0</v>
      </c>
      <c r="AO232" s="5">
        <f>deaths!AO232-deaths!AN232</f>
        <v>0</v>
      </c>
      <c r="AP232" s="5">
        <f>deaths!AP232-deaths!AO232</f>
        <v>0</v>
      </c>
      <c r="AQ232" s="5">
        <f>deaths!AQ232-deaths!AP232</f>
        <v>0</v>
      </c>
      <c r="AR232" s="5">
        <f>deaths!AR232-deaths!AQ232</f>
        <v>0</v>
      </c>
      <c r="AS232" s="5">
        <f>deaths!AS232-deaths!AR232</f>
        <v>0</v>
      </c>
      <c r="AT232" s="5">
        <f>deaths!AT232-deaths!AS232</f>
        <v>0</v>
      </c>
      <c r="AU232" s="5">
        <f>deaths!AU232-deaths!AT232</f>
        <v>0</v>
      </c>
      <c r="AV232" s="5">
        <f>deaths!AV232-deaths!AU232</f>
        <v>0</v>
      </c>
      <c r="AW232" s="5">
        <f>deaths!AW232-deaths!AV232</f>
        <v>0</v>
      </c>
      <c r="AX232" s="5">
        <f>deaths!AX232-deaths!AW232</f>
        <v>0</v>
      </c>
      <c r="AY232" s="5">
        <f>deaths!AY232-deaths!AX232</f>
        <v>0</v>
      </c>
      <c r="AZ232" s="5">
        <f>deaths!AZ232-deaths!AY232</f>
        <v>0</v>
      </c>
      <c r="BA232" s="5">
        <f>deaths!BA232-deaths!AZ232</f>
        <v>0</v>
      </c>
      <c r="BB232" s="5">
        <f>deaths!BB232-deaths!BA232</f>
        <v>0</v>
      </c>
      <c r="BC232" s="5">
        <f>deaths!BC232-deaths!BB232</f>
        <v>0</v>
      </c>
      <c r="BD232" s="5">
        <f>deaths!BD232-deaths!BC232</f>
        <v>0</v>
      </c>
      <c r="BE232" s="5">
        <f>deaths!BE232-deaths!BD232</f>
        <v>0</v>
      </c>
      <c r="BF232" s="5">
        <f>deaths!BF232-deaths!BE232</f>
        <v>0</v>
      </c>
      <c r="BG232" s="5">
        <f>deaths!BG232-deaths!BF232</f>
        <v>0</v>
      </c>
      <c r="BH232" s="5">
        <f>deaths!BH232-deaths!BG232</f>
        <v>0</v>
      </c>
      <c r="BI232" s="5">
        <f>deaths!BI232-deaths!BH232</f>
        <v>0</v>
      </c>
      <c r="BJ232" s="5">
        <f>deaths!BJ232-deaths!BI232</f>
        <v>0</v>
      </c>
      <c r="BK232" s="5">
        <f>deaths!BK232-deaths!BJ232</f>
        <v>0</v>
      </c>
      <c r="BL232" s="5">
        <f>deaths!BL232-deaths!BK232</f>
        <v>0</v>
      </c>
      <c r="BM232" s="5">
        <f>deaths!BM232-deaths!BL232</f>
        <v>0</v>
      </c>
      <c r="BN232" s="5">
        <f>deaths!BN232-deaths!BM232</f>
        <v>1</v>
      </c>
      <c r="BO232" s="5">
        <f>deaths!BO232-deaths!BN232</f>
        <v>0</v>
      </c>
      <c r="BP232" s="5">
        <f>deaths!BP232-deaths!BO232</f>
        <v>0</v>
      </c>
      <c r="BQ232" s="5">
        <f>deaths!BQ232-deaths!BP232</f>
        <v>0</v>
      </c>
      <c r="BR232" s="5">
        <f>deaths!BR232-deaths!BQ232</f>
        <v>0</v>
      </c>
      <c r="BS232" s="5">
        <f>deaths!BS232-deaths!BR232</f>
        <v>0</v>
      </c>
      <c r="BT232" s="5">
        <f>deaths!BT232-deaths!BS232</f>
        <v>0</v>
      </c>
      <c r="BU232" s="5">
        <f>deaths!BU232-deaths!BT232</f>
        <v>0</v>
      </c>
      <c r="BV232" s="5">
        <f>deaths!BV232-deaths!BU232</f>
        <v>0</v>
      </c>
      <c r="BW232" s="5">
        <f>deaths!BW232-deaths!BV232</f>
        <v>0</v>
      </c>
      <c r="BX232" s="5">
        <f>deaths!BX232-deaths!BW232</f>
        <v>0</v>
      </c>
      <c r="BY232" s="5">
        <f>deaths!BY232-deaths!BX232</f>
        <v>0</v>
      </c>
      <c r="BZ232" s="1">
        <f>deaths!BZ232</f>
        <v>1</v>
      </c>
      <c r="CA232" s="1">
        <f>deaths!CA232</f>
        <v>1</v>
      </c>
      <c r="CB232" s="1">
        <f>deaths!CB232</f>
        <v>1</v>
      </c>
      <c r="CC232" s="1" t="str">
        <f>deaths!CC232</f>
        <v/>
      </c>
    </row>
    <row r="233">
      <c r="B233" s="1" t="str">
        <f>deaths!B233</f>
        <v>Canada</v>
      </c>
      <c r="C233" s="4">
        <f>deaths!C233</f>
        <v>0</v>
      </c>
      <c r="D233" s="4">
        <f>deaths!D233</f>
        <v>0</v>
      </c>
      <c r="E233" s="5">
        <f>deaths!E233</f>
        <v>0</v>
      </c>
      <c r="F233" s="5">
        <f>deaths!F233-deaths!E233</f>
        <v>0</v>
      </c>
      <c r="G233" s="5">
        <f>deaths!G233-deaths!F233</f>
        <v>0</v>
      </c>
      <c r="H233" s="5">
        <f>deaths!H233-deaths!G233</f>
        <v>0</v>
      </c>
      <c r="I233" s="5">
        <f>deaths!I233-deaths!H233</f>
        <v>0</v>
      </c>
      <c r="J233" s="5">
        <f>deaths!J233-deaths!I233</f>
        <v>0</v>
      </c>
      <c r="K233" s="5">
        <f>deaths!K233-deaths!J233</f>
        <v>0</v>
      </c>
      <c r="L233" s="5">
        <f>deaths!L233-deaths!K233</f>
        <v>0</v>
      </c>
      <c r="M233" s="5">
        <f>deaths!M233-deaths!L233</f>
        <v>0</v>
      </c>
      <c r="N233" s="5">
        <f>deaths!N233-deaths!M233</f>
        <v>0</v>
      </c>
      <c r="O233" s="5">
        <f>deaths!O233-deaths!N233</f>
        <v>0</v>
      </c>
      <c r="P233" s="5">
        <f>deaths!P233-deaths!O233</f>
        <v>0</v>
      </c>
      <c r="Q233" s="5">
        <f>deaths!Q233-deaths!P233</f>
        <v>0</v>
      </c>
      <c r="R233" s="5">
        <f>deaths!R233-deaths!Q233</f>
        <v>0</v>
      </c>
      <c r="S233" s="5">
        <f>deaths!S233-deaths!R233</f>
        <v>0</v>
      </c>
      <c r="T233" s="5">
        <f>deaths!T233-deaths!S233</f>
        <v>0</v>
      </c>
      <c r="U233" s="5">
        <f>deaths!U233-deaths!T233</f>
        <v>0</v>
      </c>
      <c r="V233" s="5">
        <f>deaths!V233-deaths!U233</f>
        <v>0</v>
      </c>
      <c r="W233" s="5">
        <f>deaths!W233-deaths!V233</f>
        <v>0</v>
      </c>
      <c r="X233" s="5">
        <f>deaths!X233-deaths!W233</f>
        <v>0</v>
      </c>
      <c r="Y233" s="5">
        <f>deaths!Y233-deaths!X233</f>
        <v>0</v>
      </c>
      <c r="Z233" s="5">
        <f>deaths!Z233-deaths!Y233</f>
        <v>0</v>
      </c>
      <c r="AA233" s="5">
        <f>deaths!AA233-deaths!Z233</f>
        <v>0</v>
      </c>
      <c r="AB233" s="5">
        <f>deaths!AB233-deaths!AA233</f>
        <v>0</v>
      </c>
      <c r="AC233" s="5">
        <f>deaths!AC233-deaths!AB233</f>
        <v>0</v>
      </c>
      <c r="AD233" s="5">
        <f>deaths!AD233-deaths!AC233</f>
        <v>0</v>
      </c>
      <c r="AE233" s="5">
        <f>deaths!AE233-deaths!AD233</f>
        <v>0</v>
      </c>
      <c r="AF233" s="5">
        <f>deaths!AF233-deaths!AE233</f>
        <v>0</v>
      </c>
      <c r="AG233" s="5">
        <f>deaths!AG233-deaths!AF233</f>
        <v>0</v>
      </c>
      <c r="AH233" s="5">
        <f>deaths!AH233-deaths!AG233</f>
        <v>0</v>
      </c>
      <c r="AI233" s="5">
        <f>deaths!AI233-deaths!AH233</f>
        <v>0</v>
      </c>
      <c r="AJ233" s="5">
        <f>deaths!AJ233-deaths!AI233</f>
        <v>0</v>
      </c>
      <c r="AK233" s="5">
        <f>deaths!AK233-deaths!AJ233</f>
        <v>0</v>
      </c>
      <c r="AL233" s="5">
        <f>deaths!AL233-deaths!AK233</f>
        <v>0</v>
      </c>
      <c r="AM233" s="5">
        <f>deaths!AM233-deaths!AL233</f>
        <v>0</v>
      </c>
      <c r="AN233" s="5">
        <f>deaths!AN233-deaths!AM233</f>
        <v>0</v>
      </c>
      <c r="AO233" s="5">
        <f>deaths!AO233-deaths!AN233</f>
        <v>0</v>
      </c>
      <c r="AP233" s="5">
        <f>deaths!AP233-deaths!AO233</f>
        <v>0</v>
      </c>
      <c r="AQ233" s="5">
        <f>deaths!AQ233-deaths!AP233</f>
        <v>0</v>
      </c>
      <c r="AR233" s="5">
        <f>deaths!AR233-deaths!AQ233</f>
        <v>0</v>
      </c>
      <c r="AS233" s="5">
        <f>deaths!AS233-deaths!AR233</f>
        <v>0</v>
      </c>
      <c r="AT233" s="5">
        <f>deaths!AT233-deaths!AS233</f>
        <v>0</v>
      </c>
      <c r="AU233" s="5">
        <f>deaths!AU233-deaths!AT233</f>
        <v>0</v>
      </c>
      <c r="AV233" s="5">
        <f>deaths!AV233-deaths!AU233</f>
        <v>0</v>
      </c>
      <c r="AW233" s="5">
        <f>deaths!AW233-deaths!AV233</f>
        <v>0</v>
      </c>
      <c r="AX233" s="5">
        <f>deaths!AX233-deaths!AW233</f>
        <v>0</v>
      </c>
      <c r="AY233" s="5">
        <f>deaths!AY233-deaths!AX233</f>
        <v>0</v>
      </c>
      <c r="AZ233" s="5">
        <f>deaths!AZ233-deaths!AY233</f>
        <v>0</v>
      </c>
      <c r="BA233" s="5">
        <f>deaths!BA233-deaths!AZ233</f>
        <v>0</v>
      </c>
      <c r="BB233" s="5">
        <f>deaths!BB233-deaths!BA233</f>
        <v>0</v>
      </c>
      <c r="BC233" s="5">
        <f>deaths!BC233-deaths!BB233</f>
        <v>0</v>
      </c>
      <c r="BD233" s="5">
        <f>deaths!BD233-deaths!BC233</f>
        <v>0</v>
      </c>
      <c r="BE233" s="5">
        <f>deaths!BE233-deaths!BD233</f>
        <v>0</v>
      </c>
      <c r="BF233" s="5">
        <f>deaths!BF233-deaths!BE233</f>
        <v>0</v>
      </c>
      <c r="BG233" s="5">
        <f>deaths!BG233-deaths!BF233</f>
        <v>0</v>
      </c>
      <c r="BH233" s="5">
        <f>deaths!BH233-deaths!BG233</f>
        <v>0</v>
      </c>
      <c r="BI233" s="5">
        <f>deaths!BI233-deaths!BH233</f>
        <v>0</v>
      </c>
      <c r="BJ233" s="5">
        <f>deaths!BJ233-deaths!BI233</f>
        <v>0</v>
      </c>
      <c r="BK233" s="5">
        <f>deaths!BK233-deaths!BJ233</f>
        <v>0</v>
      </c>
      <c r="BL233" s="5">
        <f>deaths!BL233-deaths!BK233</f>
        <v>0</v>
      </c>
      <c r="BM233" s="5">
        <f>deaths!BM233-deaths!BL233</f>
        <v>1</v>
      </c>
      <c r="BN233" s="5">
        <f>deaths!BN233-deaths!BM233</f>
        <v>0</v>
      </c>
      <c r="BO233" s="5">
        <f>deaths!BO233-deaths!BN233</f>
        <v>0</v>
      </c>
      <c r="BP233" s="5">
        <f>deaths!BP233-deaths!BO233</f>
        <v>0</v>
      </c>
      <c r="BQ233" s="5">
        <f>deaths!BQ233-deaths!BP233</f>
        <v>0</v>
      </c>
      <c r="BR233" s="5">
        <f>deaths!BR233-deaths!BQ233</f>
        <v>0</v>
      </c>
      <c r="BS233" s="5">
        <f>deaths!BS233-deaths!BR233</f>
        <v>0</v>
      </c>
      <c r="BT233" s="5">
        <f>deaths!BT233-deaths!BS233</f>
        <v>0</v>
      </c>
      <c r="BU233" s="5">
        <f>deaths!BU233-deaths!BT233</f>
        <v>0</v>
      </c>
      <c r="BV233" s="5">
        <f>deaths!BV233-deaths!BU233</f>
        <v>0</v>
      </c>
      <c r="BW233" s="5">
        <f>deaths!BW233-deaths!BV233</f>
        <v>0</v>
      </c>
      <c r="BX233" s="5">
        <f>deaths!BX233-deaths!BW233</f>
        <v>0</v>
      </c>
      <c r="BY233" s="5">
        <f>deaths!BY233-deaths!BX233</f>
        <v>0</v>
      </c>
      <c r="BZ233" s="1">
        <f>deaths!BZ233</f>
        <v>1</v>
      </c>
      <c r="CA233" s="1">
        <f>deaths!CA233</f>
        <v>1</v>
      </c>
      <c r="CB233" s="1">
        <f>deaths!CB233</f>
        <v>1</v>
      </c>
      <c r="CC233" s="1" t="str">
        <f>deaths!CC233</f>
        <v/>
      </c>
    </row>
    <row r="234">
      <c r="B234" s="1" t="str">
        <f>deaths!B234</f>
        <v>Dominica</v>
      </c>
      <c r="C234" s="4">
        <f>deaths!C234</f>
        <v>15.415</v>
      </c>
      <c r="D234" s="4">
        <f>deaths!D234</f>
        <v>-61.371</v>
      </c>
      <c r="E234" s="5">
        <f>deaths!E234</f>
        <v>0</v>
      </c>
      <c r="F234" s="5">
        <f>deaths!F234-deaths!E234</f>
        <v>0</v>
      </c>
      <c r="G234" s="5">
        <f>deaths!G234-deaths!F234</f>
        <v>0</v>
      </c>
      <c r="H234" s="5">
        <f>deaths!H234-deaths!G234</f>
        <v>0</v>
      </c>
      <c r="I234" s="5">
        <f>deaths!I234-deaths!H234</f>
        <v>0</v>
      </c>
      <c r="J234" s="5">
        <f>deaths!J234-deaths!I234</f>
        <v>0</v>
      </c>
      <c r="K234" s="5">
        <f>deaths!K234-deaths!J234</f>
        <v>0</v>
      </c>
      <c r="L234" s="5">
        <f>deaths!L234-deaths!K234</f>
        <v>0</v>
      </c>
      <c r="M234" s="5">
        <f>deaths!M234-deaths!L234</f>
        <v>0</v>
      </c>
      <c r="N234" s="5">
        <f>deaths!N234-deaths!M234</f>
        <v>0</v>
      </c>
      <c r="O234" s="5">
        <f>deaths!O234-deaths!N234</f>
        <v>0</v>
      </c>
      <c r="P234" s="5">
        <f>deaths!P234-deaths!O234</f>
        <v>0</v>
      </c>
      <c r="Q234" s="5">
        <f>deaths!Q234-deaths!P234</f>
        <v>0</v>
      </c>
      <c r="R234" s="5">
        <f>deaths!R234-deaths!Q234</f>
        <v>0</v>
      </c>
      <c r="S234" s="5">
        <f>deaths!S234-deaths!R234</f>
        <v>0</v>
      </c>
      <c r="T234" s="5">
        <f>deaths!T234-deaths!S234</f>
        <v>0</v>
      </c>
      <c r="U234" s="5">
        <f>deaths!U234-deaths!T234</f>
        <v>0</v>
      </c>
      <c r="V234" s="5">
        <f>deaths!V234-deaths!U234</f>
        <v>0</v>
      </c>
      <c r="W234" s="5">
        <f>deaths!W234-deaths!V234</f>
        <v>0</v>
      </c>
      <c r="X234" s="5">
        <f>deaths!X234-deaths!W234</f>
        <v>0</v>
      </c>
      <c r="Y234" s="5">
        <f>deaths!Y234-deaths!X234</f>
        <v>0</v>
      </c>
      <c r="Z234" s="5">
        <f>deaths!Z234-deaths!Y234</f>
        <v>0</v>
      </c>
      <c r="AA234" s="5">
        <f>deaths!AA234-deaths!Z234</f>
        <v>0</v>
      </c>
      <c r="AB234" s="5">
        <f>deaths!AB234-deaths!AA234</f>
        <v>0</v>
      </c>
      <c r="AC234" s="5">
        <f>deaths!AC234-deaths!AB234</f>
        <v>0</v>
      </c>
      <c r="AD234" s="5">
        <f>deaths!AD234-deaths!AC234</f>
        <v>0</v>
      </c>
      <c r="AE234" s="5">
        <f>deaths!AE234-deaths!AD234</f>
        <v>0</v>
      </c>
      <c r="AF234" s="5">
        <f>deaths!AF234-deaths!AE234</f>
        <v>0</v>
      </c>
      <c r="AG234" s="5">
        <f>deaths!AG234-deaths!AF234</f>
        <v>0</v>
      </c>
      <c r="AH234" s="5">
        <f>deaths!AH234-deaths!AG234</f>
        <v>0</v>
      </c>
      <c r="AI234" s="5">
        <f>deaths!AI234-deaths!AH234</f>
        <v>0</v>
      </c>
      <c r="AJ234" s="5">
        <f>deaths!AJ234-deaths!AI234</f>
        <v>0</v>
      </c>
      <c r="AK234" s="5">
        <f>deaths!AK234-deaths!AJ234</f>
        <v>0</v>
      </c>
      <c r="AL234" s="5">
        <f>deaths!AL234-deaths!AK234</f>
        <v>0</v>
      </c>
      <c r="AM234" s="5">
        <f>deaths!AM234-deaths!AL234</f>
        <v>0</v>
      </c>
      <c r="AN234" s="5">
        <f>deaths!AN234-deaths!AM234</f>
        <v>0</v>
      </c>
      <c r="AO234" s="5">
        <f>deaths!AO234-deaths!AN234</f>
        <v>0</v>
      </c>
      <c r="AP234" s="5">
        <f>deaths!AP234-deaths!AO234</f>
        <v>0</v>
      </c>
      <c r="AQ234" s="5">
        <f>deaths!AQ234-deaths!AP234</f>
        <v>0</v>
      </c>
      <c r="AR234" s="5">
        <f>deaths!AR234-deaths!AQ234</f>
        <v>0</v>
      </c>
      <c r="AS234" s="5">
        <f>deaths!AS234-deaths!AR234</f>
        <v>0</v>
      </c>
      <c r="AT234" s="5">
        <f>deaths!AT234-deaths!AS234</f>
        <v>0</v>
      </c>
      <c r="AU234" s="5">
        <f>deaths!AU234-deaths!AT234</f>
        <v>0</v>
      </c>
      <c r="AV234" s="5">
        <f>deaths!AV234-deaths!AU234</f>
        <v>0</v>
      </c>
      <c r="AW234" s="5">
        <f>deaths!AW234-deaths!AV234</f>
        <v>0</v>
      </c>
      <c r="AX234" s="5">
        <f>deaths!AX234-deaths!AW234</f>
        <v>0</v>
      </c>
      <c r="AY234" s="5">
        <f>deaths!AY234-deaths!AX234</f>
        <v>0</v>
      </c>
      <c r="AZ234" s="5">
        <f>deaths!AZ234-deaths!AY234</f>
        <v>0</v>
      </c>
      <c r="BA234" s="5">
        <f>deaths!BA234-deaths!AZ234</f>
        <v>0</v>
      </c>
      <c r="BB234" s="5">
        <f>deaths!BB234-deaths!BA234</f>
        <v>0</v>
      </c>
      <c r="BC234" s="5">
        <f>deaths!BC234-deaths!BB234</f>
        <v>0</v>
      </c>
      <c r="BD234" s="5">
        <f>deaths!BD234-deaths!BC234</f>
        <v>0</v>
      </c>
      <c r="BE234" s="5">
        <f>deaths!BE234-deaths!BD234</f>
        <v>0</v>
      </c>
      <c r="BF234" s="5">
        <f>deaths!BF234-deaths!BE234</f>
        <v>0</v>
      </c>
      <c r="BG234" s="5">
        <f>deaths!BG234-deaths!BF234</f>
        <v>0</v>
      </c>
      <c r="BH234" s="5">
        <f>deaths!BH234-deaths!BG234</f>
        <v>0</v>
      </c>
      <c r="BI234" s="5">
        <f>deaths!BI234-deaths!BH234</f>
        <v>0</v>
      </c>
      <c r="BJ234" s="5">
        <f>deaths!BJ234-deaths!BI234</f>
        <v>0</v>
      </c>
      <c r="BK234" s="5">
        <f>deaths!BK234-deaths!BJ234</f>
        <v>0</v>
      </c>
      <c r="BL234" s="5">
        <f>deaths!BL234-deaths!BK234</f>
        <v>0</v>
      </c>
      <c r="BM234" s="5">
        <f>deaths!BM234-deaths!BL234</f>
        <v>0</v>
      </c>
      <c r="BN234" s="5">
        <f>deaths!BN234-deaths!BM234</f>
        <v>0</v>
      </c>
      <c r="BO234" s="5">
        <f>deaths!BO234-deaths!BN234</f>
        <v>0</v>
      </c>
      <c r="BP234" s="5">
        <f>deaths!BP234-deaths!BO234</f>
        <v>0</v>
      </c>
      <c r="BQ234" s="5">
        <f>deaths!BQ234-deaths!BP234</f>
        <v>0</v>
      </c>
      <c r="BR234" s="5">
        <f>deaths!BR234-deaths!BQ234</f>
        <v>0</v>
      </c>
      <c r="BS234" s="5">
        <f>deaths!BS234-deaths!BR234</f>
        <v>0</v>
      </c>
      <c r="BT234" s="5">
        <f>deaths!BT234-deaths!BS234</f>
        <v>0</v>
      </c>
      <c r="BU234" s="5">
        <f>deaths!BU234-deaths!BT234</f>
        <v>0</v>
      </c>
      <c r="BV234" s="5">
        <f>deaths!BV234-deaths!BU234</f>
        <v>0</v>
      </c>
      <c r="BW234" s="5">
        <f>deaths!BW234-deaths!BV234</f>
        <v>0</v>
      </c>
      <c r="BX234" s="5">
        <f>deaths!BX234-deaths!BW234</f>
        <v>0</v>
      </c>
      <c r="BY234" s="5">
        <f>deaths!BY234-deaths!BX234</f>
        <v>0</v>
      </c>
      <c r="BZ234" s="1">
        <f>deaths!BZ234</f>
        <v>0</v>
      </c>
      <c r="CA234" s="1">
        <f>deaths!CA234</f>
        <v>0</v>
      </c>
      <c r="CB234" s="1">
        <f>deaths!CB234</f>
        <v>0</v>
      </c>
      <c r="CC234" s="1" t="str">
        <f>deaths!CC234</f>
        <v/>
      </c>
    </row>
    <row r="235">
      <c r="B235" s="1" t="str">
        <f>deaths!B235</f>
        <v>Grenada</v>
      </c>
      <c r="C235" s="4">
        <f>deaths!C235</f>
        <v>12.1165</v>
      </c>
      <c r="D235" s="4">
        <f>deaths!D235</f>
        <v>-61.679</v>
      </c>
      <c r="E235" s="5">
        <f>deaths!E235</f>
        <v>0</v>
      </c>
      <c r="F235" s="5">
        <f>deaths!F235-deaths!E235</f>
        <v>0</v>
      </c>
      <c r="G235" s="5">
        <f>deaths!G235-deaths!F235</f>
        <v>0</v>
      </c>
      <c r="H235" s="5">
        <f>deaths!H235-deaths!G235</f>
        <v>0</v>
      </c>
      <c r="I235" s="5">
        <f>deaths!I235-deaths!H235</f>
        <v>0</v>
      </c>
      <c r="J235" s="5">
        <f>deaths!J235-deaths!I235</f>
        <v>0</v>
      </c>
      <c r="K235" s="5">
        <f>deaths!K235-deaths!J235</f>
        <v>0</v>
      </c>
      <c r="L235" s="5">
        <f>deaths!L235-deaths!K235</f>
        <v>0</v>
      </c>
      <c r="M235" s="5">
        <f>deaths!M235-deaths!L235</f>
        <v>0</v>
      </c>
      <c r="N235" s="5">
        <f>deaths!N235-deaths!M235</f>
        <v>0</v>
      </c>
      <c r="O235" s="5">
        <f>deaths!O235-deaths!N235</f>
        <v>0</v>
      </c>
      <c r="P235" s="5">
        <f>deaths!P235-deaths!O235</f>
        <v>0</v>
      </c>
      <c r="Q235" s="5">
        <f>deaths!Q235-deaths!P235</f>
        <v>0</v>
      </c>
      <c r="R235" s="5">
        <f>deaths!R235-deaths!Q235</f>
        <v>0</v>
      </c>
      <c r="S235" s="5">
        <f>deaths!S235-deaths!R235</f>
        <v>0</v>
      </c>
      <c r="T235" s="5">
        <f>deaths!T235-deaths!S235</f>
        <v>0</v>
      </c>
      <c r="U235" s="5">
        <f>deaths!U235-deaths!T235</f>
        <v>0</v>
      </c>
      <c r="V235" s="5">
        <f>deaths!V235-deaths!U235</f>
        <v>0</v>
      </c>
      <c r="W235" s="5">
        <f>deaths!W235-deaths!V235</f>
        <v>0</v>
      </c>
      <c r="X235" s="5">
        <f>deaths!X235-deaths!W235</f>
        <v>0</v>
      </c>
      <c r="Y235" s="5">
        <f>deaths!Y235-deaths!X235</f>
        <v>0</v>
      </c>
      <c r="Z235" s="5">
        <f>deaths!Z235-deaths!Y235</f>
        <v>0</v>
      </c>
      <c r="AA235" s="5">
        <f>deaths!AA235-deaths!Z235</f>
        <v>0</v>
      </c>
      <c r="AB235" s="5">
        <f>deaths!AB235-deaths!AA235</f>
        <v>0</v>
      </c>
      <c r="AC235" s="5">
        <f>deaths!AC235-deaths!AB235</f>
        <v>0</v>
      </c>
      <c r="AD235" s="5">
        <f>deaths!AD235-deaths!AC235</f>
        <v>0</v>
      </c>
      <c r="AE235" s="5">
        <f>deaths!AE235-deaths!AD235</f>
        <v>0</v>
      </c>
      <c r="AF235" s="5">
        <f>deaths!AF235-deaths!AE235</f>
        <v>0</v>
      </c>
      <c r="AG235" s="5">
        <f>deaths!AG235-deaths!AF235</f>
        <v>0</v>
      </c>
      <c r="AH235" s="5">
        <f>deaths!AH235-deaths!AG235</f>
        <v>0</v>
      </c>
      <c r="AI235" s="5">
        <f>deaths!AI235-deaths!AH235</f>
        <v>0</v>
      </c>
      <c r="AJ235" s="5">
        <f>deaths!AJ235-deaths!AI235</f>
        <v>0</v>
      </c>
      <c r="AK235" s="5">
        <f>deaths!AK235-deaths!AJ235</f>
        <v>0</v>
      </c>
      <c r="AL235" s="5">
        <f>deaths!AL235-deaths!AK235</f>
        <v>0</v>
      </c>
      <c r="AM235" s="5">
        <f>deaths!AM235-deaths!AL235</f>
        <v>0</v>
      </c>
      <c r="AN235" s="5">
        <f>deaths!AN235-deaths!AM235</f>
        <v>0</v>
      </c>
      <c r="AO235" s="5">
        <f>deaths!AO235-deaths!AN235</f>
        <v>0</v>
      </c>
      <c r="AP235" s="5">
        <f>deaths!AP235-deaths!AO235</f>
        <v>0</v>
      </c>
      <c r="AQ235" s="5">
        <f>deaths!AQ235-deaths!AP235</f>
        <v>0</v>
      </c>
      <c r="AR235" s="5">
        <f>deaths!AR235-deaths!AQ235</f>
        <v>0</v>
      </c>
      <c r="AS235" s="5">
        <f>deaths!AS235-deaths!AR235</f>
        <v>0</v>
      </c>
      <c r="AT235" s="5">
        <f>deaths!AT235-deaths!AS235</f>
        <v>0</v>
      </c>
      <c r="AU235" s="5">
        <f>deaths!AU235-deaths!AT235</f>
        <v>0</v>
      </c>
      <c r="AV235" s="5">
        <f>deaths!AV235-deaths!AU235</f>
        <v>0</v>
      </c>
      <c r="AW235" s="5">
        <f>deaths!AW235-deaths!AV235</f>
        <v>0</v>
      </c>
      <c r="AX235" s="5">
        <f>deaths!AX235-deaths!AW235</f>
        <v>0</v>
      </c>
      <c r="AY235" s="5">
        <f>deaths!AY235-deaths!AX235</f>
        <v>0</v>
      </c>
      <c r="AZ235" s="5">
        <f>deaths!AZ235-deaths!AY235</f>
        <v>0</v>
      </c>
      <c r="BA235" s="5">
        <f>deaths!BA235-deaths!AZ235</f>
        <v>0</v>
      </c>
      <c r="BB235" s="5">
        <f>deaths!BB235-deaths!BA235</f>
        <v>0</v>
      </c>
      <c r="BC235" s="5">
        <f>deaths!BC235-deaths!BB235</f>
        <v>0</v>
      </c>
      <c r="BD235" s="5">
        <f>deaths!BD235-deaths!BC235</f>
        <v>0</v>
      </c>
      <c r="BE235" s="5">
        <f>deaths!BE235-deaths!BD235</f>
        <v>0</v>
      </c>
      <c r="BF235" s="5">
        <f>deaths!BF235-deaths!BE235</f>
        <v>0</v>
      </c>
      <c r="BG235" s="5">
        <f>deaths!BG235-deaths!BF235</f>
        <v>0</v>
      </c>
      <c r="BH235" s="5">
        <f>deaths!BH235-deaths!BG235</f>
        <v>0</v>
      </c>
      <c r="BI235" s="5">
        <f>deaths!BI235-deaths!BH235</f>
        <v>0</v>
      </c>
      <c r="BJ235" s="5">
        <f>deaths!BJ235-deaths!BI235</f>
        <v>0</v>
      </c>
      <c r="BK235" s="5">
        <f>deaths!BK235-deaths!BJ235</f>
        <v>0</v>
      </c>
      <c r="BL235" s="5">
        <f>deaths!BL235-deaths!BK235</f>
        <v>0</v>
      </c>
      <c r="BM235" s="5">
        <f>deaths!BM235-deaths!BL235</f>
        <v>0</v>
      </c>
      <c r="BN235" s="5">
        <f>deaths!BN235-deaths!BM235</f>
        <v>0</v>
      </c>
      <c r="BO235" s="5">
        <f>deaths!BO235-deaths!BN235</f>
        <v>0</v>
      </c>
      <c r="BP235" s="5">
        <f>deaths!BP235-deaths!BO235</f>
        <v>0</v>
      </c>
      <c r="BQ235" s="5">
        <f>deaths!BQ235-deaths!BP235</f>
        <v>0</v>
      </c>
      <c r="BR235" s="5">
        <f>deaths!BR235-deaths!BQ235</f>
        <v>0</v>
      </c>
      <c r="BS235" s="5">
        <f>deaths!BS235-deaths!BR235</f>
        <v>0</v>
      </c>
      <c r="BT235" s="5">
        <f>deaths!BT235-deaths!BS235</f>
        <v>0</v>
      </c>
      <c r="BU235" s="5">
        <f>deaths!BU235-deaths!BT235</f>
        <v>0</v>
      </c>
      <c r="BV235" s="5">
        <f>deaths!BV235-deaths!BU235</f>
        <v>0</v>
      </c>
      <c r="BW235" s="5">
        <f>deaths!BW235-deaths!BV235</f>
        <v>0</v>
      </c>
      <c r="BX235" s="5">
        <f>deaths!BX235-deaths!BW235</f>
        <v>0</v>
      </c>
      <c r="BY235" s="5">
        <f>deaths!BY235-deaths!BX235</f>
        <v>0</v>
      </c>
      <c r="BZ235" s="1">
        <f>deaths!BZ235</f>
        <v>0</v>
      </c>
      <c r="CA235" s="1">
        <f>deaths!CA235</f>
        <v>0</v>
      </c>
      <c r="CB235" s="1">
        <f>deaths!CB235</f>
        <v>0</v>
      </c>
      <c r="CC235" s="1" t="str">
        <f>deaths!CC235</f>
        <v/>
      </c>
    </row>
    <row r="236">
      <c r="B236" s="1" t="str">
        <f>deaths!B236</f>
        <v>Mozambique</v>
      </c>
      <c r="C236" s="4">
        <f>deaths!C236</f>
        <v>-18.665695</v>
      </c>
      <c r="D236" s="4">
        <f>deaths!D236</f>
        <v>35.529562</v>
      </c>
      <c r="E236" s="5">
        <f>deaths!E236</f>
        <v>0</v>
      </c>
      <c r="F236" s="5">
        <f>deaths!F236-deaths!E236</f>
        <v>0</v>
      </c>
      <c r="G236" s="5">
        <f>deaths!G236-deaths!F236</f>
        <v>0</v>
      </c>
      <c r="H236" s="5">
        <f>deaths!H236-deaths!G236</f>
        <v>0</v>
      </c>
      <c r="I236" s="5">
        <f>deaths!I236-deaths!H236</f>
        <v>0</v>
      </c>
      <c r="J236" s="5">
        <f>deaths!J236-deaths!I236</f>
        <v>0</v>
      </c>
      <c r="K236" s="5">
        <f>deaths!K236-deaths!J236</f>
        <v>0</v>
      </c>
      <c r="L236" s="5">
        <f>deaths!L236-deaths!K236</f>
        <v>0</v>
      </c>
      <c r="M236" s="5">
        <f>deaths!M236-deaths!L236</f>
        <v>0</v>
      </c>
      <c r="N236" s="5">
        <f>deaths!N236-deaths!M236</f>
        <v>0</v>
      </c>
      <c r="O236" s="5">
        <f>deaths!O236-deaths!N236</f>
        <v>0</v>
      </c>
      <c r="P236" s="5">
        <f>deaths!P236-deaths!O236</f>
        <v>0</v>
      </c>
      <c r="Q236" s="5">
        <f>deaths!Q236-deaths!P236</f>
        <v>0</v>
      </c>
      <c r="R236" s="5">
        <f>deaths!R236-deaths!Q236</f>
        <v>0</v>
      </c>
      <c r="S236" s="5">
        <f>deaths!S236-deaths!R236</f>
        <v>0</v>
      </c>
      <c r="T236" s="5">
        <f>deaths!T236-deaths!S236</f>
        <v>0</v>
      </c>
      <c r="U236" s="5">
        <f>deaths!U236-deaths!T236</f>
        <v>0</v>
      </c>
      <c r="V236" s="5">
        <f>deaths!V236-deaths!U236</f>
        <v>0</v>
      </c>
      <c r="W236" s="5">
        <f>deaths!W236-deaths!V236</f>
        <v>0</v>
      </c>
      <c r="X236" s="5">
        <f>deaths!X236-deaths!W236</f>
        <v>0</v>
      </c>
      <c r="Y236" s="5">
        <f>deaths!Y236-deaths!X236</f>
        <v>0</v>
      </c>
      <c r="Z236" s="5">
        <f>deaths!Z236-deaths!Y236</f>
        <v>0</v>
      </c>
      <c r="AA236" s="5">
        <f>deaths!AA236-deaths!Z236</f>
        <v>0</v>
      </c>
      <c r="AB236" s="5">
        <f>deaths!AB236-deaths!AA236</f>
        <v>0</v>
      </c>
      <c r="AC236" s="5">
        <f>deaths!AC236-deaths!AB236</f>
        <v>0</v>
      </c>
      <c r="AD236" s="5">
        <f>deaths!AD236-deaths!AC236</f>
        <v>0</v>
      </c>
      <c r="AE236" s="5">
        <f>deaths!AE236-deaths!AD236</f>
        <v>0</v>
      </c>
      <c r="AF236" s="5">
        <f>deaths!AF236-deaths!AE236</f>
        <v>0</v>
      </c>
      <c r="AG236" s="5">
        <f>deaths!AG236-deaths!AF236</f>
        <v>0</v>
      </c>
      <c r="AH236" s="5">
        <f>deaths!AH236-deaths!AG236</f>
        <v>0</v>
      </c>
      <c r="AI236" s="5">
        <f>deaths!AI236-deaths!AH236</f>
        <v>0</v>
      </c>
      <c r="AJ236" s="5">
        <f>deaths!AJ236-deaths!AI236</f>
        <v>0</v>
      </c>
      <c r="AK236" s="5">
        <f>deaths!AK236-deaths!AJ236</f>
        <v>0</v>
      </c>
      <c r="AL236" s="5">
        <f>deaths!AL236-deaths!AK236</f>
        <v>0</v>
      </c>
      <c r="AM236" s="5">
        <f>deaths!AM236-deaths!AL236</f>
        <v>0</v>
      </c>
      <c r="AN236" s="5">
        <f>deaths!AN236-deaths!AM236</f>
        <v>0</v>
      </c>
      <c r="AO236" s="5">
        <f>deaths!AO236-deaths!AN236</f>
        <v>0</v>
      </c>
      <c r="AP236" s="5">
        <f>deaths!AP236-deaths!AO236</f>
        <v>0</v>
      </c>
      <c r="AQ236" s="5">
        <f>deaths!AQ236-deaths!AP236</f>
        <v>0</v>
      </c>
      <c r="AR236" s="5">
        <f>deaths!AR236-deaths!AQ236</f>
        <v>0</v>
      </c>
      <c r="AS236" s="5">
        <f>deaths!AS236-deaths!AR236</f>
        <v>0</v>
      </c>
      <c r="AT236" s="5">
        <f>deaths!AT236-deaths!AS236</f>
        <v>0</v>
      </c>
      <c r="AU236" s="5">
        <f>deaths!AU236-deaths!AT236</f>
        <v>0</v>
      </c>
      <c r="AV236" s="5">
        <f>deaths!AV236-deaths!AU236</f>
        <v>0</v>
      </c>
      <c r="AW236" s="5">
        <f>deaths!AW236-deaths!AV236</f>
        <v>0</v>
      </c>
      <c r="AX236" s="5">
        <f>deaths!AX236-deaths!AW236</f>
        <v>0</v>
      </c>
      <c r="AY236" s="5">
        <f>deaths!AY236-deaths!AX236</f>
        <v>0</v>
      </c>
      <c r="AZ236" s="5">
        <f>deaths!AZ236-deaths!AY236</f>
        <v>0</v>
      </c>
      <c r="BA236" s="5">
        <f>deaths!BA236-deaths!AZ236</f>
        <v>0</v>
      </c>
      <c r="BB236" s="5">
        <f>deaths!BB236-deaths!BA236</f>
        <v>0</v>
      </c>
      <c r="BC236" s="5">
        <f>deaths!BC236-deaths!BB236</f>
        <v>0</v>
      </c>
      <c r="BD236" s="5">
        <f>deaths!BD236-deaths!BC236</f>
        <v>0</v>
      </c>
      <c r="BE236" s="5">
        <f>deaths!BE236-deaths!BD236</f>
        <v>0</v>
      </c>
      <c r="BF236" s="5">
        <f>deaths!BF236-deaths!BE236</f>
        <v>0</v>
      </c>
      <c r="BG236" s="5">
        <f>deaths!BG236-deaths!BF236</f>
        <v>0</v>
      </c>
      <c r="BH236" s="5">
        <f>deaths!BH236-deaths!BG236</f>
        <v>0</v>
      </c>
      <c r="BI236" s="5">
        <f>deaths!BI236-deaths!BH236</f>
        <v>0</v>
      </c>
      <c r="BJ236" s="5">
        <f>deaths!BJ236-deaths!BI236</f>
        <v>0</v>
      </c>
      <c r="BK236" s="5">
        <f>deaths!BK236-deaths!BJ236</f>
        <v>0</v>
      </c>
      <c r="BL236" s="5">
        <f>deaths!BL236-deaths!BK236</f>
        <v>0</v>
      </c>
      <c r="BM236" s="5">
        <f>deaths!BM236-deaths!BL236</f>
        <v>0</v>
      </c>
      <c r="BN236" s="5">
        <f>deaths!BN236-deaths!BM236</f>
        <v>0</v>
      </c>
      <c r="BO236" s="5">
        <f>deaths!BO236-deaths!BN236</f>
        <v>0</v>
      </c>
      <c r="BP236" s="5">
        <f>deaths!BP236-deaths!BO236</f>
        <v>0</v>
      </c>
      <c r="BQ236" s="5">
        <f>deaths!BQ236-deaths!BP236</f>
        <v>0</v>
      </c>
      <c r="BR236" s="5">
        <f>deaths!BR236-deaths!BQ236</f>
        <v>0</v>
      </c>
      <c r="BS236" s="5">
        <f>deaths!BS236-deaths!BR236</f>
        <v>0</v>
      </c>
      <c r="BT236" s="5">
        <f>deaths!BT236-deaths!BS236</f>
        <v>0</v>
      </c>
      <c r="BU236" s="5">
        <f>deaths!BU236-deaths!BT236</f>
        <v>0</v>
      </c>
      <c r="BV236" s="5">
        <f>deaths!BV236-deaths!BU236</f>
        <v>0</v>
      </c>
      <c r="BW236" s="5">
        <f>deaths!BW236-deaths!BV236</f>
        <v>0</v>
      </c>
      <c r="BX236" s="5">
        <f>deaths!BX236-deaths!BW236</f>
        <v>0</v>
      </c>
      <c r="BY236" s="5">
        <f>deaths!BY236-deaths!BX236</f>
        <v>0</v>
      </c>
      <c r="BZ236" s="1">
        <f>deaths!BZ236</f>
        <v>0</v>
      </c>
      <c r="CA236" s="1">
        <f>deaths!CA236</f>
        <v>0</v>
      </c>
      <c r="CB236" s="1">
        <f>deaths!CB236</f>
        <v>0</v>
      </c>
      <c r="CC236" s="1" t="str">
        <f>deaths!CC236</f>
        <v/>
      </c>
    </row>
    <row r="237">
      <c r="B237" s="1" t="str">
        <f>deaths!B237</f>
        <v>Syria</v>
      </c>
      <c r="C237" s="4">
        <f>deaths!C237</f>
        <v>34.802075</v>
      </c>
      <c r="D237" s="4">
        <f>deaths!D237</f>
        <v>38.996815</v>
      </c>
      <c r="E237" s="5">
        <f>deaths!E237</f>
        <v>0</v>
      </c>
      <c r="F237" s="5">
        <f>deaths!F237-deaths!E237</f>
        <v>0</v>
      </c>
      <c r="G237" s="5">
        <f>deaths!G237-deaths!F237</f>
        <v>0</v>
      </c>
      <c r="H237" s="5">
        <f>deaths!H237-deaths!G237</f>
        <v>0</v>
      </c>
      <c r="I237" s="5">
        <f>deaths!I237-deaths!H237</f>
        <v>0</v>
      </c>
      <c r="J237" s="5">
        <f>deaths!J237-deaths!I237</f>
        <v>0</v>
      </c>
      <c r="K237" s="5">
        <f>deaths!K237-deaths!J237</f>
        <v>0</v>
      </c>
      <c r="L237" s="5">
        <f>deaths!L237-deaths!K237</f>
        <v>0</v>
      </c>
      <c r="M237" s="5">
        <f>deaths!M237-deaths!L237</f>
        <v>0</v>
      </c>
      <c r="N237" s="5">
        <f>deaths!N237-deaths!M237</f>
        <v>0</v>
      </c>
      <c r="O237" s="5">
        <f>deaths!O237-deaths!N237</f>
        <v>0</v>
      </c>
      <c r="P237" s="5">
        <f>deaths!P237-deaths!O237</f>
        <v>0</v>
      </c>
      <c r="Q237" s="5">
        <f>deaths!Q237-deaths!P237</f>
        <v>0</v>
      </c>
      <c r="R237" s="5">
        <f>deaths!R237-deaths!Q237</f>
        <v>0</v>
      </c>
      <c r="S237" s="5">
        <f>deaths!S237-deaths!R237</f>
        <v>0</v>
      </c>
      <c r="T237" s="5">
        <f>deaths!T237-deaths!S237</f>
        <v>0</v>
      </c>
      <c r="U237" s="5">
        <f>deaths!U237-deaths!T237</f>
        <v>0</v>
      </c>
      <c r="V237" s="5">
        <f>deaths!V237-deaths!U237</f>
        <v>0</v>
      </c>
      <c r="W237" s="5">
        <f>deaths!W237-deaths!V237</f>
        <v>0</v>
      </c>
      <c r="X237" s="5">
        <f>deaths!X237-deaths!W237</f>
        <v>0</v>
      </c>
      <c r="Y237" s="5">
        <f>deaths!Y237-deaths!X237</f>
        <v>0</v>
      </c>
      <c r="Z237" s="5">
        <f>deaths!Z237-deaths!Y237</f>
        <v>0</v>
      </c>
      <c r="AA237" s="5">
        <f>deaths!AA237-deaths!Z237</f>
        <v>0</v>
      </c>
      <c r="AB237" s="5">
        <f>deaths!AB237-deaths!AA237</f>
        <v>0</v>
      </c>
      <c r="AC237" s="5">
        <f>deaths!AC237-deaths!AB237</f>
        <v>0</v>
      </c>
      <c r="AD237" s="5">
        <f>deaths!AD237-deaths!AC237</f>
        <v>0</v>
      </c>
      <c r="AE237" s="5">
        <f>deaths!AE237-deaths!AD237</f>
        <v>0</v>
      </c>
      <c r="AF237" s="5">
        <f>deaths!AF237-deaths!AE237</f>
        <v>0</v>
      </c>
      <c r="AG237" s="5">
        <f>deaths!AG237-deaths!AF237</f>
        <v>0</v>
      </c>
      <c r="AH237" s="5">
        <f>deaths!AH237-deaths!AG237</f>
        <v>0</v>
      </c>
      <c r="AI237" s="5">
        <f>deaths!AI237-deaths!AH237</f>
        <v>0</v>
      </c>
      <c r="AJ237" s="5">
        <f>deaths!AJ237-deaths!AI237</f>
        <v>0</v>
      </c>
      <c r="AK237" s="5">
        <f>deaths!AK237-deaths!AJ237</f>
        <v>0</v>
      </c>
      <c r="AL237" s="5">
        <f>deaths!AL237-deaths!AK237</f>
        <v>0</v>
      </c>
      <c r="AM237" s="5">
        <f>deaths!AM237-deaths!AL237</f>
        <v>0</v>
      </c>
      <c r="AN237" s="5">
        <f>deaths!AN237-deaths!AM237</f>
        <v>0</v>
      </c>
      <c r="AO237" s="5">
        <f>deaths!AO237-deaths!AN237</f>
        <v>0</v>
      </c>
      <c r="AP237" s="5">
        <f>deaths!AP237-deaths!AO237</f>
        <v>0</v>
      </c>
      <c r="AQ237" s="5">
        <f>deaths!AQ237-deaths!AP237</f>
        <v>0</v>
      </c>
      <c r="AR237" s="5">
        <f>deaths!AR237-deaths!AQ237</f>
        <v>0</v>
      </c>
      <c r="AS237" s="5">
        <f>deaths!AS237-deaths!AR237</f>
        <v>0</v>
      </c>
      <c r="AT237" s="5">
        <f>deaths!AT237-deaths!AS237</f>
        <v>0</v>
      </c>
      <c r="AU237" s="5">
        <f>deaths!AU237-deaths!AT237</f>
        <v>0</v>
      </c>
      <c r="AV237" s="5">
        <f>deaths!AV237-deaths!AU237</f>
        <v>0</v>
      </c>
      <c r="AW237" s="5">
        <f>deaths!AW237-deaths!AV237</f>
        <v>0</v>
      </c>
      <c r="AX237" s="5">
        <f>deaths!AX237-deaths!AW237</f>
        <v>0</v>
      </c>
      <c r="AY237" s="5">
        <f>deaths!AY237-deaths!AX237</f>
        <v>0</v>
      </c>
      <c r="AZ237" s="5">
        <f>deaths!AZ237-deaths!AY237</f>
        <v>0</v>
      </c>
      <c r="BA237" s="5">
        <f>deaths!BA237-deaths!AZ237</f>
        <v>0</v>
      </c>
      <c r="BB237" s="5">
        <f>deaths!BB237-deaths!BA237</f>
        <v>0</v>
      </c>
      <c r="BC237" s="5">
        <f>deaths!BC237-deaths!BB237</f>
        <v>0</v>
      </c>
      <c r="BD237" s="5">
        <f>deaths!BD237-deaths!BC237</f>
        <v>0</v>
      </c>
      <c r="BE237" s="5">
        <f>deaths!BE237-deaths!BD237</f>
        <v>0</v>
      </c>
      <c r="BF237" s="5">
        <f>deaths!BF237-deaths!BE237</f>
        <v>0</v>
      </c>
      <c r="BG237" s="5">
        <f>deaths!BG237-deaths!BF237</f>
        <v>0</v>
      </c>
      <c r="BH237" s="5">
        <f>deaths!BH237-deaths!BG237</f>
        <v>0</v>
      </c>
      <c r="BI237" s="5">
        <f>deaths!BI237-deaths!BH237</f>
        <v>0</v>
      </c>
      <c r="BJ237" s="5">
        <f>deaths!BJ237-deaths!BI237</f>
        <v>0</v>
      </c>
      <c r="BK237" s="5">
        <f>deaths!BK237-deaths!BJ237</f>
        <v>0</v>
      </c>
      <c r="BL237" s="5">
        <f>deaths!BL237-deaths!BK237</f>
        <v>0</v>
      </c>
      <c r="BM237" s="5">
        <f>deaths!BM237-deaths!BL237</f>
        <v>0</v>
      </c>
      <c r="BN237" s="5">
        <f>deaths!BN237-deaths!BM237</f>
        <v>0</v>
      </c>
      <c r="BO237" s="5">
        <f>deaths!BO237-deaths!BN237</f>
        <v>0</v>
      </c>
      <c r="BP237" s="5">
        <f>deaths!BP237-deaths!BO237</f>
        <v>0</v>
      </c>
      <c r="BQ237" s="5">
        <f>deaths!BQ237-deaths!BP237</f>
        <v>0</v>
      </c>
      <c r="BR237" s="5">
        <f>deaths!BR237-deaths!BQ237</f>
        <v>0</v>
      </c>
      <c r="BS237" s="5">
        <f>deaths!BS237-deaths!BR237</f>
        <v>0</v>
      </c>
      <c r="BT237" s="5">
        <f>deaths!BT237-deaths!BS237</f>
        <v>1</v>
      </c>
      <c r="BU237" s="5">
        <f>deaths!BU237-deaths!BT237</f>
        <v>1</v>
      </c>
      <c r="BV237" s="5">
        <f>deaths!BV237-deaths!BU237</f>
        <v>0</v>
      </c>
      <c r="BW237" s="5">
        <f>deaths!BW237-deaths!BV237</f>
        <v>0</v>
      </c>
      <c r="BX237" s="5">
        <f>deaths!BX237-deaths!BW237</f>
        <v>0</v>
      </c>
      <c r="BY237" s="5">
        <f>deaths!BY237-deaths!BX237</f>
        <v>0</v>
      </c>
      <c r="BZ237" s="1">
        <f>deaths!BZ237</f>
        <v>2</v>
      </c>
      <c r="CA237" s="1">
        <f>deaths!CA237</f>
        <v>2</v>
      </c>
      <c r="CB237" s="1">
        <f>deaths!CB237</f>
        <v>2</v>
      </c>
      <c r="CC237" s="1" t="str">
        <f>deaths!CC237</f>
        <v/>
      </c>
    </row>
    <row r="238">
      <c r="B238" s="1" t="str">
        <f>deaths!B238</f>
        <v>Timor-Leste</v>
      </c>
      <c r="C238" s="4">
        <f>deaths!C238</f>
        <v>-8.874217</v>
      </c>
      <c r="D238" s="4">
        <f>deaths!D238</f>
        <v>125.727539</v>
      </c>
      <c r="E238" s="5">
        <f>deaths!E238</f>
        <v>0</v>
      </c>
      <c r="F238" s="5">
        <f>deaths!F238-deaths!E238</f>
        <v>0</v>
      </c>
      <c r="G238" s="5">
        <f>deaths!G238-deaths!F238</f>
        <v>0</v>
      </c>
      <c r="H238" s="5">
        <f>deaths!H238-deaths!G238</f>
        <v>0</v>
      </c>
      <c r="I238" s="5">
        <f>deaths!I238-deaths!H238</f>
        <v>0</v>
      </c>
      <c r="J238" s="5">
        <f>deaths!J238-deaths!I238</f>
        <v>0</v>
      </c>
      <c r="K238" s="5">
        <f>deaths!K238-deaths!J238</f>
        <v>0</v>
      </c>
      <c r="L238" s="5">
        <f>deaths!L238-deaths!K238</f>
        <v>0</v>
      </c>
      <c r="M238" s="5">
        <f>deaths!M238-deaths!L238</f>
        <v>0</v>
      </c>
      <c r="N238" s="5">
        <f>deaths!N238-deaths!M238</f>
        <v>0</v>
      </c>
      <c r="O238" s="5">
        <f>deaths!O238-deaths!N238</f>
        <v>0</v>
      </c>
      <c r="P238" s="5">
        <f>deaths!P238-deaths!O238</f>
        <v>0</v>
      </c>
      <c r="Q238" s="5">
        <f>deaths!Q238-deaths!P238</f>
        <v>0</v>
      </c>
      <c r="R238" s="5">
        <f>deaths!R238-deaths!Q238</f>
        <v>0</v>
      </c>
      <c r="S238" s="5">
        <f>deaths!S238-deaths!R238</f>
        <v>0</v>
      </c>
      <c r="T238" s="5">
        <f>deaths!T238-deaths!S238</f>
        <v>0</v>
      </c>
      <c r="U238" s="5">
        <f>deaths!U238-deaths!T238</f>
        <v>0</v>
      </c>
      <c r="V238" s="5">
        <f>deaths!V238-deaths!U238</f>
        <v>0</v>
      </c>
      <c r="W238" s="5">
        <f>deaths!W238-deaths!V238</f>
        <v>0</v>
      </c>
      <c r="X238" s="5">
        <f>deaths!X238-deaths!W238</f>
        <v>0</v>
      </c>
      <c r="Y238" s="5">
        <f>deaths!Y238-deaths!X238</f>
        <v>0</v>
      </c>
      <c r="Z238" s="5">
        <f>deaths!Z238-deaths!Y238</f>
        <v>0</v>
      </c>
      <c r="AA238" s="5">
        <f>deaths!AA238-deaths!Z238</f>
        <v>0</v>
      </c>
      <c r="AB238" s="5">
        <f>deaths!AB238-deaths!AA238</f>
        <v>0</v>
      </c>
      <c r="AC238" s="5">
        <f>deaths!AC238-deaths!AB238</f>
        <v>0</v>
      </c>
      <c r="AD238" s="5">
        <f>deaths!AD238-deaths!AC238</f>
        <v>0</v>
      </c>
      <c r="AE238" s="5">
        <f>deaths!AE238-deaths!AD238</f>
        <v>0</v>
      </c>
      <c r="AF238" s="5">
        <f>deaths!AF238-deaths!AE238</f>
        <v>0</v>
      </c>
      <c r="AG238" s="5">
        <f>deaths!AG238-deaths!AF238</f>
        <v>0</v>
      </c>
      <c r="AH238" s="5">
        <f>deaths!AH238-deaths!AG238</f>
        <v>0</v>
      </c>
      <c r="AI238" s="5">
        <f>deaths!AI238-deaths!AH238</f>
        <v>0</v>
      </c>
      <c r="AJ238" s="5">
        <f>deaths!AJ238-deaths!AI238</f>
        <v>0</v>
      </c>
      <c r="AK238" s="5">
        <f>deaths!AK238-deaths!AJ238</f>
        <v>0</v>
      </c>
      <c r="AL238" s="5">
        <f>deaths!AL238-deaths!AK238</f>
        <v>0</v>
      </c>
      <c r="AM238" s="5">
        <f>deaths!AM238-deaths!AL238</f>
        <v>0</v>
      </c>
      <c r="AN238" s="5">
        <f>deaths!AN238-deaths!AM238</f>
        <v>0</v>
      </c>
      <c r="AO238" s="5">
        <f>deaths!AO238-deaths!AN238</f>
        <v>0</v>
      </c>
      <c r="AP238" s="5">
        <f>deaths!AP238-deaths!AO238</f>
        <v>0</v>
      </c>
      <c r="AQ238" s="5">
        <f>deaths!AQ238-deaths!AP238</f>
        <v>0</v>
      </c>
      <c r="AR238" s="5">
        <f>deaths!AR238-deaths!AQ238</f>
        <v>0</v>
      </c>
      <c r="AS238" s="5">
        <f>deaths!AS238-deaths!AR238</f>
        <v>0</v>
      </c>
      <c r="AT238" s="5">
        <f>deaths!AT238-deaths!AS238</f>
        <v>0</v>
      </c>
      <c r="AU238" s="5">
        <f>deaths!AU238-deaths!AT238</f>
        <v>0</v>
      </c>
      <c r="AV238" s="5">
        <f>deaths!AV238-deaths!AU238</f>
        <v>0</v>
      </c>
      <c r="AW238" s="5">
        <f>deaths!AW238-deaths!AV238</f>
        <v>0</v>
      </c>
      <c r="AX238" s="5">
        <f>deaths!AX238-deaths!AW238</f>
        <v>0</v>
      </c>
      <c r="AY238" s="5">
        <f>deaths!AY238-deaths!AX238</f>
        <v>0</v>
      </c>
      <c r="AZ238" s="5">
        <f>deaths!AZ238-deaths!AY238</f>
        <v>0</v>
      </c>
      <c r="BA238" s="5">
        <f>deaths!BA238-deaths!AZ238</f>
        <v>0</v>
      </c>
      <c r="BB238" s="5">
        <f>deaths!BB238-deaths!BA238</f>
        <v>0</v>
      </c>
      <c r="BC238" s="5">
        <f>deaths!BC238-deaths!BB238</f>
        <v>0</v>
      </c>
      <c r="BD238" s="5">
        <f>deaths!BD238-deaths!BC238</f>
        <v>0</v>
      </c>
      <c r="BE238" s="5">
        <f>deaths!BE238-deaths!BD238</f>
        <v>0</v>
      </c>
      <c r="BF238" s="5">
        <f>deaths!BF238-deaths!BE238</f>
        <v>0</v>
      </c>
      <c r="BG238" s="5">
        <f>deaths!BG238-deaths!BF238</f>
        <v>0</v>
      </c>
      <c r="BH238" s="5">
        <f>deaths!BH238-deaths!BG238</f>
        <v>0</v>
      </c>
      <c r="BI238" s="5">
        <f>deaths!BI238-deaths!BH238</f>
        <v>0</v>
      </c>
      <c r="BJ238" s="5">
        <f>deaths!BJ238-deaths!BI238</f>
        <v>0</v>
      </c>
      <c r="BK238" s="5">
        <f>deaths!BK238-deaths!BJ238</f>
        <v>0</v>
      </c>
      <c r="BL238" s="5">
        <f>deaths!BL238-deaths!BK238</f>
        <v>0</v>
      </c>
      <c r="BM238" s="5">
        <f>deaths!BM238-deaths!BL238</f>
        <v>0</v>
      </c>
      <c r="BN238" s="5">
        <f>deaths!BN238-deaths!BM238</f>
        <v>0</v>
      </c>
      <c r="BO238" s="5">
        <f>deaths!BO238-deaths!BN238</f>
        <v>0</v>
      </c>
      <c r="BP238" s="5">
        <f>deaths!BP238-deaths!BO238</f>
        <v>0</v>
      </c>
      <c r="BQ238" s="5">
        <f>deaths!BQ238-deaths!BP238</f>
        <v>0</v>
      </c>
      <c r="BR238" s="5">
        <f>deaths!BR238-deaths!BQ238</f>
        <v>0</v>
      </c>
      <c r="BS238" s="5">
        <f>deaths!BS238-deaths!BR238</f>
        <v>0</v>
      </c>
      <c r="BT238" s="5">
        <f>deaths!BT238-deaths!BS238</f>
        <v>0</v>
      </c>
      <c r="BU238" s="5">
        <f>deaths!BU238-deaths!BT238</f>
        <v>0</v>
      </c>
      <c r="BV238" s="5">
        <f>deaths!BV238-deaths!BU238</f>
        <v>0</v>
      </c>
      <c r="BW238" s="5">
        <f>deaths!BW238-deaths!BV238</f>
        <v>0</v>
      </c>
      <c r="BX238" s="5">
        <f>deaths!BX238-deaths!BW238</f>
        <v>0</v>
      </c>
      <c r="BY238" s="5">
        <f>deaths!BY238-deaths!BX238</f>
        <v>0</v>
      </c>
      <c r="BZ238" s="1">
        <f>deaths!BZ238</f>
        <v>0</v>
      </c>
      <c r="CA238" s="1">
        <f>deaths!CA238</f>
        <v>0</v>
      </c>
      <c r="CB238" s="1">
        <f>deaths!CB238</f>
        <v>0</v>
      </c>
      <c r="CC238" s="1" t="str">
        <f>deaths!CC238</f>
        <v/>
      </c>
    </row>
    <row r="239">
      <c r="B239" s="1" t="str">
        <f>deaths!B239</f>
        <v>Belize</v>
      </c>
      <c r="C239" s="4">
        <f>deaths!C239</f>
        <v>13.1939</v>
      </c>
      <c r="D239" s="4">
        <f>deaths!D239</f>
        <v>-59.5432</v>
      </c>
      <c r="E239" s="5">
        <f>deaths!E239</f>
        <v>0</v>
      </c>
      <c r="F239" s="5">
        <f>deaths!F239-deaths!E239</f>
        <v>0</v>
      </c>
      <c r="G239" s="5">
        <f>deaths!G239-deaths!F239</f>
        <v>0</v>
      </c>
      <c r="H239" s="5">
        <f>deaths!H239-deaths!G239</f>
        <v>0</v>
      </c>
      <c r="I239" s="5">
        <f>deaths!I239-deaths!H239</f>
        <v>0</v>
      </c>
      <c r="J239" s="5">
        <f>deaths!J239-deaths!I239</f>
        <v>0</v>
      </c>
      <c r="K239" s="5">
        <f>deaths!K239-deaths!J239</f>
        <v>0</v>
      </c>
      <c r="L239" s="5">
        <f>deaths!L239-deaths!K239</f>
        <v>0</v>
      </c>
      <c r="M239" s="5">
        <f>deaths!M239-deaths!L239</f>
        <v>0</v>
      </c>
      <c r="N239" s="5">
        <f>deaths!N239-deaths!M239</f>
        <v>0</v>
      </c>
      <c r="O239" s="5">
        <f>deaths!O239-deaths!N239</f>
        <v>0</v>
      </c>
      <c r="P239" s="5">
        <f>deaths!P239-deaths!O239</f>
        <v>0</v>
      </c>
      <c r="Q239" s="5">
        <f>deaths!Q239-deaths!P239</f>
        <v>0</v>
      </c>
      <c r="R239" s="5">
        <f>deaths!R239-deaths!Q239</f>
        <v>0</v>
      </c>
      <c r="S239" s="5">
        <f>deaths!S239-deaths!R239</f>
        <v>0</v>
      </c>
      <c r="T239" s="5">
        <f>deaths!T239-deaths!S239</f>
        <v>0</v>
      </c>
      <c r="U239" s="5">
        <f>deaths!U239-deaths!T239</f>
        <v>0</v>
      </c>
      <c r="V239" s="5">
        <f>deaths!V239-deaths!U239</f>
        <v>0</v>
      </c>
      <c r="W239" s="5">
        <f>deaths!W239-deaths!V239</f>
        <v>0</v>
      </c>
      <c r="X239" s="5">
        <f>deaths!X239-deaths!W239</f>
        <v>0</v>
      </c>
      <c r="Y239" s="5">
        <f>deaths!Y239-deaths!X239</f>
        <v>0</v>
      </c>
      <c r="Z239" s="5">
        <f>deaths!Z239-deaths!Y239</f>
        <v>0</v>
      </c>
      <c r="AA239" s="5">
        <f>deaths!AA239-deaths!Z239</f>
        <v>0</v>
      </c>
      <c r="AB239" s="5">
        <f>deaths!AB239-deaths!AA239</f>
        <v>0</v>
      </c>
      <c r="AC239" s="5">
        <f>deaths!AC239-deaths!AB239</f>
        <v>0</v>
      </c>
      <c r="AD239" s="5">
        <f>deaths!AD239-deaths!AC239</f>
        <v>0</v>
      </c>
      <c r="AE239" s="5">
        <f>deaths!AE239-deaths!AD239</f>
        <v>0</v>
      </c>
      <c r="AF239" s="5">
        <f>deaths!AF239-deaths!AE239</f>
        <v>0</v>
      </c>
      <c r="AG239" s="5">
        <f>deaths!AG239-deaths!AF239</f>
        <v>0</v>
      </c>
      <c r="AH239" s="5">
        <f>deaths!AH239-deaths!AG239</f>
        <v>0</v>
      </c>
      <c r="AI239" s="5">
        <f>deaths!AI239-deaths!AH239</f>
        <v>0</v>
      </c>
      <c r="AJ239" s="5">
        <f>deaths!AJ239-deaths!AI239</f>
        <v>0</v>
      </c>
      <c r="AK239" s="5">
        <f>deaths!AK239-deaths!AJ239</f>
        <v>0</v>
      </c>
      <c r="AL239" s="5">
        <f>deaths!AL239-deaths!AK239</f>
        <v>0</v>
      </c>
      <c r="AM239" s="5">
        <f>deaths!AM239-deaths!AL239</f>
        <v>0</v>
      </c>
      <c r="AN239" s="5">
        <f>deaths!AN239-deaths!AM239</f>
        <v>0</v>
      </c>
      <c r="AO239" s="5">
        <f>deaths!AO239-deaths!AN239</f>
        <v>0</v>
      </c>
      <c r="AP239" s="5">
        <f>deaths!AP239-deaths!AO239</f>
        <v>0</v>
      </c>
      <c r="AQ239" s="5">
        <f>deaths!AQ239-deaths!AP239</f>
        <v>0</v>
      </c>
      <c r="AR239" s="5">
        <f>deaths!AR239-deaths!AQ239</f>
        <v>0</v>
      </c>
      <c r="AS239" s="5">
        <f>deaths!AS239-deaths!AR239</f>
        <v>0</v>
      </c>
      <c r="AT239" s="5">
        <f>deaths!AT239-deaths!AS239</f>
        <v>0</v>
      </c>
      <c r="AU239" s="5">
        <f>deaths!AU239-deaths!AT239</f>
        <v>0</v>
      </c>
      <c r="AV239" s="5">
        <f>deaths!AV239-deaths!AU239</f>
        <v>0</v>
      </c>
      <c r="AW239" s="5">
        <f>deaths!AW239-deaths!AV239</f>
        <v>0</v>
      </c>
      <c r="AX239" s="5">
        <f>deaths!AX239-deaths!AW239</f>
        <v>0</v>
      </c>
      <c r="AY239" s="5">
        <f>deaths!AY239-deaths!AX239</f>
        <v>0</v>
      </c>
      <c r="AZ239" s="5">
        <f>deaths!AZ239-deaths!AY239</f>
        <v>0</v>
      </c>
      <c r="BA239" s="5">
        <f>deaths!BA239-deaths!AZ239</f>
        <v>0</v>
      </c>
      <c r="BB239" s="5">
        <f>deaths!BB239-deaths!BA239</f>
        <v>0</v>
      </c>
      <c r="BC239" s="5">
        <f>deaths!BC239-deaths!BB239</f>
        <v>0</v>
      </c>
      <c r="BD239" s="5">
        <f>deaths!BD239-deaths!BC239</f>
        <v>0</v>
      </c>
      <c r="BE239" s="5">
        <f>deaths!BE239-deaths!BD239</f>
        <v>0</v>
      </c>
      <c r="BF239" s="5">
        <f>deaths!BF239-deaths!BE239</f>
        <v>0</v>
      </c>
      <c r="BG239" s="5">
        <f>deaths!BG239-deaths!BF239</f>
        <v>0</v>
      </c>
      <c r="BH239" s="5">
        <f>deaths!BH239-deaths!BG239</f>
        <v>0</v>
      </c>
      <c r="BI239" s="5">
        <f>deaths!BI239-deaths!BH239</f>
        <v>0</v>
      </c>
      <c r="BJ239" s="5">
        <f>deaths!BJ239-deaths!BI239</f>
        <v>0</v>
      </c>
      <c r="BK239" s="5">
        <f>deaths!BK239-deaths!BJ239</f>
        <v>0</v>
      </c>
      <c r="BL239" s="5">
        <f>deaths!BL239-deaths!BK239</f>
        <v>0</v>
      </c>
      <c r="BM239" s="5">
        <f>deaths!BM239-deaths!BL239</f>
        <v>0</v>
      </c>
      <c r="BN239" s="5">
        <f>deaths!BN239-deaths!BM239</f>
        <v>0</v>
      </c>
      <c r="BO239" s="5">
        <f>deaths!BO239-deaths!BN239</f>
        <v>0</v>
      </c>
      <c r="BP239" s="5">
        <f>deaths!BP239-deaths!BO239</f>
        <v>0</v>
      </c>
      <c r="BQ239" s="5">
        <f>deaths!BQ239-deaths!BP239</f>
        <v>0</v>
      </c>
      <c r="BR239" s="5">
        <f>deaths!BR239-deaths!BQ239</f>
        <v>0</v>
      </c>
      <c r="BS239" s="5">
        <f>deaths!BS239-deaths!BR239</f>
        <v>0</v>
      </c>
      <c r="BT239" s="5">
        <f>deaths!BT239-deaths!BS239</f>
        <v>0</v>
      </c>
      <c r="BU239" s="5">
        <f>deaths!BU239-deaths!BT239</f>
        <v>0</v>
      </c>
      <c r="BV239" s="5">
        <f>deaths!BV239-deaths!BU239</f>
        <v>0</v>
      </c>
      <c r="BW239" s="5">
        <f>deaths!BW239-deaths!BV239</f>
        <v>0</v>
      </c>
      <c r="BX239" s="5">
        <f>deaths!BX239-deaths!BW239</f>
        <v>0</v>
      </c>
      <c r="BY239" s="5">
        <f>deaths!BY239-deaths!BX239</f>
        <v>0</v>
      </c>
      <c r="BZ239" s="1">
        <f>deaths!BZ239</f>
        <v>0</v>
      </c>
      <c r="CA239" s="1">
        <f>deaths!CA239</f>
        <v>0</v>
      </c>
      <c r="CB239" s="1">
        <f>deaths!CB239</f>
        <v>1</v>
      </c>
      <c r="CC239" s="1" t="str">
        <f>deaths!CC239</f>
        <v/>
      </c>
    </row>
    <row r="240">
      <c r="B240" s="1" t="str">
        <f>deaths!B240</f>
        <v>Canada</v>
      </c>
      <c r="C240" s="4">
        <f>deaths!C240</f>
        <v>0</v>
      </c>
      <c r="D240" s="4">
        <f>deaths!D240</f>
        <v>0</v>
      </c>
      <c r="E240" s="5">
        <f>deaths!E240</f>
        <v>0</v>
      </c>
      <c r="F240" s="5">
        <f>deaths!F240-deaths!E240</f>
        <v>0</v>
      </c>
      <c r="G240" s="5">
        <f>deaths!G240-deaths!F240</f>
        <v>0</v>
      </c>
      <c r="H240" s="5">
        <f>deaths!H240-deaths!G240</f>
        <v>0</v>
      </c>
      <c r="I240" s="5">
        <f>deaths!I240-deaths!H240</f>
        <v>0</v>
      </c>
      <c r="J240" s="5">
        <f>deaths!J240-deaths!I240</f>
        <v>0</v>
      </c>
      <c r="K240" s="5">
        <f>deaths!K240-deaths!J240</f>
        <v>0</v>
      </c>
      <c r="L240" s="5">
        <f>deaths!L240-deaths!K240</f>
        <v>0</v>
      </c>
      <c r="M240" s="5">
        <f>deaths!M240-deaths!L240</f>
        <v>0</v>
      </c>
      <c r="N240" s="5">
        <f>deaths!N240-deaths!M240</f>
        <v>0</v>
      </c>
      <c r="O240" s="5">
        <f>deaths!O240-deaths!N240</f>
        <v>0</v>
      </c>
      <c r="P240" s="5">
        <f>deaths!P240-deaths!O240</f>
        <v>0</v>
      </c>
      <c r="Q240" s="5">
        <f>deaths!Q240-deaths!P240</f>
        <v>0</v>
      </c>
      <c r="R240" s="5">
        <f>deaths!R240-deaths!Q240</f>
        <v>0</v>
      </c>
      <c r="S240" s="5">
        <f>deaths!S240-deaths!R240</f>
        <v>0</v>
      </c>
      <c r="T240" s="5">
        <f>deaths!T240-deaths!S240</f>
        <v>0</v>
      </c>
      <c r="U240" s="5">
        <f>deaths!U240-deaths!T240</f>
        <v>0</v>
      </c>
      <c r="V240" s="5">
        <f>deaths!V240-deaths!U240</f>
        <v>0</v>
      </c>
      <c r="W240" s="5">
        <f>deaths!W240-deaths!V240</f>
        <v>0</v>
      </c>
      <c r="X240" s="5">
        <f>deaths!X240-deaths!W240</f>
        <v>0</v>
      </c>
      <c r="Y240" s="5">
        <f>deaths!Y240-deaths!X240</f>
        <v>0</v>
      </c>
      <c r="Z240" s="5">
        <f>deaths!Z240-deaths!Y240</f>
        <v>0</v>
      </c>
      <c r="AA240" s="5">
        <f>deaths!AA240-deaths!Z240</f>
        <v>0</v>
      </c>
      <c r="AB240" s="5">
        <f>deaths!AB240-deaths!AA240</f>
        <v>0</v>
      </c>
      <c r="AC240" s="5">
        <f>deaths!AC240-deaths!AB240</f>
        <v>0</v>
      </c>
      <c r="AD240" s="5">
        <f>deaths!AD240-deaths!AC240</f>
        <v>0</v>
      </c>
      <c r="AE240" s="5">
        <f>deaths!AE240-deaths!AD240</f>
        <v>0</v>
      </c>
      <c r="AF240" s="5">
        <f>deaths!AF240-deaths!AE240</f>
        <v>0</v>
      </c>
      <c r="AG240" s="5">
        <f>deaths!AG240-deaths!AF240</f>
        <v>0</v>
      </c>
      <c r="AH240" s="5">
        <f>deaths!AH240-deaths!AG240</f>
        <v>0</v>
      </c>
      <c r="AI240" s="5">
        <f>deaths!AI240-deaths!AH240</f>
        <v>0</v>
      </c>
      <c r="AJ240" s="5">
        <f>deaths!AJ240-deaths!AI240</f>
        <v>0</v>
      </c>
      <c r="AK240" s="5">
        <f>deaths!AK240-deaths!AJ240</f>
        <v>0</v>
      </c>
      <c r="AL240" s="5">
        <f>deaths!AL240-deaths!AK240</f>
        <v>0</v>
      </c>
      <c r="AM240" s="5">
        <f>deaths!AM240-deaths!AL240</f>
        <v>0</v>
      </c>
      <c r="AN240" s="5">
        <f>deaths!AN240-deaths!AM240</f>
        <v>0</v>
      </c>
      <c r="AO240" s="5">
        <f>deaths!AO240-deaths!AN240</f>
        <v>0</v>
      </c>
      <c r="AP240" s="5">
        <f>deaths!AP240-deaths!AO240</f>
        <v>0</v>
      </c>
      <c r="AQ240" s="5">
        <f>deaths!AQ240-deaths!AP240</f>
        <v>0</v>
      </c>
      <c r="AR240" s="5">
        <f>deaths!AR240-deaths!AQ240</f>
        <v>0</v>
      </c>
      <c r="AS240" s="5">
        <f>deaths!AS240-deaths!AR240</f>
        <v>0</v>
      </c>
      <c r="AT240" s="5">
        <f>deaths!AT240-deaths!AS240</f>
        <v>0</v>
      </c>
      <c r="AU240" s="5">
        <f>deaths!AU240-deaths!AT240</f>
        <v>0</v>
      </c>
      <c r="AV240" s="5">
        <f>deaths!AV240-deaths!AU240</f>
        <v>0</v>
      </c>
      <c r="AW240" s="5">
        <f>deaths!AW240-deaths!AV240</f>
        <v>0</v>
      </c>
      <c r="AX240" s="5">
        <f>deaths!AX240-deaths!AW240</f>
        <v>0</v>
      </c>
      <c r="AY240" s="5">
        <f>deaths!AY240-deaths!AX240</f>
        <v>0</v>
      </c>
      <c r="AZ240" s="5">
        <f>deaths!AZ240-deaths!AY240</f>
        <v>0</v>
      </c>
      <c r="BA240" s="5">
        <f>deaths!BA240-deaths!AZ240</f>
        <v>0</v>
      </c>
      <c r="BB240" s="5">
        <f>deaths!BB240-deaths!BA240</f>
        <v>0</v>
      </c>
      <c r="BC240" s="5">
        <f>deaths!BC240-deaths!BB240</f>
        <v>0</v>
      </c>
      <c r="BD240" s="5">
        <f>deaths!BD240-deaths!BC240</f>
        <v>0</v>
      </c>
      <c r="BE240" s="5">
        <f>deaths!BE240-deaths!BD240</f>
        <v>0</v>
      </c>
      <c r="BF240" s="5">
        <f>deaths!BF240-deaths!BE240</f>
        <v>0</v>
      </c>
      <c r="BG240" s="5">
        <f>deaths!BG240-deaths!BF240</f>
        <v>0</v>
      </c>
      <c r="BH240" s="5">
        <f>deaths!BH240-deaths!BG240</f>
        <v>0</v>
      </c>
      <c r="BI240" s="5">
        <f>deaths!BI240-deaths!BH240</f>
        <v>0</v>
      </c>
      <c r="BJ240" s="5">
        <f>deaths!BJ240-deaths!BI240</f>
        <v>0</v>
      </c>
      <c r="BK240" s="5">
        <f>deaths!BK240-deaths!BJ240</f>
        <v>0</v>
      </c>
      <c r="BL240" s="5">
        <f>deaths!BL240-deaths!BK240</f>
        <v>0</v>
      </c>
      <c r="BM240" s="5">
        <f>deaths!BM240-deaths!BL240</f>
        <v>0</v>
      </c>
      <c r="BN240" s="5">
        <f>deaths!BN240-deaths!BM240</f>
        <v>0</v>
      </c>
      <c r="BO240" s="5">
        <f>deaths!BO240-deaths!BN240</f>
        <v>0</v>
      </c>
      <c r="BP240" s="5">
        <f>deaths!BP240-deaths!BO240</f>
        <v>0</v>
      </c>
      <c r="BQ240" s="5">
        <f>deaths!BQ240-deaths!BP240</f>
        <v>0</v>
      </c>
      <c r="BR240" s="5">
        <f>deaths!BR240-deaths!BQ240</f>
        <v>0</v>
      </c>
      <c r="BS240" s="5">
        <f>deaths!BS240-deaths!BR240</f>
        <v>0</v>
      </c>
      <c r="BT240" s="5">
        <f>deaths!BT240-deaths!BS240</f>
        <v>0</v>
      </c>
      <c r="BU240" s="5">
        <f>deaths!BU240-deaths!BT240</f>
        <v>0</v>
      </c>
      <c r="BV240" s="5">
        <f>deaths!BV240-deaths!BU240</f>
        <v>0</v>
      </c>
      <c r="BW240" s="5">
        <f>deaths!BW240-deaths!BV240</f>
        <v>0</v>
      </c>
      <c r="BX240" s="5">
        <f>deaths!BX240-deaths!BW240</f>
        <v>0</v>
      </c>
      <c r="BY240" s="5">
        <f>deaths!BY240-deaths!BX240</f>
        <v>0</v>
      </c>
      <c r="BZ240" s="1">
        <f>deaths!BZ240</f>
        <v>0</v>
      </c>
      <c r="CA240" s="1">
        <f>deaths!CA240</f>
        <v>0</v>
      </c>
      <c r="CB240" s="1">
        <f>deaths!CB240</f>
        <v>0</v>
      </c>
      <c r="CC240" s="1" t="str">
        <f>deaths!CC240</f>
        <v/>
      </c>
    </row>
    <row r="241">
      <c r="B241" s="1" t="str">
        <f>deaths!B241</f>
        <v>Laos</v>
      </c>
      <c r="C241" s="4">
        <f>deaths!C241</f>
        <v>19.85627</v>
      </c>
      <c r="D241" s="4">
        <f>deaths!D241</f>
        <v>102.495496</v>
      </c>
      <c r="E241" s="5">
        <f>deaths!E241</f>
        <v>0</v>
      </c>
      <c r="F241" s="5">
        <f>deaths!F241-deaths!E241</f>
        <v>0</v>
      </c>
      <c r="G241" s="5">
        <f>deaths!G241-deaths!F241</f>
        <v>0</v>
      </c>
      <c r="H241" s="5">
        <f>deaths!H241-deaths!G241</f>
        <v>0</v>
      </c>
      <c r="I241" s="5">
        <f>deaths!I241-deaths!H241</f>
        <v>0</v>
      </c>
      <c r="J241" s="5">
        <f>deaths!J241-deaths!I241</f>
        <v>0</v>
      </c>
      <c r="K241" s="5">
        <f>deaths!K241-deaths!J241</f>
        <v>0</v>
      </c>
      <c r="L241" s="5">
        <f>deaths!L241-deaths!K241</f>
        <v>0</v>
      </c>
      <c r="M241" s="5">
        <f>deaths!M241-deaths!L241</f>
        <v>0</v>
      </c>
      <c r="N241" s="5">
        <f>deaths!N241-deaths!M241</f>
        <v>0</v>
      </c>
      <c r="O241" s="5">
        <f>deaths!O241-deaths!N241</f>
        <v>0</v>
      </c>
      <c r="P241" s="5">
        <f>deaths!P241-deaths!O241</f>
        <v>0</v>
      </c>
      <c r="Q241" s="5">
        <f>deaths!Q241-deaths!P241</f>
        <v>0</v>
      </c>
      <c r="R241" s="5">
        <f>deaths!R241-deaths!Q241</f>
        <v>0</v>
      </c>
      <c r="S241" s="5">
        <f>deaths!S241-deaths!R241</f>
        <v>0</v>
      </c>
      <c r="T241" s="5">
        <f>deaths!T241-deaths!S241</f>
        <v>0</v>
      </c>
      <c r="U241" s="5">
        <f>deaths!U241-deaths!T241</f>
        <v>0</v>
      </c>
      <c r="V241" s="5">
        <f>deaths!V241-deaths!U241</f>
        <v>0</v>
      </c>
      <c r="W241" s="5">
        <f>deaths!W241-deaths!V241</f>
        <v>0</v>
      </c>
      <c r="X241" s="5">
        <f>deaths!X241-deaths!W241</f>
        <v>0</v>
      </c>
      <c r="Y241" s="5">
        <f>deaths!Y241-deaths!X241</f>
        <v>0</v>
      </c>
      <c r="Z241" s="5">
        <f>deaths!Z241-deaths!Y241</f>
        <v>0</v>
      </c>
      <c r="AA241" s="5">
        <f>deaths!AA241-deaths!Z241</f>
        <v>0</v>
      </c>
      <c r="AB241" s="5">
        <f>deaths!AB241-deaths!AA241</f>
        <v>0</v>
      </c>
      <c r="AC241" s="5">
        <f>deaths!AC241-deaths!AB241</f>
        <v>0</v>
      </c>
      <c r="AD241" s="5">
        <f>deaths!AD241-deaths!AC241</f>
        <v>0</v>
      </c>
      <c r="AE241" s="5">
        <f>deaths!AE241-deaths!AD241</f>
        <v>0</v>
      </c>
      <c r="AF241" s="5">
        <f>deaths!AF241-deaths!AE241</f>
        <v>0</v>
      </c>
      <c r="AG241" s="5">
        <f>deaths!AG241-deaths!AF241</f>
        <v>0</v>
      </c>
      <c r="AH241" s="5">
        <f>deaths!AH241-deaths!AG241</f>
        <v>0</v>
      </c>
      <c r="AI241" s="5">
        <f>deaths!AI241-deaths!AH241</f>
        <v>0</v>
      </c>
      <c r="AJ241" s="5">
        <f>deaths!AJ241-deaths!AI241</f>
        <v>0</v>
      </c>
      <c r="AK241" s="5">
        <f>deaths!AK241-deaths!AJ241</f>
        <v>0</v>
      </c>
      <c r="AL241" s="5">
        <f>deaths!AL241-deaths!AK241</f>
        <v>0</v>
      </c>
      <c r="AM241" s="5">
        <f>deaths!AM241-deaths!AL241</f>
        <v>0</v>
      </c>
      <c r="AN241" s="5">
        <f>deaths!AN241-deaths!AM241</f>
        <v>0</v>
      </c>
      <c r="AO241" s="5">
        <f>deaths!AO241-deaths!AN241</f>
        <v>0</v>
      </c>
      <c r="AP241" s="5">
        <f>deaths!AP241-deaths!AO241</f>
        <v>0</v>
      </c>
      <c r="AQ241" s="5">
        <f>deaths!AQ241-deaths!AP241</f>
        <v>0</v>
      </c>
      <c r="AR241" s="5">
        <f>deaths!AR241-deaths!AQ241</f>
        <v>0</v>
      </c>
      <c r="AS241" s="5">
        <f>deaths!AS241-deaths!AR241</f>
        <v>0</v>
      </c>
      <c r="AT241" s="5">
        <f>deaths!AT241-deaths!AS241</f>
        <v>0</v>
      </c>
      <c r="AU241" s="5">
        <f>deaths!AU241-deaths!AT241</f>
        <v>0</v>
      </c>
      <c r="AV241" s="5">
        <f>deaths!AV241-deaths!AU241</f>
        <v>0</v>
      </c>
      <c r="AW241" s="5">
        <f>deaths!AW241-deaths!AV241</f>
        <v>0</v>
      </c>
      <c r="AX241" s="5">
        <f>deaths!AX241-deaths!AW241</f>
        <v>0</v>
      </c>
      <c r="AY241" s="5">
        <f>deaths!AY241-deaths!AX241</f>
        <v>0</v>
      </c>
      <c r="AZ241" s="5">
        <f>deaths!AZ241-deaths!AY241</f>
        <v>0</v>
      </c>
      <c r="BA241" s="5">
        <f>deaths!BA241-deaths!AZ241</f>
        <v>0</v>
      </c>
      <c r="BB241" s="5">
        <f>deaths!BB241-deaths!BA241</f>
        <v>0</v>
      </c>
      <c r="BC241" s="5">
        <f>deaths!BC241-deaths!BB241</f>
        <v>0</v>
      </c>
      <c r="BD241" s="5">
        <f>deaths!BD241-deaths!BC241</f>
        <v>0</v>
      </c>
      <c r="BE241" s="5">
        <f>deaths!BE241-deaths!BD241</f>
        <v>0</v>
      </c>
      <c r="BF241" s="5">
        <f>deaths!BF241-deaths!BE241</f>
        <v>0</v>
      </c>
      <c r="BG241" s="5">
        <f>deaths!BG241-deaths!BF241</f>
        <v>0</v>
      </c>
      <c r="BH241" s="5">
        <f>deaths!BH241-deaths!BG241</f>
        <v>0</v>
      </c>
      <c r="BI241" s="5">
        <f>deaths!BI241-deaths!BH241</f>
        <v>0</v>
      </c>
      <c r="BJ241" s="5">
        <f>deaths!BJ241-deaths!BI241</f>
        <v>0</v>
      </c>
      <c r="BK241" s="5">
        <f>deaths!BK241-deaths!BJ241</f>
        <v>0</v>
      </c>
      <c r="BL241" s="5">
        <f>deaths!BL241-deaths!BK241</f>
        <v>0</v>
      </c>
      <c r="BM241" s="5">
        <f>deaths!BM241-deaths!BL241</f>
        <v>0</v>
      </c>
      <c r="BN241" s="5">
        <f>deaths!BN241-deaths!BM241</f>
        <v>0</v>
      </c>
      <c r="BO241" s="5">
        <f>deaths!BO241-deaths!BN241</f>
        <v>0</v>
      </c>
      <c r="BP241" s="5">
        <f>deaths!BP241-deaths!BO241</f>
        <v>0</v>
      </c>
      <c r="BQ241" s="5">
        <f>deaths!BQ241-deaths!BP241</f>
        <v>0</v>
      </c>
      <c r="BR241" s="5">
        <f>deaths!BR241-deaths!BQ241</f>
        <v>0</v>
      </c>
      <c r="BS241" s="5">
        <f>deaths!BS241-deaths!BR241</f>
        <v>0</v>
      </c>
      <c r="BT241" s="5">
        <f>deaths!BT241-deaths!BS241</f>
        <v>0</v>
      </c>
      <c r="BU241" s="5">
        <f>deaths!BU241-deaths!BT241</f>
        <v>0</v>
      </c>
      <c r="BV241" s="5">
        <f>deaths!BV241-deaths!BU241</f>
        <v>0</v>
      </c>
      <c r="BW241" s="5">
        <f>deaths!BW241-deaths!BV241</f>
        <v>0</v>
      </c>
      <c r="BX241" s="5">
        <f>deaths!BX241-deaths!BW241</f>
        <v>0</v>
      </c>
      <c r="BY241" s="5">
        <f>deaths!BY241-deaths!BX241</f>
        <v>0</v>
      </c>
      <c r="BZ241" s="1">
        <f>deaths!BZ241</f>
        <v>0</v>
      </c>
      <c r="CA241" s="1">
        <f>deaths!CA241</f>
        <v>0</v>
      </c>
      <c r="CB241" s="1">
        <f>deaths!CB241</f>
        <v>0</v>
      </c>
      <c r="CC241" s="1" t="str">
        <f>deaths!CC241</f>
        <v/>
      </c>
    </row>
    <row r="242">
      <c r="B242" s="1" t="str">
        <f>deaths!B242</f>
        <v>Libya</v>
      </c>
      <c r="C242" s="4">
        <f>deaths!C242</f>
        <v>26.3351</v>
      </c>
      <c r="D242" s="4">
        <f>deaths!D242</f>
        <v>17.228331</v>
      </c>
      <c r="E242" s="5">
        <f>deaths!E242</f>
        <v>0</v>
      </c>
      <c r="F242" s="5">
        <f>deaths!F242-deaths!E242</f>
        <v>0</v>
      </c>
      <c r="G242" s="5">
        <f>deaths!G242-deaths!F242</f>
        <v>0</v>
      </c>
      <c r="H242" s="5">
        <f>deaths!H242-deaths!G242</f>
        <v>0</v>
      </c>
      <c r="I242" s="5">
        <f>deaths!I242-deaths!H242</f>
        <v>0</v>
      </c>
      <c r="J242" s="5">
        <f>deaths!J242-deaths!I242</f>
        <v>0</v>
      </c>
      <c r="K242" s="5">
        <f>deaths!K242-deaths!J242</f>
        <v>0</v>
      </c>
      <c r="L242" s="5">
        <f>deaths!L242-deaths!K242</f>
        <v>0</v>
      </c>
      <c r="M242" s="5">
        <f>deaths!M242-deaths!L242</f>
        <v>0</v>
      </c>
      <c r="N242" s="5">
        <f>deaths!N242-deaths!M242</f>
        <v>0</v>
      </c>
      <c r="O242" s="5">
        <f>deaths!O242-deaths!N242</f>
        <v>0</v>
      </c>
      <c r="P242" s="5">
        <f>deaths!P242-deaths!O242</f>
        <v>0</v>
      </c>
      <c r="Q242" s="5">
        <f>deaths!Q242-deaths!P242</f>
        <v>0</v>
      </c>
      <c r="R242" s="5">
        <f>deaths!R242-deaths!Q242</f>
        <v>0</v>
      </c>
      <c r="S242" s="5">
        <f>deaths!S242-deaths!R242</f>
        <v>0</v>
      </c>
      <c r="T242" s="5">
        <f>deaths!T242-deaths!S242</f>
        <v>0</v>
      </c>
      <c r="U242" s="5">
        <f>deaths!U242-deaths!T242</f>
        <v>0</v>
      </c>
      <c r="V242" s="5">
        <f>deaths!V242-deaths!U242</f>
        <v>0</v>
      </c>
      <c r="W242" s="5">
        <f>deaths!W242-deaths!V242</f>
        <v>0</v>
      </c>
      <c r="X242" s="5">
        <f>deaths!X242-deaths!W242</f>
        <v>0</v>
      </c>
      <c r="Y242" s="5">
        <f>deaths!Y242-deaths!X242</f>
        <v>0</v>
      </c>
      <c r="Z242" s="5">
        <f>deaths!Z242-deaths!Y242</f>
        <v>0</v>
      </c>
      <c r="AA242" s="5">
        <f>deaths!AA242-deaths!Z242</f>
        <v>0</v>
      </c>
      <c r="AB242" s="5">
        <f>deaths!AB242-deaths!AA242</f>
        <v>0</v>
      </c>
      <c r="AC242" s="5">
        <f>deaths!AC242-deaths!AB242</f>
        <v>0</v>
      </c>
      <c r="AD242" s="5">
        <f>deaths!AD242-deaths!AC242</f>
        <v>0</v>
      </c>
      <c r="AE242" s="5">
        <f>deaths!AE242-deaths!AD242</f>
        <v>0</v>
      </c>
      <c r="AF242" s="5">
        <f>deaths!AF242-deaths!AE242</f>
        <v>0</v>
      </c>
      <c r="AG242" s="5">
        <f>deaths!AG242-deaths!AF242</f>
        <v>0</v>
      </c>
      <c r="AH242" s="5">
        <f>deaths!AH242-deaths!AG242</f>
        <v>0</v>
      </c>
      <c r="AI242" s="5">
        <f>deaths!AI242-deaths!AH242</f>
        <v>0</v>
      </c>
      <c r="AJ242" s="5">
        <f>deaths!AJ242-deaths!AI242</f>
        <v>0</v>
      </c>
      <c r="AK242" s="5">
        <f>deaths!AK242-deaths!AJ242</f>
        <v>0</v>
      </c>
      <c r="AL242" s="5">
        <f>deaths!AL242-deaths!AK242</f>
        <v>0</v>
      </c>
      <c r="AM242" s="5">
        <f>deaths!AM242-deaths!AL242</f>
        <v>0</v>
      </c>
      <c r="AN242" s="5">
        <f>deaths!AN242-deaths!AM242</f>
        <v>0</v>
      </c>
      <c r="AO242" s="5">
        <f>deaths!AO242-deaths!AN242</f>
        <v>0</v>
      </c>
      <c r="AP242" s="5">
        <f>deaths!AP242-deaths!AO242</f>
        <v>0</v>
      </c>
      <c r="AQ242" s="5">
        <f>deaths!AQ242-deaths!AP242</f>
        <v>0</v>
      </c>
      <c r="AR242" s="5">
        <f>deaths!AR242-deaths!AQ242</f>
        <v>0</v>
      </c>
      <c r="AS242" s="5">
        <f>deaths!AS242-deaths!AR242</f>
        <v>0</v>
      </c>
      <c r="AT242" s="5">
        <f>deaths!AT242-deaths!AS242</f>
        <v>0</v>
      </c>
      <c r="AU242" s="5">
        <f>deaths!AU242-deaths!AT242</f>
        <v>0</v>
      </c>
      <c r="AV242" s="5">
        <f>deaths!AV242-deaths!AU242</f>
        <v>0</v>
      </c>
      <c r="AW242" s="5">
        <f>deaths!AW242-deaths!AV242</f>
        <v>0</v>
      </c>
      <c r="AX242" s="5">
        <f>deaths!AX242-deaths!AW242</f>
        <v>0</v>
      </c>
      <c r="AY242" s="5">
        <f>deaths!AY242-deaths!AX242</f>
        <v>0</v>
      </c>
      <c r="AZ242" s="5">
        <f>deaths!AZ242-deaths!AY242</f>
        <v>0</v>
      </c>
      <c r="BA242" s="5">
        <f>deaths!BA242-deaths!AZ242</f>
        <v>0</v>
      </c>
      <c r="BB242" s="5">
        <f>deaths!BB242-deaths!BA242</f>
        <v>0</v>
      </c>
      <c r="BC242" s="5">
        <f>deaths!BC242-deaths!BB242</f>
        <v>0</v>
      </c>
      <c r="BD242" s="5">
        <f>deaths!BD242-deaths!BC242</f>
        <v>0</v>
      </c>
      <c r="BE242" s="5">
        <f>deaths!BE242-deaths!BD242</f>
        <v>0</v>
      </c>
      <c r="BF242" s="5">
        <f>deaths!BF242-deaths!BE242</f>
        <v>0</v>
      </c>
      <c r="BG242" s="5">
        <f>deaths!BG242-deaths!BF242</f>
        <v>0</v>
      </c>
      <c r="BH242" s="5">
        <f>deaths!BH242-deaths!BG242</f>
        <v>0</v>
      </c>
      <c r="BI242" s="5">
        <f>deaths!BI242-deaths!BH242</f>
        <v>0</v>
      </c>
      <c r="BJ242" s="5">
        <f>deaths!BJ242-deaths!BI242</f>
        <v>0</v>
      </c>
      <c r="BK242" s="5">
        <f>deaths!BK242-deaths!BJ242</f>
        <v>0</v>
      </c>
      <c r="BL242" s="5">
        <f>deaths!BL242-deaths!BK242</f>
        <v>0</v>
      </c>
      <c r="BM242" s="5">
        <f>deaths!BM242-deaths!BL242</f>
        <v>0</v>
      </c>
      <c r="BN242" s="5">
        <f>deaths!BN242-deaths!BM242</f>
        <v>0</v>
      </c>
      <c r="BO242" s="5">
        <f>deaths!BO242-deaths!BN242</f>
        <v>0</v>
      </c>
      <c r="BP242" s="5">
        <f>deaths!BP242-deaths!BO242</f>
        <v>0</v>
      </c>
      <c r="BQ242" s="5">
        <f>deaths!BQ242-deaths!BP242</f>
        <v>0</v>
      </c>
      <c r="BR242" s="5">
        <f>deaths!BR242-deaths!BQ242</f>
        <v>0</v>
      </c>
      <c r="BS242" s="5">
        <f>deaths!BS242-deaths!BR242</f>
        <v>0</v>
      </c>
      <c r="BT242" s="5">
        <f>deaths!BT242-deaths!BS242</f>
        <v>0</v>
      </c>
      <c r="BU242" s="5">
        <f>deaths!BU242-deaths!BT242</f>
        <v>0</v>
      </c>
      <c r="BV242" s="5">
        <f>deaths!BV242-deaths!BU242</f>
        <v>0</v>
      </c>
      <c r="BW242" s="5">
        <f>deaths!BW242-deaths!BV242</f>
        <v>0</v>
      </c>
      <c r="BX242" s="5">
        <f>deaths!BX242-deaths!BW242</f>
        <v>1</v>
      </c>
      <c r="BY242" s="5">
        <f>deaths!BY242-deaths!BX242</f>
        <v>0</v>
      </c>
      <c r="BZ242" s="1">
        <f>deaths!BZ242</f>
        <v>1</v>
      </c>
      <c r="CA242" s="1">
        <f>deaths!CA242</f>
        <v>1</v>
      </c>
      <c r="CB242" s="1">
        <f>deaths!CB242</f>
        <v>1</v>
      </c>
      <c r="CC242" s="1" t="str">
        <f>deaths!CC242</f>
        <v/>
      </c>
    </row>
    <row r="243">
      <c r="B243" s="1" t="str">
        <f>deaths!B243</f>
        <v>West Bank and Gaza</v>
      </c>
      <c r="C243" s="4">
        <f>deaths!C243</f>
        <v>31.9522</v>
      </c>
      <c r="D243" s="4">
        <f>deaths!D243</f>
        <v>35.2332</v>
      </c>
      <c r="E243" s="5">
        <f>deaths!E243</f>
        <v>0</v>
      </c>
      <c r="F243" s="5">
        <f>deaths!F243-deaths!E243</f>
        <v>0</v>
      </c>
      <c r="G243" s="5">
        <f>deaths!G243-deaths!F243</f>
        <v>0</v>
      </c>
      <c r="H243" s="5">
        <f>deaths!H243-deaths!G243</f>
        <v>0</v>
      </c>
      <c r="I243" s="5">
        <f>deaths!I243-deaths!H243</f>
        <v>0</v>
      </c>
      <c r="J243" s="5">
        <f>deaths!J243-deaths!I243</f>
        <v>0</v>
      </c>
      <c r="K243" s="5">
        <f>deaths!K243-deaths!J243</f>
        <v>0</v>
      </c>
      <c r="L243" s="5">
        <f>deaths!L243-deaths!K243</f>
        <v>0</v>
      </c>
      <c r="M243" s="5">
        <f>deaths!M243-deaths!L243</f>
        <v>0</v>
      </c>
      <c r="N243" s="5">
        <f>deaths!N243-deaths!M243</f>
        <v>0</v>
      </c>
      <c r="O243" s="5">
        <f>deaths!O243-deaths!N243</f>
        <v>0</v>
      </c>
      <c r="P243" s="5">
        <f>deaths!P243-deaths!O243</f>
        <v>0</v>
      </c>
      <c r="Q243" s="5">
        <f>deaths!Q243-deaths!P243</f>
        <v>0</v>
      </c>
      <c r="R243" s="5">
        <f>deaths!R243-deaths!Q243</f>
        <v>0</v>
      </c>
      <c r="S243" s="5">
        <f>deaths!S243-deaths!R243</f>
        <v>0</v>
      </c>
      <c r="T243" s="5">
        <f>deaths!T243-deaths!S243</f>
        <v>0</v>
      </c>
      <c r="U243" s="5">
        <f>deaths!U243-deaths!T243</f>
        <v>0</v>
      </c>
      <c r="V243" s="5">
        <f>deaths!V243-deaths!U243</f>
        <v>0</v>
      </c>
      <c r="W243" s="5">
        <f>deaths!W243-deaths!V243</f>
        <v>0</v>
      </c>
      <c r="X243" s="5">
        <f>deaths!X243-deaths!W243</f>
        <v>0</v>
      </c>
      <c r="Y243" s="5">
        <f>deaths!Y243-deaths!X243</f>
        <v>0</v>
      </c>
      <c r="Z243" s="5">
        <f>deaths!Z243-deaths!Y243</f>
        <v>0</v>
      </c>
      <c r="AA243" s="5">
        <f>deaths!AA243-deaths!Z243</f>
        <v>0</v>
      </c>
      <c r="AB243" s="5">
        <f>deaths!AB243-deaths!AA243</f>
        <v>0</v>
      </c>
      <c r="AC243" s="5">
        <f>deaths!AC243-deaths!AB243</f>
        <v>0</v>
      </c>
      <c r="AD243" s="5">
        <f>deaths!AD243-deaths!AC243</f>
        <v>0</v>
      </c>
      <c r="AE243" s="5">
        <f>deaths!AE243-deaths!AD243</f>
        <v>0</v>
      </c>
      <c r="AF243" s="5">
        <f>deaths!AF243-deaths!AE243</f>
        <v>0</v>
      </c>
      <c r="AG243" s="5">
        <f>deaths!AG243-deaths!AF243</f>
        <v>0</v>
      </c>
      <c r="AH243" s="5">
        <f>deaths!AH243-deaths!AG243</f>
        <v>0</v>
      </c>
      <c r="AI243" s="5">
        <f>deaths!AI243-deaths!AH243</f>
        <v>0</v>
      </c>
      <c r="AJ243" s="5">
        <f>deaths!AJ243-deaths!AI243</f>
        <v>0</v>
      </c>
      <c r="AK243" s="5">
        <f>deaths!AK243-deaths!AJ243</f>
        <v>0</v>
      </c>
      <c r="AL243" s="5">
        <f>deaths!AL243-deaths!AK243</f>
        <v>0</v>
      </c>
      <c r="AM243" s="5">
        <f>deaths!AM243-deaths!AL243</f>
        <v>0</v>
      </c>
      <c r="AN243" s="5">
        <f>deaths!AN243-deaths!AM243</f>
        <v>0</v>
      </c>
      <c r="AO243" s="5">
        <f>deaths!AO243-deaths!AN243</f>
        <v>0</v>
      </c>
      <c r="AP243" s="5">
        <f>deaths!AP243-deaths!AO243</f>
        <v>0</v>
      </c>
      <c r="AQ243" s="5">
        <f>deaths!AQ243-deaths!AP243</f>
        <v>0</v>
      </c>
      <c r="AR243" s="5">
        <f>deaths!AR243-deaths!AQ243</f>
        <v>0</v>
      </c>
      <c r="AS243" s="5">
        <f>deaths!AS243-deaths!AR243</f>
        <v>0</v>
      </c>
      <c r="AT243" s="5">
        <f>deaths!AT243-deaths!AS243</f>
        <v>0</v>
      </c>
      <c r="AU243" s="5">
        <f>deaths!AU243-deaths!AT243</f>
        <v>0</v>
      </c>
      <c r="AV243" s="5">
        <f>deaths!AV243-deaths!AU243</f>
        <v>0</v>
      </c>
      <c r="AW243" s="5">
        <f>deaths!AW243-deaths!AV243</f>
        <v>0</v>
      </c>
      <c r="AX243" s="5">
        <f>deaths!AX243-deaths!AW243</f>
        <v>0</v>
      </c>
      <c r="AY243" s="5">
        <f>deaths!AY243-deaths!AX243</f>
        <v>0</v>
      </c>
      <c r="AZ243" s="5">
        <f>deaths!AZ243-deaths!AY243</f>
        <v>0</v>
      </c>
      <c r="BA243" s="5">
        <f>deaths!BA243-deaths!AZ243</f>
        <v>0</v>
      </c>
      <c r="BB243" s="5">
        <f>deaths!BB243-deaths!BA243</f>
        <v>0</v>
      </c>
      <c r="BC243" s="5">
        <f>deaths!BC243-deaths!BB243</f>
        <v>0</v>
      </c>
      <c r="BD243" s="5">
        <f>deaths!BD243-deaths!BC243</f>
        <v>0</v>
      </c>
      <c r="BE243" s="5">
        <f>deaths!BE243-deaths!BD243</f>
        <v>0</v>
      </c>
      <c r="BF243" s="5">
        <f>deaths!BF243-deaths!BE243</f>
        <v>0</v>
      </c>
      <c r="BG243" s="5">
        <f>deaths!BG243-deaths!BF243</f>
        <v>0</v>
      </c>
      <c r="BH243" s="5">
        <f>deaths!BH243-deaths!BG243</f>
        <v>0</v>
      </c>
      <c r="BI243" s="5">
        <f>deaths!BI243-deaths!BH243</f>
        <v>0</v>
      </c>
      <c r="BJ243" s="5">
        <f>deaths!BJ243-deaths!BI243</f>
        <v>0</v>
      </c>
      <c r="BK243" s="5">
        <f>deaths!BK243-deaths!BJ243</f>
        <v>0</v>
      </c>
      <c r="BL243" s="5">
        <f>deaths!BL243-deaths!BK243</f>
        <v>0</v>
      </c>
      <c r="BM243" s="5">
        <f>deaths!BM243-deaths!BL243</f>
        <v>0</v>
      </c>
      <c r="BN243" s="5">
        <f>deaths!BN243-deaths!BM243</f>
        <v>0</v>
      </c>
      <c r="BO243" s="5">
        <f>deaths!BO243-deaths!BN243</f>
        <v>0</v>
      </c>
      <c r="BP243" s="5">
        <f>deaths!BP243-deaths!BO243</f>
        <v>0</v>
      </c>
      <c r="BQ243" s="5">
        <f>deaths!BQ243-deaths!BP243</f>
        <v>1</v>
      </c>
      <c r="BR243" s="5">
        <f>deaths!BR243-deaths!BQ243</f>
        <v>0</v>
      </c>
      <c r="BS243" s="5">
        <f>deaths!BS243-deaths!BR243</f>
        <v>0</v>
      </c>
      <c r="BT243" s="5">
        <f>deaths!BT243-deaths!BS243</f>
        <v>0</v>
      </c>
      <c r="BU243" s="5">
        <f>deaths!BU243-deaths!BT243</f>
        <v>0</v>
      </c>
      <c r="BV243" s="5">
        <f>deaths!BV243-deaths!BU243</f>
        <v>0</v>
      </c>
      <c r="BW243" s="5">
        <f>deaths!BW243-deaths!BV243</f>
        <v>0</v>
      </c>
      <c r="BX243" s="5">
        <f>deaths!BX243-deaths!BW243</f>
        <v>0</v>
      </c>
      <c r="BY243" s="5">
        <f>deaths!BY243-deaths!BX243</f>
        <v>0</v>
      </c>
      <c r="BZ243" s="1">
        <f>deaths!BZ243</f>
        <v>1</v>
      </c>
      <c r="CA243" s="1">
        <f>deaths!CA243</f>
        <v>1</v>
      </c>
      <c r="CB243" s="1">
        <f>deaths!CB243</f>
        <v>1</v>
      </c>
      <c r="CC243" s="1" t="str">
        <f>deaths!CC243</f>
        <v/>
      </c>
    </row>
    <row r="244">
      <c r="B244" s="1" t="str">
        <f>deaths!B244</f>
        <v>Guinea-Bissau</v>
      </c>
      <c r="C244" s="4">
        <f>deaths!C244</f>
        <v>11.8037</v>
      </c>
      <c r="D244" s="4">
        <f>deaths!D244</f>
        <v>-15.1804</v>
      </c>
      <c r="E244" s="5">
        <f>deaths!E244</f>
        <v>0</v>
      </c>
      <c r="F244" s="5">
        <f>deaths!F244-deaths!E244</f>
        <v>0</v>
      </c>
      <c r="G244" s="5">
        <f>deaths!G244-deaths!F244</f>
        <v>0</v>
      </c>
      <c r="H244" s="5">
        <f>deaths!H244-deaths!G244</f>
        <v>0</v>
      </c>
      <c r="I244" s="5">
        <f>deaths!I244-deaths!H244</f>
        <v>0</v>
      </c>
      <c r="J244" s="5">
        <f>deaths!J244-deaths!I244</f>
        <v>0</v>
      </c>
      <c r="K244" s="5">
        <f>deaths!K244-deaths!J244</f>
        <v>0</v>
      </c>
      <c r="L244" s="5">
        <f>deaths!L244-deaths!K244</f>
        <v>0</v>
      </c>
      <c r="M244" s="5">
        <f>deaths!M244-deaths!L244</f>
        <v>0</v>
      </c>
      <c r="N244" s="5">
        <f>deaths!N244-deaths!M244</f>
        <v>0</v>
      </c>
      <c r="O244" s="5">
        <f>deaths!O244-deaths!N244</f>
        <v>0</v>
      </c>
      <c r="P244" s="5">
        <f>deaths!P244-deaths!O244</f>
        <v>0</v>
      </c>
      <c r="Q244" s="5">
        <f>deaths!Q244-deaths!P244</f>
        <v>0</v>
      </c>
      <c r="R244" s="5">
        <f>deaths!R244-deaths!Q244</f>
        <v>0</v>
      </c>
      <c r="S244" s="5">
        <f>deaths!S244-deaths!R244</f>
        <v>0</v>
      </c>
      <c r="T244" s="5">
        <f>deaths!T244-deaths!S244</f>
        <v>0</v>
      </c>
      <c r="U244" s="5">
        <f>deaths!U244-deaths!T244</f>
        <v>0</v>
      </c>
      <c r="V244" s="5">
        <f>deaths!V244-deaths!U244</f>
        <v>0</v>
      </c>
      <c r="W244" s="5">
        <f>deaths!W244-deaths!V244</f>
        <v>0</v>
      </c>
      <c r="X244" s="5">
        <f>deaths!X244-deaths!W244</f>
        <v>0</v>
      </c>
      <c r="Y244" s="5">
        <f>deaths!Y244-deaths!X244</f>
        <v>0</v>
      </c>
      <c r="Z244" s="5">
        <f>deaths!Z244-deaths!Y244</f>
        <v>0</v>
      </c>
      <c r="AA244" s="5">
        <f>deaths!AA244-deaths!Z244</f>
        <v>0</v>
      </c>
      <c r="AB244" s="5">
        <f>deaths!AB244-deaths!AA244</f>
        <v>0</v>
      </c>
      <c r="AC244" s="5">
        <f>deaths!AC244-deaths!AB244</f>
        <v>0</v>
      </c>
      <c r="AD244" s="5">
        <f>deaths!AD244-deaths!AC244</f>
        <v>0</v>
      </c>
      <c r="AE244" s="5">
        <f>deaths!AE244-deaths!AD244</f>
        <v>0</v>
      </c>
      <c r="AF244" s="5">
        <f>deaths!AF244-deaths!AE244</f>
        <v>0</v>
      </c>
      <c r="AG244" s="5">
        <f>deaths!AG244-deaths!AF244</f>
        <v>0</v>
      </c>
      <c r="AH244" s="5">
        <f>deaths!AH244-deaths!AG244</f>
        <v>0</v>
      </c>
      <c r="AI244" s="5">
        <f>deaths!AI244-deaths!AH244</f>
        <v>0</v>
      </c>
      <c r="AJ244" s="5">
        <f>deaths!AJ244-deaths!AI244</f>
        <v>0</v>
      </c>
      <c r="AK244" s="5">
        <f>deaths!AK244-deaths!AJ244</f>
        <v>0</v>
      </c>
      <c r="AL244" s="5">
        <f>deaths!AL244-deaths!AK244</f>
        <v>0</v>
      </c>
      <c r="AM244" s="5">
        <f>deaths!AM244-deaths!AL244</f>
        <v>0</v>
      </c>
      <c r="AN244" s="5">
        <f>deaths!AN244-deaths!AM244</f>
        <v>0</v>
      </c>
      <c r="AO244" s="5">
        <f>deaths!AO244-deaths!AN244</f>
        <v>0</v>
      </c>
      <c r="AP244" s="5">
        <f>deaths!AP244-deaths!AO244</f>
        <v>0</v>
      </c>
      <c r="AQ244" s="5">
        <f>deaths!AQ244-deaths!AP244</f>
        <v>0</v>
      </c>
      <c r="AR244" s="5">
        <f>deaths!AR244-deaths!AQ244</f>
        <v>0</v>
      </c>
      <c r="AS244" s="5">
        <f>deaths!AS244-deaths!AR244</f>
        <v>0</v>
      </c>
      <c r="AT244" s="5">
        <f>deaths!AT244-deaths!AS244</f>
        <v>0</v>
      </c>
      <c r="AU244" s="5">
        <f>deaths!AU244-deaths!AT244</f>
        <v>0</v>
      </c>
      <c r="AV244" s="5">
        <f>deaths!AV244-deaths!AU244</f>
        <v>0</v>
      </c>
      <c r="AW244" s="5">
        <f>deaths!AW244-deaths!AV244</f>
        <v>0</v>
      </c>
      <c r="AX244" s="5">
        <f>deaths!AX244-deaths!AW244</f>
        <v>0</v>
      </c>
      <c r="AY244" s="5">
        <f>deaths!AY244-deaths!AX244</f>
        <v>0</v>
      </c>
      <c r="AZ244" s="5">
        <f>deaths!AZ244-deaths!AY244</f>
        <v>0</v>
      </c>
      <c r="BA244" s="5">
        <f>deaths!BA244-deaths!AZ244</f>
        <v>0</v>
      </c>
      <c r="BB244" s="5">
        <f>deaths!BB244-deaths!BA244</f>
        <v>0</v>
      </c>
      <c r="BC244" s="5">
        <f>deaths!BC244-deaths!BB244</f>
        <v>0</v>
      </c>
      <c r="BD244" s="5">
        <f>deaths!BD244-deaths!BC244</f>
        <v>0</v>
      </c>
      <c r="BE244" s="5">
        <f>deaths!BE244-deaths!BD244</f>
        <v>0</v>
      </c>
      <c r="BF244" s="5">
        <f>deaths!BF244-deaths!BE244</f>
        <v>0</v>
      </c>
      <c r="BG244" s="5">
        <f>deaths!BG244-deaths!BF244</f>
        <v>0</v>
      </c>
      <c r="BH244" s="5">
        <f>deaths!BH244-deaths!BG244</f>
        <v>0</v>
      </c>
      <c r="BI244" s="5">
        <f>deaths!BI244-deaths!BH244</f>
        <v>0</v>
      </c>
      <c r="BJ244" s="5">
        <f>deaths!BJ244-deaths!BI244</f>
        <v>0</v>
      </c>
      <c r="BK244" s="5">
        <f>deaths!BK244-deaths!BJ244</f>
        <v>0</v>
      </c>
      <c r="BL244" s="5">
        <f>deaths!BL244-deaths!BK244</f>
        <v>0</v>
      </c>
      <c r="BM244" s="5">
        <f>deaths!BM244-deaths!BL244</f>
        <v>0</v>
      </c>
      <c r="BN244" s="5">
        <f>deaths!BN244-deaths!BM244</f>
        <v>0</v>
      </c>
      <c r="BO244" s="5">
        <f>deaths!BO244-deaths!BN244</f>
        <v>0</v>
      </c>
      <c r="BP244" s="5">
        <f>deaths!BP244-deaths!BO244</f>
        <v>0</v>
      </c>
      <c r="BQ244" s="5">
        <f>deaths!BQ244-deaths!BP244</f>
        <v>0</v>
      </c>
      <c r="BR244" s="5">
        <f>deaths!BR244-deaths!BQ244</f>
        <v>0</v>
      </c>
      <c r="BS244" s="5">
        <f>deaths!BS244-deaths!BR244</f>
        <v>0</v>
      </c>
      <c r="BT244" s="5">
        <f>deaths!BT244-deaths!BS244</f>
        <v>0</v>
      </c>
      <c r="BU244" s="5">
        <f>deaths!BU244-deaths!BT244</f>
        <v>0</v>
      </c>
      <c r="BV244" s="5">
        <f>deaths!BV244-deaths!BU244</f>
        <v>0</v>
      </c>
      <c r="BW244" s="5">
        <f>deaths!BW244-deaths!BV244</f>
        <v>0</v>
      </c>
      <c r="BX244" s="5">
        <f>deaths!BX244-deaths!BW244</f>
        <v>0</v>
      </c>
      <c r="BY244" s="5">
        <f>deaths!BY244-deaths!BX244</f>
        <v>0</v>
      </c>
      <c r="BZ244" s="1">
        <f>deaths!BZ244</f>
        <v>0</v>
      </c>
      <c r="CA244" s="1">
        <f>deaths!CA244</f>
        <v>0</v>
      </c>
      <c r="CB244" s="1">
        <f>deaths!CB244</f>
        <v>0</v>
      </c>
      <c r="CC244" s="1" t="str">
        <f>deaths!CC244</f>
        <v/>
      </c>
    </row>
    <row r="245">
      <c r="B245" s="1" t="str">
        <f>deaths!B245</f>
        <v>Mali</v>
      </c>
      <c r="C245" s="4">
        <f>deaths!C245</f>
        <v>17.570692</v>
      </c>
      <c r="D245" s="4">
        <f>deaths!D245</f>
        <v>-3.996166</v>
      </c>
      <c r="E245" s="5">
        <f>deaths!E245</f>
        <v>0</v>
      </c>
      <c r="F245" s="5">
        <f>deaths!F245-deaths!E245</f>
        <v>0</v>
      </c>
      <c r="G245" s="5">
        <f>deaths!G245-deaths!F245</f>
        <v>0</v>
      </c>
      <c r="H245" s="5">
        <f>deaths!H245-deaths!G245</f>
        <v>0</v>
      </c>
      <c r="I245" s="5">
        <f>deaths!I245-deaths!H245</f>
        <v>0</v>
      </c>
      <c r="J245" s="5">
        <f>deaths!J245-deaths!I245</f>
        <v>0</v>
      </c>
      <c r="K245" s="5">
        <f>deaths!K245-deaths!J245</f>
        <v>0</v>
      </c>
      <c r="L245" s="5">
        <f>deaths!L245-deaths!K245</f>
        <v>0</v>
      </c>
      <c r="M245" s="5">
        <f>deaths!M245-deaths!L245</f>
        <v>0</v>
      </c>
      <c r="N245" s="5">
        <f>deaths!N245-deaths!M245</f>
        <v>0</v>
      </c>
      <c r="O245" s="5">
        <f>deaths!O245-deaths!N245</f>
        <v>0</v>
      </c>
      <c r="P245" s="5">
        <f>deaths!P245-deaths!O245</f>
        <v>0</v>
      </c>
      <c r="Q245" s="5">
        <f>deaths!Q245-deaths!P245</f>
        <v>0</v>
      </c>
      <c r="R245" s="5">
        <f>deaths!R245-deaths!Q245</f>
        <v>0</v>
      </c>
      <c r="S245" s="5">
        <f>deaths!S245-deaths!R245</f>
        <v>0</v>
      </c>
      <c r="T245" s="5">
        <f>deaths!T245-deaths!S245</f>
        <v>0</v>
      </c>
      <c r="U245" s="5">
        <f>deaths!U245-deaths!T245</f>
        <v>0</v>
      </c>
      <c r="V245" s="5">
        <f>deaths!V245-deaths!U245</f>
        <v>0</v>
      </c>
      <c r="W245" s="5">
        <f>deaths!W245-deaths!V245</f>
        <v>0</v>
      </c>
      <c r="X245" s="5">
        <f>deaths!X245-deaths!W245</f>
        <v>0</v>
      </c>
      <c r="Y245" s="5">
        <f>deaths!Y245-deaths!X245</f>
        <v>0</v>
      </c>
      <c r="Z245" s="5">
        <f>deaths!Z245-deaths!Y245</f>
        <v>0</v>
      </c>
      <c r="AA245" s="5">
        <f>deaths!AA245-deaths!Z245</f>
        <v>0</v>
      </c>
      <c r="AB245" s="5">
        <f>deaths!AB245-deaths!AA245</f>
        <v>0</v>
      </c>
      <c r="AC245" s="5">
        <f>deaths!AC245-deaths!AB245</f>
        <v>0</v>
      </c>
      <c r="AD245" s="5">
        <f>deaths!AD245-deaths!AC245</f>
        <v>0</v>
      </c>
      <c r="AE245" s="5">
        <f>deaths!AE245-deaths!AD245</f>
        <v>0</v>
      </c>
      <c r="AF245" s="5">
        <f>deaths!AF245-deaths!AE245</f>
        <v>0</v>
      </c>
      <c r="AG245" s="5">
        <f>deaths!AG245-deaths!AF245</f>
        <v>0</v>
      </c>
      <c r="AH245" s="5">
        <f>deaths!AH245-deaths!AG245</f>
        <v>0</v>
      </c>
      <c r="AI245" s="5">
        <f>deaths!AI245-deaths!AH245</f>
        <v>0</v>
      </c>
      <c r="AJ245" s="5">
        <f>deaths!AJ245-deaths!AI245</f>
        <v>0</v>
      </c>
      <c r="AK245" s="5">
        <f>deaths!AK245-deaths!AJ245</f>
        <v>0</v>
      </c>
      <c r="AL245" s="5">
        <f>deaths!AL245-deaths!AK245</f>
        <v>0</v>
      </c>
      <c r="AM245" s="5">
        <f>deaths!AM245-deaths!AL245</f>
        <v>0</v>
      </c>
      <c r="AN245" s="5">
        <f>deaths!AN245-deaths!AM245</f>
        <v>0</v>
      </c>
      <c r="AO245" s="5">
        <f>deaths!AO245-deaths!AN245</f>
        <v>0</v>
      </c>
      <c r="AP245" s="5">
        <f>deaths!AP245-deaths!AO245</f>
        <v>0</v>
      </c>
      <c r="AQ245" s="5">
        <f>deaths!AQ245-deaths!AP245</f>
        <v>0</v>
      </c>
      <c r="AR245" s="5">
        <f>deaths!AR245-deaths!AQ245</f>
        <v>0</v>
      </c>
      <c r="AS245" s="5">
        <f>deaths!AS245-deaths!AR245</f>
        <v>0</v>
      </c>
      <c r="AT245" s="5">
        <f>deaths!AT245-deaths!AS245</f>
        <v>0</v>
      </c>
      <c r="AU245" s="5">
        <f>deaths!AU245-deaths!AT245</f>
        <v>0</v>
      </c>
      <c r="AV245" s="5">
        <f>deaths!AV245-deaths!AU245</f>
        <v>0</v>
      </c>
      <c r="AW245" s="5">
        <f>deaths!AW245-deaths!AV245</f>
        <v>0</v>
      </c>
      <c r="AX245" s="5">
        <f>deaths!AX245-deaths!AW245</f>
        <v>0</v>
      </c>
      <c r="AY245" s="5">
        <f>deaths!AY245-deaths!AX245</f>
        <v>0</v>
      </c>
      <c r="AZ245" s="5">
        <f>deaths!AZ245-deaths!AY245</f>
        <v>0</v>
      </c>
      <c r="BA245" s="5">
        <f>deaths!BA245-deaths!AZ245</f>
        <v>0</v>
      </c>
      <c r="BB245" s="5">
        <f>deaths!BB245-deaths!BA245</f>
        <v>0</v>
      </c>
      <c r="BC245" s="5">
        <f>deaths!BC245-deaths!BB245</f>
        <v>0</v>
      </c>
      <c r="BD245" s="5">
        <f>deaths!BD245-deaths!BC245</f>
        <v>0</v>
      </c>
      <c r="BE245" s="5">
        <f>deaths!BE245-deaths!BD245</f>
        <v>0</v>
      </c>
      <c r="BF245" s="5">
        <f>deaths!BF245-deaths!BE245</f>
        <v>0</v>
      </c>
      <c r="BG245" s="5">
        <f>deaths!BG245-deaths!BF245</f>
        <v>0</v>
      </c>
      <c r="BH245" s="5">
        <f>deaths!BH245-deaths!BG245</f>
        <v>0</v>
      </c>
      <c r="BI245" s="5">
        <f>deaths!BI245-deaths!BH245</f>
        <v>0</v>
      </c>
      <c r="BJ245" s="5">
        <f>deaths!BJ245-deaths!BI245</f>
        <v>0</v>
      </c>
      <c r="BK245" s="5">
        <f>deaths!BK245-deaths!BJ245</f>
        <v>0</v>
      </c>
      <c r="BL245" s="5">
        <f>deaths!BL245-deaths!BK245</f>
        <v>0</v>
      </c>
      <c r="BM245" s="5">
        <f>deaths!BM245-deaths!BL245</f>
        <v>0</v>
      </c>
      <c r="BN245" s="5">
        <f>deaths!BN245-deaths!BM245</f>
        <v>0</v>
      </c>
      <c r="BO245" s="5">
        <f>deaths!BO245-deaths!BN245</f>
        <v>0</v>
      </c>
      <c r="BP245" s="5">
        <f>deaths!BP245-deaths!BO245</f>
        <v>0</v>
      </c>
      <c r="BQ245" s="5">
        <f>deaths!BQ245-deaths!BP245</f>
        <v>0</v>
      </c>
      <c r="BR245" s="5">
        <f>deaths!BR245-deaths!BQ245</f>
        <v>0</v>
      </c>
      <c r="BS245" s="5">
        <f>deaths!BS245-deaths!BR245</f>
        <v>0</v>
      </c>
      <c r="BT245" s="5">
        <f>deaths!BT245-deaths!BS245</f>
        <v>1</v>
      </c>
      <c r="BU245" s="5">
        <f>deaths!BU245-deaths!BT245</f>
        <v>1</v>
      </c>
      <c r="BV245" s="5">
        <f>deaths!BV245-deaths!BU245</f>
        <v>0</v>
      </c>
      <c r="BW245" s="5">
        <f>deaths!BW245-deaths!BV245</f>
        <v>1</v>
      </c>
      <c r="BX245" s="5">
        <f>deaths!BX245-deaths!BW245</f>
        <v>0</v>
      </c>
      <c r="BY245" s="5">
        <f>deaths!BY245-deaths!BX245</f>
        <v>0</v>
      </c>
      <c r="BZ245" s="1">
        <f>deaths!BZ245</f>
        <v>3</v>
      </c>
      <c r="CA245" s="1">
        <f>deaths!CA245</f>
        <v>5</v>
      </c>
      <c r="CB245" s="1">
        <f>deaths!CB245</f>
        <v>5</v>
      </c>
      <c r="CC245" s="1" t="str">
        <f>deaths!CC245</f>
        <v/>
      </c>
    </row>
    <row r="246">
      <c r="B246" s="1" t="str">
        <f>deaths!B246</f>
        <v>Saint Kitts and Nevis</v>
      </c>
      <c r="C246" s="4">
        <f>deaths!C246</f>
        <v>17.357822</v>
      </c>
      <c r="D246" s="4">
        <f>deaths!D246</f>
        <v>-62.782998</v>
      </c>
      <c r="E246" s="5">
        <f>deaths!E246</f>
        <v>0</v>
      </c>
      <c r="F246" s="5">
        <f>deaths!F246-deaths!E246</f>
        <v>0</v>
      </c>
      <c r="G246" s="5">
        <f>deaths!G246-deaths!F246</f>
        <v>0</v>
      </c>
      <c r="H246" s="5">
        <f>deaths!H246-deaths!G246</f>
        <v>0</v>
      </c>
      <c r="I246" s="5">
        <f>deaths!I246-deaths!H246</f>
        <v>0</v>
      </c>
      <c r="J246" s="5">
        <f>deaths!J246-deaths!I246</f>
        <v>0</v>
      </c>
      <c r="K246" s="5">
        <f>deaths!K246-deaths!J246</f>
        <v>0</v>
      </c>
      <c r="L246" s="5">
        <f>deaths!L246-deaths!K246</f>
        <v>0</v>
      </c>
      <c r="M246" s="5">
        <f>deaths!M246-deaths!L246</f>
        <v>0</v>
      </c>
      <c r="N246" s="5">
        <f>deaths!N246-deaths!M246</f>
        <v>0</v>
      </c>
      <c r="O246" s="5">
        <f>deaths!O246-deaths!N246</f>
        <v>0</v>
      </c>
      <c r="P246" s="5">
        <f>deaths!P246-deaths!O246</f>
        <v>0</v>
      </c>
      <c r="Q246" s="5">
        <f>deaths!Q246-deaths!P246</f>
        <v>0</v>
      </c>
      <c r="R246" s="5">
        <f>deaths!R246-deaths!Q246</f>
        <v>0</v>
      </c>
      <c r="S246" s="5">
        <f>deaths!S246-deaths!R246</f>
        <v>0</v>
      </c>
      <c r="T246" s="5">
        <f>deaths!T246-deaths!S246</f>
        <v>0</v>
      </c>
      <c r="U246" s="5">
        <f>deaths!U246-deaths!T246</f>
        <v>0</v>
      </c>
      <c r="V246" s="5">
        <f>deaths!V246-deaths!U246</f>
        <v>0</v>
      </c>
      <c r="W246" s="5">
        <f>deaths!W246-deaths!V246</f>
        <v>0</v>
      </c>
      <c r="X246" s="5">
        <f>deaths!X246-deaths!W246</f>
        <v>0</v>
      </c>
      <c r="Y246" s="5">
        <f>deaths!Y246-deaths!X246</f>
        <v>0</v>
      </c>
      <c r="Z246" s="5">
        <f>deaths!Z246-deaths!Y246</f>
        <v>0</v>
      </c>
      <c r="AA246" s="5">
        <f>deaths!AA246-deaths!Z246</f>
        <v>0</v>
      </c>
      <c r="AB246" s="5">
        <f>deaths!AB246-deaths!AA246</f>
        <v>0</v>
      </c>
      <c r="AC246" s="5">
        <f>deaths!AC246-deaths!AB246</f>
        <v>0</v>
      </c>
      <c r="AD246" s="5">
        <f>deaths!AD246-deaths!AC246</f>
        <v>0</v>
      </c>
      <c r="AE246" s="5">
        <f>deaths!AE246-deaths!AD246</f>
        <v>0</v>
      </c>
      <c r="AF246" s="5">
        <f>deaths!AF246-deaths!AE246</f>
        <v>0</v>
      </c>
      <c r="AG246" s="5">
        <f>deaths!AG246-deaths!AF246</f>
        <v>0</v>
      </c>
      <c r="AH246" s="5">
        <f>deaths!AH246-deaths!AG246</f>
        <v>0</v>
      </c>
      <c r="AI246" s="5">
        <f>deaths!AI246-deaths!AH246</f>
        <v>0</v>
      </c>
      <c r="AJ246" s="5">
        <f>deaths!AJ246-deaths!AI246</f>
        <v>0</v>
      </c>
      <c r="AK246" s="5">
        <f>deaths!AK246-deaths!AJ246</f>
        <v>0</v>
      </c>
      <c r="AL246" s="5">
        <f>deaths!AL246-deaths!AK246</f>
        <v>0</v>
      </c>
      <c r="AM246" s="5">
        <f>deaths!AM246-deaths!AL246</f>
        <v>0</v>
      </c>
      <c r="AN246" s="5">
        <f>deaths!AN246-deaths!AM246</f>
        <v>0</v>
      </c>
      <c r="AO246" s="5">
        <f>deaths!AO246-deaths!AN246</f>
        <v>0</v>
      </c>
      <c r="AP246" s="5">
        <f>deaths!AP246-deaths!AO246</f>
        <v>0</v>
      </c>
      <c r="AQ246" s="5">
        <f>deaths!AQ246-deaths!AP246</f>
        <v>0</v>
      </c>
      <c r="AR246" s="5">
        <f>deaths!AR246-deaths!AQ246</f>
        <v>0</v>
      </c>
      <c r="AS246" s="5">
        <f>deaths!AS246-deaths!AR246</f>
        <v>0</v>
      </c>
      <c r="AT246" s="5">
        <f>deaths!AT246-deaths!AS246</f>
        <v>0</v>
      </c>
      <c r="AU246" s="5">
        <f>deaths!AU246-deaths!AT246</f>
        <v>0</v>
      </c>
      <c r="AV246" s="5">
        <f>deaths!AV246-deaths!AU246</f>
        <v>0</v>
      </c>
      <c r="AW246" s="5">
        <f>deaths!AW246-deaths!AV246</f>
        <v>0</v>
      </c>
      <c r="AX246" s="5">
        <f>deaths!AX246-deaths!AW246</f>
        <v>0</v>
      </c>
      <c r="AY246" s="5">
        <f>deaths!AY246-deaths!AX246</f>
        <v>0</v>
      </c>
      <c r="AZ246" s="5">
        <f>deaths!AZ246-deaths!AY246</f>
        <v>0</v>
      </c>
      <c r="BA246" s="5">
        <f>deaths!BA246-deaths!AZ246</f>
        <v>0</v>
      </c>
      <c r="BB246" s="5">
        <f>deaths!BB246-deaths!BA246</f>
        <v>0</v>
      </c>
      <c r="BC246" s="5">
        <f>deaths!BC246-deaths!BB246</f>
        <v>0</v>
      </c>
      <c r="BD246" s="5">
        <f>deaths!BD246-deaths!BC246</f>
        <v>0</v>
      </c>
      <c r="BE246" s="5">
        <f>deaths!BE246-deaths!BD246</f>
        <v>0</v>
      </c>
      <c r="BF246" s="5">
        <f>deaths!BF246-deaths!BE246</f>
        <v>0</v>
      </c>
      <c r="BG246" s="5">
        <f>deaths!BG246-deaths!BF246</f>
        <v>0</v>
      </c>
      <c r="BH246" s="5">
        <f>deaths!BH246-deaths!BG246</f>
        <v>0</v>
      </c>
      <c r="BI246" s="5">
        <f>deaths!BI246-deaths!BH246</f>
        <v>0</v>
      </c>
      <c r="BJ246" s="5">
        <f>deaths!BJ246-deaths!BI246</f>
        <v>0</v>
      </c>
      <c r="BK246" s="5">
        <f>deaths!BK246-deaths!BJ246</f>
        <v>0</v>
      </c>
      <c r="BL246" s="5">
        <f>deaths!BL246-deaths!BK246</f>
        <v>0</v>
      </c>
      <c r="BM246" s="5">
        <f>deaths!BM246-deaths!BL246</f>
        <v>0</v>
      </c>
      <c r="BN246" s="5">
        <f>deaths!BN246-deaths!BM246</f>
        <v>0</v>
      </c>
      <c r="BO246" s="5">
        <f>deaths!BO246-deaths!BN246</f>
        <v>0</v>
      </c>
      <c r="BP246" s="5">
        <f>deaths!BP246-deaths!BO246</f>
        <v>0</v>
      </c>
      <c r="BQ246" s="5">
        <f>deaths!BQ246-deaths!BP246</f>
        <v>0</v>
      </c>
      <c r="BR246" s="5">
        <f>deaths!BR246-deaths!BQ246</f>
        <v>0</v>
      </c>
      <c r="BS246" s="5">
        <f>deaths!BS246-deaths!BR246</f>
        <v>0</v>
      </c>
      <c r="BT246" s="5">
        <f>deaths!BT246-deaths!BS246</f>
        <v>0</v>
      </c>
      <c r="BU246" s="5">
        <f>deaths!BU246-deaths!BT246</f>
        <v>0</v>
      </c>
      <c r="BV246" s="5">
        <f>deaths!BV246-deaths!BU246</f>
        <v>0</v>
      </c>
      <c r="BW246" s="5">
        <f>deaths!BW246-deaths!BV246</f>
        <v>0</v>
      </c>
      <c r="BX246" s="5">
        <f>deaths!BX246-deaths!BW246</f>
        <v>0</v>
      </c>
      <c r="BY246" s="5">
        <f>deaths!BY246-deaths!BX246</f>
        <v>0</v>
      </c>
      <c r="BZ246" s="1">
        <f>deaths!BZ246</f>
        <v>0</v>
      </c>
      <c r="CA246" s="1">
        <f>deaths!CA246</f>
        <v>0</v>
      </c>
      <c r="CB246" s="1">
        <f>deaths!CB246</f>
        <v>0</v>
      </c>
      <c r="CC246" s="1" t="str">
        <f>deaths!CC246</f>
        <v/>
      </c>
    </row>
    <row r="247">
      <c r="B247" s="1" t="str">
        <f>deaths!B247</f>
        <v>Canada</v>
      </c>
      <c r="C247" s="4">
        <f>deaths!C247</f>
        <v>64.8255</v>
      </c>
      <c r="D247" s="4">
        <f>deaths!D247</f>
        <v>-124.8457</v>
      </c>
      <c r="E247" s="5">
        <f>deaths!E247</f>
        <v>0</v>
      </c>
      <c r="F247" s="5">
        <f>deaths!F247-deaths!E247</f>
        <v>0</v>
      </c>
      <c r="G247" s="5">
        <f>deaths!G247-deaths!F247</f>
        <v>0</v>
      </c>
      <c r="H247" s="5">
        <f>deaths!H247-deaths!G247</f>
        <v>0</v>
      </c>
      <c r="I247" s="5">
        <f>deaths!I247-deaths!H247</f>
        <v>0</v>
      </c>
      <c r="J247" s="5">
        <f>deaths!J247-deaths!I247</f>
        <v>0</v>
      </c>
      <c r="K247" s="5">
        <f>deaths!K247-deaths!J247</f>
        <v>0</v>
      </c>
      <c r="L247" s="5">
        <f>deaths!L247-deaths!K247</f>
        <v>0</v>
      </c>
      <c r="M247" s="5">
        <f>deaths!M247-deaths!L247</f>
        <v>0</v>
      </c>
      <c r="N247" s="5">
        <f>deaths!N247-deaths!M247</f>
        <v>0</v>
      </c>
      <c r="O247" s="5">
        <f>deaths!O247-deaths!N247</f>
        <v>0</v>
      </c>
      <c r="P247" s="5">
        <f>deaths!P247-deaths!O247</f>
        <v>0</v>
      </c>
      <c r="Q247" s="5">
        <f>deaths!Q247-deaths!P247</f>
        <v>0</v>
      </c>
      <c r="R247" s="5">
        <f>deaths!R247-deaths!Q247</f>
        <v>0</v>
      </c>
      <c r="S247" s="5">
        <f>deaths!S247-deaths!R247</f>
        <v>0</v>
      </c>
      <c r="T247" s="5">
        <f>deaths!T247-deaths!S247</f>
        <v>0</v>
      </c>
      <c r="U247" s="5">
        <f>deaths!U247-deaths!T247</f>
        <v>0</v>
      </c>
      <c r="V247" s="5">
        <f>deaths!V247-deaths!U247</f>
        <v>0</v>
      </c>
      <c r="W247" s="5">
        <f>deaths!W247-deaths!V247</f>
        <v>0</v>
      </c>
      <c r="X247" s="5">
        <f>deaths!X247-deaths!W247</f>
        <v>0</v>
      </c>
      <c r="Y247" s="5">
        <f>deaths!Y247-deaths!X247</f>
        <v>0</v>
      </c>
      <c r="Z247" s="5">
        <f>deaths!Z247-deaths!Y247</f>
        <v>0</v>
      </c>
      <c r="AA247" s="5">
        <f>deaths!AA247-deaths!Z247</f>
        <v>0</v>
      </c>
      <c r="AB247" s="5">
        <f>deaths!AB247-deaths!AA247</f>
        <v>0</v>
      </c>
      <c r="AC247" s="5">
        <f>deaths!AC247-deaths!AB247</f>
        <v>0</v>
      </c>
      <c r="AD247" s="5">
        <f>deaths!AD247-deaths!AC247</f>
        <v>0</v>
      </c>
      <c r="AE247" s="5">
        <f>deaths!AE247-deaths!AD247</f>
        <v>0</v>
      </c>
      <c r="AF247" s="5">
        <f>deaths!AF247-deaths!AE247</f>
        <v>0</v>
      </c>
      <c r="AG247" s="5">
        <f>deaths!AG247-deaths!AF247</f>
        <v>0</v>
      </c>
      <c r="AH247" s="5">
        <f>deaths!AH247-deaths!AG247</f>
        <v>0</v>
      </c>
      <c r="AI247" s="5">
        <f>deaths!AI247-deaths!AH247</f>
        <v>0</v>
      </c>
      <c r="AJ247" s="5">
        <f>deaths!AJ247-deaths!AI247</f>
        <v>0</v>
      </c>
      <c r="AK247" s="5">
        <f>deaths!AK247-deaths!AJ247</f>
        <v>0</v>
      </c>
      <c r="AL247" s="5">
        <f>deaths!AL247-deaths!AK247</f>
        <v>0</v>
      </c>
      <c r="AM247" s="5">
        <f>deaths!AM247-deaths!AL247</f>
        <v>0</v>
      </c>
      <c r="AN247" s="5">
        <f>deaths!AN247-deaths!AM247</f>
        <v>0</v>
      </c>
      <c r="AO247" s="5">
        <f>deaths!AO247-deaths!AN247</f>
        <v>0</v>
      </c>
      <c r="AP247" s="5">
        <f>deaths!AP247-deaths!AO247</f>
        <v>0</v>
      </c>
      <c r="AQ247" s="5">
        <f>deaths!AQ247-deaths!AP247</f>
        <v>0</v>
      </c>
      <c r="AR247" s="5">
        <f>deaths!AR247-deaths!AQ247</f>
        <v>0</v>
      </c>
      <c r="AS247" s="5">
        <f>deaths!AS247-deaths!AR247</f>
        <v>0</v>
      </c>
      <c r="AT247" s="5">
        <f>deaths!AT247-deaths!AS247</f>
        <v>0</v>
      </c>
      <c r="AU247" s="5">
        <f>deaths!AU247-deaths!AT247</f>
        <v>0</v>
      </c>
      <c r="AV247" s="5">
        <f>deaths!AV247-deaths!AU247</f>
        <v>0</v>
      </c>
      <c r="AW247" s="5">
        <f>deaths!AW247-deaths!AV247</f>
        <v>0</v>
      </c>
      <c r="AX247" s="5">
        <f>deaths!AX247-deaths!AW247</f>
        <v>0</v>
      </c>
      <c r="AY247" s="5">
        <f>deaths!AY247-deaths!AX247</f>
        <v>0</v>
      </c>
      <c r="AZ247" s="5">
        <f>deaths!AZ247-deaths!AY247</f>
        <v>0</v>
      </c>
      <c r="BA247" s="5">
        <f>deaths!BA247-deaths!AZ247</f>
        <v>0</v>
      </c>
      <c r="BB247" s="5">
        <f>deaths!BB247-deaths!BA247</f>
        <v>0</v>
      </c>
      <c r="BC247" s="5">
        <f>deaths!BC247-deaths!BB247</f>
        <v>0</v>
      </c>
      <c r="BD247" s="5">
        <f>deaths!BD247-deaths!BC247</f>
        <v>0</v>
      </c>
      <c r="BE247" s="5">
        <f>deaths!BE247-deaths!BD247</f>
        <v>0</v>
      </c>
      <c r="BF247" s="5">
        <f>deaths!BF247-deaths!BE247</f>
        <v>0</v>
      </c>
      <c r="BG247" s="5">
        <f>deaths!BG247-deaths!BF247</f>
        <v>0</v>
      </c>
      <c r="BH247" s="5">
        <f>deaths!BH247-deaths!BG247</f>
        <v>0</v>
      </c>
      <c r="BI247" s="5">
        <f>deaths!BI247-deaths!BH247</f>
        <v>0</v>
      </c>
      <c r="BJ247" s="5">
        <f>deaths!BJ247-deaths!BI247</f>
        <v>0</v>
      </c>
      <c r="BK247" s="5">
        <f>deaths!BK247-deaths!BJ247</f>
        <v>0</v>
      </c>
      <c r="BL247" s="5">
        <f>deaths!BL247-deaths!BK247</f>
        <v>0</v>
      </c>
      <c r="BM247" s="5">
        <f>deaths!BM247-deaths!BL247</f>
        <v>0</v>
      </c>
      <c r="BN247" s="5">
        <f>deaths!BN247-deaths!BM247</f>
        <v>0</v>
      </c>
      <c r="BO247" s="5">
        <f>deaths!BO247-deaths!BN247</f>
        <v>0</v>
      </c>
      <c r="BP247" s="5">
        <f>deaths!BP247-deaths!BO247</f>
        <v>0</v>
      </c>
      <c r="BQ247" s="5">
        <f>deaths!BQ247-deaths!BP247</f>
        <v>0</v>
      </c>
      <c r="BR247" s="5">
        <f>deaths!BR247-deaths!BQ247</f>
        <v>0</v>
      </c>
      <c r="BS247" s="5">
        <f>deaths!BS247-deaths!BR247</f>
        <v>0</v>
      </c>
      <c r="BT247" s="5">
        <f>deaths!BT247-deaths!BS247</f>
        <v>0</v>
      </c>
      <c r="BU247" s="5">
        <f>deaths!BU247-deaths!BT247</f>
        <v>0</v>
      </c>
      <c r="BV247" s="5">
        <f>deaths!BV247-deaths!BU247</f>
        <v>0</v>
      </c>
      <c r="BW247" s="5">
        <f>deaths!BW247-deaths!BV247</f>
        <v>0</v>
      </c>
      <c r="BX247" s="5">
        <f>deaths!BX247-deaths!BW247</f>
        <v>0</v>
      </c>
      <c r="BY247" s="5">
        <f>deaths!BY247-deaths!BX247</f>
        <v>0</v>
      </c>
      <c r="BZ247" s="1">
        <f>deaths!BZ247</f>
        <v>0</v>
      </c>
      <c r="CA247" s="1">
        <f>deaths!CA247</f>
        <v>0</v>
      </c>
      <c r="CB247" s="1">
        <f>deaths!CB247</f>
        <v>0</v>
      </c>
      <c r="CC247" s="1" t="str">
        <f>deaths!CC247</f>
        <v/>
      </c>
    </row>
    <row r="248">
      <c r="B248" s="1" t="str">
        <f>deaths!B248</f>
        <v>Canada</v>
      </c>
      <c r="C248" s="4">
        <f>deaths!C248</f>
        <v>64.2823</v>
      </c>
      <c r="D248" s="4">
        <f>deaths!D248</f>
        <v>-135</v>
      </c>
      <c r="E248" s="5">
        <f>deaths!E248</f>
        <v>0</v>
      </c>
      <c r="F248" s="5">
        <f>deaths!F248-deaths!E248</f>
        <v>0</v>
      </c>
      <c r="G248" s="5">
        <f>deaths!G248-deaths!F248</f>
        <v>0</v>
      </c>
      <c r="H248" s="5">
        <f>deaths!H248-deaths!G248</f>
        <v>0</v>
      </c>
      <c r="I248" s="5">
        <f>deaths!I248-deaths!H248</f>
        <v>0</v>
      </c>
      <c r="J248" s="5">
        <f>deaths!J248-deaths!I248</f>
        <v>0</v>
      </c>
      <c r="K248" s="5">
        <f>deaths!K248-deaths!J248</f>
        <v>0</v>
      </c>
      <c r="L248" s="5">
        <f>deaths!L248-deaths!K248</f>
        <v>0</v>
      </c>
      <c r="M248" s="5">
        <f>deaths!M248-deaths!L248</f>
        <v>0</v>
      </c>
      <c r="N248" s="5">
        <f>deaths!N248-deaths!M248</f>
        <v>0</v>
      </c>
      <c r="O248" s="5">
        <f>deaths!O248-deaths!N248</f>
        <v>0</v>
      </c>
      <c r="P248" s="5">
        <f>deaths!P248-deaths!O248</f>
        <v>0</v>
      </c>
      <c r="Q248" s="5">
        <f>deaths!Q248-deaths!P248</f>
        <v>0</v>
      </c>
      <c r="R248" s="5">
        <f>deaths!R248-deaths!Q248</f>
        <v>0</v>
      </c>
      <c r="S248" s="5">
        <f>deaths!S248-deaths!R248</f>
        <v>0</v>
      </c>
      <c r="T248" s="5">
        <f>deaths!T248-deaths!S248</f>
        <v>0</v>
      </c>
      <c r="U248" s="5">
        <f>deaths!U248-deaths!T248</f>
        <v>0</v>
      </c>
      <c r="V248" s="5">
        <f>deaths!V248-deaths!U248</f>
        <v>0</v>
      </c>
      <c r="W248" s="5">
        <f>deaths!W248-deaths!V248</f>
        <v>0</v>
      </c>
      <c r="X248" s="5">
        <f>deaths!X248-deaths!W248</f>
        <v>0</v>
      </c>
      <c r="Y248" s="5">
        <f>deaths!Y248-deaths!X248</f>
        <v>0</v>
      </c>
      <c r="Z248" s="5">
        <f>deaths!Z248-deaths!Y248</f>
        <v>0</v>
      </c>
      <c r="AA248" s="5">
        <f>deaths!AA248-deaths!Z248</f>
        <v>0</v>
      </c>
      <c r="AB248" s="5">
        <f>deaths!AB248-deaths!AA248</f>
        <v>0</v>
      </c>
      <c r="AC248" s="5">
        <f>deaths!AC248-deaths!AB248</f>
        <v>0</v>
      </c>
      <c r="AD248" s="5">
        <f>deaths!AD248-deaths!AC248</f>
        <v>0</v>
      </c>
      <c r="AE248" s="5">
        <f>deaths!AE248-deaths!AD248</f>
        <v>0</v>
      </c>
      <c r="AF248" s="5">
        <f>deaths!AF248-deaths!AE248</f>
        <v>0</v>
      </c>
      <c r="AG248" s="5">
        <f>deaths!AG248-deaths!AF248</f>
        <v>0</v>
      </c>
      <c r="AH248" s="5">
        <f>deaths!AH248-deaths!AG248</f>
        <v>0</v>
      </c>
      <c r="AI248" s="5">
        <f>deaths!AI248-deaths!AH248</f>
        <v>0</v>
      </c>
      <c r="AJ248" s="5">
        <f>deaths!AJ248-deaths!AI248</f>
        <v>0</v>
      </c>
      <c r="AK248" s="5">
        <f>deaths!AK248-deaths!AJ248</f>
        <v>0</v>
      </c>
      <c r="AL248" s="5">
        <f>deaths!AL248-deaths!AK248</f>
        <v>0</v>
      </c>
      <c r="AM248" s="5">
        <f>deaths!AM248-deaths!AL248</f>
        <v>0</v>
      </c>
      <c r="AN248" s="5">
        <f>deaths!AN248-deaths!AM248</f>
        <v>0</v>
      </c>
      <c r="AO248" s="5">
        <f>deaths!AO248-deaths!AN248</f>
        <v>0</v>
      </c>
      <c r="AP248" s="5">
        <f>deaths!AP248-deaths!AO248</f>
        <v>0</v>
      </c>
      <c r="AQ248" s="5">
        <f>deaths!AQ248-deaths!AP248</f>
        <v>0</v>
      </c>
      <c r="AR248" s="5">
        <f>deaths!AR248-deaths!AQ248</f>
        <v>0</v>
      </c>
      <c r="AS248" s="5">
        <f>deaths!AS248-deaths!AR248</f>
        <v>0</v>
      </c>
      <c r="AT248" s="5">
        <f>deaths!AT248-deaths!AS248</f>
        <v>0</v>
      </c>
      <c r="AU248" s="5">
        <f>deaths!AU248-deaths!AT248</f>
        <v>0</v>
      </c>
      <c r="AV248" s="5">
        <f>deaths!AV248-deaths!AU248</f>
        <v>0</v>
      </c>
      <c r="AW248" s="5">
        <f>deaths!AW248-deaths!AV248</f>
        <v>0</v>
      </c>
      <c r="AX248" s="5">
        <f>deaths!AX248-deaths!AW248</f>
        <v>0</v>
      </c>
      <c r="AY248" s="5">
        <f>deaths!AY248-deaths!AX248</f>
        <v>0</v>
      </c>
      <c r="AZ248" s="5">
        <f>deaths!AZ248-deaths!AY248</f>
        <v>0</v>
      </c>
      <c r="BA248" s="5">
        <f>deaths!BA248-deaths!AZ248</f>
        <v>0</v>
      </c>
      <c r="BB248" s="5">
        <f>deaths!BB248-deaths!BA248</f>
        <v>0</v>
      </c>
      <c r="BC248" s="5">
        <f>deaths!BC248-deaths!BB248</f>
        <v>0</v>
      </c>
      <c r="BD248" s="5">
        <f>deaths!BD248-deaths!BC248</f>
        <v>0</v>
      </c>
      <c r="BE248" s="5">
        <f>deaths!BE248-deaths!BD248</f>
        <v>0</v>
      </c>
      <c r="BF248" s="5">
        <f>deaths!BF248-deaths!BE248</f>
        <v>0</v>
      </c>
      <c r="BG248" s="5">
        <f>deaths!BG248-deaths!BF248</f>
        <v>0</v>
      </c>
      <c r="BH248" s="5">
        <f>deaths!BH248-deaths!BG248</f>
        <v>0</v>
      </c>
      <c r="BI248" s="5">
        <f>deaths!BI248-deaths!BH248</f>
        <v>0</v>
      </c>
      <c r="BJ248" s="5">
        <f>deaths!BJ248-deaths!BI248</f>
        <v>0</v>
      </c>
      <c r="BK248" s="5">
        <f>deaths!BK248-deaths!BJ248</f>
        <v>0</v>
      </c>
      <c r="BL248" s="5">
        <f>deaths!BL248-deaths!BK248</f>
        <v>0</v>
      </c>
      <c r="BM248" s="5">
        <f>deaths!BM248-deaths!BL248</f>
        <v>0</v>
      </c>
      <c r="BN248" s="5">
        <f>deaths!BN248-deaths!BM248</f>
        <v>0</v>
      </c>
      <c r="BO248" s="5">
        <f>deaths!BO248-deaths!BN248</f>
        <v>0</v>
      </c>
      <c r="BP248" s="5">
        <f>deaths!BP248-deaths!BO248</f>
        <v>0</v>
      </c>
      <c r="BQ248" s="5">
        <f>deaths!BQ248-deaths!BP248</f>
        <v>0</v>
      </c>
      <c r="BR248" s="5">
        <f>deaths!BR248-deaths!BQ248</f>
        <v>0</v>
      </c>
      <c r="BS248" s="5">
        <f>deaths!BS248-deaths!BR248</f>
        <v>0</v>
      </c>
      <c r="BT248" s="5">
        <f>deaths!BT248-deaths!BS248</f>
        <v>0</v>
      </c>
      <c r="BU248" s="5">
        <f>deaths!BU248-deaths!BT248</f>
        <v>0</v>
      </c>
      <c r="BV248" s="5">
        <f>deaths!BV248-deaths!BU248</f>
        <v>0</v>
      </c>
      <c r="BW248" s="5">
        <f>deaths!BW248-deaths!BV248</f>
        <v>0</v>
      </c>
      <c r="BX248" s="5">
        <f>deaths!BX248-deaths!BW248</f>
        <v>0</v>
      </c>
      <c r="BY248" s="5">
        <f>deaths!BY248-deaths!BX248</f>
        <v>0</v>
      </c>
      <c r="BZ248" s="1">
        <f>deaths!BZ248</f>
        <v>0</v>
      </c>
      <c r="CA248" s="1">
        <f>deaths!CA248</f>
        <v>0</v>
      </c>
      <c r="CB248" s="1">
        <f>deaths!CB248</f>
        <v>0</v>
      </c>
      <c r="CC248" s="1" t="str">
        <f>deaths!CC248</f>
        <v/>
      </c>
    </row>
    <row r="249">
      <c r="B249" s="1" t="str">
        <f>deaths!B249</f>
        <v>Kosovo</v>
      </c>
      <c r="C249" s="4">
        <f>deaths!C249</f>
        <v>42.602636</v>
      </c>
      <c r="D249" s="4">
        <f>deaths!D249</f>
        <v>20.902977</v>
      </c>
      <c r="E249" s="5">
        <f>deaths!E249</f>
        <v>0</v>
      </c>
      <c r="F249" s="5">
        <f>deaths!F249-deaths!E249</f>
        <v>0</v>
      </c>
      <c r="G249" s="5">
        <f>deaths!G249-deaths!F249</f>
        <v>0</v>
      </c>
      <c r="H249" s="5">
        <f>deaths!H249-deaths!G249</f>
        <v>0</v>
      </c>
      <c r="I249" s="5">
        <f>deaths!I249-deaths!H249</f>
        <v>0</v>
      </c>
      <c r="J249" s="5">
        <f>deaths!J249-deaths!I249</f>
        <v>0</v>
      </c>
      <c r="K249" s="5">
        <f>deaths!K249-deaths!J249</f>
        <v>0</v>
      </c>
      <c r="L249" s="5">
        <f>deaths!L249-deaths!K249</f>
        <v>0</v>
      </c>
      <c r="M249" s="5">
        <f>deaths!M249-deaths!L249</f>
        <v>0</v>
      </c>
      <c r="N249" s="5">
        <f>deaths!N249-deaths!M249</f>
        <v>0</v>
      </c>
      <c r="O249" s="5">
        <f>deaths!O249-deaths!N249</f>
        <v>0</v>
      </c>
      <c r="P249" s="5">
        <f>deaths!P249-deaths!O249</f>
        <v>0</v>
      </c>
      <c r="Q249" s="5">
        <f>deaths!Q249-deaths!P249</f>
        <v>0</v>
      </c>
      <c r="R249" s="5">
        <f>deaths!R249-deaths!Q249</f>
        <v>0</v>
      </c>
      <c r="S249" s="5">
        <f>deaths!S249-deaths!R249</f>
        <v>0</v>
      </c>
      <c r="T249" s="5">
        <f>deaths!T249-deaths!S249</f>
        <v>0</v>
      </c>
      <c r="U249" s="5">
        <f>deaths!U249-deaths!T249</f>
        <v>0</v>
      </c>
      <c r="V249" s="5">
        <f>deaths!V249-deaths!U249</f>
        <v>0</v>
      </c>
      <c r="W249" s="5">
        <f>deaths!W249-deaths!V249</f>
        <v>0</v>
      </c>
      <c r="X249" s="5">
        <f>deaths!X249-deaths!W249</f>
        <v>0</v>
      </c>
      <c r="Y249" s="5">
        <f>deaths!Y249-deaths!X249</f>
        <v>0</v>
      </c>
      <c r="Z249" s="5">
        <f>deaths!Z249-deaths!Y249</f>
        <v>0</v>
      </c>
      <c r="AA249" s="5">
        <f>deaths!AA249-deaths!Z249</f>
        <v>0</v>
      </c>
      <c r="AB249" s="5">
        <f>deaths!AB249-deaths!AA249</f>
        <v>0</v>
      </c>
      <c r="AC249" s="5">
        <f>deaths!AC249-deaths!AB249</f>
        <v>0</v>
      </c>
      <c r="AD249" s="5">
        <f>deaths!AD249-deaths!AC249</f>
        <v>0</v>
      </c>
      <c r="AE249" s="5">
        <f>deaths!AE249-deaths!AD249</f>
        <v>0</v>
      </c>
      <c r="AF249" s="5">
        <f>deaths!AF249-deaths!AE249</f>
        <v>0</v>
      </c>
      <c r="AG249" s="5">
        <f>deaths!AG249-deaths!AF249</f>
        <v>0</v>
      </c>
      <c r="AH249" s="5">
        <f>deaths!AH249-deaths!AG249</f>
        <v>0</v>
      </c>
      <c r="AI249" s="5">
        <f>deaths!AI249-deaths!AH249</f>
        <v>0</v>
      </c>
      <c r="AJ249" s="5">
        <f>deaths!AJ249-deaths!AI249</f>
        <v>0</v>
      </c>
      <c r="AK249" s="5">
        <f>deaths!AK249-deaths!AJ249</f>
        <v>0</v>
      </c>
      <c r="AL249" s="5">
        <f>deaths!AL249-deaths!AK249</f>
        <v>0</v>
      </c>
      <c r="AM249" s="5">
        <f>deaths!AM249-deaths!AL249</f>
        <v>0</v>
      </c>
      <c r="AN249" s="5">
        <f>deaths!AN249-deaths!AM249</f>
        <v>0</v>
      </c>
      <c r="AO249" s="5">
        <f>deaths!AO249-deaths!AN249</f>
        <v>0</v>
      </c>
      <c r="AP249" s="5">
        <f>deaths!AP249-deaths!AO249</f>
        <v>0</v>
      </c>
      <c r="AQ249" s="5">
        <f>deaths!AQ249-deaths!AP249</f>
        <v>0</v>
      </c>
      <c r="AR249" s="5">
        <f>deaths!AR249-deaths!AQ249</f>
        <v>0</v>
      </c>
      <c r="AS249" s="5">
        <f>deaths!AS249-deaths!AR249</f>
        <v>0</v>
      </c>
      <c r="AT249" s="5">
        <f>deaths!AT249-deaths!AS249</f>
        <v>0</v>
      </c>
      <c r="AU249" s="5">
        <f>deaths!AU249-deaths!AT249</f>
        <v>0</v>
      </c>
      <c r="AV249" s="5">
        <f>deaths!AV249-deaths!AU249</f>
        <v>0</v>
      </c>
      <c r="AW249" s="5">
        <f>deaths!AW249-deaths!AV249</f>
        <v>0</v>
      </c>
      <c r="AX249" s="5">
        <f>deaths!AX249-deaths!AW249</f>
        <v>0</v>
      </c>
      <c r="AY249" s="5">
        <f>deaths!AY249-deaths!AX249</f>
        <v>0</v>
      </c>
      <c r="AZ249" s="5">
        <f>deaths!AZ249-deaths!AY249</f>
        <v>0</v>
      </c>
      <c r="BA249" s="5">
        <f>deaths!BA249-deaths!AZ249</f>
        <v>0</v>
      </c>
      <c r="BB249" s="5">
        <f>deaths!BB249-deaths!BA249</f>
        <v>0</v>
      </c>
      <c r="BC249" s="5">
        <f>deaths!BC249-deaths!BB249</f>
        <v>0</v>
      </c>
      <c r="BD249" s="5">
        <f>deaths!BD249-deaths!BC249</f>
        <v>0</v>
      </c>
      <c r="BE249" s="5">
        <f>deaths!BE249-deaths!BD249</f>
        <v>0</v>
      </c>
      <c r="BF249" s="5">
        <f>deaths!BF249-deaths!BE249</f>
        <v>0</v>
      </c>
      <c r="BG249" s="5">
        <f>deaths!BG249-deaths!BF249</f>
        <v>0</v>
      </c>
      <c r="BH249" s="5">
        <f>deaths!BH249-deaths!BG249</f>
        <v>0</v>
      </c>
      <c r="BI249" s="5">
        <f>deaths!BI249-deaths!BH249</f>
        <v>0</v>
      </c>
      <c r="BJ249" s="5">
        <f>deaths!BJ249-deaths!BI249</f>
        <v>0</v>
      </c>
      <c r="BK249" s="5">
        <f>deaths!BK249-deaths!BJ249</f>
        <v>0</v>
      </c>
      <c r="BL249" s="5">
        <f>deaths!BL249-deaths!BK249</f>
        <v>0</v>
      </c>
      <c r="BM249" s="5">
        <f>deaths!BM249-deaths!BL249</f>
        <v>0</v>
      </c>
      <c r="BN249" s="5">
        <f>deaths!BN249-deaths!BM249</f>
        <v>0</v>
      </c>
      <c r="BO249" s="5">
        <f>deaths!BO249-deaths!BN249</f>
        <v>0</v>
      </c>
      <c r="BP249" s="5">
        <f>deaths!BP249-deaths!BO249</f>
        <v>0</v>
      </c>
      <c r="BQ249" s="5">
        <f>deaths!BQ249-deaths!BP249</f>
        <v>1</v>
      </c>
      <c r="BR249" s="5">
        <f>deaths!BR249-deaths!BQ249</f>
        <v>0</v>
      </c>
      <c r="BS249" s="5">
        <f>deaths!BS249-deaths!BR249</f>
        <v>0</v>
      </c>
      <c r="BT249" s="5">
        <f>deaths!BT249-deaths!BS249</f>
        <v>0</v>
      </c>
      <c r="BU249" s="5">
        <f>deaths!BU249-deaths!BT249</f>
        <v>0</v>
      </c>
      <c r="BV249" s="5">
        <f>deaths!BV249-deaths!BU249</f>
        <v>0</v>
      </c>
      <c r="BW249" s="5">
        <f>deaths!BW249-deaths!BV249</f>
        <v>0</v>
      </c>
      <c r="BX249" s="5">
        <f>deaths!BX249-deaths!BW249</f>
        <v>0</v>
      </c>
      <c r="BY249" s="5">
        <f>deaths!BY249-deaths!BX249</f>
        <v>0</v>
      </c>
      <c r="BZ249" s="1">
        <f>deaths!BZ249</f>
        <v>1</v>
      </c>
      <c r="CA249" s="1">
        <f>deaths!CA249</f>
        <v>1</v>
      </c>
      <c r="CB249" s="1">
        <f>deaths!CB249</f>
        <v>1</v>
      </c>
      <c r="CC249" s="1" t="str">
        <f>deaths!CC249</f>
        <v/>
      </c>
    </row>
    <row r="250">
      <c r="B250" s="1" t="str">
        <f>deaths!B250</f>
        <v>Burma</v>
      </c>
      <c r="C250" s="4">
        <f>deaths!C250</f>
        <v>21.9162</v>
      </c>
      <c r="D250" s="4">
        <f>deaths!D250</f>
        <v>95.956</v>
      </c>
      <c r="E250" s="5">
        <f>deaths!E250</f>
        <v>0</v>
      </c>
      <c r="F250" s="5">
        <f>deaths!F250-deaths!E250</f>
        <v>0</v>
      </c>
      <c r="G250" s="5">
        <f>deaths!G250-deaths!F250</f>
        <v>0</v>
      </c>
      <c r="H250" s="5">
        <f>deaths!H250-deaths!G250</f>
        <v>0</v>
      </c>
      <c r="I250" s="5">
        <f>deaths!I250-deaths!H250</f>
        <v>0</v>
      </c>
      <c r="J250" s="5">
        <f>deaths!J250-deaths!I250</f>
        <v>0</v>
      </c>
      <c r="K250" s="5">
        <f>deaths!K250-deaths!J250</f>
        <v>0</v>
      </c>
      <c r="L250" s="5">
        <f>deaths!L250-deaths!K250</f>
        <v>0</v>
      </c>
      <c r="M250" s="5">
        <f>deaths!M250-deaths!L250</f>
        <v>0</v>
      </c>
      <c r="N250" s="5">
        <f>deaths!N250-deaths!M250</f>
        <v>0</v>
      </c>
      <c r="O250" s="5">
        <f>deaths!O250-deaths!N250</f>
        <v>0</v>
      </c>
      <c r="P250" s="5">
        <f>deaths!P250-deaths!O250</f>
        <v>0</v>
      </c>
      <c r="Q250" s="5">
        <f>deaths!Q250-deaths!P250</f>
        <v>0</v>
      </c>
      <c r="R250" s="5">
        <f>deaths!R250-deaths!Q250</f>
        <v>0</v>
      </c>
      <c r="S250" s="5">
        <f>deaths!S250-deaths!R250</f>
        <v>0</v>
      </c>
      <c r="T250" s="5">
        <f>deaths!T250-deaths!S250</f>
        <v>0</v>
      </c>
      <c r="U250" s="5">
        <f>deaths!U250-deaths!T250</f>
        <v>0</v>
      </c>
      <c r="V250" s="5">
        <f>deaths!V250-deaths!U250</f>
        <v>0</v>
      </c>
      <c r="W250" s="5">
        <f>deaths!W250-deaths!V250</f>
        <v>0</v>
      </c>
      <c r="X250" s="5">
        <f>deaths!X250-deaths!W250</f>
        <v>0</v>
      </c>
      <c r="Y250" s="5">
        <f>deaths!Y250-deaths!X250</f>
        <v>0</v>
      </c>
      <c r="Z250" s="5">
        <f>deaths!Z250-deaths!Y250</f>
        <v>0</v>
      </c>
      <c r="AA250" s="5">
        <f>deaths!AA250-deaths!Z250</f>
        <v>0</v>
      </c>
      <c r="AB250" s="5">
        <f>deaths!AB250-deaths!AA250</f>
        <v>0</v>
      </c>
      <c r="AC250" s="5">
        <f>deaths!AC250-deaths!AB250</f>
        <v>0</v>
      </c>
      <c r="AD250" s="5">
        <f>deaths!AD250-deaths!AC250</f>
        <v>0</v>
      </c>
      <c r="AE250" s="5">
        <f>deaths!AE250-deaths!AD250</f>
        <v>0</v>
      </c>
      <c r="AF250" s="5">
        <f>deaths!AF250-deaths!AE250</f>
        <v>0</v>
      </c>
      <c r="AG250" s="5">
        <f>deaths!AG250-deaths!AF250</f>
        <v>0</v>
      </c>
      <c r="AH250" s="5">
        <f>deaths!AH250-deaths!AG250</f>
        <v>0</v>
      </c>
      <c r="AI250" s="5">
        <f>deaths!AI250-deaths!AH250</f>
        <v>0</v>
      </c>
      <c r="AJ250" s="5">
        <f>deaths!AJ250-deaths!AI250</f>
        <v>0</v>
      </c>
      <c r="AK250" s="5">
        <f>deaths!AK250-deaths!AJ250</f>
        <v>0</v>
      </c>
      <c r="AL250" s="5">
        <f>deaths!AL250-deaths!AK250</f>
        <v>0</v>
      </c>
      <c r="AM250" s="5">
        <f>deaths!AM250-deaths!AL250</f>
        <v>0</v>
      </c>
      <c r="AN250" s="5">
        <f>deaths!AN250-deaths!AM250</f>
        <v>0</v>
      </c>
      <c r="AO250" s="5">
        <f>deaths!AO250-deaths!AN250</f>
        <v>0</v>
      </c>
      <c r="AP250" s="5">
        <f>deaths!AP250-deaths!AO250</f>
        <v>0</v>
      </c>
      <c r="AQ250" s="5">
        <f>deaths!AQ250-deaths!AP250</f>
        <v>0</v>
      </c>
      <c r="AR250" s="5">
        <f>deaths!AR250-deaths!AQ250</f>
        <v>0</v>
      </c>
      <c r="AS250" s="5">
        <f>deaths!AS250-deaths!AR250</f>
        <v>0</v>
      </c>
      <c r="AT250" s="5">
        <f>deaths!AT250-deaths!AS250</f>
        <v>0</v>
      </c>
      <c r="AU250" s="5">
        <f>deaths!AU250-deaths!AT250</f>
        <v>0</v>
      </c>
      <c r="AV250" s="5">
        <f>deaths!AV250-deaths!AU250</f>
        <v>0</v>
      </c>
      <c r="AW250" s="5">
        <f>deaths!AW250-deaths!AV250</f>
        <v>0</v>
      </c>
      <c r="AX250" s="5">
        <f>deaths!AX250-deaths!AW250</f>
        <v>0</v>
      </c>
      <c r="AY250" s="5">
        <f>deaths!AY250-deaths!AX250</f>
        <v>0</v>
      </c>
      <c r="AZ250" s="5">
        <f>deaths!AZ250-deaths!AY250</f>
        <v>0</v>
      </c>
      <c r="BA250" s="5">
        <f>deaths!BA250-deaths!AZ250</f>
        <v>0</v>
      </c>
      <c r="BB250" s="5">
        <f>deaths!BB250-deaths!BA250</f>
        <v>0</v>
      </c>
      <c r="BC250" s="5">
        <f>deaths!BC250-deaths!BB250</f>
        <v>0</v>
      </c>
      <c r="BD250" s="5">
        <f>deaths!BD250-deaths!BC250</f>
        <v>0</v>
      </c>
      <c r="BE250" s="5">
        <f>deaths!BE250-deaths!BD250</f>
        <v>0</v>
      </c>
      <c r="BF250" s="5">
        <f>deaths!BF250-deaths!BE250</f>
        <v>0</v>
      </c>
      <c r="BG250" s="5">
        <f>deaths!BG250-deaths!BF250</f>
        <v>0</v>
      </c>
      <c r="BH250" s="5">
        <f>deaths!BH250-deaths!BG250</f>
        <v>0</v>
      </c>
      <c r="BI250" s="5">
        <f>deaths!BI250-deaths!BH250</f>
        <v>0</v>
      </c>
      <c r="BJ250" s="5">
        <f>deaths!BJ250-deaths!BI250</f>
        <v>0</v>
      </c>
      <c r="BK250" s="5">
        <f>deaths!BK250-deaths!BJ250</f>
        <v>0</v>
      </c>
      <c r="BL250" s="5">
        <f>deaths!BL250-deaths!BK250</f>
        <v>0</v>
      </c>
      <c r="BM250" s="5">
        <f>deaths!BM250-deaths!BL250</f>
        <v>0</v>
      </c>
      <c r="BN250" s="5">
        <f>deaths!BN250-deaths!BM250</f>
        <v>0</v>
      </c>
      <c r="BO250" s="5">
        <f>deaths!BO250-deaths!BN250</f>
        <v>0</v>
      </c>
      <c r="BP250" s="5">
        <f>deaths!BP250-deaths!BO250</f>
        <v>0</v>
      </c>
      <c r="BQ250" s="5">
        <f>deaths!BQ250-deaths!BP250</f>
        <v>0</v>
      </c>
      <c r="BR250" s="5">
        <f>deaths!BR250-deaths!BQ250</f>
        <v>0</v>
      </c>
      <c r="BS250" s="5">
        <f>deaths!BS250-deaths!BR250</f>
        <v>0</v>
      </c>
      <c r="BT250" s="5">
        <f>deaths!BT250-deaths!BS250</f>
        <v>0</v>
      </c>
      <c r="BU250" s="5">
        <f>deaths!BU250-deaths!BT250</f>
        <v>0</v>
      </c>
      <c r="BV250" s="5">
        <f>deaths!BV250-deaths!BU250</f>
        <v>1</v>
      </c>
      <c r="BW250" s="5">
        <f>deaths!BW250-deaths!BV250</f>
        <v>0</v>
      </c>
      <c r="BX250" s="5">
        <f>deaths!BX250-deaths!BW250</f>
        <v>0</v>
      </c>
      <c r="BY250" s="5">
        <f>deaths!BY250-deaths!BX250</f>
        <v>0</v>
      </c>
      <c r="BZ250" s="1">
        <f>deaths!BZ250</f>
        <v>1</v>
      </c>
      <c r="CA250" s="1">
        <f>deaths!CA250</f>
        <v>1</v>
      </c>
      <c r="CB250" s="1">
        <f>deaths!CB250</f>
        <v>1</v>
      </c>
      <c r="CC250" s="1" t="str">
        <f>deaths!CC250</f>
        <v/>
      </c>
    </row>
    <row r="251">
      <c r="B251" s="1" t="str">
        <f>deaths!B251</f>
        <v>United Kingdom</v>
      </c>
      <c r="C251" s="4">
        <f>deaths!C251</f>
        <v>18.2206</v>
      </c>
      <c r="D251" s="4">
        <f>deaths!D251</f>
        <v>-63.0686</v>
      </c>
      <c r="E251" s="5">
        <f>deaths!E251</f>
        <v>0</v>
      </c>
      <c r="F251" s="5">
        <f>deaths!F251-deaths!E251</f>
        <v>0</v>
      </c>
      <c r="G251" s="5">
        <f>deaths!G251-deaths!F251</f>
        <v>0</v>
      </c>
      <c r="H251" s="5">
        <f>deaths!H251-deaths!G251</f>
        <v>0</v>
      </c>
      <c r="I251" s="5">
        <f>deaths!I251-deaths!H251</f>
        <v>0</v>
      </c>
      <c r="J251" s="5">
        <f>deaths!J251-deaths!I251</f>
        <v>0</v>
      </c>
      <c r="K251" s="5">
        <f>deaths!K251-deaths!J251</f>
        <v>0</v>
      </c>
      <c r="L251" s="5">
        <f>deaths!L251-deaths!K251</f>
        <v>0</v>
      </c>
      <c r="M251" s="5">
        <f>deaths!M251-deaths!L251</f>
        <v>0</v>
      </c>
      <c r="N251" s="5">
        <f>deaths!N251-deaths!M251</f>
        <v>0</v>
      </c>
      <c r="O251" s="5">
        <f>deaths!O251-deaths!N251</f>
        <v>0</v>
      </c>
      <c r="P251" s="5">
        <f>deaths!P251-deaths!O251</f>
        <v>0</v>
      </c>
      <c r="Q251" s="5">
        <f>deaths!Q251-deaths!P251</f>
        <v>0</v>
      </c>
      <c r="R251" s="5">
        <f>deaths!R251-deaths!Q251</f>
        <v>0</v>
      </c>
      <c r="S251" s="5">
        <f>deaths!S251-deaths!R251</f>
        <v>0</v>
      </c>
      <c r="T251" s="5">
        <f>deaths!T251-deaths!S251</f>
        <v>0</v>
      </c>
      <c r="U251" s="5">
        <f>deaths!U251-deaths!T251</f>
        <v>0</v>
      </c>
      <c r="V251" s="5">
        <f>deaths!V251-deaths!U251</f>
        <v>0</v>
      </c>
      <c r="W251" s="5">
        <f>deaths!W251-deaths!V251</f>
        <v>0</v>
      </c>
      <c r="X251" s="5">
        <f>deaths!X251-deaths!W251</f>
        <v>0</v>
      </c>
      <c r="Y251" s="5">
        <f>deaths!Y251-deaths!X251</f>
        <v>0</v>
      </c>
      <c r="Z251" s="5">
        <f>deaths!Z251-deaths!Y251</f>
        <v>0</v>
      </c>
      <c r="AA251" s="5">
        <f>deaths!AA251-deaths!Z251</f>
        <v>0</v>
      </c>
      <c r="AB251" s="5">
        <f>deaths!AB251-deaths!AA251</f>
        <v>0</v>
      </c>
      <c r="AC251" s="5">
        <f>deaths!AC251-deaths!AB251</f>
        <v>0</v>
      </c>
      <c r="AD251" s="5">
        <f>deaths!AD251-deaths!AC251</f>
        <v>0</v>
      </c>
      <c r="AE251" s="5">
        <f>deaths!AE251-deaths!AD251</f>
        <v>0</v>
      </c>
      <c r="AF251" s="5">
        <f>deaths!AF251-deaths!AE251</f>
        <v>0</v>
      </c>
      <c r="AG251" s="5">
        <f>deaths!AG251-deaths!AF251</f>
        <v>0</v>
      </c>
      <c r="AH251" s="5">
        <f>deaths!AH251-deaths!AG251</f>
        <v>0</v>
      </c>
      <c r="AI251" s="5">
        <f>deaths!AI251-deaths!AH251</f>
        <v>0</v>
      </c>
      <c r="AJ251" s="5">
        <f>deaths!AJ251-deaths!AI251</f>
        <v>0</v>
      </c>
      <c r="AK251" s="5">
        <f>deaths!AK251-deaths!AJ251</f>
        <v>0</v>
      </c>
      <c r="AL251" s="5">
        <f>deaths!AL251-deaths!AK251</f>
        <v>0</v>
      </c>
      <c r="AM251" s="5">
        <f>deaths!AM251-deaths!AL251</f>
        <v>0</v>
      </c>
      <c r="AN251" s="5">
        <f>deaths!AN251-deaths!AM251</f>
        <v>0</v>
      </c>
      <c r="AO251" s="5">
        <f>deaths!AO251-deaths!AN251</f>
        <v>0</v>
      </c>
      <c r="AP251" s="5">
        <f>deaths!AP251-deaths!AO251</f>
        <v>0</v>
      </c>
      <c r="AQ251" s="5">
        <f>deaths!AQ251-deaths!AP251</f>
        <v>0</v>
      </c>
      <c r="AR251" s="5">
        <f>deaths!AR251-deaths!AQ251</f>
        <v>0</v>
      </c>
      <c r="AS251" s="5">
        <f>deaths!AS251-deaths!AR251</f>
        <v>0</v>
      </c>
      <c r="AT251" s="5">
        <f>deaths!AT251-deaths!AS251</f>
        <v>0</v>
      </c>
      <c r="AU251" s="5">
        <f>deaths!AU251-deaths!AT251</f>
        <v>0</v>
      </c>
      <c r="AV251" s="5">
        <f>deaths!AV251-deaths!AU251</f>
        <v>0</v>
      </c>
      <c r="AW251" s="5">
        <f>deaths!AW251-deaths!AV251</f>
        <v>0</v>
      </c>
      <c r="AX251" s="5">
        <f>deaths!AX251-deaths!AW251</f>
        <v>0</v>
      </c>
      <c r="AY251" s="5">
        <f>deaths!AY251-deaths!AX251</f>
        <v>0</v>
      </c>
      <c r="AZ251" s="5">
        <f>deaths!AZ251-deaths!AY251</f>
        <v>0</v>
      </c>
      <c r="BA251" s="5">
        <f>deaths!BA251-deaths!AZ251</f>
        <v>0</v>
      </c>
      <c r="BB251" s="5">
        <f>deaths!BB251-deaths!BA251</f>
        <v>0</v>
      </c>
      <c r="BC251" s="5">
        <f>deaths!BC251-deaths!BB251</f>
        <v>0</v>
      </c>
      <c r="BD251" s="5">
        <f>deaths!BD251-deaths!BC251</f>
        <v>0</v>
      </c>
      <c r="BE251" s="5">
        <f>deaths!BE251-deaths!BD251</f>
        <v>0</v>
      </c>
      <c r="BF251" s="5">
        <f>deaths!BF251-deaths!BE251</f>
        <v>0</v>
      </c>
      <c r="BG251" s="5">
        <f>deaths!BG251-deaths!BF251</f>
        <v>0</v>
      </c>
      <c r="BH251" s="5">
        <f>deaths!BH251-deaths!BG251</f>
        <v>0</v>
      </c>
      <c r="BI251" s="5">
        <f>deaths!BI251-deaths!BH251</f>
        <v>0</v>
      </c>
      <c r="BJ251" s="5">
        <f>deaths!BJ251-deaths!BI251</f>
        <v>0</v>
      </c>
      <c r="BK251" s="5">
        <f>deaths!BK251-deaths!BJ251</f>
        <v>0</v>
      </c>
      <c r="BL251" s="5">
        <f>deaths!BL251-deaths!BK251</f>
        <v>0</v>
      </c>
      <c r="BM251" s="5">
        <f>deaths!BM251-deaths!BL251</f>
        <v>0</v>
      </c>
      <c r="BN251" s="5">
        <f>deaths!BN251-deaths!BM251</f>
        <v>0</v>
      </c>
      <c r="BO251" s="5">
        <f>deaths!BO251-deaths!BN251</f>
        <v>0</v>
      </c>
      <c r="BP251" s="5">
        <f>deaths!BP251-deaths!BO251</f>
        <v>0</v>
      </c>
      <c r="BQ251" s="5">
        <f>deaths!BQ251-deaths!BP251</f>
        <v>0</v>
      </c>
      <c r="BR251" s="5">
        <f>deaths!BR251-deaths!BQ251</f>
        <v>0</v>
      </c>
      <c r="BS251" s="5">
        <f>deaths!BS251-deaths!BR251</f>
        <v>0</v>
      </c>
      <c r="BT251" s="5">
        <f>deaths!BT251-deaths!BS251</f>
        <v>0</v>
      </c>
      <c r="BU251" s="5">
        <f>deaths!BU251-deaths!BT251</f>
        <v>0</v>
      </c>
      <c r="BV251" s="5">
        <f>deaths!BV251-deaths!BU251</f>
        <v>0</v>
      </c>
      <c r="BW251" s="5">
        <f>deaths!BW251-deaths!BV251</f>
        <v>0</v>
      </c>
      <c r="BX251" s="5">
        <f>deaths!BX251-deaths!BW251</f>
        <v>0</v>
      </c>
      <c r="BY251" s="5">
        <f>deaths!BY251-deaths!BX251</f>
        <v>0</v>
      </c>
      <c r="BZ251" s="1">
        <f>deaths!BZ251</f>
        <v>0</v>
      </c>
      <c r="CA251" s="1">
        <f>deaths!CA251</f>
        <v>0</v>
      </c>
      <c r="CB251" s="1">
        <f>deaths!CB251</f>
        <v>0</v>
      </c>
      <c r="CC251" s="1" t="str">
        <f>deaths!CC251</f>
        <v/>
      </c>
    </row>
    <row r="252">
      <c r="B252" s="1" t="str">
        <f>deaths!B252</f>
        <v>United Kingdom</v>
      </c>
      <c r="C252" s="4">
        <f>deaths!C252</f>
        <v>18.4207</v>
      </c>
      <c r="D252" s="4">
        <f>deaths!D252</f>
        <v>-64.64</v>
      </c>
      <c r="E252" s="5">
        <f>deaths!E252</f>
        <v>0</v>
      </c>
      <c r="F252" s="5">
        <f>deaths!F252-deaths!E252</f>
        <v>0</v>
      </c>
      <c r="G252" s="5">
        <f>deaths!G252-deaths!F252</f>
        <v>0</v>
      </c>
      <c r="H252" s="5">
        <f>deaths!H252-deaths!G252</f>
        <v>0</v>
      </c>
      <c r="I252" s="5">
        <f>deaths!I252-deaths!H252</f>
        <v>0</v>
      </c>
      <c r="J252" s="5">
        <f>deaths!J252-deaths!I252</f>
        <v>0</v>
      </c>
      <c r="K252" s="5">
        <f>deaths!K252-deaths!J252</f>
        <v>0</v>
      </c>
      <c r="L252" s="5">
        <f>deaths!L252-deaths!K252</f>
        <v>0</v>
      </c>
      <c r="M252" s="5">
        <f>deaths!M252-deaths!L252</f>
        <v>0</v>
      </c>
      <c r="N252" s="5">
        <f>deaths!N252-deaths!M252</f>
        <v>0</v>
      </c>
      <c r="O252" s="5">
        <f>deaths!O252-deaths!N252</f>
        <v>0</v>
      </c>
      <c r="P252" s="5">
        <f>deaths!P252-deaths!O252</f>
        <v>0</v>
      </c>
      <c r="Q252" s="5">
        <f>deaths!Q252-deaths!P252</f>
        <v>0</v>
      </c>
      <c r="R252" s="5">
        <f>deaths!R252-deaths!Q252</f>
        <v>0</v>
      </c>
      <c r="S252" s="5">
        <f>deaths!S252-deaths!R252</f>
        <v>0</v>
      </c>
      <c r="T252" s="5">
        <f>deaths!T252-deaths!S252</f>
        <v>0</v>
      </c>
      <c r="U252" s="5">
        <f>deaths!U252-deaths!T252</f>
        <v>0</v>
      </c>
      <c r="V252" s="5">
        <f>deaths!V252-deaths!U252</f>
        <v>0</v>
      </c>
      <c r="W252" s="5">
        <f>deaths!W252-deaths!V252</f>
        <v>0</v>
      </c>
      <c r="X252" s="5">
        <f>deaths!X252-deaths!W252</f>
        <v>0</v>
      </c>
      <c r="Y252" s="5">
        <f>deaths!Y252-deaths!X252</f>
        <v>0</v>
      </c>
      <c r="Z252" s="5">
        <f>deaths!Z252-deaths!Y252</f>
        <v>0</v>
      </c>
      <c r="AA252" s="5">
        <f>deaths!AA252-deaths!Z252</f>
        <v>0</v>
      </c>
      <c r="AB252" s="5">
        <f>deaths!AB252-deaths!AA252</f>
        <v>0</v>
      </c>
      <c r="AC252" s="5">
        <f>deaths!AC252-deaths!AB252</f>
        <v>0</v>
      </c>
      <c r="AD252" s="5">
        <f>deaths!AD252-deaths!AC252</f>
        <v>0</v>
      </c>
      <c r="AE252" s="5">
        <f>deaths!AE252-deaths!AD252</f>
        <v>0</v>
      </c>
      <c r="AF252" s="5">
        <f>deaths!AF252-deaths!AE252</f>
        <v>0</v>
      </c>
      <c r="AG252" s="5">
        <f>deaths!AG252-deaths!AF252</f>
        <v>0</v>
      </c>
      <c r="AH252" s="5">
        <f>deaths!AH252-deaths!AG252</f>
        <v>0</v>
      </c>
      <c r="AI252" s="5">
        <f>deaths!AI252-deaths!AH252</f>
        <v>0</v>
      </c>
      <c r="AJ252" s="5">
        <f>deaths!AJ252-deaths!AI252</f>
        <v>0</v>
      </c>
      <c r="AK252" s="5">
        <f>deaths!AK252-deaths!AJ252</f>
        <v>0</v>
      </c>
      <c r="AL252" s="5">
        <f>deaths!AL252-deaths!AK252</f>
        <v>0</v>
      </c>
      <c r="AM252" s="5">
        <f>deaths!AM252-deaths!AL252</f>
        <v>0</v>
      </c>
      <c r="AN252" s="5">
        <f>deaths!AN252-deaths!AM252</f>
        <v>0</v>
      </c>
      <c r="AO252" s="5">
        <f>deaths!AO252-deaths!AN252</f>
        <v>0</v>
      </c>
      <c r="AP252" s="5">
        <f>deaths!AP252-deaths!AO252</f>
        <v>0</v>
      </c>
      <c r="AQ252" s="5">
        <f>deaths!AQ252-deaths!AP252</f>
        <v>0</v>
      </c>
      <c r="AR252" s="5">
        <f>deaths!AR252-deaths!AQ252</f>
        <v>0</v>
      </c>
      <c r="AS252" s="5">
        <f>deaths!AS252-deaths!AR252</f>
        <v>0</v>
      </c>
      <c r="AT252" s="5">
        <f>deaths!AT252-deaths!AS252</f>
        <v>0</v>
      </c>
      <c r="AU252" s="5">
        <f>deaths!AU252-deaths!AT252</f>
        <v>0</v>
      </c>
      <c r="AV252" s="5">
        <f>deaths!AV252-deaths!AU252</f>
        <v>0</v>
      </c>
      <c r="AW252" s="5">
        <f>deaths!AW252-deaths!AV252</f>
        <v>0</v>
      </c>
      <c r="AX252" s="5">
        <f>deaths!AX252-deaths!AW252</f>
        <v>0</v>
      </c>
      <c r="AY252" s="5">
        <f>deaths!AY252-deaths!AX252</f>
        <v>0</v>
      </c>
      <c r="AZ252" s="5">
        <f>deaths!AZ252-deaths!AY252</f>
        <v>0</v>
      </c>
      <c r="BA252" s="5">
        <f>deaths!BA252-deaths!AZ252</f>
        <v>0</v>
      </c>
      <c r="BB252" s="5">
        <f>deaths!BB252-deaths!BA252</f>
        <v>0</v>
      </c>
      <c r="BC252" s="5">
        <f>deaths!BC252-deaths!BB252</f>
        <v>0</v>
      </c>
      <c r="BD252" s="5">
        <f>deaths!BD252-deaths!BC252</f>
        <v>0</v>
      </c>
      <c r="BE252" s="5">
        <f>deaths!BE252-deaths!BD252</f>
        <v>0</v>
      </c>
      <c r="BF252" s="5">
        <f>deaths!BF252-deaths!BE252</f>
        <v>0</v>
      </c>
      <c r="BG252" s="5">
        <f>deaths!BG252-deaths!BF252</f>
        <v>0</v>
      </c>
      <c r="BH252" s="5">
        <f>deaths!BH252-deaths!BG252</f>
        <v>0</v>
      </c>
      <c r="BI252" s="5">
        <f>deaths!BI252-deaths!BH252</f>
        <v>0</v>
      </c>
      <c r="BJ252" s="5">
        <f>deaths!BJ252-deaths!BI252</f>
        <v>0</v>
      </c>
      <c r="BK252" s="5">
        <f>deaths!BK252-deaths!BJ252</f>
        <v>0</v>
      </c>
      <c r="BL252" s="5">
        <f>deaths!BL252-deaths!BK252</f>
        <v>0</v>
      </c>
      <c r="BM252" s="5">
        <f>deaths!BM252-deaths!BL252</f>
        <v>0</v>
      </c>
      <c r="BN252" s="5">
        <f>deaths!BN252-deaths!BM252</f>
        <v>0</v>
      </c>
      <c r="BO252" s="5">
        <f>deaths!BO252-deaths!BN252</f>
        <v>0</v>
      </c>
      <c r="BP252" s="5">
        <f>deaths!BP252-deaths!BO252</f>
        <v>0</v>
      </c>
      <c r="BQ252" s="5">
        <f>deaths!BQ252-deaths!BP252</f>
        <v>0</v>
      </c>
      <c r="BR252" s="5">
        <f>deaths!BR252-deaths!BQ252</f>
        <v>0</v>
      </c>
      <c r="BS252" s="5">
        <f>deaths!BS252-deaths!BR252</f>
        <v>0</v>
      </c>
      <c r="BT252" s="5">
        <f>deaths!BT252-deaths!BS252</f>
        <v>0</v>
      </c>
      <c r="BU252" s="5">
        <f>deaths!BU252-deaths!BT252</f>
        <v>0</v>
      </c>
      <c r="BV252" s="5">
        <f>deaths!BV252-deaths!BU252</f>
        <v>0</v>
      </c>
      <c r="BW252" s="5">
        <f>deaths!BW252-deaths!BV252</f>
        <v>0</v>
      </c>
      <c r="BX252" s="5">
        <f>deaths!BX252-deaths!BW252</f>
        <v>0</v>
      </c>
      <c r="BY252" s="5">
        <f>deaths!BY252-deaths!BX252</f>
        <v>0</v>
      </c>
      <c r="BZ252" s="1">
        <f>deaths!BZ252</f>
        <v>0</v>
      </c>
      <c r="CA252" s="1">
        <f>deaths!CA252</f>
        <v>0</v>
      </c>
      <c r="CB252" s="1">
        <f>deaths!CB252</f>
        <v>0</v>
      </c>
      <c r="CC252" s="1" t="str">
        <f>deaths!CC252</f>
        <v/>
      </c>
    </row>
    <row r="253">
      <c r="B253" s="1" t="str">
        <f>deaths!B253</f>
        <v>United Kingdom</v>
      </c>
      <c r="C253" s="4">
        <f>deaths!C253</f>
        <v>21.694</v>
      </c>
      <c r="D253" s="4">
        <f>deaths!D253</f>
        <v>-71.7979</v>
      </c>
      <c r="E253" s="5">
        <f>deaths!E253</f>
        <v>0</v>
      </c>
      <c r="F253" s="5">
        <f>deaths!F253-deaths!E253</f>
        <v>0</v>
      </c>
      <c r="G253" s="5">
        <f>deaths!G253-deaths!F253</f>
        <v>0</v>
      </c>
      <c r="H253" s="5">
        <f>deaths!H253-deaths!G253</f>
        <v>0</v>
      </c>
      <c r="I253" s="5">
        <f>deaths!I253-deaths!H253</f>
        <v>0</v>
      </c>
      <c r="J253" s="5">
        <f>deaths!J253-deaths!I253</f>
        <v>0</v>
      </c>
      <c r="K253" s="5">
        <f>deaths!K253-deaths!J253</f>
        <v>0</v>
      </c>
      <c r="L253" s="5">
        <f>deaths!L253-deaths!K253</f>
        <v>0</v>
      </c>
      <c r="M253" s="5">
        <f>deaths!M253-deaths!L253</f>
        <v>0</v>
      </c>
      <c r="N253" s="5">
        <f>deaths!N253-deaths!M253</f>
        <v>0</v>
      </c>
      <c r="O253" s="5">
        <f>deaths!O253-deaths!N253</f>
        <v>0</v>
      </c>
      <c r="P253" s="5">
        <f>deaths!P253-deaths!O253</f>
        <v>0</v>
      </c>
      <c r="Q253" s="5">
        <f>deaths!Q253-deaths!P253</f>
        <v>0</v>
      </c>
      <c r="R253" s="5">
        <f>deaths!R253-deaths!Q253</f>
        <v>0</v>
      </c>
      <c r="S253" s="5">
        <f>deaths!S253-deaths!R253</f>
        <v>0</v>
      </c>
      <c r="T253" s="5">
        <f>deaths!T253-deaths!S253</f>
        <v>0</v>
      </c>
      <c r="U253" s="5">
        <f>deaths!U253-deaths!T253</f>
        <v>0</v>
      </c>
      <c r="V253" s="5">
        <f>deaths!V253-deaths!U253</f>
        <v>0</v>
      </c>
      <c r="W253" s="5">
        <f>deaths!W253-deaths!V253</f>
        <v>0</v>
      </c>
      <c r="X253" s="5">
        <f>deaths!X253-deaths!W253</f>
        <v>0</v>
      </c>
      <c r="Y253" s="5">
        <f>deaths!Y253-deaths!X253</f>
        <v>0</v>
      </c>
      <c r="Z253" s="5">
        <f>deaths!Z253-deaths!Y253</f>
        <v>0</v>
      </c>
      <c r="AA253" s="5">
        <f>deaths!AA253-deaths!Z253</f>
        <v>0</v>
      </c>
      <c r="AB253" s="5">
        <f>deaths!AB253-deaths!AA253</f>
        <v>0</v>
      </c>
      <c r="AC253" s="5">
        <f>deaths!AC253-deaths!AB253</f>
        <v>0</v>
      </c>
      <c r="AD253" s="5">
        <f>deaths!AD253-deaths!AC253</f>
        <v>0</v>
      </c>
      <c r="AE253" s="5">
        <f>deaths!AE253-deaths!AD253</f>
        <v>0</v>
      </c>
      <c r="AF253" s="5">
        <f>deaths!AF253-deaths!AE253</f>
        <v>0</v>
      </c>
      <c r="AG253" s="5">
        <f>deaths!AG253-deaths!AF253</f>
        <v>0</v>
      </c>
      <c r="AH253" s="5">
        <f>deaths!AH253-deaths!AG253</f>
        <v>0</v>
      </c>
      <c r="AI253" s="5">
        <f>deaths!AI253-deaths!AH253</f>
        <v>0</v>
      </c>
      <c r="AJ253" s="5">
        <f>deaths!AJ253-deaths!AI253</f>
        <v>0</v>
      </c>
      <c r="AK253" s="5">
        <f>deaths!AK253-deaths!AJ253</f>
        <v>0</v>
      </c>
      <c r="AL253" s="5">
        <f>deaths!AL253-deaths!AK253</f>
        <v>0</v>
      </c>
      <c r="AM253" s="5">
        <f>deaths!AM253-deaths!AL253</f>
        <v>0</v>
      </c>
      <c r="AN253" s="5">
        <f>deaths!AN253-deaths!AM253</f>
        <v>0</v>
      </c>
      <c r="AO253" s="5">
        <f>deaths!AO253-deaths!AN253</f>
        <v>0</v>
      </c>
      <c r="AP253" s="5">
        <f>deaths!AP253-deaths!AO253</f>
        <v>0</v>
      </c>
      <c r="AQ253" s="5">
        <f>deaths!AQ253-deaths!AP253</f>
        <v>0</v>
      </c>
      <c r="AR253" s="5">
        <f>deaths!AR253-deaths!AQ253</f>
        <v>0</v>
      </c>
      <c r="AS253" s="5">
        <f>deaths!AS253-deaths!AR253</f>
        <v>0</v>
      </c>
      <c r="AT253" s="5">
        <f>deaths!AT253-deaths!AS253</f>
        <v>0</v>
      </c>
      <c r="AU253" s="5">
        <f>deaths!AU253-deaths!AT253</f>
        <v>0</v>
      </c>
      <c r="AV253" s="5">
        <f>deaths!AV253-deaths!AU253</f>
        <v>0</v>
      </c>
      <c r="AW253" s="5">
        <f>deaths!AW253-deaths!AV253</f>
        <v>0</v>
      </c>
      <c r="AX253" s="5">
        <f>deaths!AX253-deaths!AW253</f>
        <v>0</v>
      </c>
      <c r="AY253" s="5">
        <f>deaths!AY253-deaths!AX253</f>
        <v>0</v>
      </c>
      <c r="AZ253" s="5">
        <f>deaths!AZ253-deaths!AY253</f>
        <v>0</v>
      </c>
      <c r="BA253" s="5">
        <f>deaths!BA253-deaths!AZ253</f>
        <v>0</v>
      </c>
      <c r="BB253" s="5">
        <f>deaths!BB253-deaths!BA253</f>
        <v>0</v>
      </c>
      <c r="BC253" s="5">
        <f>deaths!BC253-deaths!BB253</f>
        <v>0</v>
      </c>
      <c r="BD253" s="5">
        <f>deaths!BD253-deaths!BC253</f>
        <v>0</v>
      </c>
      <c r="BE253" s="5">
        <f>deaths!BE253-deaths!BD253</f>
        <v>0</v>
      </c>
      <c r="BF253" s="5">
        <f>deaths!BF253-deaths!BE253</f>
        <v>0</v>
      </c>
      <c r="BG253" s="5">
        <f>deaths!BG253-deaths!BF253</f>
        <v>0</v>
      </c>
      <c r="BH253" s="5">
        <f>deaths!BH253-deaths!BG253</f>
        <v>0</v>
      </c>
      <c r="BI253" s="5">
        <f>deaths!BI253-deaths!BH253</f>
        <v>0</v>
      </c>
      <c r="BJ253" s="5">
        <f>deaths!BJ253-deaths!BI253</f>
        <v>0</v>
      </c>
      <c r="BK253" s="5">
        <f>deaths!BK253-deaths!BJ253</f>
        <v>0</v>
      </c>
      <c r="BL253" s="5">
        <f>deaths!BL253-deaths!BK253</f>
        <v>0</v>
      </c>
      <c r="BM253" s="5">
        <f>deaths!BM253-deaths!BL253</f>
        <v>0</v>
      </c>
      <c r="BN253" s="5">
        <f>deaths!BN253-deaths!BM253</f>
        <v>0</v>
      </c>
      <c r="BO253" s="5">
        <f>deaths!BO253-deaths!BN253</f>
        <v>0</v>
      </c>
      <c r="BP253" s="5">
        <f>deaths!BP253-deaths!BO253</f>
        <v>0</v>
      </c>
      <c r="BQ253" s="5">
        <f>deaths!BQ253-deaths!BP253</f>
        <v>0</v>
      </c>
      <c r="BR253" s="5">
        <f>deaths!BR253-deaths!BQ253</f>
        <v>0</v>
      </c>
      <c r="BS253" s="5">
        <f>deaths!BS253-deaths!BR253</f>
        <v>0</v>
      </c>
      <c r="BT253" s="5">
        <f>deaths!BT253-deaths!BS253</f>
        <v>0</v>
      </c>
      <c r="BU253" s="5">
        <f>deaths!BU253-deaths!BT253</f>
        <v>0</v>
      </c>
      <c r="BV253" s="5">
        <f>deaths!BV253-deaths!BU253</f>
        <v>0</v>
      </c>
      <c r="BW253" s="5">
        <f>deaths!BW253-deaths!BV253</f>
        <v>0</v>
      </c>
      <c r="BX253" s="5">
        <f>deaths!BX253-deaths!BW253</f>
        <v>0</v>
      </c>
      <c r="BY253" s="5">
        <f>deaths!BY253-deaths!BX253</f>
        <v>0</v>
      </c>
      <c r="BZ253" s="1">
        <f>deaths!BZ253</f>
        <v>0</v>
      </c>
      <c r="CA253" s="1">
        <f>deaths!CA253</f>
        <v>1</v>
      </c>
      <c r="CB253" s="1">
        <f>deaths!CB253</f>
        <v>1</v>
      </c>
      <c r="CC253" s="1" t="str">
        <f>deaths!CC253</f>
        <v/>
      </c>
    </row>
    <row r="254">
      <c r="B254" s="1" t="str">
        <f>deaths!B254</f>
        <v>MS Zaandam</v>
      </c>
      <c r="C254" s="4">
        <f>deaths!C254</f>
        <v>0</v>
      </c>
      <c r="D254" s="4">
        <f>deaths!D254</f>
        <v>0</v>
      </c>
      <c r="E254" s="5">
        <f>deaths!E254</f>
        <v>0</v>
      </c>
      <c r="F254" s="5">
        <f>deaths!F254-deaths!E254</f>
        <v>0</v>
      </c>
      <c r="G254" s="5">
        <f>deaths!G254-deaths!F254</f>
        <v>0</v>
      </c>
      <c r="H254" s="5">
        <f>deaths!H254-deaths!G254</f>
        <v>0</v>
      </c>
      <c r="I254" s="5">
        <f>deaths!I254-deaths!H254</f>
        <v>0</v>
      </c>
      <c r="J254" s="5">
        <f>deaths!J254-deaths!I254</f>
        <v>0</v>
      </c>
      <c r="K254" s="5">
        <f>deaths!K254-deaths!J254</f>
        <v>0</v>
      </c>
      <c r="L254" s="5">
        <f>deaths!L254-deaths!K254</f>
        <v>0</v>
      </c>
      <c r="M254" s="5">
        <f>deaths!M254-deaths!L254</f>
        <v>0</v>
      </c>
      <c r="N254" s="5">
        <f>deaths!N254-deaths!M254</f>
        <v>0</v>
      </c>
      <c r="O254" s="5">
        <f>deaths!O254-deaths!N254</f>
        <v>0</v>
      </c>
      <c r="P254" s="5">
        <f>deaths!P254-deaths!O254</f>
        <v>0</v>
      </c>
      <c r="Q254" s="5">
        <f>deaths!Q254-deaths!P254</f>
        <v>0</v>
      </c>
      <c r="R254" s="5">
        <f>deaths!R254-deaths!Q254</f>
        <v>0</v>
      </c>
      <c r="S254" s="5">
        <f>deaths!S254-deaths!R254</f>
        <v>0</v>
      </c>
      <c r="T254" s="5">
        <f>deaths!T254-deaths!S254</f>
        <v>0</v>
      </c>
      <c r="U254" s="5">
        <f>deaths!U254-deaths!T254</f>
        <v>0</v>
      </c>
      <c r="V254" s="5">
        <f>deaths!V254-deaths!U254</f>
        <v>0</v>
      </c>
      <c r="W254" s="5">
        <f>deaths!W254-deaths!V254</f>
        <v>0</v>
      </c>
      <c r="X254" s="5">
        <f>deaths!X254-deaths!W254</f>
        <v>0</v>
      </c>
      <c r="Y254" s="5">
        <f>deaths!Y254-deaths!X254</f>
        <v>0</v>
      </c>
      <c r="Z254" s="5">
        <f>deaths!Z254-deaths!Y254</f>
        <v>0</v>
      </c>
      <c r="AA254" s="5">
        <f>deaths!AA254-deaths!Z254</f>
        <v>0</v>
      </c>
      <c r="AB254" s="5">
        <f>deaths!AB254-deaths!AA254</f>
        <v>0</v>
      </c>
      <c r="AC254" s="5">
        <f>deaths!AC254-deaths!AB254</f>
        <v>0</v>
      </c>
      <c r="AD254" s="5">
        <f>deaths!AD254-deaths!AC254</f>
        <v>0</v>
      </c>
      <c r="AE254" s="5">
        <f>deaths!AE254-deaths!AD254</f>
        <v>0</v>
      </c>
      <c r="AF254" s="5">
        <f>deaths!AF254-deaths!AE254</f>
        <v>0</v>
      </c>
      <c r="AG254" s="5">
        <f>deaths!AG254-deaths!AF254</f>
        <v>0</v>
      </c>
      <c r="AH254" s="5">
        <f>deaths!AH254-deaths!AG254</f>
        <v>0</v>
      </c>
      <c r="AI254" s="5">
        <f>deaths!AI254-deaths!AH254</f>
        <v>0</v>
      </c>
      <c r="AJ254" s="5">
        <f>deaths!AJ254-deaths!AI254</f>
        <v>0</v>
      </c>
      <c r="AK254" s="5">
        <f>deaths!AK254-deaths!AJ254</f>
        <v>0</v>
      </c>
      <c r="AL254" s="5">
        <f>deaths!AL254-deaths!AK254</f>
        <v>0</v>
      </c>
      <c r="AM254" s="5">
        <f>deaths!AM254-deaths!AL254</f>
        <v>0</v>
      </c>
      <c r="AN254" s="5">
        <f>deaths!AN254-deaths!AM254</f>
        <v>0</v>
      </c>
      <c r="AO254" s="5">
        <f>deaths!AO254-deaths!AN254</f>
        <v>0</v>
      </c>
      <c r="AP254" s="5">
        <f>deaths!AP254-deaths!AO254</f>
        <v>0</v>
      </c>
      <c r="AQ254" s="5">
        <f>deaths!AQ254-deaths!AP254</f>
        <v>0</v>
      </c>
      <c r="AR254" s="5">
        <f>deaths!AR254-deaths!AQ254</f>
        <v>0</v>
      </c>
      <c r="AS254" s="5">
        <f>deaths!AS254-deaths!AR254</f>
        <v>0</v>
      </c>
      <c r="AT254" s="5">
        <f>deaths!AT254-deaths!AS254</f>
        <v>0</v>
      </c>
      <c r="AU254" s="5">
        <f>deaths!AU254-deaths!AT254</f>
        <v>0</v>
      </c>
      <c r="AV254" s="5">
        <f>deaths!AV254-deaths!AU254</f>
        <v>0</v>
      </c>
      <c r="AW254" s="5">
        <f>deaths!AW254-deaths!AV254</f>
        <v>0</v>
      </c>
      <c r="AX254" s="5">
        <f>deaths!AX254-deaths!AW254</f>
        <v>0</v>
      </c>
      <c r="AY254" s="5">
        <f>deaths!AY254-deaths!AX254</f>
        <v>0</v>
      </c>
      <c r="AZ254" s="5">
        <f>deaths!AZ254-deaths!AY254</f>
        <v>0</v>
      </c>
      <c r="BA254" s="5">
        <f>deaths!BA254-deaths!AZ254</f>
        <v>0</v>
      </c>
      <c r="BB254" s="5">
        <f>deaths!BB254-deaths!BA254</f>
        <v>0</v>
      </c>
      <c r="BC254" s="5">
        <f>deaths!BC254-deaths!BB254</f>
        <v>0</v>
      </c>
      <c r="BD254" s="5">
        <f>deaths!BD254-deaths!BC254</f>
        <v>0</v>
      </c>
      <c r="BE254" s="5">
        <f>deaths!BE254-deaths!BD254</f>
        <v>0</v>
      </c>
      <c r="BF254" s="5">
        <f>deaths!BF254-deaths!BE254</f>
        <v>0</v>
      </c>
      <c r="BG254" s="5">
        <f>deaths!BG254-deaths!BF254</f>
        <v>0</v>
      </c>
      <c r="BH254" s="5">
        <f>deaths!BH254-deaths!BG254</f>
        <v>0</v>
      </c>
      <c r="BI254" s="5">
        <f>deaths!BI254-deaths!BH254</f>
        <v>0</v>
      </c>
      <c r="BJ254" s="5">
        <f>deaths!BJ254-deaths!BI254</f>
        <v>0</v>
      </c>
      <c r="BK254" s="5">
        <f>deaths!BK254-deaths!BJ254</f>
        <v>0</v>
      </c>
      <c r="BL254" s="5">
        <f>deaths!BL254-deaths!BK254</f>
        <v>0</v>
      </c>
      <c r="BM254" s="5">
        <f>deaths!BM254-deaths!BL254</f>
        <v>0</v>
      </c>
      <c r="BN254" s="5">
        <f>deaths!BN254-deaths!BM254</f>
        <v>0</v>
      </c>
      <c r="BO254" s="5">
        <f>deaths!BO254-deaths!BN254</f>
        <v>0</v>
      </c>
      <c r="BP254" s="5">
        <f>deaths!BP254-deaths!BO254</f>
        <v>0</v>
      </c>
      <c r="BQ254" s="5">
        <f>deaths!BQ254-deaths!BP254</f>
        <v>0</v>
      </c>
      <c r="BR254" s="5">
        <f>deaths!BR254-deaths!BQ254</f>
        <v>0</v>
      </c>
      <c r="BS254" s="5">
        <f>deaths!BS254-deaths!BR254</f>
        <v>0</v>
      </c>
      <c r="BT254" s="5">
        <f>deaths!BT254-deaths!BS254</f>
        <v>0</v>
      </c>
      <c r="BU254" s="5">
        <f>deaths!BU254-deaths!BT254</f>
        <v>0</v>
      </c>
      <c r="BV254" s="5">
        <f>deaths!BV254-deaths!BU254</f>
        <v>0</v>
      </c>
      <c r="BW254" s="5">
        <f>deaths!BW254-deaths!BV254</f>
        <v>2</v>
      </c>
      <c r="BX254" s="5">
        <f>deaths!BX254-deaths!BW254</f>
        <v>0</v>
      </c>
      <c r="BY254" s="5">
        <f>deaths!BY254-deaths!BX254</f>
        <v>0</v>
      </c>
      <c r="BZ254" s="1">
        <f>deaths!BZ254</f>
        <v>2</v>
      </c>
      <c r="CA254" s="1">
        <f>deaths!CA254</f>
        <v>2</v>
      </c>
      <c r="CB254" s="1">
        <f>deaths!CB254</f>
        <v>2</v>
      </c>
      <c r="CC254" s="1" t="str">
        <f>deaths!CC254</f>
        <v/>
      </c>
    </row>
    <row r="255">
      <c r="B255" s="1" t="str">
        <f>deaths!B255</f>
        <v>Botswana</v>
      </c>
      <c r="C255" s="4">
        <f>deaths!C255</f>
        <v>-22.3285</v>
      </c>
      <c r="D255" s="4">
        <f>deaths!D255</f>
        <v>24.6849</v>
      </c>
      <c r="E255" s="5">
        <f>deaths!E255</f>
        <v>0</v>
      </c>
      <c r="F255" s="5">
        <f>deaths!F255-deaths!E255</f>
        <v>0</v>
      </c>
      <c r="G255" s="5">
        <f>deaths!G255-deaths!F255</f>
        <v>0</v>
      </c>
      <c r="H255" s="5">
        <f>deaths!H255-deaths!G255</f>
        <v>0</v>
      </c>
      <c r="I255" s="5">
        <f>deaths!I255-deaths!H255</f>
        <v>0</v>
      </c>
      <c r="J255" s="5">
        <f>deaths!J255-deaths!I255</f>
        <v>0</v>
      </c>
      <c r="K255" s="5">
        <f>deaths!K255-deaths!J255</f>
        <v>0</v>
      </c>
      <c r="L255" s="5">
        <f>deaths!L255-deaths!K255</f>
        <v>0</v>
      </c>
      <c r="M255" s="5">
        <f>deaths!M255-deaths!L255</f>
        <v>0</v>
      </c>
      <c r="N255" s="5">
        <f>deaths!N255-deaths!M255</f>
        <v>0</v>
      </c>
      <c r="O255" s="5">
        <f>deaths!O255-deaths!N255</f>
        <v>0</v>
      </c>
      <c r="P255" s="5">
        <f>deaths!P255-deaths!O255</f>
        <v>0</v>
      </c>
      <c r="Q255" s="5">
        <f>deaths!Q255-deaths!P255</f>
        <v>0</v>
      </c>
      <c r="R255" s="5">
        <f>deaths!R255-deaths!Q255</f>
        <v>0</v>
      </c>
      <c r="S255" s="5">
        <f>deaths!S255-deaths!R255</f>
        <v>0</v>
      </c>
      <c r="T255" s="5">
        <f>deaths!T255-deaths!S255</f>
        <v>0</v>
      </c>
      <c r="U255" s="5">
        <f>deaths!U255-deaths!T255</f>
        <v>0</v>
      </c>
      <c r="V255" s="5">
        <f>deaths!V255-deaths!U255</f>
        <v>0</v>
      </c>
      <c r="W255" s="5">
        <f>deaths!W255-deaths!V255</f>
        <v>0</v>
      </c>
      <c r="X255" s="5">
        <f>deaths!X255-deaths!W255</f>
        <v>0</v>
      </c>
      <c r="Y255" s="5">
        <f>deaths!Y255-deaths!X255</f>
        <v>0</v>
      </c>
      <c r="Z255" s="5">
        <f>deaths!Z255-deaths!Y255</f>
        <v>0</v>
      </c>
      <c r="AA255" s="5">
        <f>deaths!AA255-deaths!Z255</f>
        <v>0</v>
      </c>
      <c r="AB255" s="5">
        <f>deaths!AB255-deaths!AA255</f>
        <v>0</v>
      </c>
      <c r="AC255" s="5">
        <f>deaths!AC255-deaths!AB255</f>
        <v>0</v>
      </c>
      <c r="AD255" s="5">
        <f>deaths!AD255-deaths!AC255</f>
        <v>0</v>
      </c>
      <c r="AE255" s="5">
        <f>deaths!AE255-deaths!AD255</f>
        <v>0</v>
      </c>
      <c r="AF255" s="5">
        <f>deaths!AF255-deaths!AE255</f>
        <v>0</v>
      </c>
      <c r="AG255" s="5">
        <f>deaths!AG255-deaths!AF255</f>
        <v>0</v>
      </c>
      <c r="AH255" s="5">
        <f>deaths!AH255-deaths!AG255</f>
        <v>0</v>
      </c>
      <c r="AI255" s="5">
        <f>deaths!AI255-deaths!AH255</f>
        <v>0</v>
      </c>
      <c r="AJ255" s="5">
        <f>deaths!AJ255-deaths!AI255</f>
        <v>0</v>
      </c>
      <c r="AK255" s="5">
        <f>deaths!AK255-deaths!AJ255</f>
        <v>0</v>
      </c>
      <c r="AL255" s="5">
        <f>deaths!AL255-deaths!AK255</f>
        <v>0</v>
      </c>
      <c r="AM255" s="5">
        <f>deaths!AM255-deaths!AL255</f>
        <v>0</v>
      </c>
      <c r="AN255" s="5">
        <f>deaths!AN255-deaths!AM255</f>
        <v>0</v>
      </c>
      <c r="AO255" s="5">
        <f>deaths!AO255-deaths!AN255</f>
        <v>0</v>
      </c>
      <c r="AP255" s="5">
        <f>deaths!AP255-deaths!AO255</f>
        <v>0</v>
      </c>
      <c r="AQ255" s="5">
        <f>deaths!AQ255-deaths!AP255</f>
        <v>0</v>
      </c>
      <c r="AR255" s="5">
        <f>deaths!AR255-deaths!AQ255</f>
        <v>0</v>
      </c>
      <c r="AS255" s="5">
        <f>deaths!AS255-deaths!AR255</f>
        <v>0</v>
      </c>
      <c r="AT255" s="5">
        <f>deaths!AT255-deaths!AS255</f>
        <v>0</v>
      </c>
      <c r="AU255" s="5">
        <f>deaths!AU255-deaths!AT255</f>
        <v>0</v>
      </c>
      <c r="AV255" s="5">
        <f>deaths!AV255-deaths!AU255</f>
        <v>0</v>
      </c>
      <c r="AW255" s="5">
        <f>deaths!AW255-deaths!AV255</f>
        <v>0</v>
      </c>
      <c r="AX255" s="5">
        <f>deaths!AX255-deaths!AW255</f>
        <v>0</v>
      </c>
      <c r="AY255" s="5">
        <f>deaths!AY255-deaths!AX255</f>
        <v>0</v>
      </c>
      <c r="AZ255" s="5">
        <f>deaths!AZ255-deaths!AY255</f>
        <v>0</v>
      </c>
      <c r="BA255" s="5">
        <f>deaths!BA255-deaths!AZ255</f>
        <v>0</v>
      </c>
      <c r="BB255" s="5">
        <f>deaths!BB255-deaths!BA255</f>
        <v>0</v>
      </c>
      <c r="BC255" s="5">
        <f>deaths!BC255-deaths!BB255</f>
        <v>0</v>
      </c>
      <c r="BD255" s="5">
        <f>deaths!BD255-deaths!BC255</f>
        <v>0</v>
      </c>
      <c r="BE255" s="5">
        <f>deaths!BE255-deaths!BD255</f>
        <v>0</v>
      </c>
      <c r="BF255" s="5">
        <f>deaths!BF255-deaths!BE255</f>
        <v>0</v>
      </c>
      <c r="BG255" s="5">
        <f>deaths!BG255-deaths!BF255</f>
        <v>0</v>
      </c>
      <c r="BH255" s="5">
        <f>deaths!BH255-deaths!BG255</f>
        <v>0</v>
      </c>
      <c r="BI255" s="5">
        <f>deaths!BI255-deaths!BH255</f>
        <v>0</v>
      </c>
      <c r="BJ255" s="5">
        <f>deaths!BJ255-deaths!BI255</f>
        <v>0</v>
      </c>
      <c r="BK255" s="5">
        <f>deaths!BK255-deaths!BJ255</f>
        <v>0</v>
      </c>
      <c r="BL255" s="5">
        <f>deaths!BL255-deaths!BK255</f>
        <v>0</v>
      </c>
      <c r="BM255" s="5">
        <f>deaths!BM255-deaths!BL255</f>
        <v>0</v>
      </c>
      <c r="BN255" s="5">
        <f>deaths!BN255-deaths!BM255</f>
        <v>0</v>
      </c>
      <c r="BO255" s="5">
        <f>deaths!BO255-deaths!BN255</f>
        <v>0</v>
      </c>
      <c r="BP255" s="5">
        <f>deaths!BP255-deaths!BO255</f>
        <v>0</v>
      </c>
      <c r="BQ255" s="5">
        <f>deaths!BQ255-deaths!BP255</f>
        <v>0</v>
      </c>
      <c r="BR255" s="5">
        <f>deaths!BR255-deaths!BQ255</f>
        <v>0</v>
      </c>
      <c r="BS255" s="5">
        <f>deaths!BS255-deaths!BR255</f>
        <v>0</v>
      </c>
      <c r="BT255" s="5">
        <f>deaths!BT255-deaths!BS255</f>
        <v>0</v>
      </c>
      <c r="BU255" s="5">
        <f>deaths!BU255-deaths!BT255</f>
        <v>0</v>
      </c>
      <c r="BV255" s="5">
        <f>deaths!BV255-deaths!BU255</f>
        <v>1</v>
      </c>
      <c r="BW255" s="5">
        <f>deaths!BW255-deaths!BV255</f>
        <v>0</v>
      </c>
      <c r="BX255" s="5">
        <f>deaths!BX255-deaths!BW255</f>
        <v>0</v>
      </c>
      <c r="BY255" s="5">
        <f>deaths!BY255-deaths!BX255</f>
        <v>0</v>
      </c>
      <c r="BZ255" s="1">
        <f>deaths!BZ255</f>
        <v>1</v>
      </c>
      <c r="CA255" s="1">
        <f>deaths!CA255</f>
        <v>1</v>
      </c>
      <c r="CB255" s="1">
        <f>deaths!CB255</f>
        <v>1</v>
      </c>
      <c r="CC255" s="1" t="str">
        <f>deaths!CC255</f>
        <v/>
      </c>
    </row>
    <row r="256">
      <c r="B256" s="1" t="str">
        <f>deaths!B256</f>
        <v>Burundi</v>
      </c>
      <c r="C256" s="4">
        <f>deaths!C256</f>
        <v>-3.3731</v>
      </c>
      <c r="D256" s="4">
        <f>deaths!D256</f>
        <v>29.9189</v>
      </c>
      <c r="E256" s="5">
        <f>deaths!E256</f>
        <v>0</v>
      </c>
      <c r="F256" s="5">
        <f>deaths!F256-deaths!E256</f>
        <v>0</v>
      </c>
      <c r="G256" s="5">
        <f>deaths!G256-deaths!F256</f>
        <v>0</v>
      </c>
      <c r="H256" s="5">
        <f>deaths!H256-deaths!G256</f>
        <v>0</v>
      </c>
      <c r="I256" s="5">
        <f>deaths!I256-deaths!H256</f>
        <v>0</v>
      </c>
      <c r="J256" s="5">
        <f>deaths!J256-deaths!I256</f>
        <v>0</v>
      </c>
      <c r="K256" s="5">
        <f>deaths!K256-deaths!J256</f>
        <v>0</v>
      </c>
      <c r="L256" s="5">
        <f>deaths!L256-deaths!K256</f>
        <v>0</v>
      </c>
      <c r="M256" s="5">
        <f>deaths!M256-deaths!L256</f>
        <v>0</v>
      </c>
      <c r="N256" s="5">
        <f>deaths!N256-deaths!M256</f>
        <v>0</v>
      </c>
      <c r="O256" s="5">
        <f>deaths!O256-deaths!N256</f>
        <v>0</v>
      </c>
      <c r="P256" s="5">
        <f>deaths!P256-deaths!O256</f>
        <v>0</v>
      </c>
      <c r="Q256" s="5">
        <f>deaths!Q256-deaths!P256</f>
        <v>0</v>
      </c>
      <c r="R256" s="5">
        <f>deaths!R256-deaths!Q256</f>
        <v>0</v>
      </c>
      <c r="S256" s="5">
        <f>deaths!S256-deaths!R256</f>
        <v>0</v>
      </c>
      <c r="T256" s="5">
        <f>deaths!T256-deaths!S256</f>
        <v>0</v>
      </c>
      <c r="U256" s="5">
        <f>deaths!U256-deaths!T256</f>
        <v>0</v>
      </c>
      <c r="V256" s="5">
        <f>deaths!V256-deaths!U256</f>
        <v>0</v>
      </c>
      <c r="W256" s="5">
        <f>deaths!W256-deaths!V256</f>
        <v>0</v>
      </c>
      <c r="X256" s="5">
        <f>deaths!X256-deaths!W256</f>
        <v>0</v>
      </c>
      <c r="Y256" s="5">
        <f>deaths!Y256-deaths!X256</f>
        <v>0</v>
      </c>
      <c r="Z256" s="5">
        <f>deaths!Z256-deaths!Y256</f>
        <v>0</v>
      </c>
      <c r="AA256" s="5">
        <f>deaths!AA256-deaths!Z256</f>
        <v>0</v>
      </c>
      <c r="AB256" s="5">
        <f>deaths!AB256-deaths!AA256</f>
        <v>0</v>
      </c>
      <c r="AC256" s="5">
        <f>deaths!AC256-deaths!AB256</f>
        <v>0</v>
      </c>
      <c r="AD256" s="5">
        <f>deaths!AD256-deaths!AC256</f>
        <v>0</v>
      </c>
      <c r="AE256" s="5">
        <f>deaths!AE256-deaths!AD256</f>
        <v>0</v>
      </c>
      <c r="AF256" s="5">
        <f>deaths!AF256-deaths!AE256</f>
        <v>0</v>
      </c>
      <c r="AG256" s="5">
        <f>deaths!AG256-deaths!AF256</f>
        <v>0</v>
      </c>
      <c r="AH256" s="5">
        <f>deaths!AH256-deaths!AG256</f>
        <v>0</v>
      </c>
      <c r="AI256" s="5">
        <f>deaths!AI256-deaths!AH256</f>
        <v>0</v>
      </c>
      <c r="AJ256" s="5">
        <f>deaths!AJ256-deaths!AI256</f>
        <v>0</v>
      </c>
      <c r="AK256" s="5">
        <f>deaths!AK256-deaths!AJ256</f>
        <v>0</v>
      </c>
      <c r="AL256" s="5">
        <f>deaths!AL256-deaths!AK256</f>
        <v>0</v>
      </c>
      <c r="AM256" s="5">
        <f>deaths!AM256-deaths!AL256</f>
        <v>0</v>
      </c>
      <c r="AN256" s="5">
        <f>deaths!AN256-deaths!AM256</f>
        <v>0</v>
      </c>
      <c r="AO256" s="5">
        <f>deaths!AO256-deaths!AN256</f>
        <v>0</v>
      </c>
      <c r="AP256" s="5">
        <f>deaths!AP256-deaths!AO256</f>
        <v>0</v>
      </c>
      <c r="AQ256" s="5">
        <f>deaths!AQ256-deaths!AP256</f>
        <v>0</v>
      </c>
      <c r="AR256" s="5">
        <f>deaths!AR256-deaths!AQ256</f>
        <v>0</v>
      </c>
      <c r="AS256" s="5">
        <f>deaths!AS256-deaths!AR256</f>
        <v>0</v>
      </c>
      <c r="AT256" s="5">
        <f>deaths!AT256-deaths!AS256</f>
        <v>0</v>
      </c>
      <c r="AU256" s="5">
        <f>deaths!AU256-deaths!AT256</f>
        <v>0</v>
      </c>
      <c r="AV256" s="5">
        <f>deaths!AV256-deaths!AU256</f>
        <v>0</v>
      </c>
      <c r="AW256" s="5">
        <f>deaths!AW256-deaths!AV256</f>
        <v>0</v>
      </c>
      <c r="AX256" s="5">
        <f>deaths!AX256-deaths!AW256</f>
        <v>0</v>
      </c>
      <c r="AY256" s="5">
        <f>deaths!AY256-deaths!AX256</f>
        <v>0</v>
      </c>
      <c r="AZ256" s="5">
        <f>deaths!AZ256-deaths!AY256</f>
        <v>0</v>
      </c>
      <c r="BA256" s="5">
        <f>deaths!BA256-deaths!AZ256</f>
        <v>0</v>
      </c>
      <c r="BB256" s="5">
        <f>deaths!BB256-deaths!BA256</f>
        <v>0</v>
      </c>
      <c r="BC256" s="5">
        <f>deaths!BC256-deaths!BB256</f>
        <v>0</v>
      </c>
      <c r="BD256" s="5">
        <f>deaths!BD256-deaths!BC256</f>
        <v>0</v>
      </c>
      <c r="BE256" s="5">
        <f>deaths!BE256-deaths!BD256</f>
        <v>0</v>
      </c>
      <c r="BF256" s="5">
        <f>deaths!BF256-deaths!BE256</f>
        <v>0</v>
      </c>
      <c r="BG256" s="5">
        <f>deaths!BG256-deaths!BF256</f>
        <v>0</v>
      </c>
      <c r="BH256" s="5">
        <f>deaths!BH256-deaths!BG256</f>
        <v>0</v>
      </c>
      <c r="BI256" s="5">
        <f>deaths!BI256-deaths!BH256</f>
        <v>0</v>
      </c>
      <c r="BJ256" s="5">
        <f>deaths!BJ256-deaths!BI256</f>
        <v>0</v>
      </c>
      <c r="BK256" s="5">
        <f>deaths!BK256-deaths!BJ256</f>
        <v>0</v>
      </c>
      <c r="BL256" s="5">
        <f>deaths!BL256-deaths!BK256</f>
        <v>0</v>
      </c>
      <c r="BM256" s="5">
        <f>deaths!BM256-deaths!BL256</f>
        <v>0</v>
      </c>
      <c r="BN256" s="5">
        <f>deaths!BN256-deaths!BM256</f>
        <v>0</v>
      </c>
      <c r="BO256" s="5">
        <f>deaths!BO256-deaths!BN256</f>
        <v>0</v>
      </c>
      <c r="BP256" s="5">
        <f>deaths!BP256-deaths!BO256</f>
        <v>0</v>
      </c>
      <c r="BQ256" s="5">
        <f>deaths!BQ256-deaths!BP256</f>
        <v>0</v>
      </c>
      <c r="BR256" s="5">
        <f>deaths!BR256-deaths!BQ256</f>
        <v>0</v>
      </c>
      <c r="BS256" s="5">
        <f>deaths!BS256-deaths!BR256</f>
        <v>0</v>
      </c>
      <c r="BT256" s="5">
        <f>deaths!BT256-deaths!BS256</f>
        <v>0</v>
      </c>
      <c r="BU256" s="5">
        <f>deaths!BU256-deaths!BT256</f>
        <v>0</v>
      </c>
      <c r="BV256" s="5">
        <f>deaths!BV256-deaths!BU256</f>
        <v>0</v>
      </c>
      <c r="BW256" s="5">
        <f>deaths!BW256-deaths!BV256</f>
        <v>0</v>
      </c>
      <c r="BX256" s="5">
        <f>deaths!BX256-deaths!BW256</f>
        <v>0</v>
      </c>
      <c r="BY256" s="5">
        <f>deaths!BY256-deaths!BX256</f>
        <v>0</v>
      </c>
      <c r="BZ256" s="1">
        <f>deaths!BZ256</f>
        <v>0</v>
      </c>
      <c r="CA256" s="1">
        <f>deaths!CA256</f>
        <v>0</v>
      </c>
      <c r="CB256" s="1">
        <f>deaths!CB256</f>
        <v>0</v>
      </c>
      <c r="CC256" s="1" t="str">
        <f>deaths!CC256</f>
        <v/>
      </c>
    </row>
    <row r="257">
      <c r="B257" s="1" t="str">
        <f>deaths!B257</f>
        <v>Sierra Leone</v>
      </c>
      <c r="C257" s="4">
        <f>deaths!C257</f>
        <v>8.460555</v>
      </c>
      <c r="D257" s="4">
        <f>deaths!D257</f>
        <v>-11.779889</v>
      </c>
      <c r="E257" s="5">
        <f>deaths!E257</f>
        <v>0</v>
      </c>
      <c r="F257" s="5">
        <f>deaths!F257-deaths!E257</f>
        <v>0</v>
      </c>
      <c r="G257" s="5">
        <f>deaths!G257-deaths!F257</f>
        <v>0</v>
      </c>
      <c r="H257" s="5">
        <f>deaths!H257-deaths!G257</f>
        <v>0</v>
      </c>
      <c r="I257" s="5">
        <f>deaths!I257-deaths!H257</f>
        <v>0</v>
      </c>
      <c r="J257" s="5">
        <f>deaths!J257-deaths!I257</f>
        <v>0</v>
      </c>
      <c r="K257" s="5">
        <f>deaths!K257-deaths!J257</f>
        <v>0</v>
      </c>
      <c r="L257" s="5">
        <f>deaths!L257-deaths!K257</f>
        <v>0</v>
      </c>
      <c r="M257" s="5">
        <f>deaths!M257-deaths!L257</f>
        <v>0</v>
      </c>
      <c r="N257" s="5">
        <f>deaths!N257-deaths!M257</f>
        <v>0</v>
      </c>
      <c r="O257" s="5">
        <f>deaths!O257-deaths!N257</f>
        <v>0</v>
      </c>
      <c r="P257" s="5">
        <f>deaths!P257-deaths!O257</f>
        <v>0</v>
      </c>
      <c r="Q257" s="5">
        <f>deaths!Q257-deaths!P257</f>
        <v>0</v>
      </c>
      <c r="R257" s="5">
        <f>deaths!R257-deaths!Q257</f>
        <v>0</v>
      </c>
      <c r="S257" s="5">
        <f>deaths!S257-deaths!R257</f>
        <v>0</v>
      </c>
      <c r="T257" s="5">
        <f>deaths!T257-deaths!S257</f>
        <v>0</v>
      </c>
      <c r="U257" s="5">
        <f>deaths!U257-deaths!T257</f>
        <v>0</v>
      </c>
      <c r="V257" s="5">
        <f>deaths!V257-deaths!U257</f>
        <v>0</v>
      </c>
      <c r="W257" s="5">
        <f>deaths!W257-deaths!V257</f>
        <v>0</v>
      </c>
      <c r="X257" s="5">
        <f>deaths!X257-deaths!W257</f>
        <v>0</v>
      </c>
      <c r="Y257" s="5">
        <f>deaths!Y257-deaths!X257</f>
        <v>0</v>
      </c>
      <c r="Z257" s="5">
        <f>deaths!Z257-deaths!Y257</f>
        <v>0</v>
      </c>
      <c r="AA257" s="5">
        <f>deaths!AA257-deaths!Z257</f>
        <v>0</v>
      </c>
      <c r="AB257" s="5">
        <f>deaths!AB257-deaths!AA257</f>
        <v>0</v>
      </c>
      <c r="AC257" s="5">
        <f>deaths!AC257-deaths!AB257</f>
        <v>0</v>
      </c>
      <c r="AD257" s="5">
        <f>deaths!AD257-deaths!AC257</f>
        <v>0</v>
      </c>
      <c r="AE257" s="5">
        <f>deaths!AE257-deaths!AD257</f>
        <v>0</v>
      </c>
      <c r="AF257" s="5">
        <f>deaths!AF257-deaths!AE257</f>
        <v>0</v>
      </c>
      <c r="AG257" s="5">
        <f>deaths!AG257-deaths!AF257</f>
        <v>0</v>
      </c>
      <c r="AH257" s="5">
        <f>deaths!AH257-deaths!AG257</f>
        <v>0</v>
      </c>
      <c r="AI257" s="5">
        <f>deaths!AI257-deaths!AH257</f>
        <v>0</v>
      </c>
      <c r="AJ257" s="5">
        <f>deaths!AJ257-deaths!AI257</f>
        <v>0</v>
      </c>
      <c r="AK257" s="5">
        <f>deaths!AK257-deaths!AJ257</f>
        <v>0</v>
      </c>
      <c r="AL257" s="5">
        <f>deaths!AL257-deaths!AK257</f>
        <v>0</v>
      </c>
      <c r="AM257" s="5">
        <f>deaths!AM257-deaths!AL257</f>
        <v>0</v>
      </c>
      <c r="AN257" s="5">
        <f>deaths!AN257-deaths!AM257</f>
        <v>0</v>
      </c>
      <c r="AO257" s="5">
        <f>deaths!AO257-deaths!AN257</f>
        <v>0</v>
      </c>
      <c r="AP257" s="5">
        <f>deaths!AP257-deaths!AO257</f>
        <v>0</v>
      </c>
      <c r="AQ257" s="5">
        <f>deaths!AQ257-deaths!AP257</f>
        <v>0</v>
      </c>
      <c r="AR257" s="5">
        <f>deaths!AR257-deaths!AQ257</f>
        <v>0</v>
      </c>
      <c r="AS257" s="5">
        <f>deaths!AS257-deaths!AR257</f>
        <v>0</v>
      </c>
      <c r="AT257" s="5">
        <f>deaths!AT257-deaths!AS257</f>
        <v>0</v>
      </c>
      <c r="AU257" s="5">
        <f>deaths!AU257-deaths!AT257</f>
        <v>0</v>
      </c>
      <c r="AV257" s="5">
        <f>deaths!AV257-deaths!AU257</f>
        <v>0</v>
      </c>
      <c r="AW257" s="5">
        <f>deaths!AW257-deaths!AV257</f>
        <v>0</v>
      </c>
      <c r="AX257" s="5">
        <f>deaths!AX257-deaths!AW257</f>
        <v>0</v>
      </c>
      <c r="AY257" s="5">
        <f>deaths!AY257-deaths!AX257</f>
        <v>0</v>
      </c>
      <c r="AZ257" s="5">
        <f>deaths!AZ257-deaths!AY257</f>
        <v>0</v>
      </c>
      <c r="BA257" s="5">
        <f>deaths!BA257-deaths!AZ257</f>
        <v>0</v>
      </c>
      <c r="BB257" s="5">
        <f>deaths!BB257-deaths!BA257</f>
        <v>0</v>
      </c>
      <c r="BC257" s="5">
        <f>deaths!BC257-deaths!BB257</f>
        <v>0</v>
      </c>
      <c r="BD257" s="5">
        <f>deaths!BD257-deaths!BC257</f>
        <v>0</v>
      </c>
      <c r="BE257" s="5">
        <f>deaths!BE257-deaths!BD257</f>
        <v>0</v>
      </c>
      <c r="BF257" s="5">
        <f>deaths!BF257-deaths!BE257</f>
        <v>0</v>
      </c>
      <c r="BG257" s="5">
        <f>deaths!BG257-deaths!BF257</f>
        <v>0</v>
      </c>
      <c r="BH257" s="5">
        <f>deaths!BH257-deaths!BG257</f>
        <v>0</v>
      </c>
      <c r="BI257" s="5">
        <f>deaths!BI257-deaths!BH257</f>
        <v>0</v>
      </c>
      <c r="BJ257" s="5">
        <f>deaths!BJ257-deaths!BI257</f>
        <v>0</v>
      </c>
      <c r="BK257" s="5">
        <f>deaths!BK257-deaths!BJ257</f>
        <v>0</v>
      </c>
      <c r="BL257" s="5">
        <f>deaths!BL257-deaths!BK257</f>
        <v>0</v>
      </c>
      <c r="BM257" s="5">
        <f>deaths!BM257-deaths!BL257</f>
        <v>0</v>
      </c>
      <c r="BN257" s="5">
        <f>deaths!BN257-deaths!BM257</f>
        <v>0</v>
      </c>
      <c r="BO257" s="5">
        <f>deaths!BO257-deaths!BN257</f>
        <v>0</v>
      </c>
      <c r="BP257" s="5">
        <f>deaths!BP257-deaths!BO257</f>
        <v>0</v>
      </c>
      <c r="BQ257" s="5">
        <f>deaths!BQ257-deaths!BP257</f>
        <v>0</v>
      </c>
      <c r="BR257" s="5">
        <f>deaths!BR257-deaths!BQ257</f>
        <v>0</v>
      </c>
      <c r="BS257" s="5">
        <f>deaths!BS257-deaths!BR257</f>
        <v>0</v>
      </c>
      <c r="BT257" s="5">
        <f>deaths!BT257-deaths!BS257</f>
        <v>0</v>
      </c>
      <c r="BU257" s="5">
        <f>deaths!BU257-deaths!BT257</f>
        <v>0</v>
      </c>
      <c r="BV257" s="5">
        <f>deaths!BV257-deaths!BU257</f>
        <v>0</v>
      </c>
      <c r="BW257" s="5">
        <f>deaths!BW257-deaths!BV257</f>
        <v>0</v>
      </c>
      <c r="BX257" s="5">
        <f>deaths!BX257-deaths!BW257</f>
        <v>0</v>
      </c>
      <c r="BY257" s="5">
        <f>deaths!BY257-deaths!BX257</f>
        <v>0</v>
      </c>
      <c r="BZ257" s="1">
        <f>deaths!BZ257</f>
        <v>0</v>
      </c>
      <c r="CA257" s="1">
        <f>deaths!CA257</f>
        <v>0</v>
      </c>
      <c r="CB257" s="1">
        <f>deaths!CB257</f>
        <v>0</v>
      </c>
      <c r="CC257" s="1" t="str">
        <f>deaths!CC257</f>
        <v/>
      </c>
    </row>
    <row r="258">
      <c r="B258" s="1" t="str">
        <f>deaths!B258</f>
        <v>Netherlands</v>
      </c>
      <c r="C258" s="4">
        <f>deaths!C258</f>
        <v>12.1784</v>
      </c>
      <c r="D258" s="4">
        <f>deaths!D258</f>
        <v>-68.2385</v>
      </c>
      <c r="E258" s="5">
        <f>deaths!E258</f>
        <v>0</v>
      </c>
      <c r="F258" s="5">
        <f>deaths!F258-deaths!E258</f>
        <v>0</v>
      </c>
      <c r="G258" s="5">
        <f>deaths!G258-deaths!F258</f>
        <v>0</v>
      </c>
      <c r="H258" s="5">
        <f>deaths!H258-deaths!G258</f>
        <v>0</v>
      </c>
      <c r="I258" s="5">
        <f>deaths!I258-deaths!H258</f>
        <v>0</v>
      </c>
      <c r="J258" s="5">
        <f>deaths!J258-deaths!I258</f>
        <v>0</v>
      </c>
      <c r="K258" s="5">
        <f>deaths!K258-deaths!J258</f>
        <v>0</v>
      </c>
      <c r="L258" s="5">
        <f>deaths!L258-deaths!K258</f>
        <v>0</v>
      </c>
      <c r="M258" s="5">
        <f>deaths!M258-deaths!L258</f>
        <v>0</v>
      </c>
      <c r="N258" s="5">
        <f>deaths!N258-deaths!M258</f>
        <v>0</v>
      </c>
      <c r="O258" s="5">
        <f>deaths!O258-deaths!N258</f>
        <v>0</v>
      </c>
      <c r="P258" s="5">
        <f>deaths!P258-deaths!O258</f>
        <v>0</v>
      </c>
      <c r="Q258" s="5">
        <f>deaths!Q258-deaths!P258</f>
        <v>0</v>
      </c>
      <c r="R258" s="5">
        <f>deaths!R258-deaths!Q258</f>
        <v>0</v>
      </c>
      <c r="S258" s="5">
        <f>deaths!S258-deaths!R258</f>
        <v>0</v>
      </c>
      <c r="T258" s="5">
        <f>deaths!T258-deaths!S258</f>
        <v>0</v>
      </c>
      <c r="U258" s="5">
        <f>deaths!U258-deaths!T258</f>
        <v>0</v>
      </c>
      <c r="V258" s="5">
        <f>deaths!V258-deaths!U258</f>
        <v>0</v>
      </c>
      <c r="W258" s="5">
        <f>deaths!W258-deaths!V258</f>
        <v>0</v>
      </c>
      <c r="X258" s="5">
        <f>deaths!X258-deaths!W258</f>
        <v>0</v>
      </c>
      <c r="Y258" s="5">
        <f>deaths!Y258-deaths!X258</f>
        <v>0</v>
      </c>
      <c r="Z258" s="5">
        <f>deaths!Z258-deaths!Y258</f>
        <v>0</v>
      </c>
      <c r="AA258" s="5">
        <f>deaths!AA258-deaths!Z258</f>
        <v>0</v>
      </c>
      <c r="AB258" s="5">
        <f>deaths!AB258-deaths!AA258</f>
        <v>0</v>
      </c>
      <c r="AC258" s="5">
        <f>deaths!AC258-deaths!AB258</f>
        <v>0</v>
      </c>
      <c r="AD258" s="5">
        <f>deaths!AD258-deaths!AC258</f>
        <v>0</v>
      </c>
      <c r="AE258" s="5">
        <f>deaths!AE258-deaths!AD258</f>
        <v>0</v>
      </c>
      <c r="AF258" s="5">
        <f>deaths!AF258-deaths!AE258</f>
        <v>0</v>
      </c>
      <c r="AG258" s="5">
        <f>deaths!AG258-deaths!AF258</f>
        <v>0</v>
      </c>
      <c r="AH258" s="5">
        <f>deaths!AH258-deaths!AG258</f>
        <v>0</v>
      </c>
      <c r="AI258" s="5">
        <f>deaths!AI258-deaths!AH258</f>
        <v>0</v>
      </c>
      <c r="AJ258" s="5">
        <f>deaths!AJ258-deaths!AI258</f>
        <v>0</v>
      </c>
      <c r="AK258" s="5">
        <f>deaths!AK258-deaths!AJ258</f>
        <v>0</v>
      </c>
      <c r="AL258" s="5">
        <f>deaths!AL258-deaths!AK258</f>
        <v>0</v>
      </c>
      <c r="AM258" s="5">
        <f>deaths!AM258-deaths!AL258</f>
        <v>0</v>
      </c>
      <c r="AN258" s="5">
        <f>deaths!AN258-deaths!AM258</f>
        <v>0</v>
      </c>
      <c r="AO258" s="5">
        <f>deaths!AO258-deaths!AN258</f>
        <v>0</v>
      </c>
      <c r="AP258" s="5">
        <f>deaths!AP258-deaths!AO258</f>
        <v>0</v>
      </c>
      <c r="AQ258" s="5">
        <f>deaths!AQ258-deaths!AP258</f>
        <v>0</v>
      </c>
      <c r="AR258" s="5">
        <f>deaths!AR258-deaths!AQ258</f>
        <v>0</v>
      </c>
      <c r="AS258" s="5">
        <f>deaths!AS258-deaths!AR258</f>
        <v>0</v>
      </c>
      <c r="AT258" s="5">
        <f>deaths!AT258-deaths!AS258</f>
        <v>0</v>
      </c>
      <c r="AU258" s="5">
        <f>deaths!AU258-deaths!AT258</f>
        <v>0</v>
      </c>
      <c r="AV258" s="5">
        <f>deaths!AV258-deaths!AU258</f>
        <v>0</v>
      </c>
      <c r="AW258" s="5">
        <f>deaths!AW258-deaths!AV258</f>
        <v>0</v>
      </c>
      <c r="AX258" s="5">
        <f>deaths!AX258-deaths!AW258</f>
        <v>0</v>
      </c>
      <c r="AY258" s="5">
        <f>deaths!AY258-deaths!AX258</f>
        <v>0</v>
      </c>
      <c r="AZ258" s="5">
        <f>deaths!AZ258-deaths!AY258</f>
        <v>0</v>
      </c>
      <c r="BA258" s="5">
        <f>deaths!BA258-deaths!AZ258</f>
        <v>0</v>
      </c>
      <c r="BB258" s="5">
        <f>deaths!BB258-deaths!BA258</f>
        <v>0</v>
      </c>
      <c r="BC258" s="5">
        <f>deaths!BC258-deaths!BB258</f>
        <v>0</v>
      </c>
      <c r="BD258" s="5">
        <f>deaths!BD258-deaths!BC258</f>
        <v>0</v>
      </c>
      <c r="BE258" s="5">
        <f>deaths!BE258-deaths!BD258</f>
        <v>0</v>
      </c>
      <c r="BF258" s="5">
        <f>deaths!BF258-deaths!BE258</f>
        <v>0</v>
      </c>
      <c r="BG258" s="5">
        <f>deaths!BG258-deaths!BF258</f>
        <v>0</v>
      </c>
      <c r="BH258" s="5">
        <f>deaths!BH258-deaths!BG258</f>
        <v>0</v>
      </c>
      <c r="BI258" s="5">
        <f>deaths!BI258-deaths!BH258</f>
        <v>0</v>
      </c>
      <c r="BJ258" s="5">
        <f>deaths!BJ258-deaths!BI258</f>
        <v>0</v>
      </c>
      <c r="BK258" s="5">
        <f>deaths!BK258-deaths!BJ258</f>
        <v>0</v>
      </c>
      <c r="BL258" s="5">
        <f>deaths!BL258-deaths!BK258</f>
        <v>0</v>
      </c>
      <c r="BM258" s="5">
        <f>deaths!BM258-deaths!BL258</f>
        <v>0</v>
      </c>
      <c r="BN258" s="5">
        <f>deaths!BN258-deaths!BM258</f>
        <v>0</v>
      </c>
      <c r="BO258" s="5">
        <f>deaths!BO258-deaths!BN258</f>
        <v>0</v>
      </c>
      <c r="BP258" s="5">
        <f>deaths!BP258-deaths!BO258</f>
        <v>0</v>
      </c>
      <c r="BQ258" s="5">
        <f>deaths!BQ258-deaths!BP258</f>
        <v>0</v>
      </c>
      <c r="BR258" s="5">
        <f>deaths!BR258-deaths!BQ258</f>
        <v>0</v>
      </c>
      <c r="BS258" s="5">
        <f>deaths!BS258-deaths!BR258</f>
        <v>0</v>
      </c>
      <c r="BT258" s="5">
        <f>deaths!BT258-deaths!BS258</f>
        <v>0</v>
      </c>
      <c r="BU258" s="5">
        <f>deaths!BU258-deaths!BT258</f>
        <v>0</v>
      </c>
      <c r="BV258" s="5">
        <f>deaths!BV258-deaths!BU258</f>
        <v>0</v>
      </c>
      <c r="BW258" s="5">
        <f>deaths!BW258-deaths!BV258</f>
        <v>0</v>
      </c>
      <c r="BX258" s="5">
        <f>deaths!BX258-deaths!BW258</f>
        <v>0</v>
      </c>
      <c r="BY258" s="5">
        <f>deaths!BY258-deaths!BX258</f>
        <v>0</v>
      </c>
      <c r="BZ258" s="1">
        <f>deaths!BZ258</f>
        <v>0</v>
      </c>
      <c r="CA258" s="1">
        <f>deaths!CA258</f>
        <v>0</v>
      </c>
      <c r="CB258" s="1">
        <f>deaths!CB258</f>
        <v>0</v>
      </c>
      <c r="CC258" s="1" t="str">
        <f>deaths!CC258</f>
        <v/>
      </c>
    </row>
    <row r="259">
      <c r="B259" s="1" t="str">
        <f>deaths!B259</f>
        <v>Malawi</v>
      </c>
      <c r="C259" s="4">
        <f>deaths!C259</f>
        <v>-13.254308</v>
      </c>
      <c r="D259" s="4">
        <f>deaths!D259</f>
        <v>34.301525</v>
      </c>
      <c r="E259" s="5">
        <f>deaths!E259</f>
        <v>0</v>
      </c>
      <c r="F259" s="5">
        <f>deaths!F259-deaths!E259</f>
        <v>0</v>
      </c>
      <c r="G259" s="5">
        <f>deaths!G259-deaths!F259</f>
        <v>0</v>
      </c>
      <c r="H259" s="5">
        <f>deaths!H259-deaths!G259</f>
        <v>0</v>
      </c>
      <c r="I259" s="5">
        <f>deaths!I259-deaths!H259</f>
        <v>0</v>
      </c>
      <c r="J259" s="5">
        <f>deaths!J259-deaths!I259</f>
        <v>0</v>
      </c>
      <c r="K259" s="5">
        <f>deaths!K259-deaths!J259</f>
        <v>0</v>
      </c>
      <c r="L259" s="5">
        <f>deaths!L259-deaths!K259</f>
        <v>0</v>
      </c>
      <c r="M259" s="5">
        <f>deaths!M259-deaths!L259</f>
        <v>0</v>
      </c>
      <c r="N259" s="5">
        <f>deaths!N259-deaths!M259</f>
        <v>0</v>
      </c>
      <c r="O259" s="5">
        <f>deaths!O259-deaths!N259</f>
        <v>0</v>
      </c>
      <c r="P259" s="5">
        <f>deaths!P259-deaths!O259</f>
        <v>0</v>
      </c>
      <c r="Q259" s="5">
        <f>deaths!Q259-deaths!P259</f>
        <v>0</v>
      </c>
      <c r="R259" s="5">
        <f>deaths!R259-deaths!Q259</f>
        <v>0</v>
      </c>
      <c r="S259" s="5">
        <f>deaths!S259-deaths!R259</f>
        <v>0</v>
      </c>
      <c r="T259" s="5">
        <f>deaths!T259-deaths!S259</f>
        <v>0</v>
      </c>
      <c r="U259" s="5">
        <f>deaths!U259-deaths!T259</f>
        <v>0</v>
      </c>
      <c r="V259" s="5">
        <f>deaths!V259-deaths!U259</f>
        <v>0</v>
      </c>
      <c r="W259" s="5">
        <f>deaths!W259-deaths!V259</f>
        <v>0</v>
      </c>
      <c r="X259" s="5">
        <f>deaths!X259-deaths!W259</f>
        <v>0</v>
      </c>
      <c r="Y259" s="5">
        <f>deaths!Y259-deaths!X259</f>
        <v>0</v>
      </c>
      <c r="Z259" s="5">
        <f>deaths!Z259-deaths!Y259</f>
        <v>0</v>
      </c>
      <c r="AA259" s="5">
        <f>deaths!AA259-deaths!Z259</f>
        <v>0</v>
      </c>
      <c r="AB259" s="5">
        <f>deaths!AB259-deaths!AA259</f>
        <v>0</v>
      </c>
      <c r="AC259" s="5">
        <f>deaths!AC259-deaths!AB259</f>
        <v>0</v>
      </c>
      <c r="AD259" s="5">
        <f>deaths!AD259-deaths!AC259</f>
        <v>0</v>
      </c>
      <c r="AE259" s="5">
        <f>deaths!AE259-deaths!AD259</f>
        <v>0</v>
      </c>
      <c r="AF259" s="5">
        <f>deaths!AF259-deaths!AE259</f>
        <v>0</v>
      </c>
      <c r="AG259" s="5">
        <f>deaths!AG259-deaths!AF259</f>
        <v>0</v>
      </c>
      <c r="AH259" s="5">
        <f>deaths!AH259-deaths!AG259</f>
        <v>0</v>
      </c>
      <c r="AI259" s="5">
        <f>deaths!AI259-deaths!AH259</f>
        <v>0</v>
      </c>
      <c r="AJ259" s="5">
        <f>deaths!AJ259-deaths!AI259</f>
        <v>0</v>
      </c>
      <c r="AK259" s="5">
        <f>deaths!AK259-deaths!AJ259</f>
        <v>0</v>
      </c>
      <c r="AL259" s="5">
        <f>deaths!AL259-deaths!AK259</f>
        <v>0</v>
      </c>
      <c r="AM259" s="5">
        <f>deaths!AM259-deaths!AL259</f>
        <v>0</v>
      </c>
      <c r="AN259" s="5">
        <f>deaths!AN259-deaths!AM259</f>
        <v>0</v>
      </c>
      <c r="AO259" s="5">
        <f>deaths!AO259-deaths!AN259</f>
        <v>0</v>
      </c>
      <c r="AP259" s="5">
        <f>deaths!AP259-deaths!AO259</f>
        <v>0</v>
      </c>
      <c r="AQ259" s="5">
        <f>deaths!AQ259-deaths!AP259</f>
        <v>0</v>
      </c>
      <c r="AR259" s="5">
        <f>deaths!AR259-deaths!AQ259</f>
        <v>0</v>
      </c>
      <c r="AS259" s="5">
        <f>deaths!AS259-deaths!AR259</f>
        <v>0</v>
      </c>
      <c r="AT259" s="5">
        <f>deaths!AT259-deaths!AS259</f>
        <v>0</v>
      </c>
      <c r="AU259" s="5">
        <f>deaths!AU259-deaths!AT259</f>
        <v>0</v>
      </c>
      <c r="AV259" s="5">
        <f>deaths!AV259-deaths!AU259</f>
        <v>0</v>
      </c>
      <c r="AW259" s="5">
        <f>deaths!AW259-deaths!AV259</f>
        <v>0</v>
      </c>
      <c r="AX259" s="5">
        <f>deaths!AX259-deaths!AW259</f>
        <v>0</v>
      </c>
      <c r="AY259" s="5">
        <f>deaths!AY259-deaths!AX259</f>
        <v>0</v>
      </c>
      <c r="AZ259" s="5">
        <f>deaths!AZ259-deaths!AY259</f>
        <v>0</v>
      </c>
      <c r="BA259" s="5">
        <f>deaths!BA259-deaths!AZ259</f>
        <v>0</v>
      </c>
      <c r="BB259" s="5">
        <f>deaths!BB259-deaths!BA259</f>
        <v>0</v>
      </c>
      <c r="BC259" s="5">
        <f>deaths!BC259-deaths!BB259</f>
        <v>0</v>
      </c>
      <c r="BD259" s="5">
        <f>deaths!BD259-deaths!BC259</f>
        <v>0</v>
      </c>
      <c r="BE259" s="5">
        <f>deaths!BE259-deaths!BD259</f>
        <v>0</v>
      </c>
      <c r="BF259" s="5">
        <f>deaths!BF259-deaths!BE259</f>
        <v>0</v>
      </c>
      <c r="BG259" s="5">
        <f>deaths!BG259-deaths!BF259</f>
        <v>0</v>
      </c>
      <c r="BH259" s="5">
        <f>deaths!BH259-deaths!BG259</f>
        <v>0</v>
      </c>
      <c r="BI259" s="5">
        <f>deaths!BI259-deaths!BH259</f>
        <v>0</v>
      </c>
      <c r="BJ259" s="5">
        <f>deaths!BJ259-deaths!BI259</f>
        <v>0</v>
      </c>
      <c r="BK259" s="5">
        <f>deaths!BK259-deaths!BJ259</f>
        <v>0</v>
      </c>
      <c r="BL259" s="5">
        <f>deaths!BL259-deaths!BK259</f>
        <v>0</v>
      </c>
      <c r="BM259" s="5">
        <f>deaths!BM259-deaths!BL259</f>
        <v>0</v>
      </c>
      <c r="BN259" s="5">
        <f>deaths!BN259-deaths!BM259</f>
        <v>0</v>
      </c>
      <c r="BO259" s="5">
        <f>deaths!BO259-deaths!BN259</f>
        <v>0</v>
      </c>
      <c r="BP259" s="5">
        <f>deaths!BP259-deaths!BO259</f>
        <v>0</v>
      </c>
      <c r="BQ259" s="5">
        <f>deaths!BQ259-deaths!BP259</f>
        <v>0</v>
      </c>
      <c r="BR259" s="5">
        <f>deaths!BR259-deaths!BQ259</f>
        <v>0</v>
      </c>
      <c r="BS259" s="5">
        <f>deaths!BS259-deaths!BR259</f>
        <v>0</v>
      </c>
      <c r="BT259" s="5">
        <f>deaths!BT259-deaths!BS259</f>
        <v>0</v>
      </c>
      <c r="BU259" s="5">
        <f>deaths!BU259-deaths!BT259</f>
        <v>0</v>
      </c>
      <c r="BV259" s="5">
        <f>deaths!BV259-deaths!BU259</f>
        <v>0</v>
      </c>
      <c r="BW259" s="5">
        <f>deaths!BW259-deaths!BV259</f>
        <v>0</v>
      </c>
      <c r="BX259" s="5">
        <f>deaths!BX259-deaths!BW259</f>
        <v>0</v>
      </c>
      <c r="BY259" s="5">
        <f>deaths!BY259-deaths!BX259</f>
        <v>0</v>
      </c>
      <c r="BZ259" s="1">
        <f>deaths!BZ259</f>
        <v>0</v>
      </c>
      <c r="CA259" s="1">
        <f>deaths!CA259</f>
        <v>0</v>
      </c>
      <c r="CB259" s="1">
        <f>deaths!CB259</f>
        <v>0</v>
      </c>
      <c r="CC259" s="1" t="str">
        <f>deaths!CC259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IFERROR(__xludf.DUMMYFUNCTION("importdata(""https://raw.githubusercontent.com/CSSEGISandData/COVID-19/master/csse_covid_19_data/csse_covid_19_time_series/time_series_covid19_recovered_global.csv"")"),"Province/State")</f>
        <v>Province/State</v>
      </c>
      <c r="B1" s="1" t="str">
        <f>IFERROR(__xludf.DUMMYFUNCTION("""COMPUTED_VALUE"""),"Country/Region")</f>
        <v>Country/Region</v>
      </c>
      <c r="C1" s="1" t="str">
        <f>IFERROR(__xludf.DUMMYFUNCTION("""COMPUTED_VALUE"""),"Lat")</f>
        <v>Lat</v>
      </c>
      <c r="D1" s="1" t="str">
        <f>IFERROR(__xludf.DUMMYFUNCTION("""COMPUTED_VALUE"""),"Long")</f>
        <v>Long</v>
      </c>
      <c r="E1" s="1">
        <f>IFERROR(__xludf.DUMMYFUNCTION("""COMPUTED_VALUE"""),43852.0)</f>
        <v>43852</v>
      </c>
      <c r="F1" s="1">
        <f>IFERROR(__xludf.DUMMYFUNCTION("""COMPUTED_VALUE"""),43853.0)</f>
        <v>43853</v>
      </c>
      <c r="G1" s="1">
        <f>IFERROR(__xludf.DUMMYFUNCTION("""COMPUTED_VALUE"""),43854.0)</f>
        <v>43854</v>
      </c>
      <c r="H1" s="1">
        <f>IFERROR(__xludf.DUMMYFUNCTION("""COMPUTED_VALUE"""),43855.0)</f>
        <v>43855</v>
      </c>
      <c r="I1" s="1">
        <f>IFERROR(__xludf.DUMMYFUNCTION("""COMPUTED_VALUE"""),43856.0)</f>
        <v>43856</v>
      </c>
      <c r="J1" s="1">
        <f>IFERROR(__xludf.DUMMYFUNCTION("""COMPUTED_VALUE"""),43857.0)</f>
        <v>43857</v>
      </c>
      <c r="K1" s="1">
        <f>IFERROR(__xludf.DUMMYFUNCTION("""COMPUTED_VALUE"""),43858.0)</f>
        <v>43858</v>
      </c>
      <c r="L1" s="1">
        <f>IFERROR(__xludf.DUMMYFUNCTION("""COMPUTED_VALUE"""),43859.0)</f>
        <v>43859</v>
      </c>
      <c r="M1" s="1">
        <f>IFERROR(__xludf.DUMMYFUNCTION("""COMPUTED_VALUE"""),43860.0)</f>
        <v>43860</v>
      </c>
      <c r="N1" s="1">
        <f>IFERROR(__xludf.DUMMYFUNCTION("""COMPUTED_VALUE"""),43861.0)</f>
        <v>43861</v>
      </c>
      <c r="O1" s="1">
        <f>IFERROR(__xludf.DUMMYFUNCTION("""COMPUTED_VALUE"""),43862.0)</f>
        <v>43862</v>
      </c>
      <c r="P1" s="1">
        <f>IFERROR(__xludf.DUMMYFUNCTION("""COMPUTED_VALUE"""),43863.0)</f>
        <v>43863</v>
      </c>
      <c r="Q1" s="1">
        <f>IFERROR(__xludf.DUMMYFUNCTION("""COMPUTED_VALUE"""),43864.0)</f>
        <v>43864</v>
      </c>
      <c r="R1" s="1">
        <f>IFERROR(__xludf.DUMMYFUNCTION("""COMPUTED_VALUE"""),43865.0)</f>
        <v>43865</v>
      </c>
      <c r="S1" s="1">
        <f>IFERROR(__xludf.DUMMYFUNCTION("""COMPUTED_VALUE"""),43866.0)</f>
        <v>43866</v>
      </c>
      <c r="T1" s="1">
        <f>IFERROR(__xludf.DUMMYFUNCTION("""COMPUTED_VALUE"""),43867.0)</f>
        <v>43867</v>
      </c>
      <c r="U1" s="1">
        <f>IFERROR(__xludf.DUMMYFUNCTION("""COMPUTED_VALUE"""),43868.0)</f>
        <v>43868</v>
      </c>
      <c r="V1" s="1">
        <f>IFERROR(__xludf.DUMMYFUNCTION("""COMPUTED_VALUE"""),43869.0)</f>
        <v>43869</v>
      </c>
      <c r="W1" s="1">
        <f>IFERROR(__xludf.DUMMYFUNCTION("""COMPUTED_VALUE"""),43870.0)</f>
        <v>43870</v>
      </c>
      <c r="X1" s="1">
        <f>IFERROR(__xludf.DUMMYFUNCTION("""COMPUTED_VALUE"""),43871.0)</f>
        <v>43871</v>
      </c>
      <c r="Y1" s="1">
        <f>IFERROR(__xludf.DUMMYFUNCTION("""COMPUTED_VALUE"""),43872.0)</f>
        <v>43872</v>
      </c>
      <c r="Z1" s="1">
        <f>IFERROR(__xludf.DUMMYFUNCTION("""COMPUTED_VALUE"""),43873.0)</f>
        <v>43873</v>
      </c>
      <c r="AA1" s="1">
        <f>IFERROR(__xludf.DUMMYFUNCTION("""COMPUTED_VALUE"""),43874.0)</f>
        <v>43874</v>
      </c>
      <c r="AB1" s="1">
        <f>IFERROR(__xludf.DUMMYFUNCTION("""COMPUTED_VALUE"""),43875.0)</f>
        <v>43875</v>
      </c>
      <c r="AC1" s="1">
        <f>IFERROR(__xludf.DUMMYFUNCTION("""COMPUTED_VALUE"""),43876.0)</f>
        <v>43876</v>
      </c>
      <c r="AD1" s="1">
        <f>IFERROR(__xludf.DUMMYFUNCTION("""COMPUTED_VALUE"""),43877.0)</f>
        <v>43877</v>
      </c>
      <c r="AE1" s="1">
        <f>IFERROR(__xludf.DUMMYFUNCTION("""COMPUTED_VALUE"""),43878.0)</f>
        <v>43878</v>
      </c>
      <c r="AF1" s="1">
        <f>IFERROR(__xludf.DUMMYFUNCTION("""COMPUTED_VALUE"""),43879.0)</f>
        <v>43879</v>
      </c>
      <c r="AG1" s="1">
        <f>IFERROR(__xludf.DUMMYFUNCTION("""COMPUTED_VALUE"""),43880.0)</f>
        <v>43880</v>
      </c>
      <c r="AH1" s="1">
        <f>IFERROR(__xludf.DUMMYFUNCTION("""COMPUTED_VALUE"""),43881.0)</f>
        <v>43881</v>
      </c>
      <c r="AI1" s="1">
        <f>IFERROR(__xludf.DUMMYFUNCTION("""COMPUTED_VALUE"""),43882.0)</f>
        <v>43882</v>
      </c>
      <c r="AJ1" s="1">
        <f>IFERROR(__xludf.DUMMYFUNCTION("""COMPUTED_VALUE"""),43883.0)</f>
        <v>43883</v>
      </c>
      <c r="AK1" s="1">
        <f>IFERROR(__xludf.DUMMYFUNCTION("""COMPUTED_VALUE"""),43884.0)</f>
        <v>43884</v>
      </c>
      <c r="AL1" s="1">
        <f>IFERROR(__xludf.DUMMYFUNCTION("""COMPUTED_VALUE"""),43885.0)</f>
        <v>43885</v>
      </c>
      <c r="AM1" s="1">
        <f>IFERROR(__xludf.DUMMYFUNCTION("""COMPUTED_VALUE"""),43886.0)</f>
        <v>43886</v>
      </c>
      <c r="AN1" s="1">
        <f>IFERROR(__xludf.DUMMYFUNCTION("""COMPUTED_VALUE"""),43887.0)</f>
        <v>43887</v>
      </c>
      <c r="AO1" s="1">
        <f>IFERROR(__xludf.DUMMYFUNCTION("""COMPUTED_VALUE"""),43888.0)</f>
        <v>43888</v>
      </c>
      <c r="AP1" s="1">
        <f>IFERROR(__xludf.DUMMYFUNCTION("""COMPUTED_VALUE"""),43889.0)</f>
        <v>43889</v>
      </c>
      <c r="AQ1" s="1">
        <f>IFERROR(__xludf.DUMMYFUNCTION("""COMPUTED_VALUE"""),43890.0)</f>
        <v>43890</v>
      </c>
      <c r="AR1" s="1">
        <f>IFERROR(__xludf.DUMMYFUNCTION("""COMPUTED_VALUE"""),43891.0)</f>
        <v>43891</v>
      </c>
      <c r="AS1" s="1">
        <f>IFERROR(__xludf.DUMMYFUNCTION("""COMPUTED_VALUE"""),43892.0)</f>
        <v>43892</v>
      </c>
      <c r="AT1" s="1">
        <f>IFERROR(__xludf.DUMMYFUNCTION("""COMPUTED_VALUE"""),43893.0)</f>
        <v>43893</v>
      </c>
      <c r="AU1" s="1">
        <f>IFERROR(__xludf.DUMMYFUNCTION("""COMPUTED_VALUE"""),43894.0)</f>
        <v>43894</v>
      </c>
      <c r="AV1" s="1">
        <f>IFERROR(__xludf.DUMMYFUNCTION("""COMPUTED_VALUE"""),43895.0)</f>
        <v>43895</v>
      </c>
      <c r="AW1" s="1">
        <f>IFERROR(__xludf.DUMMYFUNCTION("""COMPUTED_VALUE"""),43896.0)</f>
        <v>43896</v>
      </c>
      <c r="AX1" s="1">
        <f>IFERROR(__xludf.DUMMYFUNCTION("""COMPUTED_VALUE"""),43897.0)</f>
        <v>43897</v>
      </c>
      <c r="AY1" s="1">
        <f>IFERROR(__xludf.DUMMYFUNCTION("""COMPUTED_VALUE"""),43898.0)</f>
        <v>43898</v>
      </c>
      <c r="AZ1" s="1">
        <f>IFERROR(__xludf.DUMMYFUNCTION("""COMPUTED_VALUE"""),43899.0)</f>
        <v>43899</v>
      </c>
      <c r="BA1" s="1">
        <f>IFERROR(__xludf.DUMMYFUNCTION("""COMPUTED_VALUE"""),43900.0)</f>
        <v>43900</v>
      </c>
      <c r="BB1" s="1">
        <f>IFERROR(__xludf.DUMMYFUNCTION("""COMPUTED_VALUE"""),43901.0)</f>
        <v>43901</v>
      </c>
      <c r="BC1" s="1">
        <f>IFERROR(__xludf.DUMMYFUNCTION("""COMPUTED_VALUE"""),43902.0)</f>
        <v>43902</v>
      </c>
      <c r="BD1" s="1">
        <f>IFERROR(__xludf.DUMMYFUNCTION("""COMPUTED_VALUE"""),43903.0)</f>
        <v>43903</v>
      </c>
      <c r="BE1" s="1">
        <f>IFERROR(__xludf.DUMMYFUNCTION("""COMPUTED_VALUE"""),43904.0)</f>
        <v>43904</v>
      </c>
      <c r="BF1" s="1">
        <f>IFERROR(__xludf.DUMMYFUNCTION("""COMPUTED_VALUE"""),43905.0)</f>
        <v>43905</v>
      </c>
      <c r="BG1" s="1">
        <f>IFERROR(__xludf.DUMMYFUNCTION("""COMPUTED_VALUE"""),43906.0)</f>
        <v>43906</v>
      </c>
      <c r="BH1" s="1">
        <f>IFERROR(__xludf.DUMMYFUNCTION("""COMPUTED_VALUE"""),43907.0)</f>
        <v>43907</v>
      </c>
      <c r="BI1" s="1">
        <f>IFERROR(__xludf.DUMMYFUNCTION("""COMPUTED_VALUE"""),43908.0)</f>
        <v>43908</v>
      </c>
      <c r="BJ1" s="1">
        <f>IFERROR(__xludf.DUMMYFUNCTION("""COMPUTED_VALUE"""),43909.0)</f>
        <v>43909</v>
      </c>
      <c r="BK1" s="1">
        <f>IFERROR(__xludf.DUMMYFUNCTION("""COMPUTED_VALUE"""),43910.0)</f>
        <v>43910</v>
      </c>
      <c r="BL1" s="1">
        <f>IFERROR(__xludf.DUMMYFUNCTION("""COMPUTED_VALUE"""),43911.0)</f>
        <v>43911</v>
      </c>
      <c r="BM1" s="1">
        <f>IFERROR(__xludf.DUMMYFUNCTION("""COMPUTED_VALUE"""),43912.0)</f>
        <v>43912</v>
      </c>
      <c r="BN1" s="1">
        <f>IFERROR(__xludf.DUMMYFUNCTION("""COMPUTED_VALUE"""),43913.0)</f>
        <v>43913</v>
      </c>
      <c r="BO1" s="1">
        <f>IFERROR(__xludf.DUMMYFUNCTION("""COMPUTED_VALUE"""),43914.0)</f>
        <v>43914</v>
      </c>
      <c r="BP1" s="1">
        <f>IFERROR(__xludf.DUMMYFUNCTION("""COMPUTED_VALUE"""),43915.0)</f>
        <v>43915</v>
      </c>
      <c r="BQ1" s="1">
        <f>IFERROR(__xludf.DUMMYFUNCTION("""COMPUTED_VALUE"""),43916.0)</f>
        <v>43916</v>
      </c>
      <c r="BR1" s="1">
        <f>IFERROR(__xludf.DUMMYFUNCTION("""COMPUTED_VALUE"""),43917.0)</f>
        <v>43917</v>
      </c>
      <c r="BS1" s="1">
        <f>IFERROR(__xludf.DUMMYFUNCTION("""COMPUTED_VALUE"""),43918.0)</f>
        <v>43918</v>
      </c>
      <c r="BT1" s="1">
        <f>IFERROR(__xludf.DUMMYFUNCTION("""COMPUTED_VALUE"""),43919.0)</f>
        <v>43919</v>
      </c>
      <c r="BU1" s="1">
        <f>IFERROR(__xludf.DUMMYFUNCTION("""COMPUTED_VALUE"""),43920.0)</f>
        <v>43920</v>
      </c>
      <c r="BV1" s="1">
        <f>IFERROR(__xludf.DUMMYFUNCTION("""COMPUTED_VALUE"""),43921.0)</f>
        <v>43921</v>
      </c>
      <c r="BW1" s="1">
        <f>IFERROR(__xludf.DUMMYFUNCTION("""COMPUTED_VALUE"""),43922.0)</f>
        <v>43922</v>
      </c>
      <c r="BX1" s="1">
        <f>IFERROR(__xludf.DUMMYFUNCTION("""COMPUTED_VALUE"""),43923.0)</f>
        <v>43923</v>
      </c>
      <c r="BY1" s="1">
        <f>IFERROR(__xludf.DUMMYFUNCTION("""COMPUTED_VALUE"""),43924.0)</f>
        <v>43924</v>
      </c>
      <c r="BZ1" s="1">
        <f>IFERROR(__xludf.DUMMYFUNCTION("""COMPUTED_VALUE"""),43925.0)</f>
        <v>43925</v>
      </c>
      <c r="CA1" s="1">
        <f>IFERROR(__xludf.DUMMYFUNCTION("""COMPUTED_VALUE"""),43926.0)</f>
        <v>43926</v>
      </c>
      <c r="CB1" s="1">
        <f>IFERROR(__xludf.DUMMYFUNCTION("""COMPUTED_VALUE"""),43927.0)</f>
        <v>43927</v>
      </c>
      <c r="CC1" s="1"/>
    </row>
    <row r="2">
      <c r="A2" s="3" t="str">
        <f>IFERROR(__xludf.DUMMYFUNCTION("""COMPUTED_VALUE"""),"")</f>
        <v/>
      </c>
      <c r="B2" s="3" t="str">
        <f>IFERROR(__xludf.DUMMYFUNCTION("""COMPUTED_VALUE"""),"Afghanistan")</f>
        <v>Afghanistan</v>
      </c>
      <c r="C2" s="3">
        <f>IFERROR(__xludf.DUMMYFUNCTION("""COMPUTED_VALUE"""),33.0)</f>
        <v>33</v>
      </c>
      <c r="D2" s="3">
        <f>IFERROR(__xludf.DUMMYFUNCTION("""COMPUTED_VALUE"""),65.0)</f>
        <v>65</v>
      </c>
      <c r="E2" s="3">
        <f>IFERROR(__xludf.DUMMYFUNCTION("""COMPUTED_VALUE"""),0.0)</f>
        <v>0</v>
      </c>
      <c r="F2" s="3">
        <f>IFERROR(__xludf.DUMMYFUNCTION("""COMPUTED_VALUE"""),0.0)</f>
        <v>0</v>
      </c>
      <c r="G2" s="3">
        <f>IFERROR(__xludf.DUMMYFUNCTION("""COMPUTED_VALUE"""),0.0)</f>
        <v>0</v>
      </c>
      <c r="H2" s="3">
        <f>IFERROR(__xludf.DUMMYFUNCTION("""COMPUTED_VALUE"""),0.0)</f>
        <v>0</v>
      </c>
      <c r="I2" s="3">
        <f>IFERROR(__xludf.DUMMYFUNCTION("""COMPUTED_VALUE"""),0.0)</f>
        <v>0</v>
      </c>
      <c r="J2" s="3">
        <f>IFERROR(__xludf.DUMMYFUNCTION("""COMPUTED_VALUE"""),0.0)</f>
        <v>0</v>
      </c>
      <c r="K2" s="3">
        <f>IFERROR(__xludf.DUMMYFUNCTION("""COMPUTED_VALUE"""),0.0)</f>
        <v>0</v>
      </c>
      <c r="L2" s="3">
        <f>IFERROR(__xludf.DUMMYFUNCTION("""COMPUTED_VALUE"""),0.0)</f>
        <v>0</v>
      </c>
      <c r="M2" s="3">
        <f>IFERROR(__xludf.DUMMYFUNCTION("""COMPUTED_VALUE"""),0.0)</f>
        <v>0</v>
      </c>
      <c r="N2" s="3">
        <f>IFERROR(__xludf.DUMMYFUNCTION("""COMPUTED_VALUE"""),0.0)</f>
        <v>0</v>
      </c>
      <c r="O2" s="3">
        <f>IFERROR(__xludf.DUMMYFUNCTION("""COMPUTED_VALUE"""),0.0)</f>
        <v>0</v>
      </c>
      <c r="P2" s="3">
        <f>IFERROR(__xludf.DUMMYFUNCTION("""COMPUTED_VALUE"""),0.0)</f>
        <v>0</v>
      </c>
      <c r="Q2" s="3">
        <f>IFERROR(__xludf.DUMMYFUNCTION("""COMPUTED_VALUE"""),0.0)</f>
        <v>0</v>
      </c>
      <c r="R2" s="3">
        <f>IFERROR(__xludf.DUMMYFUNCTION("""COMPUTED_VALUE"""),0.0)</f>
        <v>0</v>
      </c>
      <c r="S2" s="3">
        <f>IFERROR(__xludf.DUMMYFUNCTION("""COMPUTED_VALUE"""),0.0)</f>
        <v>0</v>
      </c>
      <c r="T2" s="3">
        <f>IFERROR(__xludf.DUMMYFUNCTION("""COMPUTED_VALUE"""),0.0)</f>
        <v>0</v>
      </c>
      <c r="U2" s="3">
        <f>IFERROR(__xludf.DUMMYFUNCTION("""COMPUTED_VALUE"""),0.0)</f>
        <v>0</v>
      </c>
      <c r="V2" s="3">
        <f>IFERROR(__xludf.DUMMYFUNCTION("""COMPUTED_VALUE"""),0.0)</f>
        <v>0</v>
      </c>
      <c r="W2" s="3">
        <f>IFERROR(__xludf.DUMMYFUNCTION("""COMPUTED_VALUE"""),0.0)</f>
        <v>0</v>
      </c>
      <c r="X2" s="3">
        <f>IFERROR(__xludf.DUMMYFUNCTION("""COMPUTED_VALUE"""),0.0)</f>
        <v>0</v>
      </c>
      <c r="Y2" s="3">
        <f>IFERROR(__xludf.DUMMYFUNCTION("""COMPUTED_VALUE"""),0.0)</f>
        <v>0</v>
      </c>
      <c r="Z2" s="3">
        <f>IFERROR(__xludf.DUMMYFUNCTION("""COMPUTED_VALUE"""),0.0)</f>
        <v>0</v>
      </c>
      <c r="AA2" s="3">
        <f>IFERROR(__xludf.DUMMYFUNCTION("""COMPUTED_VALUE"""),0.0)</f>
        <v>0</v>
      </c>
      <c r="AB2" s="3">
        <f>IFERROR(__xludf.DUMMYFUNCTION("""COMPUTED_VALUE"""),0.0)</f>
        <v>0</v>
      </c>
      <c r="AC2" s="3">
        <f>IFERROR(__xludf.DUMMYFUNCTION("""COMPUTED_VALUE"""),0.0)</f>
        <v>0</v>
      </c>
      <c r="AD2" s="3">
        <f>IFERROR(__xludf.DUMMYFUNCTION("""COMPUTED_VALUE"""),0.0)</f>
        <v>0</v>
      </c>
      <c r="AE2" s="3">
        <f>IFERROR(__xludf.DUMMYFUNCTION("""COMPUTED_VALUE"""),0.0)</f>
        <v>0</v>
      </c>
      <c r="AF2" s="3">
        <f>IFERROR(__xludf.DUMMYFUNCTION("""COMPUTED_VALUE"""),0.0)</f>
        <v>0</v>
      </c>
      <c r="AG2" s="3">
        <f>IFERROR(__xludf.DUMMYFUNCTION("""COMPUTED_VALUE"""),0.0)</f>
        <v>0</v>
      </c>
      <c r="AH2" s="3">
        <f>IFERROR(__xludf.DUMMYFUNCTION("""COMPUTED_VALUE"""),0.0)</f>
        <v>0</v>
      </c>
      <c r="AI2" s="3">
        <f>IFERROR(__xludf.DUMMYFUNCTION("""COMPUTED_VALUE"""),0.0)</f>
        <v>0</v>
      </c>
      <c r="AJ2" s="3">
        <f>IFERROR(__xludf.DUMMYFUNCTION("""COMPUTED_VALUE"""),0.0)</f>
        <v>0</v>
      </c>
      <c r="AK2" s="3">
        <f>IFERROR(__xludf.DUMMYFUNCTION("""COMPUTED_VALUE"""),0.0)</f>
        <v>0</v>
      </c>
      <c r="AL2" s="3">
        <f>IFERROR(__xludf.DUMMYFUNCTION("""COMPUTED_VALUE"""),0.0)</f>
        <v>0</v>
      </c>
      <c r="AM2" s="3">
        <f>IFERROR(__xludf.DUMMYFUNCTION("""COMPUTED_VALUE"""),0.0)</f>
        <v>0</v>
      </c>
      <c r="AN2" s="3">
        <f>IFERROR(__xludf.DUMMYFUNCTION("""COMPUTED_VALUE"""),0.0)</f>
        <v>0</v>
      </c>
      <c r="AO2" s="3">
        <f>IFERROR(__xludf.DUMMYFUNCTION("""COMPUTED_VALUE"""),0.0)</f>
        <v>0</v>
      </c>
      <c r="AP2" s="3">
        <f>IFERROR(__xludf.DUMMYFUNCTION("""COMPUTED_VALUE"""),0.0)</f>
        <v>0</v>
      </c>
      <c r="AQ2" s="3">
        <f>IFERROR(__xludf.DUMMYFUNCTION("""COMPUTED_VALUE"""),0.0)</f>
        <v>0</v>
      </c>
      <c r="AR2" s="3">
        <f>IFERROR(__xludf.DUMMYFUNCTION("""COMPUTED_VALUE"""),0.0)</f>
        <v>0</v>
      </c>
      <c r="AS2" s="3">
        <f>IFERROR(__xludf.DUMMYFUNCTION("""COMPUTED_VALUE"""),0.0)</f>
        <v>0</v>
      </c>
      <c r="AT2" s="3">
        <f>IFERROR(__xludf.DUMMYFUNCTION("""COMPUTED_VALUE"""),0.0)</f>
        <v>0</v>
      </c>
      <c r="AU2" s="3">
        <f>IFERROR(__xludf.DUMMYFUNCTION("""COMPUTED_VALUE"""),0.0)</f>
        <v>0</v>
      </c>
      <c r="AV2" s="3">
        <f>IFERROR(__xludf.DUMMYFUNCTION("""COMPUTED_VALUE"""),0.0)</f>
        <v>0</v>
      </c>
      <c r="AW2" s="3">
        <f>IFERROR(__xludf.DUMMYFUNCTION("""COMPUTED_VALUE"""),0.0)</f>
        <v>0</v>
      </c>
      <c r="AX2" s="3">
        <f>IFERROR(__xludf.DUMMYFUNCTION("""COMPUTED_VALUE"""),0.0)</f>
        <v>0</v>
      </c>
      <c r="AY2" s="3">
        <f>IFERROR(__xludf.DUMMYFUNCTION("""COMPUTED_VALUE"""),0.0)</f>
        <v>0</v>
      </c>
      <c r="AZ2" s="3">
        <f>IFERROR(__xludf.DUMMYFUNCTION("""COMPUTED_VALUE"""),0.0)</f>
        <v>0</v>
      </c>
      <c r="BA2" s="3">
        <f>IFERROR(__xludf.DUMMYFUNCTION("""COMPUTED_VALUE"""),0.0)</f>
        <v>0</v>
      </c>
      <c r="BB2" s="3">
        <f>IFERROR(__xludf.DUMMYFUNCTION("""COMPUTED_VALUE"""),0.0)</f>
        <v>0</v>
      </c>
      <c r="BC2" s="3">
        <f>IFERROR(__xludf.DUMMYFUNCTION("""COMPUTED_VALUE"""),0.0)</f>
        <v>0</v>
      </c>
      <c r="BD2" s="3">
        <f>IFERROR(__xludf.DUMMYFUNCTION("""COMPUTED_VALUE"""),0.0)</f>
        <v>0</v>
      </c>
      <c r="BE2" s="3">
        <f>IFERROR(__xludf.DUMMYFUNCTION("""COMPUTED_VALUE"""),0.0)</f>
        <v>0</v>
      </c>
      <c r="BF2" s="3">
        <f>IFERROR(__xludf.DUMMYFUNCTION("""COMPUTED_VALUE"""),0.0)</f>
        <v>0</v>
      </c>
      <c r="BG2" s="3">
        <f>IFERROR(__xludf.DUMMYFUNCTION("""COMPUTED_VALUE"""),1.0)</f>
        <v>1</v>
      </c>
      <c r="BH2" s="3">
        <f>IFERROR(__xludf.DUMMYFUNCTION("""COMPUTED_VALUE"""),1.0)</f>
        <v>1</v>
      </c>
      <c r="BI2" s="3">
        <f>IFERROR(__xludf.DUMMYFUNCTION("""COMPUTED_VALUE"""),1.0)</f>
        <v>1</v>
      </c>
      <c r="BJ2" s="3">
        <f>IFERROR(__xludf.DUMMYFUNCTION("""COMPUTED_VALUE"""),1.0)</f>
        <v>1</v>
      </c>
      <c r="BK2" s="3">
        <f>IFERROR(__xludf.DUMMYFUNCTION("""COMPUTED_VALUE"""),1.0)</f>
        <v>1</v>
      </c>
      <c r="BL2" s="3">
        <f>IFERROR(__xludf.DUMMYFUNCTION("""COMPUTED_VALUE"""),1.0)</f>
        <v>1</v>
      </c>
      <c r="BM2" s="3">
        <f>IFERROR(__xludf.DUMMYFUNCTION("""COMPUTED_VALUE"""),1.0)</f>
        <v>1</v>
      </c>
      <c r="BN2" s="3">
        <f>IFERROR(__xludf.DUMMYFUNCTION("""COMPUTED_VALUE"""),1.0)</f>
        <v>1</v>
      </c>
      <c r="BO2" s="3">
        <f>IFERROR(__xludf.DUMMYFUNCTION("""COMPUTED_VALUE"""),1.0)</f>
        <v>1</v>
      </c>
      <c r="BP2" s="3">
        <f>IFERROR(__xludf.DUMMYFUNCTION("""COMPUTED_VALUE"""),2.0)</f>
        <v>2</v>
      </c>
      <c r="BQ2" s="3">
        <f>IFERROR(__xludf.DUMMYFUNCTION("""COMPUTED_VALUE"""),2.0)</f>
        <v>2</v>
      </c>
      <c r="BR2" s="3">
        <f>IFERROR(__xludf.DUMMYFUNCTION("""COMPUTED_VALUE"""),2.0)</f>
        <v>2</v>
      </c>
      <c r="BS2" s="3">
        <f>IFERROR(__xludf.DUMMYFUNCTION("""COMPUTED_VALUE"""),2.0)</f>
        <v>2</v>
      </c>
      <c r="BT2" s="3">
        <f>IFERROR(__xludf.DUMMYFUNCTION("""COMPUTED_VALUE"""),2.0)</f>
        <v>2</v>
      </c>
      <c r="BU2" s="3">
        <f>IFERROR(__xludf.DUMMYFUNCTION("""COMPUTED_VALUE"""),2.0)</f>
        <v>2</v>
      </c>
      <c r="BV2" s="3">
        <f>IFERROR(__xludf.DUMMYFUNCTION("""COMPUTED_VALUE"""),5.0)</f>
        <v>5</v>
      </c>
      <c r="BW2" s="3">
        <f>IFERROR(__xludf.DUMMYFUNCTION("""COMPUTED_VALUE"""),5.0)</f>
        <v>5</v>
      </c>
      <c r="BX2" s="3">
        <f>IFERROR(__xludf.DUMMYFUNCTION("""COMPUTED_VALUE"""),10.0)</f>
        <v>10</v>
      </c>
      <c r="BY2" s="3">
        <f>IFERROR(__xludf.DUMMYFUNCTION("""COMPUTED_VALUE"""),10.0)</f>
        <v>10</v>
      </c>
      <c r="BZ2" s="3">
        <f>IFERROR(__xludf.DUMMYFUNCTION("""COMPUTED_VALUE"""),10.0)</f>
        <v>10</v>
      </c>
      <c r="CA2" s="3">
        <f>IFERROR(__xludf.DUMMYFUNCTION("""COMPUTED_VALUE"""),15.0)</f>
        <v>15</v>
      </c>
      <c r="CB2" s="3">
        <f>IFERROR(__xludf.DUMMYFUNCTION("""COMPUTED_VALUE"""),18.0)</f>
        <v>18</v>
      </c>
    </row>
    <row r="3">
      <c r="A3" s="3" t="str">
        <f>IFERROR(__xludf.DUMMYFUNCTION("""COMPUTED_VALUE"""),"")</f>
        <v/>
      </c>
      <c r="B3" s="3" t="str">
        <f>IFERROR(__xludf.DUMMYFUNCTION("""COMPUTED_VALUE"""),"Albania")</f>
        <v>Albania</v>
      </c>
      <c r="C3" s="3">
        <f>IFERROR(__xludf.DUMMYFUNCTION("""COMPUTED_VALUE"""),41.1533)</f>
        <v>41.1533</v>
      </c>
      <c r="D3" s="3">
        <f>IFERROR(__xludf.DUMMYFUNCTION("""COMPUTED_VALUE"""),20.1683)</f>
        <v>20.1683</v>
      </c>
      <c r="E3" s="3">
        <f>IFERROR(__xludf.DUMMYFUNCTION("""COMPUTED_VALUE"""),0.0)</f>
        <v>0</v>
      </c>
      <c r="F3" s="3">
        <f>IFERROR(__xludf.DUMMYFUNCTION("""COMPUTED_VALUE"""),0.0)</f>
        <v>0</v>
      </c>
      <c r="G3" s="3">
        <f>IFERROR(__xludf.DUMMYFUNCTION("""COMPUTED_VALUE"""),0.0)</f>
        <v>0</v>
      </c>
      <c r="H3" s="3">
        <f>IFERROR(__xludf.DUMMYFUNCTION("""COMPUTED_VALUE"""),0.0)</f>
        <v>0</v>
      </c>
      <c r="I3" s="3">
        <f>IFERROR(__xludf.DUMMYFUNCTION("""COMPUTED_VALUE"""),0.0)</f>
        <v>0</v>
      </c>
      <c r="J3" s="3">
        <f>IFERROR(__xludf.DUMMYFUNCTION("""COMPUTED_VALUE"""),0.0)</f>
        <v>0</v>
      </c>
      <c r="K3" s="3">
        <f>IFERROR(__xludf.DUMMYFUNCTION("""COMPUTED_VALUE"""),0.0)</f>
        <v>0</v>
      </c>
      <c r="L3" s="3">
        <f>IFERROR(__xludf.DUMMYFUNCTION("""COMPUTED_VALUE"""),0.0)</f>
        <v>0</v>
      </c>
      <c r="M3" s="3">
        <f>IFERROR(__xludf.DUMMYFUNCTION("""COMPUTED_VALUE"""),0.0)</f>
        <v>0</v>
      </c>
      <c r="N3" s="3">
        <f>IFERROR(__xludf.DUMMYFUNCTION("""COMPUTED_VALUE"""),0.0)</f>
        <v>0</v>
      </c>
      <c r="O3" s="3">
        <f>IFERROR(__xludf.DUMMYFUNCTION("""COMPUTED_VALUE"""),0.0)</f>
        <v>0</v>
      </c>
      <c r="P3" s="3">
        <f>IFERROR(__xludf.DUMMYFUNCTION("""COMPUTED_VALUE"""),0.0)</f>
        <v>0</v>
      </c>
      <c r="Q3" s="3">
        <f>IFERROR(__xludf.DUMMYFUNCTION("""COMPUTED_VALUE"""),0.0)</f>
        <v>0</v>
      </c>
      <c r="R3" s="3">
        <f>IFERROR(__xludf.DUMMYFUNCTION("""COMPUTED_VALUE"""),0.0)</f>
        <v>0</v>
      </c>
      <c r="S3" s="3">
        <f>IFERROR(__xludf.DUMMYFUNCTION("""COMPUTED_VALUE"""),0.0)</f>
        <v>0</v>
      </c>
      <c r="T3" s="3">
        <f>IFERROR(__xludf.DUMMYFUNCTION("""COMPUTED_VALUE"""),0.0)</f>
        <v>0</v>
      </c>
      <c r="U3" s="3">
        <f>IFERROR(__xludf.DUMMYFUNCTION("""COMPUTED_VALUE"""),0.0)</f>
        <v>0</v>
      </c>
      <c r="V3" s="3">
        <f>IFERROR(__xludf.DUMMYFUNCTION("""COMPUTED_VALUE"""),0.0)</f>
        <v>0</v>
      </c>
      <c r="W3" s="3">
        <f>IFERROR(__xludf.DUMMYFUNCTION("""COMPUTED_VALUE"""),0.0)</f>
        <v>0</v>
      </c>
      <c r="X3" s="3">
        <f>IFERROR(__xludf.DUMMYFUNCTION("""COMPUTED_VALUE"""),0.0)</f>
        <v>0</v>
      </c>
      <c r="Y3" s="3">
        <f>IFERROR(__xludf.DUMMYFUNCTION("""COMPUTED_VALUE"""),0.0)</f>
        <v>0</v>
      </c>
      <c r="Z3" s="3">
        <f>IFERROR(__xludf.DUMMYFUNCTION("""COMPUTED_VALUE"""),0.0)</f>
        <v>0</v>
      </c>
      <c r="AA3" s="3">
        <f>IFERROR(__xludf.DUMMYFUNCTION("""COMPUTED_VALUE"""),0.0)</f>
        <v>0</v>
      </c>
      <c r="AB3" s="3">
        <f>IFERROR(__xludf.DUMMYFUNCTION("""COMPUTED_VALUE"""),0.0)</f>
        <v>0</v>
      </c>
      <c r="AC3" s="3">
        <f>IFERROR(__xludf.DUMMYFUNCTION("""COMPUTED_VALUE"""),0.0)</f>
        <v>0</v>
      </c>
      <c r="AD3" s="3">
        <f>IFERROR(__xludf.DUMMYFUNCTION("""COMPUTED_VALUE"""),0.0)</f>
        <v>0</v>
      </c>
      <c r="AE3" s="3">
        <f>IFERROR(__xludf.DUMMYFUNCTION("""COMPUTED_VALUE"""),0.0)</f>
        <v>0</v>
      </c>
      <c r="AF3" s="3">
        <f>IFERROR(__xludf.DUMMYFUNCTION("""COMPUTED_VALUE"""),0.0)</f>
        <v>0</v>
      </c>
      <c r="AG3" s="3">
        <f>IFERROR(__xludf.DUMMYFUNCTION("""COMPUTED_VALUE"""),0.0)</f>
        <v>0</v>
      </c>
      <c r="AH3" s="3">
        <f>IFERROR(__xludf.DUMMYFUNCTION("""COMPUTED_VALUE"""),0.0)</f>
        <v>0</v>
      </c>
      <c r="AI3" s="3">
        <f>IFERROR(__xludf.DUMMYFUNCTION("""COMPUTED_VALUE"""),0.0)</f>
        <v>0</v>
      </c>
      <c r="AJ3" s="3">
        <f>IFERROR(__xludf.DUMMYFUNCTION("""COMPUTED_VALUE"""),0.0)</f>
        <v>0</v>
      </c>
      <c r="AK3" s="3">
        <f>IFERROR(__xludf.DUMMYFUNCTION("""COMPUTED_VALUE"""),0.0)</f>
        <v>0</v>
      </c>
      <c r="AL3" s="3">
        <f>IFERROR(__xludf.DUMMYFUNCTION("""COMPUTED_VALUE"""),0.0)</f>
        <v>0</v>
      </c>
      <c r="AM3" s="3">
        <f>IFERROR(__xludf.DUMMYFUNCTION("""COMPUTED_VALUE"""),0.0)</f>
        <v>0</v>
      </c>
      <c r="AN3" s="3">
        <f>IFERROR(__xludf.DUMMYFUNCTION("""COMPUTED_VALUE"""),0.0)</f>
        <v>0</v>
      </c>
      <c r="AO3" s="3">
        <f>IFERROR(__xludf.DUMMYFUNCTION("""COMPUTED_VALUE"""),0.0)</f>
        <v>0</v>
      </c>
      <c r="AP3" s="3">
        <f>IFERROR(__xludf.DUMMYFUNCTION("""COMPUTED_VALUE"""),0.0)</f>
        <v>0</v>
      </c>
      <c r="AQ3" s="3">
        <f>IFERROR(__xludf.DUMMYFUNCTION("""COMPUTED_VALUE"""),0.0)</f>
        <v>0</v>
      </c>
      <c r="AR3" s="3">
        <f>IFERROR(__xludf.DUMMYFUNCTION("""COMPUTED_VALUE"""),0.0)</f>
        <v>0</v>
      </c>
      <c r="AS3" s="3">
        <f>IFERROR(__xludf.DUMMYFUNCTION("""COMPUTED_VALUE"""),0.0)</f>
        <v>0</v>
      </c>
      <c r="AT3" s="3">
        <f>IFERROR(__xludf.DUMMYFUNCTION("""COMPUTED_VALUE"""),0.0)</f>
        <v>0</v>
      </c>
      <c r="AU3" s="3">
        <f>IFERROR(__xludf.DUMMYFUNCTION("""COMPUTED_VALUE"""),0.0)</f>
        <v>0</v>
      </c>
      <c r="AV3" s="3">
        <f>IFERROR(__xludf.DUMMYFUNCTION("""COMPUTED_VALUE"""),0.0)</f>
        <v>0</v>
      </c>
      <c r="AW3" s="3">
        <f>IFERROR(__xludf.DUMMYFUNCTION("""COMPUTED_VALUE"""),0.0)</f>
        <v>0</v>
      </c>
      <c r="AX3" s="3">
        <f>IFERROR(__xludf.DUMMYFUNCTION("""COMPUTED_VALUE"""),0.0)</f>
        <v>0</v>
      </c>
      <c r="AY3" s="3">
        <f>IFERROR(__xludf.DUMMYFUNCTION("""COMPUTED_VALUE"""),0.0)</f>
        <v>0</v>
      </c>
      <c r="AZ3" s="3">
        <f>IFERROR(__xludf.DUMMYFUNCTION("""COMPUTED_VALUE"""),0.0)</f>
        <v>0</v>
      </c>
      <c r="BA3" s="3">
        <f>IFERROR(__xludf.DUMMYFUNCTION("""COMPUTED_VALUE"""),0.0)</f>
        <v>0</v>
      </c>
      <c r="BB3" s="3">
        <f>IFERROR(__xludf.DUMMYFUNCTION("""COMPUTED_VALUE"""),0.0)</f>
        <v>0</v>
      </c>
      <c r="BC3" s="3">
        <f>IFERROR(__xludf.DUMMYFUNCTION("""COMPUTED_VALUE"""),0.0)</f>
        <v>0</v>
      </c>
      <c r="BD3" s="3">
        <f>IFERROR(__xludf.DUMMYFUNCTION("""COMPUTED_VALUE"""),0.0)</f>
        <v>0</v>
      </c>
      <c r="BE3" s="3">
        <f>IFERROR(__xludf.DUMMYFUNCTION("""COMPUTED_VALUE"""),0.0)</f>
        <v>0</v>
      </c>
      <c r="BF3" s="3">
        <f>IFERROR(__xludf.DUMMYFUNCTION("""COMPUTED_VALUE"""),0.0)</f>
        <v>0</v>
      </c>
      <c r="BG3" s="3">
        <f>IFERROR(__xludf.DUMMYFUNCTION("""COMPUTED_VALUE"""),0.0)</f>
        <v>0</v>
      </c>
      <c r="BH3" s="3">
        <f>IFERROR(__xludf.DUMMYFUNCTION("""COMPUTED_VALUE"""),0.0)</f>
        <v>0</v>
      </c>
      <c r="BI3" s="3">
        <f>IFERROR(__xludf.DUMMYFUNCTION("""COMPUTED_VALUE"""),0.0)</f>
        <v>0</v>
      </c>
      <c r="BJ3" s="3">
        <f>IFERROR(__xludf.DUMMYFUNCTION("""COMPUTED_VALUE"""),0.0)</f>
        <v>0</v>
      </c>
      <c r="BK3" s="3">
        <f>IFERROR(__xludf.DUMMYFUNCTION("""COMPUTED_VALUE"""),0.0)</f>
        <v>0</v>
      </c>
      <c r="BL3" s="3">
        <f>IFERROR(__xludf.DUMMYFUNCTION("""COMPUTED_VALUE"""),2.0)</f>
        <v>2</v>
      </c>
      <c r="BM3" s="3">
        <f>IFERROR(__xludf.DUMMYFUNCTION("""COMPUTED_VALUE"""),2.0)</f>
        <v>2</v>
      </c>
      <c r="BN3" s="3">
        <f>IFERROR(__xludf.DUMMYFUNCTION("""COMPUTED_VALUE"""),2.0)</f>
        <v>2</v>
      </c>
      <c r="BO3" s="3">
        <f>IFERROR(__xludf.DUMMYFUNCTION("""COMPUTED_VALUE"""),10.0)</f>
        <v>10</v>
      </c>
      <c r="BP3" s="3">
        <f>IFERROR(__xludf.DUMMYFUNCTION("""COMPUTED_VALUE"""),17.0)</f>
        <v>17</v>
      </c>
      <c r="BQ3" s="3">
        <f>IFERROR(__xludf.DUMMYFUNCTION("""COMPUTED_VALUE"""),17.0)</f>
        <v>17</v>
      </c>
      <c r="BR3" s="3">
        <f>IFERROR(__xludf.DUMMYFUNCTION("""COMPUTED_VALUE"""),31.0)</f>
        <v>31</v>
      </c>
      <c r="BS3" s="3">
        <f>IFERROR(__xludf.DUMMYFUNCTION("""COMPUTED_VALUE"""),31.0)</f>
        <v>31</v>
      </c>
      <c r="BT3" s="3">
        <f>IFERROR(__xludf.DUMMYFUNCTION("""COMPUTED_VALUE"""),33.0)</f>
        <v>33</v>
      </c>
      <c r="BU3" s="3">
        <f>IFERROR(__xludf.DUMMYFUNCTION("""COMPUTED_VALUE"""),44.0)</f>
        <v>44</v>
      </c>
      <c r="BV3" s="3">
        <f>IFERROR(__xludf.DUMMYFUNCTION("""COMPUTED_VALUE"""),52.0)</f>
        <v>52</v>
      </c>
      <c r="BW3" s="3">
        <f>IFERROR(__xludf.DUMMYFUNCTION("""COMPUTED_VALUE"""),67.0)</f>
        <v>67</v>
      </c>
      <c r="BX3" s="3">
        <f>IFERROR(__xludf.DUMMYFUNCTION("""COMPUTED_VALUE"""),76.0)</f>
        <v>76</v>
      </c>
      <c r="BY3" s="3">
        <f>IFERROR(__xludf.DUMMYFUNCTION("""COMPUTED_VALUE"""),89.0)</f>
        <v>89</v>
      </c>
      <c r="BZ3" s="3">
        <f>IFERROR(__xludf.DUMMYFUNCTION("""COMPUTED_VALUE"""),99.0)</f>
        <v>99</v>
      </c>
      <c r="CA3" s="3">
        <f>IFERROR(__xludf.DUMMYFUNCTION("""COMPUTED_VALUE"""),104.0)</f>
        <v>104</v>
      </c>
      <c r="CB3" s="3">
        <f>IFERROR(__xludf.DUMMYFUNCTION("""COMPUTED_VALUE"""),116.0)</f>
        <v>116</v>
      </c>
    </row>
    <row r="4">
      <c r="A4" s="3" t="str">
        <f>IFERROR(__xludf.DUMMYFUNCTION("""COMPUTED_VALUE"""),"")</f>
        <v/>
      </c>
      <c r="B4" s="3" t="str">
        <f>IFERROR(__xludf.DUMMYFUNCTION("""COMPUTED_VALUE"""),"Algeria")</f>
        <v>Algeria</v>
      </c>
      <c r="C4" s="3">
        <f>IFERROR(__xludf.DUMMYFUNCTION("""COMPUTED_VALUE"""),28.0339)</f>
        <v>28.0339</v>
      </c>
      <c r="D4" s="3">
        <f>IFERROR(__xludf.DUMMYFUNCTION("""COMPUTED_VALUE"""),1.6596)</f>
        <v>1.6596</v>
      </c>
      <c r="E4" s="3">
        <f>IFERROR(__xludf.DUMMYFUNCTION("""COMPUTED_VALUE"""),0.0)</f>
        <v>0</v>
      </c>
      <c r="F4" s="3">
        <f>IFERROR(__xludf.DUMMYFUNCTION("""COMPUTED_VALUE"""),0.0)</f>
        <v>0</v>
      </c>
      <c r="G4" s="3">
        <f>IFERROR(__xludf.DUMMYFUNCTION("""COMPUTED_VALUE"""),0.0)</f>
        <v>0</v>
      </c>
      <c r="H4" s="3">
        <f>IFERROR(__xludf.DUMMYFUNCTION("""COMPUTED_VALUE"""),0.0)</f>
        <v>0</v>
      </c>
      <c r="I4" s="3">
        <f>IFERROR(__xludf.DUMMYFUNCTION("""COMPUTED_VALUE"""),0.0)</f>
        <v>0</v>
      </c>
      <c r="J4" s="3">
        <f>IFERROR(__xludf.DUMMYFUNCTION("""COMPUTED_VALUE"""),0.0)</f>
        <v>0</v>
      </c>
      <c r="K4" s="3">
        <f>IFERROR(__xludf.DUMMYFUNCTION("""COMPUTED_VALUE"""),0.0)</f>
        <v>0</v>
      </c>
      <c r="L4" s="3">
        <f>IFERROR(__xludf.DUMMYFUNCTION("""COMPUTED_VALUE"""),0.0)</f>
        <v>0</v>
      </c>
      <c r="M4" s="3">
        <f>IFERROR(__xludf.DUMMYFUNCTION("""COMPUTED_VALUE"""),0.0)</f>
        <v>0</v>
      </c>
      <c r="N4" s="3">
        <f>IFERROR(__xludf.DUMMYFUNCTION("""COMPUTED_VALUE"""),0.0)</f>
        <v>0</v>
      </c>
      <c r="O4" s="3">
        <f>IFERROR(__xludf.DUMMYFUNCTION("""COMPUTED_VALUE"""),0.0)</f>
        <v>0</v>
      </c>
      <c r="P4" s="3">
        <f>IFERROR(__xludf.DUMMYFUNCTION("""COMPUTED_VALUE"""),0.0)</f>
        <v>0</v>
      </c>
      <c r="Q4" s="3">
        <f>IFERROR(__xludf.DUMMYFUNCTION("""COMPUTED_VALUE"""),0.0)</f>
        <v>0</v>
      </c>
      <c r="R4" s="3">
        <f>IFERROR(__xludf.DUMMYFUNCTION("""COMPUTED_VALUE"""),0.0)</f>
        <v>0</v>
      </c>
      <c r="S4" s="3">
        <f>IFERROR(__xludf.DUMMYFUNCTION("""COMPUTED_VALUE"""),0.0)</f>
        <v>0</v>
      </c>
      <c r="T4" s="3">
        <f>IFERROR(__xludf.DUMMYFUNCTION("""COMPUTED_VALUE"""),0.0)</f>
        <v>0</v>
      </c>
      <c r="U4" s="3">
        <f>IFERROR(__xludf.DUMMYFUNCTION("""COMPUTED_VALUE"""),0.0)</f>
        <v>0</v>
      </c>
      <c r="V4" s="3">
        <f>IFERROR(__xludf.DUMMYFUNCTION("""COMPUTED_VALUE"""),0.0)</f>
        <v>0</v>
      </c>
      <c r="W4" s="3">
        <f>IFERROR(__xludf.DUMMYFUNCTION("""COMPUTED_VALUE"""),0.0)</f>
        <v>0</v>
      </c>
      <c r="X4" s="3">
        <f>IFERROR(__xludf.DUMMYFUNCTION("""COMPUTED_VALUE"""),0.0)</f>
        <v>0</v>
      </c>
      <c r="Y4" s="3">
        <f>IFERROR(__xludf.DUMMYFUNCTION("""COMPUTED_VALUE"""),0.0)</f>
        <v>0</v>
      </c>
      <c r="Z4" s="3">
        <f>IFERROR(__xludf.DUMMYFUNCTION("""COMPUTED_VALUE"""),0.0)</f>
        <v>0</v>
      </c>
      <c r="AA4" s="3">
        <f>IFERROR(__xludf.DUMMYFUNCTION("""COMPUTED_VALUE"""),0.0)</f>
        <v>0</v>
      </c>
      <c r="AB4" s="3">
        <f>IFERROR(__xludf.DUMMYFUNCTION("""COMPUTED_VALUE"""),0.0)</f>
        <v>0</v>
      </c>
      <c r="AC4" s="3">
        <f>IFERROR(__xludf.DUMMYFUNCTION("""COMPUTED_VALUE"""),0.0)</f>
        <v>0</v>
      </c>
      <c r="AD4" s="3">
        <f>IFERROR(__xludf.DUMMYFUNCTION("""COMPUTED_VALUE"""),0.0)</f>
        <v>0</v>
      </c>
      <c r="AE4" s="3">
        <f>IFERROR(__xludf.DUMMYFUNCTION("""COMPUTED_VALUE"""),0.0)</f>
        <v>0</v>
      </c>
      <c r="AF4" s="3">
        <f>IFERROR(__xludf.DUMMYFUNCTION("""COMPUTED_VALUE"""),0.0)</f>
        <v>0</v>
      </c>
      <c r="AG4" s="3">
        <f>IFERROR(__xludf.DUMMYFUNCTION("""COMPUTED_VALUE"""),0.0)</f>
        <v>0</v>
      </c>
      <c r="AH4" s="3">
        <f>IFERROR(__xludf.DUMMYFUNCTION("""COMPUTED_VALUE"""),0.0)</f>
        <v>0</v>
      </c>
      <c r="AI4" s="3">
        <f>IFERROR(__xludf.DUMMYFUNCTION("""COMPUTED_VALUE"""),0.0)</f>
        <v>0</v>
      </c>
      <c r="AJ4" s="3">
        <f>IFERROR(__xludf.DUMMYFUNCTION("""COMPUTED_VALUE"""),0.0)</f>
        <v>0</v>
      </c>
      <c r="AK4" s="3">
        <f>IFERROR(__xludf.DUMMYFUNCTION("""COMPUTED_VALUE"""),0.0)</f>
        <v>0</v>
      </c>
      <c r="AL4" s="3">
        <f>IFERROR(__xludf.DUMMYFUNCTION("""COMPUTED_VALUE"""),0.0)</f>
        <v>0</v>
      </c>
      <c r="AM4" s="3">
        <f>IFERROR(__xludf.DUMMYFUNCTION("""COMPUTED_VALUE"""),0.0)</f>
        <v>0</v>
      </c>
      <c r="AN4" s="3">
        <f>IFERROR(__xludf.DUMMYFUNCTION("""COMPUTED_VALUE"""),0.0)</f>
        <v>0</v>
      </c>
      <c r="AO4" s="3">
        <f>IFERROR(__xludf.DUMMYFUNCTION("""COMPUTED_VALUE"""),0.0)</f>
        <v>0</v>
      </c>
      <c r="AP4" s="3">
        <f>IFERROR(__xludf.DUMMYFUNCTION("""COMPUTED_VALUE"""),0.0)</f>
        <v>0</v>
      </c>
      <c r="AQ4" s="3">
        <f>IFERROR(__xludf.DUMMYFUNCTION("""COMPUTED_VALUE"""),0.0)</f>
        <v>0</v>
      </c>
      <c r="AR4" s="3">
        <f>IFERROR(__xludf.DUMMYFUNCTION("""COMPUTED_VALUE"""),0.0)</f>
        <v>0</v>
      </c>
      <c r="AS4" s="3">
        <f>IFERROR(__xludf.DUMMYFUNCTION("""COMPUTED_VALUE"""),0.0)</f>
        <v>0</v>
      </c>
      <c r="AT4" s="3">
        <f>IFERROR(__xludf.DUMMYFUNCTION("""COMPUTED_VALUE"""),0.0)</f>
        <v>0</v>
      </c>
      <c r="AU4" s="3">
        <f>IFERROR(__xludf.DUMMYFUNCTION("""COMPUTED_VALUE"""),0.0)</f>
        <v>0</v>
      </c>
      <c r="AV4" s="3">
        <f>IFERROR(__xludf.DUMMYFUNCTION("""COMPUTED_VALUE"""),0.0)</f>
        <v>0</v>
      </c>
      <c r="AW4" s="3">
        <f>IFERROR(__xludf.DUMMYFUNCTION("""COMPUTED_VALUE"""),0.0)</f>
        <v>0</v>
      </c>
      <c r="AX4" s="3">
        <f>IFERROR(__xludf.DUMMYFUNCTION("""COMPUTED_VALUE"""),0.0)</f>
        <v>0</v>
      </c>
      <c r="AY4" s="3">
        <f>IFERROR(__xludf.DUMMYFUNCTION("""COMPUTED_VALUE"""),0.0)</f>
        <v>0</v>
      </c>
      <c r="AZ4" s="3">
        <f>IFERROR(__xludf.DUMMYFUNCTION("""COMPUTED_VALUE"""),0.0)</f>
        <v>0</v>
      </c>
      <c r="BA4" s="3">
        <f>IFERROR(__xludf.DUMMYFUNCTION("""COMPUTED_VALUE"""),0.0)</f>
        <v>0</v>
      </c>
      <c r="BB4" s="3">
        <f>IFERROR(__xludf.DUMMYFUNCTION("""COMPUTED_VALUE"""),0.0)</f>
        <v>0</v>
      </c>
      <c r="BC4" s="3">
        <f>IFERROR(__xludf.DUMMYFUNCTION("""COMPUTED_VALUE"""),8.0)</f>
        <v>8</v>
      </c>
      <c r="BD4" s="3">
        <f>IFERROR(__xludf.DUMMYFUNCTION("""COMPUTED_VALUE"""),8.0)</f>
        <v>8</v>
      </c>
      <c r="BE4" s="3">
        <f>IFERROR(__xludf.DUMMYFUNCTION("""COMPUTED_VALUE"""),12.0)</f>
        <v>12</v>
      </c>
      <c r="BF4" s="3">
        <f>IFERROR(__xludf.DUMMYFUNCTION("""COMPUTED_VALUE"""),12.0)</f>
        <v>12</v>
      </c>
      <c r="BG4" s="3">
        <f>IFERROR(__xludf.DUMMYFUNCTION("""COMPUTED_VALUE"""),12.0)</f>
        <v>12</v>
      </c>
      <c r="BH4" s="3">
        <f>IFERROR(__xludf.DUMMYFUNCTION("""COMPUTED_VALUE"""),12.0)</f>
        <v>12</v>
      </c>
      <c r="BI4" s="3">
        <f>IFERROR(__xludf.DUMMYFUNCTION("""COMPUTED_VALUE"""),12.0)</f>
        <v>12</v>
      </c>
      <c r="BJ4" s="3">
        <f>IFERROR(__xludf.DUMMYFUNCTION("""COMPUTED_VALUE"""),32.0)</f>
        <v>32</v>
      </c>
      <c r="BK4" s="3">
        <f>IFERROR(__xludf.DUMMYFUNCTION("""COMPUTED_VALUE"""),32.0)</f>
        <v>32</v>
      </c>
      <c r="BL4" s="3">
        <f>IFERROR(__xludf.DUMMYFUNCTION("""COMPUTED_VALUE"""),32.0)</f>
        <v>32</v>
      </c>
      <c r="BM4" s="3">
        <f>IFERROR(__xludf.DUMMYFUNCTION("""COMPUTED_VALUE"""),65.0)</f>
        <v>65</v>
      </c>
      <c r="BN4" s="3">
        <f>IFERROR(__xludf.DUMMYFUNCTION("""COMPUTED_VALUE"""),65.0)</f>
        <v>65</v>
      </c>
      <c r="BO4" s="3">
        <f>IFERROR(__xludf.DUMMYFUNCTION("""COMPUTED_VALUE"""),24.0)</f>
        <v>24</v>
      </c>
      <c r="BP4" s="3">
        <f>IFERROR(__xludf.DUMMYFUNCTION("""COMPUTED_VALUE"""),65.0)</f>
        <v>65</v>
      </c>
      <c r="BQ4" s="3">
        <f>IFERROR(__xludf.DUMMYFUNCTION("""COMPUTED_VALUE"""),29.0)</f>
        <v>29</v>
      </c>
      <c r="BR4" s="3">
        <f>IFERROR(__xludf.DUMMYFUNCTION("""COMPUTED_VALUE"""),29.0)</f>
        <v>29</v>
      </c>
      <c r="BS4" s="3">
        <f>IFERROR(__xludf.DUMMYFUNCTION("""COMPUTED_VALUE"""),31.0)</f>
        <v>31</v>
      </c>
      <c r="BT4" s="3">
        <f>IFERROR(__xludf.DUMMYFUNCTION("""COMPUTED_VALUE"""),31.0)</f>
        <v>31</v>
      </c>
      <c r="BU4" s="3">
        <f>IFERROR(__xludf.DUMMYFUNCTION("""COMPUTED_VALUE"""),37.0)</f>
        <v>37</v>
      </c>
      <c r="BV4" s="3">
        <f>IFERROR(__xludf.DUMMYFUNCTION("""COMPUTED_VALUE"""),46.0)</f>
        <v>46</v>
      </c>
      <c r="BW4" s="3">
        <f>IFERROR(__xludf.DUMMYFUNCTION("""COMPUTED_VALUE"""),61.0)</f>
        <v>61</v>
      </c>
      <c r="BX4" s="3">
        <f>IFERROR(__xludf.DUMMYFUNCTION("""COMPUTED_VALUE"""),61.0)</f>
        <v>61</v>
      </c>
      <c r="BY4" s="3">
        <f>IFERROR(__xludf.DUMMYFUNCTION("""COMPUTED_VALUE"""),62.0)</f>
        <v>62</v>
      </c>
      <c r="BZ4" s="3">
        <f>IFERROR(__xludf.DUMMYFUNCTION("""COMPUTED_VALUE"""),90.0)</f>
        <v>90</v>
      </c>
      <c r="CA4" s="3">
        <f>IFERROR(__xludf.DUMMYFUNCTION("""COMPUTED_VALUE"""),90.0)</f>
        <v>90</v>
      </c>
      <c r="CB4" s="3">
        <f>IFERROR(__xludf.DUMMYFUNCTION("""COMPUTED_VALUE"""),90.0)</f>
        <v>90</v>
      </c>
    </row>
    <row r="5">
      <c r="A5" s="3" t="str">
        <f>IFERROR(__xludf.DUMMYFUNCTION("""COMPUTED_VALUE"""),"")</f>
        <v/>
      </c>
      <c r="B5" s="3" t="str">
        <f>IFERROR(__xludf.DUMMYFUNCTION("""COMPUTED_VALUE"""),"Andorra")</f>
        <v>Andorra</v>
      </c>
      <c r="C5" s="3">
        <f>IFERROR(__xludf.DUMMYFUNCTION("""COMPUTED_VALUE"""),42.5063)</f>
        <v>42.5063</v>
      </c>
      <c r="D5" s="3">
        <f>IFERROR(__xludf.DUMMYFUNCTION("""COMPUTED_VALUE"""),1.5218)</f>
        <v>1.5218</v>
      </c>
      <c r="E5" s="3">
        <f>IFERROR(__xludf.DUMMYFUNCTION("""COMPUTED_VALUE"""),0.0)</f>
        <v>0</v>
      </c>
      <c r="F5" s="3">
        <f>IFERROR(__xludf.DUMMYFUNCTION("""COMPUTED_VALUE"""),0.0)</f>
        <v>0</v>
      </c>
      <c r="G5" s="3">
        <f>IFERROR(__xludf.DUMMYFUNCTION("""COMPUTED_VALUE"""),0.0)</f>
        <v>0</v>
      </c>
      <c r="H5" s="3">
        <f>IFERROR(__xludf.DUMMYFUNCTION("""COMPUTED_VALUE"""),0.0)</f>
        <v>0</v>
      </c>
      <c r="I5" s="3">
        <f>IFERROR(__xludf.DUMMYFUNCTION("""COMPUTED_VALUE"""),0.0)</f>
        <v>0</v>
      </c>
      <c r="J5" s="3">
        <f>IFERROR(__xludf.DUMMYFUNCTION("""COMPUTED_VALUE"""),0.0)</f>
        <v>0</v>
      </c>
      <c r="K5" s="3">
        <f>IFERROR(__xludf.DUMMYFUNCTION("""COMPUTED_VALUE"""),0.0)</f>
        <v>0</v>
      </c>
      <c r="L5" s="3">
        <f>IFERROR(__xludf.DUMMYFUNCTION("""COMPUTED_VALUE"""),0.0)</f>
        <v>0</v>
      </c>
      <c r="M5" s="3">
        <f>IFERROR(__xludf.DUMMYFUNCTION("""COMPUTED_VALUE"""),0.0)</f>
        <v>0</v>
      </c>
      <c r="N5" s="3">
        <f>IFERROR(__xludf.DUMMYFUNCTION("""COMPUTED_VALUE"""),0.0)</f>
        <v>0</v>
      </c>
      <c r="O5" s="3">
        <f>IFERROR(__xludf.DUMMYFUNCTION("""COMPUTED_VALUE"""),0.0)</f>
        <v>0</v>
      </c>
      <c r="P5" s="3">
        <f>IFERROR(__xludf.DUMMYFUNCTION("""COMPUTED_VALUE"""),0.0)</f>
        <v>0</v>
      </c>
      <c r="Q5" s="3">
        <f>IFERROR(__xludf.DUMMYFUNCTION("""COMPUTED_VALUE"""),0.0)</f>
        <v>0</v>
      </c>
      <c r="R5" s="3">
        <f>IFERROR(__xludf.DUMMYFUNCTION("""COMPUTED_VALUE"""),0.0)</f>
        <v>0</v>
      </c>
      <c r="S5" s="3">
        <f>IFERROR(__xludf.DUMMYFUNCTION("""COMPUTED_VALUE"""),0.0)</f>
        <v>0</v>
      </c>
      <c r="T5" s="3">
        <f>IFERROR(__xludf.DUMMYFUNCTION("""COMPUTED_VALUE"""),0.0)</f>
        <v>0</v>
      </c>
      <c r="U5" s="3">
        <f>IFERROR(__xludf.DUMMYFUNCTION("""COMPUTED_VALUE"""),0.0)</f>
        <v>0</v>
      </c>
      <c r="V5" s="3">
        <f>IFERROR(__xludf.DUMMYFUNCTION("""COMPUTED_VALUE"""),0.0)</f>
        <v>0</v>
      </c>
      <c r="W5" s="3">
        <f>IFERROR(__xludf.DUMMYFUNCTION("""COMPUTED_VALUE"""),0.0)</f>
        <v>0</v>
      </c>
      <c r="X5" s="3">
        <f>IFERROR(__xludf.DUMMYFUNCTION("""COMPUTED_VALUE"""),0.0)</f>
        <v>0</v>
      </c>
      <c r="Y5" s="3">
        <f>IFERROR(__xludf.DUMMYFUNCTION("""COMPUTED_VALUE"""),0.0)</f>
        <v>0</v>
      </c>
      <c r="Z5" s="3">
        <f>IFERROR(__xludf.DUMMYFUNCTION("""COMPUTED_VALUE"""),0.0)</f>
        <v>0</v>
      </c>
      <c r="AA5" s="3">
        <f>IFERROR(__xludf.DUMMYFUNCTION("""COMPUTED_VALUE"""),0.0)</f>
        <v>0</v>
      </c>
      <c r="AB5" s="3">
        <f>IFERROR(__xludf.DUMMYFUNCTION("""COMPUTED_VALUE"""),0.0)</f>
        <v>0</v>
      </c>
      <c r="AC5" s="3">
        <f>IFERROR(__xludf.DUMMYFUNCTION("""COMPUTED_VALUE"""),0.0)</f>
        <v>0</v>
      </c>
      <c r="AD5" s="3">
        <f>IFERROR(__xludf.DUMMYFUNCTION("""COMPUTED_VALUE"""),0.0)</f>
        <v>0</v>
      </c>
      <c r="AE5" s="3">
        <f>IFERROR(__xludf.DUMMYFUNCTION("""COMPUTED_VALUE"""),0.0)</f>
        <v>0</v>
      </c>
      <c r="AF5" s="3">
        <f>IFERROR(__xludf.DUMMYFUNCTION("""COMPUTED_VALUE"""),0.0)</f>
        <v>0</v>
      </c>
      <c r="AG5" s="3">
        <f>IFERROR(__xludf.DUMMYFUNCTION("""COMPUTED_VALUE"""),0.0)</f>
        <v>0</v>
      </c>
      <c r="AH5" s="3">
        <f>IFERROR(__xludf.DUMMYFUNCTION("""COMPUTED_VALUE"""),0.0)</f>
        <v>0</v>
      </c>
      <c r="AI5" s="3">
        <f>IFERROR(__xludf.DUMMYFUNCTION("""COMPUTED_VALUE"""),0.0)</f>
        <v>0</v>
      </c>
      <c r="AJ5" s="3">
        <f>IFERROR(__xludf.DUMMYFUNCTION("""COMPUTED_VALUE"""),0.0)</f>
        <v>0</v>
      </c>
      <c r="AK5" s="3">
        <f>IFERROR(__xludf.DUMMYFUNCTION("""COMPUTED_VALUE"""),0.0)</f>
        <v>0</v>
      </c>
      <c r="AL5" s="3">
        <f>IFERROR(__xludf.DUMMYFUNCTION("""COMPUTED_VALUE"""),0.0)</f>
        <v>0</v>
      </c>
      <c r="AM5" s="3">
        <f>IFERROR(__xludf.DUMMYFUNCTION("""COMPUTED_VALUE"""),0.0)</f>
        <v>0</v>
      </c>
      <c r="AN5" s="3">
        <f>IFERROR(__xludf.DUMMYFUNCTION("""COMPUTED_VALUE"""),0.0)</f>
        <v>0</v>
      </c>
      <c r="AO5" s="3">
        <f>IFERROR(__xludf.DUMMYFUNCTION("""COMPUTED_VALUE"""),0.0)</f>
        <v>0</v>
      </c>
      <c r="AP5" s="3">
        <f>IFERROR(__xludf.DUMMYFUNCTION("""COMPUTED_VALUE"""),0.0)</f>
        <v>0</v>
      </c>
      <c r="AQ5" s="3">
        <f>IFERROR(__xludf.DUMMYFUNCTION("""COMPUTED_VALUE"""),0.0)</f>
        <v>0</v>
      </c>
      <c r="AR5" s="3">
        <f>IFERROR(__xludf.DUMMYFUNCTION("""COMPUTED_VALUE"""),0.0)</f>
        <v>0</v>
      </c>
      <c r="AS5" s="3">
        <f>IFERROR(__xludf.DUMMYFUNCTION("""COMPUTED_VALUE"""),0.0)</f>
        <v>0</v>
      </c>
      <c r="AT5" s="3">
        <f>IFERROR(__xludf.DUMMYFUNCTION("""COMPUTED_VALUE"""),0.0)</f>
        <v>0</v>
      </c>
      <c r="AU5" s="3">
        <f>IFERROR(__xludf.DUMMYFUNCTION("""COMPUTED_VALUE"""),0.0)</f>
        <v>0</v>
      </c>
      <c r="AV5" s="3">
        <f>IFERROR(__xludf.DUMMYFUNCTION("""COMPUTED_VALUE"""),0.0)</f>
        <v>0</v>
      </c>
      <c r="AW5" s="3">
        <f>IFERROR(__xludf.DUMMYFUNCTION("""COMPUTED_VALUE"""),0.0)</f>
        <v>0</v>
      </c>
      <c r="AX5" s="3">
        <f>IFERROR(__xludf.DUMMYFUNCTION("""COMPUTED_VALUE"""),0.0)</f>
        <v>0</v>
      </c>
      <c r="AY5" s="3">
        <f>IFERROR(__xludf.DUMMYFUNCTION("""COMPUTED_VALUE"""),0.0)</f>
        <v>0</v>
      </c>
      <c r="AZ5" s="3">
        <f>IFERROR(__xludf.DUMMYFUNCTION("""COMPUTED_VALUE"""),0.0)</f>
        <v>0</v>
      </c>
      <c r="BA5" s="3">
        <f>IFERROR(__xludf.DUMMYFUNCTION("""COMPUTED_VALUE"""),0.0)</f>
        <v>0</v>
      </c>
      <c r="BB5" s="3">
        <f>IFERROR(__xludf.DUMMYFUNCTION("""COMPUTED_VALUE"""),0.0)</f>
        <v>0</v>
      </c>
      <c r="BC5" s="3">
        <f>IFERROR(__xludf.DUMMYFUNCTION("""COMPUTED_VALUE"""),1.0)</f>
        <v>1</v>
      </c>
      <c r="BD5" s="3">
        <f>IFERROR(__xludf.DUMMYFUNCTION("""COMPUTED_VALUE"""),0.0)</f>
        <v>0</v>
      </c>
      <c r="BE5" s="3">
        <f>IFERROR(__xludf.DUMMYFUNCTION("""COMPUTED_VALUE"""),1.0)</f>
        <v>1</v>
      </c>
      <c r="BF5" s="3">
        <f>IFERROR(__xludf.DUMMYFUNCTION("""COMPUTED_VALUE"""),1.0)</f>
        <v>1</v>
      </c>
      <c r="BG5" s="3">
        <f>IFERROR(__xludf.DUMMYFUNCTION("""COMPUTED_VALUE"""),1.0)</f>
        <v>1</v>
      </c>
      <c r="BH5" s="3">
        <f>IFERROR(__xludf.DUMMYFUNCTION("""COMPUTED_VALUE"""),1.0)</f>
        <v>1</v>
      </c>
      <c r="BI5" s="3">
        <f>IFERROR(__xludf.DUMMYFUNCTION("""COMPUTED_VALUE"""),1.0)</f>
        <v>1</v>
      </c>
      <c r="BJ5" s="3">
        <f>IFERROR(__xludf.DUMMYFUNCTION("""COMPUTED_VALUE"""),1.0)</f>
        <v>1</v>
      </c>
      <c r="BK5" s="3">
        <f>IFERROR(__xludf.DUMMYFUNCTION("""COMPUTED_VALUE"""),1.0)</f>
        <v>1</v>
      </c>
      <c r="BL5" s="3">
        <f>IFERROR(__xludf.DUMMYFUNCTION("""COMPUTED_VALUE"""),1.0)</f>
        <v>1</v>
      </c>
      <c r="BM5" s="3">
        <f>IFERROR(__xludf.DUMMYFUNCTION("""COMPUTED_VALUE"""),1.0)</f>
        <v>1</v>
      </c>
      <c r="BN5" s="3">
        <f>IFERROR(__xludf.DUMMYFUNCTION("""COMPUTED_VALUE"""),1.0)</f>
        <v>1</v>
      </c>
      <c r="BO5" s="3">
        <f>IFERROR(__xludf.DUMMYFUNCTION("""COMPUTED_VALUE"""),1.0)</f>
        <v>1</v>
      </c>
      <c r="BP5" s="3">
        <f>IFERROR(__xludf.DUMMYFUNCTION("""COMPUTED_VALUE"""),1.0)</f>
        <v>1</v>
      </c>
      <c r="BQ5" s="3">
        <f>IFERROR(__xludf.DUMMYFUNCTION("""COMPUTED_VALUE"""),1.0)</f>
        <v>1</v>
      </c>
      <c r="BR5" s="3">
        <f>IFERROR(__xludf.DUMMYFUNCTION("""COMPUTED_VALUE"""),1.0)</f>
        <v>1</v>
      </c>
      <c r="BS5" s="3">
        <f>IFERROR(__xludf.DUMMYFUNCTION("""COMPUTED_VALUE"""),1.0)</f>
        <v>1</v>
      </c>
      <c r="BT5" s="3">
        <f>IFERROR(__xludf.DUMMYFUNCTION("""COMPUTED_VALUE"""),1.0)</f>
        <v>1</v>
      </c>
      <c r="BU5" s="3">
        <f>IFERROR(__xludf.DUMMYFUNCTION("""COMPUTED_VALUE"""),10.0)</f>
        <v>10</v>
      </c>
      <c r="BV5" s="3">
        <f>IFERROR(__xludf.DUMMYFUNCTION("""COMPUTED_VALUE"""),10.0)</f>
        <v>10</v>
      </c>
      <c r="BW5" s="3">
        <f>IFERROR(__xludf.DUMMYFUNCTION("""COMPUTED_VALUE"""),10.0)</f>
        <v>10</v>
      </c>
      <c r="BX5" s="3">
        <f>IFERROR(__xludf.DUMMYFUNCTION("""COMPUTED_VALUE"""),10.0)</f>
        <v>10</v>
      </c>
      <c r="BY5" s="3">
        <f>IFERROR(__xludf.DUMMYFUNCTION("""COMPUTED_VALUE"""),16.0)</f>
        <v>16</v>
      </c>
      <c r="BZ5" s="3">
        <f>IFERROR(__xludf.DUMMYFUNCTION("""COMPUTED_VALUE"""),21.0)</f>
        <v>21</v>
      </c>
      <c r="CA5" s="3">
        <f>IFERROR(__xludf.DUMMYFUNCTION("""COMPUTED_VALUE"""),26.0)</f>
        <v>26</v>
      </c>
      <c r="CB5" s="3">
        <f>IFERROR(__xludf.DUMMYFUNCTION("""COMPUTED_VALUE"""),31.0)</f>
        <v>31</v>
      </c>
    </row>
    <row r="6">
      <c r="A6" s="3" t="str">
        <f>IFERROR(__xludf.DUMMYFUNCTION("""COMPUTED_VALUE"""),"")</f>
        <v/>
      </c>
      <c r="B6" s="3" t="str">
        <f>IFERROR(__xludf.DUMMYFUNCTION("""COMPUTED_VALUE"""),"Angola")</f>
        <v>Angola</v>
      </c>
      <c r="C6" s="3">
        <f>IFERROR(__xludf.DUMMYFUNCTION("""COMPUTED_VALUE"""),-11.2027)</f>
        <v>-11.2027</v>
      </c>
      <c r="D6" s="3">
        <f>IFERROR(__xludf.DUMMYFUNCTION("""COMPUTED_VALUE"""),17.8739)</f>
        <v>17.8739</v>
      </c>
      <c r="E6" s="3">
        <f>IFERROR(__xludf.DUMMYFUNCTION("""COMPUTED_VALUE"""),0.0)</f>
        <v>0</v>
      </c>
      <c r="F6" s="3">
        <f>IFERROR(__xludf.DUMMYFUNCTION("""COMPUTED_VALUE"""),0.0)</f>
        <v>0</v>
      </c>
      <c r="G6" s="3">
        <f>IFERROR(__xludf.DUMMYFUNCTION("""COMPUTED_VALUE"""),0.0)</f>
        <v>0</v>
      </c>
      <c r="H6" s="3">
        <f>IFERROR(__xludf.DUMMYFUNCTION("""COMPUTED_VALUE"""),0.0)</f>
        <v>0</v>
      </c>
      <c r="I6" s="3">
        <f>IFERROR(__xludf.DUMMYFUNCTION("""COMPUTED_VALUE"""),0.0)</f>
        <v>0</v>
      </c>
      <c r="J6" s="3">
        <f>IFERROR(__xludf.DUMMYFUNCTION("""COMPUTED_VALUE"""),0.0)</f>
        <v>0</v>
      </c>
      <c r="K6" s="3">
        <f>IFERROR(__xludf.DUMMYFUNCTION("""COMPUTED_VALUE"""),0.0)</f>
        <v>0</v>
      </c>
      <c r="L6" s="3">
        <f>IFERROR(__xludf.DUMMYFUNCTION("""COMPUTED_VALUE"""),0.0)</f>
        <v>0</v>
      </c>
      <c r="M6" s="3">
        <f>IFERROR(__xludf.DUMMYFUNCTION("""COMPUTED_VALUE"""),0.0)</f>
        <v>0</v>
      </c>
      <c r="N6" s="3">
        <f>IFERROR(__xludf.DUMMYFUNCTION("""COMPUTED_VALUE"""),0.0)</f>
        <v>0</v>
      </c>
      <c r="O6" s="3">
        <f>IFERROR(__xludf.DUMMYFUNCTION("""COMPUTED_VALUE"""),0.0)</f>
        <v>0</v>
      </c>
      <c r="P6" s="3">
        <f>IFERROR(__xludf.DUMMYFUNCTION("""COMPUTED_VALUE"""),0.0)</f>
        <v>0</v>
      </c>
      <c r="Q6" s="3">
        <f>IFERROR(__xludf.DUMMYFUNCTION("""COMPUTED_VALUE"""),0.0)</f>
        <v>0</v>
      </c>
      <c r="R6" s="3">
        <f>IFERROR(__xludf.DUMMYFUNCTION("""COMPUTED_VALUE"""),0.0)</f>
        <v>0</v>
      </c>
      <c r="S6" s="3">
        <f>IFERROR(__xludf.DUMMYFUNCTION("""COMPUTED_VALUE"""),0.0)</f>
        <v>0</v>
      </c>
      <c r="T6" s="3">
        <f>IFERROR(__xludf.DUMMYFUNCTION("""COMPUTED_VALUE"""),0.0)</f>
        <v>0</v>
      </c>
      <c r="U6" s="3">
        <f>IFERROR(__xludf.DUMMYFUNCTION("""COMPUTED_VALUE"""),0.0)</f>
        <v>0</v>
      </c>
      <c r="V6" s="3">
        <f>IFERROR(__xludf.DUMMYFUNCTION("""COMPUTED_VALUE"""),0.0)</f>
        <v>0</v>
      </c>
      <c r="W6" s="3">
        <f>IFERROR(__xludf.DUMMYFUNCTION("""COMPUTED_VALUE"""),0.0)</f>
        <v>0</v>
      </c>
      <c r="X6" s="3">
        <f>IFERROR(__xludf.DUMMYFUNCTION("""COMPUTED_VALUE"""),0.0)</f>
        <v>0</v>
      </c>
      <c r="Y6" s="3">
        <f>IFERROR(__xludf.DUMMYFUNCTION("""COMPUTED_VALUE"""),0.0)</f>
        <v>0</v>
      </c>
      <c r="Z6" s="3">
        <f>IFERROR(__xludf.DUMMYFUNCTION("""COMPUTED_VALUE"""),0.0)</f>
        <v>0</v>
      </c>
      <c r="AA6" s="3">
        <f>IFERROR(__xludf.DUMMYFUNCTION("""COMPUTED_VALUE"""),0.0)</f>
        <v>0</v>
      </c>
      <c r="AB6" s="3">
        <f>IFERROR(__xludf.DUMMYFUNCTION("""COMPUTED_VALUE"""),0.0)</f>
        <v>0</v>
      </c>
      <c r="AC6" s="3">
        <f>IFERROR(__xludf.DUMMYFUNCTION("""COMPUTED_VALUE"""),0.0)</f>
        <v>0</v>
      </c>
      <c r="AD6" s="3">
        <f>IFERROR(__xludf.DUMMYFUNCTION("""COMPUTED_VALUE"""),0.0)</f>
        <v>0</v>
      </c>
      <c r="AE6" s="3">
        <f>IFERROR(__xludf.DUMMYFUNCTION("""COMPUTED_VALUE"""),0.0)</f>
        <v>0</v>
      </c>
      <c r="AF6" s="3">
        <f>IFERROR(__xludf.DUMMYFUNCTION("""COMPUTED_VALUE"""),0.0)</f>
        <v>0</v>
      </c>
      <c r="AG6" s="3">
        <f>IFERROR(__xludf.DUMMYFUNCTION("""COMPUTED_VALUE"""),0.0)</f>
        <v>0</v>
      </c>
      <c r="AH6" s="3">
        <f>IFERROR(__xludf.DUMMYFUNCTION("""COMPUTED_VALUE"""),0.0)</f>
        <v>0</v>
      </c>
      <c r="AI6" s="3">
        <f>IFERROR(__xludf.DUMMYFUNCTION("""COMPUTED_VALUE"""),0.0)</f>
        <v>0</v>
      </c>
      <c r="AJ6" s="3">
        <f>IFERROR(__xludf.DUMMYFUNCTION("""COMPUTED_VALUE"""),0.0)</f>
        <v>0</v>
      </c>
      <c r="AK6" s="3">
        <f>IFERROR(__xludf.DUMMYFUNCTION("""COMPUTED_VALUE"""),0.0)</f>
        <v>0</v>
      </c>
      <c r="AL6" s="3">
        <f>IFERROR(__xludf.DUMMYFUNCTION("""COMPUTED_VALUE"""),0.0)</f>
        <v>0</v>
      </c>
      <c r="AM6" s="3">
        <f>IFERROR(__xludf.DUMMYFUNCTION("""COMPUTED_VALUE"""),0.0)</f>
        <v>0</v>
      </c>
      <c r="AN6" s="3">
        <f>IFERROR(__xludf.DUMMYFUNCTION("""COMPUTED_VALUE"""),0.0)</f>
        <v>0</v>
      </c>
      <c r="AO6" s="3">
        <f>IFERROR(__xludf.DUMMYFUNCTION("""COMPUTED_VALUE"""),0.0)</f>
        <v>0</v>
      </c>
      <c r="AP6" s="3">
        <f>IFERROR(__xludf.DUMMYFUNCTION("""COMPUTED_VALUE"""),0.0)</f>
        <v>0</v>
      </c>
      <c r="AQ6" s="3">
        <f>IFERROR(__xludf.DUMMYFUNCTION("""COMPUTED_VALUE"""),0.0)</f>
        <v>0</v>
      </c>
      <c r="AR6" s="3">
        <f>IFERROR(__xludf.DUMMYFUNCTION("""COMPUTED_VALUE"""),0.0)</f>
        <v>0</v>
      </c>
      <c r="AS6" s="3">
        <f>IFERROR(__xludf.DUMMYFUNCTION("""COMPUTED_VALUE"""),0.0)</f>
        <v>0</v>
      </c>
      <c r="AT6" s="3">
        <f>IFERROR(__xludf.DUMMYFUNCTION("""COMPUTED_VALUE"""),0.0)</f>
        <v>0</v>
      </c>
      <c r="AU6" s="3">
        <f>IFERROR(__xludf.DUMMYFUNCTION("""COMPUTED_VALUE"""),0.0)</f>
        <v>0</v>
      </c>
      <c r="AV6" s="3">
        <f>IFERROR(__xludf.DUMMYFUNCTION("""COMPUTED_VALUE"""),0.0)</f>
        <v>0</v>
      </c>
      <c r="AW6" s="3">
        <f>IFERROR(__xludf.DUMMYFUNCTION("""COMPUTED_VALUE"""),0.0)</f>
        <v>0</v>
      </c>
      <c r="AX6" s="3">
        <f>IFERROR(__xludf.DUMMYFUNCTION("""COMPUTED_VALUE"""),0.0)</f>
        <v>0</v>
      </c>
      <c r="AY6" s="3">
        <f>IFERROR(__xludf.DUMMYFUNCTION("""COMPUTED_VALUE"""),0.0)</f>
        <v>0</v>
      </c>
      <c r="AZ6" s="3">
        <f>IFERROR(__xludf.DUMMYFUNCTION("""COMPUTED_VALUE"""),0.0)</f>
        <v>0</v>
      </c>
      <c r="BA6" s="3">
        <f>IFERROR(__xludf.DUMMYFUNCTION("""COMPUTED_VALUE"""),0.0)</f>
        <v>0</v>
      </c>
      <c r="BB6" s="3">
        <f>IFERROR(__xludf.DUMMYFUNCTION("""COMPUTED_VALUE"""),0.0)</f>
        <v>0</v>
      </c>
      <c r="BC6" s="3">
        <f>IFERROR(__xludf.DUMMYFUNCTION("""COMPUTED_VALUE"""),0.0)</f>
        <v>0</v>
      </c>
      <c r="BD6" s="3">
        <f>IFERROR(__xludf.DUMMYFUNCTION("""COMPUTED_VALUE"""),0.0)</f>
        <v>0</v>
      </c>
      <c r="BE6" s="3">
        <f>IFERROR(__xludf.DUMMYFUNCTION("""COMPUTED_VALUE"""),0.0)</f>
        <v>0</v>
      </c>
      <c r="BF6" s="3">
        <f>IFERROR(__xludf.DUMMYFUNCTION("""COMPUTED_VALUE"""),0.0)</f>
        <v>0</v>
      </c>
      <c r="BG6" s="3">
        <f>IFERROR(__xludf.DUMMYFUNCTION("""COMPUTED_VALUE"""),0.0)</f>
        <v>0</v>
      </c>
      <c r="BH6" s="3">
        <f>IFERROR(__xludf.DUMMYFUNCTION("""COMPUTED_VALUE"""),0.0)</f>
        <v>0</v>
      </c>
      <c r="BI6" s="3">
        <f>IFERROR(__xludf.DUMMYFUNCTION("""COMPUTED_VALUE"""),0.0)</f>
        <v>0</v>
      </c>
      <c r="BJ6" s="3">
        <f>IFERROR(__xludf.DUMMYFUNCTION("""COMPUTED_VALUE"""),0.0)</f>
        <v>0</v>
      </c>
      <c r="BK6" s="3">
        <f>IFERROR(__xludf.DUMMYFUNCTION("""COMPUTED_VALUE"""),0.0)</f>
        <v>0</v>
      </c>
      <c r="BL6" s="3">
        <f>IFERROR(__xludf.DUMMYFUNCTION("""COMPUTED_VALUE"""),0.0)</f>
        <v>0</v>
      </c>
      <c r="BM6" s="3">
        <f>IFERROR(__xludf.DUMMYFUNCTION("""COMPUTED_VALUE"""),0.0)</f>
        <v>0</v>
      </c>
      <c r="BN6" s="3">
        <f>IFERROR(__xludf.DUMMYFUNCTION("""COMPUTED_VALUE"""),0.0)</f>
        <v>0</v>
      </c>
      <c r="BO6" s="3">
        <f>IFERROR(__xludf.DUMMYFUNCTION("""COMPUTED_VALUE"""),0.0)</f>
        <v>0</v>
      </c>
      <c r="BP6" s="3">
        <f>IFERROR(__xludf.DUMMYFUNCTION("""COMPUTED_VALUE"""),0.0)</f>
        <v>0</v>
      </c>
      <c r="BQ6" s="3">
        <f>IFERROR(__xludf.DUMMYFUNCTION("""COMPUTED_VALUE"""),0.0)</f>
        <v>0</v>
      </c>
      <c r="BR6" s="3">
        <f>IFERROR(__xludf.DUMMYFUNCTION("""COMPUTED_VALUE"""),0.0)</f>
        <v>0</v>
      </c>
      <c r="BS6" s="3">
        <f>IFERROR(__xludf.DUMMYFUNCTION("""COMPUTED_VALUE"""),0.0)</f>
        <v>0</v>
      </c>
      <c r="BT6" s="3">
        <f>IFERROR(__xludf.DUMMYFUNCTION("""COMPUTED_VALUE"""),0.0)</f>
        <v>0</v>
      </c>
      <c r="BU6" s="3">
        <f>IFERROR(__xludf.DUMMYFUNCTION("""COMPUTED_VALUE"""),0.0)</f>
        <v>0</v>
      </c>
      <c r="BV6" s="3">
        <f>IFERROR(__xludf.DUMMYFUNCTION("""COMPUTED_VALUE"""),1.0)</f>
        <v>1</v>
      </c>
      <c r="BW6" s="3">
        <f>IFERROR(__xludf.DUMMYFUNCTION("""COMPUTED_VALUE"""),1.0)</f>
        <v>1</v>
      </c>
      <c r="BX6" s="3">
        <f>IFERROR(__xludf.DUMMYFUNCTION("""COMPUTED_VALUE"""),1.0)</f>
        <v>1</v>
      </c>
      <c r="BY6" s="3">
        <f>IFERROR(__xludf.DUMMYFUNCTION("""COMPUTED_VALUE"""),1.0)</f>
        <v>1</v>
      </c>
      <c r="BZ6" s="3">
        <f>IFERROR(__xludf.DUMMYFUNCTION("""COMPUTED_VALUE"""),2.0)</f>
        <v>2</v>
      </c>
      <c r="CA6" s="3">
        <f>IFERROR(__xludf.DUMMYFUNCTION("""COMPUTED_VALUE"""),2.0)</f>
        <v>2</v>
      </c>
      <c r="CB6" s="3">
        <f>IFERROR(__xludf.DUMMYFUNCTION("""COMPUTED_VALUE"""),2.0)</f>
        <v>2</v>
      </c>
    </row>
    <row r="7">
      <c r="A7" s="3" t="str">
        <f>IFERROR(__xludf.DUMMYFUNCTION("""COMPUTED_VALUE"""),"")</f>
        <v/>
      </c>
      <c r="B7" s="3" t="str">
        <f>IFERROR(__xludf.DUMMYFUNCTION("""COMPUTED_VALUE"""),"Antigua and Barbuda")</f>
        <v>Antigua and Barbuda</v>
      </c>
      <c r="C7" s="3">
        <f>IFERROR(__xludf.DUMMYFUNCTION("""COMPUTED_VALUE"""),17.0608)</f>
        <v>17.0608</v>
      </c>
      <c r="D7" s="3">
        <f>IFERROR(__xludf.DUMMYFUNCTION("""COMPUTED_VALUE"""),-61.7964)</f>
        <v>-61.7964</v>
      </c>
      <c r="E7" s="3">
        <f>IFERROR(__xludf.DUMMYFUNCTION("""COMPUTED_VALUE"""),0.0)</f>
        <v>0</v>
      </c>
      <c r="F7" s="3">
        <f>IFERROR(__xludf.DUMMYFUNCTION("""COMPUTED_VALUE"""),0.0)</f>
        <v>0</v>
      </c>
      <c r="G7" s="3">
        <f>IFERROR(__xludf.DUMMYFUNCTION("""COMPUTED_VALUE"""),0.0)</f>
        <v>0</v>
      </c>
      <c r="H7" s="3">
        <f>IFERROR(__xludf.DUMMYFUNCTION("""COMPUTED_VALUE"""),0.0)</f>
        <v>0</v>
      </c>
      <c r="I7" s="3">
        <f>IFERROR(__xludf.DUMMYFUNCTION("""COMPUTED_VALUE"""),0.0)</f>
        <v>0</v>
      </c>
      <c r="J7" s="3">
        <f>IFERROR(__xludf.DUMMYFUNCTION("""COMPUTED_VALUE"""),0.0)</f>
        <v>0</v>
      </c>
      <c r="K7" s="3">
        <f>IFERROR(__xludf.DUMMYFUNCTION("""COMPUTED_VALUE"""),0.0)</f>
        <v>0</v>
      </c>
      <c r="L7" s="3">
        <f>IFERROR(__xludf.DUMMYFUNCTION("""COMPUTED_VALUE"""),0.0)</f>
        <v>0</v>
      </c>
      <c r="M7" s="3">
        <f>IFERROR(__xludf.DUMMYFUNCTION("""COMPUTED_VALUE"""),0.0)</f>
        <v>0</v>
      </c>
      <c r="N7" s="3">
        <f>IFERROR(__xludf.DUMMYFUNCTION("""COMPUTED_VALUE"""),0.0)</f>
        <v>0</v>
      </c>
      <c r="O7" s="3">
        <f>IFERROR(__xludf.DUMMYFUNCTION("""COMPUTED_VALUE"""),0.0)</f>
        <v>0</v>
      </c>
      <c r="P7" s="3">
        <f>IFERROR(__xludf.DUMMYFUNCTION("""COMPUTED_VALUE"""),0.0)</f>
        <v>0</v>
      </c>
      <c r="Q7" s="3">
        <f>IFERROR(__xludf.DUMMYFUNCTION("""COMPUTED_VALUE"""),0.0)</f>
        <v>0</v>
      </c>
      <c r="R7" s="3">
        <f>IFERROR(__xludf.DUMMYFUNCTION("""COMPUTED_VALUE"""),0.0)</f>
        <v>0</v>
      </c>
      <c r="S7" s="3">
        <f>IFERROR(__xludf.DUMMYFUNCTION("""COMPUTED_VALUE"""),0.0)</f>
        <v>0</v>
      </c>
      <c r="T7" s="3">
        <f>IFERROR(__xludf.DUMMYFUNCTION("""COMPUTED_VALUE"""),0.0)</f>
        <v>0</v>
      </c>
      <c r="U7" s="3">
        <f>IFERROR(__xludf.DUMMYFUNCTION("""COMPUTED_VALUE"""),0.0)</f>
        <v>0</v>
      </c>
      <c r="V7" s="3">
        <f>IFERROR(__xludf.DUMMYFUNCTION("""COMPUTED_VALUE"""),0.0)</f>
        <v>0</v>
      </c>
      <c r="W7" s="3">
        <f>IFERROR(__xludf.DUMMYFUNCTION("""COMPUTED_VALUE"""),0.0)</f>
        <v>0</v>
      </c>
      <c r="X7" s="3">
        <f>IFERROR(__xludf.DUMMYFUNCTION("""COMPUTED_VALUE"""),0.0)</f>
        <v>0</v>
      </c>
      <c r="Y7" s="3">
        <f>IFERROR(__xludf.DUMMYFUNCTION("""COMPUTED_VALUE"""),0.0)</f>
        <v>0</v>
      </c>
      <c r="Z7" s="3">
        <f>IFERROR(__xludf.DUMMYFUNCTION("""COMPUTED_VALUE"""),0.0)</f>
        <v>0</v>
      </c>
      <c r="AA7" s="3">
        <f>IFERROR(__xludf.DUMMYFUNCTION("""COMPUTED_VALUE"""),0.0)</f>
        <v>0</v>
      </c>
      <c r="AB7" s="3">
        <f>IFERROR(__xludf.DUMMYFUNCTION("""COMPUTED_VALUE"""),0.0)</f>
        <v>0</v>
      </c>
      <c r="AC7" s="3">
        <f>IFERROR(__xludf.DUMMYFUNCTION("""COMPUTED_VALUE"""),0.0)</f>
        <v>0</v>
      </c>
      <c r="AD7" s="3">
        <f>IFERROR(__xludf.DUMMYFUNCTION("""COMPUTED_VALUE"""),0.0)</f>
        <v>0</v>
      </c>
      <c r="AE7" s="3">
        <f>IFERROR(__xludf.DUMMYFUNCTION("""COMPUTED_VALUE"""),0.0)</f>
        <v>0</v>
      </c>
      <c r="AF7" s="3">
        <f>IFERROR(__xludf.DUMMYFUNCTION("""COMPUTED_VALUE"""),0.0)</f>
        <v>0</v>
      </c>
      <c r="AG7" s="3">
        <f>IFERROR(__xludf.DUMMYFUNCTION("""COMPUTED_VALUE"""),0.0)</f>
        <v>0</v>
      </c>
      <c r="AH7" s="3">
        <f>IFERROR(__xludf.DUMMYFUNCTION("""COMPUTED_VALUE"""),0.0)</f>
        <v>0</v>
      </c>
      <c r="AI7" s="3">
        <f>IFERROR(__xludf.DUMMYFUNCTION("""COMPUTED_VALUE"""),0.0)</f>
        <v>0</v>
      </c>
      <c r="AJ7" s="3">
        <f>IFERROR(__xludf.DUMMYFUNCTION("""COMPUTED_VALUE"""),0.0)</f>
        <v>0</v>
      </c>
      <c r="AK7" s="3">
        <f>IFERROR(__xludf.DUMMYFUNCTION("""COMPUTED_VALUE"""),0.0)</f>
        <v>0</v>
      </c>
      <c r="AL7" s="3">
        <f>IFERROR(__xludf.DUMMYFUNCTION("""COMPUTED_VALUE"""),0.0)</f>
        <v>0</v>
      </c>
      <c r="AM7" s="3">
        <f>IFERROR(__xludf.DUMMYFUNCTION("""COMPUTED_VALUE"""),0.0)</f>
        <v>0</v>
      </c>
      <c r="AN7" s="3">
        <f>IFERROR(__xludf.DUMMYFUNCTION("""COMPUTED_VALUE"""),0.0)</f>
        <v>0</v>
      </c>
      <c r="AO7" s="3">
        <f>IFERROR(__xludf.DUMMYFUNCTION("""COMPUTED_VALUE"""),0.0)</f>
        <v>0</v>
      </c>
      <c r="AP7" s="3">
        <f>IFERROR(__xludf.DUMMYFUNCTION("""COMPUTED_VALUE"""),0.0)</f>
        <v>0</v>
      </c>
      <c r="AQ7" s="3">
        <f>IFERROR(__xludf.DUMMYFUNCTION("""COMPUTED_VALUE"""),0.0)</f>
        <v>0</v>
      </c>
      <c r="AR7" s="3">
        <f>IFERROR(__xludf.DUMMYFUNCTION("""COMPUTED_VALUE"""),0.0)</f>
        <v>0</v>
      </c>
      <c r="AS7" s="3">
        <f>IFERROR(__xludf.DUMMYFUNCTION("""COMPUTED_VALUE"""),0.0)</f>
        <v>0</v>
      </c>
      <c r="AT7" s="3">
        <f>IFERROR(__xludf.DUMMYFUNCTION("""COMPUTED_VALUE"""),0.0)</f>
        <v>0</v>
      </c>
      <c r="AU7" s="3">
        <f>IFERROR(__xludf.DUMMYFUNCTION("""COMPUTED_VALUE"""),0.0)</f>
        <v>0</v>
      </c>
      <c r="AV7" s="3">
        <f>IFERROR(__xludf.DUMMYFUNCTION("""COMPUTED_VALUE"""),0.0)</f>
        <v>0</v>
      </c>
      <c r="AW7" s="3">
        <f>IFERROR(__xludf.DUMMYFUNCTION("""COMPUTED_VALUE"""),0.0)</f>
        <v>0</v>
      </c>
      <c r="AX7" s="3">
        <f>IFERROR(__xludf.DUMMYFUNCTION("""COMPUTED_VALUE"""),0.0)</f>
        <v>0</v>
      </c>
      <c r="AY7" s="3">
        <f>IFERROR(__xludf.DUMMYFUNCTION("""COMPUTED_VALUE"""),0.0)</f>
        <v>0</v>
      </c>
      <c r="AZ7" s="3">
        <f>IFERROR(__xludf.DUMMYFUNCTION("""COMPUTED_VALUE"""),0.0)</f>
        <v>0</v>
      </c>
      <c r="BA7" s="3">
        <f>IFERROR(__xludf.DUMMYFUNCTION("""COMPUTED_VALUE"""),0.0)</f>
        <v>0</v>
      </c>
      <c r="BB7" s="3">
        <f>IFERROR(__xludf.DUMMYFUNCTION("""COMPUTED_VALUE"""),0.0)</f>
        <v>0</v>
      </c>
      <c r="BC7" s="3">
        <f>IFERROR(__xludf.DUMMYFUNCTION("""COMPUTED_VALUE"""),0.0)</f>
        <v>0</v>
      </c>
      <c r="BD7" s="3">
        <f>IFERROR(__xludf.DUMMYFUNCTION("""COMPUTED_VALUE"""),0.0)</f>
        <v>0</v>
      </c>
      <c r="BE7" s="3">
        <f>IFERROR(__xludf.DUMMYFUNCTION("""COMPUTED_VALUE"""),0.0)</f>
        <v>0</v>
      </c>
      <c r="BF7" s="3">
        <f>IFERROR(__xludf.DUMMYFUNCTION("""COMPUTED_VALUE"""),0.0)</f>
        <v>0</v>
      </c>
      <c r="BG7" s="3">
        <f>IFERROR(__xludf.DUMMYFUNCTION("""COMPUTED_VALUE"""),0.0)</f>
        <v>0</v>
      </c>
      <c r="BH7" s="3">
        <f>IFERROR(__xludf.DUMMYFUNCTION("""COMPUTED_VALUE"""),0.0)</f>
        <v>0</v>
      </c>
      <c r="BI7" s="3">
        <f>IFERROR(__xludf.DUMMYFUNCTION("""COMPUTED_VALUE"""),0.0)</f>
        <v>0</v>
      </c>
      <c r="BJ7" s="3">
        <f>IFERROR(__xludf.DUMMYFUNCTION("""COMPUTED_VALUE"""),0.0)</f>
        <v>0</v>
      </c>
      <c r="BK7" s="3">
        <f>IFERROR(__xludf.DUMMYFUNCTION("""COMPUTED_VALUE"""),0.0)</f>
        <v>0</v>
      </c>
      <c r="BL7" s="3">
        <f>IFERROR(__xludf.DUMMYFUNCTION("""COMPUTED_VALUE"""),0.0)</f>
        <v>0</v>
      </c>
      <c r="BM7" s="3">
        <f>IFERROR(__xludf.DUMMYFUNCTION("""COMPUTED_VALUE"""),0.0)</f>
        <v>0</v>
      </c>
      <c r="BN7" s="3">
        <f>IFERROR(__xludf.DUMMYFUNCTION("""COMPUTED_VALUE"""),0.0)</f>
        <v>0</v>
      </c>
      <c r="BO7" s="3">
        <f>IFERROR(__xludf.DUMMYFUNCTION("""COMPUTED_VALUE"""),0.0)</f>
        <v>0</v>
      </c>
      <c r="BP7" s="3">
        <f>IFERROR(__xludf.DUMMYFUNCTION("""COMPUTED_VALUE"""),0.0)</f>
        <v>0</v>
      </c>
      <c r="BQ7" s="3">
        <f>IFERROR(__xludf.DUMMYFUNCTION("""COMPUTED_VALUE"""),0.0)</f>
        <v>0</v>
      </c>
      <c r="BR7" s="3">
        <f>IFERROR(__xludf.DUMMYFUNCTION("""COMPUTED_VALUE"""),0.0)</f>
        <v>0</v>
      </c>
      <c r="BS7" s="3">
        <f>IFERROR(__xludf.DUMMYFUNCTION("""COMPUTED_VALUE"""),0.0)</f>
        <v>0</v>
      </c>
      <c r="BT7" s="3">
        <f>IFERROR(__xludf.DUMMYFUNCTION("""COMPUTED_VALUE"""),0.0)</f>
        <v>0</v>
      </c>
      <c r="BU7" s="3">
        <f>IFERROR(__xludf.DUMMYFUNCTION("""COMPUTED_VALUE"""),0.0)</f>
        <v>0</v>
      </c>
      <c r="BV7" s="3">
        <f>IFERROR(__xludf.DUMMYFUNCTION("""COMPUTED_VALUE"""),0.0)</f>
        <v>0</v>
      </c>
      <c r="BW7" s="3">
        <f>IFERROR(__xludf.DUMMYFUNCTION("""COMPUTED_VALUE"""),0.0)</f>
        <v>0</v>
      </c>
      <c r="BX7" s="3">
        <f>IFERROR(__xludf.DUMMYFUNCTION("""COMPUTED_VALUE"""),0.0)</f>
        <v>0</v>
      </c>
      <c r="BY7" s="3">
        <f>IFERROR(__xludf.DUMMYFUNCTION("""COMPUTED_VALUE"""),0.0)</f>
        <v>0</v>
      </c>
      <c r="BZ7" s="3">
        <f>IFERROR(__xludf.DUMMYFUNCTION("""COMPUTED_VALUE"""),0.0)</f>
        <v>0</v>
      </c>
      <c r="CA7" s="3">
        <f>IFERROR(__xludf.DUMMYFUNCTION("""COMPUTED_VALUE"""),0.0)</f>
        <v>0</v>
      </c>
      <c r="CB7" s="3">
        <f>IFERROR(__xludf.DUMMYFUNCTION("""COMPUTED_VALUE"""),0.0)</f>
        <v>0</v>
      </c>
    </row>
    <row r="8">
      <c r="A8" s="3" t="str">
        <f>IFERROR(__xludf.DUMMYFUNCTION("""COMPUTED_VALUE"""),"")</f>
        <v/>
      </c>
      <c r="B8" s="3" t="str">
        <f>IFERROR(__xludf.DUMMYFUNCTION("""COMPUTED_VALUE"""),"Argentina")</f>
        <v>Argentina</v>
      </c>
      <c r="C8" s="3">
        <f>IFERROR(__xludf.DUMMYFUNCTION("""COMPUTED_VALUE"""),-38.4161)</f>
        <v>-38.4161</v>
      </c>
      <c r="D8" s="3">
        <f>IFERROR(__xludf.DUMMYFUNCTION("""COMPUTED_VALUE"""),-63.6167)</f>
        <v>-63.6167</v>
      </c>
      <c r="E8" s="3">
        <f>IFERROR(__xludf.DUMMYFUNCTION("""COMPUTED_VALUE"""),0.0)</f>
        <v>0</v>
      </c>
      <c r="F8" s="3">
        <f>IFERROR(__xludf.DUMMYFUNCTION("""COMPUTED_VALUE"""),0.0)</f>
        <v>0</v>
      </c>
      <c r="G8" s="3">
        <f>IFERROR(__xludf.DUMMYFUNCTION("""COMPUTED_VALUE"""),0.0)</f>
        <v>0</v>
      </c>
      <c r="H8" s="3">
        <f>IFERROR(__xludf.DUMMYFUNCTION("""COMPUTED_VALUE"""),0.0)</f>
        <v>0</v>
      </c>
      <c r="I8" s="3">
        <f>IFERROR(__xludf.DUMMYFUNCTION("""COMPUTED_VALUE"""),0.0)</f>
        <v>0</v>
      </c>
      <c r="J8" s="3">
        <f>IFERROR(__xludf.DUMMYFUNCTION("""COMPUTED_VALUE"""),0.0)</f>
        <v>0</v>
      </c>
      <c r="K8" s="3">
        <f>IFERROR(__xludf.DUMMYFUNCTION("""COMPUTED_VALUE"""),0.0)</f>
        <v>0</v>
      </c>
      <c r="L8" s="3">
        <f>IFERROR(__xludf.DUMMYFUNCTION("""COMPUTED_VALUE"""),0.0)</f>
        <v>0</v>
      </c>
      <c r="M8" s="3">
        <f>IFERROR(__xludf.DUMMYFUNCTION("""COMPUTED_VALUE"""),0.0)</f>
        <v>0</v>
      </c>
      <c r="N8" s="3">
        <f>IFERROR(__xludf.DUMMYFUNCTION("""COMPUTED_VALUE"""),0.0)</f>
        <v>0</v>
      </c>
      <c r="O8" s="3">
        <f>IFERROR(__xludf.DUMMYFUNCTION("""COMPUTED_VALUE"""),0.0)</f>
        <v>0</v>
      </c>
      <c r="P8" s="3">
        <f>IFERROR(__xludf.DUMMYFUNCTION("""COMPUTED_VALUE"""),0.0)</f>
        <v>0</v>
      </c>
      <c r="Q8" s="3">
        <f>IFERROR(__xludf.DUMMYFUNCTION("""COMPUTED_VALUE"""),0.0)</f>
        <v>0</v>
      </c>
      <c r="R8" s="3">
        <f>IFERROR(__xludf.DUMMYFUNCTION("""COMPUTED_VALUE"""),0.0)</f>
        <v>0</v>
      </c>
      <c r="S8" s="3">
        <f>IFERROR(__xludf.DUMMYFUNCTION("""COMPUTED_VALUE"""),0.0)</f>
        <v>0</v>
      </c>
      <c r="T8" s="3">
        <f>IFERROR(__xludf.DUMMYFUNCTION("""COMPUTED_VALUE"""),0.0)</f>
        <v>0</v>
      </c>
      <c r="U8" s="3">
        <f>IFERROR(__xludf.DUMMYFUNCTION("""COMPUTED_VALUE"""),0.0)</f>
        <v>0</v>
      </c>
      <c r="V8" s="3">
        <f>IFERROR(__xludf.DUMMYFUNCTION("""COMPUTED_VALUE"""),0.0)</f>
        <v>0</v>
      </c>
      <c r="W8" s="3">
        <f>IFERROR(__xludf.DUMMYFUNCTION("""COMPUTED_VALUE"""),0.0)</f>
        <v>0</v>
      </c>
      <c r="X8" s="3">
        <f>IFERROR(__xludf.DUMMYFUNCTION("""COMPUTED_VALUE"""),0.0)</f>
        <v>0</v>
      </c>
      <c r="Y8" s="3">
        <f>IFERROR(__xludf.DUMMYFUNCTION("""COMPUTED_VALUE"""),0.0)</f>
        <v>0</v>
      </c>
      <c r="Z8" s="3">
        <f>IFERROR(__xludf.DUMMYFUNCTION("""COMPUTED_VALUE"""),0.0)</f>
        <v>0</v>
      </c>
      <c r="AA8" s="3">
        <f>IFERROR(__xludf.DUMMYFUNCTION("""COMPUTED_VALUE"""),0.0)</f>
        <v>0</v>
      </c>
      <c r="AB8" s="3">
        <f>IFERROR(__xludf.DUMMYFUNCTION("""COMPUTED_VALUE"""),0.0)</f>
        <v>0</v>
      </c>
      <c r="AC8" s="3">
        <f>IFERROR(__xludf.DUMMYFUNCTION("""COMPUTED_VALUE"""),0.0)</f>
        <v>0</v>
      </c>
      <c r="AD8" s="3">
        <f>IFERROR(__xludf.DUMMYFUNCTION("""COMPUTED_VALUE"""),0.0)</f>
        <v>0</v>
      </c>
      <c r="AE8" s="3">
        <f>IFERROR(__xludf.DUMMYFUNCTION("""COMPUTED_VALUE"""),0.0)</f>
        <v>0</v>
      </c>
      <c r="AF8" s="3">
        <f>IFERROR(__xludf.DUMMYFUNCTION("""COMPUTED_VALUE"""),0.0)</f>
        <v>0</v>
      </c>
      <c r="AG8" s="3">
        <f>IFERROR(__xludf.DUMMYFUNCTION("""COMPUTED_VALUE"""),0.0)</f>
        <v>0</v>
      </c>
      <c r="AH8" s="3">
        <f>IFERROR(__xludf.DUMMYFUNCTION("""COMPUTED_VALUE"""),0.0)</f>
        <v>0</v>
      </c>
      <c r="AI8" s="3">
        <f>IFERROR(__xludf.DUMMYFUNCTION("""COMPUTED_VALUE"""),0.0)</f>
        <v>0</v>
      </c>
      <c r="AJ8" s="3">
        <f>IFERROR(__xludf.DUMMYFUNCTION("""COMPUTED_VALUE"""),0.0)</f>
        <v>0</v>
      </c>
      <c r="AK8" s="3">
        <f>IFERROR(__xludf.DUMMYFUNCTION("""COMPUTED_VALUE"""),0.0)</f>
        <v>0</v>
      </c>
      <c r="AL8" s="3">
        <f>IFERROR(__xludf.DUMMYFUNCTION("""COMPUTED_VALUE"""),0.0)</f>
        <v>0</v>
      </c>
      <c r="AM8" s="3">
        <f>IFERROR(__xludf.DUMMYFUNCTION("""COMPUTED_VALUE"""),0.0)</f>
        <v>0</v>
      </c>
      <c r="AN8" s="3">
        <f>IFERROR(__xludf.DUMMYFUNCTION("""COMPUTED_VALUE"""),0.0)</f>
        <v>0</v>
      </c>
      <c r="AO8" s="3">
        <f>IFERROR(__xludf.DUMMYFUNCTION("""COMPUTED_VALUE"""),0.0)</f>
        <v>0</v>
      </c>
      <c r="AP8" s="3">
        <f>IFERROR(__xludf.DUMMYFUNCTION("""COMPUTED_VALUE"""),0.0)</f>
        <v>0</v>
      </c>
      <c r="AQ8" s="3">
        <f>IFERROR(__xludf.DUMMYFUNCTION("""COMPUTED_VALUE"""),0.0)</f>
        <v>0</v>
      </c>
      <c r="AR8" s="3">
        <f>IFERROR(__xludf.DUMMYFUNCTION("""COMPUTED_VALUE"""),0.0)</f>
        <v>0</v>
      </c>
      <c r="AS8" s="3">
        <f>IFERROR(__xludf.DUMMYFUNCTION("""COMPUTED_VALUE"""),0.0)</f>
        <v>0</v>
      </c>
      <c r="AT8" s="3">
        <f>IFERROR(__xludf.DUMMYFUNCTION("""COMPUTED_VALUE"""),0.0)</f>
        <v>0</v>
      </c>
      <c r="AU8" s="3">
        <f>IFERROR(__xludf.DUMMYFUNCTION("""COMPUTED_VALUE"""),0.0)</f>
        <v>0</v>
      </c>
      <c r="AV8" s="3">
        <f>IFERROR(__xludf.DUMMYFUNCTION("""COMPUTED_VALUE"""),0.0)</f>
        <v>0</v>
      </c>
      <c r="AW8" s="3">
        <f>IFERROR(__xludf.DUMMYFUNCTION("""COMPUTED_VALUE"""),0.0)</f>
        <v>0</v>
      </c>
      <c r="AX8" s="3">
        <f>IFERROR(__xludf.DUMMYFUNCTION("""COMPUTED_VALUE"""),0.0)</f>
        <v>0</v>
      </c>
      <c r="AY8" s="3">
        <f>IFERROR(__xludf.DUMMYFUNCTION("""COMPUTED_VALUE"""),0.0)</f>
        <v>0</v>
      </c>
      <c r="AZ8" s="3">
        <f>IFERROR(__xludf.DUMMYFUNCTION("""COMPUTED_VALUE"""),0.0)</f>
        <v>0</v>
      </c>
      <c r="BA8" s="3">
        <f>IFERROR(__xludf.DUMMYFUNCTION("""COMPUTED_VALUE"""),0.0)</f>
        <v>0</v>
      </c>
      <c r="BB8" s="3">
        <f>IFERROR(__xludf.DUMMYFUNCTION("""COMPUTED_VALUE"""),0.0)</f>
        <v>0</v>
      </c>
      <c r="BC8" s="3">
        <f>IFERROR(__xludf.DUMMYFUNCTION("""COMPUTED_VALUE"""),0.0)</f>
        <v>0</v>
      </c>
      <c r="BD8" s="3">
        <f>IFERROR(__xludf.DUMMYFUNCTION("""COMPUTED_VALUE"""),0.0)</f>
        <v>0</v>
      </c>
      <c r="BE8" s="3">
        <f>IFERROR(__xludf.DUMMYFUNCTION("""COMPUTED_VALUE"""),1.0)</f>
        <v>1</v>
      </c>
      <c r="BF8" s="3">
        <f>IFERROR(__xludf.DUMMYFUNCTION("""COMPUTED_VALUE"""),1.0)</f>
        <v>1</v>
      </c>
      <c r="BG8" s="3">
        <f>IFERROR(__xludf.DUMMYFUNCTION("""COMPUTED_VALUE"""),1.0)</f>
        <v>1</v>
      </c>
      <c r="BH8" s="3">
        <f>IFERROR(__xludf.DUMMYFUNCTION("""COMPUTED_VALUE"""),3.0)</f>
        <v>3</v>
      </c>
      <c r="BI8" s="3">
        <f>IFERROR(__xludf.DUMMYFUNCTION("""COMPUTED_VALUE"""),3.0)</f>
        <v>3</v>
      </c>
      <c r="BJ8" s="3">
        <f>IFERROR(__xludf.DUMMYFUNCTION("""COMPUTED_VALUE"""),3.0)</f>
        <v>3</v>
      </c>
      <c r="BK8" s="3">
        <f>IFERROR(__xludf.DUMMYFUNCTION("""COMPUTED_VALUE"""),3.0)</f>
        <v>3</v>
      </c>
      <c r="BL8" s="3">
        <f>IFERROR(__xludf.DUMMYFUNCTION("""COMPUTED_VALUE"""),3.0)</f>
        <v>3</v>
      </c>
      <c r="BM8" s="3">
        <f>IFERROR(__xludf.DUMMYFUNCTION("""COMPUTED_VALUE"""),3.0)</f>
        <v>3</v>
      </c>
      <c r="BN8" s="3">
        <f>IFERROR(__xludf.DUMMYFUNCTION("""COMPUTED_VALUE"""),3.0)</f>
        <v>3</v>
      </c>
      <c r="BO8" s="3">
        <f>IFERROR(__xludf.DUMMYFUNCTION("""COMPUTED_VALUE"""),52.0)</f>
        <v>52</v>
      </c>
      <c r="BP8" s="3">
        <f>IFERROR(__xludf.DUMMYFUNCTION("""COMPUTED_VALUE"""),52.0)</f>
        <v>52</v>
      </c>
      <c r="BQ8" s="3">
        <f>IFERROR(__xludf.DUMMYFUNCTION("""COMPUTED_VALUE"""),63.0)</f>
        <v>63</v>
      </c>
      <c r="BR8" s="3">
        <f>IFERROR(__xludf.DUMMYFUNCTION("""COMPUTED_VALUE"""),72.0)</f>
        <v>72</v>
      </c>
      <c r="BS8" s="3">
        <f>IFERROR(__xludf.DUMMYFUNCTION("""COMPUTED_VALUE"""),72.0)</f>
        <v>72</v>
      </c>
      <c r="BT8" s="3">
        <f>IFERROR(__xludf.DUMMYFUNCTION("""COMPUTED_VALUE"""),72.0)</f>
        <v>72</v>
      </c>
      <c r="BU8" s="3">
        <f>IFERROR(__xludf.DUMMYFUNCTION("""COMPUTED_VALUE"""),228.0)</f>
        <v>228</v>
      </c>
      <c r="BV8" s="3">
        <f>IFERROR(__xludf.DUMMYFUNCTION("""COMPUTED_VALUE"""),240.0)</f>
        <v>240</v>
      </c>
      <c r="BW8" s="3">
        <f>IFERROR(__xludf.DUMMYFUNCTION("""COMPUTED_VALUE"""),248.0)</f>
        <v>248</v>
      </c>
      <c r="BX8" s="3">
        <f>IFERROR(__xludf.DUMMYFUNCTION("""COMPUTED_VALUE"""),256.0)</f>
        <v>256</v>
      </c>
      <c r="BY8" s="3">
        <f>IFERROR(__xludf.DUMMYFUNCTION("""COMPUTED_VALUE"""),266.0)</f>
        <v>266</v>
      </c>
      <c r="BZ8" s="3">
        <f>IFERROR(__xludf.DUMMYFUNCTION("""COMPUTED_VALUE"""),279.0)</f>
        <v>279</v>
      </c>
      <c r="CA8" s="3">
        <f>IFERROR(__xludf.DUMMYFUNCTION("""COMPUTED_VALUE"""),280.0)</f>
        <v>280</v>
      </c>
      <c r="CB8" s="3">
        <f>IFERROR(__xludf.DUMMYFUNCTION("""COMPUTED_VALUE"""),325.0)</f>
        <v>325</v>
      </c>
    </row>
    <row r="9">
      <c r="A9" s="3" t="str">
        <f>IFERROR(__xludf.DUMMYFUNCTION("""COMPUTED_VALUE"""),"")</f>
        <v/>
      </c>
      <c r="B9" s="3" t="str">
        <f>IFERROR(__xludf.DUMMYFUNCTION("""COMPUTED_VALUE"""),"Armenia")</f>
        <v>Armenia</v>
      </c>
      <c r="C9" s="3">
        <f>IFERROR(__xludf.DUMMYFUNCTION("""COMPUTED_VALUE"""),40.0691)</f>
        <v>40.0691</v>
      </c>
      <c r="D9" s="3">
        <f>IFERROR(__xludf.DUMMYFUNCTION("""COMPUTED_VALUE"""),45.0382)</f>
        <v>45.0382</v>
      </c>
      <c r="E9" s="3">
        <f>IFERROR(__xludf.DUMMYFUNCTION("""COMPUTED_VALUE"""),0.0)</f>
        <v>0</v>
      </c>
      <c r="F9" s="3">
        <f>IFERROR(__xludf.DUMMYFUNCTION("""COMPUTED_VALUE"""),0.0)</f>
        <v>0</v>
      </c>
      <c r="G9" s="3">
        <f>IFERROR(__xludf.DUMMYFUNCTION("""COMPUTED_VALUE"""),0.0)</f>
        <v>0</v>
      </c>
      <c r="H9" s="3">
        <f>IFERROR(__xludf.DUMMYFUNCTION("""COMPUTED_VALUE"""),0.0)</f>
        <v>0</v>
      </c>
      <c r="I9" s="3">
        <f>IFERROR(__xludf.DUMMYFUNCTION("""COMPUTED_VALUE"""),0.0)</f>
        <v>0</v>
      </c>
      <c r="J9" s="3">
        <f>IFERROR(__xludf.DUMMYFUNCTION("""COMPUTED_VALUE"""),0.0)</f>
        <v>0</v>
      </c>
      <c r="K9" s="3">
        <f>IFERROR(__xludf.DUMMYFUNCTION("""COMPUTED_VALUE"""),0.0)</f>
        <v>0</v>
      </c>
      <c r="L9" s="3">
        <f>IFERROR(__xludf.DUMMYFUNCTION("""COMPUTED_VALUE"""),0.0)</f>
        <v>0</v>
      </c>
      <c r="M9" s="3">
        <f>IFERROR(__xludf.DUMMYFUNCTION("""COMPUTED_VALUE"""),0.0)</f>
        <v>0</v>
      </c>
      <c r="N9" s="3">
        <f>IFERROR(__xludf.DUMMYFUNCTION("""COMPUTED_VALUE"""),0.0)</f>
        <v>0</v>
      </c>
      <c r="O9" s="3">
        <f>IFERROR(__xludf.DUMMYFUNCTION("""COMPUTED_VALUE"""),0.0)</f>
        <v>0</v>
      </c>
      <c r="P9" s="3">
        <f>IFERROR(__xludf.DUMMYFUNCTION("""COMPUTED_VALUE"""),0.0)</f>
        <v>0</v>
      </c>
      <c r="Q9" s="3">
        <f>IFERROR(__xludf.DUMMYFUNCTION("""COMPUTED_VALUE"""),0.0)</f>
        <v>0</v>
      </c>
      <c r="R9" s="3">
        <f>IFERROR(__xludf.DUMMYFUNCTION("""COMPUTED_VALUE"""),0.0)</f>
        <v>0</v>
      </c>
      <c r="S9" s="3">
        <f>IFERROR(__xludf.DUMMYFUNCTION("""COMPUTED_VALUE"""),0.0)</f>
        <v>0</v>
      </c>
      <c r="T9" s="3">
        <f>IFERROR(__xludf.DUMMYFUNCTION("""COMPUTED_VALUE"""),0.0)</f>
        <v>0</v>
      </c>
      <c r="U9" s="3">
        <f>IFERROR(__xludf.DUMMYFUNCTION("""COMPUTED_VALUE"""),0.0)</f>
        <v>0</v>
      </c>
      <c r="V9" s="3">
        <f>IFERROR(__xludf.DUMMYFUNCTION("""COMPUTED_VALUE"""),0.0)</f>
        <v>0</v>
      </c>
      <c r="W9" s="3">
        <f>IFERROR(__xludf.DUMMYFUNCTION("""COMPUTED_VALUE"""),0.0)</f>
        <v>0</v>
      </c>
      <c r="X9" s="3">
        <f>IFERROR(__xludf.DUMMYFUNCTION("""COMPUTED_VALUE"""),0.0)</f>
        <v>0</v>
      </c>
      <c r="Y9" s="3">
        <f>IFERROR(__xludf.DUMMYFUNCTION("""COMPUTED_VALUE"""),0.0)</f>
        <v>0</v>
      </c>
      <c r="Z9" s="3">
        <f>IFERROR(__xludf.DUMMYFUNCTION("""COMPUTED_VALUE"""),0.0)</f>
        <v>0</v>
      </c>
      <c r="AA9" s="3">
        <f>IFERROR(__xludf.DUMMYFUNCTION("""COMPUTED_VALUE"""),0.0)</f>
        <v>0</v>
      </c>
      <c r="AB9" s="3">
        <f>IFERROR(__xludf.DUMMYFUNCTION("""COMPUTED_VALUE"""),0.0)</f>
        <v>0</v>
      </c>
      <c r="AC9" s="3">
        <f>IFERROR(__xludf.DUMMYFUNCTION("""COMPUTED_VALUE"""),0.0)</f>
        <v>0</v>
      </c>
      <c r="AD9" s="3">
        <f>IFERROR(__xludf.DUMMYFUNCTION("""COMPUTED_VALUE"""),0.0)</f>
        <v>0</v>
      </c>
      <c r="AE9" s="3">
        <f>IFERROR(__xludf.DUMMYFUNCTION("""COMPUTED_VALUE"""),0.0)</f>
        <v>0</v>
      </c>
      <c r="AF9" s="3">
        <f>IFERROR(__xludf.DUMMYFUNCTION("""COMPUTED_VALUE"""),0.0)</f>
        <v>0</v>
      </c>
      <c r="AG9" s="3">
        <f>IFERROR(__xludf.DUMMYFUNCTION("""COMPUTED_VALUE"""),0.0)</f>
        <v>0</v>
      </c>
      <c r="AH9" s="3">
        <f>IFERROR(__xludf.DUMMYFUNCTION("""COMPUTED_VALUE"""),0.0)</f>
        <v>0</v>
      </c>
      <c r="AI9" s="3">
        <f>IFERROR(__xludf.DUMMYFUNCTION("""COMPUTED_VALUE"""),0.0)</f>
        <v>0</v>
      </c>
      <c r="AJ9" s="3">
        <f>IFERROR(__xludf.DUMMYFUNCTION("""COMPUTED_VALUE"""),0.0)</f>
        <v>0</v>
      </c>
      <c r="AK9" s="3">
        <f>IFERROR(__xludf.DUMMYFUNCTION("""COMPUTED_VALUE"""),0.0)</f>
        <v>0</v>
      </c>
      <c r="AL9" s="3">
        <f>IFERROR(__xludf.DUMMYFUNCTION("""COMPUTED_VALUE"""),0.0)</f>
        <v>0</v>
      </c>
      <c r="AM9" s="3">
        <f>IFERROR(__xludf.DUMMYFUNCTION("""COMPUTED_VALUE"""),0.0)</f>
        <v>0</v>
      </c>
      <c r="AN9" s="3">
        <f>IFERROR(__xludf.DUMMYFUNCTION("""COMPUTED_VALUE"""),0.0)</f>
        <v>0</v>
      </c>
      <c r="AO9" s="3">
        <f>IFERROR(__xludf.DUMMYFUNCTION("""COMPUTED_VALUE"""),0.0)</f>
        <v>0</v>
      </c>
      <c r="AP9" s="3">
        <f>IFERROR(__xludf.DUMMYFUNCTION("""COMPUTED_VALUE"""),0.0)</f>
        <v>0</v>
      </c>
      <c r="AQ9" s="3">
        <f>IFERROR(__xludf.DUMMYFUNCTION("""COMPUTED_VALUE"""),0.0)</f>
        <v>0</v>
      </c>
      <c r="AR9" s="3">
        <f>IFERROR(__xludf.DUMMYFUNCTION("""COMPUTED_VALUE"""),0.0)</f>
        <v>0</v>
      </c>
      <c r="AS9" s="3">
        <f>IFERROR(__xludf.DUMMYFUNCTION("""COMPUTED_VALUE"""),0.0)</f>
        <v>0</v>
      </c>
      <c r="AT9" s="3">
        <f>IFERROR(__xludf.DUMMYFUNCTION("""COMPUTED_VALUE"""),0.0)</f>
        <v>0</v>
      </c>
      <c r="AU9" s="3">
        <f>IFERROR(__xludf.DUMMYFUNCTION("""COMPUTED_VALUE"""),0.0)</f>
        <v>0</v>
      </c>
      <c r="AV9" s="3">
        <f>IFERROR(__xludf.DUMMYFUNCTION("""COMPUTED_VALUE"""),0.0)</f>
        <v>0</v>
      </c>
      <c r="AW9" s="3">
        <f>IFERROR(__xludf.DUMMYFUNCTION("""COMPUTED_VALUE"""),0.0)</f>
        <v>0</v>
      </c>
      <c r="AX9" s="3">
        <f>IFERROR(__xludf.DUMMYFUNCTION("""COMPUTED_VALUE"""),0.0)</f>
        <v>0</v>
      </c>
      <c r="AY9" s="3">
        <f>IFERROR(__xludf.DUMMYFUNCTION("""COMPUTED_VALUE"""),0.0)</f>
        <v>0</v>
      </c>
      <c r="AZ9" s="3">
        <f>IFERROR(__xludf.DUMMYFUNCTION("""COMPUTED_VALUE"""),0.0)</f>
        <v>0</v>
      </c>
      <c r="BA9" s="3">
        <f>IFERROR(__xludf.DUMMYFUNCTION("""COMPUTED_VALUE"""),0.0)</f>
        <v>0</v>
      </c>
      <c r="BB9" s="3">
        <f>IFERROR(__xludf.DUMMYFUNCTION("""COMPUTED_VALUE"""),0.0)</f>
        <v>0</v>
      </c>
      <c r="BC9" s="3">
        <f>IFERROR(__xludf.DUMMYFUNCTION("""COMPUTED_VALUE"""),0.0)</f>
        <v>0</v>
      </c>
      <c r="BD9" s="3">
        <f>IFERROR(__xludf.DUMMYFUNCTION("""COMPUTED_VALUE"""),0.0)</f>
        <v>0</v>
      </c>
      <c r="BE9" s="3">
        <f>IFERROR(__xludf.DUMMYFUNCTION("""COMPUTED_VALUE"""),0.0)</f>
        <v>0</v>
      </c>
      <c r="BF9" s="3">
        <f>IFERROR(__xludf.DUMMYFUNCTION("""COMPUTED_VALUE"""),0.0)</f>
        <v>0</v>
      </c>
      <c r="BG9" s="3">
        <f>IFERROR(__xludf.DUMMYFUNCTION("""COMPUTED_VALUE"""),0.0)</f>
        <v>0</v>
      </c>
      <c r="BH9" s="3">
        <f>IFERROR(__xludf.DUMMYFUNCTION("""COMPUTED_VALUE"""),1.0)</f>
        <v>1</v>
      </c>
      <c r="BI9" s="3">
        <f>IFERROR(__xludf.DUMMYFUNCTION("""COMPUTED_VALUE"""),1.0)</f>
        <v>1</v>
      </c>
      <c r="BJ9" s="3">
        <f>IFERROR(__xludf.DUMMYFUNCTION("""COMPUTED_VALUE"""),1.0)</f>
        <v>1</v>
      </c>
      <c r="BK9" s="3">
        <f>IFERROR(__xludf.DUMMYFUNCTION("""COMPUTED_VALUE"""),1.0)</f>
        <v>1</v>
      </c>
      <c r="BL9" s="3">
        <f>IFERROR(__xludf.DUMMYFUNCTION("""COMPUTED_VALUE"""),1.0)</f>
        <v>1</v>
      </c>
      <c r="BM9" s="3">
        <f>IFERROR(__xludf.DUMMYFUNCTION("""COMPUTED_VALUE"""),2.0)</f>
        <v>2</v>
      </c>
      <c r="BN9" s="3">
        <f>IFERROR(__xludf.DUMMYFUNCTION("""COMPUTED_VALUE"""),2.0)</f>
        <v>2</v>
      </c>
      <c r="BO9" s="3">
        <f>IFERROR(__xludf.DUMMYFUNCTION("""COMPUTED_VALUE"""),14.0)</f>
        <v>14</v>
      </c>
      <c r="BP9" s="3">
        <f>IFERROR(__xludf.DUMMYFUNCTION("""COMPUTED_VALUE"""),16.0)</f>
        <v>16</v>
      </c>
      <c r="BQ9" s="3">
        <f>IFERROR(__xludf.DUMMYFUNCTION("""COMPUTED_VALUE"""),18.0)</f>
        <v>18</v>
      </c>
      <c r="BR9" s="3">
        <f>IFERROR(__xludf.DUMMYFUNCTION("""COMPUTED_VALUE"""),28.0)</f>
        <v>28</v>
      </c>
      <c r="BS9" s="3">
        <f>IFERROR(__xludf.DUMMYFUNCTION("""COMPUTED_VALUE"""),30.0)</f>
        <v>30</v>
      </c>
      <c r="BT9" s="3">
        <f>IFERROR(__xludf.DUMMYFUNCTION("""COMPUTED_VALUE"""),30.0)</f>
        <v>30</v>
      </c>
      <c r="BU9" s="3">
        <f>IFERROR(__xludf.DUMMYFUNCTION("""COMPUTED_VALUE"""),30.0)</f>
        <v>30</v>
      </c>
      <c r="BV9" s="3">
        <f>IFERROR(__xludf.DUMMYFUNCTION("""COMPUTED_VALUE"""),30.0)</f>
        <v>30</v>
      </c>
      <c r="BW9" s="3">
        <f>IFERROR(__xludf.DUMMYFUNCTION("""COMPUTED_VALUE"""),31.0)</f>
        <v>31</v>
      </c>
      <c r="BX9" s="3">
        <f>IFERROR(__xludf.DUMMYFUNCTION("""COMPUTED_VALUE"""),33.0)</f>
        <v>33</v>
      </c>
      <c r="BY9" s="3">
        <f>IFERROR(__xludf.DUMMYFUNCTION("""COMPUTED_VALUE"""),43.0)</f>
        <v>43</v>
      </c>
      <c r="BZ9" s="3">
        <f>IFERROR(__xludf.DUMMYFUNCTION("""COMPUTED_VALUE"""),43.0)</f>
        <v>43</v>
      </c>
      <c r="CA9" s="3">
        <f>IFERROR(__xludf.DUMMYFUNCTION("""COMPUTED_VALUE"""),57.0)</f>
        <v>57</v>
      </c>
      <c r="CB9" s="3">
        <f>IFERROR(__xludf.DUMMYFUNCTION("""COMPUTED_VALUE"""),62.0)</f>
        <v>62</v>
      </c>
    </row>
    <row r="10">
      <c r="A10" s="3" t="str">
        <f>IFERROR(__xludf.DUMMYFUNCTION("""COMPUTED_VALUE"""),"Australian Capital Territory")</f>
        <v>Australian Capital Territory</v>
      </c>
      <c r="B10" s="3" t="str">
        <f>IFERROR(__xludf.DUMMYFUNCTION("""COMPUTED_VALUE"""),"Australia")</f>
        <v>Australia</v>
      </c>
      <c r="C10" s="3">
        <f>IFERROR(__xludf.DUMMYFUNCTION("""COMPUTED_VALUE"""),-35.4735)</f>
        <v>-35.4735</v>
      </c>
      <c r="D10" s="3">
        <f>IFERROR(__xludf.DUMMYFUNCTION("""COMPUTED_VALUE"""),149.0124)</f>
        <v>149.0124</v>
      </c>
      <c r="E10" s="3">
        <f>IFERROR(__xludf.DUMMYFUNCTION("""COMPUTED_VALUE"""),0.0)</f>
        <v>0</v>
      </c>
      <c r="F10" s="3">
        <f>IFERROR(__xludf.DUMMYFUNCTION("""COMPUTED_VALUE"""),0.0)</f>
        <v>0</v>
      </c>
      <c r="G10" s="3">
        <f>IFERROR(__xludf.DUMMYFUNCTION("""COMPUTED_VALUE"""),0.0)</f>
        <v>0</v>
      </c>
      <c r="H10" s="3">
        <f>IFERROR(__xludf.DUMMYFUNCTION("""COMPUTED_VALUE"""),0.0)</f>
        <v>0</v>
      </c>
      <c r="I10" s="3">
        <f>IFERROR(__xludf.DUMMYFUNCTION("""COMPUTED_VALUE"""),0.0)</f>
        <v>0</v>
      </c>
      <c r="J10" s="3">
        <f>IFERROR(__xludf.DUMMYFUNCTION("""COMPUTED_VALUE"""),0.0)</f>
        <v>0</v>
      </c>
      <c r="K10" s="3">
        <f>IFERROR(__xludf.DUMMYFUNCTION("""COMPUTED_VALUE"""),0.0)</f>
        <v>0</v>
      </c>
      <c r="L10" s="3">
        <f>IFERROR(__xludf.DUMMYFUNCTION("""COMPUTED_VALUE"""),0.0)</f>
        <v>0</v>
      </c>
      <c r="M10" s="3">
        <f>IFERROR(__xludf.DUMMYFUNCTION("""COMPUTED_VALUE"""),0.0)</f>
        <v>0</v>
      </c>
      <c r="N10" s="3">
        <f>IFERROR(__xludf.DUMMYFUNCTION("""COMPUTED_VALUE"""),0.0)</f>
        <v>0</v>
      </c>
      <c r="O10" s="3">
        <f>IFERROR(__xludf.DUMMYFUNCTION("""COMPUTED_VALUE"""),0.0)</f>
        <v>0</v>
      </c>
      <c r="P10" s="3">
        <f>IFERROR(__xludf.DUMMYFUNCTION("""COMPUTED_VALUE"""),0.0)</f>
        <v>0</v>
      </c>
      <c r="Q10" s="3">
        <f>IFERROR(__xludf.DUMMYFUNCTION("""COMPUTED_VALUE"""),0.0)</f>
        <v>0</v>
      </c>
      <c r="R10" s="3">
        <f>IFERROR(__xludf.DUMMYFUNCTION("""COMPUTED_VALUE"""),0.0)</f>
        <v>0</v>
      </c>
      <c r="S10" s="3">
        <f>IFERROR(__xludf.DUMMYFUNCTION("""COMPUTED_VALUE"""),0.0)</f>
        <v>0</v>
      </c>
      <c r="T10" s="3">
        <f>IFERROR(__xludf.DUMMYFUNCTION("""COMPUTED_VALUE"""),0.0)</f>
        <v>0</v>
      </c>
      <c r="U10" s="3">
        <f>IFERROR(__xludf.DUMMYFUNCTION("""COMPUTED_VALUE"""),0.0)</f>
        <v>0</v>
      </c>
      <c r="V10" s="3">
        <f>IFERROR(__xludf.DUMMYFUNCTION("""COMPUTED_VALUE"""),0.0)</f>
        <v>0</v>
      </c>
      <c r="W10" s="3">
        <f>IFERROR(__xludf.DUMMYFUNCTION("""COMPUTED_VALUE"""),0.0)</f>
        <v>0</v>
      </c>
      <c r="X10" s="3">
        <f>IFERROR(__xludf.DUMMYFUNCTION("""COMPUTED_VALUE"""),0.0)</f>
        <v>0</v>
      </c>
      <c r="Y10" s="3">
        <f>IFERROR(__xludf.DUMMYFUNCTION("""COMPUTED_VALUE"""),0.0)</f>
        <v>0</v>
      </c>
      <c r="Z10" s="3">
        <f>IFERROR(__xludf.DUMMYFUNCTION("""COMPUTED_VALUE"""),0.0)</f>
        <v>0</v>
      </c>
      <c r="AA10" s="3">
        <f>IFERROR(__xludf.DUMMYFUNCTION("""COMPUTED_VALUE"""),0.0)</f>
        <v>0</v>
      </c>
      <c r="AB10" s="3">
        <f>IFERROR(__xludf.DUMMYFUNCTION("""COMPUTED_VALUE"""),0.0)</f>
        <v>0</v>
      </c>
      <c r="AC10" s="3">
        <f>IFERROR(__xludf.DUMMYFUNCTION("""COMPUTED_VALUE"""),0.0)</f>
        <v>0</v>
      </c>
      <c r="AD10" s="3">
        <f>IFERROR(__xludf.DUMMYFUNCTION("""COMPUTED_VALUE"""),0.0)</f>
        <v>0</v>
      </c>
      <c r="AE10" s="3">
        <f>IFERROR(__xludf.DUMMYFUNCTION("""COMPUTED_VALUE"""),0.0)</f>
        <v>0</v>
      </c>
      <c r="AF10" s="3">
        <f>IFERROR(__xludf.DUMMYFUNCTION("""COMPUTED_VALUE"""),0.0)</f>
        <v>0</v>
      </c>
      <c r="AG10" s="3">
        <f>IFERROR(__xludf.DUMMYFUNCTION("""COMPUTED_VALUE"""),0.0)</f>
        <v>0</v>
      </c>
      <c r="AH10" s="3">
        <f>IFERROR(__xludf.DUMMYFUNCTION("""COMPUTED_VALUE"""),0.0)</f>
        <v>0</v>
      </c>
      <c r="AI10" s="3">
        <f>IFERROR(__xludf.DUMMYFUNCTION("""COMPUTED_VALUE"""),0.0)</f>
        <v>0</v>
      </c>
      <c r="AJ10" s="3">
        <f>IFERROR(__xludf.DUMMYFUNCTION("""COMPUTED_VALUE"""),0.0)</f>
        <v>0</v>
      </c>
      <c r="AK10" s="3">
        <f>IFERROR(__xludf.DUMMYFUNCTION("""COMPUTED_VALUE"""),0.0)</f>
        <v>0</v>
      </c>
      <c r="AL10" s="3">
        <f>IFERROR(__xludf.DUMMYFUNCTION("""COMPUTED_VALUE"""),0.0)</f>
        <v>0</v>
      </c>
      <c r="AM10" s="3">
        <f>IFERROR(__xludf.DUMMYFUNCTION("""COMPUTED_VALUE"""),0.0)</f>
        <v>0</v>
      </c>
      <c r="AN10" s="3">
        <f>IFERROR(__xludf.DUMMYFUNCTION("""COMPUTED_VALUE"""),0.0)</f>
        <v>0</v>
      </c>
      <c r="AO10" s="3">
        <f>IFERROR(__xludf.DUMMYFUNCTION("""COMPUTED_VALUE"""),0.0)</f>
        <v>0</v>
      </c>
      <c r="AP10" s="3">
        <f>IFERROR(__xludf.DUMMYFUNCTION("""COMPUTED_VALUE"""),0.0)</f>
        <v>0</v>
      </c>
      <c r="AQ10" s="3">
        <f>IFERROR(__xludf.DUMMYFUNCTION("""COMPUTED_VALUE"""),0.0)</f>
        <v>0</v>
      </c>
      <c r="AR10" s="3">
        <f>IFERROR(__xludf.DUMMYFUNCTION("""COMPUTED_VALUE"""),0.0)</f>
        <v>0</v>
      </c>
      <c r="AS10" s="3">
        <f>IFERROR(__xludf.DUMMYFUNCTION("""COMPUTED_VALUE"""),0.0)</f>
        <v>0</v>
      </c>
      <c r="AT10" s="3">
        <f>IFERROR(__xludf.DUMMYFUNCTION("""COMPUTED_VALUE"""),0.0)</f>
        <v>0</v>
      </c>
      <c r="AU10" s="3">
        <f>IFERROR(__xludf.DUMMYFUNCTION("""COMPUTED_VALUE"""),0.0)</f>
        <v>0</v>
      </c>
      <c r="AV10" s="3">
        <f>IFERROR(__xludf.DUMMYFUNCTION("""COMPUTED_VALUE"""),0.0)</f>
        <v>0</v>
      </c>
      <c r="AW10" s="3">
        <f>IFERROR(__xludf.DUMMYFUNCTION("""COMPUTED_VALUE"""),0.0)</f>
        <v>0</v>
      </c>
      <c r="AX10" s="3">
        <f>IFERROR(__xludf.DUMMYFUNCTION("""COMPUTED_VALUE"""),0.0)</f>
        <v>0</v>
      </c>
      <c r="AY10" s="3">
        <f>IFERROR(__xludf.DUMMYFUNCTION("""COMPUTED_VALUE"""),0.0)</f>
        <v>0</v>
      </c>
      <c r="AZ10" s="3">
        <f>IFERROR(__xludf.DUMMYFUNCTION("""COMPUTED_VALUE"""),0.0)</f>
        <v>0</v>
      </c>
      <c r="BA10" s="3">
        <f>IFERROR(__xludf.DUMMYFUNCTION("""COMPUTED_VALUE"""),0.0)</f>
        <v>0</v>
      </c>
      <c r="BB10" s="3">
        <f>IFERROR(__xludf.DUMMYFUNCTION("""COMPUTED_VALUE"""),0.0)</f>
        <v>0</v>
      </c>
      <c r="BC10" s="3">
        <f>IFERROR(__xludf.DUMMYFUNCTION("""COMPUTED_VALUE"""),0.0)</f>
        <v>0</v>
      </c>
      <c r="BD10" s="3">
        <f>IFERROR(__xludf.DUMMYFUNCTION("""COMPUTED_VALUE"""),0.0)</f>
        <v>0</v>
      </c>
      <c r="BE10" s="3">
        <f>IFERROR(__xludf.DUMMYFUNCTION("""COMPUTED_VALUE"""),0.0)</f>
        <v>0</v>
      </c>
      <c r="BF10" s="3">
        <f>IFERROR(__xludf.DUMMYFUNCTION("""COMPUTED_VALUE"""),0.0)</f>
        <v>0</v>
      </c>
      <c r="BG10" s="3">
        <f>IFERROR(__xludf.DUMMYFUNCTION("""COMPUTED_VALUE"""),0.0)</f>
        <v>0</v>
      </c>
      <c r="BH10" s="3">
        <f>IFERROR(__xludf.DUMMYFUNCTION("""COMPUTED_VALUE"""),0.0)</f>
        <v>0</v>
      </c>
      <c r="BI10" s="3">
        <f>IFERROR(__xludf.DUMMYFUNCTION("""COMPUTED_VALUE"""),0.0)</f>
        <v>0</v>
      </c>
      <c r="BJ10" s="3">
        <f>IFERROR(__xludf.DUMMYFUNCTION("""COMPUTED_VALUE"""),0.0)</f>
        <v>0</v>
      </c>
      <c r="BK10" s="3">
        <f>IFERROR(__xludf.DUMMYFUNCTION("""COMPUTED_VALUE"""),0.0)</f>
        <v>0</v>
      </c>
      <c r="BL10" s="3">
        <f>IFERROR(__xludf.DUMMYFUNCTION("""COMPUTED_VALUE"""),0.0)</f>
        <v>0</v>
      </c>
      <c r="BM10" s="3">
        <f>IFERROR(__xludf.DUMMYFUNCTION("""COMPUTED_VALUE"""),0.0)</f>
        <v>0</v>
      </c>
      <c r="BN10" s="3">
        <f>IFERROR(__xludf.DUMMYFUNCTION("""COMPUTED_VALUE"""),0.0)</f>
        <v>0</v>
      </c>
      <c r="BO10" s="3">
        <f>IFERROR(__xludf.DUMMYFUNCTION("""COMPUTED_VALUE"""),0.0)</f>
        <v>0</v>
      </c>
      <c r="BP10" s="3">
        <f>IFERROR(__xludf.DUMMYFUNCTION("""COMPUTED_VALUE"""),0.0)</f>
        <v>0</v>
      </c>
      <c r="BQ10" s="3">
        <f>IFERROR(__xludf.DUMMYFUNCTION("""COMPUTED_VALUE"""),1.0)</f>
        <v>1</v>
      </c>
      <c r="BR10" s="3">
        <f>IFERROR(__xludf.DUMMYFUNCTION("""COMPUTED_VALUE"""),1.0)</f>
        <v>1</v>
      </c>
      <c r="BS10" s="3">
        <f>IFERROR(__xludf.DUMMYFUNCTION("""COMPUTED_VALUE"""),2.0)</f>
        <v>2</v>
      </c>
      <c r="BT10" s="3">
        <f>IFERROR(__xludf.DUMMYFUNCTION("""COMPUTED_VALUE"""),2.0)</f>
        <v>2</v>
      </c>
      <c r="BU10" s="3">
        <f>IFERROR(__xludf.DUMMYFUNCTION("""COMPUTED_VALUE"""),2.0)</f>
        <v>2</v>
      </c>
      <c r="BV10" s="3">
        <f>IFERROR(__xludf.DUMMYFUNCTION("""COMPUTED_VALUE"""),3.0)</f>
        <v>3</v>
      </c>
      <c r="BW10" s="3">
        <f>IFERROR(__xludf.DUMMYFUNCTION("""COMPUTED_VALUE"""),8.0)</f>
        <v>8</v>
      </c>
      <c r="BX10" s="3">
        <f>IFERROR(__xludf.DUMMYFUNCTION("""COMPUTED_VALUE"""),11.0)</f>
        <v>11</v>
      </c>
      <c r="BY10" s="3">
        <f>IFERROR(__xludf.DUMMYFUNCTION("""COMPUTED_VALUE"""),18.0)</f>
        <v>18</v>
      </c>
      <c r="BZ10" s="3">
        <f>IFERROR(__xludf.DUMMYFUNCTION("""COMPUTED_VALUE"""),18.0)</f>
        <v>18</v>
      </c>
      <c r="CA10" s="3">
        <f>IFERROR(__xludf.DUMMYFUNCTION("""COMPUTED_VALUE"""),28.0)</f>
        <v>28</v>
      </c>
      <c r="CB10" s="3">
        <f>IFERROR(__xludf.DUMMYFUNCTION("""COMPUTED_VALUE"""),40.0)</f>
        <v>40</v>
      </c>
    </row>
    <row r="11">
      <c r="A11" s="3" t="str">
        <f>IFERROR(__xludf.DUMMYFUNCTION("""COMPUTED_VALUE"""),"New South Wales")</f>
        <v>New South Wales</v>
      </c>
      <c r="B11" s="3" t="str">
        <f>IFERROR(__xludf.DUMMYFUNCTION("""COMPUTED_VALUE"""),"Australia")</f>
        <v>Australia</v>
      </c>
      <c r="C11" s="3">
        <f>IFERROR(__xludf.DUMMYFUNCTION("""COMPUTED_VALUE"""),-33.8688)</f>
        <v>-33.8688</v>
      </c>
      <c r="D11" s="3">
        <f>IFERROR(__xludf.DUMMYFUNCTION("""COMPUTED_VALUE"""),151.2093)</f>
        <v>151.2093</v>
      </c>
      <c r="E11" s="3">
        <f>IFERROR(__xludf.DUMMYFUNCTION("""COMPUTED_VALUE"""),0.0)</f>
        <v>0</v>
      </c>
      <c r="F11" s="3">
        <f>IFERROR(__xludf.DUMMYFUNCTION("""COMPUTED_VALUE"""),0.0)</f>
        <v>0</v>
      </c>
      <c r="G11" s="3">
        <f>IFERROR(__xludf.DUMMYFUNCTION("""COMPUTED_VALUE"""),0.0)</f>
        <v>0</v>
      </c>
      <c r="H11" s="3">
        <f>IFERROR(__xludf.DUMMYFUNCTION("""COMPUTED_VALUE"""),0.0)</f>
        <v>0</v>
      </c>
      <c r="I11" s="3">
        <f>IFERROR(__xludf.DUMMYFUNCTION("""COMPUTED_VALUE"""),0.0)</f>
        <v>0</v>
      </c>
      <c r="J11" s="3">
        <f>IFERROR(__xludf.DUMMYFUNCTION("""COMPUTED_VALUE"""),0.0)</f>
        <v>0</v>
      </c>
      <c r="K11" s="3">
        <f>IFERROR(__xludf.DUMMYFUNCTION("""COMPUTED_VALUE"""),0.0)</f>
        <v>0</v>
      </c>
      <c r="L11" s="3">
        <f>IFERROR(__xludf.DUMMYFUNCTION("""COMPUTED_VALUE"""),0.0)</f>
        <v>0</v>
      </c>
      <c r="M11" s="3">
        <f>IFERROR(__xludf.DUMMYFUNCTION("""COMPUTED_VALUE"""),2.0)</f>
        <v>2</v>
      </c>
      <c r="N11" s="3">
        <f>IFERROR(__xludf.DUMMYFUNCTION("""COMPUTED_VALUE"""),2.0)</f>
        <v>2</v>
      </c>
      <c r="O11" s="3">
        <f>IFERROR(__xludf.DUMMYFUNCTION("""COMPUTED_VALUE"""),2.0)</f>
        <v>2</v>
      </c>
      <c r="P11" s="3">
        <f>IFERROR(__xludf.DUMMYFUNCTION("""COMPUTED_VALUE"""),2.0)</f>
        <v>2</v>
      </c>
      <c r="Q11" s="3">
        <f>IFERROR(__xludf.DUMMYFUNCTION("""COMPUTED_VALUE"""),2.0)</f>
        <v>2</v>
      </c>
      <c r="R11" s="3">
        <f>IFERROR(__xludf.DUMMYFUNCTION("""COMPUTED_VALUE"""),2.0)</f>
        <v>2</v>
      </c>
      <c r="S11" s="3">
        <f>IFERROR(__xludf.DUMMYFUNCTION("""COMPUTED_VALUE"""),2.0)</f>
        <v>2</v>
      </c>
      <c r="T11" s="3">
        <f>IFERROR(__xludf.DUMMYFUNCTION("""COMPUTED_VALUE"""),2.0)</f>
        <v>2</v>
      </c>
      <c r="U11" s="3">
        <f>IFERROR(__xludf.DUMMYFUNCTION("""COMPUTED_VALUE"""),2.0)</f>
        <v>2</v>
      </c>
      <c r="V11" s="3">
        <f>IFERROR(__xludf.DUMMYFUNCTION("""COMPUTED_VALUE"""),2.0)</f>
        <v>2</v>
      </c>
      <c r="W11" s="3">
        <f>IFERROR(__xludf.DUMMYFUNCTION("""COMPUTED_VALUE"""),2.0)</f>
        <v>2</v>
      </c>
      <c r="X11" s="3">
        <f>IFERROR(__xludf.DUMMYFUNCTION("""COMPUTED_VALUE"""),2.0)</f>
        <v>2</v>
      </c>
      <c r="Y11" s="3">
        <f>IFERROR(__xludf.DUMMYFUNCTION("""COMPUTED_VALUE"""),2.0)</f>
        <v>2</v>
      </c>
      <c r="Z11" s="3">
        <f>IFERROR(__xludf.DUMMYFUNCTION("""COMPUTED_VALUE"""),2.0)</f>
        <v>2</v>
      </c>
      <c r="AA11" s="3">
        <f>IFERROR(__xludf.DUMMYFUNCTION("""COMPUTED_VALUE"""),4.0)</f>
        <v>4</v>
      </c>
      <c r="AB11" s="3">
        <f>IFERROR(__xludf.DUMMYFUNCTION("""COMPUTED_VALUE"""),4.0)</f>
        <v>4</v>
      </c>
      <c r="AC11" s="3">
        <f>IFERROR(__xludf.DUMMYFUNCTION("""COMPUTED_VALUE"""),4.0)</f>
        <v>4</v>
      </c>
      <c r="AD11" s="3">
        <f>IFERROR(__xludf.DUMMYFUNCTION("""COMPUTED_VALUE"""),4.0)</f>
        <v>4</v>
      </c>
      <c r="AE11" s="3">
        <f>IFERROR(__xludf.DUMMYFUNCTION("""COMPUTED_VALUE"""),4.0)</f>
        <v>4</v>
      </c>
      <c r="AF11" s="3">
        <f>IFERROR(__xludf.DUMMYFUNCTION("""COMPUTED_VALUE"""),4.0)</f>
        <v>4</v>
      </c>
      <c r="AG11" s="3">
        <f>IFERROR(__xludf.DUMMYFUNCTION("""COMPUTED_VALUE"""),4.0)</f>
        <v>4</v>
      </c>
      <c r="AH11" s="3">
        <f>IFERROR(__xludf.DUMMYFUNCTION("""COMPUTED_VALUE"""),4.0)</f>
        <v>4</v>
      </c>
      <c r="AI11" s="3">
        <f>IFERROR(__xludf.DUMMYFUNCTION("""COMPUTED_VALUE"""),4.0)</f>
        <v>4</v>
      </c>
      <c r="AJ11" s="3">
        <f>IFERROR(__xludf.DUMMYFUNCTION("""COMPUTED_VALUE"""),4.0)</f>
        <v>4</v>
      </c>
      <c r="AK11" s="3">
        <f>IFERROR(__xludf.DUMMYFUNCTION("""COMPUTED_VALUE"""),4.0)</f>
        <v>4</v>
      </c>
      <c r="AL11" s="3">
        <f>IFERROR(__xludf.DUMMYFUNCTION("""COMPUTED_VALUE"""),4.0)</f>
        <v>4</v>
      </c>
      <c r="AM11" s="3">
        <f>IFERROR(__xludf.DUMMYFUNCTION("""COMPUTED_VALUE"""),4.0)</f>
        <v>4</v>
      </c>
      <c r="AN11" s="3">
        <f>IFERROR(__xludf.DUMMYFUNCTION("""COMPUTED_VALUE"""),4.0)</f>
        <v>4</v>
      </c>
      <c r="AO11" s="3">
        <f>IFERROR(__xludf.DUMMYFUNCTION("""COMPUTED_VALUE"""),4.0)</f>
        <v>4</v>
      </c>
      <c r="AP11" s="3">
        <f>IFERROR(__xludf.DUMMYFUNCTION("""COMPUTED_VALUE"""),4.0)</f>
        <v>4</v>
      </c>
      <c r="AQ11" s="3">
        <f>IFERROR(__xludf.DUMMYFUNCTION("""COMPUTED_VALUE"""),4.0)</f>
        <v>4</v>
      </c>
      <c r="AR11" s="3">
        <f>IFERROR(__xludf.DUMMYFUNCTION("""COMPUTED_VALUE"""),4.0)</f>
        <v>4</v>
      </c>
      <c r="AS11" s="3">
        <f>IFERROR(__xludf.DUMMYFUNCTION("""COMPUTED_VALUE"""),4.0)</f>
        <v>4</v>
      </c>
      <c r="AT11" s="3">
        <f>IFERROR(__xludf.DUMMYFUNCTION("""COMPUTED_VALUE"""),4.0)</f>
        <v>4</v>
      </c>
      <c r="AU11" s="3">
        <f>IFERROR(__xludf.DUMMYFUNCTION("""COMPUTED_VALUE"""),4.0)</f>
        <v>4</v>
      </c>
      <c r="AV11" s="3">
        <f>IFERROR(__xludf.DUMMYFUNCTION("""COMPUTED_VALUE"""),4.0)</f>
        <v>4</v>
      </c>
      <c r="AW11" s="3">
        <f>IFERROR(__xludf.DUMMYFUNCTION("""COMPUTED_VALUE"""),4.0)</f>
        <v>4</v>
      </c>
      <c r="AX11" s="3">
        <f>IFERROR(__xludf.DUMMYFUNCTION("""COMPUTED_VALUE"""),4.0)</f>
        <v>4</v>
      </c>
      <c r="AY11" s="3">
        <f>IFERROR(__xludf.DUMMYFUNCTION("""COMPUTED_VALUE"""),4.0)</f>
        <v>4</v>
      </c>
      <c r="AZ11" s="3">
        <f>IFERROR(__xludf.DUMMYFUNCTION("""COMPUTED_VALUE"""),4.0)</f>
        <v>4</v>
      </c>
      <c r="BA11" s="3">
        <f>IFERROR(__xludf.DUMMYFUNCTION("""COMPUTED_VALUE"""),4.0)</f>
        <v>4</v>
      </c>
      <c r="BB11" s="3">
        <f>IFERROR(__xludf.DUMMYFUNCTION("""COMPUTED_VALUE"""),4.0)</f>
        <v>4</v>
      </c>
      <c r="BC11" s="3">
        <f>IFERROR(__xludf.DUMMYFUNCTION("""COMPUTED_VALUE"""),4.0)</f>
        <v>4</v>
      </c>
      <c r="BD11" s="3">
        <f>IFERROR(__xludf.DUMMYFUNCTION("""COMPUTED_VALUE"""),4.0)</f>
        <v>4</v>
      </c>
      <c r="BE11" s="3">
        <f>IFERROR(__xludf.DUMMYFUNCTION("""COMPUTED_VALUE"""),4.0)</f>
        <v>4</v>
      </c>
      <c r="BF11" s="3">
        <f>IFERROR(__xludf.DUMMYFUNCTION("""COMPUTED_VALUE"""),4.0)</f>
        <v>4</v>
      </c>
      <c r="BG11" s="3">
        <f>IFERROR(__xludf.DUMMYFUNCTION("""COMPUTED_VALUE"""),4.0)</f>
        <v>4</v>
      </c>
      <c r="BH11" s="3">
        <f>IFERROR(__xludf.DUMMYFUNCTION("""COMPUTED_VALUE"""),4.0)</f>
        <v>4</v>
      </c>
      <c r="BI11" s="3">
        <f>IFERROR(__xludf.DUMMYFUNCTION("""COMPUTED_VALUE"""),4.0)</f>
        <v>4</v>
      </c>
      <c r="BJ11" s="3">
        <f>IFERROR(__xludf.DUMMYFUNCTION("""COMPUTED_VALUE"""),4.0)</f>
        <v>4</v>
      </c>
      <c r="BK11" s="3">
        <f>IFERROR(__xludf.DUMMYFUNCTION("""COMPUTED_VALUE"""),4.0)</f>
        <v>4</v>
      </c>
      <c r="BL11" s="3">
        <f>IFERROR(__xludf.DUMMYFUNCTION("""COMPUTED_VALUE"""),4.0)</f>
        <v>4</v>
      </c>
      <c r="BM11" s="3">
        <f>IFERROR(__xludf.DUMMYFUNCTION("""COMPUTED_VALUE"""),4.0)</f>
        <v>4</v>
      </c>
      <c r="BN11" s="3">
        <f>IFERROR(__xludf.DUMMYFUNCTION("""COMPUTED_VALUE"""),4.0)</f>
        <v>4</v>
      </c>
      <c r="BO11" s="3">
        <f>IFERROR(__xludf.DUMMYFUNCTION("""COMPUTED_VALUE"""),4.0)</f>
        <v>4</v>
      </c>
      <c r="BP11" s="3">
        <f>IFERROR(__xludf.DUMMYFUNCTION("""COMPUTED_VALUE"""),4.0)</f>
        <v>4</v>
      </c>
      <c r="BQ11" s="3">
        <f>IFERROR(__xludf.DUMMYFUNCTION("""COMPUTED_VALUE"""),4.0)</f>
        <v>4</v>
      </c>
      <c r="BR11" s="3">
        <f>IFERROR(__xludf.DUMMYFUNCTION("""COMPUTED_VALUE"""),4.0)</f>
        <v>4</v>
      </c>
      <c r="BS11" s="3">
        <f>IFERROR(__xludf.DUMMYFUNCTION("""COMPUTED_VALUE"""),4.0)</f>
        <v>4</v>
      </c>
      <c r="BT11" s="3">
        <f>IFERROR(__xludf.DUMMYFUNCTION("""COMPUTED_VALUE"""),4.0)</f>
        <v>4</v>
      </c>
      <c r="BU11" s="3">
        <f>IFERROR(__xludf.DUMMYFUNCTION("""COMPUTED_VALUE"""),4.0)</f>
        <v>4</v>
      </c>
      <c r="BV11" s="3">
        <f>IFERROR(__xludf.DUMMYFUNCTION("""COMPUTED_VALUE"""),4.0)</f>
        <v>4</v>
      </c>
      <c r="BW11" s="3">
        <f>IFERROR(__xludf.DUMMYFUNCTION("""COMPUTED_VALUE"""),4.0)</f>
        <v>4</v>
      </c>
      <c r="BX11" s="3">
        <f>IFERROR(__xludf.DUMMYFUNCTION("""COMPUTED_VALUE"""),4.0)</f>
        <v>4</v>
      </c>
      <c r="BY11" s="3">
        <f>IFERROR(__xludf.DUMMYFUNCTION("""COMPUTED_VALUE"""),4.0)</f>
        <v>4</v>
      </c>
      <c r="BZ11" s="3">
        <f>IFERROR(__xludf.DUMMYFUNCTION("""COMPUTED_VALUE"""),4.0)</f>
        <v>4</v>
      </c>
      <c r="CA11" s="3">
        <f>IFERROR(__xludf.DUMMYFUNCTION("""COMPUTED_VALUE"""),4.0)</f>
        <v>4</v>
      </c>
      <c r="CB11" s="3">
        <f>IFERROR(__xludf.DUMMYFUNCTION("""COMPUTED_VALUE"""),4.0)</f>
        <v>4</v>
      </c>
    </row>
    <row r="12">
      <c r="A12" s="3" t="str">
        <f>IFERROR(__xludf.DUMMYFUNCTION("""COMPUTED_VALUE"""),"Northern Territory")</f>
        <v>Northern Territory</v>
      </c>
      <c r="B12" s="3" t="str">
        <f>IFERROR(__xludf.DUMMYFUNCTION("""COMPUTED_VALUE"""),"Australia")</f>
        <v>Australia</v>
      </c>
      <c r="C12" s="3">
        <f>IFERROR(__xludf.DUMMYFUNCTION("""COMPUTED_VALUE"""),-12.4634)</f>
        <v>-12.4634</v>
      </c>
      <c r="D12" s="3">
        <f>IFERROR(__xludf.DUMMYFUNCTION("""COMPUTED_VALUE"""),130.8456)</f>
        <v>130.8456</v>
      </c>
      <c r="E12" s="3">
        <f>IFERROR(__xludf.DUMMYFUNCTION("""COMPUTED_VALUE"""),0.0)</f>
        <v>0</v>
      </c>
      <c r="F12" s="3">
        <f>IFERROR(__xludf.DUMMYFUNCTION("""COMPUTED_VALUE"""),0.0)</f>
        <v>0</v>
      </c>
      <c r="G12" s="3">
        <f>IFERROR(__xludf.DUMMYFUNCTION("""COMPUTED_VALUE"""),0.0)</f>
        <v>0</v>
      </c>
      <c r="H12" s="3">
        <f>IFERROR(__xludf.DUMMYFUNCTION("""COMPUTED_VALUE"""),0.0)</f>
        <v>0</v>
      </c>
      <c r="I12" s="3">
        <f>IFERROR(__xludf.DUMMYFUNCTION("""COMPUTED_VALUE"""),0.0)</f>
        <v>0</v>
      </c>
      <c r="J12" s="3">
        <f>IFERROR(__xludf.DUMMYFUNCTION("""COMPUTED_VALUE"""),0.0)</f>
        <v>0</v>
      </c>
      <c r="K12" s="3">
        <f>IFERROR(__xludf.DUMMYFUNCTION("""COMPUTED_VALUE"""),0.0)</f>
        <v>0</v>
      </c>
      <c r="L12" s="3">
        <f>IFERROR(__xludf.DUMMYFUNCTION("""COMPUTED_VALUE"""),0.0)</f>
        <v>0</v>
      </c>
      <c r="M12" s="3">
        <f>IFERROR(__xludf.DUMMYFUNCTION("""COMPUTED_VALUE"""),0.0)</f>
        <v>0</v>
      </c>
      <c r="N12" s="3">
        <f>IFERROR(__xludf.DUMMYFUNCTION("""COMPUTED_VALUE"""),0.0)</f>
        <v>0</v>
      </c>
      <c r="O12" s="3">
        <f>IFERROR(__xludf.DUMMYFUNCTION("""COMPUTED_VALUE"""),0.0)</f>
        <v>0</v>
      </c>
      <c r="P12" s="3">
        <f>IFERROR(__xludf.DUMMYFUNCTION("""COMPUTED_VALUE"""),0.0)</f>
        <v>0</v>
      </c>
      <c r="Q12" s="3">
        <f>IFERROR(__xludf.DUMMYFUNCTION("""COMPUTED_VALUE"""),0.0)</f>
        <v>0</v>
      </c>
      <c r="R12" s="3">
        <f>IFERROR(__xludf.DUMMYFUNCTION("""COMPUTED_VALUE"""),0.0)</f>
        <v>0</v>
      </c>
      <c r="S12" s="3">
        <f>IFERROR(__xludf.DUMMYFUNCTION("""COMPUTED_VALUE"""),0.0)</f>
        <v>0</v>
      </c>
      <c r="T12" s="3">
        <f>IFERROR(__xludf.DUMMYFUNCTION("""COMPUTED_VALUE"""),0.0)</f>
        <v>0</v>
      </c>
      <c r="U12" s="3">
        <f>IFERROR(__xludf.DUMMYFUNCTION("""COMPUTED_VALUE"""),0.0)</f>
        <v>0</v>
      </c>
      <c r="V12" s="3">
        <f>IFERROR(__xludf.DUMMYFUNCTION("""COMPUTED_VALUE"""),0.0)</f>
        <v>0</v>
      </c>
      <c r="W12" s="3">
        <f>IFERROR(__xludf.DUMMYFUNCTION("""COMPUTED_VALUE"""),0.0)</f>
        <v>0</v>
      </c>
      <c r="X12" s="3">
        <f>IFERROR(__xludf.DUMMYFUNCTION("""COMPUTED_VALUE"""),0.0)</f>
        <v>0</v>
      </c>
      <c r="Y12" s="3">
        <f>IFERROR(__xludf.DUMMYFUNCTION("""COMPUTED_VALUE"""),0.0)</f>
        <v>0</v>
      </c>
      <c r="Z12" s="3">
        <f>IFERROR(__xludf.DUMMYFUNCTION("""COMPUTED_VALUE"""),0.0)</f>
        <v>0</v>
      </c>
      <c r="AA12" s="3">
        <f>IFERROR(__xludf.DUMMYFUNCTION("""COMPUTED_VALUE"""),0.0)</f>
        <v>0</v>
      </c>
      <c r="AB12" s="3">
        <f>IFERROR(__xludf.DUMMYFUNCTION("""COMPUTED_VALUE"""),0.0)</f>
        <v>0</v>
      </c>
      <c r="AC12" s="3">
        <f>IFERROR(__xludf.DUMMYFUNCTION("""COMPUTED_VALUE"""),0.0)</f>
        <v>0</v>
      </c>
      <c r="AD12" s="3">
        <f>IFERROR(__xludf.DUMMYFUNCTION("""COMPUTED_VALUE"""),0.0)</f>
        <v>0</v>
      </c>
      <c r="AE12" s="3">
        <f>IFERROR(__xludf.DUMMYFUNCTION("""COMPUTED_VALUE"""),0.0)</f>
        <v>0</v>
      </c>
      <c r="AF12" s="3">
        <f>IFERROR(__xludf.DUMMYFUNCTION("""COMPUTED_VALUE"""),0.0)</f>
        <v>0</v>
      </c>
      <c r="AG12" s="3">
        <f>IFERROR(__xludf.DUMMYFUNCTION("""COMPUTED_VALUE"""),0.0)</f>
        <v>0</v>
      </c>
      <c r="AH12" s="3">
        <f>IFERROR(__xludf.DUMMYFUNCTION("""COMPUTED_VALUE"""),0.0)</f>
        <v>0</v>
      </c>
      <c r="AI12" s="3">
        <f>IFERROR(__xludf.DUMMYFUNCTION("""COMPUTED_VALUE"""),0.0)</f>
        <v>0</v>
      </c>
      <c r="AJ12" s="3">
        <f>IFERROR(__xludf.DUMMYFUNCTION("""COMPUTED_VALUE"""),0.0)</f>
        <v>0</v>
      </c>
      <c r="AK12" s="3">
        <f>IFERROR(__xludf.DUMMYFUNCTION("""COMPUTED_VALUE"""),0.0)</f>
        <v>0</v>
      </c>
      <c r="AL12" s="3">
        <f>IFERROR(__xludf.DUMMYFUNCTION("""COMPUTED_VALUE"""),0.0)</f>
        <v>0</v>
      </c>
      <c r="AM12" s="3">
        <f>IFERROR(__xludf.DUMMYFUNCTION("""COMPUTED_VALUE"""),0.0)</f>
        <v>0</v>
      </c>
      <c r="AN12" s="3">
        <f>IFERROR(__xludf.DUMMYFUNCTION("""COMPUTED_VALUE"""),0.0)</f>
        <v>0</v>
      </c>
      <c r="AO12" s="3">
        <f>IFERROR(__xludf.DUMMYFUNCTION("""COMPUTED_VALUE"""),0.0)</f>
        <v>0</v>
      </c>
      <c r="AP12" s="3">
        <f>IFERROR(__xludf.DUMMYFUNCTION("""COMPUTED_VALUE"""),0.0)</f>
        <v>0</v>
      </c>
      <c r="AQ12" s="3">
        <f>IFERROR(__xludf.DUMMYFUNCTION("""COMPUTED_VALUE"""),0.0)</f>
        <v>0</v>
      </c>
      <c r="AR12" s="3">
        <f>IFERROR(__xludf.DUMMYFUNCTION("""COMPUTED_VALUE"""),0.0)</f>
        <v>0</v>
      </c>
      <c r="AS12" s="3">
        <f>IFERROR(__xludf.DUMMYFUNCTION("""COMPUTED_VALUE"""),0.0)</f>
        <v>0</v>
      </c>
      <c r="AT12" s="3">
        <f>IFERROR(__xludf.DUMMYFUNCTION("""COMPUTED_VALUE"""),0.0)</f>
        <v>0</v>
      </c>
      <c r="AU12" s="3">
        <f>IFERROR(__xludf.DUMMYFUNCTION("""COMPUTED_VALUE"""),0.0)</f>
        <v>0</v>
      </c>
      <c r="AV12" s="3">
        <f>IFERROR(__xludf.DUMMYFUNCTION("""COMPUTED_VALUE"""),0.0)</f>
        <v>0</v>
      </c>
      <c r="AW12" s="3">
        <f>IFERROR(__xludf.DUMMYFUNCTION("""COMPUTED_VALUE"""),0.0)</f>
        <v>0</v>
      </c>
      <c r="AX12" s="3">
        <f>IFERROR(__xludf.DUMMYFUNCTION("""COMPUTED_VALUE"""),0.0)</f>
        <v>0</v>
      </c>
      <c r="AY12" s="3">
        <f>IFERROR(__xludf.DUMMYFUNCTION("""COMPUTED_VALUE"""),0.0)</f>
        <v>0</v>
      </c>
      <c r="AZ12" s="3">
        <f>IFERROR(__xludf.DUMMYFUNCTION("""COMPUTED_VALUE"""),0.0)</f>
        <v>0</v>
      </c>
      <c r="BA12" s="3">
        <f>IFERROR(__xludf.DUMMYFUNCTION("""COMPUTED_VALUE"""),0.0)</f>
        <v>0</v>
      </c>
      <c r="BB12" s="3">
        <f>IFERROR(__xludf.DUMMYFUNCTION("""COMPUTED_VALUE"""),0.0)</f>
        <v>0</v>
      </c>
      <c r="BC12" s="3">
        <f>IFERROR(__xludf.DUMMYFUNCTION("""COMPUTED_VALUE"""),0.0)</f>
        <v>0</v>
      </c>
      <c r="BD12" s="3">
        <f>IFERROR(__xludf.DUMMYFUNCTION("""COMPUTED_VALUE"""),0.0)</f>
        <v>0</v>
      </c>
      <c r="BE12" s="3">
        <f>IFERROR(__xludf.DUMMYFUNCTION("""COMPUTED_VALUE"""),0.0)</f>
        <v>0</v>
      </c>
      <c r="BF12" s="3">
        <f>IFERROR(__xludf.DUMMYFUNCTION("""COMPUTED_VALUE"""),0.0)</f>
        <v>0</v>
      </c>
      <c r="BG12" s="3">
        <f>IFERROR(__xludf.DUMMYFUNCTION("""COMPUTED_VALUE"""),0.0)</f>
        <v>0</v>
      </c>
      <c r="BH12" s="3">
        <f>IFERROR(__xludf.DUMMYFUNCTION("""COMPUTED_VALUE"""),0.0)</f>
        <v>0</v>
      </c>
      <c r="BI12" s="3">
        <f>IFERROR(__xludf.DUMMYFUNCTION("""COMPUTED_VALUE"""),0.0)</f>
        <v>0</v>
      </c>
      <c r="BJ12" s="3">
        <f>IFERROR(__xludf.DUMMYFUNCTION("""COMPUTED_VALUE"""),0.0)</f>
        <v>0</v>
      </c>
      <c r="BK12" s="3">
        <f>IFERROR(__xludf.DUMMYFUNCTION("""COMPUTED_VALUE"""),0.0)</f>
        <v>0</v>
      </c>
      <c r="BL12" s="3">
        <f>IFERROR(__xludf.DUMMYFUNCTION("""COMPUTED_VALUE"""),0.0)</f>
        <v>0</v>
      </c>
      <c r="BM12" s="3">
        <f>IFERROR(__xludf.DUMMYFUNCTION("""COMPUTED_VALUE"""),0.0)</f>
        <v>0</v>
      </c>
      <c r="BN12" s="3">
        <f>IFERROR(__xludf.DUMMYFUNCTION("""COMPUTED_VALUE"""),0.0)</f>
        <v>0</v>
      </c>
      <c r="BO12" s="3">
        <f>IFERROR(__xludf.DUMMYFUNCTION("""COMPUTED_VALUE"""),0.0)</f>
        <v>0</v>
      </c>
      <c r="BP12" s="3">
        <f>IFERROR(__xludf.DUMMYFUNCTION("""COMPUTED_VALUE"""),0.0)</f>
        <v>0</v>
      </c>
      <c r="BQ12" s="3">
        <f>IFERROR(__xludf.DUMMYFUNCTION("""COMPUTED_VALUE"""),0.0)</f>
        <v>0</v>
      </c>
      <c r="BR12" s="3">
        <f>IFERROR(__xludf.DUMMYFUNCTION("""COMPUTED_VALUE"""),0.0)</f>
        <v>0</v>
      </c>
      <c r="BS12" s="3">
        <f>IFERROR(__xludf.DUMMYFUNCTION("""COMPUTED_VALUE"""),0.0)</f>
        <v>0</v>
      </c>
      <c r="BT12" s="3">
        <f>IFERROR(__xludf.DUMMYFUNCTION("""COMPUTED_VALUE"""),0.0)</f>
        <v>0</v>
      </c>
      <c r="BU12" s="3">
        <f>IFERROR(__xludf.DUMMYFUNCTION("""COMPUTED_VALUE"""),0.0)</f>
        <v>0</v>
      </c>
      <c r="BV12" s="3">
        <f>IFERROR(__xludf.DUMMYFUNCTION("""COMPUTED_VALUE"""),0.0)</f>
        <v>0</v>
      </c>
      <c r="BW12" s="3">
        <f>IFERROR(__xludf.DUMMYFUNCTION("""COMPUTED_VALUE"""),0.0)</f>
        <v>0</v>
      </c>
      <c r="BX12" s="3">
        <f>IFERROR(__xludf.DUMMYFUNCTION("""COMPUTED_VALUE"""),0.0)</f>
        <v>0</v>
      </c>
      <c r="BY12" s="3">
        <f>IFERROR(__xludf.DUMMYFUNCTION("""COMPUTED_VALUE"""),0.0)</f>
        <v>0</v>
      </c>
      <c r="BZ12" s="3">
        <f>IFERROR(__xludf.DUMMYFUNCTION("""COMPUTED_VALUE"""),1.0)</f>
        <v>1</v>
      </c>
      <c r="CA12" s="3">
        <f>IFERROR(__xludf.DUMMYFUNCTION("""COMPUTED_VALUE"""),1.0)</f>
        <v>1</v>
      </c>
      <c r="CB12" s="3">
        <f>IFERROR(__xludf.DUMMYFUNCTION("""COMPUTED_VALUE"""),2.0)</f>
        <v>2</v>
      </c>
    </row>
    <row r="13">
      <c r="A13" s="3" t="str">
        <f>IFERROR(__xludf.DUMMYFUNCTION("""COMPUTED_VALUE"""),"Queensland")</f>
        <v>Queensland</v>
      </c>
      <c r="B13" s="3" t="str">
        <f>IFERROR(__xludf.DUMMYFUNCTION("""COMPUTED_VALUE"""),"Australia")</f>
        <v>Australia</v>
      </c>
      <c r="C13" s="3">
        <f>IFERROR(__xludf.DUMMYFUNCTION("""COMPUTED_VALUE"""),-28.0167)</f>
        <v>-28.0167</v>
      </c>
      <c r="D13" s="3">
        <f>IFERROR(__xludf.DUMMYFUNCTION("""COMPUTED_VALUE"""),153.4)</f>
        <v>153.4</v>
      </c>
      <c r="E13" s="3">
        <f>IFERROR(__xludf.DUMMYFUNCTION("""COMPUTED_VALUE"""),0.0)</f>
        <v>0</v>
      </c>
      <c r="F13" s="3">
        <f>IFERROR(__xludf.DUMMYFUNCTION("""COMPUTED_VALUE"""),0.0)</f>
        <v>0</v>
      </c>
      <c r="G13" s="3">
        <f>IFERROR(__xludf.DUMMYFUNCTION("""COMPUTED_VALUE"""),0.0)</f>
        <v>0</v>
      </c>
      <c r="H13" s="3">
        <f>IFERROR(__xludf.DUMMYFUNCTION("""COMPUTED_VALUE"""),0.0)</f>
        <v>0</v>
      </c>
      <c r="I13" s="3">
        <f>IFERROR(__xludf.DUMMYFUNCTION("""COMPUTED_VALUE"""),0.0)</f>
        <v>0</v>
      </c>
      <c r="J13" s="3">
        <f>IFERROR(__xludf.DUMMYFUNCTION("""COMPUTED_VALUE"""),0.0)</f>
        <v>0</v>
      </c>
      <c r="K13" s="3">
        <f>IFERROR(__xludf.DUMMYFUNCTION("""COMPUTED_VALUE"""),0.0)</f>
        <v>0</v>
      </c>
      <c r="L13" s="3">
        <f>IFERROR(__xludf.DUMMYFUNCTION("""COMPUTED_VALUE"""),0.0)</f>
        <v>0</v>
      </c>
      <c r="M13" s="3">
        <f>IFERROR(__xludf.DUMMYFUNCTION("""COMPUTED_VALUE"""),0.0)</f>
        <v>0</v>
      </c>
      <c r="N13" s="3">
        <f>IFERROR(__xludf.DUMMYFUNCTION("""COMPUTED_VALUE"""),0.0)</f>
        <v>0</v>
      </c>
      <c r="O13" s="3">
        <f>IFERROR(__xludf.DUMMYFUNCTION("""COMPUTED_VALUE"""),0.0)</f>
        <v>0</v>
      </c>
      <c r="P13" s="3">
        <f>IFERROR(__xludf.DUMMYFUNCTION("""COMPUTED_VALUE"""),0.0)</f>
        <v>0</v>
      </c>
      <c r="Q13" s="3">
        <f>IFERROR(__xludf.DUMMYFUNCTION("""COMPUTED_VALUE"""),0.0)</f>
        <v>0</v>
      </c>
      <c r="R13" s="3">
        <f>IFERROR(__xludf.DUMMYFUNCTION("""COMPUTED_VALUE"""),0.0)</f>
        <v>0</v>
      </c>
      <c r="S13" s="3">
        <f>IFERROR(__xludf.DUMMYFUNCTION("""COMPUTED_VALUE"""),0.0)</f>
        <v>0</v>
      </c>
      <c r="T13" s="3">
        <f>IFERROR(__xludf.DUMMYFUNCTION("""COMPUTED_VALUE"""),0.0)</f>
        <v>0</v>
      </c>
      <c r="U13" s="3">
        <f>IFERROR(__xludf.DUMMYFUNCTION("""COMPUTED_VALUE"""),0.0)</f>
        <v>0</v>
      </c>
      <c r="V13" s="3">
        <f>IFERROR(__xludf.DUMMYFUNCTION("""COMPUTED_VALUE"""),0.0)</f>
        <v>0</v>
      </c>
      <c r="W13" s="3">
        <f>IFERROR(__xludf.DUMMYFUNCTION("""COMPUTED_VALUE"""),0.0)</f>
        <v>0</v>
      </c>
      <c r="X13" s="3">
        <f>IFERROR(__xludf.DUMMYFUNCTION("""COMPUTED_VALUE"""),0.0)</f>
        <v>0</v>
      </c>
      <c r="Y13" s="3">
        <f>IFERROR(__xludf.DUMMYFUNCTION("""COMPUTED_VALUE"""),0.0)</f>
        <v>0</v>
      </c>
      <c r="Z13" s="3">
        <f>IFERROR(__xludf.DUMMYFUNCTION("""COMPUTED_VALUE"""),0.0)</f>
        <v>0</v>
      </c>
      <c r="AA13" s="3">
        <f>IFERROR(__xludf.DUMMYFUNCTION("""COMPUTED_VALUE"""),0.0)</f>
        <v>0</v>
      </c>
      <c r="AB13" s="3">
        <f>IFERROR(__xludf.DUMMYFUNCTION("""COMPUTED_VALUE"""),0.0)</f>
        <v>0</v>
      </c>
      <c r="AC13" s="3">
        <f>IFERROR(__xludf.DUMMYFUNCTION("""COMPUTED_VALUE"""),0.0)</f>
        <v>0</v>
      </c>
      <c r="AD13" s="3">
        <f>IFERROR(__xludf.DUMMYFUNCTION("""COMPUTED_VALUE"""),0.0)</f>
        <v>0</v>
      </c>
      <c r="AE13" s="3">
        <f>IFERROR(__xludf.DUMMYFUNCTION("""COMPUTED_VALUE"""),0.0)</f>
        <v>0</v>
      </c>
      <c r="AF13" s="3">
        <f>IFERROR(__xludf.DUMMYFUNCTION("""COMPUTED_VALUE"""),0.0)</f>
        <v>0</v>
      </c>
      <c r="AG13" s="3">
        <f>IFERROR(__xludf.DUMMYFUNCTION("""COMPUTED_VALUE"""),0.0)</f>
        <v>0</v>
      </c>
      <c r="AH13" s="3">
        <f>IFERROR(__xludf.DUMMYFUNCTION("""COMPUTED_VALUE"""),0.0)</f>
        <v>0</v>
      </c>
      <c r="AI13" s="3">
        <f>IFERROR(__xludf.DUMMYFUNCTION("""COMPUTED_VALUE"""),1.0)</f>
        <v>1</v>
      </c>
      <c r="AJ13" s="3">
        <f>IFERROR(__xludf.DUMMYFUNCTION("""COMPUTED_VALUE"""),1.0)</f>
        <v>1</v>
      </c>
      <c r="AK13" s="3">
        <f>IFERROR(__xludf.DUMMYFUNCTION("""COMPUTED_VALUE"""),1.0)</f>
        <v>1</v>
      </c>
      <c r="AL13" s="3">
        <f>IFERROR(__xludf.DUMMYFUNCTION("""COMPUTED_VALUE"""),1.0)</f>
        <v>1</v>
      </c>
      <c r="AM13" s="3">
        <f>IFERROR(__xludf.DUMMYFUNCTION("""COMPUTED_VALUE"""),1.0)</f>
        <v>1</v>
      </c>
      <c r="AN13" s="3">
        <f>IFERROR(__xludf.DUMMYFUNCTION("""COMPUTED_VALUE"""),1.0)</f>
        <v>1</v>
      </c>
      <c r="AO13" s="3">
        <f>IFERROR(__xludf.DUMMYFUNCTION("""COMPUTED_VALUE"""),1.0)</f>
        <v>1</v>
      </c>
      <c r="AP13" s="3">
        <f>IFERROR(__xludf.DUMMYFUNCTION("""COMPUTED_VALUE"""),1.0)</f>
        <v>1</v>
      </c>
      <c r="AQ13" s="3">
        <f>IFERROR(__xludf.DUMMYFUNCTION("""COMPUTED_VALUE"""),1.0)</f>
        <v>1</v>
      </c>
      <c r="AR13" s="3">
        <f>IFERROR(__xludf.DUMMYFUNCTION("""COMPUTED_VALUE"""),1.0)</f>
        <v>1</v>
      </c>
      <c r="AS13" s="3">
        <f>IFERROR(__xludf.DUMMYFUNCTION("""COMPUTED_VALUE"""),1.0)</f>
        <v>1</v>
      </c>
      <c r="AT13" s="3">
        <f>IFERROR(__xludf.DUMMYFUNCTION("""COMPUTED_VALUE"""),1.0)</f>
        <v>1</v>
      </c>
      <c r="AU13" s="3">
        <f>IFERROR(__xludf.DUMMYFUNCTION("""COMPUTED_VALUE"""),1.0)</f>
        <v>1</v>
      </c>
      <c r="AV13" s="3">
        <f>IFERROR(__xludf.DUMMYFUNCTION("""COMPUTED_VALUE"""),8.0)</f>
        <v>8</v>
      </c>
      <c r="AW13" s="3">
        <f>IFERROR(__xludf.DUMMYFUNCTION("""COMPUTED_VALUE"""),8.0)</f>
        <v>8</v>
      </c>
      <c r="AX13" s="3">
        <f>IFERROR(__xludf.DUMMYFUNCTION("""COMPUTED_VALUE"""),8.0)</f>
        <v>8</v>
      </c>
      <c r="AY13" s="3">
        <f>IFERROR(__xludf.DUMMYFUNCTION("""COMPUTED_VALUE"""),8.0)</f>
        <v>8</v>
      </c>
      <c r="AZ13" s="3">
        <f>IFERROR(__xludf.DUMMYFUNCTION("""COMPUTED_VALUE"""),8.0)</f>
        <v>8</v>
      </c>
      <c r="BA13" s="3">
        <f>IFERROR(__xludf.DUMMYFUNCTION("""COMPUTED_VALUE"""),8.0)</f>
        <v>8</v>
      </c>
      <c r="BB13" s="3">
        <f>IFERROR(__xludf.DUMMYFUNCTION("""COMPUTED_VALUE"""),8.0)</f>
        <v>8</v>
      </c>
      <c r="BC13" s="3">
        <f>IFERROR(__xludf.DUMMYFUNCTION("""COMPUTED_VALUE"""),8.0)</f>
        <v>8</v>
      </c>
      <c r="BD13" s="3">
        <f>IFERROR(__xludf.DUMMYFUNCTION("""COMPUTED_VALUE"""),8.0)</f>
        <v>8</v>
      </c>
      <c r="BE13" s="3">
        <f>IFERROR(__xludf.DUMMYFUNCTION("""COMPUTED_VALUE"""),8.0)</f>
        <v>8</v>
      </c>
      <c r="BF13" s="3">
        <f>IFERROR(__xludf.DUMMYFUNCTION("""COMPUTED_VALUE"""),8.0)</f>
        <v>8</v>
      </c>
      <c r="BG13" s="3">
        <f>IFERROR(__xludf.DUMMYFUNCTION("""COMPUTED_VALUE"""),8.0)</f>
        <v>8</v>
      </c>
      <c r="BH13" s="3">
        <f>IFERROR(__xludf.DUMMYFUNCTION("""COMPUTED_VALUE"""),8.0)</f>
        <v>8</v>
      </c>
      <c r="BI13" s="3">
        <f>IFERROR(__xludf.DUMMYFUNCTION("""COMPUTED_VALUE"""),8.0)</f>
        <v>8</v>
      </c>
      <c r="BJ13" s="3">
        <f>IFERROR(__xludf.DUMMYFUNCTION("""COMPUTED_VALUE"""),8.0)</f>
        <v>8</v>
      </c>
      <c r="BK13" s="3">
        <f>IFERROR(__xludf.DUMMYFUNCTION("""COMPUTED_VALUE"""),8.0)</f>
        <v>8</v>
      </c>
      <c r="BL13" s="3">
        <f>IFERROR(__xludf.DUMMYFUNCTION("""COMPUTED_VALUE"""),8.0)</f>
        <v>8</v>
      </c>
      <c r="BM13" s="3">
        <f>IFERROR(__xludf.DUMMYFUNCTION("""COMPUTED_VALUE"""),8.0)</f>
        <v>8</v>
      </c>
      <c r="BN13" s="3">
        <f>IFERROR(__xludf.DUMMYFUNCTION("""COMPUTED_VALUE"""),8.0)</f>
        <v>8</v>
      </c>
      <c r="BO13" s="3">
        <f>IFERROR(__xludf.DUMMYFUNCTION("""COMPUTED_VALUE"""),8.0)</f>
        <v>8</v>
      </c>
      <c r="BP13" s="3">
        <f>IFERROR(__xludf.DUMMYFUNCTION("""COMPUTED_VALUE"""),8.0)</f>
        <v>8</v>
      </c>
      <c r="BQ13" s="3">
        <f>IFERROR(__xludf.DUMMYFUNCTION("""COMPUTED_VALUE"""),8.0)</f>
        <v>8</v>
      </c>
      <c r="BR13" s="3">
        <f>IFERROR(__xludf.DUMMYFUNCTION("""COMPUTED_VALUE"""),8.0)</f>
        <v>8</v>
      </c>
      <c r="BS13" s="3">
        <f>IFERROR(__xludf.DUMMYFUNCTION("""COMPUTED_VALUE"""),8.0)</f>
        <v>8</v>
      </c>
      <c r="BT13" s="3">
        <f>IFERROR(__xludf.DUMMYFUNCTION("""COMPUTED_VALUE"""),8.0)</f>
        <v>8</v>
      </c>
      <c r="BU13" s="3">
        <f>IFERROR(__xludf.DUMMYFUNCTION("""COMPUTED_VALUE"""),8.0)</f>
        <v>8</v>
      </c>
      <c r="BV13" s="3">
        <f>IFERROR(__xludf.DUMMYFUNCTION("""COMPUTED_VALUE"""),8.0)</f>
        <v>8</v>
      </c>
      <c r="BW13" s="3">
        <f>IFERROR(__xludf.DUMMYFUNCTION("""COMPUTED_VALUE"""),8.0)</f>
        <v>8</v>
      </c>
      <c r="BX13" s="3">
        <f>IFERROR(__xludf.DUMMYFUNCTION("""COMPUTED_VALUE"""),8.0)</f>
        <v>8</v>
      </c>
      <c r="BY13" s="3">
        <f>IFERROR(__xludf.DUMMYFUNCTION("""COMPUTED_VALUE"""),8.0)</f>
        <v>8</v>
      </c>
      <c r="BZ13" s="3">
        <f>IFERROR(__xludf.DUMMYFUNCTION("""COMPUTED_VALUE"""),8.0)</f>
        <v>8</v>
      </c>
      <c r="CA13" s="3">
        <f>IFERROR(__xludf.DUMMYFUNCTION("""COMPUTED_VALUE"""),8.0)</f>
        <v>8</v>
      </c>
      <c r="CB13" s="3">
        <f>IFERROR(__xludf.DUMMYFUNCTION("""COMPUTED_VALUE"""),173.0)</f>
        <v>173</v>
      </c>
    </row>
    <row r="14">
      <c r="A14" s="3" t="str">
        <f>IFERROR(__xludf.DUMMYFUNCTION("""COMPUTED_VALUE"""),"South Australia")</f>
        <v>South Australia</v>
      </c>
      <c r="B14" s="3" t="str">
        <f>IFERROR(__xludf.DUMMYFUNCTION("""COMPUTED_VALUE"""),"Australia")</f>
        <v>Australia</v>
      </c>
      <c r="C14" s="3">
        <f>IFERROR(__xludf.DUMMYFUNCTION("""COMPUTED_VALUE"""),-34.9285)</f>
        <v>-34.9285</v>
      </c>
      <c r="D14" s="3">
        <f>IFERROR(__xludf.DUMMYFUNCTION("""COMPUTED_VALUE"""),138.6007)</f>
        <v>138.6007</v>
      </c>
      <c r="E14" s="3">
        <f>IFERROR(__xludf.DUMMYFUNCTION("""COMPUTED_VALUE"""),0.0)</f>
        <v>0</v>
      </c>
      <c r="F14" s="3">
        <f>IFERROR(__xludf.DUMMYFUNCTION("""COMPUTED_VALUE"""),0.0)</f>
        <v>0</v>
      </c>
      <c r="G14" s="3">
        <f>IFERROR(__xludf.DUMMYFUNCTION("""COMPUTED_VALUE"""),0.0)</f>
        <v>0</v>
      </c>
      <c r="H14" s="3">
        <f>IFERROR(__xludf.DUMMYFUNCTION("""COMPUTED_VALUE"""),0.0)</f>
        <v>0</v>
      </c>
      <c r="I14" s="3">
        <f>IFERROR(__xludf.DUMMYFUNCTION("""COMPUTED_VALUE"""),0.0)</f>
        <v>0</v>
      </c>
      <c r="J14" s="3">
        <f>IFERROR(__xludf.DUMMYFUNCTION("""COMPUTED_VALUE"""),0.0)</f>
        <v>0</v>
      </c>
      <c r="K14" s="3">
        <f>IFERROR(__xludf.DUMMYFUNCTION("""COMPUTED_VALUE"""),0.0)</f>
        <v>0</v>
      </c>
      <c r="L14" s="3">
        <f>IFERROR(__xludf.DUMMYFUNCTION("""COMPUTED_VALUE"""),0.0)</f>
        <v>0</v>
      </c>
      <c r="M14" s="3">
        <f>IFERROR(__xludf.DUMMYFUNCTION("""COMPUTED_VALUE"""),0.0)</f>
        <v>0</v>
      </c>
      <c r="N14" s="3">
        <f>IFERROR(__xludf.DUMMYFUNCTION("""COMPUTED_VALUE"""),0.0)</f>
        <v>0</v>
      </c>
      <c r="O14" s="3">
        <f>IFERROR(__xludf.DUMMYFUNCTION("""COMPUTED_VALUE"""),0.0)</f>
        <v>0</v>
      </c>
      <c r="P14" s="3">
        <f>IFERROR(__xludf.DUMMYFUNCTION("""COMPUTED_VALUE"""),0.0)</f>
        <v>0</v>
      </c>
      <c r="Q14" s="3">
        <f>IFERROR(__xludf.DUMMYFUNCTION("""COMPUTED_VALUE"""),0.0)</f>
        <v>0</v>
      </c>
      <c r="R14" s="3">
        <f>IFERROR(__xludf.DUMMYFUNCTION("""COMPUTED_VALUE"""),0.0)</f>
        <v>0</v>
      </c>
      <c r="S14" s="3">
        <f>IFERROR(__xludf.DUMMYFUNCTION("""COMPUTED_VALUE"""),0.0)</f>
        <v>0</v>
      </c>
      <c r="T14" s="3">
        <f>IFERROR(__xludf.DUMMYFUNCTION("""COMPUTED_VALUE"""),0.0)</f>
        <v>0</v>
      </c>
      <c r="U14" s="3">
        <f>IFERROR(__xludf.DUMMYFUNCTION("""COMPUTED_VALUE"""),0.0)</f>
        <v>0</v>
      </c>
      <c r="V14" s="3">
        <f>IFERROR(__xludf.DUMMYFUNCTION("""COMPUTED_VALUE"""),0.0)</f>
        <v>0</v>
      </c>
      <c r="W14" s="3">
        <f>IFERROR(__xludf.DUMMYFUNCTION("""COMPUTED_VALUE"""),0.0)</f>
        <v>0</v>
      </c>
      <c r="X14" s="3">
        <f>IFERROR(__xludf.DUMMYFUNCTION("""COMPUTED_VALUE"""),0.0)</f>
        <v>0</v>
      </c>
      <c r="Y14" s="3">
        <f>IFERROR(__xludf.DUMMYFUNCTION("""COMPUTED_VALUE"""),0.0)</f>
        <v>0</v>
      </c>
      <c r="Z14" s="3">
        <f>IFERROR(__xludf.DUMMYFUNCTION("""COMPUTED_VALUE"""),0.0)</f>
        <v>0</v>
      </c>
      <c r="AA14" s="3">
        <f>IFERROR(__xludf.DUMMYFUNCTION("""COMPUTED_VALUE"""),0.0)</f>
        <v>0</v>
      </c>
      <c r="AB14" s="3">
        <f>IFERROR(__xludf.DUMMYFUNCTION("""COMPUTED_VALUE"""),0.0)</f>
        <v>0</v>
      </c>
      <c r="AC14" s="3">
        <f>IFERROR(__xludf.DUMMYFUNCTION("""COMPUTED_VALUE"""),0.0)</f>
        <v>0</v>
      </c>
      <c r="AD14" s="3">
        <f>IFERROR(__xludf.DUMMYFUNCTION("""COMPUTED_VALUE"""),0.0)</f>
        <v>0</v>
      </c>
      <c r="AE14" s="3">
        <f>IFERROR(__xludf.DUMMYFUNCTION("""COMPUTED_VALUE"""),2.0)</f>
        <v>2</v>
      </c>
      <c r="AF14" s="3">
        <f>IFERROR(__xludf.DUMMYFUNCTION("""COMPUTED_VALUE"""),2.0)</f>
        <v>2</v>
      </c>
      <c r="AG14" s="3">
        <f>IFERROR(__xludf.DUMMYFUNCTION("""COMPUTED_VALUE"""),2.0)</f>
        <v>2</v>
      </c>
      <c r="AH14" s="3">
        <f>IFERROR(__xludf.DUMMYFUNCTION("""COMPUTED_VALUE"""),2.0)</f>
        <v>2</v>
      </c>
      <c r="AI14" s="3">
        <f>IFERROR(__xludf.DUMMYFUNCTION("""COMPUTED_VALUE"""),2.0)</f>
        <v>2</v>
      </c>
      <c r="AJ14" s="3">
        <f>IFERROR(__xludf.DUMMYFUNCTION("""COMPUTED_VALUE"""),2.0)</f>
        <v>2</v>
      </c>
      <c r="AK14" s="3">
        <f>IFERROR(__xludf.DUMMYFUNCTION("""COMPUTED_VALUE"""),2.0)</f>
        <v>2</v>
      </c>
      <c r="AL14" s="3">
        <f>IFERROR(__xludf.DUMMYFUNCTION("""COMPUTED_VALUE"""),2.0)</f>
        <v>2</v>
      </c>
      <c r="AM14" s="3">
        <f>IFERROR(__xludf.DUMMYFUNCTION("""COMPUTED_VALUE"""),2.0)</f>
        <v>2</v>
      </c>
      <c r="AN14" s="3">
        <f>IFERROR(__xludf.DUMMYFUNCTION("""COMPUTED_VALUE"""),2.0)</f>
        <v>2</v>
      </c>
      <c r="AO14" s="3">
        <f>IFERROR(__xludf.DUMMYFUNCTION("""COMPUTED_VALUE"""),2.0)</f>
        <v>2</v>
      </c>
      <c r="AP14" s="3">
        <f>IFERROR(__xludf.DUMMYFUNCTION("""COMPUTED_VALUE"""),2.0)</f>
        <v>2</v>
      </c>
      <c r="AQ14" s="3">
        <f>IFERROR(__xludf.DUMMYFUNCTION("""COMPUTED_VALUE"""),2.0)</f>
        <v>2</v>
      </c>
      <c r="AR14" s="3">
        <f>IFERROR(__xludf.DUMMYFUNCTION("""COMPUTED_VALUE"""),2.0)</f>
        <v>2</v>
      </c>
      <c r="AS14" s="3">
        <f>IFERROR(__xludf.DUMMYFUNCTION("""COMPUTED_VALUE"""),2.0)</f>
        <v>2</v>
      </c>
      <c r="AT14" s="3">
        <f>IFERROR(__xludf.DUMMYFUNCTION("""COMPUTED_VALUE"""),2.0)</f>
        <v>2</v>
      </c>
      <c r="AU14" s="3">
        <f>IFERROR(__xludf.DUMMYFUNCTION("""COMPUTED_VALUE"""),2.0)</f>
        <v>2</v>
      </c>
      <c r="AV14" s="3">
        <f>IFERROR(__xludf.DUMMYFUNCTION("""COMPUTED_VALUE"""),2.0)</f>
        <v>2</v>
      </c>
      <c r="AW14" s="3">
        <f>IFERROR(__xludf.DUMMYFUNCTION("""COMPUTED_VALUE"""),2.0)</f>
        <v>2</v>
      </c>
      <c r="AX14" s="3">
        <f>IFERROR(__xludf.DUMMYFUNCTION("""COMPUTED_VALUE"""),2.0)</f>
        <v>2</v>
      </c>
      <c r="AY14" s="3">
        <f>IFERROR(__xludf.DUMMYFUNCTION("""COMPUTED_VALUE"""),2.0)</f>
        <v>2</v>
      </c>
      <c r="AZ14" s="3">
        <f>IFERROR(__xludf.DUMMYFUNCTION("""COMPUTED_VALUE"""),2.0)</f>
        <v>2</v>
      </c>
      <c r="BA14" s="3">
        <f>IFERROR(__xludf.DUMMYFUNCTION("""COMPUTED_VALUE"""),2.0)</f>
        <v>2</v>
      </c>
      <c r="BB14" s="3">
        <f>IFERROR(__xludf.DUMMYFUNCTION("""COMPUTED_VALUE"""),2.0)</f>
        <v>2</v>
      </c>
      <c r="BC14" s="3">
        <f>IFERROR(__xludf.DUMMYFUNCTION("""COMPUTED_VALUE"""),2.0)</f>
        <v>2</v>
      </c>
      <c r="BD14" s="3">
        <f>IFERROR(__xludf.DUMMYFUNCTION("""COMPUTED_VALUE"""),3.0)</f>
        <v>3</v>
      </c>
      <c r="BE14" s="3">
        <f>IFERROR(__xludf.DUMMYFUNCTION("""COMPUTED_VALUE"""),3.0)</f>
        <v>3</v>
      </c>
      <c r="BF14" s="3">
        <f>IFERROR(__xludf.DUMMYFUNCTION("""COMPUTED_VALUE"""),3.0)</f>
        <v>3</v>
      </c>
      <c r="BG14" s="3">
        <f>IFERROR(__xludf.DUMMYFUNCTION("""COMPUTED_VALUE"""),3.0)</f>
        <v>3</v>
      </c>
      <c r="BH14" s="3">
        <f>IFERROR(__xludf.DUMMYFUNCTION("""COMPUTED_VALUE"""),3.0)</f>
        <v>3</v>
      </c>
      <c r="BI14" s="3">
        <f>IFERROR(__xludf.DUMMYFUNCTION("""COMPUTED_VALUE"""),3.0)</f>
        <v>3</v>
      </c>
      <c r="BJ14" s="3">
        <f>IFERROR(__xludf.DUMMYFUNCTION("""COMPUTED_VALUE"""),3.0)</f>
        <v>3</v>
      </c>
      <c r="BK14" s="3">
        <f>IFERROR(__xludf.DUMMYFUNCTION("""COMPUTED_VALUE"""),3.0)</f>
        <v>3</v>
      </c>
      <c r="BL14" s="3">
        <f>IFERROR(__xludf.DUMMYFUNCTION("""COMPUTED_VALUE"""),3.0)</f>
        <v>3</v>
      </c>
      <c r="BM14" s="3">
        <f>IFERROR(__xludf.DUMMYFUNCTION("""COMPUTED_VALUE"""),3.0)</f>
        <v>3</v>
      </c>
      <c r="BN14" s="3">
        <f>IFERROR(__xludf.DUMMYFUNCTION("""COMPUTED_VALUE"""),3.0)</f>
        <v>3</v>
      </c>
      <c r="BO14" s="3">
        <f>IFERROR(__xludf.DUMMYFUNCTION("""COMPUTED_VALUE"""),3.0)</f>
        <v>3</v>
      </c>
      <c r="BP14" s="3">
        <f>IFERROR(__xludf.DUMMYFUNCTION("""COMPUTED_VALUE"""),6.0)</f>
        <v>6</v>
      </c>
      <c r="BQ14" s="3">
        <f>IFERROR(__xludf.DUMMYFUNCTION("""COMPUTED_VALUE"""),6.0)</f>
        <v>6</v>
      </c>
      <c r="BR14" s="3">
        <f>IFERROR(__xludf.DUMMYFUNCTION("""COMPUTED_VALUE"""),6.0)</f>
        <v>6</v>
      </c>
      <c r="BS14" s="3">
        <f>IFERROR(__xludf.DUMMYFUNCTION("""COMPUTED_VALUE"""),6.0)</f>
        <v>6</v>
      </c>
      <c r="BT14" s="3">
        <f>IFERROR(__xludf.DUMMYFUNCTION("""COMPUTED_VALUE"""),6.0)</f>
        <v>6</v>
      </c>
      <c r="BU14" s="3">
        <f>IFERROR(__xludf.DUMMYFUNCTION("""COMPUTED_VALUE"""),6.0)</f>
        <v>6</v>
      </c>
      <c r="BV14" s="3">
        <f>IFERROR(__xludf.DUMMYFUNCTION("""COMPUTED_VALUE"""),6.0)</f>
        <v>6</v>
      </c>
      <c r="BW14" s="3">
        <f>IFERROR(__xludf.DUMMYFUNCTION("""COMPUTED_VALUE"""),6.0)</f>
        <v>6</v>
      </c>
      <c r="BX14" s="3">
        <f>IFERROR(__xludf.DUMMYFUNCTION("""COMPUTED_VALUE"""),6.0)</f>
        <v>6</v>
      </c>
      <c r="BY14" s="3">
        <f>IFERROR(__xludf.DUMMYFUNCTION("""COMPUTED_VALUE"""),46.0)</f>
        <v>46</v>
      </c>
      <c r="BZ14" s="3">
        <f>IFERROR(__xludf.DUMMYFUNCTION("""COMPUTED_VALUE"""),46.0)</f>
        <v>46</v>
      </c>
      <c r="CA14" s="3">
        <f>IFERROR(__xludf.DUMMYFUNCTION("""COMPUTED_VALUE"""),46.0)</f>
        <v>46</v>
      </c>
      <c r="CB14" s="3">
        <f>IFERROR(__xludf.DUMMYFUNCTION("""COMPUTED_VALUE"""),53.0)</f>
        <v>53</v>
      </c>
    </row>
    <row r="15">
      <c r="A15" s="3" t="str">
        <f>IFERROR(__xludf.DUMMYFUNCTION("""COMPUTED_VALUE"""),"Tasmania")</f>
        <v>Tasmania</v>
      </c>
      <c r="B15" s="3" t="str">
        <f>IFERROR(__xludf.DUMMYFUNCTION("""COMPUTED_VALUE"""),"Australia")</f>
        <v>Australia</v>
      </c>
      <c r="C15" s="3">
        <f>IFERROR(__xludf.DUMMYFUNCTION("""COMPUTED_VALUE"""),-41.4545)</f>
        <v>-41.4545</v>
      </c>
      <c r="D15" s="3">
        <f>IFERROR(__xludf.DUMMYFUNCTION("""COMPUTED_VALUE"""),145.9707)</f>
        <v>145.9707</v>
      </c>
      <c r="E15" s="3">
        <f>IFERROR(__xludf.DUMMYFUNCTION("""COMPUTED_VALUE"""),0.0)</f>
        <v>0</v>
      </c>
      <c r="F15" s="3">
        <f>IFERROR(__xludf.DUMMYFUNCTION("""COMPUTED_VALUE"""),0.0)</f>
        <v>0</v>
      </c>
      <c r="G15" s="3">
        <f>IFERROR(__xludf.DUMMYFUNCTION("""COMPUTED_VALUE"""),0.0)</f>
        <v>0</v>
      </c>
      <c r="H15" s="3">
        <f>IFERROR(__xludf.DUMMYFUNCTION("""COMPUTED_VALUE"""),0.0)</f>
        <v>0</v>
      </c>
      <c r="I15" s="3">
        <f>IFERROR(__xludf.DUMMYFUNCTION("""COMPUTED_VALUE"""),0.0)</f>
        <v>0</v>
      </c>
      <c r="J15" s="3">
        <f>IFERROR(__xludf.DUMMYFUNCTION("""COMPUTED_VALUE"""),0.0)</f>
        <v>0</v>
      </c>
      <c r="K15" s="3">
        <f>IFERROR(__xludf.DUMMYFUNCTION("""COMPUTED_VALUE"""),0.0)</f>
        <v>0</v>
      </c>
      <c r="L15" s="3">
        <f>IFERROR(__xludf.DUMMYFUNCTION("""COMPUTED_VALUE"""),0.0)</f>
        <v>0</v>
      </c>
      <c r="M15" s="3">
        <f>IFERROR(__xludf.DUMMYFUNCTION("""COMPUTED_VALUE"""),0.0)</f>
        <v>0</v>
      </c>
      <c r="N15" s="3">
        <f>IFERROR(__xludf.DUMMYFUNCTION("""COMPUTED_VALUE"""),0.0)</f>
        <v>0</v>
      </c>
      <c r="O15" s="3">
        <f>IFERROR(__xludf.DUMMYFUNCTION("""COMPUTED_VALUE"""),0.0)</f>
        <v>0</v>
      </c>
      <c r="P15" s="3">
        <f>IFERROR(__xludf.DUMMYFUNCTION("""COMPUTED_VALUE"""),0.0)</f>
        <v>0</v>
      </c>
      <c r="Q15" s="3">
        <f>IFERROR(__xludf.DUMMYFUNCTION("""COMPUTED_VALUE"""),0.0)</f>
        <v>0</v>
      </c>
      <c r="R15" s="3">
        <f>IFERROR(__xludf.DUMMYFUNCTION("""COMPUTED_VALUE"""),0.0)</f>
        <v>0</v>
      </c>
      <c r="S15" s="3">
        <f>IFERROR(__xludf.DUMMYFUNCTION("""COMPUTED_VALUE"""),0.0)</f>
        <v>0</v>
      </c>
      <c r="T15" s="3">
        <f>IFERROR(__xludf.DUMMYFUNCTION("""COMPUTED_VALUE"""),0.0)</f>
        <v>0</v>
      </c>
      <c r="U15" s="3">
        <f>IFERROR(__xludf.DUMMYFUNCTION("""COMPUTED_VALUE"""),0.0)</f>
        <v>0</v>
      </c>
      <c r="V15" s="3">
        <f>IFERROR(__xludf.DUMMYFUNCTION("""COMPUTED_VALUE"""),0.0)</f>
        <v>0</v>
      </c>
      <c r="W15" s="3">
        <f>IFERROR(__xludf.DUMMYFUNCTION("""COMPUTED_VALUE"""),0.0)</f>
        <v>0</v>
      </c>
      <c r="X15" s="3">
        <f>IFERROR(__xludf.DUMMYFUNCTION("""COMPUTED_VALUE"""),0.0)</f>
        <v>0</v>
      </c>
      <c r="Y15" s="3">
        <f>IFERROR(__xludf.DUMMYFUNCTION("""COMPUTED_VALUE"""),0.0)</f>
        <v>0</v>
      </c>
      <c r="Z15" s="3">
        <f>IFERROR(__xludf.DUMMYFUNCTION("""COMPUTED_VALUE"""),0.0)</f>
        <v>0</v>
      </c>
      <c r="AA15" s="3">
        <f>IFERROR(__xludf.DUMMYFUNCTION("""COMPUTED_VALUE"""),0.0)</f>
        <v>0</v>
      </c>
      <c r="AB15" s="3">
        <f>IFERROR(__xludf.DUMMYFUNCTION("""COMPUTED_VALUE"""),0.0)</f>
        <v>0</v>
      </c>
      <c r="AC15" s="3">
        <f>IFERROR(__xludf.DUMMYFUNCTION("""COMPUTED_VALUE"""),0.0)</f>
        <v>0</v>
      </c>
      <c r="AD15" s="3">
        <f>IFERROR(__xludf.DUMMYFUNCTION("""COMPUTED_VALUE"""),0.0)</f>
        <v>0</v>
      </c>
      <c r="AE15" s="3">
        <f>IFERROR(__xludf.DUMMYFUNCTION("""COMPUTED_VALUE"""),0.0)</f>
        <v>0</v>
      </c>
      <c r="AF15" s="3">
        <f>IFERROR(__xludf.DUMMYFUNCTION("""COMPUTED_VALUE"""),0.0)</f>
        <v>0</v>
      </c>
      <c r="AG15" s="3">
        <f>IFERROR(__xludf.DUMMYFUNCTION("""COMPUTED_VALUE"""),0.0)</f>
        <v>0</v>
      </c>
      <c r="AH15" s="3">
        <f>IFERROR(__xludf.DUMMYFUNCTION("""COMPUTED_VALUE"""),0.0)</f>
        <v>0</v>
      </c>
      <c r="AI15" s="3">
        <f>IFERROR(__xludf.DUMMYFUNCTION("""COMPUTED_VALUE"""),0.0)</f>
        <v>0</v>
      </c>
      <c r="AJ15" s="3">
        <f>IFERROR(__xludf.DUMMYFUNCTION("""COMPUTED_VALUE"""),0.0)</f>
        <v>0</v>
      </c>
      <c r="AK15" s="3">
        <f>IFERROR(__xludf.DUMMYFUNCTION("""COMPUTED_VALUE"""),0.0)</f>
        <v>0</v>
      </c>
      <c r="AL15" s="3">
        <f>IFERROR(__xludf.DUMMYFUNCTION("""COMPUTED_VALUE"""),0.0)</f>
        <v>0</v>
      </c>
      <c r="AM15" s="3">
        <f>IFERROR(__xludf.DUMMYFUNCTION("""COMPUTED_VALUE"""),0.0)</f>
        <v>0</v>
      </c>
      <c r="AN15" s="3">
        <f>IFERROR(__xludf.DUMMYFUNCTION("""COMPUTED_VALUE"""),0.0)</f>
        <v>0</v>
      </c>
      <c r="AO15" s="3">
        <f>IFERROR(__xludf.DUMMYFUNCTION("""COMPUTED_VALUE"""),0.0)</f>
        <v>0</v>
      </c>
      <c r="AP15" s="3">
        <f>IFERROR(__xludf.DUMMYFUNCTION("""COMPUTED_VALUE"""),0.0)</f>
        <v>0</v>
      </c>
      <c r="AQ15" s="3">
        <f>IFERROR(__xludf.DUMMYFUNCTION("""COMPUTED_VALUE"""),0.0)</f>
        <v>0</v>
      </c>
      <c r="AR15" s="3">
        <f>IFERROR(__xludf.DUMMYFUNCTION("""COMPUTED_VALUE"""),0.0)</f>
        <v>0</v>
      </c>
      <c r="AS15" s="3">
        <f>IFERROR(__xludf.DUMMYFUNCTION("""COMPUTED_VALUE"""),0.0)</f>
        <v>0</v>
      </c>
      <c r="AT15" s="3">
        <f>IFERROR(__xludf.DUMMYFUNCTION("""COMPUTED_VALUE"""),0.0)</f>
        <v>0</v>
      </c>
      <c r="AU15" s="3">
        <f>IFERROR(__xludf.DUMMYFUNCTION("""COMPUTED_VALUE"""),0.0)</f>
        <v>0</v>
      </c>
      <c r="AV15" s="3">
        <f>IFERROR(__xludf.DUMMYFUNCTION("""COMPUTED_VALUE"""),0.0)</f>
        <v>0</v>
      </c>
      <c r="AW15" s="3">
        <f>IFERROR(__xludf.DUMMYFUNCTION("""COMPUTED_VALUE"""),0.0)</f>
        <v>0</v>
      </c>
      <c r="AX15" s="3">
        <f>IFERROR(__xludf.DUMMYFUNCTION("""COMPUTED_VALUE"""),0.0)</f>
        <v>0</v>
      </c>
      <c r="AY15" s="3">
        <f>IFERROR(__xludf.DUMMYFUNCTION("""COMPUTED_VALUE"""),0.0)</f>
        <v>0</v>
      </c>
      <c r="AZ15" s="3">
        <f>IFERROR(__xludf.DUMMYFUNCTION("""COMPUTED_VALUE"""),0.0)</f>
        <v>0</v>
      </c>
      <c r="BA15" s="3">
        <f>IFERROR(__xludf.DUMMYFUNCTION("""COMPUTED_VALUE"""),0.0)</f>
        <v>0</v>
      </c>
      <c r="BB15" s="3">
        <f>IFERROR(__xludf.DUMMYFUNCTION("""COMPUTED_VALUE"""),0.0)</f>
        <v>0</v>
      </c>
      <c r="BC15" s="3">
        <f>IFERROR(__xludf.DUMMYFUNCTION("""COMPUTED_VALUE"""),0.0)</f>
        <v>0</v>
      </c>
      <c r="BD15" s="3">
        <f>IFERROR(__xludf.DUMMYFUNCTION("""COMPUTED_VALUE"""),0.0)</f>
        <v>0</v>
      </c>
      <c r="BE15" s="3">
        <f>IFERROR(__xludf.DUMMYFUNCTION("""COMPUTED_VALUE"""),0.0)</f>
        <v>0</v>
      </c>
      <c r="BF15" s="3">
        <f>IFERROR(__xludf.DUMMYFUNCTION("""COMPUTED_VALUE"""),0.0)</f>
        <v>0</v>
      </c>
      <c r="BG15" s="3">
        <f>IFERROR(__xludf.DUMMYFUNCTION("""COMPUTED_VALUE"""),0.0)</f>
        <v>0</v>
      </c>
      <c r="BH15" s="3">
        <f>IFERROR(__xludf.DUMMYFUNCTION("""COMPUTED_VALUE"""),0.0)</f>
        <v>0</v>
      </c>
      <c r="BI15" s="3">
        <f>IFERROR(__xludf.DUMMYFUNCTION("""COMPUTED_VALUE"""),0.0)</f>
        <v>0</v>
      </c>
      <c r="BJ15" s="3">
        <f>IFERROR(__xludf.DUMMYFUNCTION("""COMPUTED_VALUE"""),3.0)</f>
        <v>3</v>
      </c>
      <c r="BK15" s="3">
        <f>IFERROR(__xludf.DUMMYFUNCTION("""COMPUTED_VALUE"""),3.0)</f>
        <v>3</v>
      </c>
      <c r="BL15" s="3">
        <f>IFERROR(__xludf.DUMMYFUNCTION("""COMPUTED_VALUE"""),3.0)</f>
        <v>3</v>
      </c>
      <c r="BM15" s="3">
        <f>IFERROR(__xludf.DUMMYFUNCTION("""COMPUTED_VALUE"""),3.0)</f>
        <v>3</v>
      </c>
      <c r="BN15" s="3">
        <f>IFERROR(__xludf.DUMMYFUNCTION("""COMPUTED_VALUE"""),3.0)</f>
        <v>3</v>
      </c>
      <c r="BO15" s="3">
        <f>IFERROR(__xludf.DUMMYFUNCTION("""COMPUTED_VALUE"""),3.0)</f>
        <v>3</v>
      </c>
      <c r="BP15" s="3">
        <f>IFERROR(__xludf.DUMMYFUNCTION("""COMPUTED_VALUE"""),3.0)</f>
        <v>3</v>
      </c>
      <c r="BQ15" s="3">
        <f>IFERROR(__xludf.DUMMYFUNCTION("""COMPUTED_VALUE"""),3.0)</f>
        <v>3</v>
      </c>
      <c r="BR15" s="3">
        <f>IFERROR(__xludf.DUMMYFUNCTION("""COMPUTED_VALUE"""),3.0)</f>
        <v>3</v>
      </c>
      <c r="BS15" s="3">
        <f>IFERROR(__xludf.DUMMYFUNCTION("""COMPUTED_VALUE"""),5.0)</f>
        <v>5</v>
      </c>
      <c r="BT15" s="3">
        <f>IFERROR(__xludf.DUMMYFUNCTION("""COMPUTED_VALUE"""),5.0)</f>
        <v>5</v>
      </c>
      <c r="BU15" s="3">
        <f>IFERROR(__xludf.DUMMYFUNCTION("""COMPUTED_VALUE"""),5.0)</f>
        <v>5</v>
      </c>
      <c r="BV15" s="3">
        <f>IFERROR(__xludf.DUMMYFUNCTION("""COMPUTED_VALUE"""),5.0)</f>
        <v>5</v>
      </c>
      <c r="BW15" s="3">
        <f>IFERROR(__xludf.DUMMYFUNCTION("""COMPUTED_VALUE"""),5.0)</f>
        <v>5</v>
      </c>
      <c r="BX15" s="3">
        <f>IFERROR(__xludf.DUMMYFUNCTION("""COMPUTED_VALUE"""),5.0)</f>
        <v>5</v>
      </c>
      <c r="BY15" s="3">
        <f>IFERROR(__xludf.DUMMYFUNCTION("""COMPUTED_VALUE"""),5.0)</f>
        <v>5</v>
      </c>
      <c r="BZ15" s="3">
        <f>IFERROR(__xludf.DUMMYFUNCTION("""COMPUTED_VALUE"""),5.0)</f>
        <v>5</v>
      </c>
      <c r="CA15" s="3">
        <f>IFERROR(__xludf.DUMMYFUNCTION("""COMPUTED_VALUE"""),5.0)</f>
        <v>5</v>
      </c>
      <c r="CB15" s="3">
        <f>IFERROR(__xludf.DUMMYFUNCTION("""COMPUTED_VALUE"""),26.0)</f>
        <v>26</v>
      </c>
    </row>
    <row r="16">
      <c r="A16" s="3" t="str">
        <f>IFERROR(__xludf.DUMMYFUNCTION("""COMPUTED_VALUE"""),"Victoria")</f>
        <v>Victoria</v>
      </c>
      <c r="B16" s="3" t="str">
        <f>IFERROR(__xludf.DUMMYFUNCTION("""COMPUTED_VALUE"""),"Australia")</f>
        <v>Australia</v>
      </c>
      <c r="C16" s="3">
        <f>IFERROR(__xludf.DUMMYFUNCTION("""COMPUTED_VALUE"""),-37.8136)</f>
        <v>-37.8136</v>
      </c>
      <c r="D16" s="3">
        <f>IFERROR(__xludf.DUMMYFUNCTION("""COMPUTED_VALUE"""),144.9631)</f>
        <v>144.9631</v>
      </c>
      <c r="E16" s="3">
        <f>IFERROR(__xludf.DUMMYFUNCTION("""COMPUTED_VALUE"""),0.0)</f>
        <v>0</v>
      </c>
      <c r="F16" s="3">
        <f>IFERROR(__xludf.DUMMYFUNCTION("""COMPUTED_VALUE"""),0.0)</f>
        <v>0</v>
      </c>
      <c r="G16" s="3">
        <f>IFERROR(__xludf.DUMMYFUNCTION("""COMPUTED_VALUE"""),0.0)</f>
        <v>0</v>
      </c>
      <c r="H16" s="3">
        <f>IFERROR(__xludf.DUMMYFUNCTION("""COMPUTED_VALUE"""),0.0)</f>
        <v>0</v>
      </c>
      <c r="I16" s="3">
        <f>IFERROR(__xludf.DUMMYFUNCTION("""COMPUTED_VALUE"""),0.0)</f>
        <v>0</v>
      </c>
      <c r="J16" s="3">
        <f>IFERROR(__xludf.DUMMYFUNCTION("""COMPUTED_VALUE"""),0.0)</f>
        <v>0</v>
      </c>
      <c r="K16" s="3">
        <f>IFERROR(__xludf.DUMMYFUNCTION("""COMPUTED_VALUE"""),0.0)</f>
        <v>0</v>
      </c>
      <c r="L16" s="3">
        <f>IFERROR(__xludf.DUMMYFUNCTION("""COMPUTED_VALUE"""),0.0)</f>
        <v>0</v>
      </c>
      <c r="M16" s="3">
        <f>IFERROR(__xludf.DUMMYFUNCTION("""COMPUTED_VALUE"""),0.0)</f>
        <v>0</v>
      </c>
      <c r="N16" s="3">
        <f>IFERROR(__xludf.DUMMYFUNCTION("""COMPUTED_VALUE"""),0.0)</f>
        <v>0</v>
      </c>
      <c r="O16" s="3">
        <f>IFERROR(__xludf.DUMMYFUNCTION("""COMPUTED_VALUE"""),0.0)</f>
        <v>0</v>
      </c>
      <c r="P16" s="3">
        <f>IFERROR(__xludf.DUMMYFUNCTION("""COMPUTED_VALUE"""),0.0)</f>
        <v>0</v>
      </c>
      <c r="Q16" s="3">
        <f>IFERROR(__xludf.DUMMYFUNCTION("""COMPUTED_VALUE"""),0.0)</f>
        <v>0</v>
      </c>
      <c r="R16" s="3">
        <f>IFERROR(__xludf.DUMMYFUNCTION("""COMPUTED_VALUE"""),0.0)</f>
        <v>0</v>
      </c>
      <c r="S16" s="3">
        <f>IFERROR(__xludf.DUMMYFUNCTION("""COMPUTED_VALUE"""),0.0)</f>
        <v>0</v>
      </c>
      <c r="T16" s="3">
        <f>IFERROR(__xludf.DUMMYFUNCTION("""COMPUTED_VALUE"""),0.0)</f>
        <v>0</v>
      </c>
      <c r="U16" s="3">
        <f>IFERROR(__xludf.DUMMYFUNCTION("""COMPUTED_VALUE"""),0.0)</f>
        <v>0</v>
      </c>
      <c r="V16" s="3">
        <f>IFERROR(__xludf.DUMMYFUNCTION("""COMPUTED_VALUE"""),0.0)</f>
        <v>0</v>
      </c>
      <c r="W16" s="3">
        <f>IFERROR(__xludf.DUMMYFUNCTION("""COMPUTED_VALUE"""),0.0)</f>
        <v>0</v>
      </c>
      <c r="X16" s="3">
        <f>IFERROR(__xludf.DUMMYFUNCTION("""COMPUTED_VALUE"""),0.0)</f>
        <v>0</v>
      </c>
      <c r="Y16" s="3">
        <f>IFERROR(__xludf.DUMMYFUNCTION("""COMPUTED_VALUE"""),0.0)</f>
        <v>0</v>
      </c>
      <c r="Z16" s="3">
        <f>IFERROR(__xludf.DUMMYFUNCTION("""COMPUTED_VALUE"""),0.0)</f>
        <v>0</v>
      </c>
      <c r="AA16" s="3">
        <f>IFERROR(__xludf.DUMMYFUNCTION("""COMPUTED_VALUE"""),4.0)</f>
        <v>4</v>
      </c>
      <c r="AB16" s="3">
        <f>IFERROR(__xludf.DUMMYFUNCTION("""COMPUTED_VALUE"""),4.0)</f>
        <v>4</v>
      </c>
      <c r="AC16" s="3">
        <f>IFERROR(__xludf.DUMMYFUNCTION("""COMPUTED_VALUE"""),4.0)</f>
        <v>4</v>
      </c>
      <c r="AD16" s="3">
        <f>IFERROR(__xludf.DUMMYFUNCTION("""COMPUTED_VALUE"""),4.0)</f>
        <v>4</v>
      </c>
      <c r="AE16" s="3">
        <f>IFERROR(__xludf.DUMMYFUNCTION("""COMPUTED_VALUE"""),4.0)</f>
        <v>4</v>
      </c>
      <c r="AF16" s="3">
        <f>IFERROR(__xludf.DUMMYFUNCTION("""COMPUTED_VALUE"""),4.0)</f>
        <v>4</v>
      </c>
      <c r="AG16" s="3">
        <f>IFERROR(__xludf.DUMMYFUNCTION("""COMPUTED_VALUE"""),4.0)</f>
        <v>4</v>
      </c>
      <c r="AH16" s="3">
        <f>IFERROR(__xludf.DUMMYFUNCTION("""COMPUTED_VALUE"""),4.0)</f>
        <v>4</v>
      </c>
      <c r="AI16" s="3">
        <f>IFERROR(__xludf.DUMMYFUNCTION("""COMPUTED_VALUE"""),4.0)</f>
        <v>4</v>
      </c>
      <c r="AJ16" s="3">
        <f>IFERROR(__xludf.DUMMYFUNCTION("""COMPUTED_VALUE"""),4.0)</f>
        <v>4</v>
      </c>
      <c r="AK16" s="3">
        <f>IFERROR(__xludf.DUMMYFUNCTION("""COMPUTED_VALUE"""),4.0)</f>
        <v>4</v>
      </c>
      <c r="AL16" s="3">
        <f>IFERROR(__xludf.DUMMYFUNCTION("""COMPUTED_VALUE"""),4.0)</f>
        <v>4</v>
      </c>
      <c r="AM16" s="3">
        <f>IFERROR(__xludf.DUMMYFUNCTION("""COMPUTED_VALUE"""),4.0)</f>
        <v>4</v>
      </c>
      <c r="AN16" s="3">
        <f>IFERROR(__xludf.DUMMYFUNCTION("""COMPUTED_VALUE"""),4.0)</f>
        <v>4</v>
      </c>
      <c r="AO16" s="3">
        <f>IFERROR(__xludf.DUMMYFUNCTION("""COMPUTED_VALUE"""),4.0)</f>
        <v>4</v>
      </c>
      <c r="AP16" s="3">
        <f>IFERROR(__xludf.DUMMYFUNCTION("""COMPUTED_VALUE"""),4.0)</f>
        <v>4</v>
      </c>
      <c r="AQ16" s="3">
        <f>IFERROR(__xludf.DUMMYFUNCTION("""COMPUTED_VALUE"""),4.0)</f>
        <v>4</v>
      </c>
      <c r="AR16" s="3">
        <f>IFERROR(__xludf.DUMMYFUNCTION("""COMPUTED_VALUE"""),4.0)</f>
        <v>4</v>
      </c>
      <c r="AS16" s="3">
        <f>IFERROR(__xludf.DUMMYFUNCTION("""COMPUTED_VALUE"""),4.0)</f>
        <v>4</v>
      </c>
      <c r="AT16" s="3">
        <f>IFERROR(__xludf.DUMMYFUNCTION("""COMPUTED_VALUE"""),4.0)</f>
        <v>4</v>
      </c>
      <c r="AU16" s="3">
        <f>IFERROR(__xludf.DUMMYFUNCTION("""COMPUTED_VALUE"""),4.0)</f>
        <v>4</v>
      </c>
      <c r="AV16" s="3">
        <f>IFERROR(__xludf.DUMMYFUNCTION("""COMPUTED_VALUE"""),7.0)</f>
        <v>7</v>
      </c>
      <c r="AW16" s="3">
        <f>IFERROR(__xludf.DUMMYFUNCTION("""COMPUTED_VALUE"""),7.0)</f>
        <v>7</v>
      </c>
      <c r="AX16" s="3">
        <f>IFERROR(__xludf.DUMMYFUNCTION("""COMPUTED_VALUE"""),7.0)</f>
        <v>7</v>
      </c>
      <c r="AY16" s="3">
        <f>IFERROR(__xludf.DUMMYFUNCTION("""COMPUTED_VALUE"""),7.0)</f>
        <v>7</v>
      </c>
      <c r="AZ16" s="3">
        <f>IFERROR(__xludf.DUMMYFUNCTION("""COMPUTED_VALUE"""),7.0)</f>
        <v>7</v>
      </c>
      <c r="BA16" s="3">
        <f>IFERROR(__xludf.DUMMYFUNCTION("""COMPUTED_VALUE"""),7.0)</f>
        <v>7</v>
      </c>
      <c r="BB16" s="3">
        <f>IFERROR(__xludf.DUMMYFUNCTION("""COMPUTED_VALUE"""),7.0)</f>
        <v>7</v>
      </c>
      <c r="BC16" s="3">
        <f>IFERROR(__xludf.DUMMYFUNCTION("""COMPUTED_VALUE"""),7.0)</f>
        <v>7</v>
      </c>
      <c r="BD16" s="3">
        <f>IFERROR(__xludf.DUMMYFUNCTION("""COMPUTED_VALUE"""),8.0)</f>
        <v>8</v>
      </c>
      <c r="BE16" s="3">
        <f>IFERROR(__xludf.DUMMYFUNCTION("""COMPUTED_VALUE"""),8.0)</f>
        <v>8</v>
      </c>
      <c r="BF16" s="3">
        <f>IFERROR(__xludf.DUMMYFUNCTION("""COMPUTED_VALUE"""),8.0)</f>
        <v>8</v>
      </c>
      <c r="BG16" s="3">
        <f>IFERROR(__xludf.DUMMYFUNCTION("""COMPUTED_VALUE"""),8.0)</f>
        <v>8</v>
      </c>
      <c r="BH16" s="3">
        <f>IFERROR(__xludf.DUMMYFUNCTION("""COMPUTED_VALUE"""),8.0)</f>
        <v>8</v>
      </c>
      <c r="BI16" s="3">
        <f>IFERROR(__xludf.DUMMYFUNCTION("""COMPUTED_VALUE"""),8.0)</f>
        <v>8</v>
      </c>
      <c r="BJ16" s="3">
        <f>IFERROR(__xludf.DUMMYFUNCTION("""COMPUTED_VALUE"""),8.0)</f>
        <v>8</v>
      </c>
      <c r="BK16" s="3">
        <f>IFERROR(__xludf.DUMMYFUNCTION("""COMPUTED_VALUE"""),8.0)</f>
        <v>8</v>
      </c>
      <c r="BL16" s="3">
        <f>IFERROR(__xludf.DUMMYFUNCTION("""COMPUTED_VALUE"""),8.0)</f>
        <v>8</v>
      </c>
      <c r="BM16" s="3">
        <f>IFERROR(__xludf.DUMMYFUNCTION("""COMPUTED_VALUE"""),70.0)</f>
        <v>70</v>
      </c>
      <c r="BN16" s="3">
        <f>IFERROR(__xludf.DUMMYFUNCTION("""COMPUTED_VALUE"""),70.0)</f>
        <v>70</v>
      </c>
      <c r="BO16" s="3">
        <f>IFERROR(__xludf.DUMMYFUNCTION("""COMPUTED_VALUE"""),97.0)</f>
        <v>97</v>
      </c>
      <c r="BP16" s="3">
        <f>IFERROR(__xludf.DUMMYFUNCTION("""COMPUTED_VALUE"""),97.0)</f>
        <v>97</v>
      </c>
      <c r="BQ16" s="3">
        <f>IFERROR(__xludf.DUMMYFUNCTION("""COMPUTED_VALUE"""),149.0)</f>
        <v>149</v>
      </c>
      <c r="BR16" s="3">
        <f>IFERROR(__xludf.DUMMYFUNCTION("""COMPUTED_VALUE"""),171.0)</f>
        <v>171</v>
      </c>
      <c r="BS16" s="3">
        <f>IFERROR(__xludf.DUMMYFUNCTION("""COMPUTED_VALUE"""),191.0)</f>
        <v>191</v>
      </c>
      <c r="BT16" s="3">
        <f>IFERROR(__xludf.DUMMYFUNCTION("""COMPUTED_VALUE"""),191.0)</f>
        <v>191</v>
      </c>
      <c r="BU16" s="3">
        <f>IFERROR(__xludf.DUMMYFUNCTION("""COMPUTED_VALUE"""),191.0)</f>
        <v>191</v>
      </c>
      <c r="BV16" s="3">
        <f>IFERROR(__xludf.DUMMYFUNCTION("""COMPUTED_VALUE"""),291.0)</f>
        <v>291</v>
      </c>
      <c r="BW16" s="3">
        <f>IFERROR(__xludf.DUMMYFUNCTION("""COMPUTED_VALUE"""),343.0)</f>
        <v>343</v>
      </c>
      <c r="BX16" s="3">
        <f>IFERROR(__xludf.DUMMYFUNCTION("""COMPUTED_VALUE"""),422.0)</f>
        <v>422</v>
      </c>
      <c r="BY16" s="3">
        <f>IFERROR(__xludf.DUMMYFUNCTION("""COMPUTED_VALUE"""),476.0)</f>
        <v>476</v>
      </c>
      <c r="BZ16" s="3">
        <f>IFERROR(__xludf.DUMMYFUNCTION("""COMPUTED_VALUE"""),527.0)</f>
        <v>527</v>
      </c>
      <c r="CA16" s="3">
        <f>IFERROR(__xludf.DUMMYFUNCTION("""COMPUTED_VALUE"""),573.0)</f>
        <v>573</v>
      </c>
      <c r="CB16" s="3">
        <f>IFERROR(__xludf.DUMMYFUNCTION("""COMPUTED_VALUE"""),620.0)</f>
        <v>620</v>
      </c>
    </row>
    <row r="17">
      <c r="A17" s="3" t="str">
        <f>IFERROR(__xludf.DUMMYFUNCTION("""COMPUTED_VALUE"""),"Western Australia")</f>
        <v>Western Australia</v>
      </c>
      <c r="B17" s="3" t="str">
        <f>IFERROR(__xludf.DUMMYFUNCTION("""COMPUTED_VALUE"""),"Australia")</f>
        <v>Australia</v>
      </c>
      <c r="C17" s="3">
        <f>IFERROR(__xludf.DUMMYFUNCTION("""COMPUTED_VALUE"""),-31.9505)</f>
        <v>-31.9505</v>
      </c>
      <c r="D17" s="3">
        <f>IFERROR(__xludf.DUMMYFUNCTION("""COMPUTED_VALUE"""),115.8605)</f>
        <v>115.8605</v>
      </c>
      <c r="E17" s="3">
        <f>IFERROR(__xludf.DUMMYFUNCTION("""COMPUTED_VALUE"""),0.0)</f>
        <v>0</v>
      </c>
      <c r="F17" s="3">
        <f>IFERROR(__xludf.DUMMYFUNCTION("""COMPUTED_VALUE"""),0.0)</f>
        <v>0</v>
      </c>
      <c r="G17" s="3">
        <f>IFERROR(__xludf.DUMMYFUNCTION("""COMPUTED_VALUE"""),0.0)</f>
        <v>0</v>
      </c>
      <c r="H17" s="3">
        <f>IFERROR(__xludf.DUMMYFUNCTION("""COMPUTED_VALUE"""),0.0)</f>
        <v>0</v>
      </c>
      <c r="I17" s="3">
        <f>IFERROR(__xludf.DUMMYFUNCTION("""COMPUTED_VALUE"""),0.0)</f>
        <v>0</v>
      </c>
      <c r="J17" s="3">
        <f>IFERROR(__xludf.DUMMYFUNCTION("""COMPUTED_VALUE"""),0.0)</f>
        <v>0</v>
      </c>
      <c r="K17" s="3">
        <f>IFERROR(__xludf.DUMMYFUNCTION("""COMPUTED_VALUE"""),0.0)</f>
        <v>0</v>
      </c>
      <c r="L17" s="3">
        <f>IFERROR(__xludf.DUMMYFUNCTION("""COMPUTED_VALUE"""),0.0)</f>
        <v>0</v>
      </c>
      <c r="M17" s="3">
        <f>IFERROR(__xludf.DUMMYFUNCTION("""COMPUTED_VALUE"""),0.0)</f>
        <v>0</v>
      </c>
      <c r="N17" s="3">
        <f>IFERROR(__xludf.DUMMYFUNCTION("""COMPUTED_VALUE"""),0.0)</f>
        <v>0</v>
      </c>
      <c r="O17" s="3">
        <f>IFERROR(__xludf.DUMMYFUNCTION("""COMPUTED_VALUE"""),0.0)</f>
        <v>0</v>
      </c>
      <c r="P17" s="3">
        <f>IFERROR(__xludf.DUMMYFUNCTION("""COMPUTED_VALUE"""),0.0)</f>
        <v>0</v>
      </c>
      <c r="Q17" s="3">
        <f>IFERROR(__xludf.DUMMYFUNCTION("""COMPUTED_VALUE"""),0.0)</f>
        <v>0</v>
      </c>
      <c r="R17" s="3">
        <f>IFERROR(__xludf.DUMMYFUNCTION("""COMPUTED_VALUE"""),0.0)</f>
        <v>0</v>
      </c>
      <c r="S17" s="3">
        <f>IFERROR(__xludf.DUMMYFUNCTION("""COMPUTED_VALUE"""),0.0)</f>
        <v>0</v>
      </c>
      <c r="T17" s="3">
        <f>IFERROR(__xludf.DUMMYFUNCTION("""COMPUTED_VALUE"""),0.0)</f>
        <v>0</v>
      </c>
      <c r="U17" s="3">
        <f>IFERROR(__xludf.DUMMYFUNCTION("""COMPUTED_VALUE"""),0.0)</f>
        <v>0</v>
      </c>
      <c r="V17" s="3">
        <f>IFERROR(__xludf.DUMMYFUNCTION("""COMPUTED_VALUE"""),0.0)</f>
        <v>0</v>
      </c>
      <c r="W17" s="3">
        <f>IFERROR(__xludf.DUMMYFUNCTION("""COMPUTED_VALUE"""),0.0)</f>
        <v>0</v>
      </c>
      <c r="X17" s="3">
        <f>IFERROR(__xludf.DUMMYFUNCTION("""COMPUTED_VALUE"""),0.0)</f>
        <v>0</v>
      </c>
      <c r="Y17" s="3">
        <f>IFERROR(__xludf.DUMMYFUNCTION("""COMPUTED_VALUE"""),0.0)</f>
        <v>0</v>
      </c>
      <c r="Z17" s="3">
        <f>IFERROR(__xludf.DUMMYFUNCTION("""COMPUTED_VALUE"""),0.0)</f>
        <v>0</v>
      </c>
      <c r="AA17" s="3">
        <f>IFERROR(__xludf.DUMMYFUNCTION("""COMPUTED_VALUE"""),0.0)</f>
        <v>0</v>
      </c>
      <c r="AB17" s="3">
        <f>IFERROR(__xludf.DUMMYFUNCTION("""COMPUTED_VALUE"""),0.0)</f>
        <v>0</v>
      </c>
      <c r="AC17" s="3">
        <f>IFERROR(__xludf.DUMMYFUNCTION("""COMPUTED_VALUE"""),0.0)</f>
        <v>0</v>
      </c>
      <c r="AD17" s="3">
        <f>IFERROR(__xludf.DUMMYFUNCTION("""COMPUTED_VALUE"""),0.0)</f>
        <v>0</v>
      </c>
      <c r="AE17" s="3">
        <f>IFERROR(__xludf.DUMMYFUNCTION("""COMPUTED_VALUE"""),0.0)</f>
        <v>0</v>
      </c>
      <c r="AF17" s="3">
        <f>IFERROR(__xludf.DUMMYFUNCTION("""COMPUTED_VALUE"""),0.0)</f>
        <v>0</v>
      </c>
      <c r="AG17" s="3">
        <f>IFERROR(__xludf.DUMMYFUNCTION("""COMPUTED_VALUE"""),0.0)</f>
        <v>0</v>
      </c>
      <c r="AH17" s="3">
        <f>IFERROR(__xludf.DUMMYFUNCTION("""COMPUTED_VALUE"""),0.0)</f>
        <v>0</v>
      </c>
      <c r="AI17" s="3">
        <f>IFERROR(__xludf.DUMMYFUNCTION("""COMPUTED_VALUE"""),0.0)</f>
        <v>0</v>
      </c>
      <c r="AJ17" s="3">
        <f>IFERROR(__xludf.DUMMYFUNCTION("""COMPUTED_VALUE"""),0.0)</f>
        <v>0</v>
      </c>
      <c r="AK17" s="3">
        <f>IFERROR(__xludf.DUMMYFUNCTION("""COMPUTED_VALUE"""),0.0)</f>
        <v>0</v>
      </c>
      <c r="AL17" s="3">
        <f>IFERROR(__xludf.DUMMYFUNCTION("""COMPUTED_VALUE"""),0.0)</f>
        <v>0</v>
      </c>
      <c r="AM17" s="3">
        <f>IFERROR(__xludf.DUMMYFUNCTION("""COMPUTED_VALUE"""),0.0)</f>
        <v>0</v>
      </c>
      <c r="AN17" s="3">
        <f>IFERROR(__xludf.DUMMYFUNCTION("""COMPUTED_VALUE"""),0.0)</f>
        <v>0</v>
      </c>
      <c r="AO17" s="3">
        <f>IFERROR(__xludf.DUMMYFUNCTION("""COMPUTED_VALUE"""),0.0)</f>
        <v>0</v>
      </c>
      <c r="AP17" s="3">
        <f>IFERROR(__xludf.DUMMYFUNCTION("""COMPUTED_VALUE"""),0.0)</f>
        <v>0</v>
      </c>
      <c r="AQ17" s="3">
        <f>IFERROR(__xludf.DUMMYFUNCTION("""COMPUTED_VALUE"""),0.0)</f>
        <v>0</v>
      </c>
      <c r="AR17" s="3">
        <f>IFERROR(__xludf.DUMMYFUNCTION("""COMPUTED_VALUE"""),0.0)</f>
        <v>0</v>
      </c>
      <c r="AS17" s="3">
        <f>IFERROR(__xludf.DUMMYFUNCTION("""COMPUTED_VALUE"""),0.0)</f>
        <v>0</v>
      </c>
      <c r="AT17" s="3">
        <f>IFERROR(__xludf.DUMMYFUNCTION("""COMPUTED_VALUE"""),0.0)</f>
        <v>0</v>
      </c>
      <c r="AU17" s="3">
        <f>IFERROR(__xludf.DUMMYFUNCTION("""COMPUTED_VALUE"""),0.0)</f>
        <v>0</v>
      </c>
      <c r="AV17" s="3">
        <f>IFERROR(__xludf.DUMMYFUNCTION("""COMPUTED_VALUE"""),0.0)</f>
        <v>0</v>
      </c>
      <c r="AW17" s="3">
        <f>IFERROR(__xludf.DUMMYFUNCTION("""COMPUTED_VALUE"""),0.0)</f>
        <v>0</v>
      </c>
      <c r="AX17" s="3">
        <f>IFERROR(__xludf.DUMMYFUNCTION("""COMPUTED_VALUE"""),0.0)</f>
        <v>0</v>
      </c>
      <c r="AY17" s="3">
        <f>IFERROR(__xludf.DUMMYFUNCTION("""COMPUTED_VALUE"""),0.0)</f>
        <v>0</v>
      </c>
      <c r="AZ17" s="3">
        <f>IFERROR(__xludf.DUMMYFUNCTION("""COMPUTED_VALUE"""),0.0)</f>
        <v>0</v>
      </c>
      <c r="BA17" s="3">
        <f>IFERROR(__xludf.DUMMYFUNCTION("""COMPUTED_VALUE"""),0.0)</f>
        <v>0</v>
      </c>
      <c r="BB17" s="3">
        <f>IFERROR(__xludf.DUMMYFUNCTION("""COMPUTED_VALUE"""),0.0)</f>
        <v>0</v>
      </c>
      <c r="BC17" s="3">
        <f>IFERROR(__xludf.DUMMYFUNCTION("""COMPUTED_VALUE"""),0.0)</f>
        <v>0</v>
      </c>
      <c r="BD17" s="3">
        <f>IFERROR(__xludf.DUMMYFUNCTION("""COMPUTED_VALUE"""),0.0)</f>
        <v>0</v>
      </c>
      <c r="BE17" s="3">
        <f>IFERROR(__xludf.DUMMYFUNCTION("""COMPUTED_VALUE"""),0.0)</f>
        <v>0</v>
      </c>
      <c r="BF17" s="3">
        <f>IFERROR(__xludf.DUMMYFUNCTION("""COMPUTED_VALUE"""),0.0)</f>
        <v>0</v>
      </c>
      <c r="BG17" s="3">
        <f>IFERROR(__xludf.DUMMYFUNCTION("""COMPUTED_VALUE"""),0.0)</f>
        <v>0</v>
      </c>
      <c r="BH17" s="3">
        <f>IFERROR(__xludf.DUMMYFUNCTION("""COMPUTED_VALUE"""),0.0)</f>
        <v>0</v>
      </c>
      <c r="BI17" s="3">
        <f>IFERROR(__xludf.DUMMYFUNCTION("""COMPUTED_VALUE"""),0.0)</f>
        <v>0</v>
      </c>
      <c r="BJ17" s="3">
        <f>IFERROR(__xludf.DUMMYFUNCTION("""COMPUTED_VALUE"""),0.0)</f>
        <v>0</v>
      </c>
      <c r="BK17" s="3">
        <f>IFERROR(__xludf.DUMMYFUNCTION("""COMPUTED_VALUE"""),0.0)</f>
        <v>0</v>
      </c>
      <c r="BL17" s="3">
        <f>IFERROR(__xludf.DUMMYFUNCTION("""COMPUTED_VALUE"""),0.0)</f>
        <v>0</v>
      </c>
      <c r="BM17" s="3">
        <f>IFERROR(__xludf.DUMMYFUNCTION("""COMPUTED_VALUE"""),0.0)</f>
        <v>0</v>
      </c>
      <c r="BN17" s="3">
        <f>IFERROR(__xludf.DUMMYFUNCTION("""COMPUTED_VALUE"""),0.0)</f>
        <v>0</v>
      </c>
      <c r="BO17" s="3">
        <f>IFERROR(__xludf.DUMMYFUNCTION("""COMPUTED_VALUE"""),0.0)</f>
        <v>0</v>
      </c>
      <c r="BP17" s="3">
        <f>IFERROR(__xludf.DUMMYFUNCTION("""COMPUTED_VALUE"""),1.0)</f>
        <v>1</v>
      </c>
      <c r="BQ17" s="3">
        <f>IFERROR(__xludf.DUMMYFUNCTION("""COMPUTED_VALUE"""),1.0)</f>
        <v>1</v>
      </c>
      <c r="BR17" s="3">
        <f>IFERROR(__xludf.DUMMYFUNCTION("""COMPUTED_VALUE"""),1.0)</f>
        <v>1</v>
      </c>
      <c r="BS17" s="3">
        <f>IFERROR(__xludf.DUMMYFUNCTION("""COMPUTED_VALUE"""),28.0)</f>
        <v>28</v>
      </c>
      <c r="BT17" s="3">
        <f>IFERROR(__xludf.DUMMYFUNCTION("""COMPUTED_VALUE"""),28.0)</f>
        <v>28</v>
      </c>
      <c r="BU17" s="3">
        <f>IFERROR(__xludf.DUMMYFUNCTION("""COMPUTED_VALUE"""),41.0)</f>
        <v>41</v>
      </c>
      <c r="BV17" s="3">
        <f>IFERROR(__xludf.DUMMYFUNCTION("""COMPUTED_VALUE"""),41.0)</f>
        <v>41</v>
      </c>
      <c r="BW17" s="3">
        <f>IFERROR(__xludf.DUMMYFUNCTION("""COMPUTED_VALUE"""),48.0)</f>
        <v>48</v>
      </c>
      <c r="BX17" s="3">
        <f>IFERROR(__xludf.DUMMYFUNCTION("""COMPUTED_VALUE"""),64.0)</f>
        <v>64</v>
      </c>
      <c r="BY17" s="3">
        <f>IFERROR(__xludf.DUMMYFUNCTION("""COMPUTED_VALUE"""),92.0)</f>
        <v>92</v>
      </c>
      <c r="BZ17" s="3">
        <f>IFERROR(__xludf.DUMMYFUNCTION("""COMPUTED_VALUE"""),92.0)</f>
        <v>92</v>
      </c>
      <c r="CA17" s="3">
        <f>IFERROR(__xludf.DUMMYFUNCTION("""COMPUTED_VALUE"""),92.0)</f>
        <v>92</v>
      </c>
      <c r="CB17" s="3">
        <f>IFERROR(__xludf.DUMMYFUNCTION("""COMPUTED_VALUE"""),162.0)</f>
        <v>162</v>
      </c>
    </row>
    <row r="18">
      <c r="A18" s="3" t="str">
        <f>IFERROR(__xludf.DUMMYFUNCTION("""COMPUTED_VALUE"""),"")</f>
        <v/>
      </c>
      <c r="B18" s="3" t="str">
        <f>IFERROR(__xludf.DUMMYFUNCTION("""COMPUTED_VALUE"""),"Austria")</f>
        <v>Austria</v>
      </c>
      <c r="C18" s="3">
        <f>IFERROR(__xludf.DUMMYFUNCTION("""COMPUTED_VALUE"""),47.5162)</f>
        <v>47.5162</v>
      </c>
      <c r="D18" s="3">
        <f>IFERROR(__xludf.DUMMYFUNCTION("""COMPUTED_VALUE"""),14.5501)</f>
        <v>14.5501</v>
      </c>
      <c r="E18" s="3">
        <f>IFERROR(__xludf.DUMMYFUNCTION("""COMPUTED_VALUE"""),0.0)</f>
        <v>0</v>
      </c>
      <c r="F18" s="3">
        <f>IFERROR(__xludf.DUMMYFUNCTION("""COMPUTED_VALUE"""),0.0)</f>
        <v>0</v>
      </c>
      <c r="G18" s="3">
        <f>IFERROR(__xludf.DUMMYFUNCTION("""COMPUTED_VALUE"""),0.0)</f>
        <v>0</v>
      </c>
      <c r="H18" s="3">
        <f>IFERROR(__xludf.DUMMYFUNCTION("""COMPUTED_VALUE"""),0.0)</f>
        <v>0</v>
      </c>
      <c r="I18" s="3">
        <f>IFERROR(__xludf.DUMMYFUNCTION("""COMPUTED_VALUE"""),0.0)</f>
        <v>0</v>
      </c>
      <c r="J18" s="3">
        <f>IFERROR(__xludf.DUMMYFUNCTION("""COMPUTED_VALUE"""),0.0)</f>
        <v>0</v>
      </c>
      <c r="K18" s="3">
        <f>IFERROR(__xludf.DUMMYFUNCTION("""COMPUTED_VALUE"""),0.0)</f>
        <v>0</v>
      </c>
      <c r="L18" s="3">
        <f>IFERROR(__xludf.DUMMYFUNCTION("""COMPUTED_VALUE"""),0.0)</f>
        <v>0</v>
      </c>
      <c r="M18" s="3">
        <f>IFERROR(__xludf.DUMMYFUNCTION("""COMPUTED_VALUE"""),0.0)</f>
        <v>0</v>
      </c>
      <c r="N18" s="3">
        <f>IFERROR(__xludf.DUMMYFUNCTION("""COMPUTED_VALUE"""),0.0)</f>
        <v>0</v>
      </c>
      <c r="O18" s="3">
        <f>IFERROR(__xludf.DUMMYFUNCTION("""COMPUTED_VALUE"""),0.0)</f>
        <v>0</v>
      </c>
      <c r="P18" s="3">
        <f>IFERROR(__xludf.DUMMYFUNCTION("""COMPUTED_VALUE"""),0.0)</f>
        <v>0</v>
      </c>
      <c r="Q18" s="3">
        <f>IFERROR(__xludf.DUMMYFUNCTION("""COMPUTED_VALUE"""),0.0)</f>
        <v>0</v>
      </c>
      <c r="R18" s="3">
        <f>IFERROR(__xludf.DUMMYFUNCTION("""COMPUTED_VALUE"""),0.0)</f>
        <v>0</v>
      </c>
      <c r="S18" s="3">
        <f>IFERROR(__xludf.DUMMYFUNCTION("""COMPUTED_VALUE"""),0.0)</f>
        <v>0</v>
      </c>
      <c r="T18" s="3">
        <f>IFERROR(__xludf.DUMMYFUNCTION("""COMPUTED_VALUE"""),0.0)</f>
        <v>0</v>
      </c>
      <c r="U18" s="3">
        <f>IFERROR(__xludf.DUMMYFUNCTION("""COMPUTED_VALUE"""),0.0)</f>
        <v>0</v>
      </c>
      <c r="V18" s="3">
        <f>IFERROR(__xludf.DUMMYFUNCTION("""COMPUTED_VALUE"""),0.0)</f>
        <v>0</v>
      </c>
      <c r="W18" s="3">
        <f>IFERROR(__xludf.DUMMYFUNCTION("""COMPUTED_VALUE"""),0.0)</f>
        <v>0</v>
      </c>
      <c r="X18" s="3">
        <f>IFERROR(__xludf.DUMMYFUNCTION("""COMPUTED_VALUE"""),0.0)</f>
        <v>0</v>
      </c>
      <c r="Y18" s="3">
        <f>IFERROR(__xludf.DUMMYFUNCTION("""COMPUTED_VALUE"""),0.0)</f>
        <v>0</v>
      </c>
      <c r="Z18" s="3">
        <f>IFERROR(__xludf.DUMMYFUNCTION("""COMPUTED_VALUE"""),0.0)</f>
        <v>0</v>
      </c>
      <c r="AA18" s="3">
        <f>IFERROR(__xludf.DUMMYFUNCTION("""COMPUTED_VALUE"""),0.0)</f>
        <v>0</v>
      </c>
      <c r="AB18" s="3">
        <f>IFERROR(__xludf.DUMMYFUNCTION("""COMPUTED_VALUE"""),0.0)</f>
        <v>0</v>
      </c>
      <c r="AC18" s="3">
        <f>IFERROR(__xludf.DUMMYFUNCTION("""COMPUTED_VALUE"""),0.0)</f>
        <v>0</v>
      </c>
      <c r="AD18" s="3">
        <f>IFERROR(__xludf.DUMMYFUNCTION("""COMPUTED_VALUE"""),0.0)</f>
        <v>0</v>
      </c>
      <c r="AE18" s="3">
        <f>IFERROR(__xludf.DUMMYFUNCTION("""COMPUTED_VALUE"""),0.0)</f>
        <v>0</v>
      </c>
      <c r="AF18" s="3">
        <f>IFERROR(__xludf.DUMMYFUNCTION("""COMPUTED_VALUE"""),0.0)</f>
        <v>0</v>
      </c>
      <c r="AG18" s="3">
        <f>IFERROR(__xludf.DUMMYFUNCTION("""COMPUTED_VALUE"""),0.0)</f>
        <v>0</v>
      </c>
      <c r="AH18" s="3">
        <f>IFERROR(__xludf.DUMMYFUNCTION("""COMPUTED_VALUE"""),0.0)</f>
        <v>0</v>
      </c>
      <c r="AI18" s="3">
        <f>IFERROR(__xludf.DUMMYFUNCTION("""COMPUTED_VALUE"""),0.0)</f>
        <v>0</v>
      </c>
      <c r="AJ18" s="3">
        <f>IFERROR(__xludf.DUMMYFUNCTION("""COMPUTED_VALUE"""),0.0)</f>
        <v>0</v>
      </c>
      <c r="AK18" s="3">
        <f>IFERROR(__xludf.DUMMYFUNCTION("""COMPUTED_VALUE"""),0.0)</f>
        <v>0</v>
      </c>
      <c r="AL18" s="3">
        <f>IFERROR(__xludf.DUMMYFUNCTION("""COMPUTED_VALUE"""),0.0)</f>
        <v>0</v>
      </c>
      <c r="AM18" s="3">
        <f>IFERROR(__xludf.DUMMYFUNCTION("""COMPUTED_VALUE"""),0.0)</f>
        <v>0</v>
      </c>
      <c r="AN18" s="3">
        <f>IFERROR(__xludf.DUMMYFUNCTION("""COMPUTED_VALUE"""),0.0)</f>
        <v>0</v>
      </c>
      <c r="AO18" s="3">
        <f>IFERROR(__xludf.DUMMYFUNCTION("""COMPUTED_VALUE"""),0.0)</f>
        <v>0</v>
      </c>
      <c r="AP18" s="3">
        <f>IFERROR(__xludf.DUMMYFUNCTION("""COMPUTED_VALUE"""),0.0)</f>
        <v>0</v>
      </c>
      <c r="AQ18" s="3">
        <f>IFERROR(__xludf.DUMMYFUNCTION("""COMPUTED_VALUE"""),0.0)</f>
        <v>0</v>
      </c>
      <c r="AR18" s="3">
        <f>IFERROR(__xludf.DUMMYFUNCTION("""COMPUTED_VALUE"""),0.0)</f>
        <v>0</v>
      </c>
      <c r="AS18" s="3">
        <f>IFERROR(__xludf.DUMMYFUNCTION("""COMPUTED_VALUE"""),0.0)</f>
        <v>0</v>
      </c>
      <c r="AT18" s="3">
        <f>IFERROR(__xludf.DUMMYFUNCTION("""COMPUTED_VALUE"""),0.0)</f>
        <v>0</v>
      </c>
      <c r="AU18" s="3">
        <f>IFERROR(__xludf.DUMMYFUNCTION("""COMPUTED_VALUE"""),0.0)</f>
        <v>0</v>
      </c>
      <c r="AV18" s="3">
        <f>IFERROR(__xludf.DUMMYFUNCTION("""COMPUTED_VALUE"""),0.0)</f>
        <v>0</v>
      </c>
      <c r="AW18" s="3">
        <f>IFERROR(__xludf.DUMMYFUNCTION("""COMPUTED_VALUE"""),0.0)</f>
        <v>0</v>
      </c>
      <c r="AX18" s="3">
        <f>IFERROR(__xludf.DUMMYFUNCTION("""COMPUTED_VALUE"""),0.0)</f>
        <v>0</v>
      </c>
      <c r="AY18" s="3">
        <f>IFERROR(__xludf.DUMMYFUNCTION("""COMPUTED_VALUE"""),0.0)</f>
        <v>0</v>
      </c>
      <c r="AZ18" s="3">
        <f>IFERROR(__xludf.DUMMYFUNCTION("""COMPUTED_VALUE"""),2.0)</f>
        <v>2</v>
      </c>
      <c r="BA18" s="3">
        <f>IFERROR(__xludf.DUMMYFUNCTION("""COMPUTED_VALUE"""),4.0)</f>
        <v>4</v>
      </c>
      <c r="BB18" s="3">
        <f>IFERROR(__xludf.DUMMYFUNCTION("""COMPUTED_VALUE"""),4.0)</f>
        <v>4</v>
      </c>
      <c r="BC18" s="3">
        <f>IFERROR(__xludf.DUMMYFUNCTION("""COMPUTED_VALUE"""),4.0)</f>
        <v>4</v>
      </c>
      <c r="BD18" s="3">
        <f>IFERROR(__xludf.DUMMYFUNCTION("""COMPUTED_VALUE"""),6.0)</f>
        <v>6</v>
      </c>
      <c r="BE18" s="3">
        <f>IFERROR(__xludf.DUMMYFUNCTION("""COMPUTED_VALUE"""),6.0)</f>
        <v>6</v>
      </c>
      <c r="BF18" s="3">
        <f>IFERROR(__xludf.DUMMYFUNCTION("""COMPUTED_VALUE"""),6.0)</f>
        <v>6</v>
      </c>
      <c r="BG18" s="3">
        <f>IFERROR(__xludf.DUMMYFUNCTION("""COMPUTED_VALUE"""),6.0)</f>
        <v>6</v>
      </c>
      <c r="BH18" s="3">
        <f>IFERROR(__xludf.DUMMYFUNCTION("""COMPUTED_VALUE"""),1.0)</f>
        <v>1</v>
      </c>
      <c r="BI18" s="3">
        <f>IFERROR(__xludf.DUMMYFUNCTION("""COMPUTED_VALUE"""),9.0)</f>
        <v>9</v>
      </c>
      <c r="BJ18" s="3">
        <f>IFERROR(__xludf.DUMMYFUNCTION("""COMPUTED_VALUE"""),9.0)</f>
        <v>9</v>
      </c>
      <c r="BK18" s="3">
        <f>IFERROR(__xludf.DUMMYFUNCTION("""COMPUTED_VALUE"""),9.0)</f>
        <v>9</v>
      </c>
      <c r="BL18" s="3">
        <f>IFERROR(__xludf.DUMMYFUNCTION("""COMPUTED_VALUE"""),9.0)</f>
        <v>9</v>
      </c>
      <c r="BM18" s="3">
        <f>IFERROR(__xludf.DUMMYFUNCTION("""COMPUTED_VALUE"""),9.0)</f>
        <v>9</v>
      </c>
      <c r="BN18" s="3">
        <f>IFERROR(__xludf.DUMMYFUNCTION("""COMPUTED_VALUE"""),9.0)</f>
        <v>9</v>
      </c>
      <c r="BO18" s="3">
        <f>IFERROR(__xludf.DUMMYFUNCTION("""COMPUTED_VALUE"""),9.0)</f>
        <v>9</v>
      </c>
      <c r="BP18" s="3">
        <f>IFERROR(__xludf.DUMMYFUNCTION("""COMPUTED_VALUE"""),9.0)</f>
        <v>9</v>
      </c>
      <c r="BQ18" s="3">
        <f>IFERROR(__xludf.DUMMYFUNCTION("""COMPUTED_VALUE"""),112.0)</f>
        <v>112</v>
      </c>
      <c r="BR18" s="3">
        <f>IFERROR(__xludf.DUMMYFUNCTION("""COMPUTED_VALUE"""),225.0)</f>
        <v>225</v>
      </c>
      <c r="BS18" s="3">
        <f>IFERROR(__xludf.DUMMYFUNCTION("""COMPUTED_VALUE"""),225.0)</f>
        <v>225</v>
      </c>
      <c r="BT18" s="3">
        <f>IFERROR(__xludf.DUMMYFUNCTION("""COMPUTED_VALUE"""),479.0)</f>
        <v>479</v>
      </c>
      <c r="BU18" s="3">
        <f>IFERROR(__xludf.DUMMYFUNCTION("""COMPUTED_VALUE"""),636.0)</f>
        <v>636</v>
      </c>
      <c r="BV18" s="3">
        <f>IFERROR(__xludf.DUMMYFUNCTION("""COMPUTED_VALUE"""),1095.0)</f>
        <v>1095</v>
      </c>
      <c r="BW18" s="3">
        <f>IFERROR(__xludf.DUMMYFUNCTION("""COMPUTED_VALUE"""),1436.0)</f>
        <v>1436</v>
      </c>
      <c r="BX18" s="3">
        <f>IFERROR(__xludf.DUMMYFUNCTION("""COMPUTED_VALUE"""),1749.0)</f>
        <v>1749</v>
      </c>
      <c r="BY18" s="3">
        <f>IFERROR(__xludf.DUMMYFUNCTION("""COMPUTED_VALUE"""),2022.0)</f>
        <v>2022</v>
      </c>
      <c r="BZ18" s="3">
        <f>IFERROR(__xludf.DUMMYFUNCTION("""COMPUTED_VALUE"""),2507.0)</f>
        <v>2507</v>
      </c>
      <c r="CA18" s="3">
        <f>IFERROR(__xludf.DUMMYFUNCTION("""COMPUTED_VALUE"""),2998.0)</f>
        <v>2998</v>
      </c>
      <c r="CB18" s="3">
        <f>IFERROR(__xludf.DUMMYFUNCTION("""COMPUTED_VALUE"""),3463.0)</f>
        <v>3463</v>
      </c>
    </row>
    <row r="19">
      <c r="A19" s="3" t="str">
        <f>IFERROR(__xludf.DUMMYFUNCTION("""COMPUTED_VALUE"""),"")</f>
        <v/>
      </c>
      <c r="B19" s="3" t="str">
        <f>IFERROR(__xludf.DUMMYFUNCTION("""COMPUTED_VALUE"""),"Azerbaijan")</f>
        <v>Azerbaijan</v>
      </c>
      <c r="C19" s="3">
        <f>IFERROR(__xludf.DUMMYFUNCTION("""COMPUTED_VALUE"""),40.1431)</f>
        <v>40.1431</v>
      </c>
      <c r="D19" s="3">
        <f>IFERROR(__xludf.DUMMYFUNCTION("""COMPUTED_VALUE"""),47.5769)</f>
        <v>47.5769</v>
      </c>
      <c r="E19" s="3">
        <f>IFERROR(__xludf.DUMMYFUNCTION("""COMPUTED_VALUE"""),0.0)</f>
        <v>0</v>
      </c>
      <c r="F19" s="3">
        <f>IFERROR(__xludf.DUMMYFUNCTION("""COMPUTED_VALUE"""),0.0)</f>
        <v>0</v>
      </c>
      <c r="G19" s="3">
        <f>IFERROR(__xludf.DUMMYFUNCTION("""COMPUTED_VALUE"""),0.0)</f>
        <v>0</v>
      </c>
      <c r="H19" s="3">
        <f>IFERROR(__xludf.DUMMYFUNCTION("""COMPUTED_VALUE"""),0.0)</f>
        <v>0</v>
      </c>
      <c r="I19" s="3">
        <f>IFERROR(__xludf.DUMMYFUNCTION("""COMPUTED_VALUE"""),0.0)</f>
        <v>0</v>
      </c>
      <c r="J19" s="3">
        <f>IFERROR(__xludf.DUMMYFUNCTION("""COMPUTED_VALUE"""),0.0)</f>
        <v>0</v>
      </c>
      <c r="K19" s="3">
        <f>IFERROR(__xludf.DUMMYFUNCTION("""COMPUTED_VALUE"""),0.0)</f>
        <v>0</v>
      </c>
      <c r="L19" s="3">
        <f>IFERROR(__xludf.DUMMYFUNCTION("""COMPUTED_VALUE"""),0.0)</f>
        <v>0</v>
      </c>
      <c r="M19" s="3">
        <f>IFERROR(__xludf.DUMMYFUNCTION("""COMPUTED_VALUE"""),0.0)</f>
        <v>0</v>
      </c>
      <c r="N19" s="3">
        <f>IFERROR(__xludf.DUMMYFUNCTION("""COMPUTED_VALUE"""),0.0)</f>
        <v>0</v>
      </c>
      <c r="O19" s="3">
        <f>IFERROR(__xludf.DUMMYFUNCTION("""COMPUTED_VALUE"""),0.0)</f>
        <v>0</v>
      </c>
      <c r="P19" s="3">
        <f>IFERROR(__xludf.DUMMYFUNCTION("""COMPUTED_VALUE"""),0.0)</f>
        <v>0</v>
      </c>
      <c r="Q19" s="3">
        <f>IFERROR(__xludf.DUMMYFUNCTION("""COMPUTED_VALUE"""),0.0)</f>
        <v>0</v>
      </c>
      <c r="R19" s="3">
        <f>IFERROR(__xludf.DUMMYFUNCTION("""COMPUTED_VALUE"""),0.0)</f>
        <v>0</v>
      </c>
      <c r="S19" s="3">
        <f>IFERROR(__xludf.DUMMYFUNCTION("""COMPUTED_VALUE"""),0.0)</f>
        <v>0</v>
      </c>
      <c r="T19" s="3">
        <f>IFERROR(__xludf.DUMMYFUNCTION("""COMPUTED_VALUE"""),0.0)</f>
        <v>0</v>
      </c>
      <c r="U19" s="3">
        <f>IFERROR(__xludf.DUMMYFUNCTION("""COMPUTED_VALUE"""),0.0)</f>
        <v>0</v>
      </c>
      <c r="V19" s="3">
        <f>IFERROR(__xludf.DUMMYFUNCTION("""COMPUTED_VALUE"""),0.0)</f>
        <v>0</v>
      </c>
      <c r="W19" s="3">
        <f>IFERROR(__xludf.DUMMYFUNCTION("""COMPUTED_VALUE"""),0.0)</f>
        <v>0</v>
      </c>
      <c r="X19" s="3">
        <f>IFERROR(__xludf.DUMMYFUNCTION("""COMPUTED_VALUE"""),0.0)</f>
        <v>0</v>
      </c>
      <c r="Y19" s="3">
        <f>IFERROR(__xludf.DUMMYFUNCTION("""COMPUTED_VALUE"""),0.0)</f>
        <v>0</v>
      </c>
      <c r="Z19" s="3">
        <f>IFERROR(__xludf.DUMMYFUNCTION("""COMPUTED_VALUE"""),0.0)</f>
        <v>0</v>
      </c>
      <c r="AA19" s="3">
        <f>IFERROR(__xludf.DUMMYFUNCTION("""COMPUTED_VALUE"""),0.0)</f>
        <v>0</v>
      </c>
      <c r="AB19" s="3">
        <f>IFERROR(__xludf.DUMMYFUNCTION("""COMPUTED_VALUE"""),0.0)</f>
        <v>0</v>
      </c>
      <c r="AC19" s="3">
        <f>IFERROR(__xludf.DUMMYFUNCTION("""COMPUTED_VALUE"""),0.0)</f>
        <v>0</v>
      </c>
      <c r="AD19" s="3">
        <f>IFERROR(__xludf.DUMMYFUNCTION("""COMPUTED_VALUE"""),0.0)</f>
        <v>0</v>
      </c>
      <c r="AE19" s="3">
        <f>IFERROR(__xludf.DUMMYFUNCTION("""COMPUTED_VALUE"""),0.0)</f>
        <v>0</v>
      </c>
      <c r="AF19" s="3">
        <f>IFERROR(__xludf.DUMMYFUNCTION("""COMPUTED_VALUE"""),0.0)</f>
        <v>0</v>
      </c>
      <c r="AG19" s="3">
        <f>IFERROR(__xludf.DUMMYFUNCTION("""COMPUTED_VALUE"""),0.0)</f>
        <v>0</v>
      </c>
      <c r="AH19" s="3">
        <f>IFERROR(__xludf.DUMMYFUNCTION("""COMPUTED_VALUE"""),0.0)</f>
        <v>0</v>
      </c>
      <c r="AI19" s="3">
        <f>IFERROR(__xludf.DUMMYFUNCTION("""COMPUTED_VALUE"""),0.0)</f>
        <v>0</v>
      </c>
      <c r="AJ19" s="3">
        <f>IFERROR(__xludf.DUMMYFUNCTION("""COMPUTED_VALUE"""),0.0)</f>
        <v>0</v>
      </c>
      <c r="AK19" s="3">
        <f>IFERROR(__xludf.DUMMYFUNCTION("""COMPUTED_VALUE"""),0.0)</f>
        <v>0</v>
      </c>
      <c r="AL19" s="3">
        <f>IFERROR(__xludf.DUMMYFUNCTION("""COMPUTED_VALUE"""),0.0)</f>
        <v>0</v>
      </c>
      <c r="AM19" s="3">
        <f>IFERROR(__xludf.DUMMYFUNCTION("""COMPUTED_VALUE"""),0.0)</f>
        <v>0</v>
      </c>
      <c r="AN19" s="3">
        <f>IFERROR(__xludf.DUMMYFUNCTION("""COMPUTED_VALUE"""),0.0)</f>
        <v>0</v>
      </c>
      <c r="AO19" s="3">
        <f>IFERROR(__xludf.DUMMYFUNCTION("""COMPUTED_VALUE"""),0.0)</f>
        <v>0</v>
      </c>
      <c r="AP19" s="3">
        <f>IFERROR(__xludf.DUMMYFUNCTION("""COMPUTED_VALUE"""),0.0)</f>
        <v>0</v>
      </c>
      <c r="AQ19" s="3">
        <f>IFERROR(__xludf.DUMMYFUNCTION("""COMPUTED_VALUE"""),0.0)</f>
        <v>0</v>
      </c>
      <c r="AR19" s="3">
        <f>IFERROR(__xludf.DUMMYFUNCTION("""COMPUTED_VALUE"""),0.0)</f>
        <v>0</v>
      </c>
      <c r="AS19" s="3">
        <f>IFERROR(__xludf.DUMMYFUNCTION("""COMPUTED_VALUE"""),0.0)</f>
        <v>0</v>
      </c>
      <c r="AT19" s="3">
        <f>IFERROR(__xludf.DUMMYFUNCTION("""COMPUTED_VALUE"""),0.0)</f>
        <v>0</v>
      </c>
      <c r="AU19" s="3">
        <f>IFERROR(__xludf.DUMMYFUNCTION("""COMPUTED_VALUE"""),0.0)</f>
        <v>0</v>
      </c>
      <c r="AV19" s="3">
        <f>IFERROR(__xludf.DUMMYFUNCTION("""COMPUTED_VALUE"""),0.0)</f>
        <v>0</v>
      </c>
      <c r="AW19" s="3">
        <f>IFERROR(__xludf.DUMMYFUNCTION("""COMPUTED_VALUE"""),0.0)</f>
        <v>0</v>
      </c>
      <c r="AX19" s="3">
        <f>IFERROR(__xludf.DUMMYFUNCTION("""COMPUTED_VALUE"""),0.0)</f>
        <v>0</v>
      </c>
      <c r="AY19" s="3">
        <f>IFERROR(__xludf.DUMMYFUNCTION("""COMPUTED_VALUE"""),0.0)</f>
        <v>0</v>
      </c>
      <c r="AZ19" s="3">
        <f>IFERROR(__xludf.DUMMYFUNCTION("""COMPUTED_VALUE"""),0.0)</f>
        <v>0</v>
      </c>
      <c r="BA19" s="3">
        <f>IFERROR(__xludf.DUMMYFUNCTION("""COMPUTED_VALUE"""),0.0)</f>
        <v>0</v>
      </c>
      <c r="BB19" s="3">
        <f>IFERROR(__xludf.DUMMYFUNCTION("""COMPUTED_VALUE"""),3.0)</f>
        <v>3</v>
      </c>
      <c r="BC19" s="3">
        <f>IFERROR(__xludf.DUMMYFUNCTION("""COMPUTED_VALUE"""),3.0)</f>
        <v>3</v>
      </c>
      <c r="BD19" s="3">
        <f>IFERROR(__xludf.DUMMYFUNCTION("""COMPUTED_VALUE"""),3.0)</f>
        <v>3</v>
      </c>
      <c r="BE19" s="3">
        <f>IFERROR(__xludf.DUMMYFUNCTION("""COMPUTED_VALUE"""),3.0)</f>
        <v>3</v>
      </c>
      <c r="BF19" s="3">
        <f>IFERROR(__xludf.DUMMYFUNCTION("""COMPUTED_VALUE"""),6.0)</f>
        <v>6</v>
      </c>
      <c r="BG19" s="3">
        <f>IFERROR(__xludf.DUMMYFUNCTION("""COMPUTED_VALUE"""),6.0)</f>
        <v>6</v>
      </c>
      <c r="BH19" s="3">
        <f>IFERROR(__xludf.DUMMYFUNCTION("""COMPUTED_VALUE"""),6.0)</f>
        <v>6</v>
      </c>
      <c r="BI19" s="3">
        <f>IFERROR(__xludf.DUMMYFUNCTION("""COMPUTED_VALUE"""),6.0)</f>
        <v>6</v>
      </c>
      <c r="BJ19" s="3">
        <f>IFERROR(__xludf.DUMMYFUNCTION("""COMPUTED_VALUE"""),6.0)</f>
        <v>6</v>
      </c>
      <c r="BK19" s="3">
        <f>IFERROR(__xludf.DUMMYFUNCTION("""COMPUTED_VALUE"""),6.0)</f>
        <v>6</v>
      </c>
      <c r="BL19" s="3">
        <f>IFERROR(__xludf.DUMMYFUNCTION("""COMPUTED_VALUE"""),11.0)</f>
        <v>11</v>
      </c>
      <c r="BM19" s="3">
        <f>IFERROR(__xludf.DUMMYFUNCTION("""COMPUTED_VALUE"""),10.0)</f>
        <v>10</v>
      </c>
      <c r="BN19" s="3">
        <f>IFERROR(__xludf.DUMMYFUNCTION("""COMPUTED_VALUE"""),10.0)</f>
        <v>10</v>
      </c>
      <c r="BO19" s="3">
        <f>IFERROR(__xludf.DUMMYFUNCTION("""COMPUTED_VALUE"""),10.0)</f>
        <v>10</v>
      </c>
      <c r="BP19" s="3">
        <f>IFERROR(__xludf.DUMMYFUNCTION("""COMPUTED_VALUE"""),10.0)</f>
        <v>10</v>
      </c>
      <c r="BQ19" s="3">
        <f>IFERROR(__xludf.DUMMYFUNCTION("""COMPUTED_VALUE"""),15.0)</f>
        <v>15</v>
      </c>
      <c r="BR19" s="3">
        <f>IFERROR(__xludf.DUMMYFUNCTION("""COMPUTED_VALUE"""),15.0)</f>
        <v>15</v>
      </c>
      <c r="BS19" s="3">
        <f>IFERROR(__xludf.DUMMYFUNCTION("""COMPUTED_VALUE"""),15.0)</f>
        <v>15</v>
      </c>
      <c r="BT19" s="3">
        <f>IFERROR(__xludf.DUMMYFUNCTION("""COMPUTED_VALUE"""),15.0)</f>
        <v>15</v>
      </c>
      <c r="BU19" s="3">
        <f>IFERROR(__xludf.DUMMYFUNCTION("""COMPUTED_VALUE"""),26.0)</f>
        <v>26</v>
      </c>
      <c r="BV19" s="3">
        <f>IFERROR(__xludf.DUMMYFUNCTION("""COMPUTED_VALUE"""),26.0)</f>
        <v>26</v>
      </c>
      <c r="BW19" s="3">
        <f>IFERROR(__xludf.DUMMYFUNCTION("""COMPUTED_VALUE"""),26.0)</f>
        <v>26</v>
      </c>
      <c r="BX19" s="3">
        <f>IFERROR(__xludf.DUMMYFUNCTION("""COMPUTED_VALUE"""),26.0)</f>
        <v>26</v>
      </c>
      <c r="BY19" s="3">
        <f>IFERROR(__xludf.DUMMYFUNCTION("""COMPUTED_VALUE"""),32.0)</f>
        <v>32</v>
      </c>
      <c r="BZ19" s="3">
        <f>IFERROR(__xludf.DUMMYFUNCTION("""COMPUTED_VALUE"""),32.0)</f>
        <v>32</v>
      </c>
      <c r="CA19" s="3">
        <f>IFERROR(__xludf.DUMMYFUNCTION("""COMPUTED_VALUE"""),32.0)</f>
        <v>32</v>
      </c>
      <c r="CB19" s="3">
        <f>IFERROR(__xludf.DUMMYFUNCTION("""COMPUTED_VALUE"""),44.0)</f>
        <v>44</v>
      </c>
    </row>
    <row r="20">
      <c r="A20" s="3" t="str">
        <f>IFERROR(__xludf.DUMMYFUNCTION("""COMPUTED_VALUE"""),"")</f>
        <v/>
      </c>
      <c r="B20" s="3" t="str">
        <f>IFERROR(__xludf.DUMMYFUNCTION("""COMPUTED_VALUE"""),"Bahamas")</f>
        <v>Bahamas</v>
      </c>
      <c r="C20" s="3">
        <f>IFERROR(__xludf.DUMMYFUNCTION("""COMPUTED_VALUE"""),25.0343)</f>
        <v>25.0343</v>
      </c>
      <c r="D20" s="3">
        <f>IFERROR(__xludf.DUMMYFUNCTION("""COMPUTED_VALUE"""),-77.3963)</f>
        <v>-77.3963</v>
      </c>
      <c r="E20" s="3">
        <f>IFERROR(__xludf.DUMMYFUNCTION("""COMPUTED_VALUE"""),0.0)</f>
        <v>0</v>
      </c>
      <c r="F20" s="3">
        <f>IFERROR(__xludf.DUMMYFUNCTION("""COMPUTED_VALUE"""),0.0)</f>
        <v>0</v>
      </c>
      <c r="G20" s="3">
        <f>IFERROR(__xludf.DUMMYFUNCTION("""COMPUTED_VALUE"""),0.0)</f>
        <v>0</v>
      </c>
      <c r="H20" s="3">
        <f>IFERROR(__xludf.DUMMYFUNCTION("""COMPUTED_VALUE"""),0.0)</f>
        <v>0</v>
      </c>
      <c r="I20" s="3">
        <f>IFERROR(__xludf.DUMMYFUNCTION("""COMPUTED_VALUE"""),0.0)</f>
        <v>0</v>
      </c>
      <c r="J20" s="3">
        <f>IFERROR(__xludf.DUMMYFUNCTION("""COMPUTED_VALUE"""),0.0)</f>
        <v>0</v>
      </c>
      <c r="K20" s="3">
        <f>IFERROR(__xludf.DUMMYFUNCTION("""COMPUTED_VALUE"""),0.0)</f>
        <v>0</v>
      </c>
      <c r="L20" s="3">
        <f>IFERROR(__xludf.DUMMYFUNCTION("""COMPUTED_VALUE"""),0.0)</f>
        <v>0</v>
      </c>
      <c r="M20" s="3">
        <f>IFERROR(__xludf.DUMMYFUNCTION("""COMPUTED_VALUE"""),0.0)</f>
        <v>0</v>
      </c>
      <c r="N20" s="3">
        <f>IFERROR(__xludf.DUMMYFUNCTION("""COMPUTED_VALUE"""),0.0)</f>
        <v>0</v>
      </c>
      <c r="O20" s="3">
        <f>IFERROR(__xludf.DUMMYFUNCTION("""COMPUTED_VALUE"""),0.0)</f>
        <v>0</v>
      </c>
      <c r="P20" s="3">
        <f>IFERROR(__xludf.DUMMYFUNCTION("""COMPUTED_VALUE"""),0.0)</f>
        <v>0</v>
      </c>
      <c r="Q20" s="3">
        <f>IFERROR(__xludf.DUMMYFUNCTION("""COMPUTED_VALUE"""),0.0)</f>
        <v>0</v>
      </c>
      <c r="R20" s="3">
        <f>IFERROR(__xludf.DUMMYFUNCTION("""COMPUTED_VALUE"""),0.0)</f>
        <v>0</v>
      </c>
      <c r="S20" s="3">
        <f>IFERROR(__xludf.DUMMYFUNCTION("""COMPUTED_VALUE"""),0.0)</f>
        <v>0</v>
      </c>
      <c r="T20" s="3">
        <f>IFERROR(__xludf.DUMMYFUNCTION("""COMPUTED_VALUE"""),0.0)</f>
        <v>0</v>
      </c>
      <c r="U20" s="3">
        <f>IFERROR(__xludf.DUMMYFUNCTION("""COMPUTED_VALUE"""),0.0)</f>
        <v>0</v>
      </c>
      <c r="V20" s="3">
        <f>IFERROR(__xludf.DUMMYFUNCTION("""COMPUTED_VALUE"""),0.0)</f>
        <v>0</v>
      </c>
      <c r="W20" s="3">
        <f>IFERROR(__xludf.DUMMYFUNCTION("""COMPUTED_VALUE"""),0.0)</f>
        <v>0</v>
      </c>
      <c r="X20" s="3">
        <f>IFERROR(__xludf.DUMMYFUNCTION("""COMPUTED_VALUE"""),0.0)</f>
        <v>0</v>
      </c>
      <c r="Y20" s="3">
        <f>IFERROR(__xludf.DUMMYFUNCTION("""COMPUTED_VALUE"""),0.0)</f>
        <v>0</v>
      </c>
      <c r="Z20" s="3">
        <f>IFERROR(__xludf.DUMMYFUNCTION("""COMPUTED_VALUE"""),0.0)</f>
        <v>0</v>
      </c>
      <c r="AA20" s="3">
        <f>IFERROR(__xludf.DUMMYFUNCTION("""COMPUTED_VALUE"""),0.0)</f>
        <v>0</v>
      </c>
      <c r="AB20" s="3">
        <f>IFERROR(__xludf.DUMMYFUNCTION("""COMPUTED_VALUE"""),0.0)</f>
        <v>0</v>
      </c>
      <c r="AC20" s="3">
        <f>IFERROR(__xludf.DUMMYFUNCTION("""COMPUTED_VALUE"""),0.0)</f>
        <v>0</v>
      </c>
      <c r="AD20" s="3">
        <f>IFERROR(__xludf.DUMMYFUNCTION("""COMPUTED_VALUE"""),0.0)</f>
        <v>0</v>
      </c>
      <c r="AE20" s="3">
        <f>IFERROR(__xludf.DUMMYFUNCTION("""COMPUTED_VALUE"""),0.0)</f>
        <v>0</v>
      </c>
      <c r="AF20" s="3">
        <f>IFERROR(__xludf.DUMMYFUNCTION("""COMPUTED_VALUE"""),0.0)</f>
        <v>0</v>
      </c>
      <c r="AG20" s="3">
        <f>IFERROR(__xludf.DUMMYFUNCTION("""COMPUTED_VALUE"""),0.0)</f>
        <v>0</v>
      </c>
      <c r="AH20" s="3">
        <f>IFERROR(__xludf.DUMMYFUNCTION("""COMPUTED_VALUE"""),0.0)</f>
        <v>0</v>
      </c>
      <c r="AI20" s="3">
        <f>IFERROR(__xludf.DUMMYFUNCTION("""COMPUTED_VALUE"""),0.0)</f>
        <v>0</v>
      </c>
      <c r="AJ20" s="3">
        <f>IFERROR(__xludf.DUMMYFUNCTION("""COMPUTED_VALUE"""),0.0)</f>
        <v>0</v>
      </c>
      <c r="AK20" s="3">
        <f>IFERROR(__xludf.DUMMYFUNCTION("""COMPUTED_VALUE"""),0.0)</f>
        <v>0</v>
      </c>
      <c r="AL20" s="3">
        <f>IFERROR(__xludf.DUMMYFUNCTION("""COMPUTED_VALUE"""),0.0)</f>
        <v>0</v>
      </c>
      <c r="AM20" s="3">
        <f>IFERROR(__xludf.DUMMYFUNCTION("""COMPUTED_VALUE"""),0.0)</f>
        <v>0</v>
      </c>
      <c r="AN20" s="3">
        <f>IFERROR(__xludf.DUMMYFUNCTION("""COMPUTED_VALUE"""),0.0)</f>
        <v>0</v>
      </c>
      <c r="AO20" s="3">
        <f>IFERROR(__xludf.DUMMYFUNCTION("""COMPUTED_VALUE"""),0.0)</f>
        <v>0</v>
      </c>
      <c r="AP20" s="3">
        <f>IFERROR(__xludf.DUMMYFUNCTION("""COMPUTED_VALUE"""),0.0)</f>
        <v>0</v>
      </c>
      <c r="AQ20" s="3">
        <f>IFERROR(__xludf.DUMMYFUNCTION("""COMPUTED_VALUE"""),0.0)</f>
        <v>0</v>
      </c>
      <c r="AR20" s="3">
        <f>IFERROR(__xludf.DUMMYFUNCTION("""COMPUTED_VALUE"""),0.0)</f>
        <v>0</v>
      </c>
      <c r="AS20" s="3">
        <f>IFERROR(__xludf.DUMMYFUNCTION("""COMPUTED_VALUE"""),0.0)</f>
        <v>0</v>
      </c>
      <c r="AT20" s="3">
        <f>IFERROR(__xludf.DUMMYFUNCTION("""COMPUTED_VALUE"""),0.0)</f>
        <v>0</v>
      </c>
      <c r="AU20" s="3">
        <f>IFERROR(__xludf.DUMMYFUNCTION("""COMPUTED_VALUE"""),0.0)</f>
        <v>0</v>
      </c>
      <c r="AV20" s="3">
        <f>IFERROR(__xludf.DUMMYFUNCTION("""COMPUTED_VALUE"""),0.0)</f>
        <v>0</v>
      </c>
      <c r="AW20" s="3">
        <f>IFERROR(__xludf.DUMMYFUNCTION("""COMPUTED_VALUE"""),0.0)</f>
        <v>0</v>
      </c>
      <c r="AX20" s="3">
        <f>IFERROR(__xludf.DUMMYFUNCTION("""COMPUTED_VALUE"""),0.0)</f>
        <v>0</v>
      </c>
      <c r="AY20" s="3">
        <f>IFERROR(__xludf.DUMMYFUNCTION("""COMPUTED_VALUE"""),0.0)</f>
        <v>0</v>
      </c>
      <c r="AZ20" s="3">
        <f>IFERROR(__xludf.DUMMYFUNCTION("""COMPUTED_VALUE"""),0.0)</f>
        <v>0</v>
      </c>
      <c r="BA20" s="3">
        <f>IFERROR(__xludf.DUMMYFUNCTION("""COMPUTED_VALUE"""),0.0)</f>
        <v>0</v>
      </c>
      <c r="BB20" s="3">
        <f>IFERROR(__xludf.DUMMYFUNCTION("""COMPUTED_VALUE"""),0.0)</f>
        <v>0</v>
      </c>
      <c r="BC20" s="3">
        <f>IFERROR(__xludf.DUMMYFUNCTION("""COMPUTED_VALUE"""),0.0)</f>
        <v>0</v>
      </c>
      <c r="BD20" s="3">
        <f>IFERROR(__xludf.DUMMYFUNCTION("""COMPUTED_VALUE"""),0.0)</f>
        <v>0</v>
      </c>
      <c r="BE20" s="3">
        <f>IFERROR(__xludf.DUMMYFUNCTION("""COMPUTED_VALUE"""),0.0)</f>
        <v>0</v>
      </c>
      <c r="BF20" s="3">
        <f>IFERROR(__xludf.DUMMYFUNCTION("""COMPUTED_VALUE"""),0.0)</f>
        <v>0</v>
      </c>
      <c r="BG20" s="3">
        <f>IFERROR(__xludf.DUMMYFUNCTION("""COMPUTED_VALUE"""),0.0)</f>
        <v>0</v>
      </c>
      <c r="BH20" s="3">
        <f>IFERROR(__xludf.DUMMYFUNCTION("""COMPUTED_VALUE"""),0.0)</f>
        <v>0</v>
      </c>
      <c r="BI20" s="3">
        <f>IFERROR(__xludf.DUMMYFUNCTION("""COMPUTED_VALUE"""),0.0)</f>
        <v>0</v>
      </c>
      <c r="BJ20" s="3">
        <f>IFERROR(__xludf.DUMMYFUNCTION("""COMPUTED_VALUE"""),0.0)</f>
        <v>0</v>
      </c>
      <c r="BK20" s="3">
        <f>IFERROR(__xludf.DUMMYFUNCTION("""COMPUTED_VALUE"""),0.0)</f>
        <v>0</v>
      </c>
      <c r="BL20" s="3">
        <f>IFERROR(__xludf.DUMMYFUNCTION("""COMPUTED_VALUE"""),0.0)</f>
        <v>0</v>
      </c>
      <c r="BM20" s="3">
        <f>IFERROR(__xludf.DUMMYFUNCTION("""COMPUTED_VALUE"""),0.0)</f>
        <v>0</v>
      </c>
      <c r="BN20" s="3">
        <f>IFERROR(__xludf.DUMMYFUNCTION("""COMPUTED_VALUE"""),0.0)</f>
        <v>0</v>
      </c>
      <c r="BO20" s="3">
        <f>IFERROR(__xludf.DUMMYFUNCTION("""COMPUTED_VALUE"""),1.0)</f>
        <v>1</v>
      </c>
      <c r="BP20" s="3">
        <f>IFERROR(__xludf.DUMMYFUNCTION("""COMPUTED_VALUE"""),1.0)</f>
        <v>1</v>
      </c>
      <c r="BQ20" s="3">
        <f>IFERROR(__xludf.DUMMYFUNCTION("""COMPUTED_VALUE"""),1.0)</f>
        <v>1</v>
      </c>
      <c r="BR20" s="3">
        <f>IFERROR(__xludf.DUMMYFUNCTION("""COMPUTED_VALUE"""),1.0)</f>
        <v>1</v>
      </c>
      <c r="BS20" s="3">
        <f>IFERROR(__xludf.DUMMYFUNCTION("""COMPUTED_VALUE"""),1.0)</f>
        <v>1</v>
      </c>
      <c r="BT20" s="3">
        <f>IFERROR(__xludf.DUMMYFUNCTION("""COMPUTED_VALUE"""),1.0)</f>
        <v>1</v>
      </c>
      <c r="BU20" s="3">
        <f>IFERROR(__xludf.DUMMYFUNCTION("""COMPUTED_VALUE"""),1.0)</f>
        <v>1</v>
      </c>
      <c r="BV20" s="3">
        <f>IFERROR(__xludf.DUMMYFUNCTION("""COMPUTED_VALUE"""),1.0)</f>
        <v>1</v>
      </c>
      <c r="BW20" s="3">
        <f>IFERROR(__xludf.DUMMYFUNCTION("""COMPUTED_VALUE"""),1.0)</f>
        <v>1</v>
      </c>
      <c r="BX20" s="3">
        <f>IFERROR(__xludf.DUMMYFUNCTION("""COMPUTED_VALUE"""),1.0)</f>
        <v>1</v>
      </c>
      <c r="BY20" s="3">
        <f>IFERROR(__xludf.DUMMYFUNCTION("""COMPUTED_VALUE"""),1.0)</f>
        <v>1</v>
      </c>
      <c r="BZ20" s="3">
        <f>IFERROR(__xludf.DUMMYFUNCTION("""COMPUTED_VALUE"""),0.0)</f>
        <v>0</v>
      </c>
      <c r="CA20" s="3">
        <f>IFERROR(__xludf.DUMMYFUNCTION("""COMPUTED_VALUE"""),0.0)</f>
        <v>0</v>
      </c>
      <c r="CB20" s="3">
        <f>IFERROR(__xludf.DUMMYFUNCTION("""COMPUTED_VALUE"""),4.0)</f>
        <v>4</v>
      </c>
    </row>
    <row r="21">
      <c r="A21" s="3" t="str">
        <f>IFERROR(__xludf.DUMMYFUNCTION("""COMPUTED_VALUE"""),"")</f>
        <v/>
      </c>
      <c r="B21" s="3" t="str">
        <f>IFERROR(__xludf.DUMMYFUNCTION("""COMPUTED_VALUE"""),"Bahrain")</f>
        <v>Bahrain</v>
      </c>
      <c r="C21" s="3">
        <f>IFERROR(__xludf.DUMMYFUNCTION("""COMPUTED_VALUE"""),26.0275)</f>
        <v>26.0275</v>
      </c>
      <c r="D21" s="3">
        <f>IFERROR(__xludf.DUMMYFUNCTION("""COMPUTED_VALUE"""),50.55)</f>
        <v>50.55</v>
      </c>
      <c r="E21" s="3">
        <f>IFERROR(__xludf.DUMMYFUNCTION("""COMPUTED_VALUE"""),0.0)</f>
        <v>0</v>
      </c>
      <c r="F21" s="3">
        <f>IFERROR(__xludf.DUMMYFUNCTION("""COMPUTED_VALUE"""),0.0)</f>
        <v>0</v>
      </c>
      <c r="G21" s="3">
        <f>IFERROR(__xludf.DUMMYFUNCTION("""COMPUTED_VALUE"""),0.0)</f>
        <v>0</v>
      </c>
      <c r="H21" s="3">
        <f>IFERROR(__xludf.DUMMYFUNCTION("""COMPUTED_VALUE"""),0.0)</f>
        <v>0</v>
      </c>
      <c r="I21" s="3">
        <f>IFERROR(__xludf.DUMMYFUNCTION("""COMPUTED_VALUE"""),0.0)</f>
        <v>0</v>
      </c>
      <c r="J21" s="3">
        <f>IFERROR(__xludf.DUMMYFUNCTION("""COMPUTED_VALUE"""),0.0)</f>
        <v>0</v>
      </c>
      <c r="K21" s="3">
        <f>IFERROR(__xludf.DUMMYFUNCTION("""COMPUTED_VALUE"""),0.0)</f>
        <v>0</v>
      </c>
      <c r="L21" s="3">
        <f>IFERROR(__xludf.DUMMYFUNCTION("""COMPUTED_VALUE"""),0.0)</f>
        <v>0</v>
      </c>
      <c r="M21" s="3">
        <f>IFERROR(__xludf.DUMMYFUNCTION("""COMPUTED_VALUE"""),0.0)</f>
        <v>0</v>
      </c>
      <c r="N21" s="3">
        <f>IFERROR(__xludf.DUMMYFUNCTION("""COMPUTED_VALUE"""),0.0)</f>
        <v>0</v>
      </c>
      <c r="O21" s="3">
        <f>IFERROR(__xludf.DUMMYFUNCTION("""COMPUTED_VALUE"""),0.0)</f>
        <v>0</v>
      </c>
      <c r="P21" s="3">
        <f>IFERROR(__xludf.DUMMYFUNCTION("""COMPUTED_VALUE"""),0.0)</f>
        <v>0</v>
      </c>
      <c r="Q21" s="3">
        <f>IFERROR(__xludf.DUMMYFUNCTION("""COMPUTED_VALUE"""),0.0)</f>
        <v>0</v>
      </c>
      <c r="R21" s="3">
        <f>IFERROR(__xludf.DUMMYFUNCTION("""COMPUTED_VALUE"""),0.0)</f>
        <v>0</v>
      </c>
      <c r="S21" s="3">
        <f>IFERROR(__xludf.DUMMYFUNCTION("""COMPUTED_VALUE"""),0.0)</f>
        <v>0</v>
      </c>
      <c r="T21" s="3">
        <f>IFERROR(__xludf.DUMMYFUNCTION("""COMPUTED_VALUE"""),0.0)</f>
        <v>0</v>
      </c>
      <c r="U21" s="3">
        <f>IFERROR(__xludf.DUMMYFUNCTION("""COMPUTED_VALUE"""),0.0)</f>
        <v>0</v>
      </c>
      <c r="V21" s="3">
        <f>IFERROR(__xludf.DUMMYFUNCTION("""COMPUTED_VALUE"""),0.0)</f>
        <v>0</v>
      </c>
      <c r="W21" s="3">
        <f>IFERROR(__xludf.DUMMYFUNCTION("""COMPUTED_VALUE"""),0.0)</f>
        <v>0</v>
      </c>
      <c r="X21" s="3">
        <f>IFERROR(__xludf.DUMMYFUNCTION("""COMPUTED_VALUE"""),0.0)</f>
        <v>0</v>
      </c>
      <c r="Y21" s="3">
        <f>IFERROR(__xludf.DUMMYFUNCTION("""COMPUTED_VALUE"""),0.0)</f>
        <v>0</v>
      </c>
      <c r="Z21" s="3">
        <f>IFERROR(__xludf.DUMMYFUNCTION("""COMPUTED_VALUE"""),0.0)</f>
        <v>0</v>
      </c>
      <c r="AA21" s="3">
        <f>IFERROR(__xludf.DUMMYFUNCTION("""COMPUTED_VALUE"""),0.0)</f>
        <v>0</v>
      </c>
      <c r="AB21" s="3">
        <f>IFERROR(__xludf.DUMMYFUNCTION("""COMPUTED_VALUE"""),0.0)</f>
        <v>0</v>
      </c>
      <c r="AC21" s="3">
        <f>IFERROR(__xludf.DUMMYFUNCTION("""COMPUTED_VALUE"""),0.0)</f>
        <v>0</v>
      </c>
      <c r="AD21" s="3">
        <f>IFERROR(__xludf.DUMMYFUNCTION("""COMPUTED_VALUE"""),0.0)</f>
        <v>0</v>
      </c>
      <c r="AE21" s="3">
        <f>IFERROR(__xludf.DUMMYFUNCTION("""COMPUTED_VALUE"""),0.0)</f>
        <v>0</v>
      </c>
      <c r="AF21" s="3">
        <f>IFERROR(__xludf.DUMMYFUNCTION("""COMPUTED_VALUE"""),0.0)</f>
        <v>0</v>
      </c>
      <c r="AG21" s="3">
        <f>IFERROR(__xludf.DUMMYFUNCTION("""COMPUTED_VALUE"""),0.0)</f>
        <v>0</v>
      </c>
      <c r="AH21" s="3">
        <f>IFERROR(__xludf.DUMMYFUNCTION("""COMPUTED_VALUE"""),0.0)</f>
        <v>0</v>
      </c>
      <c r="AI21" s="3">
        <f>IFERROR(__xludf.DUMMYFUNCTION("""COMPUTED_VALUE"""),0.0)</f>
        <v>0</v>
      </c>
      <c r="AJ21" s="3">
        <f>IFERROR(__xludf.DUMMYFUNCTION("""COMPUTED_VALUE"""),0.0)</f>
        <v>0</v>
      </c>
      <c r="AK21" s="3">
        <f>IFERROR(__xludf.DUMMYFUNCTION("""COMPUTED_VALUE"""),0.0)</f>
        <v>0</v>
      </c>
      <c r="AL21" s="3">
        <f>IFERROR(__xludf.DUMMYFUNCTION("""COMPUTED_VALUE"""),0.0)</f>
        <v>0</v>
      </c>
      <c r="AM21" s="3">
        <f>IFERROR(__xludf.DUMMYFUNCTION("""COMPUTED_VALUE"""),0.0)</f>
        <v>0</v>
      </c>
      <c r="AN21" s="3">
        <f>IFERROR(__xludf.DUMMYFUNCTION("""COMPUTED_VALUE"""),0.0)</f>
        <v>0</v>
      </c>
      <c r="AO21" s="3">
        <f>IFERROR(__xludf.DUMMYFUNCTION("""COMPUTED_VALUE"""),0.0)</f>
        <v>0</v>
      </c>
      <c r="AP21" s="3">
        <f>IFERROR(__xludf.DUMMYFUNCTION("""COMPUTED_VALUE"""),0.0)</f>
        <v>0</v>
      </c>
      <c r="AQ21" s="3">
        <f>IFERROR(__xludf.DUMMYFUNCTION("""COMPUTED_VALUE"""),0.0)</f>
        <v>0</v>
      </c>
      <c r="AR21" s="3">
        <f>IFERROR(__xludf.DUMMYFUNCTION("""COMPUTED_VALUE"""),0.0)</f>
        <v>0</v>
      </c>
      <c r="AS21" s="3">
        <f>IFERROR(__xludf.DUMMYFUNCTION("""COMPUTED_VALUE"""),0.0)</f>
        <v>0</v>
      </c>
      <c r="AT21" s="3">
        <f>IFERROR(__xludf.DUMMYFUNCTION("""COMPUTED_VALUE"""),0.0)</f>
        <v>0</v>
      </c>
      <c r="AU21" s="3">
        <f>IFERROR(__xludf.DUMMYFUNCTION("""COMPUTED_VALUE"""),0.0)</f>
        <v>0</v>
      </c>
      <c r="AV21" s="3">
        <f>IFERROR(__xludf.DUMMYFUNCTION("""COMPUTED_VALUE"""),0.0)</f>
        <v>0</v>
      </c>
      <c r="AW21" s="3">
        <f>IFERROR(__xludf.DUMMYFUNCTION("""COMPUTED_VALUE"""),4.0)</f>
        <v>4</v>
      </c>
      <c r="AX21" s="3">
        <f>IFERROR(__xludf.DUMMYFUNCTION("""COMPUTED_VALUE"""),4.0)</f>
        <v>4</v>
      </c>
      <c r="AY21" s="3">
        <f>IFERROR(__xludf.DUMMYFUNCTION("""COMPUTED_VALUE"""),4.0)</f>
        <v>4</v>
      </c>
      <c r="AZ21" s="3">
        <f>IFERROR(__xludf.DUMMYFUNCTION("""COMPUTED_VALUE"""),14.0)</f>
        <v>14</v>
      </c>
      <c r="BA21" s="3">
        <f>IFERROR(__xludf.DUMMYFUNCTION("""COMPUTED_VALUE"""),22.0)</f>
        <v>22</v>
      </c>
      <c r="BB21" s="3">
        <f>IFERROR(__xludf.DUMMYFUNCTION("""COMPUTED_VALUE"""),35.0)</f>
        <v>35</v>
      </c>
      <c r="BC21" s="3">
        <f>IFERROR(__xludf.DUMMYFUNCTION("""COMPUTED_VALUE"""),35.0)</f>
        <v>35</v>
      </c>
      <c r="BD21" s="3">
        <f>IFERROR(__xludf.DUMMYFUNCTION("""COMPUTED_VALUE"""),44.0)</f>
        <v>44</v>
      </c>
      <c r="BE21" s="3">
        <f>IFERROR(__xludf.DUMMYFUNCTION("""COMPUTED_VALUE"""),44.0)</f>
        <v>44</v>
      </c>
      <c r="BF21" s="3">
        <f>IFERROR(__xludf.DUMMYFUNCTION("""COMPUTED_VALUE"""),60.0)</f>
        <v>60</v>
      </c>
      <c r="BG21" s="3">
        <f>IFERROR(__xludf.DUMMYFUNCTION("""COMPUTED_VALUE"""),77.0)</f>
        <v>77</v>
      </c>
      <c r="BH21" s="3">
        <f>IFERROR(__xludf.DUMMYFUNCTION("""COMPUTED_VALUE"""),81.0)</f>
        <v>81</v>
      </c>
      <c r="BI21" s="3">
        <f>IFERROR(__xludf.DUMMYFUNCTION("""COMPUTED_VALUE"""),88.0)</f>
        <v>88</v>
      </c>
      <c r="BJ21" s="3">
        <f>IFERROR(__xludf.DUMMYFUNCTION("""COMPUTED_VALUE"""),100.0)</f>
        <v>100</v>
      </c>
      <c r="BK21" s="3">
        <f>IFERROR(__xludf.DUMMYFUNCTION("""COMPUTED_VALUE"""),100.0)</f>
        <v>100</v>
      </c>
      <c r="BL21" s="3">
        <f>IFERROR(__xludf.DUMMYFUNCTION("""COMPUTED_VALUE"""),125.0)</f>
        <v>125</v>
      </c>
      <c r="BM21" s="3">
        <f>IFERROR(__xludf.DUMMYFUNCTION("""COMPUTED_VALUE"""),149.0)</f>
        <v>149</v>
      </c>
      <c r="BN21" s="3">
        <f>IFERROR(__xludf.DUMMYFUNCTION("""COMPUTED_VALUE"""),149.0)</f>
        <v>149</v>
      </c>
      <c r="BO21" s="3">
        <f>IFERROR(__xludf.DUMMYFUNCTION("""COMPUTED_VALUE"""),177.0)</f>
        <v>177</v>
      </c>
      <c r="BP21" s="3">
        <f>IFERROR(__xludf.DUMMYFUNCTION("""COMPUTED_VALUE"""),177.0)</f>
        <v>177</v>
      </c>
      <c r="BQ21" s="3">
        <f>IFERROR(__xludf.DUMMYFUNCTION("""COMPUTED_VALUE"""),204.0)</f>
        <v>204</v>
      </c>
      <c r="BR21" s="3">
        <f>IFERROR(__xludf.DUMMYFUNCTION("""COMPUTED_VALUE"""),227.0)</f>
        <v>227</v>
      </c>
      <c r="BS21" s="3">
        <f>IFERROR(__xludf.DUMMYFUNCTION("""COMPUTED_VALUE"""),265.0)</f>
        <v>265</v>
      </c>
      <c r="BT21" s="3">
        <f>IFERROR(__xludf.DUMMYFUNCTION("""COMPUTED_VALUE"""),272.0)</f>
        <v>272</v>
      </c>
      <c r="BU21" s="3">
        <f>IFERROR(__xludf.DUMMYFUNCTION("""COMPUTED_VALUE"""),279.0)</f>
        <v>279</v>
      </c>
      <c r="BV21" s="3">
        <f>IFERROR(__xludf.DUMMYFUNCTION("""COMPUTED_VALUE"""),295.0)</f>
        <v>295</v>
      </c>
      <c r="BW21" s="3">
        <f>IFERROR(__xludf.DUMMYFUNCTION("""COMPUTED_VALUE"""),337.0)</f>
        <v>337</v>
      </c>
      <c r="BX21" s="3">
        <f>IFERROR(__xludf.DUMMYFUNCTION("""COMPUTED_VALUE"""),381.0)</f>
        <v>381</v>
      </c>
      <c r="BY21" s="3">
        <f>IFERROR(__xludf.DUMMYFUNCTION("""COMPUTED_VALUE"""),382.0)</f>
        <v>382</v>
      </c>
      <c r="BZ21" s="3">
        <f>IFERROR(__xludf.DUMMYFUNCTION("""COMPUTED_VALUE"""),423.0)</f>
        <v>423</v>
      </c>
      <c r="CA21" s="3">
        <f>IFERROR(__xludf.DUMMYFUNCTION("""COMPUTED_VALUE"""),431.0)</f>
        <v>431</v>
      </c>
      <c r="CB21" s="3">
        <f>IFERROR(__xludf.DUMMYFUNCTION("""COMPUTED_VALUE"""),458.0)</f>
        <v>458</v>
      </c>
    </row>
    <row r="22">
      <c r="A22" s="3" t="str">
        <f>IFERROR(__xludf.DUMMYFUNCTION("""COMPUTED_VALUE"""),"")</f>
        <v/>
      </c>
      <c r="B22" s="3" t="str">
        <f>IFERROR(__xludf.DUMMYFUNCTION("""COMPUTED_VALUE"""),"Bangladesh")</f>
        <v>Bangladesh</v>
      </c>
      <c r="C22" s="3">
        <f>IFERROR(__xludf.DUMMYFUNCTION("""COMPUTED_VALUE"""),23.685)</f>
        <v>23.685</v>
      </c>
      <c r="D22" s="3">
        <f>IFERROR(__xludf.DUMMYFUNCTION("""COMPUTED_VALUE"""),90.3563)</f>
        <v>90.3563</v>
      </c>
      <c r="E22" s="3">
        <f>IFERROR(__xludf.DUMMYFUNCTION("""COMPUTED_VALUE"""),0.0)</f>
        <v>0</v>
      </c>
      <c r="F22" s="3">
        <f>IFERROR(__xludf.DUMMYFUNCTION("""COMPUTED_VALUE"""),0.0)</f>
        <v>0</v>
      </c>
      <c r="G22" s="3">
        <f>IFERROR(__xludf.DUMMYFUNCTION("""COMPUTED_VALUE"""),0.0)</f>
        <v>0</v>
      </c>
      <c r="H22" s="3">
        <f>IFERROR(__xludf.DUMMYFUNCTION("""COMPUTED_VALUE"""),0.0)</f>
        <v>0</v>
      </c>
      <c r="I22" s="3">
        <f>IFERROR(__xludf.DUMMYFUNCTION("""COMPUTED_VALUE"""),0.0)</f>
        <v>0</v>
      </c>
      <c r="J22" s="3">
        <f>IFERROR(__xludf.DUMMYFUNCTION("""COMPUTED_VALUE"""),0.0)</f>
        <v>0</v>
      </c>
      <c r="K22" s="3">
        <f>IFERROR(__xludf.DUMMYFUNCTION("""COMPUTED_VALUE"""),0.0)</f>
        <v>0</v>
      </c>
      <c r="L22" s="3">
        <f>IFERROR(__xludf.DUMMYFUNCTION("""COMPUTED_VALUE"""),0.0)</f>
        <v>0</v>
      </c>
      <c r="M22" s="3">
        <f>IFERROR(__xludf.DUMMYFUNCTION("""COMPUTED_VALUE"""),0.0)</f>
        <v>0</v>
      </c>
      <c r="N22" s="3">
        <f>IFERROR(__xludf.DUMMYFUNCTION("""COMPUTED_VALUE"""),0.0)</f>
        <v>0</v>
      </c>
      <c r="O22" s="3">
        <f>IFERROR(__xludf.DUMMYFUNCTION("""COMPUTED_VALUE"""),0.0)</f>
        <v>0</v>
      </c>
      <c r="P22" s="3">
        <f>IFERROR(__xludf.DUMMYFUNCTION("""COMPUTED_VALUE"""),0.0)</f>
        <v>0</v>
      </c>
      <c r="Q22" s="3">
        <f>IFERROR(__xludf.DUMMYFUNCTION("""COMPUTED_VALUE"""),0.0)</f>
        <v>0</v>
      </c>
      <c r="R22" s="3">
        <f>IFERROR(__xludf.DUMMYFUNCTION("""COMPUTED_VALUE"""),0.0)</f>
        <v>0</v>
      </c>
      <c r="S22" s="3">
        <f>IFERROR(__xludf.DUMMYFUNCTION("""COMPUTED_VALUE"""),0.0)</f>
        <v>0</v>
      </c>
      <c r="T22" s="3">
        <f>IFERROR(__xludf.DUMMYFUNCTION("""COMPUTED_VALUE"""),0.0)</f>
        <v>0</v>
      </c>
      <c r="U22" s="3">
        <f>IFERROR(__xludf.DUMMYFUNCTION("""COMPUTED_VALUE"""),0.0)</f>
        <v>0</v>
      </c>
      <c r="V22" s="3">
        <f>IFERROR(__xludf.DUMMYFUNCTION("""COMPUTED_VALUE"""),0.0)</f>
        <v>0</v>
      </c>
      <c r="W22" s="3">
        <f>IFERROR(__xludf.DUMMYFUNCTION("""COMPUTED_VALUE"""),0.0)</f>
        <v>0</v>
      </c>
      <c r="X22" s="3">
        <f>IFERROR(__xludf.DUMMYFUNCTION("""COMPUTED_VALUE"""),0.0)</f>
        <v>0</v>
      </c>
      <c r="Y22" s="3">
        <f>IFERROR(__xludf.DUMMYFUNCTION("""COMPUTED_VALUE"""),0.0)</f>
        <v>0</v>
      </c>
      <c r="Z22" s="3">
        <f>IFERROR(__xludf.DUMMYFUNCTION("""COMPUTED_VALUE"""),0.0)</f>
        <v>0</v>
      </c>
      <c r="AA22" s="3">
        <f>IFERROR(__xludf.DUMMYFUNCTION("""COMPUTED_VALUE"""),0.0)</f>
        <v>0</v>
      </c>
      <c r="AB22" s="3">
        <f>IFERROR(__xludf.DUMMYFUNCTION("""COMPUTED_VALUE"""),0.0)</f>
        <v>0</v>
      </c>
      <c r="AC22" s="3">
        <f>IFERROR(__xludf.DUMMYFUNCTION("""COMPUTED_VALUE"""),0.0)</f>
        <v>0</v>
      </c>
      <c r="AD22" s="3">
        <f>IFERROR(__xludf.DUMMYFUNCTION("""COMPUTED_VALUE"""),0.0)</f>
        <v>0</v>
      </c>
      <c r="AE22" s="3">
        <f>IFERROR(__xludf.DUMMYFUNCTION("""COMPUTED_VALUE"""),0.0)</f>
        <v>0</v>
      </c>
      <c r="AF22" s="3">
        <f>IFERROR(__xludf.DUMMYFUNCTION("""COMPUTED_VALUE"""),0.0)</f>
        <v>0</v>
      </c>
      <c r="AG22" s="3">
        <f>IFERROR(__xludf.DUMMYFUNCTION("""COMPUTED_VALUE"""),0.0)</f>
        <v>0</v>
      </c>
      <c r="AH22" s="3">
        <f>IFERROR(__xludf.DUMMYFUNCTION("""COMPUTED_VALUE"""),0.0)</f>
        <v>0</v>
      </c>
      <c r="AI22" s="3">
        <f>IFERROR(__xludf.DUMMYFUNCTION("""COMPUTED_VALUE"""),0.0)</f>
        <v>0</v>
      </c>
      <c r="AJ22" s="3">
        <f>IFERROR(__xludf.DUMMYFUNCTION("""COMPUTED_VALUE"""),0.0)</f>
        <v>0</v>
      </c>
      <c r="AK22" s="3">
        <f>IFERROR(__xludf.DUMMYFUNCTION("""COMPUTED_VALUE"""),0.0)</f>
        <v>0</v>
      </c>
      <c r="AL22" s="3">
        <f>IFERROR(__xludf.DUMMYFUNCTION("""COMPUTED_VALUE"""),0.0)</f>
        <v>0</v>
      </c>
      <c r="AM22" s="3">
        <f>IFERROR(__xludf.DUMMYFUNCTION("""COMPUTED_VALUE"""),0.0)</f>
        <v>0</v>
      </c>
      <c r="AN22" s="3">
        <f>IFERROR(__xludf.DUMMYFUNCTION("""COMPUTED_VALUE"""),0.0)</f>
        <v>0</v>
      </c>
      <c r="AO22" s="3">
        <f>IFERROR(__xludf.DUMMYFUNCTION("""COMPUTED_VALUE"""),0.0)</f>
        <v>0</v>
      </c>
      <c r="AP22" s="3">
        <f>IFERROR(__xludf.DUMMYFUNCTION("""COMPUTED_VALUE"""),0.0)</f>
        <v>0</v>
      </c>
      <c r="AQ22" s="3">
        <f>IFERROR(__xludf.DUMMYFUNCTION("""COMPUTED_VALUE"""),0.0)</f>
        <v>0</v>
      </c>
      <c r="AR22" s="3">
        <f>IFERROR(__xludf.DUMMYFUNCTION("""COMPUTED_VALUE"""),0.0)</f>
        <v>0</v>
      </c>
      <c r="AS22" s="3">
        <f>IFERROR(__xludf.DUMMYFUNCTION("""COMPUTED_VALUE"""),0.0)</f>
        <v>0</v>
      </c>
      <c r="AT22" s="3">
        <f>IFERROR(__xludf.DUMMYFUNCTION("""COMPUTED_VALUE"""),0.0)</f>
        <v>0</v>
      </c>
      <c r="AU22" s="3">
        <f>IFERROR(__xludf.DUMMYFUNCTION("""COMPUTED_VALUE"""),0.0)</f>
        <v>0</v>
      </c>
      <c r="AV22" s="3">
        <f>IFERROR(__xludf.DUMMYFUNCTION("""COMPUTED_VALUE"""),0.0)</f>
        <v>0</v>
      </c>
      <c r="AW22" s="3">
        <f>IFERROR(__xludf.DUMMYFUNCTION("""COMPUTED_VALUE"""),0.0)</f>
        <v>0</v>
      </c>
      <c r="AX22" s="3">
        <f>IFERROR(__xludf.DUMMYFUNCTION("""COMPUTED_VALUE"""),0.0)</f>
        <v>0</v>
      </c>
      <c r="AY22" s="3">
        <f>IFERROR(__xludf.DUMMYFUNCTION("""COMPUTED_VALUE"""),0.0)</f>
        <v>0</v>
      </c>
      <c r="AZ22" s="3">
        <f>IFERROR(__xludf.DUMMYFUNCTION("""COMPUTED_VALUE"""),0.0)</f>
        <v>0</v>
      </c>
      <c r="BA22" s="3">
        <f>IFERROR(__xludf.DUMMYFUNCTION("""COMPUTED_VALUE"""),0.0)</f>
        <v>0</v>
      </c>
      <c r="BB22" s="3">
        <f>IFERROR(__xludf.DUMMYFUNCTION("""COMPUTED_VALUE"""),0.0)</f>
        <v>0</v>
      </c>
      <c r="BC22" s="3">
        <f>IFERROR(__xludf.DUMMYFUNCTION("""COMPUTED_VALUE"""),0.0)</f>
        <v>0</v>
      </c>
      <c r="BD22" s="3">
        <f>IFERROR(__xludf.DUMMYFUNCTION("""COMPUTED_VALUE"""),0.0)</f>
        <v>0</v>
      </c>
      <c r="BE22" s="3">
        <f>IFERROR(__xludf.DUMMYFUNCTION("""COMPUTED_VALUE"""),0.0)</f>
        <v>0</v>
      </c>
      <c r="BF22" s="3">
        <f>IFERROR(__xludf.DUMMYFUNCTION("""COMPUTED_VALUE"""),0.0)</f>
        <v>0</v>
      </c>
      <c r="BG22" s="3">
        <f>IFERROR(__xludf.DUMMYFUNCTION("""COMPUTED_VALUE"""),2.0)</f>
        <v>2</v>
      </c>
      <c r="BH22" s="3">
        <f>IFERROR(__xludf.DUMMYFUNCTION("""COMPUTED_VALUE"""),3.0)</f>
        <v>3</v>
      </c>
      <c r="BI22" s="3">
        <f>IFERROR(__xludf.DUMMYFUNCTION("""COMPUTED_VALUE"""),3.0)</f>
        <v>3</v>
      </c>
      <c r="BJ22" s="3">
        <f>IFERROR(__xludf.DUMMYFUNCTION("""COMPUTED_VALUE"""),3.0)</f>
        <v>3</v>
      </c>
      <c r="BK22" s="3">
        <f>IFERROR(__xludf.DUMMYFUNCTION("""COMPUTED_VALUE"""),3.0)</f>
        <v>3</v>
      </c>
      <c r="BL22" s="3">
        <f>IFERROR(__xludf.DUMMYFUNCTION("""COMPUTED_VALUE"""),3.0)</f>
        <v>3</v>
      </c>
      <c r="BM22" s="3">
        <f>IFERROR(__xludf.DUMMYFUNCTION("""COMPUTED_VALUE"""),3.0)</f>
        <v>3</v>
      </c>
      <c r="BN22" s="3">
        <f>IFERROR(__xludf.DUMMYFUNCTION("""COMPUTED_VALUE"""),3.0)</f>
        <v>3</v>
      </c>
      <c r="BO22" s="3">
        <f>IFERROR(__xludf.DUMMYFUNCTION("""COMPUTED_VALUE"""),5.0)</f>
        <v>5</v>
      </c>
      <c r="BP22" s="3">
        <f>IFERROR(__xludf.DUMMYFUNCTION("""COMPUTED_VALUE"""),7.0)</f>
        <v>7</v>
      </c>
      <c r="BQ22" s="3">
        <f>IFERROR(__xludf.DUMMYFUNCTION("""COMPUTED_VALUE"""),11.0)</f>
        <v>11</v>
      </c>
      <c r="BR22" s="3">
        <f>IFERROR(__xludf.DUMMYFUNCTION("""COMPUTED_VALUE"""),11.0)</f>
        <v>11</v>
      </c>
      <c r="BS22" s="3">
        <f>IFERROR(__xludf.DUMMYFUNCTION("""COMPUTED_VALUE"""),15.0)</f>
        <v>15</v>
      </c>
      <c r="BT22" s="3">
        <f>IFERROR(__xludf.DUMMYFUNCTION("""COMPUTED_VALUE"""),15.0)</f>
        <v>15</v>
      </c>
      <c r="BU22" s="3">
        <f>IFERROR(__xludf.DUMMYFUNCTION("""COMPUTED_VALUE"""),19.0)</f>
        <v>19</v>
      </c>
      <c r="BV22" s="3">
        <f>IFERROR(__xludf.DUMMYFUNCTION("""COMPUTED_VALUE"""),25.0)</f>
        <v>25</v>
      </c>
      <c r="BW22" s="3">
        <f>IFERROR(__xludf.DUMMYFUNCTION("""COMPUTED_VALUE"""),25.0)</f>
        <v>25</v>
      </c>
      <c r="BX22" s="3">
        <f>IFERROR(__xludf.DUMMYFUNCTION("""COMPUTED_VALUE"""),25.0)</f>
        <v>25</v>
      </c>
      <c r="BY22" s="3">
        <f>IFERROR(__xludf.DUMMYFUNCTION("""COMPUTED_VALUE"""),26.0)</f>
        <v>26</v>
      </c>
      <c r="BZ22" s="3">
        <f>IFERROR(__xludf.DUMMYFUNCTION("""COMPUTED_VALUE"""),30.0)</f>
        <v>30</v>
      </c>
      <c r="CA22" s="3">
        <f>IFERROR(__xludf.DUMMYFUNCTION("""COMPUTED_VALUE"""),33.0)</f>
        <v>33</v>
      </c>
      <c r="CB22" s="3">
        <f>IFERROR(__xludf.DUMMYFUNCTION("""COMPUTED_VALUE"""),33.0)</f>
        <v>33</v>
      </c>
    </row>
    <row r="23">
      <c r="A23" s="3" t="str">
        <f>IFERROR(__xludf.DUMMYFUNCTION("""COMPUTED_VALUE"""),"")</f>
        <v/>
      </c>
      <c r="B23" s="3" t="str">
        <f>IFERROR(__xludf.DUMMYFUNCTION("""COMPUTED_VALUE"""),"Barbados")</f>
        <v>Barbados</v>
      </c>
      <c r="C23" s="3">
        <f>IFERROR(__xludf.DUMMYFUNCTION("""COMPUTED_VALUE"""),13.1939)</f>
        <v>13.1939</v>
      </c>
      <c r="D23" s="3">
        <f>IFERROR(__xludf.DUMMYFUNCTION("""COMPUTED_VALUE"""),-59.5432)</f>
        <v>-59.5432</v>
      </c>
      <c r="E23" s="3">
        <f>IFERROR(__xludf.DUMMYFUNCTION("""COMPUTED_VALUE"""),0.0)</f>
        <v>0</v>
      </c>
      <c r="F23" s="3">
        <f>IFERROR(__xludf.DUMMYFUNCTION("""COMPUTED_VALUE"""),0.0)</f>
        <v>0</v>
      </c>
      <c r="G23" s="3">
        <f>IFERROR(__xludf.DUMMYFUNCTION("""COMPUTED_VALUE"""),0.0)</f>
        <v>0</v>
      </c>
      <c r="H23" s="3">
        <f>IFERROR(__xludf.DUMMYFUNCTION("""COMPUTED_VALUE"""),0.0)</f>
        <v>0</v>
      </c>
      <c r="I23" s="3">
        <f>IFERROR(__xludf.DUMMYFUNCTION("""COMPUTED_VALUE"""),0.0)</f>
        <v>0</v>
      </c>
      <c r="J23" s="3">
        <f>IFERROR(__xludf.DUMMYFUNCTION("""COMPUTED_VALUE"""),0.0)</f>
        <v>0</v>
      </c>
      <c r="K23" s="3">
        <f>IFERROR(__xludf.DUMMYFUNCTION("""COMPUTED_VALUE"""),0.0)</f>
        <v>0</v>
      </c>
      <c r="L23" s="3">
        <f>IFERROR(__xludf.DUMMYFUNCTION("""COMPUTED_VALUE"""),0.0)</f>
        <v>0</v>
      </c>
      <c r="M23" s="3">
        <f>IFERROR(__xludf.DUMMYFUNCTION("""COMPUTED_VALUE"""),0.0)</f>
        <v>0</v>
      </c>
      <c r="N23" s="3">
        <f>IFERROR(__xludf.DUMMYFUNCTION("""COMPUTED_VALUE"""),0.0)</f>
        <v>0</v>
      </c>
      <c r="O23" s="3">
        <f>IFERROR(__xludf.DUMMYFUNCTION("""COMPUTED_VALUE"""),0.0)</f>
        <v>0</v>
      </c>
      <c r="P23" s="3">
        <f>IFERROR(__xludf.DUMMYFUNCTION("""COMPUTED_VALUE"""),0.0)</f>
        <v>0</v>
      </c>
      <c r="Q23" s="3">
        <f>IFERROR(__xludf.DUMMYFUNCTION("""COMPUTED_VALUE"""),0.0)</f>
        <v>0</v>
      </c>
      <c r="R23" s="3">
        <f>IFERROR(__xludf.DUMMYFUNCTION("""COMPUTED_VALUE"""),0.0)</f>
        <v>0</v>
      </c>
      <c r="S23" s="3">
        <f>IFERROR(__xludf.DUMMYFUNCTION("""COMPUTED_VALUE"""),0.0)</f>
        <v>0</v>
      </c>
      <c r="T23" s="3">
        <f>IFERROR(__xludf.DUMMYFUNCTION("""COMPUTED_VALUE"""),0.0)</f>
        <v>0</v>
      </c>
      <c r="U23" s="3">
        <f>IFERROR(__xludf.DUMMYFUNCTION("""COMPUTED_VALUE"""),0.0)</f>
        <v>0</v>
      </c>
      <c r="V23" s="3">
        <f>IFERROR(__xludf.DUMMYFUNCTION("""COMPUTED_VALUE"""),0.0)</f>
        <v>0</v>
      </c>
      <c r="W23" s="3">
        <f>IFERROR(__xludf.DUMMYFUNCTION("""COMPUTED_VALUE"""),0.0)</f>
        <v>0</v>
      </c>
      <c r="X23" s="3">
        <f>IFERROR(__xludf.DUMMYFUNCTION("""COMPUTED_VALUE"""),0.0)</f>
        <v>0</v>
      </c>
      <c r="Y23" s="3">
        <f>IFERROR(__xludf.DUMMYFUNCTION("""COMPUTED_VALUE"""),0.0)</f>
        <v>0</v>
      </c>
      <c r="Z23" s="3">
        <f>IFERROR(__xludf.DUMMYFUNCTION("""COMPUTED_VALUE"""),0.0)</f>
        <v>0</v>
      </c>
      <c r="AA23" s="3">
        <f>IFERROR(__xludf.DUMMYFUNCTION("""COMPUTED_VALUE"""),0.0)</f>
        <v>0</v>
      </c>
      <c r="AB23" s="3">
        <f>IFERROR(__xludf.DUMMYFUNCTION("""COMPUTED_VALUE"""),0.0)</f>
        <v>0</v>
      </c>
      <c r="AC23" s="3">
        <f>IFERROR(__xludf.DUMMYFUNCTION("""COMPUTED_VALUE"""),0.0)</f>
        <v>0</v>
      </c>
      <c r="AD23" s="3">
        <f>IFERROR(__xludf.DUMMYFUNCTION("""COMPUTED_VALUE"""),0.0)</f>
        <v>0</v>
      </c>
      <c r="AE23" s="3">
        <f>IFERROR(__xludf.DUMMYFUNCTION("""COMPUTED_VALUE"""),0.0)</f>
        <v>0</v>
      </c>
      <c r="AF23" s="3">
        <f>IFERROR(__xludf.DUMMYFUNCTION("""COMPUTED_VALUE"""),0.0)</f>
        <v>0</v>
      </c>
      <c r="AG23" s="3">
        <f>IFERROR(__xludf.DUMMYFUNCTION("""COMPUTED_VALUE"""),0.0)</f>
        <v>0</v>
      </c>
      <c r="AH23" s="3">
        <f>IFERROR(__xludf.DUMMYFUNCTION("""COMPUTED_VALUE"""),0.0)</f>
        <v>0</v>
      </c>
      <c r="AI23" s="3">
        <f>IFERROR(__xludf.DUMMYFUNCTION("""COMPUTED_VALUE"""),0.0)</f>
        <v>0</v>
      </c>
      <c r="AJ23" s="3">
        <f>IFERROR(__xludf.DUMMYFUNCTION("""COMPUTED_VALUE"""),0.0)</f>
        <v>0</v>
      </c>
      <c r="AK23" s="3">
        <f>IFERROR(__xludf.DUMMYFUNCTION("""COMPUTED_VALUE"""),0.0)</f>
        <v>0</v>
      </c>
      <c r="AL23" s="3">
        <f>IFERROR(__xludf.DUMMYFUNCTION("""COMPUTED_VALUE"""),0.0)</f>
        <v>0</v>
      </c>
      <c r="AM23" s="3">
        <f>IFERROR(__xludf.DUMMYFUNCTION("""COMPUTED_VALUE"""),0.0)</f>
        <v>0</v>
      </c>
      <c r="AN23" s="3">
        <f>IFERROR(__xludf.DUMMYFUNCTION("""COMPUTED_VALUE"""),0.0)</f>
        <v>0</v>
      </c>
      <c r="AO23" s="3">
        <f>IFERROR(__xludf.DUMMYFUNCTION("""COMPUTED_VALUE"""),0.0)</f>
        <v>0</v>
      </c>
      <c r="AP23" s="3">
        <f>IFERROR(__xludf.DUMMYFUNCTION("""COMPUTED_VALUE"""),0.0)</f>
        <v>0</v>
      </c>
      <c r="AQ23" s="3">
        <f>IFERROR(__xludf.DUMMYFUNCTION("""COMPUTED_VALUE"""),0.0)</f>
        <v>0</v>
      </c>
      <c r="AR23" s="3">
        <f>IFERROR(__xludf.DUMMYFUNCTION("""COMPUTED_VALUE"""),0.0)</f>
        <v>0</v>
      </c>
      <c r="AS23" s="3">
        <f>IFERROR(__xludf.DUMMYFUNCTION("""COMPUTED_VALUE"""),0.0)</f>
        <v>0</v>
      </c>
      <c r="AT23" s="3">
        <f>IFERROR(__xludf.DUMMYFUNCTION("""COMPUTED_VALUE"""),0.0)</f>
        <v>0</v>
      </c>
      <c r="AU23" s="3">
        <f>IFERROR(__xludf.DUMMYFUNCTION("""COMPUTED_VALUE"""),0.0)</f>
        <v>0</v>
      </c>
      <c r="AV23" s="3">
        <f>IFERROR(__xludf.DUMMYFUNCTION("""COMPUTED_VALUE"""),0.0)</f>
        <v>0</v>
      </c>
      <c r="AW23" s="3">
        <f>IFERROR(__xludf.DUMMYFUNCTION("""COMPUTED_VALUE"""),0.0)</f>
        <v>0</v>
      </c>
      <c r="AX23" s="3">
        <f>IFERROR(__xludf.DUMMYFUNCTION("""COMPUTED_VALUE"""),0.0)</f>
        <v>0</v>
      </c>
      <c r="AY23" s="3">
        <f>IFERROR(__xludf.DUMMYFUNCTION("""COMPUTED_VALUE"""),0.0)</f>
        <v>0</v>
      </c>
      <c r="AZ23" s="3">
        <f>IFERROR(__xludf.DUMMYFUNCTION("""COMPUTED_VALUE"""),0.0)</f>
        <v>0</v>
      </c>
      <c r="BA23" s="3">
        <f>IFERROR(__xludf.DUMMYFUNCTION("""COMPUTED_VALUE"""),0.0)</f>
        <v>0</v>
      </c>
      <c r="BB23" s="3">
        <f>IFERROR(__xludf.DUMMYFUNCTION("""COMPUTED_VALUE"""),0.0)</f>
        <v>0</v>
      </c>
      <c r="BC23" s="3">
        <f>IFERROR(__xludf.DUMMYFUNCTION("""COMPUTED_VALUE"""),0.0)</f>
        <v>0</v>
      </c>
      <c r="BD23" s="3">
        <f>IFERROR(__xludf.DUMMYFUNCTION("""COMPUTED_VALUE"""),0.0)</f>
        <v>0</v>
      </c>
      <c r="BE23" s="3">
        <f>IFERROR(__xludf.DUMMYFUNCTION("""COMPUTED_VALUE"""),0.0)</f>
        <v>0</v>
      </c>
      <c r="BF23" s="3">
        <f>IFERROR(__xludf.DUMMYFUNCTION("""COMPUTED_VALUE"""),0.0)</f>
        <v>0</v>
      </c>
      <c r="BG23" s="3">
        <f>IFERROR(__xludf.DUMMYFUNCTION("""COMPUTED_VALUE"""),0.0)</f>
        <v>0</v>
      </c>
      <c r="BH23" s="3">
        <f>IFERROR(__xludf.DUMMYFUNCTION("""COMPUTED_VALUE"""),0.0)</f>
        <v>0</v>
      </c>
      <c r="BI23" s="3">
        <f>IFERROR(__xludf.DUMMYFUNCTION("""COMPUTED_VALUE"""),0.0)</f>
        <v>0</v>
      </c>
      <c r="BJ23" s="3">
        <f>IFERROR(__xludf.DUMMYFUNCTION("""COMPUTED_VALUE"""),0.0)</f>
        <v>0</v>
      </c>
      <c r="BK23" s="3">
        <f>IFERROR(__xludf.DUMMYFUNCTION("""COMPUTED_VALUE"""),0.0)</f>
        <v>0</v>
      </c>
      <c r="BL23" s="3">
        <f>IFERROR(__xludf.DUMMYFUNCTION("""COMPUTED_VALUE"""),0.0)</f>
        <v>0</v>
      </c>
      <c r="BM23" s="3">
        <f>IFERROR(__xludf.DUMMYFUNCTION("""COMPUTED_VALUE"""),0.0)</f>
        <v>0</v>
      </c>
      <c r="BN23" s="3">
        <f>IFERROR(__xludf.DUMMYFUNCTION("""COMPUTED_VALUE"""),0.0)</f>
        <v>0</v>
      </c>
      <c r="BO23" s="3">
        <f>IFERROR(__xludf.DUMMYFUNCTION("""COMPUTED_VALUE"""),0.0)</f>
        <v>0</v>
      </c>
      <c r="BP23" s="3">
        <f>IFERROR(__xludf.DUMMYFUNCTION("""COMPUTED_VALUE"""),0.0)</f>
        <v>0</v>
      </c>
      <c r="BQ23" s="3">
        <f>IFERROR(__xludf.DUMMYFUNCTION("""COMPUTED_VALUE"""),0.0)</f>
        <v>0</v>
      </c>
      <c r="BR23" s="3">
        <f>IFERROR(__xludf.DUMMYFUNCTION("""COMPUTED_VALUE"""),0.0)</f>
        <v>0</v>
      </c>
      <c r="BS23" s="3">
        <f>IFERROR(__xludf.DUMMYFUNCTION("""COMPUTED_VALUE"""),0.0)</f>
        <v>0</v>
      </c>
      <c r="BT23" s="3">
        <f>IFERROR(__xludf.DUMMYFUNCTION("""COMPUTED_VALUE"""),0.0)</f>
        <v>0</v>
      </c>
      <c r="BU23" s="3">
        <f>IFERROR(__xludf.DUMMYFUNCTION("""COMPUTED_VALUE"""),0.0)</f>
        <v>0</v>
      </c>
      <c r="BV23" s="3">
        <f>IFERROR(__xludf.DUMMYFUNCTION("""COMPUTED_VALUE"""),0.0)</f>
        <v>0</v>
      </c>
      <c r="BW23" s="3">
        <f>IFERROR(__xludf.DUMMYFUNCTION("""COMPUTED_VALUE"""),0.0)</f>
        <v>0</v>
      </c>
      <c r="BX23" s="3">
        <f>IFERROR(__xludf.DUMMYFUNCTION("""COMPUTED_VALUE"""),0.0)</f>
        <v>0</v>
      </c>
      <c r="BY23" s="3">
        <f>IFERROR(__xludf.DUMMYFUNCTION("""COMPUTED_VALUE"""),0.0)</f>
        <v>0</v>
      </c>
      <c r="BZ23" s="3">
        <f>IFERROR(__xludf.DUMMYFUNCTION("""COMPUTED_VALUE"""),0.0)</f>
        <v>0</v>
      </c>
      <c r="CA23" s="3">
        <f>IFERROR(__xludf.DUMMYFUNCTION("""COMPUTED_VALUE"""),6.0)</f>
        <v>6</v>
      </c>
      <c r="CB23" s="3">
        <f>IFERROR(__xludf.DUMMYFUNCTION("""COMPUTED_VALUE"""),6.0)</f>
        <v>6</v>
      </c>
    </row>
    <row r="24">
      <c r="A24" s="3" t="str">
        <f>IFERROR(__xludf.DUMMYFUNCTION("""COMPUTED_VALUE"""),"")</f>
        <v/>
      </c>
      <c r="B24" s="3" t="str">
        <f>IFERROR(__xludf.DUMMYFUNCTION("""COMPUTED_VALUE"""),"Belarus")</f>
        <v>Belarus</v>
      </c>
      <c r="C24" s="3">
        <f>IFERROR(__xludf.DUMMYFUNCTION("""COMPUTED_VALUE"""),53.7098)</f>
        <v>53.7098</v>
      </c>
      <c r="D24" s="3">
        <f>IFERROR(__xludf.DUMMYFUNCTION("""COMPUTED_VALUE"""),27.9534)</f>
        <v>27.9534</v>
      </c>
      <c r="E24" s="3">
        <f>IFERROR(__xludf.DUMMYFUNCTION("""COMPUTED_VALUE"""),0.0)</f>
        <v>0</v>
      </c>
      <c r="F24" s="3">
        <f>IFERROR(__xludf.DUMMYFUNCTION("""COMPUTED_VALUE"""),0.0)</f>
        <v>0</v>
      </c>
      <c r="G24" s="3">
        <f>IFERROR(__xludf.DUMMYFUNCTION("""COMPUTED_VALUE"""),0.0)</f>
        <v>0</v>
      </c>
      <c r="H24" s="3">
        <f>IFERROR(__xludf.DUMMYFUNCTION("""COMPUTED_VALUE"""),0.0)</f>
        <v>0</v>
      </c>
      <c r="I24" s="3">
        <f>IFERROR(__xludf.DUMMYFUNCTION("""COMPUTED_VALUE"""),0.0)</f>
        <v>0</v>
      </c>
      <c r="J24" s="3">
        <f>IFERROR(__xludf.DUMMYFUNCTION("""COMPUTED_VALUE"""),0.0)</f>
        <v>0</v>
      </c>
      <c r="K24" s="3">
        <f>IFERROR(__xludf.DUMMYFUNCTION("""COMPUTED_VALUE"""),0.0)</f>
        <v>0</v>
      </c>
      <c r="L24" s="3">
        <f>IFERROR(__xludf.DUMMYFUNCTION("""COMPUTED_VALUE"""),0.0)</f>
        <v>0</v>
      </c>
      <c r="M24" s="3">
        <f>IFERROR(__xludf.DUMMYFUNCTION("""COMPUTED_VALUE"""),0.0)</f>
        <v>0</v>
      </c>
      <c r="N24" s="3">
        <f>IFERROR(__xludf.DUMMYFUNCTION("""COMPUTED_VALUE"""),0.0)</f>
        <v>0</v>
      </c>
      <c r="O24" s="3">
        <f>IFERROR(__xludf.DUMMYFUNCTION("""COMPUTED_VALUE"""),0.0)</f>
        <v>0</v>
      </c>
      <c r="P24" s="3">
        <f>IFERROR(__xludf.DUMMYFUNCTION("""COMPUTED_VALUE"""),0.0)</f>
        <v>0</v>
      </c>
      <c r="Q24" s="3">
        <f>IFERROR(__xludf.DUMMYFUNCTION("""COMPUTED_VALUE"""),0.0)</f>
        <v>0</v>
      </c>
      <c r="R24" s="3">
        <f>IFERROR(__xludf.DUMMYFUNCTION("""COMPUTED_VALUE"""),0.0)</f>
        <v>0</v>
      </c>
      <c r="S24" s="3">
        <f>IFERROR(__xludf.DUMMYFUNCTION("""COMPUTED_VALUE"""),0.0)</f>
        <v>0</v>
      </c>
      <c r="T24" s="3">
        <f>IFERROR(__xludf.DUMMYFUNCTION("""COMPUTED_VALUE"""),0.0)</f>
        <v>0</v>
      </c>
      <c r="U24" s="3">
        <f>IFERROR(__xludf.DUMMYFUNCTION("""COMPUTED_VALUE"""),0.0)</f>
        <v>0</v>
      </c>
      <c r="V24" s="3">
        <f>IFERROR(__xludf.DUMMYFUNCTION("""COMPUTED_VALUE"""),0.0)</f>
        <v>0</v>
      </c>
      <c r="W24" s="3">
        <f>IFERROR(__xludf.DUMMYFUNCTION("""COMPUTED_VALUE"""),0.0)</f>
        <v>0</v>
      </c>
      <c r="X24" s="3">
        <f>IFERROR(__xludf.DUMMYFUNCTION("""COMPUTED_VALUE"""),0.0)</f>
        <v>0</v>
      </c>
      <c r="Y24" s="3">
        <f>IFERROR(__xludf.DUMMYFUNCTION("""COMPUTED_VALUE"""),0.0)</f>
        <v>0</v>
      </c>
      <c r="Z24" s="3">
        <f>IFERROR(__xludf.DUMMYFUNCTION("""COMPUTED_VALUE"""),0.0)</f>
        <v>0</v>
      </c>
      <c r="AA24" s="3">
        <f>IFERROR(__xludf.DUMMYFUNCTION("""COMPUTED_VALUE"""),0.0)</f>
        <v>0</v>
      </c>
      <c r="AB24" s="3">
        <f>IFERROR(__xludf.DUMMYFUNCTION("""COMPUTED_VALUE"""),0.0)</f>
        <v>0</v>
      </c>
      <c r="AC24" s="3">
        <f>IFERROR(__xludf.DUMMYFUNCTION("""COMPUTED_VALUE"""),0.0)</f>
        <v>0</v>
      </c>
      <c r="AD24" s="3">
        <f>IFERROR(__xludf.DUMMYFUNCTION("""COMPUTED_VALUE"""),0.0)</f>
        <v>0</v>
      </c>
      <c r="AE24" s="3">
        <f>IFERROR(__xludf.DUMMYFUNCTION("""COMPUTED_VALUE"""),0.0)</f>
        <v>0</v>
      </c>
      <c r="AF24" s="3">
        <f>IFERROR(__xludf.DUMMYFUNCTION("""COMPUTED_VALUE"""),0.0)</f>
        <v>0</v>
      </c>
      <c r="AG24" s="3">
        <f>IFERROR(__xludf.DUMMYFUNCTION("""COMPUTED_VALUE"""),0.0)</f>
        <v>0</v>
      </c>
      <c r="AH24" s="3">
        <f>IFERROR(__xludf.DUMMYFUNCTION("""COMPUTED_VALUE"""),0.0)</f>
        <v>0</v>
      </c>
      <c r="AI24" s="3">
        <f>IFERROR(__xludf.DUMMYFUNCTION("""COMPUTED_VALUE"""),0.0)</f>
        <v>0</v>
      </c>
      <c r="AJ24" s="3">
        <f>IFERROR(__xludf.DUMMYFUNCTION("""COMPUTED_VALUE"""),0.0)</f>
        <v>0</v>
      </c>
      <c r="AK24" s="3">
        <f>IFERROR(__xludf.DUMMYFUNCTION("""COMPUTED_VALUE"""),0.0)</f>
        <v>0</v>
      </c>
      <c r="AL24" s="3">
        <f>IFERROR(__xludf.DUMMYFUNCTION("""COMPUTED_VALUE"""),0.0)</f>
        <v>0</v>
      </c>
      <c r="AM24" s="3">
        <f>IFERROR(__xludf.DUMMYFUNCTION("""COMPUTED_VALUE"""),0.0)</f>
        <v>0</v>
      </c>
      <c r="AN24" s="3">
        <f>IFERROR(__xludf.DUMMYFUNCTION("""COMPUTED_VALUE"""),0.0)</f>
        <v>0</v>
      </c>
      <c r="AO24" s="3">
        <f>IFERROR(__xludf.DUMMYFUNCTION("""COMPUTED_VALUE"""),0.0)</f>
        <v>0</v>
      </c>
      <c r="AP24" s="3">
        <f>IFERROR(__xludf.DUMMYFUNCTION("""COMPUTED_VALUE"""),0.0)</f>
        <v>0</v>
      </c>
      <c r="AQ24" s="3">
        <f>IFERROR(__xludf.DUMMYFUNCTION("""COMPUTED_VALUE"""),0.0)</f>
        <v>0</v>
      </c>
      <c r="AR24" s="3">
        <f>IFERROR(__xludf.DUMMYFUNCTION("""COMPUTED_VALUE"""),0.0)</f>
        <v>0</v>
      </c>
      <c r="AS24" s="3">
        <f>IFERROR(__xludf.DUMMYFUNCTION("""COMPUTED_VALUE"""),0.0)</f>
        <v>0</v>
      </c>
      <c r="AT24" s="3">
        <f>IFERROR(__xludf.DUMMYFUNCTION("""COMPUTED_VALUE"""),0.0)</f>
        <v>0</v>
      </c>
      <c r="AU24" s="3">
        <f>IFERROR(__xludf.DUMMYFUNCTION("""COMPUTED_VALUE"""),0.0)</f>
        <v>0</v>
      </c>
      <c r="AV24" s="3">
        <f>IFERROR(__xludf.DUMMYFUNCTION("""COMPUTED_VALUE"""),0.0)</f>
        <v>0</v>
      </c>
      <c r="AW24" s="3">
        <f>IFERROR(__xludf.DUMMYFUNCTION("""COMPUTED_VALUE"""),0.0)</f>
        <v>0</v>
      </c>
      <c r="AX24" s="3">
        <f>IFERROR(__xludf.DUMMYFUNCTION("""COMPUTED_VALUE"""),0.0)</f>
        <v>0</v>
      </c>
      <c r="AY24" s="3">
        <f>IFERROR(__xludf.DUMMYFUNCTION("""COMPUTED_VALUE"""),0.0)</f>
        <v>0</v>
      </c>
      <c r="AZ24" s="3">
        <f>IFERROR(__xludf.DUMMYFUNCTION("""COMPUTED_VALUE"""),1.0)</f>
        <v>1</v>
      </c>
      <c r="BA24" s="3">
        <f>IFERROR(__xludf.DUMMYFUNCTION("""COMPUTED_VALUE"""),3.0)</f>
        <v>3</v>
      </c>
      <c r="BB24" s="3">
        <f>IFERROR(__xludf.DUMMYFUNCTION("""COMPUTED_VALUE"""),3.0)</f>
        <v>3</v>
      </c>
      <c r="BC24" s="3">
        <f>IFERROR(__xludf.DUMMYFUNCTION("""COMPUTED_VALUE"""),3.0)</f>
        <v>3</v>
      </c>
      <c r="BD24" s="3">
        <f>IFERROR(__xludf.DUMMYFUNCTION("""COMPUTED_VALUE"""),3.0)</f>
        <v>3</v>
      </c>
      <c r="BE24" s="3">
        <f>IFERROR(__xludf.DUMMYFUNCTION("""COMPUTED_VALUE"""),3.0)</f>
        <v>3</v>
      </c>
      <c r="BF24" s="3">
        <f>IFERROR(__xludf.DUMMYFUNCTION("""COMPUTED_VALUE"""),3.0)</f>
        <v>3</v>
      </c>
      <c r="BG24" s="3">
        <f>IFERROR(__xludf.DUMMYFUNCTION("""COMPUTED_VALUE"""),3.0)</f>
        <v>3</v>
      </c>
      <c r="BH24" s="3">
        <f>IFERROR(__xludf.DUMMYFUNCTION("""COMPUTED_VALUE"""),3.0)</f>
        <v>3</v>
      </c>
      <c r="BI24" s="3">
        <f>IFERROR(__xludf.DUMMYFUNCTION("""COMPUTED_VALUE"""),5.0)</f>
        <v>5</v>
      </c>
      <c r="BJ24" s="3">
        <f>IFERROR(__xludf.DUMMYFUNCTION("""COMPUTED_VALUE"""),5.0)</f>
        <v>5</v>
      </c>
      <c r="BK24" s="3">
        <f>IFERROR(__xludf.DUMMYFUNCTION("""COMPUTED_VALUE"""),5.0)</f>
        <v>5</v>
      </c>
      <c r="BL24" s="3">
        <f>IFERROR(__xludf.DUMMYFUNCTION("""COMPUTED_VALUE"""),15.0)</f>
        <v>15</v>
      </c>
      <c r="BM24" s="3">
        <f>IFERROR(__xludf.DUMMYFUNCTION("""COMPUTED_VALUE"""),15.0)</f>
        <v>15</v>
      </c>
      <c r="BN24" s="3">
        <f>IFERROR(__xludf.DUMMYFUNCTION("""COMPUTED_VALUE"""),15.0)</f>
        <v>15</v>
      </c>
      <c r="BO24" s="3">
        <f>IFERROR(__xludf.DUMMYFUNCTION("""COMPUTED_VALUE"""),22.0)</f>
        <v>22</v>
      </c>
      <c r="BP24" s="3">
        <f>IFERROR(__xludf.DUMMYFUNCTION("""COMPUTED_VALUE"""),29.0)</f>
        <v>29</v>
      </c>
      <c r="BQ24" s="3">
        <f>IFERROR(__xludf.DUMMYFUNCTION("""COMPUTED_VALUE"""),29.0)</f>
        <v>29</v>
      </c>
      <c r="BR24" s="3">
        <f>IFERROR(__xludf.DUMMYFUNCTION("""COMPUTED_VALUE"""),32.0)</f>
        <v>32</v>
      </c>
      <c r="BS24" s="3">
        <f>IFERROR(__xludf.DUMMYFUNCTION("""COMPUTED_VALUE"""),32.0)</f>
        <v>32</v>
      </c>
      <c r="BT24" s="3">
        <f>IFERROR(__xludf.DUMMYFUNCTION("""COMPUTED_VALUE"""),32.0)</f>
        <v>32</v>
      </c>
      <c r="BU24" s="3">
        <f>IFERROR(__xludf.DUMMYFUNCTION("""COMPUTED_VALUE"""),32.0)</f>
        <v>32</v>
      </c>
      <c r="BV24" s="3">
        <f>IFERROR(__xludf.DUMMYFUNCTION("""COMPUTED_VALUE"""),47.0)</f>
        <v>47</v>
      </c>
      <c r="BW24" s="3">
        <f>IFERROR(__xludf.DUMMYFUNCTION("""COMPUTED_VALUE"""),53.0)</f>
        <v>53</v>
      </c>
      <c r="BX24" s="3">
        <f>IFERROR(__xludf.DUMMYFUNCTION("""COMPUTED_VALUE"""),53.0)</f>
        <v>53</v>
      </c>
      <c r="BY24" s="3">
        <f>IFERROR(__xludf.DUMMYFUNCTION("""COMPUTED_VALUE"""),53.0)</f>
        <v>53</v>
      </c>
      <c r="BZ24" s="3">
        <f>IFERROR(__xludf.DUMMYFUNCTION("""COMPUTED_VALUE"""),53.0)</f>
        <v>53</v>
      </c>
      <c r="CA24" s="3">
        <f>IFERROR(__xludf.DUMMYFUNCTION("""COMPUTED_VALUE"""),52.0)</f>
        <v>52</v>
      </c>
      <c r="CB24" s="3">
        <f>IFERROR(__xludf.DUMMYFUNCTION("""COMPUTED_VALUE"""),53.0)</f>
        <v>53</v>
      </c>
    </row>
    <row r="25">
      <c r="A25" s="3" t="str">
        <f>IFERROR(__xludf.DUMMYFUNCTION("""COMPUTED_VALUE"""),"")</f>
        <v/>
      </c>
      <c r="B25" s="3" t="str">
        <f>IFERROR(__xludf.DUMMYFUNCTION("""COMPUTED_VALUE"""),"Belgium")</f>
        <v>Belgium</v>
      </c>
      <c r="C25" s="3">
        <f>IFERROR(__xludf.DUMMYFUNCTION("""COMPUTED_VALUE"""),50.8333)</f>
        <v>50.8333</v>
      </c>
      <c r="D25" s="3">
        <f>IFERROR(__xludf.DUMMYFUNCTION("""COMPUTED_VALUE"""),4.0)</f>
        <v>4</v>
      </c>
      <c r="E25" s="3">
        <f>IFERROR(__xludf.DUMMYFUNCTION("""COMPUTED_VALUE"""),0.0)</f>
        <v>0</v>
      </c>
      <c r="F25" s="3">
        <f>IFERROR(__xludf.DUMMYFUNCTION("""COMPUTED_VALUE"""),0.0)</f>
        <v>0</v>
      </c>
      <c r="G25" s="3">
        <f>IFERROR(__xludf.DUMMYFUNCTION("""COMPUTED_VALUE"""),0.0)</f>
        <v>0</v>
      </c>
      <c r="H25" s="3">
        <f>IFERROR(__xludf.DUMMYFUNCTION("""COMPUTED_VALUE"""),0.0)</f>
        <v>0</v>
      </c>
      <c r="I25" s="3">
        <f>IFERROR(__xludf.DUMMYFUNCTION("""COMPUTED_VALUE"""),0.0)</f>
        <v>0</v>
      </c>
      <c r="J25" s="3">
        <f>IFERROR(__xludf.DUMMYFUNCTION("""COMPUTED_VALUE"""),0.0)</f>
        <v>0</v>
      </c>
      <c r="K25" s="3">
        <f>IFERROR(__xludf.DUMMYFUNCTION("""COMPUTED_VALUE"""),0.0)</f>
        <v>0</v>
      </c>
      <c r="L25" s="3">
        <f>IFERROR(__xludf.DUMMYFUNCTION("""COMPUTED_VALUE"""),0.0)</f>
        <v>0</v>
      </c>
      <c r="M25" s="3">
        <f>IFERROR(__xludf.DUMMYFUNCTION("""COMPUTED_VALUE"""),0.0)</f>
        <v>0</v>
      </c>
      <c r="N25" s="3">
        <f>IFERROR(__xludf.DUMMYFUNCTION("""COMPUTED_VALUE"""),0.0)</f>
        <v>0</v>
      </c>
      <c r="O25" s="3">
        <f>IFERROR(__xludf.DUMMYFUNCTION("""COMPUTED_VALUE"""),0.0)</f>
        <v>0</v>
      </c>
      <c r="P25" s="3">
        <f>IFERROR(__xludf.DUMMYFUNCTION("""COMPUTED_VALUE"""),0.0)</f>
        <v>0</v>
      </c>
      <c r="Q25" s="3">
        <f>IFERROR(__xludf.DUMMYFUNCTION("""COMPUTED_VALUE"""),0.0)</f>
        <v>0</v>
      </c>
      <c r="R25" s="3">
        <f>IFERROR(__xludf.DUMMYFUNCTION("""COMPUTED_VALUE"""),0.0)</f>
        <v>0</v>
      </c>
      <c r="S25" s="3">
        <f>IFERROR(__xludf.DUMMYFUNCTION("""COMPUTED_VALUE"""),0.0)</f>
        <v>0</v>
      </c>
      <c r="T25" s="3">
        <f>IFERROR(__xludf.DUMMYFUNCTION("""COMPUTED_VALUE"""),0.0)</f>
        <v>0</v>
      </c>
      <c r="U25" s="3">
        <f>IFERROR(__xludf.DUMMYFUNCTION("""COMPUTED_VALUE"""),0.0)</f>
        <v>0</v>
      </c>
      <c r="V25" s="3">
        <f>IFERROR(__xludf.DUMMYFUNCTION("""COMPUTED_VALUE"""),0.0)</f>
        <v>0</v>
      </c>
      <c r="W25" s="3">
        <f>IFERROR(__xludf.DUMMYFUNCTION("""COMPUTED_VALUE"""),0.0)</f>
        <v>0</v>
      </c>
      <c r="X25" s="3">
        <f>IFERROR(__xludf.DUMMYFUNCTION("""COMPUTED_VALUE"""),0.0)</f>
        <v>0</v>
      </c>
      <c r="Y25" s="3">
        <f>IFERROR(__xludf.DUMMYFUNCTION("""COMPUTED_VALUE"""),0.0)</f>
        <v>0</v>
      </c>
      <c r="Z25" s="3">
        <f>IFERROR(__xludf.DUMMYFUNCTION("""COMPUTED_VALUE"""),0.0)</f>
        <v>0</v>
      </c>
      <c r="AA25" s="3">
        <f>IFERROR(__xludf.DUMMYFUNCTION("""COMPUTED_VALUE"""),0.0)</f>
        <v>0</v>
      </c>
      <c r="AB25" s="3">
        <f>IFERROR(__xludf.DUMMYFUNCTION("""COMPUTED_VALUE"""),0.0)</f>
        <v>0</v>
      </c>
      <c r="AC25" s="3">
        <f>IFERROR(__xludf.DUMMYFUNCTION("""COMPUTED_VALUE"""),0.0)</f>
        <v>0</v>
      </c>
      <c r="AD25" s="3">
        <f>IFERROR(__xludf.DUMMYFUNCTION("""COMPUTED_VALUE"""),0.0)</f>
        <v>0</v>
      </c>
      <c r="AE25" s="3">
        <f>IFERROR(__xludf.DUMMYFUNCTION("""COMPUTED_VALUE"""),1.0)</f>
        <v>1</v>
      </c>
      <c r="AF25" s="3">
        <f>IFERROR(__xludf.DUMMYFUNCTION("""COMPUTED_VALUE"""),1.0)</f>
        <v>1</v>
      </c>
      <c r="AG25" s="3">
        <f>IFERROR(__xludf.DUMMYFUNCTION("""COMPUTED_VALUE"""),1.0)</f>
        <v>1</v>
      </c>
      <c r="AH25" s="3">
        <f>IFERROR(__xludf.DUMMYFUNCTION("""COMPUTED_VALUE"""),1.0)</f>
        <v>1</v>
      </c>
      <c r="AI25" s="3">
        <f>IFERROR(__xludf.DUMMYFUNCTION("""COMPUTED_VALUE"""),1.0)</f>
        <v>1</v>
      </c>
      <c r="AJ25" s="3">
        <f>IFERROR(__xludf.DUMMYFUNCTION("""COMPUTED_VALUE"""),1.0)</f>
        <v>1</v>
      </c>
      <c r="AK25" s="3">
        <f>IFERROR(__xludf.DUMMYFUNCTION("""COMPUTED_VALUE"""),1.0)</f>
        <v>1</v>
      </c>
      <c r="AL25" s="3">
        <f>IFERROR(__xludf.DUMMYFUNCTION("""COMPUTED_VALUE"""),1.0)</f>
        <v>1</v>
      </c>
      <c r="AM25" s="3">
        <f>IFERROR(__xludf.DUMMYFUNCTION("""COMPUTED_VALUE"""),1.0)</f>
        <v>1</v>
      </c>
      <c r="AN25" s="3">
        <f>IFERROR(__xludf.DUMMYFUNCTION("""COMPUTED_VALUE"""),1.0)</f>
        <v>1</v>
      </c>
      <c r="AO25" s="3">
        <f>IFERROR(__xludf.DUMMYFUNCTION("""COMPUTED_VALUE"""),1.0)</f>
        <v>1</v>
      </c>
      <c r="AP25" s="3">
        <f>IFERROR(__xludf.DUMMYFUNCTION("""COMPUTED_VALUE"""),1.0)</f>
        <v>1</v>
      </c>
      <c r="AQ25" s="3">
        <f>IFERROR(__xludf.DUMMYFUNCTION("""COMPUTED_VALUE"""),1.0)</f>
        <v>1</v>
      </c>
      <c r="AR25" s="3">
        <f>IFERROR(__xludf.DUMMYFUNCTION("""COMPUTED_VALUE"""),1.0)</f>
        <v>1</v>
      </c>
      <c r="AS25" s="3">
        <f>IFERROR(__xludf.DUMMYFUNCTION("""COMPUTED_VALUE"""),1.0)</f>
        <v>1</v>
      </c>
      <c r="AT25" s="3">
        <f>IFERROR(__xludf.DUMMYFUNCTION("""COMPUTED_VALUE"""),1.0)</f>
        <v>1</v>
      </c>
      <c r="AU25" s="3">
        <f>IFERROR(__xludf.DUMMYFUNCTION("""COMPUTED_VALUE"""),1.0)</f>
        <v>1</v>
      </c>
      <c r="AV25" s="3">
        <f>IFERROR(__xludf.DUMMYFUNCTION("""COMPUTED_VALUE"""),1.0)</f>
        <v>1</v>
      </c>
      <c r="AW25" s="3">
        <f>IFERROR(__xludf.DUMMYFUNCTION("""COMPUTED_VALUE"""),1.0)</f>
        <v>1</v>
      </c>
      <c r="AX25" s="3">
        <f>IFERROR(__xludf.DUMMYFUNCTION("""COMPUTED_VALUE"""),1.0)</f>
        <v>1</v>
      </c>
      <c r="AY25" s="3">
        <f>IFERROR(__xludf.DUMMYFUNCTION("""COMPUTED_VALUE"""),1.0)</f>
        <v>1</v>
      </c>
      <c r="AZ25" s="3">
        <f>IFERROR(__xludf.DUMMYFUNCTION("""COMPUTED_VALUE"""),1.0)</f>
        <v>1</v>
      </c>
      <c r="BA25" s="3">
        <f>IFERROR(__xludf.DUMMYFUNCTION("""COMPUTED_VALUE"""),1.0)</f>
        <v>1</v>
      </c>
      <c r="BB25" s="3">
        <f>IFERROR(__xludf.DUMMYFUNCTION("""COMPUTED_VALUE"""),1.0)</f>
        <v>1</v>
      </c>
      <c r="BC25" s="3">
        <f>IFERROR(__xludf.DUMMYFUNCTION("""COMPUTED_VALUE"""),1.0)</f>
        <v>1</v>
      </c>
      <c r="BD25" s="3">
        <f>IFERROR(__xludf.DUMMYFUNCTION("""COMPUTED_VALUE"""),1.0)</f>
        <v>1</v>
      </c>
      <c r="BE25" s="3">
        <f>IFERROR(__xludf.DUMMYFUNCTION("""COMPUTED_VALUE"""),1.0)</f>
        <v>1</v>
      </c>
      <c r="BF25" s="3">
        <f>IFERROR(__xludf.DUMMYFUNCTION("""COMPUTED_VALUE"""),1.0)</f>
        <v>1</v>
      </c>
      <c r="BG25" s="3">
        <f>IFERROR(__xludf.DUMMYFUNCTION("""COMPUTED_VALUE"""),1.0)</f>
        <v>1</v>
      </c>
      <c r="BH25" s="3">
        <f>IFERROR(__xludf.DUMMYFUNCTION("""COMPUTED_VALUE"""),1.0)</f>
        <v>1</v>
      </c>
      <c r="BI25" s="3">
        <f>IFERROR(__xludf.DUMMYFUNCTION("""COMPUTED_VALUE"""),31.0)</f>
        <v>31</v>
      </c>
      <c r="BJ25" s="3">
        <f>IFERROR(__xludf.DUMMYFUNCTION("""COMPUTED_VALUE"""),31.0)</f>
        <v>31</v>
      </c>
      <c r="BK25" s="3">
        <f>IFERROR(__xludf.DUMMYFUNCTION("""COMPUTED_VALUE"""),1.0)</f>
        <v>1</v>
      </c>
      <c r="BL25" s="3">
        <f>IFERROR(__xludf.DUMMYFUNCTION("""COMPUTED_VALUE"""),263.0)</f>
        <v>263</v>
      </c>
      <c r="BM25" s="3">
        <f>IFERROR(__xludf.DUMMYFUNCTION("""COMPUTED_VALUE"""),263.0)</f>
        <v>263</v>
      </c>
      <c r="BN25" s="3">
        <f>IFERROR(__xludf.DUMMYFUNCTION("""COMPUTED_VALUE"""),263.0)</f>
        <v>263</v>
      </c>
      <c r="BO25" s="3">
        <f>IFERROR(__xludf.DUMMYFUNCTION("""COMPUTED_VALUE"""),461.0)</f>
        <v>461</v>
      </c>
      <c r="BP25" s="3">
        <f>IFERROR(__xludf.DUMMYFUNCTION("""COMPUTED_VALUE"""),547.0)</f>
        <v>547</v>
      </c>
      <c r="BQ25" s="3">
        <f>IFERROR(__xludf.DUMMYFUNCTION("""COMPUTED_VALUE"""),675.0)</f>
        <v>675</v>
      </c>
      <c r="BR25" s="3">
        <f>IFERROR(__xludf.DUMMYFUNCTION("""COMPUTED_VALUE"""),858.0)</f>
        <v>858</v>
      </c>
      <c r="BS25" s="3">
        <f>IFERROR(__xludf.DUMMYFUNCTION("""COMPUTED_VALUE"""),1063.0)</f>
        <v>1063</v>
      </c>
      <c r="BT25" s="3">
        <f>IFERROR(__xludf.DUMMYFUNCTION("""COMPUTED_VALUE"""),1359.0)</f>
        <v>1359</v>
      </c>
      <c r="BU25" s="3">
        <f>IFERROR(__xludf.DUMMYFUNCTION("""COMPUTED_VALUE"""),1527.0)</f>
        <v>1527</v>
      </c>
      <c r="BV25" s="3">
        <f>IFERROR(__xludf.DUMMYFUNCTION("""COMPUTED_VALUE"""),1696.0)</f>
        <v>1696</v>
      </c>
      <c r="BW25" s="3">
        <f>IFERROR(__xludf.DUMMYFUNCTION("""COMPUTED_VALUE"""),2132.0)</f>
        <v>2132</v>
      </c>
      <c r="BX25" s="3">
        <f>IFERROR(__xludf.DUMMYFUNCTION("""COMPUTED_VALUE"""),2495.0)</f>
        <v>2495</v>
      </c>
      <c r="BY25" s="3">
        <f>IFERROR(__xludf.DUMMYFUNCTION("""COMPUTED_VALUE"""),2872.0)</f>
        <v>2872</v>
      </c>
      <c r="BZ25" s="3">
        <f>IFERROR(__xludf.DUMMYFUNCTION("""COMPUTED_VALUE"""),3247.0)</f>
        <v>3247</v>
      </c>
      <c r="CA25" s="3">
        <f>IFERROR(__xludf.DUMMYFUNCTION("""COMPUTED_VALUE"""),3751.0)</f>
        <v>3751</v>
      </c>
      <c r="CB25" s="3">
        <f>IFERROR(__xludf.DUMMYFUNCTION("""COMPUTED_VALUE"""),3986.0)</f>
        <v>3986</v>
      </c>
    </row>
    <row r="26">
      <c r="A26" s="3" t="str">
        <f>IFERROR(__xludf.DUMMYFUNCTION("""COMPUTED_VALUE"""),"")</f>
        <v/>
      </c>
      <c r="B26" s="3" t="str">
        <f>IFERROR(__xludf.DUMMYFUNCTION("""COMPUTED_VALUE"""),"Belize")</f>
        <v>Belize</v>
      </c>
      <c r="C26" s="3">
        <f>IFERROR(__xludf.DUMMYFUNCTION("""COMPUTED_VALUE"""),13.1939)</f>
        <v>13.1939</v>
      </c>
      <c r="D26" s="3">
        <f>IFERROR(__xludf.DUMMYFUNCTION("""COMPUTED_VALUE"""),-59.5432)</f>
        <v>-59.5432</v>
      </c>
      <c r="E26" s="3">
        <f>IFERROR(__xludf.DUMMYFUNCTION("""COMPUTED_VALUE"""),0.0)</f>
        <v>0</v>
      </c>
      <c r="F26" s="3">
        <f>IFERROR(__xludf.DUMMYFUNCTION("""COMPUTED_VALUE"""),0.0)</f>
        <v>0</v>
      </c>
      <c r="G26" s="3">
        <f>IFERROR(__xludf.DUMMYFUNCTION("""COMPUTED_VALUE"""),0.0)</f>
        <v>0</v>
      </c>
      <c r="H26" s="3">
        <f>IFERROR(__xludf.DUMMYFUNCTION("""COMPUTED_VALUE"""),0.0)</f>
        <v>0</v>
      </c>
      <c r="I26" s="3">
        <f>IFERROR(__xludf.DUMMYFUNCTION("""COMPUTED_VALUE"""),0.0)</f>
        <v>0</v>
      </c>
      <c r="J26" s="3">
        <f>IFERROR(__xludf.DUMMYFUNCTION("""COMPUTED_VALUE"""),0.0)</f>
        <v>0</v>
      </c>
      <c r="K26" s="3">
        <f>IFERROR(__xludf.DUMMYFUNCTION("""COMPUTED_VALUE"""),0.0)</f>
        <v>0</v>
      </c>
      <c r="L26" s="3">
        <f>IFERROR(__xludf.DUMMYFUNCTION("""COMPUTED_VALUE"""),0.0)</f>
        <v>0</v>
      </c>
      <c r="M26" s="3">
        <f>IFERROR(__xludf.DUMMYFUNCTION("""COMPUTED_VALUE"""),0.0)</f>
        <v>0</v>
      </c>
      <c r="N26" s="3">
        <f>IFERROR(__xludf.DUMMYFUNCTION("""COMPUTED_VALUE"""),0.0)</f>
        <v>0</v>
      </c>
      <c r="O26" s="3">
        <f>IFERROR(__xludf.DUMMYFUNCTION("""COMPUTED_VALUE"""),0.0)</f>
        <v>0</v>
      </c>
      <c r="P26" s="3">
        <f>IFERROR(__xludf.DUMMYFUNCTION("""COMPUTED_VALUE"""),0.0)</f>
        <v>0</v>
      </c>
      <c r="Q26" s="3">
        <f>IFERROR(__xludf.DUMMYFUNCTION("""COMPUTED_VALUE"""),0.0)</f>
        <v>0</v>
      </c>
      <c r="R26" s="3">
        <f>IFERROR(__xludf.DUMMYFUNCTION("""COMPUTED_VALUE"""),0.0)</f>
        <v>0</v>
      </c>
      <c r="S26" s="3">
        <f>IFERROR(__xludf.DUMMYFUNCTION("""COMPUTED_VALUE"""),0.0)</f>
        <v>0</v>
      </c>
      <c r="T26" s="3">
        <f>IFERROR(__xludf.DUMMYFUNCTION("""COMPUTED_VALUE"""),0.0)</f>
        <v>0</v>
      </c>
      <c r="U26" s="3">
        <f>IFERROR(__xludf.DUMMYFUNCTION("""COMPUTED_VALUE"""),0.0)</f>
        <v>0</v>
      </c>
      <c r="V26" s="3">
        <f>IFERROR(__xludf.DUMMYFUNCTION("""COMPUTED_VALUE"""),0.0)</f>
        <v>0</v>
      </c>
      <c r="W26" s="3">
        <f>IFERROR(__xludf.DUMMYFUNCTION("""COMPUTED_VALUE"""),0.0)</f>
        <v>0</v>
      </c>
      <c r="X26" s="3">
        <f>IFERROR(__xludf.DUMMYFUNCTION("""COMPUTED_VALUE"""),0.0)</f>
        <v>0</v>
      </c>
      <c r="Y26" s="3">
        <f>IFERROR(__xludf.DUMMYFUNCTION("""COMPUTED_VALUE"""),0.0)</f>
        <v>0</v>
      </c>
      <c r="Z26" s="3">
        <f>IFERROR(__xludf.DUMMYFUNCTION("""COMPUTED_VALUE"""),0.0)</f>
        <v>0</v>
      </c>
      <c r="AA26" s="3">
        <f>IFERROR(__xludf.DUMMYFUNCTION("""COMPUTED_VALUE"""),0.0)</f>
        <v>0</v>
      </c>
      <c r="AB26" s="3">
        <f>IFERROR(__xludf.DUMMYFUNCTION("""COMPUTED_VALUE"""),0.0)</f>
        <v>0</v>
      </c>
      <c r="AC26" s="3">
        <f>IFERROR(__xludf.DUMMYFUNCTION("""COMPUTED_VALUE"""),0.0)</f>
        <v>0</v>
      </c>
      <c r="AD26" s="3">
        <f>IFERROR(__xludf.DUMMYFUNCTION("""COMPUTED_VALUE"""),0.0)</f>
        <v>0</v>
      </c>
      <c r="AE26" s="3">
        <f>IFERROR(__xludf.DUMMYFUNCTION("""COMPUTED_VALUE"""),0.0)</f>
        <v>0</v>
      </c>
      <c r="AF26" s="3">
        <f>IFERROR(__xludf.DUMMYFUNCTION("""COMPUTED_VALUE"""),0.0)</f>
        <v>0</v>
      </c>
      <c r="AG26" s="3">
        <f>IFERROR(__xludf.DUMMYFUNCTION("""COMPUTED_VALUE"""),0.0)</f>
        <v>0</v>
      </c>
      <c r="AH26" s="3">
        <f>IFERROR(__xludf.DUMMYFUNCTION("""COMPUTED_VALUE"""),0.0)</f>
        <v>0</v>
      </c>
      <c r="AI26" s="3">
        <f>IFERROR(__xludf.DUMMYFUNCTION("""COMPUTED_VALUE"""),0.0)</f>
        <v>0</v>
      </c>
      <c r="AJ26" s="3">
        <f>IFERROR(__xludf.DUMMYFUNCTION("""COMPUTED_VALUE"""),0.0)</f>
        <v>0</v>
      </c>
      <c r="AK26" s="3">
        <f>IFERROR(__xludf.DUMMYFUNCTION("""COMPUTED_VALUE"""),0.0)</f>
        <v>0</v>
      </c>
      <c r="AL26" s="3">
        <f>IFERROR(__xludf.DUMMYFUNCTION("""COMPUTED_VALUE"""),0.0)</f>
        <v>0</v>
      </c>
      <c r="AM26" s="3">
        <f>IFERROR(__xludf.DUMMYFUNCTION("""COMPUTED_VALUE"""),0.0)</f>
        <v>0</v>
      </c>
      <c r="AN26" s="3">
        <f>IFERROR(__xludf.DUMMYFUNCTION("""COMPUTED_VALUE"""),0.0)</f>
        <v>0</v>
      </c>
      <c r="AO26" s="3">
        <f>IFERROR(__xludf.DUMMYFUNCTION("""COMPUTED_VALUE"""),0.0)</f>
        <v>0</v>
      </c>
      <c r="AP26" s="3">
        <f>IFERROR(__xludf.DUMMYFUNCTION("""COMPUTED_VALUE"""),0.0)</f>
        <v>0</v>
      </c>
      <c r="AQ26" s="3">
        <f>IFERROR(__xludf.DUMMYFUNCTION("""COMPUTED_VALUE"""),0.0)</f>
        <v>0</v>
      </c>
      <c r="AR26" s="3">
        <f>IFERROR(__xludf.DUMMYFUNCTION("""COMPUTED_VALUE"""),0.0)</f>
        <v>0</v>
      </c>
      <c r="AS26" s="3">
        <f>IFERROR(__xludf.DUMMYFUNCTION("""COMPUTED_VALUE"""),0.0)</f>
        <v>0</v>
      </c>
      <c r="AT26" s="3">
        <f>IFERROR(__xludf.DUMMYFUNCTION("""COMPUTED_VALUE"""),0.0)</f>
        <v>0</v>
      </c>
      <c r="AU26" s="3">
        <f>IFERROR(__xludf.DUMMYFUNCTION("""COMPUTED_VALUE"""),0.0)</f>
        <v>0</v>
      </c>
      <c r="AV26" s="3">
        <f>IFERROR(__xludf.DUMMYFUNCTION("""COMPUTED_VALUE"""),0.0)</f>
        <v>0</v>
      </c>
      <c r="AW26" s="3">
        <f>IFERROR(__xludf.DUMMYFUNCTION("""COMPUTED_VALUE"""),0.0)</f>
        <v>0</v>
      </c>
      <c r="AX26" s="3">
        <f>IFERROR(__xludf.DUMMYFUNCTION("""COMPUTED_VALUE"""),0.0)</f>
        <v>0</v>
      </c>
      <c r="AY26" s="3">
        <f>IFERROR(__xludf.DUMMYFUNCTION("""COMPUTED_VALUE"""),0.0)</f>
        <v>0</v>
      </c>
      <c r="AZ26" s="3">
        <f>IFERROR(__xludf.DUMMYFUNCTION("""COMPUTED_VALUE"""),0.0)</f>
        <v>0</v>
      </c>
      <c r="BA26" s="3">
        <f>IFERROR(__xludf.DUMMYFUNCTION("""COMPUTED_VALUE"""),0.0)</f>
        <v>0</v>
      </c>
      <c r="BB26" s="3">
        <f>IFERROR(__xludf.DUMMYFUNCTION("""COMPUTED_VALUE"""),0.0)</f>
        <v>0</v>
      </c>
      <c r="BC26" s="3">
        <f>IFERROR(__xludf.DUMMYFUNCTION("""COMPUTED_VALUE"""),0.0)</f>
        <v>0</v>
      </c>
      <c r="BD26" s="3">
        <f>IFERROR(__xludf.DUMMYFUNCTION("""COMPUTED_VALUE"""),0.0)</f>
        <v>0</v>
      </c>
      <c r="BE26" s="3">
        <f>IFERROR(__xludf.DUMMYFUNCTION("""COMPUTED_VALUE"""),0.0)</f>
        <v>0</v>
      </c>
      <c r="BF26" s="3">
        <f>IFERROR(__xludf.DUMMYFUNCTION("""COMPUTED_VALUE"""),0.0)</f>
        <v>0</v>
      </c>
      <c r="BG26" s="3">
        <f>IFERROR(__xludf.DUMMYFUNCTION("""COMPUTED_VALUE"""),0.0)</f>
        <v>0</v>
      </c>
      <c r="BH26" s="3">
        <f>IFERROR(__xludf.DUMMYFUNCTION("""COMPUTED_VALUE"""),0.0)</f>
        <v>0</v>
      </c>
      <c r="BI26" s="3">
        <f>IFERROR(__xludf.DUMMYFUNCTION("""COMPUTED_VALUE"""),0.0)</f>
        <v>0</v>
      </c>
      <c r="BJ26" s="3">
        <f>IFERROR(__xludf.DUMMYFUNCTION("""COMPUTED_VALUE"""),0.0)</f>
        <v>0</v>
      </c>
      <c r="BK26" s="3">
        <f>IFERROR(__xludf.DUMMYFUNCTION("""COMPUTED_VALUE"""),0.0)</f>
        <v>0</v>
      </c>
      <c r="BL26" s="3">
        <f>IFERROR(__xludf.DUMMYFUNCTION("""COMPUTED_VALUE"""),0.0)</f>
        <v>0</v>
      </c>
      <c r="BM26" s="3">
        <f>IFERROR(__xludf.DUMMYFUNCTION("""COMPUTED_VALUE"""),0.0)</f>
        <v>0</v>
      </c>
      <c r="BN26" s="3">
        <f>IFERROR(__xludf.DUMMYFUNCTION("""COMPUTED_VALUE"""),0.0)</f>
        <v>0</v>
      </c>
      <c r="BO26" s="3">
        <f>IFERROR(__xludf.DUMMYFUNCTION("""COMPUTED_VALUE"""),0.0)</f>
        <v>0</v>
      </c>
      <c r="BP26" s="3">
        <f>IFERROR(__xludf.DUMMYFUNCTION("""COMPUTED_VALUE"""),0.0)</f>
        <v>0</v>
      </c>
      <c r="BQ26" s="3">
        <f>IFERROR(__xludf.DUMMYFUNCTION("""COMPUTED_VALUE"""),0.0)</f>
        <v>0</v>
      </c>
      <c r="BR26" s="3">
        <f>IFERROR(__xludf.DUMMYFUNCTION("""COMPUTED_VALUE"""),0.0)</f>
        <v>0</v>
      </c>
      <c r="BS26" s="3">
        <f>IFERROR(__xludf.DUMMYFUNCTION("""COMPUTED_VALUE"""),0.0)</f>
        <v>0</v>
      </c>
      <c r="BT26" s="3">
        <f>IFERROR(__xludf.DUMMYFUNCTION("""COMPUTED_VALUE"""),0.0)</f>
        <v>0</v>
      </c>
      <c r="BU26" s="3">
        <f>IFERROR(__xludf.DUMMYFUNCTION("""COMPUTED_VALUE"""),0.0)</f>
        <v>0</v>
      </c>
      <c r="BV26" s="3">
        <f>IFERROR(__xludf.DUMMYFUNCTION("""COMPUTED_VALUE"""),0.0)</f>
        <v>0</v>
      </c>
      <c r="BW26" s="3">
        <f>IFERROR(__xludf.DUMMYFUNCTION("""COMPUTED_VALUE"""),0.0)</f>
        <v>0</v>
      </c>
      <c r="BX26" s="3">
        <f>IFERROR(__xludf.DUMMYFUNCTION("""COMPUTED_VALUE"""),0.0)</f>
        <v>0</v>
      </c>
      <c r="BY26" s="3">
        <f>IFERROR(__xludf.DUMMYFUNCTION("""COMPUTED_VALUE"""),0.0)</f>
        <v>0</v>
      </c>
      <c r="BZ26" s="3">
        <f>IFERROR(__xludf.DUMMYFUNCTION("""COMPUTED_VALUE"""),0.0)</f>
        <v>0</v>
      </c>
      <c r="CA26" s="3">
        <f>IFERROR(__xludf.DUMMYFUNCTION("""COMPUTED_VALUE"""),0.0)</f>
        <v>0</v>
      </c>
      <c r="CB26" s="3">
        <f>IFERROR(__xludf.DUMMYFUNCTION("""COMPUTED_VALUE"""),0.0)</f>
        <v>0</v>
      </c>
    </row>
    <row r="27">
      <c r="A27" s="3" t="str">
        <f>IFERROR(__xludf.DUMMYFUNCTION("""COMPUTED_VALUE"""),"")</f>
        <v/>
      </c>
      <c r="B27" s="3" t="str">
        <f>IFERROR(__xludf.DUMMYFUNCTION("""COMPUTED_VALUE"""),"Benin")</f>
        <v>Benin</v>
      </c>
      <c r="C27" s="3">
        <f>IFERROR(__xludf.DUMMYFUNCTION("""COMPUTED_VALUE"""),9.3077)</f>
        <v>9.3077</v>
      </c>
      <c r="D27" s="3">
        <f>IFERROR(__xludf.DUMMYFUNCTION("""COMPUTED_VALUE"""),2.3158)</f>
        <v>2.3158</v>
      </c>
      <c r="E27" s="3">
        <f>IFERROR(__xludf.DUMMYFUNCTION("""COMPUTED_VALUE"""),0.0)</f>
        <v>0</v>
      </c>
      <c r="F27" s="3">
        <f>IFERROR(__xludf.DUMMYFUNCTION("""COMPUTED_VALUE"""),0.0)</f>
        <v>0</v>
      </c>
      <c r="G27" s="3">
        <f>IFERROR(__xludf.DUMMYFUNCTION("""COMPUTED_VALUE"""),0.0)</f>
        <v>0</v>
      </c>
      <c r="H27" s="3">
        <f>IFERROR(__xludf.DUMMYFUNCTION("""COMPUTED_VALUE"""),0.0)</f>
        <v>0</v>
      </c>
      <c r="I27" s="3">
        <f>IFERROR(__xludf.DUMMYFUNCTION("""COMPUTED_VALUE"""),0.0)</f>
        <v>0</v>
      </c>
      <c r="J27" s="3">
        <f>IFERROR(__xludf.DUMMYFUNCTION("""COMPUTED_VALUE"""),0.0)</f>
        <v>0</v>
      </c>
      <c r="K27" s="3">
        <f>IFERROR(__xludf.DUMMYFUNCTION("""COMPUTED_VALUE"""),0.0)</f>
        <v>0</v>
      </c>
      <c r="L27" s="3">
        <f>IFERROR(__xludf.DUMMYFUNCTION("""COMPUTED_VALUE"""),0.0)</f>
        <v>0</v>
      </c>
      <c r="M27" s="3">
        <f>IFERROR(__xludf.DUMMYFUNCTION("""COMPUTED_VALUE"""),0.0)</f>
        <v>0</v>
      </c>
      <c r="N27" s="3">
        <f>IFERROR(__xludf.DUMMYFUNCTION("""COMPUTED_VALUE"""),0.0)</f>
        <v>0</v>
      </c>
      <c r="O27" s="3">
        <f>IFERROR(__xludf.DUMMYFUNCTION("""COMPUTED_VALUE"""),0.0)</f>
        <v>0</v>
      </c>
      <c r="P27" s="3">
        <f>IFERROR(__xludf.DUMMYFUNCTION("""COMPUTED_VALUE"""),0.0)</f>
        <v>0</v>
      </c>
      <c r="Q27" s="3">
        <f>IFERROR(__xludf.DUMMYFUNCTION("""COMPUTED_VALUE"""),0.0)</f>
        <v>0</v>
      </c>
      <c r="R27" s="3">
        <f>IFERROR(__xludf.DUMMYFUNCTION("""COMPUTED_VALUE"""),0.0)</f>
        <v>0</v>
      </c>
      <c r="S27" s="3">
        <f>IFERROR(__xludf.DUMMYFUNCTION("""COMPUTED_VALUE"""),0.0)</f>
        <v>0</v>
      </c>
      <c r="T27" s="3">
        <f>IFERROR(__xludf.DUMMYFUNCTION("""COMPUTED_VALUE"""),0.0)</f>
        <v>0</v>
      </c>
      <c r="U27" s="3">
        <f>IFERROR(__xludf.DUMMYFUNCTION("""COMPUTED_VALUE"""),0.0)</f>
        <v>0</v>
      </c>
      <c r="V27" s="3">
        <f>IFERROR(__xludf.DUMMYFUNCTION("""COMPUTED_VALUE"""),0.0)</f>
        <v>0</v>
      </c>
      <c r="W27" s="3">
        <f>IFERROR(__xludf.DUMMYFUNCTION("""COMPUTED_VALUE"""),0.0)</f>
        <v>0</v>
      </c>
      <c r="X27" s="3">
        <f>IFERROR(__xludf.DUMMYFUNCTION("""COMPUTED_VALUE"""),0.0)</f>
        <v>0</v>
      </c>
      <c r="Y27" s="3">
        <f>IFERROR(__xludf.DUMMYFUNCTION("""COMPUTED_VALUE"""),0.0)</f>
        <v>0</v>
      </c>
      <c r="Z27" s="3">
        <f>IFERROR(__xludf.DUMMYFUNCTION("""COMPUTED_VALUE"""),0.0)</f>
        <v>0</v>
      </c>
      <c r="AA27" s="3">
        <f>IFERROR(__xludf.DUMMYFUNCTION("""COMPUTED_VALUE"""),0.0)</f>
        <v>0</v>
      </c>
      <c r="AB27" s="3">
        <f>IFERROR(__xludf.DUMMYFUNCTION("""COMPUTED_VALUE"""),0.0)</f>
        <v>0</v>
      </c>
      <c r="AC27" s="3">
        <f>IFERROR(__xludf.DUMMYFUNCTION("""COMPUTED_VALUE"""),0.0)</f>
        <v>0</v>
      </c>
      <c r="AD27" s="3">
        <f>IFERROR(__xludf.DUMMYFUNCTION("""COMPUTED_VALUE"""),0.0)</f>
        <v>0</v>
      </c>
      <c r="AE27" s="3">
        <f>IFERROR(__xludf.DUMMYFUNCTION("""COMPUTED_VALUE"""),0.0)</f>
        <v>0</v>
      </c>
      <c r="AF27" s="3">
        <f>IFERROR(__xludf.DUMMYFUNCTION("""COMPUTED_VALUE"""),0.0)</f>
        <v>0</v>
      </c>
      <c r="AG27" s="3">
        <f>IFERROR(__xludf.DUMMYFUNCTION("""COMPUTED_VALUE"""),0.0)</f>
        <v>0</v>
      </c>
      <c r="AH27" s="3">
        <f>IFERROR(__xludf.DUMMYFUNCTION("""COMPUTED_VALUE"""),0.0)</f>
        <v>0</v>
      </c>
      <c r="AI27" s="3">
        <f>IFERROR(__xludf.DUMMYFUNCTION("""COMPUTED_VALUE"""),0.0)</f>
        <v>0</v>
      </c>
      <c r="AJ27" s="3">
        <f>IFERROR(__xludf.DUMMYFUNCTION("""COMPUTED_VALUE"""),0.0)</f>
        <v>0</v>
      </c>
      <c r="AK27" s="3">
        <f>IFERROR(__xludf.DUMMYFUNCTION("""COMPUTED_VALUE"""),0.0)</f>
        <v>0</v>
      </c>
      <c r="AL27" s="3">
        <f>IFERROR(__xludf.DUMMYFUNCTION("""COMPUTED_VALUE"""),0.0)</f>
        <v>0</v>
      </c>
      <c r="AM27" s="3">
        <f>IFERROR(__xludf.DUMMYFUNCTION("""COMPUTED_VALUE"""),0.0)</f>
        <v>0</v>
      </c>
      <c r="AN27" s="3">
        <f>IFERROR(__xludf.DUMMYFUNCTION("""COMPUTED_VALUE"""),0.0)</f>
        <v>0</v>
      </c>
      <c r="AO27" s="3">
        <f>IFERROR(__xludf.DUMMYFUNCTION("""COMPUTED_VALUE"""),0.0)</f>
        <v>0</v>
      </c>
      <c r="AP27" s="3">
        <f>IFERROR(__xludf.DUMMYFUNCTION("""COMPUTED_VALUE"""),0.0)</f>
        <v>0</v>
      </c>
      <c r="AQ27" s="3">
        <f>IFERROR(__xludf.DUMMYFUNCTION("""COMPUTED_VALUE"""),0.0)</f>
        <v>0</v>
      </c>
      <c r="AR27" s="3">
        <f>IFERROR(__xludf.DUMMYFUNCTION("""COMPUTED_VALUE"""),0.0)</f>
        <v>0</v>
      </c>
      <c r="AS27" s="3">
        <f>IFERROR(__xludf.DUMMYFUNCTION("""COMPUTED_VALUE"""),0.0)</f>
        <v>0</v>
      </c>
      <c r="AT27" s="3">
        <f>IFERROR(__xludf.DUMMYFUNCTION("""COMPUTED_VALUE"""),0.0)</f>
        <v>0</v>
      </c>
      <c r="AU27" s="3">
        <f>IFERROR(__xludf.DUMMYFUNCTION("""COMPUTED_VALUE"""),0.0)</f>
        <v>0</v>
      </c>
      <c r="AV27" s="3">
        <f>IFERROR(__xludf.DUMMYFUNCTION("""COMPUTED_VALUE"""),0.0)</f>
        <v>0</v>
      </c>
      <c r="AW27" s="3">
        <f>IFERROR(__xludf.DUMMYFUNCTION("""COMPUTED_VALUE"""),0.0)</f>
        <v>0</v>
      </c>
      <c r="AX27" s="3">
        <f>IFERROR(__xludf.DUMMYFUNCTION("""COMPUTED_VALUE"""),0.0)</f>
        <v>0</v>
      </c>
      <c r="AY27" s="3">
        <f>IFERROR(__xludf.DUMMYFUNCTION("""COMPUTED_VALUE"""),0.0)</f>
        <v>0</v>
      </c>
      <c r="AZ27" s="3">
        <f>IFERROR(__xludf.DUMMYFUNCTION("""COMPUTED_VALUE"""),0.0)</f>
        <v>0</v>
      </c>
      <c r="BA27" s="3">
        <f>IFERROR(__xludf.DUMMYFUNCTION("""COMPUTED_VALUE"""),0.0)</f>
        <v>0</v>
      </c>
      <c r="BB27" s="3">
        <f>IFERROR(__xludf.DUMMYFUNCTION("""COMPUTED_VALUE"""),0.0)</f>
        <v>0</v>
      </c>
      <c r="BC27" s="3">
        <f>IFERROR(__xludf.DUMMYFUNCTION("""COMPUTED_VALUE"""),0.0)</f>
        <v>0</v>
      </c>
      <c r="BD27" s="3">
        <f>IFERROR(__xludf.DUMMYFUNCTION("""COMPUTED_VALUE"""),0.0)</f>
        <v>0</v>
      </c>
      <c r="BE27" s="3">
        <f>IFERROR(__xludf.DUMMYFUNCTION("""COMPUTED_VALUE"""),0.0)</f>
        <v>0</v>
      </c>
      <c r="BF27" s="3">
        <f>IFERROR(__xludf.DUMMYFUNCTION("""COMPUTED_VALUE"""),0.0)</f>
        <v>0</v>
      </c>
      <c r="BG27" s="3">
        <f>IFERROR(__xludf.DUMMYFUNCTION("""COMPUTED_VALUE"""),0.0)</f>
        <v>0</v>
      </c>
      <c r="BH27" s="3">
        <f>IFERROR(__xludf.DUMMYFUNCTION("""COMPUTED_VALUE"""),0.0)</f>
        <v>0</v>
      </c>
      <c r="BI27" s="3">
        <f>IFERROR(__xludf.DUMMYFUNCTION("""COMPUTED_VALUE"""),0.0)</f>
        <v>0</v>
      </c>
      <c r="BJ27" s="3">
        <f>IFERROR(__xludf.DUMMYFUNCTION("""COMPUTED_VALUE"""),0.0)</f>
        <v>0</v>
      </c>
      <c r="BK27" s="3">
        <f>IFERROR(__xludf.DUMMYFUNCTION("""COMPUTED_VALUE"""),0.0)</f>
        <v>0</v>
      </c>
      <c r="BL27" s="3">
        <f>IFERROR(__xludf.DUMMYFUNCTION("""COMPUTED_VALUE"""),0.0)</f>
        <v>0</v>
      </c>
      <c r="BM27" s="3">
        <f>IFERROR(__xludf.DUMMYFUNCTION("""COMPUTED_VALUE"""),0.0)</f>
        <v>0</v>
      </c>
      <c r="BN27" s="3">
        <f>IFERROR(__xludf.DUMMYFUNCTION("""COMPUTED_VALUE"""),0.0)</f>
        <v>0</v>
      </c>
      <c r="BO27" s="3">
        <f>IFERROR(__xludf.DUMMYFUNCTION("""COMPUTED_VALUE"""),0.0)</f>
        <v>0</v>
      </c>
      <c r="BP27" s="3">
        <f>IFERROR(__xludf.DUMMYFUNCTION("""COMPUTED_VALUE"""),0.0)</f>
        <v>0</v>
      </c>
      <c r="BQ27" s="3">
        <f>IFERROR(__xludf.DUMMYFUNCTION("""COMPUTED_VALUE"""),0.0)</f>
        <v>0</v>
      </c>
      <c r="BR27" s="3">
        <f>IFERROR(__xludf.DUMMYFUNCTION("""COMPUTED_VALUE"""),0.0)</f>
        <v>0</v>
      </c>
      <c r="BS27" s="3">
        <f>IFERROR(__xludf.DUMMYFUNCTION("""COMPUTED_VALUE"""),0.0)</f>
        <v>0</v>
      </c>
      <c r="BT27" s="3">
        <f>IFERROR(__xludf.DUMMYFUNCTION("""COMPUTED_VALUE"""),0.0)</f>
        <v>0</v>
      </c>
      <c r="BU27" s="3">
        <f>IFERROR(__xludf.DUMMYFUNCTION("""COMPUTED_VALUE"""),0.0)</f>
        <v>0</v>
      </c>
      <c r="BV27" s="3">
        <f>IFERROR(__xludf.DUMMYFUNCTION("""COMPUTED_VALUE"""),1.0)</f>
        <v>1</v>
      </c>
      <c r="BW27" s="3">
        <f>IFERROR(__xludf.DUMMYFUNCTION("""COMPUTED_VALUE"""),1.0)</f>
        <v>1</v>
      </c>
      <c r="BX27" s="3">
        <f>IFERROR(__xludf.DUMMYFUNCTION("""COMPUTED_VALUE"""),1.0)</f>
        <v>1</v>
      </c>
      <c r="BY27" s="3">
        <f>IFERROR(__xludf.DUMMYFUNCTION("""COMPUTED_VALUE"""),2.0)</f>
        <v>2</v>
      </c>
      <c r="BZ27" s="3">
        <f>IFERROR(__xludf.DUMMYFUNCTION("""COMPUTED_VALUE"""),2.0)</f>
        <v>2</v>
      </c>
      <c r="CA27" s="3">
        <f>IFERROR(__xludf.DUMMYFUNCTION("""COMPUTED_VALUE"""),5.0)</f>
        <v>5</v>
      </c>
      <c r="CB27" s="3">
        <f>IFERROR(__xludf.DUMMYFUNCTION("""COMPUTED_VALUE"""),5.0)</f>
        <v>5</v>
      </c>
    </row>
    <row r="28">
      <c r="A28" s="3" t="str">
        <f>IFERROR(__xludf.DUMMYFUNCTION("""COMPUTED_VALUE"""),"")</f>
        <v/>
      </c>
      <c r="B28" s="3" t="str">
        <f>IFERROR(__xludf.DUMMYFUNCTION("""COMPUTED_VALUE"""),"Bhutan")</f>
        <v>Bhutan</v>
      </c>
      <c r="C28" s="3">
        <f>IFERROR(__xludf.DUMMYFUNCTION("""COMPUTED_VALUE"""),27.5142)</f>
        <v>27.5142</v>
      </c>
      <c r="D28" s="3">
        <f>IFERROR(__xludf.DUMMYFUNCTION("""COMPUTED_VALUE"""),90.4336)</f>
        <v>90.4336</v>
      </c>
      <c r="E28" s="3">
        <f>IFERROR(__xludf.DUMMYFUNCTION("""COMPUTED_VALUE"""),0.0)</f>
        <v>0</v>
      </c>
      <c r="F28" s="3">
        <f>IFERROR(__xludf.DUMMYFUNCTION("""COMPUTED_VALUE"""),0.0)</f>
        <v>0</v>
      </c>
      <c r="G28" s="3">
        <f>IFERROR(__xludf.DUMMYFUNCTION("""COMPUTED_VALUE"""),0.0)</f>
        <v>0</v>
      </c>
      <c r="H28" s="3">
        <f>IFERROR(__xludf.DUMMYFUNCTION("""COMPUTED_VALUE"""),0.0)</f>
        <v>0</v>
      </c>
      <c r="I28" s="3">
        <f>IFERROR(__xludf.DUMMYFUNCTION("""COMPUTED_VALUE"""),0.0)</f>
        <v>0</v>
      </c>
      <c r="J28" s="3">
        <f>IFERROR(__xludf.DUMMYFUNCTION("""COMPUTED_VALUE"""),0.0)</f>
        <v>0</v>
      </c>
      <c r="K28" s="3">
        <f>IFERROR(__xludf.DUMMYFUNCTION("""COMPUTED_VALUE"""),0.0)</f>
        <v>0</v>
      </c>
      <c r="L28" s="3">
        <f>IFERROR(__xludf.DUMMYFUNCTION("""COMPUTED_VALUE"""),0.0)</f>
        <v>0</v>
      </c>
      <c r="M28" s="3">
        <f>IFERROR(__xludf.DUMMYFUNCTION("""COMPUTED_VALUE"""),0.0)</f>
        <v>0</v>
      </c>
      <c r="N28" s="3">
        <f>IFERROR(__xludf.DUMMYFUNCTION("""COMPUTED_VALUE"""),0.0)</f>
        <v>0</v>
      </c>
      <c r="O28" s="3">
        <f>IFERROR(__xludf.DUMMYFUNCTION("""COMPUTED_VALUE"""),0.0)</f>
        <v>0</v>
      </c>
      <c r="P28" s="3">
        <f>IFERROR(__xludf.DUMMYFUNCTION("""COMPUTED_VALUE"""),0.0)</f>
        <v>0</v>
      </c>
      <c r="Q28" s="3">
        <f>IFERROR(__xludf.DUMMYFUNCTION("""COMPUTED_VALUE"""),0.0)</f>
        <v>0</v>
      </c>
      <c r="R28" s="3">
        <f>IFERROR(__xludf.DUMMYFUNCTION("""COMPUTED_VALUE"""),0.0)</f>
        <v>0</v>
      </c>
      <c r="S28" s="3">
        <f>IFERROR(__xludf.DUMMYFUNCTION("""COMPUTED_VALUE"""),0.0)</f>
        <v>0</v>
      </c>
      <c r="T28" s="3">
        <f>IFERROR(__xludf.DUMMYFUNCTION("""COMPUTED_VALUE"""),0.0)</f>
        <v>0</v>
      </c>
      <c r="U28" s="3">
        <f>IFERROR(__xludf.DUMMYFUNCTION("""COMPUTED_VALUE"""),0.0)</f>
        <v>0</v>
      </c>
      <c r="V28" s="3">
        <f>IFERROR(__xludf.DUMMYFUNCTION("""COMPUTED_VALUE"""),0.0)</f>
        <v>0</v>
      </c>
      <c r="W28" s="3">
        <f>IFERROR(__xludf.DUMMYFUNCTION("""COMPUTED_VALUE"""),0.0)</f>
        <v>0</v>
      </c>
      <c r="X28" s="3">
        <f>IFERROR(__xludf.DUMMYFUNCTION("""COMPUTED_VALUE"""),0.0)</f>
        <v>0</v>
      </c>
      <c r="Y28" s="3">
        <f>IFERROR(__xludf.DUMMYFUNCTION("""COMPUTED_VALUE"""),0.0)</f>
        <v>0</v>
      </c>
      <c r="Z28" s="3">
        <f>IFERROR(__xludf.DUMMYFUNCTION("""COMPUTED_VALUE"""),0.0)</f>
        <v>0</v>
      </c>
      <c r="AA28" s="3">
        <f>IFERROR(__xludf.DUMMYFUNCTION("""COMPUTED_VALUE"""),0.0)</f>
        <v>0</v>
      </c>
      <c r="AB28" s="3">
        <f>IFERROR(__xludf.DUMMYFUNCTION("""COMPUTED_VALUE"""),0.0)</f>
        <v>0</v>
      </c>
      <c r="AC28" s="3">
        <f>IFERROR(__xludf.DUMMYFUNCTION("""COMPUTED_VALUE"""),0.0)</f>
        <v>0</v>
      </c>
      <c r="AD28" s="3">
        <f>IFERROR(__xludf.DUMMYFUNCTION("""COMPUTED_VALUE"""),0.0)</f>
        <v>0</v>
      </c>
      <c r="AE28" s="3">
        <f>IFERROR(__xludf.DUMMYFUNCTION("""COMPUTED_VALUE"""),0.0)</f>
        <v>0</v>
      </c>
      <c r="AF28" s="3">
        <f>IFERROR(__xludf.DUMMYFUNCTION("""COMPUTED_VALUE"""),0.0)</f>
        <v>0</v>
      </c>
      <c r="AG28" s="3">
        <f>IFERROR(__xludf.DUMMYFUNCTION("""COMPUTED_VALUE"""),0.0)</f>
        <v>0</v>
      </c>
      <c r="AH28" s="3">
        <f>IFERROR(__xludf.DUMMYFUNCTION("""COMPUTED_VALUE"""),0.0)</f>
        <v>0</v>
      </c>
      <c r="AI28" s="3">
        <f>IFERROR(__xludf.DUMMYFUNCTION("""COMPUTED_VALUE"""),0.0)</f>
        <v>0</v>
      </c>
      <c r="AJ28" s="3">
        <f>IFERROR(__xludf.DUMMYFUNCTION("""COMPUTED_VALUE"""),0.0)</f>
        <v>0</v>
      </c>
      <c r="AK28" s="3">
        <f>IFERROR(__xludf.DUMMYFUNCTION("""COMPUTED_VALUE"""),0.0)</f>
        <v>0</v>
      </c>
      <c r="AL28" s="3">
        <f>IFERROR(__xludf.DUMMYFUNCTION("""COMPUTED_VALUE"""),0.0)</f>
        <v>0</v>
      </c>
      <c r="AM28" s="3">
        <f>IFERROR(__xludf.DUMMYFUNCTION("""COMPUTED_VALUE"""),0.0)</f>
        <v>0</v>
      </c>
      <c r="AN28" s="3">
        <f>IFERROR(__xludf.DUMMYFUNCTION("""COMPUTED_VALUE"""),0.0)</f>
        <v>0</v>
      </c>
      <c r="AO28" s="3">
        <f>IFERROR(__xludf.DUMMYFUNCTION("""COMPUTED_VALUE"""),0.0)</f>
        <v>0</v>
      </c>
      <c r="AP28" s="3">
        <f>IFERROR(__xludf.DUMMYFUNCTION("""COMPUTED_VALUE"""),0.0)</f>
        <v>0</v>
      </c>
      <c r="AQ28" s="3">
        <f>IFERROR(__xludf.DUMMYFUNCTION("""COMPUTED_VALUE"""),0.0)</f>
        <v>0</v>
      </c>
      <c r="AR28" s="3">
        <f>IFERROR(__xludf.DUMMYFUNCTION("""COMPUTED_VALUE"""),0.0)</f>
        <v>0</v>
      </c>
      <c r="AS28" s="3">
        <f>IFERROR(__xludf.DUMMYFUNCTION("""COMPUTED_VALUE"""),0.0)</f>
        <v>0</v>
      </c>
      <c r="AT28" s="3">
        <f>IFERROR(__xludf.DUMMYFUNCTION("""COMPUTED_VALUE"""),0.0)</f>
        <v>0</v>
      </c>
      <c r="AU28" s="3">
        <f>IFERROR(__xludf.DUMMYFUNCTION("""COMPUTED_VALUE"""),0.0)</f>
        <v>0</v>
      </c>
      <c r="AV28" s="3">
        <f>IFERROR(__xludf.DUMMYFUNCTION("""COMPUTED_VALUE"""),0.0)</f>
        <v>0</v>
      </c>
      <c r="AW28" s="3">
        <f>IFERROR(__xludf.DUMMYFUNCTION("""COMPUTED_VALUE"""),0.0)</f>
        <v>0</v>
      </c>
      <c r="AX28" s="3">
        <f>IFERROR(__xludf.DUMMYFUNCTION("""COMPUTED_VALUE"""),0.0)</f>
        <v>0</v>
      </c>
      <c r="AY28" s="3">
        <f>IFERROR(__xludf.DUMMYFUNCTION("""COMPUTED_VALUE"""),0.0)</f>
        <v>0</v>
      </c>
      <c r="AZ28" s="3">
        <f>IFERROR(__xludf.DUMMYFUNCTION("""COMPUTED_VALUE"""),0.0)</f>
        <v>0</v>
      </c>
      <c r="BA28" s="3">
        <f>IFERROR(__xludf.DUMMYFUNCTION("""COMPUTED_VALUE"""),0.0)</f>
        <v>0</v>
      </c>
      <c r="BB28" s="3">
        <f>IFERROR(__xludf.DUMMYFUNCTION("""COMPUTED_VALUE"""),0.0)</f>
        <v>0</v>
      </c>
      <c r="BC28" s="3">
        <f>IFERROR(__xludf.DUMMYFUNCTION("""COMPUTED_VALUE"""),0.0)</f>
        <v>0</v>
      </c>
      <c r="BD28" s="3">
        <f>IFERROR(__xludf.DUMMYFUNCTION("""COMPUTED_VALUE"""),0.0)</f>
        <v>0</v>
      </c>
      <c r="BE28" s="3">
        <f>IFERROR(__xludf.DUMMYFUNCTION("""COMPUTED_VALUE"""),0.0)</f>
        <v>0</v>
      </c>
      <c r="BF28" s="3">
        <f>IFERROR(__xludf.DUMMYFUNCTION("""COMPUTED_VALUE"""),0.0)</f>
        <v>0</v>
      </c>
      <c r="BG28" s="3">
        <f>IFERROR(__xludf.DUMMYFUNCTION("""COMPUTED_VALUE"""),0.0)</f>
        <v>0</v>
      </c>
      <c r="BH28" s="3">
        <f>IFERROR(__xludf.DUMMYFUNCTION("""COMPUTED_VALUE"""),0.0)</f>
        <v>0</v>
      </c>
      <c r="BI28" s="3">
        <f>IFERROR(__xludf.DUMMYFUNCTION("""COMPUTED_VALUE"""),0.0)</f>
        <v>0</v>
      </c>
      <c r="BJ28" s="3">
        <f>IFERROR(__xludf.DUMMYFUNCTION("""COMPUTED_VALUE"""),0.0)</f>
        <v>0</v>
      </c>
      <c r="BK28" s="3">
        <f>IFERROR(__xludf.DUMMYFUNCTION("""COMPUTED_VALUE"""),0.0)</f>
        <v>0</v>
      </c>
      <c r="BL28" s="3">
        <f>IFERROR(__xludf.DUMMYFUNCTION("""COMPUTED_VALUE"""),0.0)</f>
        <v>0</v>
      </c>
      <c r="BM28" s="3">
        <f>IFERROR(__xludf.DUMMYFUNCTION("""COMPUTED_VALUE"""),0.0)</f>
        <v>0</v>
      </c>
      <c r="BN28" s="3">
        <f>IFERROR(__xludf.DUMMYFUNCTION("""COMPUTED_VALUE"""),0.0)</f>
        <v>0</v>
      </c>
      <c r="BO28" s="3">
        <f>IFERROR(__xludf.DUMMYFUNCTION("""COMPUTED_VALUE"""),0.0)</f>
        <v>0</v>
      </c>
      <c r="BP28" s="3">
        <f>IFERROR(__xludf.DUMMYFUNCTION("""COMPUTED_VALUE"""),0.0)</f>
        <v>0</v>
      </c>
      <c r="BQ28" s="3">
        <f>IFERROR(__xludf.DUMMYFUNCTION("""COMPUTED_VALUE"""),0.0)</f>
        <v>0</v>
      </c>
      <c r="BR28" s="3">
        <f>IFERROR(__xludf.DUMMYFUNCTION("""COMPUTED_VALUE"""),0.0)</f>
        <v>0</v>
      </c>
      <c r="BS28" s="3">
        <f>IFERROR(__xludf.DUMMYFUNCTION("""COMPUTED_VALUE"""),0.0)</f>
        <v>0</v>
      </c>
      <c r="BT28" s="3">
        <f>IFERROR(__xludf.DUMMYFUNCTION("""COMPUTED_VALUE"""),0.0)</f>
        <v>0</v>
      </c>
      <c r="BU28" s="3">
        <f>IFERROR(__xludf.DUMMYFUNCTION("""COMPUTED_VALUE"""),0.0)</f>
        <v>0</v>
      </c>
      <c r="BV28" s="3">
        <f>IFERROR(__xludf.DUMMYFUNCTION("""COMPUTED_VALUE"""),0.0)</f>
        <v>0</v>
      </c>
      <c r="BW28" s="3">
        <f>IFERROR(__xludf.DUMMYFUNCTION("""COMPUTED_VALUE"""),0.0)</f>
        <v>0</v>
      </c>
      <c r="BX28" s="3">
        <f>IFERROR(__xludf.DUMMYFUNCTION("""COMPUTED_VALUE"""),1.0)</f>
        <v>1</v>
      </c>
      <c r="BY28" s="3">
        <f>IFERROR(__xludf.DUMMYFUNCTION("""COMPUTED_VALUE"""),2.0)</f>
        <v>2</v>
      </c>
      <c r="BZ28" s="3">
        <f>IFERROR(__xludf.DUMMYFUNCTION("""COMPUTED_VALUE"""),2.0)</f>
        <v>2</v>
      </c>
      <c r="CA28" s="3">
        <f>IFERROR(__xludf.DUMMYFUNCTION("""COMPUTED_VALUE"""),2.0)</f>
        <v>2</v>
      </c>
      <c r="CB28" s="3">
        <f>IFERROR(__xludf.DUMMYFUNCTION("""COMPUTED_VALUE"""),2.0)</f>
        <v>2</v>
      </c>
    </row>
    <row r="29">
      <c r="A29" s="3" t="str">
        <f>IFERROR(__xludf.DUMMYFUNCTION("""COMPUTED_VALUE"""),"")</f>
        <v/>
      </c>
      <c r="B29" s="3" t="str">
        <f>IFERROR(__xludf.DUMMYFUNCTION("""COMPUTED_VALUE"""),"Bolivia")</f>
        <v>Bolivia</v>
      </c>
      <c r="C29" s="3">
        <f>IFERROR(__xludf.DUMMYFUNCTION("""COMPUTED_VALUE"""),-16.2902)</f>
        <v>-16.2902</v>
      </c>
      <c r="D29" s="3">
        <f>IFERROR(__xludf.DUMMYFUNCTION("""COMPUTED_VALUE"""),-63.5887)</f>
        <v>-63.5887</v>
      </c>
      <c r="E29" s="3">
        <f>IFERROR(__xludf.DUMMYFUNCTION("""COMPUTED_VALUE"""),0.0)</f>
        <v>0</v>
      </c>
      <c r="F29" s="3">
        <f>IFERROR(__xludf.DUMMYFUNCTION("""COMPUTED_VALUE"""),0.0)</f>
        <v>0</v>
      </c>
      <c r="G29" s="3">
        <f>IFERROR(__xludf.DUMMYFUNCTION("""COMPUTED_VALUE"""),0.0)</f>
        <v>0</v>
      </c>
      <c r="H29" s="3">
        <f>IFERROR(__xludf.DUMMYFUNCTION("""COMPUTED_VALUE"""),0.0)</f>
        <v>0</v>
      </c>
      <c r="I29" s="3">
        <f>IFERROR(__xludf.DUMMYFUNCTION("""COMPUTED_VALUE"""),0.0)</f>
        <v>0</v>
      </c>
      <c r="J29" s="3">
        <f>IFERROR(__xludf.DUMMYFUNCTION("""COMPUTED_VALUE"""),0.0)</f>
        <v>0</v>
      </c>
      <c r="K29" s="3">
        <f>IFERROR(__xludf.DUMMYFUNCTION("""COMPUTED_VALUE"""),0.0)</f>
        <v>0</v>
      </c>
      <c r="L29" s="3">
        <f>IFERROR(__xludf.DUMMYFUNCTION("""COMPUTED_VALUE"""),0.0)</f>
        <v>0</v>
      </c>
      <c r="M29" s="3">
        <f>IFERROR(__xludf.DUMMYFUNCTION("""COMPUTED_VALUE"""),0.0)</f>
        <v>0</v>
      </c>
      <c r="N29" s="3">
        <f>IFERROR(__xludf.DUMMYFUNCTION("""COMPUTED_VALUE"""),0.0)</f>
        <v>0</v>
      </c>
      <c r="O29" s="3">
        <f>IFERROR(__xludf.DUMMYFUNCTION("""COMPUTED_VALUE"""),0.0)</f>
        <v>0</v>
      </c>
      <c r="P29" s="3">
        <f>IFERROR(__xludf.DUMMYFUNCTION("""COMPUTED_VALUE"""),0.0)</f>
        <v>0</v>
      </c>
      <c r="Q29" s="3">
        <f>IFERROR(__xludf.DUMMYFUNCTION("""COMPUTED_VALUE"""),0.0)</f>
        <v>0</v>
      </c>
      <c r="R29" s="3">
        <f>IFERROR(__xludf.DUMMYFUNCTION("""COMPUTED_VALUE"""),0.0)</f>
        <v>0</v>
      </c>
      <c r="S29" s="3">
        <f>IFERROR(__xludf.DUMMYFUNCTION("""COMPUTED_VALUE"""),0.0)</f>
        <v>0</v>
      </c>
      <c r="T29" s="3">
        <f>IFERROR(__xludf.DUMMYFUNCTION("""COMPUTED_VALUE"""),0.0)</f>
        <v>0</v>
      </c>
      <c r="U29" s="3">
        <f>IFERROR(__xludf.DUMMYFUNCTION("""COMPUTED_VALUE"""),0.0)</f>
        <v>0</v>
      </c>
      <c r="V29" s="3">
        <f>IFERROR(__xludf.DUMMYFUNCTION("""COMPUTED_VALUE"""),0.0)</f>
        <v>0</v>
      </c>
      <c r="W29" s="3">
        <f>IFERROR(__xludf.DUMMYFUNCTION("""COMPUTED_VALUE"""),0.0)</f>
        <v>0</v>
      </c>
      <c r="X29" s="3">
        <f>IFERROR(__xludf.DUMMYFUNCTION("""COMPUTED_VALUE"""),0.0)</f>
        <v>0</v>
      </c>
      <c r="Y29" s="3">
        <f>IFERROR(__xludf.DUMMYFUNCTION("""COMPUTED_VALUE"""),0.0)</f>
        <v>0</v>
      </c>
      <c r="Z29" s="3">
        <f>IFERROR(__xludf.DUMMYFUNCTION("""COMPUTED_VALUE"""),0.0)</f>
        <v>0</v>
      </c>
      <c r="AA29" s="3">
        <f>IFERROR(__xludf.DUMMYFUNCTION("""COMPUTED_VALUE"""),0.0)</f>
        <v>0</v>
      </c>
      <c r="AB29" s="3">
        <f>IFERROR(__xludf.DUMMYFUNCTION("""COMPUTED_VALUE"""),0.0)</f>
        <v>0</v>
      </c>
      <c r="AC29" s="3">
        <f>IFERROR(__xludf.DUMMYFUNCTION("""COMPUTED_VALUE"""),0.0)</f>
        <v>0</v>
      </c>
      <c r="AD29" s="3">
        <f>IFERROR(__xludf.DUMMYFUNCTION("""COMPUTED_VALUE"""),0.0)</f>
        <v>0</v>
      </c>
      <c r="AE29" s="3">
        <f>IFERROR(__xludf.DUMMYFUNCTION("""COMPUTED_VALUE"""),0.0)</f>
        <v>0</v>
      </c>
      <c r="AF29" s="3">
        <f>IFERROR(__xludf.DUMMYFUNCTION("""COMPUTED_VALUE"""),0.0)</f>
        <v>0</v>
      </c>
      <c r="AG29" s="3">
        <f>IFERROR(__xludf.DUMMYFUNCTION("""COMPUTED_VALUE"""),0.0)</f>
        <v>0</v>
      </c>
      <c r="AH29" s="3">
        <f>IFERROR(__xludf.DUMMYFUNCTION("""COMPUTED_VALUE"""),0.0)</f>
        <v>0</v>
      </c>
      <c r="AI29" s="3">
        <f>IFERROR(__xludf.DUMMYFUNCTION("""COMPUTED_VALUE"""),0.0)</f>
        <v>0</v>
      </c>
      <c r="AJ29" s="3">
        <f>IFERROR(__xludf.DUMMYFUNCTION("""COMPUTED_VALUE"""),0.0)</f>
        <v>0</v>
      </c>
      <c r="AK29" s="3">
        <f>IFERROR(__xludf.DUMMYFUNCTION("""COMPUTED_VALUE"""),0.0)</f>
        <v>0</v>
      </c>
      <c r="AL29" s="3">
        <f>IFERROR(__xludf.DUMMYFUNCTION("""COMPUTED_VALUE"""),0.0)</f>
        <v>0</v>
      </c>
      <c r="AM29" s="3">
        <f>IFERROR(__xludf.DUMMYFUNCTION("""COMPUTED_VALUE"""),0.0)</f>
        <v>0</v>
      </c>
      <c r="AN29" s="3">
        <f>IFERROR(__xludf.DUMMYFUNCTION("""COMPUTED_VALUE"""),0.0)</f>
        <v>0</v>
      </c>
      <c r="AO29" s="3">
        <f>IFERROR(__xludf.DUMMYFUNCTION("""COMPUTED_VALUE"""),0.0)</f>
        <v>0</v>
      </c>
      <c r="AP29" s="3">
        <f>IFERROR(__xludf.DUMMYFUNCTION("""COMPUTED_VALUE"""),0.0)</f>
        <v>0</v>
      </c>
      <c r="AQ29" s="3">
        <f>IFERROR(__xludf.DUMMYFUNCTION("""COMPUTED_VALUE"""),0.0)</f>
        <v>0</v>
      </c>
      <c r="AR29" s="3">
        <f>IFERROR(__xludf.DUMMYFUNCTION("""COMPUTED_VALUE"""),0.0)</f>
        <v>0</v>
      </c>
      <c r="AS29" s="3">
        <f>IFERROR(__xludf.DUMMYFUNCTION("""COMPUTED_VALUE"""),0.0)</f>
        <v>0</v>
      </c>
      <c r="AT29" s="3">
        <f>IFERROR(__xludf.DUMMYFUNCTION("""COMPUTED_VALUE"""),0.0)</f>
        <v>0</v>
      </c>
      <c r="AU29" s="3">
        <f>IFERROR(__xludf.DUMMYFUNCTION("""COMPUTED_VALUE"""),0.0)</f>
        <v>0</v>
      </c>
      <c r="AV29" s="3">
        <f>IFERROR(__xludf.DUMMYFUNCTION("""COMPUTED_VALUE"""),0.0)</f>
        <v>0</v>
      </c>
      <c r="AW29" s="3">
        <f>IFERROR(__xludf.DUMMYFUNCTION("""COMPUTED_VALUE"""),0.0)</f>
        <v>0</v>
      </c>
      <c r="AX29" s="3">
        <f>IFERROR(__xludf.DUMMYFUNCTION("""COMPUTED_VALUE"""),0.0)</f>
        <v>0</v>
      </c>
      <c r="AY29" s="3">
        <f>IFERROR(__xludf.DUMMYFUNCTION("""COMPUTED_VALUE"""),0.0)</f>
        <v>0</v>
      </c>
      <c r="AZ29" s="3">
        <f>IFERROR(__xludf.DUMMYFUNCTION("""COMPUTED_VALUE"""),0.0)</f>
        <v>0</v>
      </c>
      <c r="BA29" s="3">
        <f>IFERROR(__xludf.DUMMYFUNCTION("""COMPUTED_VALUE"""),0.0)</f>
        <v>0</v>
      </c>
      <c r="BB29" s="3">
        <f>IFERROR(__xludf.DUMMYFUNCTION("""COMPUTED_VALUE"""),0.0)</f>
        <v>0</v>
      </c>
      <c r="BC29" s="3">
        <f>IFERROR(__xludf.DUMMYFUNCTION("""COMPUTED_VALUE"""),0.0)</f>
        <v>0</v>
      </c>
      <c r="BD29" s="3">
        <f>IFERROR(__xludf.DUMMYFUNCTION("""COMPUTED_VALUE"""),0.0)</f>
        <v>0</v>
      </c>
      <c r="BE29" s="3">
        <f>IFERROR(__xludf.DUMMYFUNCTION("""COMPUTED_VALUE"""),0.0)</f>
        <v>0</v>
      </c>
      <c r="BF29" s="3">
        <f>IFERROR(__xludf.DUMMYFUNCTION("""COMPUTED_VALUE"""),0.0)</f>
        <v>0</v>
      </c>
      <c r="BG29" s="3">
        <f>IFERROR(__xludf.DUMMYFUNCTION("""COMPUTED_VALUE"""),0.0)</f>
        <v>0</v>
      </c>
      <c r="BH29" s="3">
        <f>IFERROR(__xludf.DUMMYFUNCTION("""COMPUTED_VALUE"""),0.0)</f>
        <v>0</v>
      </c>
      <c r="BI29" s="3">
        <f>IFERROR(__xludf.DUMMYFUNCTION("""COMPUTED_VALUE"""),0.0)</f>
        <v>0</v>
      </c>
      <c r="BJ29" s="3">
        <f>IFERROR(__xludf.DUMMYFUNCTION("""COMPUTED_VALUE"""),0.0)</f>
        <v>0</v>
      </c>
      <c r="BK29" s="3">
        <f>IFERROR(__xludf.DUMMYFUNCTION("""COMPUTED_VALUE"""),0.0)</f>
        <v>0</v>
      </c>
      <c r="BL29" s="3">
        <f>IFERROR(__xludf.DUMMYFUNCTION("""COMPUTED_VALUE"""),0.0)</f>
        <v>0</v>
      </c>
      <c r="BM29" s="3">
        <f>IFERROR(__xludf.DUMMYFUNCTION("""COMPUTED_VALUE"""),0.0)</f>
        <v>0</v>
      </c>
      <c r="BN29" s="3">
        <f>IFERROR(__xludf.DUMMYFUNCTION("""COMPUTED_VALUE"""),0.0)</f>
        <v>0</v>
      </c>
      <c r="BO29" s="3">
        <f>IFERROR(__xludf.DUMMYFUNCTION("""COMPUTED_VALUE"""),0.0)</f>
        <v>0</v>
      </c>
      <c r="BP29" s="3">
        <f>IFERROR(__xludf.DUMMYFUNCTION("""COMPUTED_VALUE"""),0.0)</f>
        <v>0</v>
      </c>
      <c r="BQ29" s="3">
        <f>IFERROR(__xludf.DUMMYFUNCTION("""COMPUTED_VALUE"""),0.0)</f>
        <v>0</v>
      </c>
      <c r="BR29" s="3">
        <f>IFERROR(__xludf.DUMMYFUNCTION("""COMPUTED_VALUE"""),0.0)</f>
        <v>0</v>
      </c>
      <c r="BS29" s="3">
        <f>IFERROR(__xludf.DUMMYFUNCTION("""COMPUTED_VALUE"""),0.0)</f>
        <v>0</v>
      </c>
      <c r="BT29" s="3">
        <f>IFERROR(__xludf.DUMMYFUNCTION("""COMPUTED_VALUE"""),0.0)</f>
        <v>0</v>
      </c>
      <c r="BU29" s="3">
        <f>IFERROR(__xludf.DUMMYFUNCTION("""COMPUTED_VALUE"""),0.0)</f>
        <v>0</v>
      </c>
      <c r="BV29" s="3">
        <f>IFERROR(__xludf.DUMMYFUNCTION("""COMPUTED_VALUE"""),0.0)</f>
        <v>0</v>
      </c>
      <c r="BW29" s="3">
        <f>IFERROR(__xludf.DUMMYFUNCTION("""COMPUTED_VALUE"""),1.0)</f>
        <v>1</v>
      </c>
      <c r="BX29" s="3">
        <f>IFERROR(__xludf.DUMMYFUNCTION("""COMPUTED_VALUE"""),1.0)</f>
        <v>1</v>
      </c>
      <c r="BY29" s="3">
        <f>IFERROR(__xludf.DUMMYFUNCTION("""COMPUTED_VALUE"""),1.0)</f>
        <v>1</v>
      </c>
      <c r="BZ29" s="3">
        <f>IFERROR(__xludf.DUMMYFUNCTION("""COMPUTED_VALUE"""),1.0)</f>
        <v>1</v>
      </c>
      <c r="CA29" s="3">
        <f>IFERROR(__xludf.DUMMYFUNCTION("""COMPUTED_VALUE"""),2.0)</f>
        <v>2</v>
      </c>
      <c r="CB29" s="3">
        <f>IFERROR(__xludf.DUMMYFUNCTION("""COMPUTED_VALUE"""),2.0)</f>
        <v>2</v>
      </c>
    </row>
    <row r="30">
      <c r="A30" s="3" t="str">
        <f>IFERROR(__xludf.DUMMYFUNCTION("""COMPUTED_VALUE"""),"")</f>
        <v/>
      </c>
      <c r="B30" s="3" t="str">
        <f>IFERROR(__xludf.DUMMYFUNCTION("""COMPUTED_VALUE"""),"Bosnia and Herzegovina")</f>
        <v>Bosnia and Herzegovina</v>
      </c>
      <c r="C30" s="3">
        <f>IFERROR(__xludf.DUMMYFUNCTION("""COMPUTED_VALUE"""),43.9159)</f>
        <v>43.9159</v>
      </c>
      <c r="D30" s="3">
        <f>IFERROR(__xludf.DUMMYFUNCTION("""COMPUTED_VALUE"""),17.6791)</f>
        <v>17.6791</v>
      </c>
      <c r="E30" s="3">
        <f>IFERROR(__xludf.DUMMYFUNCTION("""COMPUTED_VALUE"""),0.0)</f>
        <v>0</v>
      </c>
      <c r="F30" s="3">
        <f>IFERROR(__xludf.DUMMYFUNCTION("""COMPUTED_VALUE"""),0.0)</f>
        <v>0</v>
      </c>
      <c r="G30" s="3">
        <f>IFERROR(__xludf.DUMMYFUNCTION("""COMPUTED_VALUE"""),0.0)</f>
        <v>0</v>
      </c>
      <c r="H30" s="3">
        <f>IFERROR(__xludf.DUMMYFUNCTION("""COMPUTED_VALUE"""),0.0)</f>
        <v>0</v>
      </c>
      <c r="I30" s="3">
        <f>IFERROR(__xludf.DUMMYFUNCTION("""COMPUTED_VALUE"""),0.0)</f>
        <v>0</v>
      </c>
      <c r="J30" s="3">
        <f>IFERROR(__xludf.DUMMYFUNCTION("""COMPUTED_VALUE"""),0.0)</f>
        <v>0</v>
      </c>
      <c r="K30" s="3">
        <f>IFERROR(__xludf.DUMMYFUNCTION("""COMPUTED_VALUE"""),0.0)</f>
        <v>0</v>
      </c>
      <c r="L30" s="3">
        <f>IFERROR(__xludf.DUMMYFUNCTION("""COMPUTED_VALUE"""),0.0)</f>
        <v>0</v>
      </c>
      <c r="M30" s="3">
        <f>IFERROR(__xludf.DUMMYFUNCTION("""COMPUTED_VALUE"""),0.0)</f>
        <v>0</v>
      </c>
      <c r="N30" s="3">
        <f>IFERROR(__xludf.DUMMYFUNCTION("""COMPUTED_VALUE"""),0.0)</f>
        <v>0</v>
      </c>
      <c r="O30" s="3">
        <f>IFERROR(__xludf.DUMMYFUNCTION("""COMPUTED_VALUE"""),0.0)</f>
        <v>0</v>
      </c>
      <c r="P30" s="3">
        <f>IFERROR(__xludf.DUMMYFUNCTION("""COMPUTED_VALUE"""),0.0)</f>
        <v>0</v>
      </c>
      <c r="Q30" s="3">
        <f>IFERROR(__xludf.DUMMYFUNCTION("""COMPUTED_VALUE"""),0.0)</f>
        <v>0</v>
      </c>
      <c r="R30" s="3">
        <f>IFERROR(__xludf.DUMMYFUNCTION("""COMPUTED_VALUE"""),0.0)</f>
        <v>0</v>
      </c>
      <c r="S30" s="3">
        <f>IFERROR(__xludf.DUMMYFUNCTION("""COMPUTED_VALUE"""),0.0)</f>
        <v>0</v>
      </c>
      <c r="T30" s="3">
        <f>IFERROR(__xludf.DUMMYFUNCTION("""COMPUTED_VALUE"""),0.0)</f>
        <v>0</v>
      </c>
      <c r="U30" s="3">
        <f>IFERROR(__xludf.DUMMYFUNCTION("""COMPUTED_VALUE"""),0.0)</f>
        <v>0</v>
      </c>
      <c r="V30" s="3">
        <f>IFERROR(__xludf.DUMMYFUNCTION("""COMPUTED_VALUE"""),0.0)</f>
        <v>0</v>
      </c>
      <c r="W30" s="3">
        <f>IFERROR(__xludf.DUMMYFUNCTION("""COMPUTED_VALUE"""),0.0)</f>
        <v>0</v>
      </c>
      <c r="X30" s="3">
        <f>IFERROR(__xludf.DUMMYFUNCTION("""COMPUTED_VALUE"""),0.0)</f>
        <v>0</v>
      </c>
      <c r="Y30" s="3">
        <f>IFERROR(__xludf.DUMMYFUNCTION("""COMPUTED_VALUE"""),0.0)</f>
        <v>0</v>
      </c>
      <c r="Z30" s="3">
        <f>IFERROR(__xludf.DUMMYFUNCTION("""COMPUTED_VALUE"""),0.0)</f>
        <v>0</v>
      </c>
      <c r="AA30" s="3">
        <f>IFERROR(__xludf.DUMMYFUNCTION("""COMPUTED_VALUE"""),0.0)</f>
        <v>0</v>
      </c>
      <c r="AB30" s="3">
        <f>IFERROR(__xludf.DUMMYFUNCTION("""COMPUTED_VALUE"""),0.0)</f>
        <v>0</v>
      </c>
      <c r="AC30" s="3">
        <f>IFERROR(__xludf.DUMMYFUNCTION("""COMPUTED_VALUE"""),0.0)</f>
        <v>0</v>
      </c>
      <c r="AD30" s="3">
        <f>IFERROR(__xludf.DUMMYFUNCTION("""COMPUTED_VALUE"""),0.0)</f>
        <v>0</v>
      </c>
      <c r="AE30" s="3">
        <f>IFERROR(__xludf.DUMMYFUNCTION("""COMPUTED_VALUE"""),0.0)</f>
        <v>0</v>
      </c>
      <c r="AF30" s="3">
        <f>IFERROR(__xludf.DUMMYFUNCTION("""COMPUTED_VALUE"""),0.0)</f>
        <v>0</v>
      </c>
      <c r="AG30" s="3">
        <f>IFERROR(__xludf.DUMMYFUNCTION("""COMPUTED_VALUE"""),0.0)</f>
        <v>0</v>
      </c>
      <c r="AH30" s="3">
        <f>IFERROR(__xludf.DUMMYFUNCTION("""COMPUTED_VALUE"""),0.0)</f>
        <v>0</v>
      </c>
      <c r="AI30" s="3">
        <f>IFERROR(__xludf.DUMMYFUNCTION("""COMPUTED_VALUE"""),0.0)</f>
        <v>0</v>
      </c>
      <c r="AJ30" s="3">
        <f>IFERROR(__xludf.DUMMYFUNCTION("""COMPUTED_VALUE"""),0.0)</f>
        <v>0</v>
      </c>
      <c r="AK30" s="3">
        <f>IFERROR(__xludf.DUMMYFUNCTION("""COMPUTED_VALUE"""),0.0)</f>
        <v>0</v>
      </c>
      <c r="AL30" s="3">
        <f>IFERROR(__xludf.DUMMYFUNCTION("""COMPUTED_VALUE"""),0.0)</f>
        <v>0</v>
      </c>
      <c r="AM30" s="3">
        <f>IFERROR(__xludf.DUMMYFUNCTION("""COMPUTED_VALUE"""),0.0)</f>
        <v>0</v>
      </c>
      <c r="AN30" s="3">
        <f>IFERROR(__xludf.DUMMYFUNCTION("""COMPUTED_VALUE"""),0.0)</f>
        <v>0</v>
      </c>
      <c r="AO30" s="3">
        <f>IFERROR(__xludf.DUMMYFUNCTION("""COMPUTED_VALUE"""),0.0)</f>
        <v>0</v>
      </c>
      <c r="AP30" s="3">
        <f>IFERROR(__xludf.DUMMYFUNCTION("""COMPUTED_VALUE"""),0.0)</f>
        <v>0</v>
      </c>
      <c r="AQ30" s="3">
        <f>IFERROR(__xludf.DUMMYFUNCTION("""COMPUTED_VALUE"""),0.0)</f>
        <v>0</v>
      </c>
      <c r="AR30" s="3">
        <f>IFERROR(__xludf.DUMMYFUNCTION("""COMPUTED_VALUE"""),0.0)</f>
        <v>0</v>
      </c>
      <c r="AS30" s="3">
        <f>IFERROR(__xludf.DUMMYFUNCTION("""COMPUTED_VALUE"""),0.0)</f>
        <v>0</v>
      </c>
      <c r="AT30" s="3">
        <f>IFERROR(__xludf.DUMMYFUNCTION("""COMPUTED_VALUE"""),0.0)</f>
        <v>0</v>
      </c>
      <c r="AU30" s="3">
        <f>IFERROR(__xludf.DUMMYFUNCTION("""COMPUTED_VALUE"""),0.0)</f>
        <v>0</v>
      </c>
      <c r="AV30" s="3">
        <f>IFERROR(__xludf.DUMMYFUNCTION("""COMPUTED_VALUE"""),0.0)</f>
        <v>0</v>
      </c>
      <c r="AW30" s="3">
        <f>IFERROR(__xludf.DUMMYFUNCTION("""COMPUTED_VALUE"""),0.0)</f>
        <v>0</v>
      </c>
      <c r="AX30" s="3">
        <f>IFERROR(__xludf.DUMMYFUNCTION("""COMPUTED_VALUE"""),0.0)</f>
        <v>0</v>
      </c>
      <c r="AY30" s="3">
        <f>IFERROR(__xludf.DUMMYFUNCTION("""COMPUTED_VALUE"""),0.0)</f>
        <v>0</v>
      </c>
      <c r="AZ30" s="3">
        <f>IFERROR(__xludf.DUMMYFUNCTION("""COMPUTED_VALUE"""),0.0)</f>
        <v>0</v>
      </c>
      <c r="BA30" s="3">
        <f>IFERROR(__xludf.DUMMYFUNCTION("""COMPUTED_VALUE"""),0.0)</f>
        <v>0</v>
      </c>
      <c r="BB30" s="3">
        <f>IFERROR(__xludf.DUMMYFUNCTION("""COMPUTED_VALUE"""),0.0)</f>
        <v>0</v>
      </c>
      <c r="BC30" s="3">
        <f>IFERROR(__xludf.DUMMYFUNCTION("""COMPUTED_VALUE"""),0.0)</f>
        <v>0</v>
      </c>
      <c r="BD30" s="3">
        <f>IFERROR(__xludf.DUMMYFUNCTION("""COMPUTED_VALUE"""),0.0)</f>
        <v>0</v>
      </c>
      <c r="BE30" s="3">
        <f>IFERROR(__xludf.DUMMYFUNCTION("""COMPUTED_VALUE"""),0.0)</f>
        <v>0</v>
      </c>
      <c r="BF30" s="3">
        <f>IFERROR(__xludf.DUMMYFUNCTION("""COMPUTED_VALUE"""),0.0)</f>
        <v>0</v>
      </c>
      <c r="BG30" s="3">
        <f>IFERROR(__xludf.DUMMYFUNCTION("""COMPUTED_VALUE"""),0.0)</f>
        <v>0</v>
      </c>
      <c r="BH30" s="3">
        <f>IFERROR(__xludf.DUMMYFUNCTION("""COMPUTED_VALUE"""),2.0)</f>
        <v>2</v>
      </c>
      <c r="BI30" s="3">
        <f>IFERROR(__xludf.DUMMYFUNCTION("""COMPUTED_VALUE"""),2.0)</f>
        <v>2</v>
      </c>
      <c r="BJ30" s="3">
        <f>IFERROR(__xludf.DUMMYFUNCTION("""COMPUTED_VALUE"""),2.0)</f>
        <v>2</v>
      </c>
      <c r="BK30" s="3">
        <f>IFERROR(__xludf.DUMMYFUNCTION("""COMPUTED_VALUE"""),2.0)</f>
        <v>2</v>
      </c>
      <c r="BL30" s="3">
        <f>IFERROR(__xludf.DUMMYFUNCTION("""COMPUTED_VALUE"""),2.0)</f>
        <v>2</v>
      </c>
      <c r="BM30" s="3">
        <f>IFERROR(__xludf.DUMMYFUNCTION("""COMPUTED_VALUE"""),2.0)</f>
        <v>2</v>
      </c>
      <c r="BN30" s="3">
        <f>IFERROR(__xludf.DUMMYFUNCTION("""COMPUTED_VALUE"""),2.0)</f>
        <v>2</v>
      </c>
      <c r="BO30" s="3">
        <f>IFERROR(__xludf.DUMMYFUNCTION("""COMPUTED_VALUE"""),2.0)</f>
        <v>2</v>
      </c>
      <c r="BP30" s="3">
        <f>IFERROR(__xludf.DUMMYFUNCTION("""COMPUTED_VALUE"""),2.0)</f>
        <v>2</v>
      </c>
      <c r="BQ30" s="3">
        <f>IFERROR(__xludf.DUMMYFUNCTION("""COMPUTED_VALUE"""),2.0)</f>
        <v>2</v>
      </c>
      <c r="BR30" s="3">
        <f>IFERROR(__xludf.DUMMYFUNCTION("""COMPUTED_VALUE"""),5.0)</f>
        <v>5</v>
      </c>
      <c r="BS30" s="3">
        <f>IFERROR(__xludf.DUMMYFUNCTION("""COMPUTED_VALUE"""),5.0)</f>
        <v>5</v>
      </c>
      <c r="BT30" s="3">
        <f>IFERROR(__xludf.DUMMYFUNCTION("""COMPUTED_VALUE"""),8.0)</f>
        <v>8</v>
      </c>
      <c r="BU30" s="3">
        <f>IFERROR(__xludf.DUMMYFUNCTION("""COMPUTED_VALUE"""),17.0)</f>
        <v>17</v>
      </c>
      <c r="BV30" s="3">
        <f>IFERROR(__xludf.DUMMYFUNCTION("""COMPUTED_VALUE"""),17.0)</f>
        <v>17</v>
      </c>
      <c r="BW30" s="3">
        <f>IFERROR(__xludf.DUMMYFUNCTION("""COMPUTED_VALUE"""),19.0)</f>
        <v>19</v>
      </c>
      <c r="BX30" s="3">
        <f>IFERROR(__xludf.DUMMYFUNCTION("""COMPUTED_VALUE"""),20.0)</f>
        <v>20</v>
      </c>
      <c r="BY30" s="3">
        <f>IFERROR(__xludf.DUMMYFUNCTION("""COMPUTED_VALUE"""),27.0)</f>
        <v>27</v>
      </c>
      <c r="BZ30" s="3">
        <f>IFERROR(__xludf.DUMMYFUNCTION("""COMPUTED_VALUE"""),30.0)</f>
        <v>30</v>
      </c>
      <c r="CA30" s="3">
        <f>IFERROR(__xludf.DUMMYFUNCTION("""COMPUTED_VALUE"""),30.0)</f>
        <v>30</v>
      </c>
      <c r="CB30" s="3">
        <f>IFERROR(__xludf.DUMMYFUNCTION("""COMPUTED_VALUE"""),47.0)</f>
        <v>47</v>
      </c>
    </row>
    <row r="31">
      <c r="A31" s="3" t="str">
        <f>IFERROR(__xludf.DUMMYFUNCTION("""COMPUTED_VALUE"""),"")</f>
        <v/>
      </c>
      <c r="B31" s="3" t="str">
        <f>IFERROR(__xludf.DUMMYFUNCTION("""COMPUTED_VALUE"""),"Brazil")</f>
        <v>Brazil</v>
      </c>
      <c r="C31" s="3">
        <f>IFERROR(__xludf.DUMMYFUNCTION("""COMPUTED_VALUE"""),-14.235)</f>
        <v>-14.235</v>
      </c>
      <c r="D31" s="3">
        <f>IFERROR(__xludf.DUMMYFUNCTION("""COMPUTED_VALUE"""),-51.9253)</f>
        <v>-51.9253</v>
      </c>
      <c r="E31" s="3">
        <f>IFERROR(__xludf.DUMMYFUNCTION("""COMPUTED_VALUE"""),0.0)</f>
        <v>0</v>
      </c>
      <c r="F31" s="3">
        <f>IFERROR(__xludf.DUMMYFUNCTION("""COMPUTED_VALUE"""),0.0)</f>
        <v>0</v>
      </c>
      <c r="G31" s="3">
        <f>IFERROR(__xludf.DUMMYFUNCTION("""COMPUTED_VALUE"""),0.0)</f>
        <v>0</v>
      </c>
      <c r="H31" s="3">
        <f>IFERROR(__xludf.DUMMYFUNCTION("""COMPUTED_VALUE"""),0.0)</f>
        <v>0</v>
      </c>
      <c r="I31" s="3">
        <f>IFERROR(__xludf.DUMMYFUNCTION("""COMPUTED_VALUE"""),0.0)</f>
        <v>0</v>
      </c>
      <c r="J31" s="3">
        <f>IFERROR(__xludf.DUMMYFUNCTION("""COMPUTED_VALUE"""),0.0)</f>
        <v>0</v>
      </c>
      <c r="K31" s="3">
        <f>IFERROR(__xludf.DUMMYFUNCTION("""COMPUTED_VALUE"""),0.0)</f>
        <v>0</v>
      </c>
      <c r="L31" s="3">
        <f>IFERROR(__xludf.DUMMYFUNCTION("""COMPUTED_VALUE"""),0.0)</f>
        <v>0</v>
      </c>
      <c r="M31" s="3">
        <f>IFERROR(__xludf.DUMMYFUNCTION("""COMPUTED_VALUE"""),0.0)</f>
        <v>0</v>
      </c>
      <c r="N31" s="3">
        <f>IFERROR(__xludf.DUMMYFUNCTION("""COMPUTED_VALUE"""),0.0)</f>
        <v>0</v>
      </c>
      <c r="O31" s="3">
        <f>IFERROR(__xludf.DUMMYFUNCTION("""COMPUTED_VALUE"""),0.0)</f>
        <v>0</v>
      </c>
      <c r="P31" s="3">
        <f>IFERROR(__xludf.DUMMYFUNCTION("""COMPUTED_VALUE"""),0.0)</f>
        <v>0</v>
      </c>
      <c r="Q31" s="3">
        <f>IFERROR(__xludf.DUMMYFUNCTION("""COMPUTED_VALUE"""),0.0)</f>
        <v>0</v>
      </c>
      <c r="R31" s="3">
        <f>IFERROR(__xludf.DUMMYFUNCTION("""COMPUTED_VALUE"""),0.0)</f>
        <v>0</v>
      </c>
      <c r="S31" s="3">
        <f>IFERROR(__xludf.DUMMYFUNCTION("""COMPUTED_VALUE"""),0.0)</f>
        <v>0</v>
      </c>
      <c r="T31" s="3">
        <f>IFERROR(__xludf.DUMMYFUNCTION("""COMPUTED_VALUE"""),0.0)</f>
        <v>0</v>
      </c>
      <c r="U31" s="3">
        <f>IFERROR(__xludf.DUMMYFUNCTION("""COMPUTED_VALUE"""),0.0)</f>
        <v>0</v>
      </c>
      <c r="V31" s="3">
        <f>IFERROR(__xludf.DUMMYFUNCTION("""COMPUTED_VALUE"""),0.0)</f>
        <v>0</v>
      </c>
      <c r="W31" s="3">
        <f>IFERROR(__xludf.DUMMYFUNCTION("""COMPUTED_VALUE"""),0.0)</f>
        <v>0</v>
      </c>
      <c r="X31" s="3">
        <f>IFERROR(__xludf.DUMMYFUNCTION("""COMPUTED_VALUE"""),0.0)</f>
        <v>0</v>
      </c>
      <c r="Y31" s="3">
        <f>IFERROR(__xludf.DUMMYFUNCTION("""COMPUTED_VALUE"""),0.0)</f>
        <v>0</v>
      </c>
      <c r="Z31" s="3">
        <f>IFERROR(__xludf.DUMMYFUNCTION("""COMPUTED_VALUE"""),0.0)</f>
        <v>0</v>
      </c>
      <c r="AA31" s="3">
        <f>IFERROR(__xludf.DUMMYFUNCTION("""COMPUTED_VALUE"""),0.0)</f>
        <v>0</v>
      </c>
      <c r="AB31" s="3">
        <f>IFERROR(__xludf.DUMMYFUNCTION("""COMPUTED_VALUE"""),0.0)</f>
        <v>0</v>
      </c>
      <c r="AC31" s="3">
        <f>IFERROR(__xludf.DUMMYFUNCTION("""COMPUTED_VALUE"""),0.0)</f>
        <v>0</v>
      </c>
      <c r="AD31" s="3">
        <f>IFERROR(__xludf.DUMMYFUNCTION("""COMPUTED_VALUE"""),0.0)</f>
        <v>0</v>
      </c>
      <c r="AE31" s="3">
        <f>IFERROR(__xludf.DUMMYFUNCTION("""COMPUTED_VALUE"""),0.0)</f>
        <v>0</v>
      </c>
      <c r="AF31" s="3">
        <f>IFERROR(__xludf.DUMMYFUNCTION("""COMPUTED_VALUE"""),0.0)</f>
        <v>0</v>
      </c>
      <c r="AG31" s="3">
        <f>IFERROR(__xludf.DUMMYFUNCTION("""COMPUTED_VALUE"""),0.0)</f>
        <v>0</v>
      </c>
      <c r="AH31" s="3">
        <f>IFERROR(__xludf.DUMMYFUNCTION("""COMPUTED_VALUE"""),0.0)</f>
        <v>0</v>
      </c>
      <c r="AI31" s="3">
        <f>IFERROR(__xludf.DUMMYFUNCTION("""COMPUTED_VALUE"""),0.0)</f>
        <v>0</v>
      </c>
      <c r="AJ31" s="3">
        <f>IFERROR(__xludf.DUMMYFUNCTION("""COMPUTED_VALUE"""),0.0)</f>
        <v>0</v>
      </c>
      <c r="AK31" s="3">
        <f>IFERROR(__xludf.DUMMYFUNCTION("""COMPUTED_VALUE"""),0.0)</f>
        <v>0</v>
      </c>
      <c r="AL31" s="3">
        <f>IFERROR(__xludf.DUMMYFUNCTION("""COMPUTED_VALUE"""),0.0)</f>
        <v>0</v>
      </c>
      <c r="AM31" s="3">
        <f>IFERROR(__xludf.DUMMYFUNCTION("""COMPUTED_VALUE"""),0.0)</f>
        <v>0</v>
      </c>
      <c r="AN31" s="3">
        <f>IFERROR(__xludf.DUMMYFUNCTION("""COMPUTED_VALUE"""),0.0)</f>
        <v>0</v>
      </c>
      <c r="AO31" s="3">
        <f>IFERROR(__xludf.DUMMYFUNCTION("""COMPUTED_VALUE"""),0.0)</f>
        <v>0</v>
      </c>
      <c r="AP31" s="3">
        <f>IFERROR(__xludf.DUMMYFUNCTION("""COMPUTED_VALUE"""),0.0)</f>
        <v>0</v>
      </c>
      <c r="AQ31" s="3">
        <f>IFERROR(__xludf.DUMMYFUNCTION("""COMPUTED_VALUE"""),0.0)</f>
        <v>0</v>
      </c>
      <c r="AR31" s="3">
        <f>IFERROR(__xludf.DUMMYFUNCTION("""COMPUTED_VALUE"""),0.0)</f>
        <v>0</v>
      </c>
      <c r="AS31" s="3">
        <f>IFERROR(__xludf.DUMMYFUNCTION("""COMPUTED_VALUE"""),0.0)</f>
        <v>0</v>
      </c>
      <c r="AT31" s="3">
        <f>IFERROR(__xludf.DUMMYFUNCTION("""COMPUTED_VALUE"""),0.0)</f>
        <v>0</v>
      </c>
      <c r="AU31" s="3">
        <f>IFERROR(__xludf.DUMMYFUNCTION("""COMPUTED_VALUE"""),0.0)</f>
        <v>0</v>
      </c>
      <c r="AV31" s="3">
        <f>IFERROR(__xludf.DUMMYFUNCTION("""COMPUTED_VALUE"""),0.0)</f>
        <v>0</v>
      </c>
      <c r="AW31" s="3">
        <f>IFERROR(__xludf.DUMMYFUNCTION("""COMPUTED_VALUE"""),0.0)</f>
        <v>0</v>
      </c>
      <c r="AX31" s="3">
        <f>IFERROR(__xludf.DUMMYFUNCTION("""COMPUTED_VALUE"""),0.0)</f>
        <v>0</v>
      </c>
      <c r="AY31" s="3">
        <f>IFERROR(__xludf.DUMMYFUNCTION("""COMPUTED_VALUE"""),0.0)</f>
        <v>0</v>
      </c>
      <c r="AZ31" s="3">
        <f>IFERROR(__xludf.DUMMYFUNCTION("""COMPUTED_VALUE"""),0.0)</f>
        <v>0</v>
      </c>
      <c r="BA31" s="3">
        <f>IFERROR(__xludf.DUMMYFUNCTION("""COMPUTED_VALUE"""),0.0)</f>
        <v>0</v>
      </c>
      <c r="BB31" s="3">
        <f>IFERROR(__xludf.DUMMYFUNCTION("""COMPUTED_VALUE"""),0.0)</f>
        <v>0</v>
      </c>
      <c r="BC31" s="3">
        <f>IFERROR(__xludf.DUMMYFUNCTION("""COMPUTED_VALUE"""),0.0)</f>
        <v>0</v>
      </c>
      <c r="BD31" s="3">
        <f>IFERROR(__xludf.DUMMYFUNCTION("""COMPUTED_VALUE"""),0.0)</f>
        <v>0</v>
      </c>
      <c r="BE31" s="3">
        <f>IFERROR(__xludf.DUMMYFUNCTION("""COMPUTED_VALUE"""),0.0)</f>
        <v>0</v>
      </c>
      <c r="BF31" s="3">
        <f>IFERROR(__xludf.DUMMYFUNCTION("""COMPUTED_VALUE"""),0.0)</f>
        <v>0</v>
      </c>
      <c r="BG31" s="3">
        <f>IFERROR(__xludf.DUMMYFUNCTION("""COMPUTED_VALUE"""),1.0)</f>
        <v>1</v>
      </c>
      <c r="BH31" s="3">
        <f>IFERROR(__xludf.DUMMYFUNCTION("""COMPUTED_VALUE"""),2.0)</f>
        <v>2</v>
      </c>
      <c r="BI31" s="3">
        <f>IFERROR(__xludf.DUMMYFUNCTION("""COMPUTED_VALUE"""),2.0)</f>
        <v>2</v>
      </c>
      <c r="BJ31" s="3">
        <f>IFERROR(__xludf.DUMMYFUNCTION("""COMPUTED_VALUE"""),2.0)</f>
        <v>2</v>
      </c>
      <c r="BK31" s="3">
        <f>IFERROR(__xludf.DUMMYFUNCTION("""COMPUTED_VALUE"""),2.0)</f>
        <v>2</v>
      </c>
      <c r="BL31" s="3">
        <f>IFERROR(__xludf.DUMMYFUNCTION("""COMPUTED_VALUE"""),2.0)</f>
        <v>2</v>
      </c>
      <c r="BM31" s="3">
        <f>IFERROR(__xludf.DUMMYFUNCTION("""COMPUTED_VALUE"""),2.0)</f>
        <v>2</v>
      </c>
      <c r="BN31" s="3">
        <f>IFERROR(__xludf.DUMMYFUNCTION("""COMPUTED_VALUE"""),2.0)</f>
        <v>2</v>
      </c>
      <c r="BO31" s="3">
        <f>IFERROR(__xludf.DUMMYFUNCTION("""COMPUTED_VALUE"""),2.0)</f>
        <v>2</v>
      </c>
      <c r="BP31" s="3">
        <f>IFERROR(__xludf.DUMMYFUNCTION("""COMPUTED_VALUE"""),2.0)</f>
        <v>2</v>
      </c>
      <c r="BQ31" s="3">
        <f>IFERROR(__xludf.DUMMYFUNCTION("""COMPUTED_VALUE"""),6.0)</f>
        <v>6</v>
      </c>
      <c r="BR31" s="3">
        <f>IFERROR(__xludf.DUMMYFUNCTION("""COMPUTED_VALUE"""),6.0)</f>
        <v>6</v>
      </c>
      <c r="BS31" s="3">
        <f>IFERROR(__xludf.DUMMYFUNCTION("""COMPUTED_VALUE"""),6.0)</f>
        <v>6</v>
      </c>
      <c r="BT31" s="3">
        <f>IFERROR(__xludf.DUMMYFUNCTION("""COMPUTED_VALUE"""),6.0)</f>
        <v>6</v>
      </c>
      <c r="BU31" s="3">
        <f>IFERROR(__xludf.DUMMYFUNCTION("""COMPUTED_VALUE"""),120.0)</f>
        <v>120</v>
      </c>
      <c r="BV31" s="3">
        <f>IFERROR(__xludf.DUMMYFUNCTION("""COMPUTED_VALUE"""),127.0)</f>
        <v>127</v>
      </c>
      <c r="BW31" s="3">
        <f>IFERROR(__xludf.DUMMYFUNCTION("""COMPUTED_VALUE"""),127.0)</f>
        <v>127</v>
      </c>
      <c r="BX31" s="3">
        <f>IFERROR(__xludf.DUMMYFUNCTION("""COMPUTED_VALUE"""),127.0)</f>
        <v>127</v>
      </c>
      <c r="BY31" s="3">
        <f>IFERROR(__xludf.DUMMYFUNCTION("""COMPUTED_VALUE"""),127.0)</f>
        <v>127</v>
      </c>
      <c r="BZ31" s="3">
        <f>IFERROR(__xludf.DUMMYFUNCTION("""COMPUTED_VALUE"""),127.0)</f>
        <v>127</v>
      </c>
      <c r="CA31" s="3">
        <f>IFERROR(__xludf.DUMMYFUNCTION("""COMPUTED_VALUE"""),127.0)</f>
        <v>127</v>
      </c>
      <c r="CB31" s="3">
        <f>IFERROR(__xludf.DUMMYFUNCTION("""COMPUTED_VALUE"""),127.0)</f>
        <v>127</v>
      </c>
    </row>
    <row r="32">
      <c r="A32" s="3" t="str">
        <f>IFERROR(__xludf.DUMMYFUNCTION("""COMPUTED_VALUE"""),"")</f>
        <v/>
      </c>
      <c r="B32" s="3" t="str">
        <f>IFERROR(__xludf.DUMMYFUNCTION("""COMPUTED_VALUE"""),"Brunei")</f>
        <v>Brunei</v>
      </c>
      <c r="C32" s="3">
        <f>IFERROR(__xludf.DUMMYFUNCTION("""COMPUTED_VALUE"""),4.5353)</f>
        <v>4.5353</v>
      </c>
      <c r="D32" s="3">
        <f>IFERROR(__xludf.DUMMYFUNCTION("""COMPUTED_VALUE"""),114.7277)</f>
        <v>114.7277</v>
      </c>
      <c r="E32" s="3">
        <f>IFERROR(__xludf.DUMMYFUNCTION("""COMPUTED_VALUE"""),0.0)</f>
        <v>0</v>
      </c>
      <c r="F32" s="3">
        <f>IFERROR(__xludf.DUMMYFUNCTION("""COMPUTED_VALUE"""),0.0)</f>
        <v>0</v>
      </c>
      <c r="G32" s="3">
        <f>IFERROR(__xludf.DUMMYFUNCTION("""COMPUTED_VALUE"""),0.0)</f>
        <v>0</v>
      </c>
      <c r="H32" s="3">
        <f>IFERROR(__xludf.DUMMYFUNCTION("""COMPUTED_VALUE"""),0.0)</f>
        <v>0</v>
      </c>
      <c r="I32" s="3">
        <f>IFERROR(__xludf.DUMMYFUNCTION("""COMPUTED_VALUE"""),0.0)</f>
        <v>0</v>
      </c>
      <c r="J32" s="3">
        <f>IFERROR(__xludf.DUMMYFUNCTION("""COMPUTED_VALUE"""),0.0)</f>
        <v>0</v>
      </c>
      <c r="K32" s="3">
        <f>IFERROR(__xludf.DUMMYFUNCTION("""COMPUTED_VALUE"""),0.0)</f>
        <v>0</v>
      </c>
      <c r="L32" s="3">
        <f>IFERROR(__xludf.DUMMYFUNCTION("""COMPUTED_VALUE"""),0.0)</f>
        <v>0</v>
      </c>
      <c r="M32" s="3">
        <f>IFERROR(__xludf.DUMMYFUNCTION("""COMPUTED_VALUE"""),0.0)</f>
        <v>0</v>
      </c>
      <c r="N32" s="3">
        <f>IFERROR(__xludf.DUMMYFUNCTION("""COMPUTED_VALUE"""),0.0)</f>
        <v>0</v>
      </c>
      <c r="O32" s="3">
        <f>IFERROR(__xludf.DUMMYFUNCTION("""COMPUTED_VALUE"""),0.0)</f>
        <v>0</v>
      </c>
      <c r="P32" s="3">
        <f>IFERROR(__xludf.DUMMYFUNCTION("""COMPUTED_VALUE"""),0.0)</f>
        <v>0</v>
      </c>
      <c r="Q32" s="3">
        <f>IFERROR(__xludf.DUMMYFUNCTION("""COMPUTED_VALUE"""),0.0)</f>
        <v>0</v>
      </c>
      <c r="R32" s="3">
        <f>IFERROR(__xludf.DUMMYFUNCTION("""COMPUTED_VALUE"""),0.0)</f>
        <v>0</v>
      </c>
      <c r="S32" s="3">
        <f>IFERROR(__xludf.DUMMYFUNCTION("""COMPUTED_VALUE"""),0.0)</f>
        <v>0</v>
      </c>
      <c r="T32" s="3">
        <f>IFERROR(__xludf.DUMMYFUNCTION("""COMPUTED_VALUE"""),0.0)</f>
        <v>0</v>
      </c>
      <c r="U32" s="3">
        <f>IFERROR(__xludf.DUMMYFUNCTION("""COMPUTED_VALUE"""),0.0)</f>
        <v>0</v>
      </c>
      <c r="V32" s="3">
        <f>IFERROR(__xludf.DUMMYFUNCTION("""COMPUTED_VALUE"""),0.0)</f>
        <v>0</v>
      </c>
      <c r="W32" s="3">
        <f>IFERROR(__xludf.DUMMYFUNCTION("""COMPUTED_VALUE"""),0.0)</f>
        <v>0</v>
      </c>
      <c r="X32" s="3">
        <f>IFERROR(__xludf.DUMMYFUNCTION("""COMPUTED_VALUE"""),0.0)</f>
        <v>0</v>
      </c>
      <c r="Y32" s="3">
        <f>IFERROR(__xludf.DUMMYFUNCTION("""COMPUTED_VALUE"""),0.0)</f>
        <v>0</v>
      </c>
      <c r="Z32" s="3">
        <f>IFERROR(__xludf.DUMMYFUNCTION("""COMPUTED_VALUE"""),0.0)</f>
        <v>0</v>
      </c>
      <c r="AA32" s="3">
        <f>IFERROR(__xludf.DUMMYFUNCTION("""COMPUTED_VALUE"""),0.0)</f>
        <v>0</v>
      </c>
      <c r="AB32" s="3">
        <f>IFERROR(__xludf.DUMMYFUNCTION("""COMPUTED_VALUE"""),0.0)</f>
        <v>0</v>
      </c>
      <c r="AC32" s="3">
        <f>IFERROR(__xludf.DUMMYFUNCTION("""COMPUTED_VALUE"""),0.0)</f>
        <v>0</v>
      </c>
      <c r="AD32" s="3">
        <f>IFERROR(__xludf.DUMMYFUNCTION("""COMPUTED_VALUE"""),0.0)</f>
        <v>0</v>
      </c>
      <c r="AE32" s="3">
        <f>IFERROR(__xludf.DUMMYFUNCTION("""COMPUTED_VALUE"""),0.0)</f>
        <v>0</v>
      </c>
      <c r="AF32" s="3">
        <f>IFERROR(__xludf.DUMMYFUNCTION("""COMPUTED_VALUE"""),0.0)</f>
        <v>0</v>
      </c>
      <c r="AG32" s="3">
        <f>IFERROR(__xludf.DUMMYFUNCTION("""COMPUTED_VALUE"""),0.0)</f>
        <v>0</v>
      </c>
      <c r="AH32" s="3">
        <f>IFERROR(__xludf.DUMMYFUNCTION("""COMPUTED_VALUE"""),0.0)</f>
        <v>0</v>
      </c>
      <c r="AI32" s="3">
        <f>IFERROR(__xludf.DUMMYFUNCTION("""COMPUTED_VALUE"""),0.0)</f>
        <v>0</v>
      </c>
      <c r="AJ32" s="3">
        <f>IFERROR(__xludf.DUMMYFUNCTION("""COMPUTED_VALUE"""),0.0)</f>
        <v>0</v>
      </c>
      <c r="AK32" s="3">
        <f>IFERROR(__xludf.DUMMYFUNCTION("""COMPUTED_VALUE"""),0.0)</f>
        <v>0</v>
      </c>
      <c r="AL32" s="3">
        <f>IFERROR(__xludf.DUMMYFUNCTION("""COMPUTED_VALUE"""),0.0)</f>
        <v>0</v>
      </c>
      <c r="AM32" s="3">
        <f>IFERROR(__xludf.DUMMYFUNCTION("""COMPUTED_VALUE"""),0.0)</f>
        <v>0</v>
      </c>
      <c r="AN32" s="3">
        <f>IFERROR(__xludf.DUMMYFUNCTION("""COMPUTED_VALUE"""),0.0)</f>
        <v>0</v>
      </c>
      <c r="AO32" s="3">
        <f>IFERROR(__xludf.DUMMYFUNCTION("""COMPUTED_VALUE"""),0.0)</f>
        <v>0</v>
      </c>
      <c r="AP32" s="3">
        <f>IFERROR(__xludf.DUMMYFUNCTION("""COMPUTED_VALUE"""),0.0)</f>
        <v>0</v>
      </c>
      <c r="AQ32" s="3">
        <f>IFERROR(__xludf.DUMMYFUNCTION("""COMPUTED_VALUE"""),0.0)</f>
        <v>0</v>
      </c>
      <c r="AR32" s="3">
        <f>IFERROR(__xludf.DUMMYFUNCTION("""COMPUTED_VALUE"""),0.0)</f>
        <v>0</v>
      </c>
      <c r="AS32" s="3">
        <f>IFERROR(__xludf.DUMMYFUNCTION("""COMPUTED_VALUE"""),0.0)</f>
        <v>0</v>
      </c>
      <c r="AT32" s="3">
        <f>IFERROR(__xludf.DUMMYFUNCTION("""COMPUTED_VALUE"""),0.0)</f>
        <v>0</v>
      </c>
      <c r="AU32" s="3">
        <f>IFERROR(__xludf.DUMMYFUNCTION("""COMPUTED_VALUE"""),0.0)</f>
        <v>0</v>
      </c>
      <c r="AV32" s="3">
        <f>IFERROR(__xludf.DUMMYFUNCTION("""COMPUTED_VALUE"""),0.0)</f>
        <v>0</v>
      </c>
      <c r="AW32" s="3">
        <f>IFERROR(__xludf.DUMMYFUNCTION("""COMPUTED_VALUE"""),0.0)</f>
        <v>0</v>
      </c>
      <c r="AX32" s="3">
        <f>IFERROR(__xludf.DUMMYFUNCTION("""COMPUTED_VALUE"""),0.0)</f>
        <v>0</v>
      </c>
      <c r="AY32" s="3">
        <f>IFERROR(__xludf.DUMMYFUNCTION("""COMPUTED_VALUE"""),0.0)</f>
        <v>0</v>
      </c>
      <c r="AZ32" s="3">
        <f>IFERROR(__xludf.DUMMYFUNCTION("""COMPUTED_VALUE"""),0.0)</f>
        <v>0</v>
      </c>
      <c r="BA32" s="3">
        <f>IFERROR(__xludf.DUMMYFUNCTION("""COMPUTED_VALUE"""),0.0)</f>
        <v>0</v>
      </c>
      <c r="BB32" s="3">
        <f>IFERROR(__xludf.DUMMYFUNCTION("""COMPUTED_VALUE"""),0.0)</f>
        <v>0</v>
      </c>
      <c r="BC32" s="3">
        <f>IFERROR(__xludf.DUMMYFUNCTION("""COMPUTED_VALUE"""),0.0)</f>
        <v>0</v>
      </c>
      <c r="BD32" s="3">
        <f>IFERROR(__xludf.DUMMYFUNCTION("""COMPUTED_VALUE"""),0.0)</f>
        <v>0</v>
      </c>
      <c r="BE32" s="3">
        <f>IFERROR(__xludf.DUMMYFUNCTION("""COMPUTED_VALUE"""),0.0)</f>
        <v>0</v>
      </c>
      <c r="BF32" s="3">
        <f>IFERROR(__xludf.DUMMYFUNCTION("""COMPUTED_VALUE"""),0.0)</f>
        <v>0</v>
      </c>
      <c r="BG32" s="3">
        <f>IFERROR(__xludf.DUMMYFUNCTION("""COMPUTED_VALUE"""),0.0)</f>
        <v>0</v>
      </c>
      <c r="BH32" s="3">
        <f>IFERROR(__xludf.DUMMYFUNCTION("""COMPUTED_VALUE"""),0.0)</f>
        <v>0</v>
      </c>
      <c r="BI32" s="3">
        <f>IFERROR(__xludf.DUMMYFUNCTION("""COMPUTED_VALUE"""),0.0)</f>
        <v>0</v>
      </c>
      <c r="BJ32" s="3">
        <f>IFERROR(__xludf.DUMMYFUNCTION("""COMPUTED_VALUE"""),0.0)</f>
        <v>0</v>
      </c>
      <c r="BK32" s="3">
        <f>IFERROR(__xludf.DUMMYFUNCTION("""COMPUTED_VALUE"""),1.0)</f>
        <v>1</v>
      </c>
      <c r="BL32" s="3">
        <f>IFERROR(__xludf.DUMMYFUNCTION("""COMPUTED_VALUE"""),2.0)</f>
        <v>2</v>
      </c>
      <c r="BM32" s="3">
        <f>IFERROR(__xludf.DUMMYFUNCTION("""COMPUTED_VALUE"""),2.0)</f>
        <v>2</v>
      </c>
      <c r="BN32" s="3">
        <f>IFERROR(__xludf.DUMMYFUNCTION("""COMPUTED_VALUE"""),2.0)</f>
        <v>2</v>
      </c>
      <c r="BO32" s="3">
        <f>IFERROR(__xludf.DUMMYFUNCTION("""COMPUTED_VALUE"""),2.0)</f>
        <v>2</v>
      </c>
      <c r="BP32" s="3">
        <f>IFERROR(__xludf.DUMMYFUNCTION("""COMPUTED_VALUE"""),2.0)</f>
        <v>2</v>
      </c>
      <c r="BQ32" s="3">
        <f>IFERROR(__xludf.DUMMYFUNCTION("""COMPUTED_VALUE"""),5.0)</f>
        <v>5</v>
      </c>
      <c r="BR32" s="3">
        <f>IFERROR(__xludf.DUMMYFUNCTION("""COMPUTED_VALUE"""),11.0)</f>
        <v>11</v>
      </c>
      <c r="BS32" s="3">
        <f>IFERROR(__xludf.DUMMYFUNCTION("""COMPUTED_VALUE"""),25.0)</f>
        <v>25</v>
      </c>
      <c r="BT32" s="3">
        <f>IFERROR(__xludf.DUMMYFUNCTION("""COMPUTED_VALUE"""),34.0)</f>
        <v>34</v>
      </c>
      <c r="BU32" s="3">
        <f>IFERROR(__xludf.DUMMYFUNCTION("""COMPUTED_VALUE"""),38.0)</f>
        <v>38</v>
      </c>
      <c r="BV32" s="3">
        <f>IFERROR(__xludf.DUMMYFUNCTION("""COMPUTED_VALUE"""),45.0)</f>
        <v>45</v>
      </c>
      <c r="BW32" s="3">
        <f>IFERROR(__xludf.DUMMYFUNCTION("""COMPUTED_VALUE"""),52.0)</f>
        <v>52</v>
      </c>
      <c r="BX32" s="3">
        <f>IFERROR(__xludf.DUMMYFUNCTION("""COMPUTED_VALUE"""),56.0)</f>
        <v>56</v>
      </c>
      <c r="BY32" s="3">
        <f>IFERROR(__xludf.DUMMYFUNCTION("""COMPUTED_VALUE"""),65.0)</f>
        <v>65</v>
      </c>
      <c r="BZ32" s="3">
        <f>IFERROR(__xludf.DUMMYFUNCTION("""COMPUTED_VALUE"""),66.0)</f>
        <v>66</v>
      </c>
      <c r="CA32" s="3">
        <f>IFERROR(__xludf.DUMMYFUNCTION("""COMPUTED_VALUE"""),73.0)</f>
        <v>73</v>
      </c>
      <c r="CB32" s="3">
        <f>IFERROR(__xludf.DUMMYFUNCTION("""COMPUTED_VALUE"""),82.0)</f>
        <v>82</v>
      </c>
    </row>
    <row r="33">
      <c r="A33" s="3" t="str">
        <f>IFERROR(__xludf.DUMMYFUNCTION("""COMPUTED_VALUE"""),"")</f>
        <v/>
      </c>
      <c r="B33" s="3" t="str">
        <f>IFERROR(__xludf.DUMMYFUNCTION("""COMPUTED_VALUE"""),"Bulgaria")</f>
        <v>Bulgaria</v>
      </c>
      <c r="C33" s="3">
        <f>IFERROR(__xludf.DUMMYFUNCTION("""COMPUTED_VALUE"""),42.7339)</f>
        <v>42.7339</v>
      </c>
      <c r="D33" s="3">
        <f>IFERROR(__xludf.DUMMYFUNCTION("""COMPUTED_VALUE"""),25.4858)</f>
        <v>25.4858</v>
      </c>
      <c r="E33" s="3">
        <f>IFERROR(__xludf.DUMMYFUNCTION("""COMPUTED_VALUE"""),0.0)</f>
        <v>0</v>
      </c>
      <c r="F33" s="3">
        <f>IFERROR(__xludf.DUMMYFUNCTION("""COMPUTED_VALUE"""),0.0)</f>
        <v>0</v>
      </c>
      <c r="G33" s="3">
        <f>IFERROR(__xludf.DUMMYFUNCTION("""COMPUTED_VALUE"""),0.0)</f>
        <v>0</v>
      </c>
      <c r="H33" s="3">
        <f>IFERROR(__xludf.DUMMYFUNCTION("""COMPUTED_VALUE"""),0.0)</f>
        <v>0</v>
      </c>
      <c r="I33" s="3">
        <f>IFERROR(__xludf.DUMMYFUNCTION("""COMPUTED_VALUE"""),0.0)</f>
        <v>0</v>
      </c>
      <c r="J33" s="3">
        <f>IFERROR(__xludf.DUMMYFUNCTION("""COMPUTED_VALUE"""),0.0)</f>
        <v>0</v>
      </c>
      <c r="K33" s="3">
        <f>IFERROR(__xludf.DUMMYFUNCTION("""COMPUTED_VALUE"""),0.0)</f>
        <v>0</v>
      </c>
      <c r="L33" s="3">
        <f>IFERROR(__xludf.DUMMYFUNCTION("""COMPUTED_VALUE"""),0.0)</f>
        <v>0</v>
      </c>
      <c r="M33" s="3">
        <f>IFERROR(__xludf.DUMMYFUNCTION("""COMPUTED_VALUE"""),0.0)</f>
        <v>0</v>
      </c>
      <c r="N33" s="3">
        <f>IFERROR(__xludf.DUMMYFUNCTION("""COMPUTED_VALUE"""),0.0)</f>
        <v>0</v>
      </c>
      <c r="O33" s="3">
        <f>IFERROR(__xludf.DUMMYFUNCTION("""COMPUTED_VALUE"""),0.0)</f>
        <v>0</v>
      </c>
      <c r="P33" s="3">
        <f>IFERROR(__xludf.DUMMYFUNCTION("""COMPUTED_VALUE"""),0.0)</f>
        <v>0</v>
      </c>
      <c r="Q33" s="3">
        <f>IFERROR(__xludf.DUMMYFUNCTION("""COMPUTED_VALUE"""),0.0)</f>
        <v>0</v>
      </c>
      <c r="R33" s="3">
        <f>IFERROR(__xludf.DUMMYFUNCTION("""COMPUTED_VALUE"""),0.0)</f>
        <v>0</v>
      </c>
      <c r="S33" s="3">
        <f>IFERROR(__xludf.DUMMYFUNCTION("""COMPUTED_VALUE"""),0.0)</f>
        <v>0</v>
      </c>
      <c r="T33" s="3">
        <f>IFERROR(__xludf.DUMMYFUNCTION("""COMPUTED_VALUE"""),0.0)</f>
        <v>0</v>
      </c>
      <c r="U33" s="3">
        <f>IFERROR(__xludf.DUMMYFUNCTION("""COMPUTED_VALUE"""),0.0)</f>
        <v>0</v>
      </c>
      <c r="V33" s="3">
        <f>IFERROR(__xludf.DUMMYFUNCTION("""COMPUTED_VALUE"""),0.0)</f>
        <v>0</v>
      </c>
      <c r="W33" s="3">
        <f>IFERROR(__xludf.DUMMYFUNCTION("""COMPUTED_VALUE"""),0.0)</f>
        <v>0</v>
      </c>
      <c r="X33" s="3">
        <f>IFERROR(__xludf.DUMMYFUNCTION("""COMPUTED_VALUE"""),0.0)</f>
        <v>0</v>
      </c>
      <c r="Y33" s="3">
        <f>IFERROR(__xludf.DUMMYFUNCTION("""COMPUTED_VALUE"""),0.0)</f>
        <v>0</v>
      </c>
      <c r="Z33" s="3">
        <f>IFERROR(__xludf.DUMMYFUNCTION("""COMPUTED_VALUE"""),0.0)</f>
        <v>0</v>
      </c>
      <c r="AA33" s="3">
        <f>IFERROR(__xludf.DUMMYFUNCTION("""COMPUTED_VALUE"""),0.0)</f>
        <v>0</v>
      </c>
      <c r="AB33" s="3">
        <f>IFERROR(__xludf.DUMMYFUNCTION("""COMPUTED_VALUE"""),0.0)</f>
        <v>0</v>
      </c>
      <c r="AC33" s="3">
        <f>IFERROR(__xludf.DUMMYFUNCTION("""COMPUTED_VALUE"""),0.0)</f>
        <v>0</v>
      </c>
      <c r="AD33" s="3">
        <f>IFERROR(__xludf.DUMMYFUNCTION("""COMPUTED_VALUE"""),0.0)</f>
        <v>0</v>
      </c>
      <c r="AE33" s="3">
        <f>IFERROR(__xludf.DUMMYFUNCTION("""COMPUTED_VALUE"""),0.0)</f>
        <v>0</v>
      </c>
      <c r="AF33" s="3">
        <f>IFERROR(__xludf.DUMMYFUNCTION("""COMPUTED_VALUE"""),0.0)</f>
        <v>0</v>
      </c>
      <c r="AG33" s="3">
        <f>IFERROR(__xludf.DUMMYFUNCTION("""COMPUTED_VALUE"""),0.0)</f>
        <v>0</v>
      </c>
      <c r="AH33" s="3">
        <f>IFERROR(__xludf.DUMMYFUNCTION("""COMPUTED_VALUE"""),0.0)</f>
        <v>0</v>
      </c>
      <c r="AI33" s="3">
        <f>IFERROR(__xludf.DUMMYFUNCTION("""COMPUTED_VALUE"""),0.0)</f>
        <v>0</v>
      </c>
      <c r="AJ33" s="3">
        <f>IFERROR(__xludf.DUMMYFUNCTION("""COMPUTED_VALUE"""),0.0)</f>
        <v>0</v>
      </c>
      <c r="AK33" s="3">
        <f>IFERROR(__xludf.DUMMYFUNCTION("""COMPUTED_VALUE"""),0.0)</f>
        <v>0</v>
      </c>
      <c r="AL33" s="3">
        <f>IFERROR(__xludf.DUMMYFUNCTION("""COMPUTED_VALUE"""),0.0)</f>
        <v>0</v>
      </c>
      <c r="AM33" s="3">
        <f>IFERROR(__xludf.DUMMYFUNCTION("""COMPUTED_VALUE"""),0.0)</f>
        <v>0</v>
      </c>
      <c r="AN33" s="3">
        <f>IFERROR(__xludf.DUMMYFUNCTION("""COMPUTED_VALUE"""),0.0)</f>
        <v>0</v>
      </c>
      <c r="AO33" s="3">
        <f>IFERROR(__xludf.DUMMYFUNCTION("""COMPUTED_VALUE"""),0.0)</f>
        <v>0</v>
      </c>
      <c r="AP33" s="3">
        <f>IFERROR(__xludf.DUMMYFUNCTION("""COMPUTED_VALUE"""),0.0)</f>
        <v>0</v>
      </c>
      <c r="AQ33" s="3">
        <f>IFERROR(__xludf.DUMMYFUNCTION("""COMPUTED_VALUE"""),0.0)</f>
        <v>0</v>
      </c>
      <c r="AR33" s="3">
        <f>IFERROR(__xludf.DUMMYFUNCTION("""COMPUTED_VALUE"""),0.0)</f>
        <v>0</v>
      </c>
      <c r="AS33" s="3">
        <f>IFERROR(__xludf.DUMMYFUNCTION("""COMPUTED_VALUE"""),0.0)</f>
        <v>0</v>
      </c>
      <c r="AT33" s="3">
        <f>IFERROR(__xludf.DUMMYFUNCTION("""COMPUTED_VALUE"""),0.0)</f>
        <v>0</v>
      </c>
      <c r="AU33" s="3">
        <f>IFERROR(__xludf.DUMMYFUNCTION("""COMPUTED_VALUE"""),0.0)</f>
        <v>0</v>
      </c>
      <c r="AV33" s="3">
        <f>IFERROR(__xludf.DUMMYFUNCTION("""COMPUTED_VALUE"""),0.0)</f>
        <v>0</v>
      </c>
      <c r="AW33" s="3">
        <f>IFERROR(__xludf.DUMMYFUNCTION("""COMPUTED_VALUE"""),0.0)</f>
        <v>0</v>
      </c>
      <c r="AX33" s="3">
        <f>IFERROR(__xludf.DUMMYFUNCTION("""COMPUTED_VALUE"""),0.0)</f>
        <v>0</v>
      </c>
      <c r="AY33" s="3">
        <f>IFERROR(__xludf.DUMMYFUNCTION("""COMPUTED_VALUE"""),0.0)</f>
        <v>0</v>
      </c>
      <c r="AZ33" s="3">
        <f>IFERROR(__xludf.DUMMYFUNCTION("""COMPUTED_VALUE"""),0.0)</f>
        <v>0</v>
      </c>
      <c r="BA33" s="3">
        <f>IFERROR(__xludf.DUMMYFUNCTION("""COMPUTED_VALUE"""),0.0)</f>
        <v>0</v>
      </c>
      <c r="BB33" s="3">
        <f>IFERROR(__xludf.DUMMYFUNCTION("""COMPUTED_VALUE"""),0.0)</f>
        <v>0</v>
      </c>
      <c r="BC33" s="3">
        <f>IFERROR(__xludf.DUMMYFUNCTION("""COMPUTED_VALUE"""),0.0)</f>
        <v>0</v>
      </c>
      <c r="BD33" s="3">
        <f>IFERROR(__xludf.DUMMYFUNCTION("""COMPUTED_VALUE"""),0.0)</f>
        <v>0</v>
      </c>
      <c r="BE33" s="3">
        <f>IFERROR(__xludf.DUMMYFUNCTION("""COMPUTED_VALUE"""),0.0)</f>
        <v>0</v>
      </c>
      <c r="BF33" s="3">
        <f>IFERROR(__xludf.DUMMYFUNCTION("""COMPUTED_VALUE"""),0.0)</f>
        <v>0</v>
      </c>
      <c r="BG33" s="3">
        <f>IFERROR(__xludf.DUMMYFUNCTION("""COMPUTED_VALUE"""),0.0)</f>
        <v>0</v>
      </c>
      <c r="BH33" s="3">
        <f>IFERROR(__xludf.DUMMYFUNCTION("""COMPUTED_VALUE"""),0.0)</f>
        <v>0</v>
      </c>
      <c r="BI33" s="3">
        <f>IFERROR(__xludf.DUMMYFUNCTION("""COMPUTED_VALUE"""),0.0)</f>
        <v>0</v>
      </c>
      <c r="BJ33" s="3">
        <f>IFERROR(__xludf.DUMMYFUNCTION("""COMPUTED_VALUE"""),0.0)</f>
        <v>0</v>
      </c>
      <c r="BK33" s="3">
        <f>IFERROR(__xludf.DUMMYFUNCTION("""COMPUTED_VALUE"""),0.0)</f>
        <v>0</v>
      </c>
      <c r="BL33" s="3">
        <f>IFERROR(__xludf.DUMMYFUNCTION("""COMPUTED_VALUE"""),3.0)</f>
        <v>3</v>
      </c>
      <c r="BM33" s="3">
        <f>IFERROR(__xludf.DUMMYFUNCTION("""COMPUTED_VALUE"""),3.0)</f>
        <v>3</v>
      </c>
      <c r="BN33" s="3">
        <f>IFERROR(__xludf.DUMMYFUNCTION("""COMPUTED_VALUE"""),3.0)</f>
        <v>3</v>
      </c>
      <c r="BO33" s="3">
        <f>IFERROR(__xludf.DUMMYFUNCTION("""COMPUTED_VALUE"""),3.0)</f>
        <v>3</v>
      </c>
      <c r="BP33" s="3">
        <f>IFERROR(__xludf.DUMMYFUNCTION("""COMPUTED_VALUE"""),4.0)</f>
        <v>4</v>
      </c>
      <c r="BQ33" s="3">
        <f>IFERROR(__xludf.DUMMYFUNCTION("""COMPUTED_VALUE"""),8.0)</f>
        <v>8</v>
      </c>
      <c r="BR33" s="3">
        <f>IFERROR(__xludf.DUMMYFUNCTION("""COMPUTED_VALUE"""),9.0)</f>
        <v>9</v>
      </c>
      <c r="BS33" s="3">
        <f>IFERROR(__xludf.DUMMYFUNCTION("""COMPUTED_VALUE"""),11.0)</f>
        <v>11</v>
      </c>
      <c r="BT33" s="3">
        <f>IFERROR(__xludf.DUMMYFUNCTION("""COMPUTED_VALUE"""),14.0)</f>
        <v>14</v>
      </c>
      <c r="BU33" s="3">
        <f>IFERROR(__xludf.DUMMYFUNCTION("""COMPUTED_VALUE"""),17.0)</f>
        <v>17</v>
      </c>
      <c r="BV33" s="3">
        <f>IFERROR(__xludf.DUMMYFUNCTION("""COMPUTED_VALUE"""),17.0)</f>
        <v>17</v>
      </c>
      <c r="BW33" s="3">
        <f>IFERROR(__xludf.DUMMYFUNCTION("""COMPUTED_VALUE"""),20.0)</f>
        <v>20</v>
      </c>
      <c r="BX33" s="3">
        <f>IFERROR(__xludf.DUMMYFUNCTION("""COMPUTED_VALUE"""),25.0)</f>
        <v>25</v>
      </c>
      <c r="BY33" s="3">
        <f>IFERROR(__xludf.DUMMYFUNCTION("""COMPUTED_VALUE"""),30.0)</f>
        <v>30</v>
      </c>
      <c r="BZ33" s="3">
        <f>IFERROR(__xludf.DUMMYFUNCTION("""COMPUTED_VALUE"""),34.0)</f>
        <v>34</v>
      </c>
      <c r="CA33" s="3">
        <f>IFERROR(__xludf.DUMMYFUNCTION("""COMPUTED_VALUE"""),37.0)</f>
        <v>37</v>
      </c>
      <c r="CB33" s="3">
        <f>IFERROR(__xludf.DUMMYFUNCTION("""COMPUTED_VALUE"""),39.0)</f>
        <v>39</v>
      </c>
    </row>
    <row r="34">
      <c r="A34" s="3" t="str">
        <f>IFERROR(__xludf.DUMMYFUNCTION("""COMPUTED_VALUE"""),"")</f>
        <v/>
      </c>
      <c r="B34" s="3" t="str">
        <f>IFERROR(__xludf.DUMMYFUNCTION("""COMPUTED_VALUE"""),"Burkina Faso")</f>
        <v>Burkina Faso</v>
      </c>
      <c r="C34" s="3">
        <f>IFERROR(__xludf.DUMMYFUNCTION("""COMPUTED_VALUE"""),12.2383)</f>
        <v>12.2383</v>
      </c>
      <c r="D34" s="3">
        <f>IFERROR(__xludf.DUMMYFUNCTION("""COMPUTED_VALUE"""),-1.5616)</f>
        <v>-1.5616</v>
      </c>
      <c r="E34" s="3">
        <f>IFERROR(__xludf.DUMMYFUNCTION("""COMPUTED_VALUE"""),0.0)</f>
        <v>0</v>
      </c>
      <c r="F34" s="3">
        <f>IFERROR(__xludf.DUMMYFUNCTION("""COMPUTED_VALUE"""),0.0)</f>
        <v>0</v>
      </c>
      <c r="G34" s="3">
        <f>IFERROR(__xludf.DUMMYFUNCTION("""COMPUTED_VALUE"""),0.0)</f>
        <v>0</v>
      </c>
      <c r="H34" s="3">
        <f>IFERROR(__xludf.DUMMYFUNCTION("""COMPUTED_VALUE"""),0.0)</f>
        <v>0</v>
      </c>
      <c r="I34" s="3">
        <f>IFERROR(__xludf.DUMMYFUNCTION("""COMPUTED_VALUE"""),0.0)</f>
        <v>0</v>
      </c>
      <c r="J34" s="3">
        <f>IFERROR(__xludf.DUMMYFUNCTION("""COMPUTED_VALUE"""),0.0)</f>
        <v>0</v>
      </c>
      <c r="K34" s="3">
        <f>IFERROR(__xludf.DUMMYFUNCTION("""COMPUTED_VALUE"""),0.0)</f>
        <v>0</v>
      </c>
      <c r="L34" s="3">
        <f>IFERROR(__xludf.DUMMYFUNCTION("""COMPUTED_VALUE"""),0.0)</f>
        <v>0</v>
      </c>
      <c r="M34" s="3">
        <f>IFERROR(__xludf.DUMMYFUNCTION("""COMPUTED_VALUE"""),0.0)</f>
        <v>0</v>
      </c>
      <c r="N34" s="3">
        <f>IFERROR(__xludf.DUMMYFUNCTION("""COMPUTED_VALUE"""),0.0)</f>
        <v>0</v>
      </c>
      <c r="O34" s="3">
        <f>IFERROR(__xludf.DUMMYFUNCTION("""COMPUTED_VALUE"""),0.0)</f>
        <v>0</v>
      </c>
      <c r="P34" s="3">
        <f>IFERROR(__xludf.DUMMYFUNCTION("""COMPUTED_VALUE"""),0.0)</f>
        <v>0</v>
      </c>
      <c r="Q34" s="3">
        <f>IFERROR(__xludf.DUMMYFUNCTION("""COMPUTED_VALUE"""),0.0)</f>
        <v>0</v>
      </c>
      <c r="R34" s="3">
        <f>IFERROR(__xludf.DUMMYFUNCTION("""COMPUTED_VALUE"""),0.0)</f>
        <v>0</v>
      </c>
      <c r="S34" s="3">
        <f>IFERROR(__xludf.DUMMYFUNCTION("""COMPUTED_VALUE"""),0.0)</f>
        <v>0</v>
      </c>
      <c r="T34" s="3">
        <f>IFERROR(__xludf.DUMMYFUNCTION("""COMPUTED_VALUE"""),0.0)</f>
        <v>0</v>
      </c>
      <c r="U34" s="3">
        <f>IFERROR(__xludf.DUMMYFUNCTION("""COMPUTED_VALUE"""),0.0)</f>
        <v>0</v>
      </c>
      <c r="V34" s="3">
        <f>IFERROR(__xludf.DUMMYFUNCTION("""COMPUTED_VALUE"""),0.0)</f>
        <v>0</v>
      </c>
      <c r="W34" s="3">
        <f>IFERROR(__xludf.DUMMYFUNCTION("""COMPUTED_VALUE"""),0.0)</f>
        <v>0</v>
      </c>
      <c r="X34" s="3">
        <f>IFERROR(__xludf.DUMMYFUNCTION("""COMPUTED_VALUE"""),0.0)</f>
        <v>0</v>
      </c>
      <c r="Y34" s="3">
        <f>IFERROR(__xludf.DUMMYFUNCTION("""COMPUTED_VALUE"""),0.0)</f>
        <v>0</v>
      </c>
      <c r="Z34" s="3">
        <f>IFERROR(__xludf.DUMMYFUNCTION("""COMPUTED_VALUE"""),0.0)</f>
        <v>0</v>
      </c>
      <c r="AA34" s="3">
        <f>IFERROR(__xludf.DUMMYFUNCTION("""COMPUTED_VALUE"""),0.0)</f>
        <v>0</v>
      </c>
      <c r="AB34" s="3">
        <f>IFERROR(__xludf.DUMMYFUNCTION("""COMPUTED_VALUE"""),0.0)</f>
        <v>0</v>
      </c>
      <c r="AC34" s="3">
        <f>IFERROR(__xludf.DUMMYFUNCTION("""COMPUTED_VALUE"""),0.0)</f>
        <v>0</v>
      </c>
      <c r="AD34" s="3">
        <f>IFERROR(__xludf.DUMMYFUNCTION("""COMPUTED_VALUE"""),0.0)</f>
        <v>0</v>
      </c>
      <c r="AE34" s="3">
        <f>IFERROR(__xludf.DUMMYFUNCTION("""COMPUTED_VALUE"""),0.0)</f>
        <v>0</v>
      </c>
      <c r="AF34" s="3">
        <f>IFERROR(__xludf.DUMMYFUNCTION("""COMPUTED_VALUE"""),0.0)</f>
        <v>0</v>
      </c>
      <c r="AG34" s="3">
        <f>IFERROR(__xludf.DUMMYFUNCTION("""COMPUTED_VALUE"""),0.0)</f>
        <v>0</v>
      </c>
      <c r="AH34" s="3">
        <f>IFERROR(__xludf.DUMMYFUNCTION("""COMPUTED_VALUE"""),0.0)</f>
        <v>0</v>
      </c>
      <c r="AI34" s="3">
        <f>IFERROR(__xludf.DUMMYFUNCTION("""COMPUTED_VALUE"""),0.0)</f>
        <v>0</v>
      </c>
      <c r="AJ34" s="3">
        <f>IFERROR(__xludf.DUMMYFUNCTION("""COMPUTED_VALUE"""),0.0)</f>
        <v>0</v>
      </c>
      <c r="AK34" s="3">
        <f>IFERROR(__xludf.DUMMYFUNCTION("""COMPUTED_VALUE"""),0.0)</f>
        <v>0</v>
      </c>
      <c r="AL34" s="3">
        <f>IFERROR(__xludf.DUMMYFUNCTION("""COMPUTED_VALUE"""),0.0)</f>
        <v>0</v>
      </c>
      <c r="AM34" s="3">
        <f>IFERROR(__xludf.DUMMYFUNCTION("""COMPUTED_VALUE"""),0.0)</f>
        <v>0</v>
      </c>
      <c r="AN34" s="3">
        <f>IFERROR(__xludf.DUMMYFUNCTION("""COMPUTED_VALUE"""),0.0)</f>
        <v>0</v>
      </c>
      <c r="AO34" s="3">
        <f>IFERROR(__xludf.DUMMYFUNCTION("""COMPUTED_VALUE"""),0.0)</f>
        <v>0</v>
      </c>
      <c r="AP34" s="3">
        <f>IFERROR(__xludf.DUMMYFUNCTION("""COMPUTED_VALUE"""),0.0)</f>
        <v>0</v>
      </c>
      <c r="AQ34" s="3">
        <f>IFERROR(__xludf.DUMMYFUNCTION("""COMPUTED_VALUE"""),0.0)</f>
        <v>0</v>
      </c>
      <c r="AR34" s="3">
        <f>IFERROR(__xludf.DUMMYFUNCTION("""COMPUTED_VALUE"""),0.0)</f>
        <v>0</v>
      </c>
      <c r="AS34" s="3">
        <f>IFERROR(__xludf.DUMMYFUNCTION("""COMPUTED_VALUE"""),0.0)</f>
        <v>0</v>
      </c>
      <c r="AT34" s="3">
        <f>IFERROR(__xludf.DUMMYFUNCTION("""COMPUTED_VALUE"""),0.0)</f>
        <v>0</v>
      </c>
      <c r="AU34" s="3">
        <f>IFERROR(__xludf.DUMMYFUNCTION("""COMPUTED_VALUE"""),0.0)</f>
        <v>0</v>
      </c>
      <c r="AV34" s="3">
        <f>IFERROR(__xludf.DUMMYFUNCTION("""COMPUTED_VALUE"""),0.0)</f>
        <v>0</v>
      </c>
      <c r="AW34" s="3">
        <f>IFERROR(__xludf.DUMMYFUNCTION("""COMPUTED_VALUE"""),0.0)</f>
        <v>0</v>
      </c>
      <c r="AX34" s="3">
        <f>IFERROR(__xludf.DUMMYFUNCTION("""COMPUTED_VALUE"""),0.0)</f>
        <v>0</v>
      </c>
      <c r="AY34" s="3">
        <f>IFERROR(__xludf.DUMMYFUNCTION("""COMPUTED_VALUE"""),0.0)</f>
        <v>0</v>
      </c>
      <c r="AZ34" s="3">
        <f>IFERROR(__xludf.DUMMYFUNCTION("""COMPUTED_VALUE"""),0.0)</f>
        <v>0</v>
      </c>
      <c r="BA34" s="3">
        <f>IFERROR(__xludf.DUMMYFUNCTION("""COMPUTED_VALUE"""),0.0)</f>
        <v>0</v>
      </c>
      <c r="BB34" s="3">
        <f>IFERROR(__xludf.DUMMYFUNCTION("""COMPUTED_VALUE"""),0.0)</f>
        <v>0</v>
      </c>
      <c r="BC34" s="3">
        <f>IFERROR(__xludf.DUMMYFUNCTION("""COMPUTED_VALUE"""),0.0)</f>
        <v>0</v>
      </c>
      <c r="BD34" s="3">
        <f>IFERROR(__xludf.DUMMYFUNCTION("""COMPUTED_VALUE"""),0.0)</f>
        <v>0</v>
      </c>
      <c r="BE34" s="3">
        <f>IFERROR(__xludf.DUMMYFUNCTION("""COMPUTED_VALUE"""),0.0)</f>
        <v>0</v>
      </c>
      <c r="BF34" s="3">
        <f>IFERROR(__xludf.DUMMYFUNCTION("""COMPUTED_VALUE"""),0.0)</f>
        <v>0</v>
      </c>
      <c r="BG34" s="3">
        <f>IFERROR(__xludf.DUMMYFUNCTION("""COMPUTED_VALUE"""),0.0)</f>
        <v>0</v>
      </c>
      <c r="BH34" s="3">
        <f>IFERROR(__xludf.DUMMYFUNCTION("""COMPUTED_VALUE"""),0.0)</f>
        <v>0</v>
      </c>
      <c r="BI34" s="3">
        <f>IFERROR(__xludf.DUMMYFUNCTION("""COMPUTED_VALUE"""),0.0)</f>
        <v>0</v>
      </c>
      <c r="BJ34" s="3">
        <f>IFERROR(__xludf.DUMMYFUNCTION("""COMPUTED_VALUE"""),0.0)</f>
        <v>0</v>
      </c>
      <c r="BK34" s="3">
        <f>IFERROR(__xludf.DUMMYFUNCTION("""COMPUTED_VALUE"""),0.0)</f>
        <v>0</v>
      </c>
      <c r="BL34" s="3">
        <f>IFERROR(__xludf.DUMMYFUNCTION("""COMPUTED_VALUE"""),5.0)</f>
        <v>5</v>
      </c>
      <c r="BM34" s="3">
        <f>IFERROR(__xludf.DUMMYFUNCTION("""COMPUTED_VALUE"""),5.0)</f>
        <v>5</v>
      </c>
      <c r="BN34" s="3">
        <f>IFERROR(__xludf.DUMMYFUNCTION("""COMPUTED_VALUE"""),5.0)</f>
        <v>5</v>
      </c>
      <c r="BO34" s="3">
        <f>IFERROR(__xludf.DUMMYFUNCTION("""COMPUTED_VALUE"""),7.0)</f>
        <v>7</v>
      </c>
      <c r="BP34" s="3">
        <f>IFERROR(__xludf.DUMMYFUNCTION("""COMPUTED_VALUE"""),10.0)</f>
        <v>10</v>
      </c>
      <c r="BQ34" s="3">
        <f>IFERROR(__xludf.DUMMYFUNCTION("""COMPUTED_VALUE"""),10.0)</f>
        <v>10</v>
      </c>
      <c r="BR34" s="3">
        <f>IFERROR(__xludf.DUMMYFUNCTION("""COMPUTED_VALUE"""),12.0)</f>
        <v>12</v>
      </c>
      <c r="BS34" s="3">
        <f>IFERROR(__xludf.DUMMYFUNCTION("""COMPUTED_VALUE"""),21.0)</f>
        <v>21</v>
      </c>
      <c r="BT34" s="3">
        <f>IFERROR(__xludf.DUMMYFUNCTION("""COMPUTED_VALUE"""),23.0)</f>
        <v>23</v>
      </c>
      <c r="BU34" s="3">
        <f>IFERROR(__xludf.DUMMYFUNCTION("""COMPUTED_VALUE"""),31.0)</f>
        <v>31</v>
      </c>
      <c r="BV34" s="3">
        <f>IFERROR(__xludf.DUMMYFUNCTION("""COMPUTED_VALUE"""),32.0)</f>
        <v>32</v>
      </c>
      <c r="BW34" s="3">
        <f>IFERROR(__xludf.DUMMYFUNCTION("""COMPUTED_VALUE"""),46.0)</f>
        <v>46</v>
      </c>
      <c r="BX34" s="3">
        <f>IFERROR(__xludf.DUMMYFUNCTION("""COMPUTED_VALUE"""),50.0)</f>
        <v>50</v>
      </c>
      <c r="BY34" s="3">
        <f>IFERROR(__xludf.DUMMYFUNCTION("""COMPUTED_VALUE"""),50.0)</f>
        <v>50</v>
      </c>
      <c r="BZ34" s="3">
        <f>IFERROR(__xludf.DUMMYFUNCTION("""COMPUTED_VALUE"""),66.0)</f>
        <v>66</v>
      </c>
      <c r="CA34" s="3">
        <f>IFERROR(__xludf.DUMMYFUNCTION("""COMPUTED_VALUE"""),90.0)</f>
        <v>90</v>
      </c>
      <c r="CB34" s="3">
        <f>IFERROR(__xludf.DUMMYFUNCTION("""COMPUTED_VALUE"""),108.0)</f>
        <v>108</v>
      </c>
    </row>
    <row r="35">
      <c r="A35" s="3" t="str">
        <f>IFERROR(__xludf.DUMMYFUNCTION("""COMPUTED_VALUE"""),"")</f>
        <v/>
      </c>
      <c r="B35" s="3" t="str">
        <f>IFERROR(__xludf.DUMMYFUNCTION("""COMPUTED_VALUE"""),"Cabo Verde")</f>
        <v>Cabo Verde</v>
      </c>
      <c r="C35" s="3">
        <f>IFERROR(__xludf.DUMMYFUNCTION("""COMPUTED_VALUE"""),16.5388)</f>
        <v>16.5388</v>
      </c>
      <c r="D35" s="3">
        <f>IFERROR(__xludf.DUMMYFUNCTION("""COMPUTED_VALUE"""),-23.0418)</f>
        <v>-23.0418</v>
      </c>
      <c r="E35" s="3">
        <f>IFERROR(__xludf.DUMMYFUNCTION("""COMPUTED_VALUE"""),0.0)</f>
        <v>0</v>
      </c>
      <c r="F35" s="3">
        <f>IFERROR(__xludf.DUMMYFUNCTION("""COMPUTED_VALUE"""),0.0)</f>
        <v>0</v>
      </c>
      <c r="G35" s="3">
        <f>IFERROR(__xludf.DUMMYFUNCTION("""COMPUTED_VALUE"""),0.0)</f>
        <v>0</v>
      </c>
      <c r="H35" s="3">
        <f>IFERROR(__xludf.DUMMYFUNCTION("""COMPUTED_VALUE"""),0.0)</f>
        <v>0</v>
      </c>
      <c r="I35" s="3">
        <f>IFERROR(__xludf.DUMMYFUNCTION("""COMPUTED_VALUE"""),0.0)</f>
        <v>0</v>
      </c>
      <c r="J35" s="3">
        <f>IFERROR(__xludf.DUMMYFUNCTION("""COMPUTED_VALUE"""),0.0)</f>
        <v>0</v>
      </c>
      <c r="K35" s="3">
        <f>IFERROR(__xludf.DUMMYFUNCTION("""COMPUTED_VALUE"""),0.0)</f>
        <v>0</v>
      </c>
      <c r="L35" s="3">
        <f>IFERROR(__xludf.DUMMYFUNCTION("""COMPUTED_VALUE"""),0.0)</f>
        <v>0</v>
      </c>
      <c r="M35" s="3">
        <f>IFERROR(__xludf.DUMMYFUNCTION("""COMPUTED_VALUE"""),0.0)</f>
        <v>0</v>
      </c>
      <c r="N35" s="3">
        <f>IFERROR(__xludf.DUMMYFUNCTION("""COMPUTED_VALUE"""),0.0)</f>
        <v>0</v>
      </c>
      <c r="O35" s="3">
        <f>IFERROR(__xludf.DUMMYFUNCTION("""COMPUTED_VALUE"""),0.0)</f>
        <v>0</v>
      </c>
      <c r="P35" s="3">
        <f>IFERROR(__xludf.DUMMYFUNCTION("""COMPUTED_VALUE"""),0.0)</f>
        <v>0</v>
      </c>
      <c r="Q35" s="3">
        <f>IFERROR(__xludf.DUMMYFUNCTION("""COMPUTED_VALUE"""),0.0)</f>
        <v>0</v>
      </c>
      <c r="R35" s="3">
        <f>IFERROR(__xludf.DUMMYFUNCTION("""COMPUTED_VALUE"""),0.0)</f>
        <v>0</v>
      </c>
      <c r="S35" s="3">
        <f>IFERROR(__xludf.DUMMYFUNCTION("""COMPUTED_VALUE"""),0.0)</f>
        <v>0</v>
      </c>
      <c r="T35" s="3">
        <f>IFERROR(__xludf.DUMMYFUNCTION("""COMPUTED_VALUE"""),0.0)</f>
        <v>0</v>
      </c>
      <c r="U35" s="3">
        <f>IFERROR(__xludf.DUMMYFUNCTION("""COMPUTED_VALUE"""),0.0)</f>
        <v>0</v>
      </c>
      <c r="V35" s="3">
        <f>IFERROR(__xludf.DUMMYFUNCTION("""COMPUTED_VALUE"""),0.0)</f>
        <v>0</v>
      </c>
      <c r="W35" s="3">
        <f>IFERROR(__xludf.DUMMYFUNCTION("""COMPUTED_VALUE"""),0.0)</f>
        <v>0</v>
      </c>
      <c r="X35" s="3">
        <f>IFERROR(__xludf.DUMMYFUNCTION("""COMPUTED_VALUE"""),0.0)</f>
        <v>0</v>
      </c>
      <c r="Y35" s="3">
        <f>IFERROR(__xludf.DUMMYFUNCTION("""COMPUTED_VALUE"""),0.0)</f>
        <v>0</v>
      </c>
      <c r="Z35" s="3">
        <f>IFERROR(__xludf.DUMMYFUNCTION("""COMPUTED_VALUE"""),0.0)</f>
        <v>0</v>
      </c>
      <c r="AA35" s="3">
        <f>IFERROR(__xludf.DUMMYFUNCTION("""COMPUTED_VALUE"""),0.0)</f>
        <v>0</v>
      </c>
      <c r="AB35" s="3">
        <f>IFERROR(__xludf.DUMMYFUNCTION("""COMPUTED_VALUE"""),0.0)</f>
        <v>0</v>
      </c>
      <c r="AC35" s="3">
        <f>IFERROR(__xludf.DUMMYFUNCTION("""COMPUTED_VALUE"""),0.0)</f>
        <v>0</v>
      </c>
      <c r="AD35" s="3">
        <f>IFERROR(__xludf.DUMMYFUNCTION("""COMPUTED_VALUE"""),0.0)</f>
        <v>0</v>
      </c>
      <c r="AE35" s="3">
        <f>IFERROR(__xludf.DUMMYFUNCTION("""COMPUTED_VALUE"""),0.0)</f>
        <v>0</v>
      </c>
      <c r="AF35" s="3">
        <f>IFERROR(__xludf.DUMMYFUNCTION("""COMPUTED_VALUE"""),0.0)</f>
        <v>0</v>
      </c>
      <c r="AG35" s="3">
        <f>IFERROR(__xludf.DUMMYFUNCTION("""COMPUTED_VALUE"""),0.0)</f>
        <v>0</v>
      </c>
      <c r="AH35" s="3">
        <f>IFERROR(__xludf.DUMMYFUNCTION("""COMPUTED_VALUE"""),0.0)</f>
        <v>0</v>
      </c>
      <c r="AI35" s="3">
        <f>IFERROR(__xludf.DUMMYFUNCTION("""COMPUTED_VALUE"""),0.0)</f>
        <v>0</v>
      </c>
      <c r="AJ35" s="3">
        <f>IFERROR(__xludf.DUMMYFUNCTION("""COMPUTED_VALUE"""),0.0)</f>
        <v>0</v>
      </c>
      <c r="AK35" s="3">
        <f>IFERROR(__xludf.DUMMYFUNCTION("""COMPUTED_VALUE"""),0.0)</f>
        <v>0</v>
      </c>
      <c r="AL35" s="3">
        <f>IFERROR(__xludf.DUMMYFUNCTION("""COMPUTED_VALUE"""),0.0)</f>
        <v>0</v>
      </c>
      <c r="AM35" s="3">
        <f>IFERROR(__xludf.DUMMYFUNCTION("""COMPUTED_VALUE"""),0.0)</f>
        <v>0</v>
      </c>
      <c r="AN35" s="3">
        <f>IFERROR(__xludf.DUMMYFUNCTION("""COMPUTED_VALUE"""),0.0)</f>
        <v>0</v>
      </c>
      <c r="AO35" s="3">
        <f>IFERROR(__xludf.DUMMYFUNCTION("""COMPUTED_VALUE"""),0.0)</f>
        <v>0</v>
      </c>
      <c r="AP35" s="3">
        <f>IFERROR(__xludf.DUMMYFUNCTION("""COMPUTED_VALUE"""),0.0)</f>
        <v>0</v>
      </c>
      <c r="AQ35" s="3">
        <f>IFERROR(__xludf.DUMMYFUNCTION("""COMPUTED_VALUE"""),0.0)</f>
        <v>0</v>
      </c>
      <c r="AR35" s="3">
        <f>IFERROR(__xludf.DUMMYFUNCTION("""COMPUTED_VALUE"""),0.0)</f>
        <v>0</v>
      </c>
      <c r="AS35" s="3">
        <f>IFERROR(__xludf.DUMMYFUNCTION("""COMPUTED_VALUE"""),0.0)</f>
        <v>0</v>
      </c>
      <c r="AT35" s="3">
        <f>IFERROR(__xludf.DUMMYFUNCTION("""COMPUTED_VALUE"""),0.0)</f>
        <v>0</v>
      </c>
      <c r="AU35" s="3">
        <f>IFERROR(__xludf.DUMMYFUNCTION("""COMPUTED_VALUE"""),0.0)</f>
        <v>0</v>
      </c>
      <c r="AV35" s="3">
        <f>IFERROR(__xludf.DUMMYFUNCTION("""COMPUTED_VALUE"""),0.0)</f>
        <v>0</v>
      </c>
      <c r="AW35" s="3">
        <f>IFERROR(__xludf.DUMMYFUNCTION("""COMPUTED_VALUE"""),0.0)</f>
        <v>0</v>
      </c>
      <c r="AX35" s="3">
        <f>IFERROR(__xludf.DUMMYFUNCTION("""COMPUTED_VALUE"""),0.0)</f>
        <v>0</v>
      </c>
      <c r="AY35" s="3">
        <f>IFERROR(__xludf.DUMMYFUNCTION("""COMPUTED_VALUE"""),0.0)</f>
        <v>0</v>
      </c>
      <c r="AZ35" s="3">
        <f>IFERROR(__xludf.DUMMYFUNCTION("""COMPUTED_VALUE"""),0.0)</f>
        <v>0</v>
      </c>
      <c r="BA35" s="3">
        <f>IFERROR(__xludf.DUMMYFUNCTION("""COMPUTED_VALUE"""),0.0)</f>
        <v>0</v>
      </c>
      <c r="BB35" s="3">
        <f>IFERROR(__xludf.DUMMYFUNCTION("""COMPUTED_VALUE"""),0.0)</f>
        <v>0</v>
      </c>
      <c r="BC35" s="3">
        <f>IFERROR(__xludf.DUMMYFUNCTION("""COMPUTED_VALUE"""),0.0)</f>
        <v>0</v>
      </c>
      <c r="BD35" s="3">
        <f>IFERROR(__xludf.DUMMYFUNCTION("""COMPUTED_VALUE"""),0.0)</f>
        <v>0</v>
      </c>
      <c r="BE35" s="3">
        <f>IFERROR(__xludf.DUMMYFUNCTION("""COMPUTED_VALUE"""),0.0)</f>
        <v>0</v>
      </c>
      <c r="BF35" s="3">
        <f>IFERROR(__xludf.DUMMYFUNCTION("""COMPUTED_VALUE"""),0.0)</f>
        <v>0</v>
      </c>
      <c r="BG35" s="3">
        <f>IFERROR(__xludf.DUMMYFUNCTION("""COMPUTED_VALUE"""),0.0)</f>
        <v>0</v>
      </c>
      <c r="BH35" s="3">
        <f>IFERROR(__xludf.DUMMYFUNCTION("""COMPUTED_VALUE"""),0.0)</f>
        <v>0</v>
      </c>
      <c r="BI35" s="3">
        <f>IFERROR(__xludf.DUMMYFUNCTION("""COMPUTED_VALUE"""),0.0)</f>
        <v>0</v>
      </c>
      <c r="BJ35" s="3">
        <f>IFERROR(__xludf.DUMMYFUNCTION("""COMPUTED_VALUE"""),0.0)</f>
        <v>0</v>
      </c>
      <c r="BK35" s="3">
        <f>IFERROR(__xludf.DUMMYFUNCTION("""COMPUTED_VALUE"""),0.0)</f>
        <v>0</v>
      </c>
      <c r="BL35" s="3">
        <f>IFERROR(__xludf.DUMMYFUNCTION("""COMPUTED_VALUE"""),0.0)</f>
        <v>0</v>
      </c>
      <c r="BM35" s="3">
        <f>IFERROR(__xludf.DUMMYFUNCTION("""COMPUTED_VALUE"""),0.0)</f>
        <v>0</v>
      </c>
      <c r="BN35" s="3">
        <f>IFERROR(__xludf.DUMMYFUNCTION("""COMPUTED_VALUE"""),0.0)</f>
        <v>0</v>
      </c>
      <c r="BO35" s="3">
        <f>IFERROR(__xludf.DUMMYFUNCTION("""COMPUTED_VALUE"""),0.0)</f>
        <v>0</v>
      </c>
      <c r="BP35" s="3">
        <f>IFERROR(__xludf.DUMMYFUNCTION("""COMPUTED_VALUE"""),0.0)</f>
        <v>0</v>
      </c>
      <c r="BQ35" s="3">
        <f>IFERROR(__xludf.DUMMYFUNCTION("""COMPUTED_VALUE"""),0.0)</f>
        <v>0</v>
      </c>
      <c r="BR35" s="3">
        <f>IFERROR(__xludf.DUMMYFUNCTION("""COMPUTED_VALUE"""),0.0)</f>
        <v>0</v>
      </c>
      <c r="BS35" s="3">
        <f>IFERROR(__xludf.DUMMYFUNCTION("""COMPUTED_VALUE"""),0.0)</f>
        <v>0</v>
      </c>
      <c r="BT35" s="3">
        <f>IFERROR(__xludf.DUMMYFUNCTION("""COMPUTED_VALUE"""),0.0)</f>
        <v>0</v>
      </c>
      <c r="BU35" s="3">
        <f>IFERROR(__xludf.DUMMYFUNCTION("""COMPUTED_VALUE"""),0.0)</f>
        <v>0</v>
      </c>
      <c r="BV35" s="3">
        <f>IFERROR(__xludf.DUMMYFUNCTION("""COMPUTED_VALUE"""),0.0)</f>
        <v>0</v>
      </c>
      <c r="BW35" s="3">
        <f>IFERROR(__xludf.DUMMYFUNCTION("""COMPUTED_VALUE"""),0.0)</f>
        <v>0</v>
      </c>
      <c r="BX35" s="3">
        <f>IFERROR(__xludf.DUMMYFUNCTION("""COMPUTED_VALUE"""),0.0)</f>
        <v>0</v>
      </c>
      <c r="BY35" s="3">
        <f>IFERROR(__xludf.DUMMYFUNCTION("""COMPUTED_VALUE"""),0.0)</f>
        <v>0</v>
      </c>
      <c r="BZ35" s="3">
        <f>IFERROR(__xludf.DUMMYFUNCTION("""COMPUTED_VALUE"""),0.0)</f>
        <v>0</v>
      </c>
      <c r="CA35" s="3">
        <f>IFERROR(__xludf.DUMMYFUNCTION("""COMPUTED_VALUE"""),0.0)</f>
        <v>0</v>
      </c>
      <c r="CB35" s="3">
        <f>IFERROR(__xludf.DUMMYFUNCTION("""COMPUTED_VALUE"""),1.0)</f>
        <v>1</v>
      </c>
    </row>
    <row r="36">
      <c r="A36" s="3" t="str">
        <f>IFERROR(__xludf.DUMMYFUNCTION("""COMPUTED_VALUE"""),"")</f>
        <v/>
      </c>
      <c r="B36" s="3" t="str">
        <f>IFERROR(__xludf.DUMMYFUNCTION("""COMPUTED_VALUE"""),"Cambodia")</f>
        <v>Cambodia</v>
      </c>
      <c r="C36" s="3">
        <f>IFERROR(__xludf.DUMMYFUNCTION("""COMPUTED_VALUE"""),11.55)</f>
        <v>11.55</v>
      </c>
      <c r="D36" s="3">
        <f>IFERROR(__xludf.DUMMYFUNCTION("""COMPUTED_VALUE"""),104.9167)</f>
        <v>104.9167</v>
      </c>
      <c r="E36" s="3">
        <f>IFERROR(__xludf.DUMMYFUNCTION("""COMPUTED_VALUE"""),0.0)</f>
        <v>0</v>
      </c>
      <c r="F36" s="3">
        <f>IFERROR(__xludf.DUMMYFUNCTION("""COMPUTED_VALUE"""),0.0)</f>
        <v>0</v>
      </c>
      <c r="G36" s="3">
        <f>IFERROR(__xludf.DUMMYFUNCTION("""COMPUTED_VALUE"""),0.0)</f>
        <v>0</v>
      </c>
      <c r="H36" s="3">
        <f>IFERROR(__xludf.DUMMYFUNCTION("""COMPUTED_VALUE"""),0.0)</f>
        <v>0</v>
      </c>
      <c r="I36" s="3">
        <f>IFERROR(__xludf.DUMMYFUNCTION("""COMPUTED_VALUE"""),0.0)</f>
        <v>0</v>
      </c>
      <c r="J36" s="3">
        <f>IFERROR(__xludf.DUMMYFUNCTION("""COMPUTED_VALUE"""),0.0)</f>
        <v>0</v>
      </c>
      <c r="K36" s="3">
        <f>IFERROR(__xludf.DUMMYFUNCTION("""COMPUTED_VALUE"""),0.0)</f>
        <v>0</v>
      </c>
      <c r="L36" s="3">
        <f>IFERROR(__xludf.DUMMYFUNCTION("""COMPUTED_VALUE"""),0.0)</f>
        <v>0</v>
      </c>
      <c r="M36" s="3">
        <f>IFERROR(__xludf.DUMMYFUNCTION("""COMPUTED_VALUE"""),0.0)</f>
        <v>0</v>
      </c>
      <c r="N36" s="3">
        <f>IFERROR(__xludf.DUMMYFUNCTION("""COMPUTED_VALUE"""),0.0)</f>
        <v>0</v>
      </c>
      <c r="O36" s="3">
        <f>IFERROR(__xludf.DUMMYFUNCTION("""COMPUTED_VALUE"""),0.0)</f>
        <v>0</v>
      </c>
      <c r="P36" s="3">
        <f>IFERROR(__xludf.DUMMYFUNCTION("""COMPUTED_VALUE"""),0.0)</f>
        <v>0</v>
      </c>
      <c r="Q36" s="3">
        <f>IFERROR(__xludf.DUMMYFUNCTION("""COMPUTED_VALUE"""),0.0)</f>
        <v>0</v>
      </c>
      <c r="R36" s="3">
        <f>IFERROR(__xludf.DUMMYFUNCTION("""COMPUTED_VALUE"""),0.0)</f>
        <v>0</v>
      </c>
      <c r="S36" s="3">
        <f>IFERROR(__xludf.DUMMYFUNCTION("""COMPUTED_VALUE"""),0.0)</f>
        <v>0</v>
      </c>
      <c r="T36" s="3">
        <f>IFERROR(__xludf.DUMMYFUNCTION("""COMPUTED_VALUE"""),0.0)</f>
        <v>0</v>
      </c>
      <c r="U36" s="3">
        <f>IFERROR(__xludf.DUMMYFUNCTION("""COMPUTED_VALUE"""),0.0)</f>
        <v>0</v>
      </c>
      <c r="V36" s="3">
        <f>IFERROR(__xludf.DUMMYFUNCTION("""COMPUTED_VALUE"""),0.0)</f>
        <v>0</v>
      </c>
      <c r="W36" s="3">
        <f>IFERROR(__xludf.DUMMYFUNCTION("""COMPUTED_VALUE"""),0.0)</f>
        <v>0</v>
      </c>
      <c r="X36" s="3">
        <f>IFERROR(__xludf.DUMMYFUNCTION("""COMPUTED_VALUE"""),0.0)</f>
        <v>0</v>
      </c>
      <c r="Y36" s="3">
        <f>IFERROR(__xludf.DUMMYFUNCTION("""COMPUTED_VALUE"""),0.0)</f>
        <v>0</v>
      </c>
      <c r="Z36" s="3">
        <f>IFERROR(__xludf.DUMMYFUNCTION("""COMPUTED_VALUE"""),1.0)</f>
        <v>1</v>
      </c>
      <c r="AA36" s="3">
        <f>IFERROR(__xludf.DUMMYFUNCTION("""COMPUTED_VALUE"""),1.0)</f>
        <v>1</v>
      </c>
      <c r="AB36" s="3">
        <f>IFERROR(__xludf.DUMMYFUNCTION("""COMPUTED_VALUE"""),1.0)</f>
        <v>1</v>
      </c>
      <c r="AC36" s="3">
        <f>IFERROR(__xludf.DUMMYFUNCTION("""COMPUTED_VALUE"""),1.0)</f>
        <v>1</v>
      </c>
      <c r="AD36" s="3">
        <f>IFERROR(__xludf.DUMMYFUNCTION("""COMPUTED_VALUE"""),1.0)</f>
        <v>1</v>
      </c>
      <c r="AE36" s="3">
        <f>IFERROR(__xludf.DUMMYFUNCTION("""COMPUTED_VALUE"""),1.0)</f>
        <v>1</v>
      </c>
      <c r="AF36" s="3">
        <f>IFERROR(__xludf.DUMMYFUNCTION("""COMPUTED_VALUE"""),1.0)</f>
        <v>1</v>
      </c>
      <c r="AG36" s="3">
        <f>IFERROR(__xludf.DUMMYFUNCTION("""COMPUTED_VALUE"""),1.0)</f>
        <v>1</v>
      </c>
      <c r="AH36" s="3">
        <f>IFERROR(__xludf.DUMMYFUNCTION("""COMPUTED_VALUE"""),1.0)</f>
        <v>1</v>
      </c>
      <c r="AI36" s="3">
        <f>IFERROR(__xludf.DUMMYFUNCTION("""COMPUTED_VALUE"""),1.0)</f>
        <v>1</v>
      </c>
      <c r="AJ36" s="3">
        <f>IFERROR(__xludf.DUMMYFUNCTION("""COMPUTED_VALUE"""),1.0)</f>
        <v>1</v>
      </c>
      <c r="AK36" s="3">
        <f>IFERROR(__xludf.DUMMYFUNCTION("""COMPUTED_VALUE"""),1.0)</f>
        <v>1</v>
      </c>
      <c r="AL36" s="3">
        <f>IFERROR(__xludf.DUMMYFUNCTION("""COMPUTED_VALUE"""),1.0)</f>
        <v>1</v>
      </c>
      <c r="AM36" s="3">
        <f>IFERROR(__xludf.DUMMYFUNCTION("""COMPUTED_VALUE"""),1.0)</f>
        <v>1</v>
      </c>
      <c r="AN36" s="3">
        <f>IFERROR(__xludf.DUMMYFUNCTION("""COMPUTED_VALUE"""),1.0)</f>
        <v>1</v>
      </c>
      <c r="AO36" s="3">
        <f>IFERROR(__xludf.DUMMYFUNCTION("""COMPUTED_VALUE"""),1.0)</f>
        <v>1</v>
      </c>
      <c r="AP36" s="3">
        <f>IFERROR(__xludf.DUMMYFUNCTION("""COMPUTED_VALUE"""),1.0)</f>
        <v>1</v>
      </c>
      <c r="AQ36" s="3">
        <f>IFERROR(__xludf.DUMMYFUNCTION("""COMPUTED_VALUE"""),1.0)</f>
        <v>1</v>
      </c>
      <c r="AR36" s="3">
        <f>IFERROR(__xludf.DUMMYFUNCTION("""COMPUTED_VALUE"""),1.0)</f>
        <v>1</v>
      </c>
      <c r="AS36" s="3">
        <f>IFERROR(__xludf.DUMMYFUNCTION("""COMPUTED_VALUE"""),1.0)</f>
        <v>1</v>
      </c>
      <c r="AT36" s="3">
        <f>IFERROR(__xludf.DUMMYFUNCTION("""COMPUTED_VALUE"""),1.0)</f>
        <v>1</v>
      </c>
      <c r="AU36" s="3">
        <f>IFERROR(__xludf.DUMMYFUNCTION("""COMPUTED_VALUE"""),1.0)</f>
        <v>1</v>
      </c>
      <c r="AV36" s="3">
        <f>IFERROR(__xludf.DUMMYFUNCTION("""COMPUTED_VALUE"""),1.0)</f>
        <v>1</v>
      </c>
      <c r="AW36" s="3">
        <f>IFERROR(__xludf.DUMMYFUNCTION("""COMPUTED_VALUE"""),1.0)</f>
        <v>1</v>
      </c>
      <c r="AX36" s="3">
        <f>IFERROR(__xludf.DUMMYFUNCTION("""COMPUTED_VALUE"""),1.0)</f>
        <v>1</v>
      </c>
      <c r="AY36" s="3">
        <f>IFERROR(__xludf.DUMMYFUNCTION("""COMPUTED_VALUE"""),1.0)</f>
        <v>1</v>
      </c>
      <c r="AZ36" s="3">
        <f>IFERROR(__xludf.DUMMYFUNCTION("""COMPUTED_VALUE"""),1.0)</f>
        <v>1</v>
      </c>
      <c r="BA36" s="3">
        <f>IFERROR(__xludf.DUMMYFUNCTION("""COMPUTED_VALUE"""),1.0)</f>
        <v>1</v>
      </c>
      <c r="BB36" s="3">
        <f>IFERROR(__xludf.DUMMYFUNCTION("""COMPUTED_VALUE"""),1.0)</f>
        <v>1</v>
      </c>
      <c r="BC36" s="3">
        <f>IFERROR(__xludf.DUMMYFUNCTION("""COMPUTED_VALUE"""),1.0)</f>
        <v>1</v>
      </c>
      <c r="BD36" s="3">
        <f>IFERROR(__xludf.DUMMYFUNCTION("""COMPUTED_VALUE"""),1.0)</f>
        <v>1</v>
      </c>
      <c r="BE36" s="3">
        <f>IFERROR(__xludf.DUMMYFUNCTION("""COMPUTED_VALUE"""),1.0)</f>
        <v>1</v>
      </c>
      <c r="BF36" s="3">
        <f>IFERROR(__xludf.DUMMYFUNCTION("""COMPUTED_VALUE"""),1.0)</f>
        <v>1</v>
      </c>
      <c r="BG36" s="3">
        <f>IFERROR(__xludf.DUMMYFUNCTION("""COMPUTED_VALUE"""),1.0)</f>
        <v>1</v>
      </c>
      <c r="BH36" s="3">
        <f>IFERROR(__xludf.DUMMYFUNCTION("""COMPUTED_VALUE"""),1.0)</f>
        <v>1</v>
      </c>
      <c r="BI36" s="3">
        <f>IFERROR(__xludf.DUMMYFUNCTION("""COMPUTED_VALUE"""),1.0)</f>
        <v>1</v>
      </c>
      <c r="BJ36" s="3">
        <f>IFERROR(__xludf.DUMMYFUNCTION("""COMPUTED_VALUE"""),1.0)</f>
        <v>1</v>
      </c>
      <c r="BK36" s="3">
        <f>IFERROR(__xludf.DUMMYFUNCTION("""COMPUTED_VALUE"""),1.0)</f>
        <v>1</v>
      </c>
      <c r="BL36" s="3">
        <f>IFERROR(__xludf.DUMMYFUNCTION("""COMPUTED_VALUE"""),1.0)</f>
        <v>1</v>
      </c>
      <c r="BM36" s="3">
        <f>IFERROR(__xludf.DUMMYFUNCTION("""COMPUTED_VALUE"""),1.0)</f>
        <v>1</v>
      </c>
      <c r="BN36" s="3">
        <f>IFERROR(__xludf.DUMMYFUNCTION("""COMPUTED_VALUE"""),1.0)</f>
        <v>1</v>
      </c>
      <c r="BO36" s="3">
        <f>IFERROR(__xludf.DUMMYFUNCTION("""COMPUTED_VALUE"""),4.0)</f>
        <v>4</v>
      </c>
      <c r="BP36" s="3">
        <f>IFERROR(__xludf.DUMMYFUNCTION("""COMPUTED_VALUE"""),10.0)</f>
        <v>10</v>
      </c>
      <c r="BQ36" s="3">
        <f>IFERROR(__xludf.DUMMYFUNCTION("""COMPUTED_VALUE"""),10.0)</f>
        <v>10</v>
      </c>
      <c r="BR36" s="3">
        <f>IFERROR(__xludf.DUMMYFUNCTION("""COMPUTED_VALUE"""),11.0)</f>
        <v>11</v>
      </c>
      <c r="BS36" s="3">
        <f>IFERROR(__xludf.DUMMYFUNCTION("""COMPUTED_VALUE"""),13.0)</f>
        <v>13</v>
      </c>
      <c r="BT36" s="3">
        <f>IFERROR(__xludf.DUMMYFUNCTION("""COMPUTED_VALUE"""),21.0)</f>
        <v>21</v>
      </c>
      <c r="BU36" s="3">
        <f>IFERROR(__xludf.DUMMYFUNCTION("""COMPUTED_VALUE"""),21.0)</f>
        <v>21</v>
      </c>
      <c r="BV36" s="3">
        <f>IFERROR(__xludf.DUMMYFUNCTION("""COMPUTED_VALUE"""),23.0)</f>
        <v>23</v>
      </c>
      <c r="BW36" s="3">
        <f>IFERROR(__xludf.DUMMYFUNCTION("""COMPUTED_VALUE"""),25.0)</f>
        <v>25</v>
      </c>
      <c r="BX36" s="3">
        <f>IFERROR(__xludf.DUMMYFUNCTION("""COMPUTED_VALUE"""),34.0)</f>
        <v>34</v>
      </c>
      <c r="BY36" s="3">
        <f>IFERROR(__xludf.DUMMYFUNCTION("""COMPUTED_VALUE"""),35.0)</f>
        <v>35</v>
      </c>
      <c r="BZ36" s="3">
        <f>IFERROR(__xludf.DUMMYFUNCTION("""COMPUTED_VALUE"""),50.0)</f>
        <v>50</v>
      </c>
      <c r="CA36" s="3">
        <f>IFERROR(__xludf.DUMMYFUNCTION("""COMPUTED_VALUE"""),50.0)</f>
        <v>50</v>
      </c>
      <c r="CB36" s="3">
        <f>IFERROR(__xludf.DUMMYFUNCTION("""COMPUTED_VALUE"""),53.0)</f>
        <v>53</v>
      </c>
    </row>
    <row r="37">
      <c r="A37" s="3" t="str">
        <f>IFERROR(__xludf.DUMMYFUNCTION("""COMPUTED_VALUE"""),"")</f>
        <v/>
      </c>
      <c r="B37" s="3" t="str">
        <f>IFERROR(__xludf.DUMMYFUNCTION("""COMPUTED_VALUE"""),"Cameroon")</f>
        <v>Cameroon</v>
      </c>
      <c r="C37" s="3">
        <f>IFERROR(__xludf.DUMMYFUNCTION("""COMPUTED_VALUE"""),3.848)</f>
        <v>3.848</v>
      </c>
      <c r="D37" s="3">
        <f>IFERROR(__xludf.DUMMYFUNCTION("""COMPUTED_VALUE"""),11.5021)</f>
        <v>11.5021</v>
      </c>
      <c r="E37" s="3">
        <f>IFERROR(__xludf.DUMMYFUNCTION("""COMPUTED_VALUE"""),0.0)</f>
        <v>0</v>
      </c>
      <c r="F37" s="3">
        <f>IFERROR(__xludf.DUMMYFUNCTION("""COMPUTED_VALUE"""),0.0)</f>
        <v>0</v>
      </c>
      <c r="G37" s="3">
        <f>IFERROR(__xludf.DUMMYFUNCTION("""COMPUTED_VALUE"""),0.0)</f>
        <v>0</v>
      </c>
      <c r="H37" s="3">
        <f>IFERROR(__xludf.DUMMYFUNCTION("""COMPUTED_VALUE"""),0.0)</f>
        <v>0</v>
      </c>
      <c r="I37" s="3">
        <f>IFERROR(__xludf.DUMMYFUNCTION("""COMPUTED_VALUE"""),0.0)</f>
        <v>0</v>
      </c>
      <c r="J37" s="3">
        <f>IFERROR(__xludf.DUMMYFUNCTION("""COMPUTED_VALUE"""),0.0)</f>
        <v>0</v>
      </c>
      <c r="K37" s="3">
        <f>IFERROR(__xludf.DUMMYFUNCTION("""COMPUTED_VALUE"""),0.0)</f>
        <v>0</v>
      </c>
      <c r="L37" s="3">
        <f>IFERROR(__xludf.DUMMYFUNCTION("""COMPUTED_VALUE"""),0.0)</f>
        <v>0</v>
      </c>
      <c r="M37" s="3">
        <f>IFERROR(__xludf.DUMMYFUNCTION("""COMPUTED_VALUE"""),0.0)</f>
        <v>0</v>
      </c>
      <c r="N37" s="3">
        <f>IFERROR(__xludf.DUMMYFUNCTION("""COMPUTED_VALUE"""),0.0)</f>
        <v>0</v>
      </c>
      <c r="O37" s="3">
        <f>IFERROR(__xludf.DUMMYFUNCTION("""COMPUTED_VALUE"""),0.0)</f>
        <v>0</v>
      </c>
      <c r="P37" s="3">
        <f>IFERROR(__xludf.DUMMYFUNCTION("""COMPUTED_VALUE"""),0.0)</f>
        <v>0</v>
      </c>
      <c r="Q37" s="3">
        <f>IFERROR(__xludf.DUMMYFUNCTION("""COMPUTED_VALUE"""),0.0)</f>
        <v>0</v>
      </c>
      <c r="R37" s="3">
        <f>IFERROR(__xludf.DUMMYFUNCTION("""COMPUTED_VALUE"""),0.0)</f>
        <v>0</v>
      </c>
      <c r="S37" s="3">
        <f>IFERROR(__xludf.DUMMYFUNCTION("""COMPUTED_VALUE"""),0.0)</f>
        <v>0</v>
      </c>
      <c r="T37" s="3">
        <f>IFERROR(__xludf.DUMMYFUNCTION("""COMPUTED_VALUE"""),0.0)</f>
        <v>0</v>
      </c>
      <c r="U37" s="3">
        <f>IFERROR(__xludf.DUMMYFUNCTION("""COMPUTED_VALUE"""),0.0)</f>
        <v>0</v>
      </c>
      <c r="V37" s="3">
        <f>IFERROR(__xludf.DUMMYFUNCTION("""COMPUTED_VALUE"""),0.0)</f>
        <v>0</v>
      </c>
      <c r="W37" s="3">
        <f>IFERROR(__xludf.DUMMYFUNCTION("""COMPUTED_VALUE"""),0.0)</f>
        <v>0</v>
      </c>
      <c r="X37" s="3">
        <f>IFERROR(__xludf.DUMMYFUNCTION("""COMPUTED_VALUE"""),0.0)</f>
        <v>0</v>
      </c>
      <c r="Y37" s="3">
        <f>IFERROR(__xludf.DUMMYFUNCTION("""COMPUTED_VALUE"""),0.0)</f>
        <v>0</v>
      </c>
      <c r="Z37" s="3">
        <f>IFERROR(__xludf.DUMMYFUNCTION("""COMPUTED_VALUE"""),0.0)</f>
        <v>0</v>
      </c>
      <c r="AA37" s="3">
        <f>IFERROR(__xludf.DUMMYFUNCTION("""COMPUTED_VALUE"""),0.0)</f>
        <v>0</v>
      </c>
      <c r="AB37" s="3">
        <f>IFERROR(__xludf.DUMMYFUNCTION("""COMPUTED_VALUE"""),0.0)</f>
        <v>0</v>
      </c>
      <c r="AC37" s="3">
        <f>IFERROR(__xludf.DUMMYFUNCTION("""COMPUTED_VALUE"""),0.0)</f>
        <v>0</v>
      </c>
      <c r="AD37" s="3">
        <f>IFERROR(__xludf.DUMMYFUNCTION("""COMPUTED_VALUE"""),0.0)</f>
        <v>0</v>
      </c>
      <c r="AE37" s="3">
        <f>IFERROR(__xludf.DUMMYFUNCTION("""COMPUTED_VALUE"""),0.0)</f>
        <v>0</v>
      </c>
      <c r="AF37" s="3">
        <f>IFERROR(__xludf.DUMMYFUNCTION("""COMPUTED_VALUE"""),0.0)</f>
        <v>0</v>
      </c>
      <c r="AG37" s="3">
        <f>IFERROR(__xludf.DUMMYFUNCTION("""COMPUTED_VALUE"""),0.0)</f>
        <v>0</v>
      </c>
      <c r="AH37" s="3">
        <f>IFERROR(__xludf.DUMMYFUNCTION("""COMPUTED_VALUE"""),0.0)</f>
        <v>0</v>
      </c>
      <c r="AI37" s="3">
        <f>IFERROR(__xludf.DUMMYFUNCTION("""COMPUTED_VALUE"""),0.0)</f>
        <v>0</v>
      </c>
      <c r="AJ37" s="3">
        <f>IFERROR(__xludf.DUMMYFUNCTION("""COMPUTED_VALUE"""),0.0)</f>
        <v>0</v>
      </c>
      <c r="AK37" s="3">
        <f>IFERROR(__xludf.DUMMYFUNCTION("""COMPUTED_VALUE"""),0.0)</f>
        <v>0</v>
      </c>
      <c r="AL37" s="3">
        <f>IFERROR(__xludf.DUMMYFUNCTION("""COMPUTED_VALUE"""),0.0)</f>
        <v>0</v>
      </c>
      <c r="AM37" s="3">
        <f>IFERROR(__xludf.DUMMYFUNCTION("""COMPUTED_VALUE"""),0.0)</f>
        <v>0</v>
      </c>
      <c r="AN37" s="3">
        <f>IFERROR(__xludf.DUMMYFUNCTION("""COMPUTED_VALUE"""),0.0)</f>
        <v>0</v>
      </c>
      <c r="AO37" s="3">
        <f>IFERROR(__xludf.DUMMYFUNCTION("""COMPUTED_VALUE"""),0.0)</f>
        <v>0</v>
      </c>
      <c r="AP37" s="3">
        <f>IFERROR(__xludf.DUMMYFUNCTION("""COMPUTED_VALUE"""),0.0)</f>
        <v>0</v>
      </c>
      <c r="AQ37" s="3">
        <f>IFERROR(__xludf.DUMMYFUNCTION("""COMPUTED_VALUE"""),0.0)</f>
        <v>0</v>
      </c>
      <c r="AR37" s="3">
        <f>IFERROR(__xludf.DUMMYFUNCTION("""COMPUTED_VALUE"""),0.0)</f>
        <v>0</v>
      </c>
      <c r="AS37" s="3">
        <f>IFERROR(__xludf.DUMMYFUNCTION("""COMPUTED_VALUE"""),0.0)</f>
        <v>0</v>
      </c>
      <c r="AT37" s="3">
        <f>IFERROR(__xludf.DUMMYFUNCTION("""COMPUTED_VALUE"""),0.0)</f>
        <v>0</v>
      </c>
      <c r="AU37" s="3">
        <f>IFERROR(__xludf.DUMMYFUNCTION("""COMPUTED_VALUE"""),0.0)</f>
        <v>0</v>
      </c>
      <c r="AV37" s="3">
        <f>IFERROR(__xludf.DUMMYFUNCTION("""COMPUTED_VALUE"""),0.0)</f>
        <v>0</v>
      </c>
      <c r="AW37" s="3">
        <f>IFERROR(__xludf.DUMMYFUNCTION("""COMPUTED_VALUE"""),0.0)</f>
        <v>0</v>
      </c>
      <c r="AX37" s="3">
        <f>IFERROR(__xludf.DUMMYFUNCTION("""COMPUTED_VALUE"""),0.0)</f>
        <v>0</v>
      </c>
      <c r="AY37" s="3">
        <f>IFERROR(__xludf.DUMMYFUNCTION("""COMPUTED_VALUE"""),0.0)</f>
        <v>0</v>
      </c>
      <c r="AZ37" s="3">
        <f>IFERROR(__xludf.DUMMYFUNCTION("""COMPUTED_VALUE"""),0.0)</f>
        <v>0</v>
      </c>
      <c r="BA37" s="3">
        <f>IFERROR(__xludf.DUMMYFUNCTION("""COMPUTED_VALUE"""),0.0)</f>
        <v>0</v>
      </c>
      <c r="BB37" s="3">
        <f>IFERROR(__xludf.DUMMYFUNCTION("""COMPUTED_VALUE"""),0.0)</f>
        <v>0</v>
      </c>
      <c r="BC37" s="3">
        <f>IFERROR(__xludf.DUMMYFUNCTION("""COMPUTED_VALUE"""),0.0)</f>
        <v>0</v>
      </c>
      <c r="BD37" s="3">
        <f>IFERROR(__xludf.DUMMYFUNCTION("""COMPUTED_VALUE"""),0.0)</f>
        <v>0</v>
      </c>
      <c r="BE37" s="3">
        <f>IFERROR(__xludf.DUMMYFUNCTION("""COMPUTED_VALUE"""),0.0)</f>
        <v>0</v>
      </c>
      <c r="BF37" s="3">
        <f>IFERROR(__xludf.DUMMYFUNCTION("""COMPUTED_VALUE"""),0.0)</f>
        <v>0</v>
      </c>
      <c r="BG37" s="3">
        <f>IFERROR(__xludf.DUMMYFUNCTION("""COMPUTED_VALUE"""),0.0)</f>
        <v>0</v>
      </c>
      <c r="BH37" s="3">
        <f>IFERROR(__xludf.DUMMYFUNCTION("""COMPUTED_VALUE"""),0.0)</f>
        <v>0</v>
      </c>
      <c r="BI37" s="3">
        <f>IFERROR(__xludf.DUMMYFUNCTION("""COMPUTED_VALUE"""),0.0)</f>
        <v>0</v>
      </c>
      <c r="BJ37" s="3">
        <f>IFERROR(__xludf.DUMMYFUNCTION("""COMPUTED_VALUE"""),0.0)</f>
        <v>0</v>
      </c>
      <c r="BK37" s="3">
        <f>IFERROR(__xludf.DUMMYFUNCTION("""COMPUTED_VALUE"""),0.0)</f>
        <v>0</v>
      </c>
      <c r="BL37" s="3">
        <f>IFERROR(__xludf.DUMMYFUNCTION("""COMPUTED_VALUE"""),0.0)</f>
        <v>0</v>
      </c>
      <c r="BM37" s="3">
        <f>IFERROR(__xludf.DUMMYFUNCTION("""COMPUTED_VALUE"""),0.0)</f>
        <v>0</v>
      </c>
      <c r="BN37" s="3">
        <f>IFERROR(__xludf.DUMMYFUNCTION("""COMPUTED_VALUE"""),0.0)</f>
        <v>0</v>
      </c>
      <c r="BO37" s="3">
        <f>IFERROR(__xludf.DUMMYFUNCTION("""COMPUTED_VALUE"""),0.0)</f>
        <v>0</v>
      </c>
      <c r="BP37" s="3">
        <f>IFERROR(__xludf.DUMMYFUNCTION("""COMPUTED_VALUE"""),2.0)</f>
        <v>2</v>
      </c>
      <c r="BQ37" s="3">
        <f>IFERROR(__xludf.DUMMYFUNCTION("""COMPUTED_VALUE"""),2.0)</f>
        <v>2</v>
      </c>
      <c r="BR37" s="3">
        <f>IFERROR(__xludf.DUMMYFUNCTION("""COMPUTED_VALUE"""),2.0)</f>
        <v>2</v>
      </c>
      <c r="BS37" s="3">
        <f>IFERROR(__xludf.DUMMYFUNCTION("""COMPUTED_VALUE"""),2.0)</f>
        <v>2</v>
      </c>
      <c r="BT37" s="3">
        <f>IFERROR(__xludf.DUMMYFUNCTION("""COMPUTED_VALUE"""),5.0)</f>
        <v>5</v>
      </c>
      <c r="BU37" s="3">
        <f>IFERROR(__xludf.DUMMYFUNCTION("""COMPUTED_VALUE"""),5.0)</f>
        <v>5</v>
      </c>
      <c r="BV37" s="3">
        <f>IFERROR(__xludf.DUMMYFUNCTION("""COMPUTED_VALUE"""),5.0)</f>
        <v>5</v>
      </c>
      <c r="BW37" s="3">
        <f>IFERROR(__xludf.DUMMYFUNCTION("""COMPUTED_VALUE"""),10.0)</f>
        <v>10</v>
      </c>
      <c r="BX37" s="3">
        <f>IFERROR(__xludf.DUMMYFUNCTION("""COMPUTED_VALUE"""),10.0)</f>
        <v>10</v>
      </c>
      <c r="BY37" s="3">
        <f>IFERROR(__xludf.DUMMYFUNCTION("""COMPUTED_VALUE"""),17.0)</f>
        <v>17</v>
      </c>
      <c r="BZ37" s="3">
        <f>IFERROR(__xludf.DUMMYFUNCTION("""COMPUTED_VALUE"""),17.0)</f>
        <v>17</v>
      </c>
      <c r="CA37" s="3">
        <f>IFERROR(__xludf.DUMMYFUNCTION("""COMPUTED_VALUE"""),17.0)</f>
        <v>17</v>
      </c>
      <c r="CB37" s="3">
        <f>IFERROR(__xludf.DUMMYFUNCTION("""COMPUTED_VALUE"""),17.0)</f>
        <v>17</v>
      </c>
    </row>
    <row r="38">
      <c r="A38" s="3" t="str">
        <f>IFERROR(__xludf.DUMMYFUNCTION("""COMPUTED_VALUE"""),"")</f>
        <v/>
      </c>
      <c r="B38" s="3" t="str">
        <f>IFERROR(__xludf.DUMMYFUNCTION("""COMPUTED_VALUE"""),"Canada")</f>
        <v>Canada</v>
      </c>
      <c r="C38" s="3">
        <f>IFERROR(__xludf.DUMMYFUNCTION("""COMPUTED_VALUE"""),56.1304)</f>
        <v>56.1304</v>
      </c>
      <c r="D38" s="3">
        <f>IFERROR(__xludf.DUMMYFUNCTION("""COMPUTED_VALUE"""),-106.3468)</f>
        <v>-106.3468</v>
      </c>
      <c r="E38" s="3">
        <f>IFERROR(__xludf.DUMMYFUNCTION("""COMPUTED_VALUE"""),0.0)</f>
        <v>0</v>
      </c>
      <c r="F38" s="3">
        <f>IFERROR(__xludf.DUMMYFUNCTION("""COMPUTED_VALUE"""),0.0)</f>
        <v>0</v>
      </c>
      <c r="G38" s="3">
        <f>IFERROR(__xludf.DUMMYFUNCTION("""COMPUTED_VALUE"""),0.0)</f>
        <v>0</v>
      </c>
      <c r="H38" s="3">
        <f>IFERROR(__xludf.DUMMYFUNCTION("""COMPUTED_VALUE"""),0.0)</f>
        <v>0</v>
      </c>
      <c r="I38" s="3">
        <f>IFERROR(__xludf.DUMMYFUNCTION("""COMPUTED_VALUE"""),0.0)</f>
        <v>0</v>
      </c>
      <c r="J38" s="3">
        <f>IFERROR(__xludf.DUMMYFUNCTION("""COMPUTED_VALUE"""),0.0)</f>
        <v>0</v>
      </c>
      <c r="K38" s="3">
        <f>IFERROR(__xludf.DUMMYFUNCTION("""COMPUTED_VALUE"""),0.0)</f>
        <v>0</v>
      </c>
      <c r="L38" s="3">
        <f>IFERROR(__xludf.DUMMYFUNCTION("""COMPUTED_VALUE"""),0.0)</f>
        <v>0</v>
      </c>
      <c r="M38" s="3">
        <f>IFERROR(__xludf.DUMMYFUNCTION("""COMPUTED_VALUE"""),0.0)</f>
        <v>0</v>
      </c>
      <c r="N38" s="3">
        <f>IFERROR(__xludf.DUMMYFUNCTION("""COMPUTED_VALUE"""),0.0)</f>
        <v>0</v>
      </c>
      <c r="O38" s="3">
        <f>IFERROR(__xludf.DUMMYFUNCTION("""COMPUTED_VALUE"""),0.0)</f>
        <v>0</v>
      </c>
      <c r="P38" s="3">
        <f>IFERROR(__xludf.DUMMYFUNCTION("""COMPUTED_VALUE"""),0.0)</f>
        <v>0</v>
      </c>
      <c r="Q38" s="3">
        <f>IFERROR(__xludf.DUMMYFUNCTION("""COMPUTED_VALUE"""),0.0)</f>
        <v>0</v>
      </c>
      <c r="R38" s="3">
        <f>IFERROR(__xludf.DUMMYFUNCTION("""COMPUTED_VALUE"""),0.0)</f>
        <v>0</v>
      </c>
      <c r="S38" s="3">
        <f>IFERROR(__xludf.DUMMYFUNCTION("""COMPUTED_VALUE"""),0.0)</f>
        <v>0</v>
      </c>
      <c r="T38" s="3">
        <f>IFERROR(__xludf.DUMMYFUNCTION("""COMPUTED_VALUE"""),0.0)</f>
        <v>0</v>
      </c>
      <c r="U38" s="3">
        <f>IFERROR(__xludf.DUMMYFUNCTION("""COMPUTED_VALUE"""),0.0)</f>
        <v>0</v>
      </c>
      <c r="V38" s="3">
        <f>IFERROR(__xludf.DUMMYFUNCTION("""COMPUTED_VALUE"""),0.0)</f>
        <v>0</v>
      </c>
      <c r="W38" s="3">
        <f>IFERROR(__xludf.DUMMYFUNCTION("""COMPUTED_VALUE"""),0.0)</f>
        <v>0</v>
      </c>
      <c r="X38" s="3">
        <f>IFERROR(__xludf.DUMMYFUNCTION("""COMPUTED_VALUE"""),0.0)</f>
        <v>0</v>
      </c>
      <c r="Y38" s="3">
        <f>IFERROR(__xludf.DUMMYFUNCTION("""COMPUTED_VALUE"""),0.0)</f>
        <v>0</v>
      </c>
      <c r="Z38" s="3">
        <f>IFERROR(__xludf.DUMMYFUNCTION("""COMPUTED_VALUE"""),1.0)</f>
        <v>1</v>
      </c>
      <c r="AA38" s="3">
        <f>IFERROR(__xludf.DUMMYFUNCTION("""COMPUTED_VALUE"""),1.0)</f>
        <v>1</v>
      </c>
      <c r="AB38" s="3">
        <f>IFERROR(__xludf.DUMMYFUNCTION("""COMPUTED_VALUE"""),1.0)</f>
        <v>1</v>
      </c>
      <c r="AC38" s="3">
        <f>IFERROR(__xludf.DUMMYFUNCTION("""COMPUTED_VALUE"""),1.0)</f>
        <v>1</v>
      </c>
      <c r="AD38" s="3">
        <f>IFERROR(__xludf.DUMMYFUNCTION("""COMPUTED_VALUE"""),1.0)</f>
        <v>1</v>
      </c>
      <c r="AE38" s="3">
        <f>IFERROR(__xludf.DUMMYFUNCTION("""COMPUTED_VALUE"""),1.0)</f>
        <v>1</v>
      </c>
      <c r="AF38" s="3">
        <f>IFERROR(__xludf.DUMMYFUNCTION("""COMPUTED_VALUE"""),1.0)</f>
        <v>1</v>
      </c>
      <c r="AG38" s="3">
        <f>IFERROR(__xludf.DUMMYFUNCTION("""COMPUTED_VALUE"""),1.0)</f>
        <v>1</v>
      </c>
      <c r="AH38" s="3">
        <f>IFERROR(__xludf.DUMMYFUNCTION("""COMPUTED_VALUE"""),1.0)</f>
        <v>1</v>
      </c>
      <c r="AI38" s="3">
        <f>IFERROR(__xludf.DUMMYFUNCTION("""COMPUTED_VALUE"""),3.0)</f>
        <v>3</v>
      </c>
      <c r="AJ38" s="3">
        <f>IFERROR(__xludf.DUMMYFUNCTION("""COMPUTED_VALUE"""),3.0)</f>
        <v>3</v>
      </c>
      <c r="AK38" s="3">
        <f>IFERROR(__xludf.DUMMYFUNCTION("""COMPUTED_VALUE"""),3.0)</f>
        <v>3</v>
      </c>
      <c r="AL38" s="3">
        <f>IFERROR(__xludf.DUMMYFUNCTION("""COMPUTED_VALUE"""),3.0)</f>
        <v>3</v>
      </c>
      <c r="AM38" s="3">
        <f>IFERROR(__xludf.DUMMYFUNCTION("""COMPUTED_VALUE"""),3.0)</f>
        <v>3</v>
      </c>
      <c r="AN38" s="3">
        <f>IFERROR(__xludf.DUMMYFUNCTION("""COMPUTED_VALUE"""),3.0)</f>
        <v>3</v>
      </c>
      <c r="AO38" s="3">
        <f>IFERROR(__xludf.DUMMYFUNCTION("""COMPUTED_VALUE"""),6.0)</f>
        <v>6</v>
      </c>
      <c r="AP38" s="3">
        <f>IFERROR(__xludf.DUMMYFUNCTION("""COMPUTED_VALUE"""),6.0)</f>
        <v>6</v>
      </c>
      <c r="AQ38" s="3">
        <f>IFERROR(__xludf.DUMMYFUNCTION("""COMPUTED_VALUE"""),6.0)</f>
        <v>6</v>
      </c>
      <c r="AR38" s="3">
        <f>IFERROR(__xludf.DUMMYFUNCTION("""COMPUTED_VALUE"""),6.0)</f>
        <v>6</v>
      </c>
      <c r="AS38" s="3">
        <f>IFERROR(__xludf.DUMMYFUNCTION("""COMPUTED_VALUE"""),6.0)</f>
        <v>6</v>
      </c>
      <c r="AT38" s="3">
        <f>IFERROR(__xludf.DUMMYFUNCTION("""COMPUTED_VALUE"""),6.0)</f>
        <v>6</v>
      </c>
      <c r="AU38" s="3">
        <f>IFERROR(__xludf.DUMMYFUNCTION("""COMPUTED_VALUE"""),6.0)</f>
        <v>6</v>
      </c>
      <c r="AV38" s="3">
        <f>IFERROR(__xludf.DUMMYFUNCTION("""COMPUTED_VALUE"""),6.0)</f>
        <v>6</v>
      </c>
      <c r="AW38" s="3">
        <f>IFERROR(__xludf.DUMMYFUNCTION("""COMPUTED_VALUE"""),6.0)</f>
        <v>6</v>
      </c>
      <c r="AX38" s="3">
        <f>IFERROR(__xludf.DUMMYFUNCTION("""COMPUTED_VALUE"""),8.0)</f>
        <v>8</v>
      </c>
      <c r="AY38" s="3">
        <f>IFERROR(__xludf.DUMMYFUNCTION("""COMPUTED_VALUE"""),8.0)</f>
        <v>8</v>
      </c>
      <c r="AZ38" s="3">
        <f>IFERROR(__xludf.DUMMYFUNCTION("""COMPUTED_VALUE"""),8.0)</f>
        <v>8</v>
      </c>
      <c r="BA38" s="3">
        <f>IFERROR(__xludf.DUMMYFUNCTION("""COMPUTED_VALUE"""),8.0)</f>
        <v>8</v>
      </c>
      <c r="BB38" s="3">
        <f>IFERROR(__xludf.DUMMYFUNCTION("""COMPUTED_VALUE"""),8.0)</f>
        <v>8</v>
      </c>
      <c r="BC38" s="3">
        <f>IFERROR(__xludf.DUMMYFUNCTION("""COMPUTED_VALUE"""),8.0)</f>
        <v>8</v>
      </c>
      <c r="BD38" s="3">
        <f>IFERROR(__xludf.DUMMYFUNCTION("""COMPUTED_VALUE"""),8.0)</f>
        <v>8</v>
      </c>
      <c r="BE38" s="3">
        <f>IFERROR(__xludf.DUMMYFUNCTION("""COMPUTED_VALUE"""),8.0)</f>
        <v>8</v>
      </c>
      <c r="BF38" s="3">
        <f>IFERROR(__xludf.DUMMYFUNCTION("""COMPUTED_VALUE"""),8.0)</f>
        <v>8</v>
      </c>
      <c r="BG38" s="3">
        <f>IFERROR(__xludf.DUMMYFUNCTION("""COMPUTED_VALUE"""),9.0)</f>
        <v>9</v>
      </c>
      <c r="BH38" s="3">
        <f>IFERROR(__xludf.DUMMYFUNCTION("""COMPUTED_VALUE"""),9.0)</f>
        <v>9</v>
      </c>
      <c r="BI38" s="3">
        <f>IFERROR(__xludf.DUMMYFUNCTION("""COMPUTED_VALUE"""),9.0)</f>
        <v>9</v>
      </c>
      <c r="BJ38" s="3">
        <f>IFERROR(__xludf.DUMMYFUNCTION("""COMPUTED_VALUE"""),9.0)</f>
        <v>9</v>
      </c>
      <c r="BK38" s="3">
        <f>IFERROR(__xludf.DUMMYFUNCTION("""COMPUTED_VALUE"""),9.0)</f>
        <v>9</v>
      </c>
      <c r="BL38" s="3">
        <f>IFERROR(__xludf.DUMMYFUNCTION("""COMPUTED_VALUE"""),10.0)</f>
        <v>10</v>
      </c>
      <c r="BM38" s="3">
        <f>IFERROR(__xludf.DUMMYFUNCTION("""COMPUTED_VALUE"""),10.0)</f>
        <v>10</v>
      </c>
      <c r="BN38" s="3">
        <f>IFERROR(__xludf.DUMMYFUNCTION("""COMPUTED_VALUE"""),10.0)</f>
        <v>10</v>
      </c>
      <c r="BO38" s="3">
        <f>IFERROR(__xludf.DUMMYFUNCTION("""COMPUTED_VALUE"""),110.0)</f>
        <v>110</v>
      </c>
      <c r="BP38" s="3">
        <f>IFERROR(__xludf.DUMMYFUNCTION("""COMPUTED_VALUE"""),183.0)</f>
        <v>183</v>
      </c>
      <c r="BQ38" s="3">
        <f>IFERROR(__xludf.DUMMYFUNCTION("""COMPUTED_VALUE"""),184.0)</f>
        <v>184</v>
      </c>
      <c r="BR38" s="3">
        <f>IFERROR(__xludf.DUMMYFUNCTION("""COMPUTED_VALUE"""),256.0)</f>
        <v>256</v>
      </c>
      <c r="BS38" s="3">
        <f>IFERROR(__xludf.DUMMYFUNCTION("""COMPUTED_VALUE"""),466.0)</f>
        <v>466</v>
      </c>
      <c r="BT38" s="3">
        <f>IFERROR(__xludf.DUMMYFUNCTION("""COMPUTED_VALUE"""),466.0)</f>
        <v>466</v>
      </c>
      <c r="BU38" s="3">
        <f>IFERROR(__xludf.DUMMYFUNCTION("""COMPUTED_VALUE"""),466.0)</f>
        <v>466</v>
      </c>
      <c r="BV38" s="3">
        <f>IFERROR(__xludf.DUMMYFUNCTION("""COMPUTED_VALUE"""),1592.0)</f>
        <v>1592</v>
      </c>
      <c r="BW38" s="3">
        <f>IFERROR(__xludf.DUMMYFUNCTION("""COMPUTED_VALUE"""),1324.0)</f>
        <v>1324</v>
      </c>
      <c r="BX38" s="3">
        <f>IFERROR(__xludf.DUMMYFUNCTION("""COMPUTED_VALUE"""),1735.0)</f>
        <v>1735</v>
      </c>
      <c r="BY38" s="3">
        <f>IFERROR(__xludf.DUMMYFUNCTION("""COMPUTED_VALUE"""),2175.0)</f>
        <v>2175</v>
      </c>
      <c r="BZ38" s="3">
        <f>IFERROR(__xludf.DUMMYFUNCTION("""COMPUTED_VALUE"""),2577.0)</f>
        <v>2577</v>
      </c>
      <c r="CA38" s="3">
        <f>IFERROR(__xludf.DUMMYFUNCTION("""COMPUTED_VALUE"""),3012.0)</f>
        <v>3012</v>
      </c>
      <c r="CB38" s="3">
        <f>IFERROR(__xludf.DUMMYFUNCTION("""COMPUTED_VALUE"""),3256.0)</f>
        <v>3256</v>
      </c>
    </row>
    <row r="39">
      <c r="A39" s="3" t="str">
        <f>IFERROR(__xludf.DUMMYFUNCTION("""COMPUTED_VALUE"""),"")</f>
        <v/>
      </c>
      <c r="B39" s="3" t="str">
        <f>IFERROR(__xludf.DUMMYFUNCTION("""COMPUTED_VALUE"""),"Central African Republic")</f>
        <v>Central African Republic</v>
      </c>
      <c r="C39" s="3">
        <f>IFERROR(__xludf.DUMMYFUNCTION("""COMPUTED_VALUE"""),6.6111)</f>
        <v>6.6111</v>
      </c>
      <c r="D39" s="3">
        <f>IFERROR(__xludf.DUMMYFUNCTION("""COMPUTED_VALUE"""),20.9394)</f>
        <v>20.9394</v>
      </c>
      <c r="E39" s="3">
        <f>IFERROR(__xludf.DUMMYFUNCTION("""COMPUTED_VALUE"""),0.0)</f>
        <v>0</v>
      </c>
      <c r="F39" s="3">
        <f>IFERROR(__xludf.DUMMYFUNCTION("""COMPUTED_VALUE"""),0.0)</f>
        <v>0</v>
      </c>
      <c r="G39" s="3">
        <f>IFERROR(__xludf.DUMMYFUNCTION("""COMPUTED_VALUE"""),0.0)</f>
        <v>0</v>
      </c>
      <c r="H39" s="3">
        <f>IFERROR(__xludf.DUMMYFUNCTION("""COMPUTED_VALUE"""),0.0)</f>
        <v>0</v>
      </c>
      <c r="I39" s="3">
        <f>IFERROR(__xludf.DUMMYFUNCTION("""COMPUTED_VALUE"""),0.0)</f>
        <v>0</v>
      </c>
      <c r="J39" s="3">
        <f>IFERROR(__xludf.DUMMYFUNCTION("""COMPUTED_VALUE"""),0.0)</f>
        <v>0</v>
      </c>
      <c r="K39" s="3">
        <f>IFERROR(__xludf.DUMMYFUNCTION("""COMPUTED_VALUE"""),0.0)</f>
        <v>0</v>
      </c>
      <c r="L39" s="3">
        <f>IFERROR(__xludf.DUMMYFUNCTION("""COMPUTED_VALUE"""),0.0)</f>
        <v>0</v>
      </c>
      <c r="M39" s="3">
        <f>IFERROR(__xludf.DUMMYFUNCTION("""COMPUTED_VALUE"""),0.0)</f>
        <v>0</v>
      </c>
      <c r="N39" s="3">
        <f>IFERROR(__xludf.DUMMYFUNCTION("""COMPUTED_VALUE"""),0.0)</f>
        <v>0</v>
      </c>
      <c r="O39" s="3">
        <f>IFERROR(__xludf.DUMMYFUNCTION("""COMPUTED_VALUE"""),0.0)</f>
        <v>0</v>
      </c>
      <c r="P39" s="3">
        <f>IFERROR(__xludf.DUMMYFUNCTION("""COMPUTED_VALUE"""),0.0)</f>
        <v>0</v>
      </c>
      <c r="Q39" s="3">
        <f>IFERROR(__xludf.DUMMYFUNCTION("""COMPUTED_VALUE"""),0.0)</f>
        <v>0</v>
      </c>
      <c r="R39" s="3">
        <f>IFERROR(__xludf.DUMMYFUNCTION("""COMPUTED_VALUE"""),0.0)</f>
        <v>0</v>
      </c>
      <c r="S39" s="3">
        <f>IFERROR(__xludf.DUMMYFUNCTION("""COMPUTED_VALUE"""),0.0)</f>
        <v>0</v>
      </c>
      <c r="T39" s="3">
        <f>IFERROR(__xludf.DUMMYFUNCTION("""COMPUTED_VALUE"""),0.0)</f>
        <v>0</v>
      </c>
      <c r="U39" s="3">
        <f>IFERROR(__xludf.DUMMYFUNCTION("""COMPUTED_VALUE"""),0.0)</f>
        <v>0</v>
      </c>
      <c r="V39" s="3">
        <f>IFERROR(__xludf.DUMMYFUNCTION("""COMPUTED_VALUE"""),0.0)</f>
        <v>0</v>
      </c>
      <c r="W39" s="3">
        <f>IFERROR(__xludf.DUMMYFUNCTION("""COMPUTED_VALUE"""),0.0)</f>
        <v>0</v>
      </c>
      <c r="X39" s="3">
        <f>IFERROR(__xludf.DUMMYFUNCTION("""COMPUTED_VALUE"""),0.0)</f>
        <v>0</v>
      </c>
      <c r="Y39" s="3">
        <f>IFERROR(__xludf.DUMMYFUNCTION("""COMPUTED_VALUE"""),0.0)</f>
        <v>0</v>
      </c>
      <c r="Z39" s="3">
        <f>IFERROR(__xludf.DUMMYFUNCTION("""COMPUTED_VALUE"""),0.0)</f>
        <v>0</v>
      </c>
      <c r="AA39" s="3">
        <f>IFERROR(__xludf.DUMMYFUNCTION("""COMPUTED_VALUE"""),0.0)</f>
        <v>0</v>
      </c>
      <c r="AB39" s="3">
        <f>IFERROR(__xludf.DUMMYFUNCTION("""COMPUTED_VALUE"""),0.0)</f>
        <v>0</v>
      </c>
      <c r="AC39" s="3">
        <f>IFERROR(__xludf.DUMMYFUNCTION("""COMPUTED_VALUE"""),0.0)</f>
        <v>0</v>
      </c>
      <c r="AD39" s="3">
        <f>IFERROR(__xludf.DUMMYFUNCTION("""COMPUTED_VALUE"""),0.0)</f>
        <v>0</v>
      </c>
      <c r="AE39" s="3">
        <f>IFERROR(__xludf.DUMMYFUNCTION("""COMPUTED_VALUE"""),0.0)</f>
        <v>0</v>
      </c>
      <c r="AF39" s="3">
        <f>IFERROR(__xludf.DUMMYFUNCTION("""COMPUTED_VALUE"""),0.0)</f>
        <v>0</v>
      </c>
      <c r="AG39" s="3">
        <f>IFERROR(__xludf.DUMMYFUNCTION("""COMPUTED_VALUE"""),0.0)</f>
        <v>0</v>
      </c>
      <c r="AH39" s="3">
        <f>IFERROR(__xludf.DUMMYFUNCTION("""COMPUTED_VALUE"""),0.0)</f>
        <v>0</v>
      </c>
      <c r="AI39" s="3">
        <f>IFERROR(__xludf.DUMMYFUNCTION("""COMPUTED_VALUE"""),0.0)</f>
        <v>0</v>
      </c>
      <c r="AJ39" s="3">
        <f>IFERROR(__xludf.DUMMYFUNCTION("""COMPUTED_VALUE"""),0.0)</f>
        <v>0</v>
      </c>
      <c r="AK39" s="3">
        <f>IFERROR(__xludf.DUMMYFUNCTION("""COMPUTED_VALUE"""),0.0)</f>
        <v>0</v>
      </c>
      <c r="AL39" s="3">
        <f>IFERROR(__xludf.DUMMYFUNCTION("""COMPUTED_VALUE"""),0.0)</f>
        <v>0</v>
      </c>
      <c r="AM39" s="3">
        <f>IFERROR(__xludf.DUMMYFUNCTION("""COMPUTED_VALUE"""),0.0)</f>
        <v>0</v>
      </c>
      <c r="AN39" s="3">
        <f>IFERROR(__xludf.DUMMYFUNCTION("""COMPUTED_VALUE"""),0.0)</f>
        <v>0</v>
      </c>
      <c r="AO39" s="3">
        <f>IFERROR(__xludf.DUMMYFUNCTION("""COMPUTED_VALUE"""),0.0)</f>
        <v>0</v>
      </c>
      <c r="AP39" s="3">
        <f>IFERROR(__xludf.DUMMYFUNCTION("""COMPUTED_VALUE"""),0.0)</f>
        <v>0</v>
      </c>
      <c r="AQ39" s="3">
        <f>IFERROR(__xludf.DUMMYFUNCTION("""COMPUTED_VALUE"""),0.0)</f>
        <v>0</v>
      </c>
      <c r="AR39" s="3">
        <f>IFERROR(__xludf.DUMMYFUNCTION("""COMPUTED_VALUE"""),0.0)</f>
        <v>0</v>
      </c>
      <c r="AS39" s="3">
        <f>IFERROR(__xludf.DUMMYFUNCTION("""COMPUTED_VALUE"""),0.0)</f>
        <v>0</v>
      </c>
      <c r="AT39" s="3">
        <f>IFERROR(__xludf.DUMMYFUNCTION("""COMPUTED_VALUE"""),0.0)</f>
        <v>0</v>
      </c>
      <c r="AU39" s="3">
        <f>IFERROR(__xludf.DUMMYFUNCTION("""COMPUTED_VALUE"""),0.0)</f>
        <v>0</v>
      </c>
      <c r="AV39" s="3">
        <f>IFERROR(__xludf.DUMMYFUNCTION("""COMPUTED_VALUE"""),0.0)</f>
        <v>0</v>
      </c>
      <c r="AW39" s="3">
        <f>IFERROR(__xludf.DUMMYFUNCTION("""COMPUTED_VALUE"""),0.0)</f>
        <v>0</v>
      </c>
      <c r="AX39" s="3">
        <f>IFERROR(__xludf.DUMMYFUNCTION("""COMPUTED_VALUE"""),0.0)</f>
        <v>0</v>
      </c>
      <c r="AY39" s="3">
        <f>IFERROR(__xludf.DUMMYFUNCTION("""COMPUTED_VALUE"""),0.0)</f>
        <v>0</v>
      </c>
      <c r="AZ39" s="3">
        <f>IFERROR(__xludf.DUMMYFUNCTION("""COMPUTED_VALUE"""),0.0)</f>
        <v>0</v>
      </c>
      <c r="BA39" s="3">
        <f>IFERROR(__xludf.DUMMYFUNCTION("""COMPUTED_VALUE"""),0.0)</f>
        <v>0</v>
      </c>
      <c r="BB39" s="3">
        <f>IFERROR(__xludf.DUMMYFUNCTION("""COMPUTED_VALUE"""),0.0)</f>
        <v>0</v>
      </c>
      <c r="BC39" s="3">
        <f>IFERROR(__xludf.DUMMYFUNCTION("""COMPUTED_VALUE"""),0.0)</f>
        <v>0</v>
      </c>
      <c r="BD39" s="3">
        <f>IFERROR(__xludf.DUMMYFUNCTION("""COMPUTED_VALUE"""),0.0)</f>
        <v>0</v>
      </c>
      <c r="BE39" s="3">
        <f>IFERROR(__xludf.DUMMYFUNCTION("""COMPUTED_VALUE"""),0.0)</f>
        <v>0</v>
      </c>
      <c r="BF39" s="3">
        <f>IFERROR(__xludf.DUMMYFUNCTION("""COMPUTED_VALUE"""),0.0)</f>
        <v>0</v>
      </c>
      <c r="BG39" s="3">
        <f>IFERROR(__xludf.DUMMYFUNCTION("""COMPUTED_VALUE"""),0.0)</f>
        <v>0</v>
      </c>
      <c r="BH39" s="3">
        <f>IFERROR(__xludf.DUMMYFUNCTION("""COMPUTED_VALUE"""),0.0)</f>
        <v>0</v>
      </c>
      <c r="BI39" s="3">
        <f>IFERROR(__xludf.DUMMYFUNCTION("""COMPUTED_VALUE"""),0.0)</f>
        <v>0</v>
      </c>
      <c r="BJ39" s="3">
        <f>IFERROR(__xludf.DUMMYFUNCTION("""COMPUTED_VALUE"""),0.0)</f>
        <v>0</v>
      </c>
      <c r="BK39" s="3">
        <f>IFERROR(__xludf.DUMMYFUNCTION("""COMPUTED_VALUE"""),0.0)</f>
        <v>0</v>
      </c>
      <c r="BL39" s="3">
        <f>IFERROR(__xludf.DUMMYFUNCTION("""COMPUTED_VALUE"""),0.0)</f>
        <v>0</v>
      </c>
      <c r="BM39" s="3">
        <f>IFERROR(__xludf.DUMMYFUNCTION("""COMPUTED_VALUE"""),0.0)</f>
        <v>0</v>
      </c>
      <c r="BN39" s="3">
        <f>IFERROR(__xludf.DUMMYFUNCTION("""COMPUTED_VALUE"""),0.0)</f>
        <v>0</v>
      </c>
      <c r="BO39" s="3">
        <f>IFERROR(__xludf.DUMMYFUNCTION("""COMPUTED_VALUE"""),0.0)</f>
        <v>0</v>
      </c>
      <c r="BP39" s="3">
        <f>IFERROR(__xludf.DUMMYFUNCTION("""COMPUTED_VALUE"""),0.0)</f>
        <v>0</v>
      </c>
      <c r="BQ39" s="3">
        <f>IFERROR(__xludf.DUMMYFUNCTION("""COMPUTED_VALUE"""),0.0)</f>
        <v>0</v>
      </c>
      <c r="BR39" s="3">
        <f>IFERROR(__xludf.DUMMYFUNCTION("""COMPUTED_VALUE"""),0.0)</f>
        <v>0</v>
      </c>
      <c r="BS39" s="3">
        <f>IFERROR(__xludf.DUMMYFUNCTION("""COMPUTED_VALUE"""),0.0)</f>
        <v>0</v>
      </c>
      <c r="BT39" s="3">
        <f>IFERROR(__xludf.DUMMYFUNCTION("""COMPUTED_VALUE"""),0.0)</f>
        <v>0</v>
      </c>
      <c r="BU39" s="3">
        <f>IFERROR(__xludf.DUMMYFUNCTION("""COMPUTED_VALUE"""),0.0)</f>
        <v>0</v>
      </c>
      <c r="BV39" s="3">
        <f>IFERROR(__xludf.DUMMYFUNCTION("""COMPUTED_VALUE"""),0.0)</f>
        <v>0</v>
      </c>
      <c r="BW39" s="3">
        <f>IFERROR(__xludf.DUMMYFUNCTION("""COMPUTED_VALUE"""),0.0)</f>
        <v>0</v>
      </c>
      <c r="BX39" s="3">
        <f>IFERROR(__xludf.DUMMYFUNCTION("""COMPUTED_VALUE"""),0.0)</f>
        <v>0</v>
      </c>
      <c r="BY39" s="3">
        <f>IFERROR(__xludf.DUMMYFUNCTION("""COMPUTED_VALUE"""),0.0)</f>
        <v>0</v>
      </c>
      <c r="BZ39" s="3">
        <f>IFERROR(__xludf.DUMMYFUNCTION("""COMPUTED_VALUE"""),0.0)</f>
        <v>0</v>
      </c>
      <c r="CA39" s="3">
        <f>IFERROR(__xludf.DUMMYFUNCTION("""COMPUTED_VALUE"""),0.0)</f>
        <v>0</v>
      </c>
      <c r="CB39" s="3">
        <f>IFERROR(__xludf.DUMMYFUNCTION("""COMPUTED_VALUE"""),0.0)</f>
        <v>0</v>
      </c>
    </row>
    <row r="40">
      <c r="A40" s="3" t="str">
        <f>IFERROR(__xludf.DUMMYFUNCTION("""COMPUTED_VALUE"""),"")</f>
        <v/>
      </c>
      <c r="B40" s="3" t="str">
        <f>IFERROR(__xludf.DUMMYFUNCTION("""COMPUTED_VALUE"""),"Chad")</f>
        <v>Chad</v>
      </c>
      <c r="C40" s="3">
        <f>IFERROR(__xludf.DUMMYFUNCTION("""COMPUTED_VALUE"""),15.4542)</f>
        <v>15.4542</v>
      </c>
      <c r="D40" s="3">
        <f>IFERROR(__xludf.DUMMYFUNCTION("""COMPUTED_VALUE"""),18.7322)</f>
        <v>18.7322</v>
      </c>
      <c r="E40" s="3">
        <f>IFERROR(__xludf.DUMMYFUNCTION("""COMPUTED_VALUE"""),0.0)</f>
        <v>0</v>
      </c>
      <c r="F40" s="3">
        <f>IFERROR(__xludf.DUMMYFUNCTION("""COMPUTED_VALUE"""),0.0)</f>
        <v>0</v>
      </c>
      <c r="G40" s="3">
        <f>IFERROR(__xludf.DUMMYFUNCTION("""COMPUTED_VALUE"""),0.0)</f>
        <v>0</v>
      </c>
      <c r="H40" s="3">
        <f>IFERROR(__xludf.DUMMYFUNCTION("""COMPUTED_VALUE"""),0.0)</f>
        <v>0</v>
      </c>
      <c r="I40" s="3">
        <f>IFERROR(__xludf.DUMMYFUNCTION("""COMPUTED_VALUE"""),0.0)</f>
        <v>0</v>
      </c>
      <c r="J40" s="3">
        <f>IFERROR(__xludf.DUMMYFUNCTION("""COMPUTED_VALUE"""),0.0)</f>
        <v>0</v>
      </c>
      <c r="K40" s="3">
        <f>IFERROR(__xludf.DUMMYFUNCTION("""COMPUTED_VALUE"""),0.0)</f>
        <v>0</v>
      </c>
      <c r="L40" s="3">
        <f>IFERROR(__xludf.DUMMYFUNCTION("""COMPUTED_VALUE"""),0.0)</f>
        <v>0</v>
      </c>
      <c r="M40" s="3">
        <f>IFERROR(__xludf.DUMMYFUNCTION("""COMPUTED_VALUE"""),0.0)</f>
        <v>0</v>
      </c>
      <c r="N40" s="3">
        <f>IFERROR(__xludf.DUMMYFUNCTION("""COMPUTED_VALUE"""),0.0)</f>
        <v>0</v>
      </c>
      <c r="O40" s="3">
        <f>IFERROR(__xludf.DUMMYFUNCTION("""COMPUTED_VALUE"""),0.0)</f>
        <v>0</v>
      </c>
      <c r="P40" s="3">
        <f>IFERROR(__xludf.DUMMYFUNCTION("""COMPUTED_VALUE"""),0.0)</f>
        <v>0</v>
      </c>
      <c r="Q40" s="3">
        <f>IFERROR(__xludf.DUMMYFUNCTION("""COMPUTED_VALUE"""),0.0)</f>
        <v>0</v>
      </c>
      <c r="R40" s="3">
        <f>IFERROR(__xludf.DUMMYFUNCTION("""COMPUTED_VALUE"""),0.0)</f>
        <v>0</v>
      </c>
      <c r="S40" s="3">
        <f>IFERROR(__xludf.DUMMYFUNCTION("""COMPUTED_VALUE"""),0.0)</f>
        <v>0</v>
      </c>
      <c r="T40" s="3">
        <f>IFERROR(__xludf.DUMMYFUNCTION("""COMPUTED_VALUE"""),0.0)</f>
        <v>0</v>
      </c>
      <c r="U40" s="3">
        <f>IFERROR(__xludf.DUMMYFUNCTION("""COMPUTED_VALUE"""),0.0)</f>
        <v>0</v>
      </c>
      <c r="V40" s="3">
        <f>IFERROR(__xludf.DUMMYFUNCTION("""COMPUTED_VALUE"""),0.0)</f>
        <v>0</v>
      </c>
      <c r="W40" s="3">
        <f>IFERROR(__xludf.DUMMYFUNCTION("""COMPUTED_VALUE"""),0.0)</f>
        <v>0</v>
      </c>
      <c r="X40" s="3">
        <f>IFERROR(__xludf.DUMMYFUNCTION("""COMPUTED_VALUE"""),0.0)</f>
        <v>0</v>
      </c>
      <c r="Y40" s="3">
        <f>IFERROR(__xludf.DUMMYFUNCTION("""COMPUTED_VALUE"""),0.0)</f>
        <v>0</v>
      </c>
      <c r="Z40" s="3">
        <f>IFERROR(__xludf.DUMMYFUNCTION("""COMPUTED_VALUE"""),0.0)</f>
        <v>0</v>
      </c>
      <c r="AA40" s="3">
        <f>IFERROR(__xludf.DUMMYFUNCTION("""COMPUTED_VALUE"""),0.0)</f>
        <v>0</v>
      </c>
      <c r="AB40" s="3">
        <f>IFERROR(__xludf.DUMMYFUNCTION("""COMPUTED_VALUE"""),0.0)</f>
        <v>0</v>
      </c>
      <c r="AC40" s="3">
        <f>IFERROR(__xludf.DUMMYFUNCTION("""COMPUTED_VALUE"""),0.0)</f>
        <v>0</v>
      </c>
      <c r="AD40" s="3">
        <f>IFERROR(__xludf.DUMMYFUNCTION("""COMPUTED_VALUE"""),0.0)</f>
        <v>0</v>
      </c>
      <c r="AE40" s="3">
        <f>IFERROR(__xludf.DUMMYFUNCTION("""COMPUTED_VALUE"""),0.0)</f>
        <v>0</v>
      </c>
      <c r="AF40" s="3">
        <f>IFERROR(__xludf.DUMMYFUNCTION("""COMPUTED_VALUE"""),0.0)</f>
        <v>0</v>
      </c>
      <c r="AG40" s="3">
        <f>IFERROR(__xludf.DUMMYFUNCTION("""COMPUTED_VALUE"""),0.0)</f>
        <v>0</v>
      </c>
      <c r="AH40" s="3">
        <f>IFERROR(__xludf.DUMMYFUNCTION("""COMPUTED_VALUE"""),0.0)</f>
        <v>0</v>
      </c>
      <c r="AI40" s="3">
        <f>IFERROR(__xludf.DUMMYFUNCTION("""COMPUTED_VALUE"""),0.0)</f>
        <v>0</v>
      </c>
      <c r="AJ40" s="3">
        <f>IFERROR(__xludf.DUMMYFUNCTION("""COMPUTED_VALUE"""),0.0)</f>
        <v>0</v>
      </c>
      <c r="AK40" s="3">
        <f>IFERROR(__xludf.DUMMYFUNCTION("""COMPUTED_VALUE"""),0.0)</f>
        <v>0</v>
      </c>
      <c r="AL40" s="3">
        <f>IFERROR(__xludf.DUMMYFUNCTION("""COMPUTED_VALUE"""),0.0)</f>
        <v>0</v>
      </c>
      <c r="AM40" s="3">
        <f>IFERROR(__xludf.DUMMYFUNCTION("""COMPUTED_VALUE"""),0.0)</f>
        <v>0</v>
      </c>
      <c r="AN40" s="3">
        <f>IFERROR(__xludf.DUMMYFUNCTION("""COMPUTED_VALUE"""),0.0)</f>
        <v>0</v>
      </c>
      <c r="AO40" s="3">
        <f>IFERROR(__xludf.DUMMYFUNCTION("""COMPUTED_VALUE"""),0.0)</f>
        <v>0</v>
      </c>
      <c r="AP40" s="3">
        <f>IFERROR(__xludf.DUMMYFUNCTION("""COMPUTED_VALUE"""),0.0)</f>
        <v>0</v>
      </c>
      <c r="AQ40" s="3">
        <f>IFERROR(__xludf.DUMMYFUNCTION("""COMPUTED_VALUE"""),0.0)</f>
        <v>0</v>
      </c>
      <c r="AR40" s="3">
        <f>IFERROR(__xludf.DUMMYFUNCTION("""COMPUTED_VALUE"""),0.0)</f>
        <v>0</v>
      </c>
      <c r="AS40" s="3">
        <f>IFERROR(__xludf.DUMMYFUNCTION("""COMPUTED_VALUE"""),0.0)</f>
        <v>0</v>
      </c>
      <c r="AT40" s="3">
        <f>IFERROR(__xludf.DUMMYFUNCTION("""COMPUTED_VALUE"""),0.0)</f>
        <v>0</v>
      </c>
      <c r="AU40" s="3">
        <f>IFERROR(__xludf.DUMMYFUNCTION("""COMPUTED_VALUE"""),0.0)</f>
        <v>0</v>
      </c>
      <c r="AV40" s="3">
        <f>IFERROR(__xludf.DUMMYFUNCTION("""COMPUTED_VALUE"""),0.0)</f>
        <v>0</v>
      </c>
      <c r="AW40" s="3">
        <f>IFERROR(__xludf.DUMMYFUNCTION("""COMPUTED_VALUE"""),0.0)</f>
        <v>0</v>
      </c>
      <c r="AX40" s="3">
        <f>IFERROR(__xludf.DUMMYFUNCTION("""COMPUTED_VALUE"""),0.0)</f>
        <v>0</v>
      </c>
      <c r="AY40" s="3">
        <f>IFERROR(__xludf.DUMMYFUNCTION("""COMPUTED_VALUE"""),0.0)</f>
        <v>0</v>
      </c>
      <c r="AZ40" s="3">
        <f>IFERROR(__xludf.DUMMYFUNCTION("""COMPUTED_VALUE"""),0.0)</f>
        <v>0</v>
      </c>
      <c r="BA40" s="3">
        <f>IFERROR(__xludf.DUMMYFUNCTION("""COMPUTED_VALUE"""),0.0)</f>
        <v>0</v>
      </c>
      <c r="BB40" s="3">
        <f>IFERROR(__xludf.DUMMYFUNCTION("""COMPUTED_VALUE"""),0.0)</f>
        <v>0</v>
      </c>
      <c r="BC40" s="3">
        <f>IFERROR(__xludf.DUMMYFUNCTION("""COMPUTED_VALUE"""),0.0)</f>
        <v>0</v>
      </c>
      <c r="BD40" s="3">
        <f>IFERROR(__xludf.DUMMYFUNCTION("""COMPUTED_VALUE"""),0.0)</f>
        <v>0</v>
      </c>
      <c r="BE40" s="3">
        <f>IFERROR(__xludf.DUMMYFUNCTION("""COMPUTED_VALUE"""),0.0)</f>
        <v>0</v>
      </c>
      <c r="BF40" s="3">
        <f>IFERROR(__xludf.DUMMYFUNCTION("""COMPUTED_VALUE"""),0.0)</f>
        <v>0</v>
      </c>
      <c r="BG40" s="3">
        <f>IFERROR(__xludf.DUMMYFUNCTION("""COMPUTED_VALUE"""),0.0)</f>
        <v>0</v>
      </c>
      <c r="BH40" s="3">
        <f>IFERROR(__xludf.DUMMYFUNCTION("""COMPUTED_VALUE"""),0.0)</f>
        <v>0</v>
      </c>
      <c r="BI40" s="3">
        <f>IFERROR(__xludf.DUMMYFUNCTION("""COMPUTED_VALUE"""),0.0)</f>
        <v>0</v>
      </c>
      <c r="BJ40" s="3">
        <f>IFERROR(__xludf.DUMMYFUNCTION("""COMPUTED_VALUE"""),0.0)</f>
        <v>0</v>
      </c>
      <c r="BK40" s="3">
        <f>IFERROR(__xludf.DUMMYFUNCTION("""COMPUTED_VALUE"""),0.0)</f>
        <v>0</v>
      </c>
      <c r="BL40" s="3">
        <f>IFERROR(__xludf.DUMMYFUNCTION("""COMPUTED_VALUE"""),0.0)</f>
        <v>0</v>
      </c>
      <c r="BM40" s="3">
        <f>IFERROR(__xludf.DUMMYFUNCTION("""COMPUTED_VALUE"""),0.0)</f>
        <v>0</v>
      </c>
      <c r="BN40" s="3">
        <f>IFERROR(__xludf.DUMMYFUNCTION("""COMPUTED_VALUE"""),0.0)</f>
        <v>0</v>
      </c>
      <c r="BO40" s="3">
        <f>IFERROR(__xludf.DUMMYFUNCTION("""COMPUTED_VALUE"""),0.0)</f>
        <v>0</v>
      </c>
      <c r="BP40" s="3">
        <f>IFERROR(__xludf.DUMMYFUNCTION("""COMPUTED_VALUE"""),0.0)</f>
        <v>0</v>
      </c>
      <c r="BQ40" s="3">
        <f>IFERROR(__xludf.DUMMYFUNCTION("""COMPUTED_VALUE"""),0.0)</f>
        <v>0</v>
      </c>
      <c r="BR40" s="3">
        <f>IFERROR(__xludf.DUMMYFUNCTION("""COMPUTED_VALUE"""),0.0)</f>
        <v>0</v>
      </c>
      <c r="BS40" s="3">
        <f>IFERROR(__xludf.DUMMYFUNCTION("""COMPUTED_VALUE"""),0.0)</f>
        <v>0</v>
      </c>
      <c r="BT40" s="3">
        <f>IFERROR(__xludf.DUMMYFUNCTION("""COMPUTED_VALUE"""),0.0)</f>
        <v>0</v>
      </c>
      <c r="BU40" s="3">
        <f>IFERROR(__xludf.DUMMYFUNCTION("""COMPUTED_VALUE"""),0.0)</f>
        <v>0</v>
      </c>
      <c r="BV40" s="3">
        <f>IFERROR(__xludf.DUMMYFUNCTION("""COMPUTED_VALUE"""),0.0)</f>
        <v>0</v>
      </c>
      <c r="BW40" s="3">
        <f>IFERROR(__xludf.DUMMYFUNCTION("""COMPUTED_VALUE"""),0.0)</f>
        <v>0</v>
      </c>
      <c r="BX40" s="3">
        <f>IFERROR(__xludf.DUMMYFUNCTION("""COMPUTED_VALUE"""),0.0)</f>
        <v>0</v>
      </c>
      <c r="BY40" s="3">
        <f>IFERROR(__xludf.DUMMYFUNCTION("""COMPUTED_VALUE"""),0.0)</f>
        <v>0</v>
      </c>
      <c r="BZ40" s="3">
        <f>IFERROR(__xludf.DUMMYFUNCTION("""COMPUTED_VALUE"""),0.0)</f>
        <v>0</v>
      </c>
      <c r="CA40" s="3">
        <f>IFERROR(__xludf.DUMMYFUNCTION("""COMPUTED_VALUE"""),0.0)</f>
        <v>0</v>
      </c>
      <c r="CB40" s="3">
        <f>IFERROR(__xludf.DUMMYFUNCTION("""COMPUTED_VALUE"""),0.0)</f>
        <v>0</v>
      </c>
    </row>
    <row r="41">
      <c r="A41" s="3" t="str">
        <f>IFERROR(__xludf.DUMMYFUNCTION("""COMPUTED_VALUE"""),"")</f>
        <v/>
      </c>
      <c r="B41" s="3" t="str">
        <f>IFERROR(__xludf.DUMMYFUNCTION("""COMPUTED_VALUE"""),"Chile")</f>
        <v>Chile</v>
      </c>
      <c r="C41" s="3">
        <f>IFERROR(__xludf.DUMMYFUNCTION("""COMPUTED_VALUE"""),-35.6751)</f>
        <v>-35.6751</v>
      </c>
      <c r="D41" s="3">
        <f>IFERROR(__xludf.DUMMYFUNCTION("""COMPUTED_VALUE"""),-71.543)</f>
        <v>-71.543</v>
      </c>
      <c r="E41" s="3">
        <f>IFERROR(__xludf.DUMMYFUNCTION("""COMPUTED_VALUE"""),0.0)</f>
        <v>0</v>
      </c>
      <c r="F41" s="3">
        <f>IFERROR(__xludf.DUMMYFUNCTION("""COMPUTED_VALUE"""),0.0)</f>
        <v>0</v>
      </c>
      <c r="G41" s="3">
        <f>IFERROR(__xludf.DUMMYFUNCTION("""COMPUTED_VALUE"""),0.0)</f>
        <v>0</v>
      </c>
      <c r="H41" s="3">
        <f>IFERROR(__xludf.DUMMYFUNCTION("""COMPUTED_VALUE"""),0.0)</f>
        <v>0</v>
      </c>
      <c r="I41" s="3">
        <f>IFERROR(__xludf.DUMMYFUNCTION("""COMPUTED_VALUE"""),0.0)</f>
        <v>0</v>
      </c>
      <c r="J41" s="3">
        <f>IFERROR(__xludf.DUMMYFUNCTION("""COMPUTED_VALUE"""),0.0)</f>
        <v>0</v>
      </c>
      <c r="K41" s="3">
        <f>IFERROR(__xludf.DUMMYFUNCTION("""COMPUTED_VALUE"""),0.0)</f>
        <v>0</v>
      </c>
      <c r="L41" s="3">
        <f>IFERROR(__xludf.DUMMYFUNCTION("""COMPUTED_VALUE"""),0.0)</f>
        <v>0</v>
      </c>
      <c r="M41" s="3">
        <f>IFERROR(__xludf.DUMMYFUNCTION("""COMPUTED_VALUE"""),0.0)</f>
        <v>0</v>
      </c>
      <c r="N41" s="3">
        <f>IFERROR(__xludf.DUMMYFUNCTION("""COMPUTED_VALUE"""),0.0)</f>
        <v>0</v>
      </c>
      <c r="O41" s="3">
        <f>IFERROR(__xludf.DUMMYFUNCTION("""COMPUTED_VALUE"""),0.0)</f>
        <v>0</v>
      </c>
      <c r="P41" s="3">
        <f>IFERROR(__xludf.DUMMYFUNCTION("""COMPUTED_VALUE"""),0.0)</f>
        <v>0</v>
      </c>
      <c r="Q41" s="3">
        <f>IFERROR(__xludf.DUMMYFUNCTION("""COMPUTED_VALUE"""),0.0)</f>
        <v>0</v>
      </c>
      <c r="R41" s="3">
        <f>IFERROR(__xludf.DUMMYFUNCTION("""COMPUTED_VALUE"""),0.0)</f>
        <v>0</v>
      </c>
      <c r="S41" s="3">
        <f>IFERROR(__xludf.DUMMYFUNCTION("""COMPUTED_VALUE"""),0.0)</f>
        <v>0</v>
      </c>
      <c r="T41" s="3">
        <f>IFERROR(__xludf.DUMMYFUNCTION("""COMPUTED_VALUE"""),0.0)</f>
        <v>0</v>
      </c>
      <c r="U41" s="3">
        <f>IFERROR(__xludf.DUMMYFUNCTION("""COMPUTED_VALUE"""),0.0)</f>
        <v>0</v>
      </c>
      <c r="V41" s="3">
        <f>IFERROR(__xludf.DUMMYFUNCTION("""COMPUTED_VALUE"""),0.0)</f>
        <v>0</v>
      </c>
      <c r="W41" s="3">
        <f>IFERROR(__xludf.DUMMYFUNCTION("""COMPUTED_VALUE"""),0.0)</f>
        <v>0</v>
      </c>
      <c r="X41" s="3">
        <f>IFERROR(__xludf.DUMMYFUNCTION("""COMPUTED_VALUE"""),0.0)</f>
        <v>0</v>
      </c>
      <c r="Y41" s="3">
        <f>IFERROR(__xludf.DUMMYFUNCTION("""COMPUTED_VALUE"""),0.0)</f>
        <v>0</v>
      </c>
      <c r="Z41" s="3">
        <f>IFERROR(__xludf.DUMMYFUNCTION("""COMPUTED_VALUE"""),0.0)</f>
        <v>0</v>
      </c>
      <c r="AA41" s="3">
        <f>IFERROR(__xludf.DUMMYFUNCTION("""COMPUTED_VALUE"""),0.0)</f>
        <v>0</v>
      </c>
      <c r="AB41" s="3">
        <f>IFERROR(__xludf.DUMMYFUNCTION("""COMPUTED_VALUE"""),0.0)</f>
        <v>0</v>
      </c>
      <c r="AC41" s="3">
        <f>IFERROR(__xludf.DUMMYFUNCTION("""COMPUTED_VALUE"""),0.0)</f>
        <v>0</v>
      </c>
      <c r="AD41" s="3">
        <f>IFERROR(__xludf.DUMMYFUNCTION("""COMPUTED_VALUE"""),0.0)</f>
        <v>0</v>
      </c>
      <c r="AE41" s="3">
        <f>IFERROR(__xludf.DUMMYFUNCTION("""COMPUTED_VALUE"""),0.0)</f>
        <v>0</v>
      </c>
      <c r="AF41" s="3">
        <f>IFERROR(__xludf.DUMMYFUNCTION("""COMPUTED_VALUE"""),0.0)</f>
        <v>0</v>
      </c>
      <c r="AG41" s="3">
        <f>IFERROR(__xludf.DUMMYFUNCTION("""COMPUTED_VALUE"""),0.0)</f>
        <v>0</v>
      </c>
      <c r="AH41" s="3">
        <f>IFERROR(__xludf.DUMMYFUNCTION("""COMPUTED_VALUE"""),0.0)</f>
        <v>0</v>
      </c>
      <c r="AI41" s="3">
        <f>IFERROR(__xludf.DUMMYFUNCTION("""COMPUTED_VALUE"""),0.0)</f>
        <v>0</v>
      </c>
      <c r="AJ41" s="3">
        <f>IFERROR(__xludf.DUMMYFUNCTION("""COMPUTED_VALUE"""),0.0)</f>
        <v>0</v>
      </c>
      <c r="AK41" s="3">
        <f>IFERROR(__xludf.DUMMYFUNCTION("""COMPUTED_VALUE"""),0.0)</f>
        <v>0</v>
      </c>
      <c r="AL41" s="3">
        <f>IFERROR(__xludf.DUMMYFUNCTION("""COMPUTED_VALUE"""),0.0)</f>
        <v>0</v>
      </c>
      <c r="AM41" s="3">
        <f>IFERROR(__xludf.DUMMYFUNCTION("""COMPUTED_VALUE"""),0.0)</f>
        <v>0</v>
      </c>
      <c r="AN41" s="3">
        <f>IFERROR(__xludf.DUMMYFUNCTION("""COMPUTED_VALUE"""),0.0)</f>
        <v>0</v>
      </c>
      <c r="AO41" s="3">
        <f>IFERROR(__xludf.DUMMYFUNCTION("""COMPUTED_VALUE"""),0.0)</f>
        <v>0</v>
      </c>
      <c r="AP41" s="3">
        <f>IFERROR(__xludf.DUMMYFUNCTION("""COMPUTED_VALUE"""),0.0)</f>
        <v>0</v>
      </c>
      <c r="AQ41" s="3">
        <f>IFERROR(__xludf.DUMMYFUNCTION("""COMPUTED_VALUE"""),0.0)</f>
        <v>0</v>
      </c>
      <c r="AR41" s="3">
        <f>IFERROR(__xludf.DUMMYFUNCTION("""COMPUTED_VALUE"""),0.0)</f>
        <v>0</v>
      </c>
      <c r="AS41" s="3">
        <f>IFERROR(__xludf.DUMMYFUNCTION("""COMPUTED_VALUE"""),0.0)</f>
        <v>0</v>
      </c>
      <c r="AT41" s="3">
        <f>IFERROR(__xludf.DUMMYFUNCTION("""COMPUTED_VALUE"""),0.0)</f>
        <v>0</v>
      </c>
      <c r="AU41" s="3">
        <f>IFERROR(__xludf.DUMMYFUNCTION("""COMPUTED_VALUE"""),0.0)</f>
        <v>0</v>
      </c>
      <c r="AV41" s="3">
        <f>IFERROR(__xludf.DUMMYFUNCTION("""COMPUTED_VALUE"""),0.0)</f>
        <v>0</v>
      </c>
      <c r="AW41" s="3">
        <f>IFERROR(__xludf.DUMMYFUNCTION("""COMPUTED_VALUE"""),0.0)</f>
        <v>0</v>
      </c>
      <c r="AX41" s="3">
        <f>IFERROR(__xludf.DUMMYFUNCTION("""COMPUTED_VALUE"""),0.0)</f>
        <v>0</v>
      </c>
      <c r="AY41" s="3">
        <f>IFERROR(__xludf.DUMMYFUNCTION("""COMPUTED_VALUE"""),0.0)</f>
        <v>0</v>
      </c>
      <c r="AZ41" s="3">
        <f>IFERROR(__xludf.DUMMYFUNCTION("""COMPUTED_VALUE"""),0.0)</f>
        <v>0</v>
      </c>
      <c r="BA41" s="3">
        <f>IFERROR(__xludf.DUMMYFUNCTION("""COMPUTED_VALUE"""),0.0)</f>
        <v>0</v>
      </c>
      <c r="BB41" s="3">
        <f>IFERROR(__xludf.DUMMYFUNCTION("""COMPUTED_VALUE"""),0.0)</f>
        <v>0</v>
      </c>
      <c r="BC41" s="3">
        <f>IFERROR(__xludf.DUMMYFUNCTION("""COMPUTED_VALUE"""),0.0)</f>
        <v>0</v>
      </c>
      <c r="BD41" s="3">
        <f>IFERROR(__xludf.DUMMYFUNCTION("""COMPUTED_VALUE"""),0.0)</f>
        <v>0</v>
      </c>
      <c r="BE41" s="3">
        <f>IFERROR(__xludf.DUMMYFUNCTION("""COMPUTED_VALUE"""),0.0)</f>
        <v>0</v>
      </c>
      <c r="BF41" s="3">
        <f>IFERROR(__xludf.DUMMYFUNCTION("""COMPUTED_VALUE"""),0.0)</f>
        <v>0</v>
      </c>
      <c r="BG41" s="3">
        <f>IFERROR(__xludf.DUMMYFUNCTION("""COMPUTED_VALUE"""),0.0)</f>
        <v>0</v>
      </c>
      <c r="BH41" s="3">
        <f>IFERROR(__xludf.DUMMYFUNCTION("""COMPUTED_VALUE"""),0.0)</f>
        <v>0</v>
      </c>
      <c r="BI41" s="3">
        <f>IFERROR(__xludf.DUMMYFUNCTION("""COMPUTED_VALUE"""),0.0)</f>
        <v>0</v>
      </c>
      <c r="BJ41" s="3">
        <f>IFERROR(__xludf.DUMMYFUNCTION("""COMPUTED_VALUE"""),0.0)</f>
        <v>0</v>
      </c>
      <c r="BK41" s="3">
        <f>IFERROR(__xludf.DUMMYFUNCTION("""COMPUTED_VALUE"""),6.0)</f>
        <v>6</v>
      </c>
      <c r="BL41" s="3">
        <f>IFERROR(__xludf.DUMMYFUNCTION("""COMPUTED_VALUE"""),6.0)</f>
        <v>6</v>
      </c>
      <c r="BM41" s="3">
        <f>IFERROR(__xludf.DUMMYFUNCTION("""COMPUTED_VALUE"""),8.0)</f>
        <v>8</v>
      </c>
      <c r="BN41" s="3">
        <f>IFERROR(__xludf.DUMMYFUNCTION("""COMPUTED_VALUE"""),8.0)</f>
        <v>8</v>
      </c>
      <c r="BO41" s="3">
        <f>IFERROR(__xludf.DUMMYFUNCTION("""COMPUTED_VALUE"""),17.0)</f>
        <v>17</v>
      </c>
      <c r="BP41" s="3">
        <f>IFERROR(__xludf.DUMMYFUNCTION("""COMPUTED_VALUE"""),22.0)</f>
        <v>22</v>
      </c>
      <c r="BQ41" s="3">
        <f>IFERROR(__xludf.DUMMYFUNCTION("""COMPUTED_VALUE"""),22.0)</f>
        <v>22</v>
      </c>
      <c r="BR41" s="3">
        <f>IFERROR(__xludf.DUMMYFUNCTION("""COMPUTED_VALUE"""),43.0)</f>
        <v>43</v>
      </c>
      <c r="BS41" s="3">
        <f>IFERROR(__xludf.DUMMYFUNCTION("""COMPUTED_VALUE"""),61.0)</f>
        <v>61</v>
      </c>
      <c r="BT41" s="3">
        <f>IFERROR(__xludf.DUMMYFUNCTION("""COMPUTED_VALUE"""),75.0)</f>
        <v>75</v>
      </c>
      <c r="BU41" s="3">
        <f>IFERROR(__xludf.DUMMYFUNCTION("""COMPUTED_VALUE"""),156.0)</f>
        <v>156</v>
      </c>
      <c r="BV41" s="3">
        <f>IFERROR(__xludf.DUMMYFUNCTION("""COMPUTED_VALUE"""),156.0)</f>
        <v>156</v>
      </c>
      <c r="BW41" s="3">
        <f>IFERROR(__xludf.DUMMYFUNCTION("""COMPUTED_VALUE"""),234.0)</f>
        <v>234</v>
      </c>
      <c r="BX41" s="3">
        <f>IFERROR(__xludf.DUMMYFUNCTION("""COMPUTED_VALUE"""),335.0)</f>
        <v>335</v>
      </c>
      <c r="BY41" s="3">
        <f>IFERROR(__xludf.DUMMYFUNCTION("""COMPUTED_VALUE"""),427.0)</f>
        <v>427</v>
      </c>
      <c r="BZ41" s="3">
        <f>IFERROR(__xludf.DUMMYFUNCTION("""COMPUTED_VALUE"""),528.0)</f>
        <v>528</v>
      </c>
      <c r="CA41" s="3">
        <f>IFERROR(__xludf.DUMMYFUNCTION("""COMPUTED_VALUE"""),618.0)</f>
        <v>618</v>
      </c>
      <c r="CB41" s="3">
        <f>IFERROR(__xludf.DUMMYFUNCTION("""COMPUTED_VALUE"""),728.0)</f>
        <v>728</v>
      </c>
    </row>
    <row r="42">
      <c r="A42" s="3" t="str">
        <f>IFERROR(__xludf.DUMMYFUNCTION("""COMPUTED_VALUE"""),"Anhui")</f>
        <v>Anhui</v>
      </c>
      <c r="B42" s="3" t="str">
        <f>IFERROR(__xludf.DUMMYFUNCTION("""COMPUTED_VALUE"""),"China")</f>
        <v>China</v>
      </c>
      <c r="C42" s="3">
        <f>IFERROR(__xludf.DUMMYFUNCTION("""COMPUTED_VALUE"""),31.8257)</f>
        <v>31.8257</v>
      </c>
      <c r="D42" s="3">
        <f>IFERROR(__xludf.DUMMYFUNCTION("""COMPUTED_VALUE"""),117.2264)</f>
        <v>117.2264</v>
      </c>
      <c r="E42" s="3">
        <f>IFERROR(__xludf.DUMMYFUNCTION("""COMPUTED_VALUE"""),0.0)</f>
        <v>0</v>
      </c>
      <c r="F42" s="3">
        <f>IFERROR(__xludf.DUMMYFUNCTION("""COMPUTED_VALUE"""),0.0)</f>
        <v>0</v>
      </c>
      <c r="G42" s="3">
        <f>IFERROR(__xludf.DUMMYFUNCTION("""COMPUTED_VALUE"""),0.0)</f>
        <v>0</v>
      </c>
      <c r="H42" s="3">
        <f>IFERROR(__xludf.DUMMYFUNCTION("""COMPUTED_VALUE"""),0.0)</f>
        <v>0</v>
      </c>
      <c r="I42" s="3">
        <f>IFERROR(__xludf.DUMMYFUNCTION("""COMPUTED_VALUE"""),0.0)</f>
        <v>0</v>
      </c>
      <c r="J42" s="3">
        <f>IFERROR(__xludf.DUMMYFUNCTION("""COMPUTED_VALUE"""),0.0)</f>
        <v>0</v>
      </c>
      <c r="K42" s="3">
        <f>IFERROR(__xludf.DUMMYFUNCTION("""COMPUTED_VALUE"""),0.0)</f>
        <v>0</v>
      </c>
      <c r="L42" s="3">
        <f>IFERROR(__xludf.DUMMYFUNCTION("""COMPUTED_VALUE"""),2.0)</f>
        <v>2</v>
      </c>
      <c r="M42" s="3">
        <f>IFERROR(__xludf.DUMMYFUNCTION("""COMPUTED_VALUE"""),2.0)</f>
        <v>2</v>
      </c>
      <c r="N42" s="3">
        <f>IFERROR(__xludf.DUMMYFUNCTION("""COMPUTED_VALUE"""),3.0)</f>
        <v>3</v>
      </c>
      <c r="O42" s="3">
        <f>IFERROR(__xludf.DUMMYFUNCTION("""COMPUTED_VALUE"""),5.0)</f>
        <v>5</v>
      </c>
      <c r="P42" s="3">
        <f>IFERROR(__xludf.DUMMYFUNCTION("""COMPUTED_VALUE"""),7.0)</f>
        <v>7</v>
      </c>
      <c r="Q42" s="3">
        <f>IFERROR(__xludf.DUMMYFUNCTION("""COMPUTED_VALUE"""),14.0)</f>
        <v>14</v>
      </c>
      <c r="R42" s="3">
        <f>IFERROR(__xludf.DUMMYFUNCTION("""COMPUTED_VALUE"""),20.0)</f>
        <v>20</v>
      </c>
      <c r="S42" s="3">
        <f>IFERROR(__xludf.DUMMYFUNCTION("""COMPUTED_VALUE"""),23.0)</f>
        <v>23</v>
      </c>
      <c r="T42" s="3">
        <f>IFERROR(__xludf.DUMMYFUNCTION("""COMPUTED_VALUE"""),34.0)</f>
        <v>34</v>
      </c>
      <c r="U42" s="3">
        <f>IFERROR(__xludf.DUMMYFUNCTION("""COMPUTED_VALUE"""),47.0)</f>
        <v>47</v>
      </c>
      <c r="V42" s="3">
        <f>IFERROR(__xludf.DUMMYFUNCTION("""COMPUTED_VALUE"""),59.0)</f>
        <v>59</v>
      </c>
      <c r="W42" s="3">
        <f>IFERROR(__xludf.DUMMYFUNCTION("""COMPUTED_VALUE"""),72.0)</f>
        <v>72</v>
      </c>
      <c r="X42" s="3">
        <f>IFERROR(__xludf.DUMMYFUNCTION("""COMPUTED_VALUE"""),88.0)</f>
        <v>88</v>
      </c>
      <c r="Y42" s="3">
        <f>IFERROR(__xludf.DUMMYFUNCTION("""COMPUTED_VALUE"""),105.0)</f>
        <v>105</v>
      </c>
      <c r="Z42" s="3">
        <f>IFERROR(__xludf.DUMMYFUNCTION("""COMPUTED_VALUE"""),127.0)</f>
        <v>127</v>
      </c>
      <c r="AA42" s="3">
        <f>IFERROR(__xludf.DUMMYFUNCTION("""COMPUTED_VALUE"""),157.0)</f>
        <v>157</v>
      </c>
      <c r="AB42" s="3">
        <f>IFERROR(__xludf.DUMMYFUNCTION("""COMPUTED_VALUE"""),193.0)</f>
        <v>193</v>
      </c>
      <c r="AC42" s="3">
        <f>IFERROR(__xludf.DUMMYFUNCTION("""COMPUTED_VALUE"""),221.0)</f>
        <v>221</v>
      </c>
      <c r="AD42" s="3">
        <f>IFERROR(__xludf.DUMMYFUNCTION("""COMPUTED_VALUE"""),255.0)</f>
        <v>255</v>
      </c>
      <c r="AE42" s="3">
        <f>IFERROR(__xludf.DUMMYFUNCTION("""COMPUTED_VALUE"""),280.0)</f>
        <v>280</v>
      </c>
      <c r="AF42" s="3">
        <f>IFERROR(__xludf.DUMMYFUNCTION("""COMPUTED_VALUE"""),361.0)</f>
        <v>361</v>
      </c>
      <c r="AG42" s="3">
        <f>IFERROR(__xludf.DUMMYFUNCTION("""COMPUTED_VALUE"""),413.0)</f>
        <v>413</v>
      </c>
      <c r="AH42" s="3">
        <f>IFERROR(__xludf.DUMMYFUNCTION("""COMPUTED_VALUE"""),474.0)</f>
        <v>474</v>
      </c>
      <c r="AI42" s="3">
        <f>IFERROR(__xludf.DUMMYFUNCTION("""COMPUTED_VALUE"""),539.0)</f>
        <v>539</v>
      </c>
      <c r="AJ42" s="3">
        <f>IFERROR(__xludf.DUMMYFUNCTION("""COMPUTED_VALUE"""),597.0)</f>
        <v>597</v>
      </c>
      <c r="AK42" s="3">
        <f>IFERROR(__xludf.DUMMYFUNCTION("""COMPUTED_VALUE"""),637.0)</f>
        <v>637</v>
      </c>
      <c r="AL42" s="3">
        <f>IFERROR(__xludf.DUMMYFUNCTION("""COMPUTED_VALUE"""),663.0)</f>
        <v>663</v>
      </c>
      <c r="AM42" s="3">
        <f>IFERROR(__xludf.DUMMYFUNCTION("""COMPUTED_VALUE"""),712.0)</f>
        <v>712</v>
      </c>
      <c r="AN42" s="3">
        <f>IFERROR(__xludf.DUMMYFUNCTION("""COMPUTED_VALUE"""),744.0)</f>
        <v>744</v>
      </c>
      <c r="AO42" s="3">
        <f>IFERROR(__xludf.DUMMYFUNCTION("""COMPUTED_VALUE"""),792.0)</f>
        <v>792</v>
      </c>
      <c r="AP42" s="3">
        <f>IFERROR(__xludf.DUMMYFUNCTION("""COMPUTED_VALUE"""),821.0)</f>
        <v>821</v>
      </c>
      <c r="AQ42" s="3">
        <f>IFERROR(__xludf.DUMMYFUNCTION("""COMPUTED_VALUE"""),868.0)</f>
        <v>868</v>
      </c>
      <c r="AR42" s="3">
        <f>IFERROR(__xludf.DUMMYFUNCTION("""COMPUTED_VALUE"""),873.0)</f>
        <v>873</v>
      </c>
      <c r="AS42" s="3">
        <f>IFERROR(__xludf.DUMMYFUNCTION("""COMPUTED_VALUE"""),917.0)</f>
        <v>917</v>
      </c>
      <c r="AT42" s="3">
        <f>IFERROR(__xludf.DUMMYFUNCTION("""COMPUTED_VALUE"""),936.0)</f>
        <v>936</v>
      </c>
      <c r="AU42" s="3">
        <f>IFERROR(__xludf.DUMMYFUNCTION("""COMPUTED_VALUE"""),956.0)</f>
        <v>956</v>
      </c>
      <c r="AV42" s="3">
        <f>IFERROR(__xludf.DUMMYFUNCTION("""COMPUTED_VALUE"""),970.0)</f>
        <v>970</v>
      </c>
      <c r="AW42" s="3">
        <f>IFERROR(__xludf.DUMMYFUNCTION("""COMPUTED_VALUE"""),979.0)</f>
        <v>979</v>
      </c>
      <c r="AX42" s="3">
        <f>IFERROR(__xludf.DUMMYFUNCTION("""COMPUTED_VALUE"""),979.0)</f>
        <v>979</v>
      </c>
      <c r="AY42" s="3">
        <f>IFERROR(__xludf.DUMMYFUNCTION("""COMPUTED_VALUE"""),984.0)</f>
        <v>984</v>
      </c>
      <c r="AZ42" s="3">
        <f>IFERROR(__xludf.DUMMYFUNCTION("""COMPUTED_VALUE"""),984.0)</f>
        <v>984</v>
      </c>
      <c r="BA42" s="3">
        <f>IFERROR(__xludf.DUMMYFUNCTION("""COMPUTED_VALUE"""),984.0)</f>
        <v>984</v>
      </c>
      <c r="BB42" s="3">
        <f>IFERROR(__xludf.DUMMYFUNCTION("""COMPUTED_VALUE"""),984.0)</f>
        <v>984</v>
      </c>
      <c r="BC42" s="3">
        <f>IFERROR(__xludf.DUMMYFUNCTION("""COMPUTED_VALUE"""),984.0)</f>
        <v>984</v>
      </c>
      <c r="BD42" s="3">
        <f>IFERROR(__xludf.DUMMYFUNCTION("""COMPUTED_VALUE"""),984.0)</f>
        <v>984</v>
      </c>
      <c r="BE42" s="3">
        <f>IFERROR(__xludf.DUMMYFUNCTION("""COMPUTED_VALUE"""),984.0)</f>
        <v>984</v>
      </c>
      <c r="BF42" s="3">
        <f>IFERROR(__xludf.DUMMYFUNCTION("""COMPUTED_VALUE"""),984.0)</f>
        <v>984</v>
      </c>
      <c r="BG42" s="3">
        <f>IFERROR(__xludf.DUMMYFUNCTION("""COMPUTED_VALUE"""),984.0)</f>
        <v>984</v>
      </c>
      <c r="BH42" s="3">
        <f>IFERROR(__xludf.DUMMYFUNCTION("""COMPUTED_VALUE"""),984.0)</f>
        <v>984</v>
      </c>
      <c r="BI42" s="3">
        <f>IFERROR(__xludf.DUMMYFUNCTION("""COMPUTED_VALUE"""),984.0)</f>
        <v>984</v>
      </c>
      <c r="BJ42" s="3">
        <f>IFERROR(__xludf.DUMMYFUNCTION("""COMPUTED_VALUE"""),984.0)</f>
        <v>984</v>
      </c>
      <c r="BK42" s="3">
        <f>IFERROR(__xludf.DUMMYFUNCTION("""COMPUTED_VALUE"""),984.0)</f>
        <v>984</v>
      </c>
      <c r="BL42" s="3">
        <f>IFERROR(__xludf.DUMMYFUNCTION("""COMPUTED_VALUE"""),984.0)</f>
        <v>984</v>
      </c>
      <c r="BM42" s="3">
        <f>IFERROR(__xludf.DUMMYFUNCTION("""COMPUTED_VALUE"""),984.0)</f>
        <v>984</v>
      </c>
      <c r="BN42" s="3">
        <f>IFERROR(__xludf.DUMMYFUNCTION("""COMPUTED_VALUE"""),984.0)</f>
        <v>984</v>
      </c>
      <c r="BO42" s="3">
        <f>IFERROR(__xludf.DUMMYFUNCTION("""COMPUTED_VALUE"""),984.0)</f>
        <v>984</v>
      </c>
      <c r="BP42" s="3">
        <f>IFERROR(__xludf.DUMMYFUNCTION("""COMPUTED_VALUE"""),984.0)</f>
        <v>984</v>
      </c>
      <c r="BQ42" s="3">
        <f>IFERROR(__xludf.DUMMYFUNCTION("""COMPUTED_VALUE"""),984.0)</f>
        <v>984</v>
      </c>
      <c r="BR42" s="3">
        <f>IFERROR(__xludf.DUMMYFUNCTION("""COMPUTED_VALUE"""),984.0)</f>
        <v>984</v>
      </c>
      <c r="BS42" s="3">
        <f>IFERROR(__xludf.DUMMYFUNCTION("""COMPUTED_VALUE"""),984.0)</f>
        <v>984</v>
      </c>
      <c r="BT42" s="3">
        <f>IFERROR(__xludf.DUMMYFUNCTION("""COMPUTED_VALUE"""),984.0)</f>
        <v>984</v>
      </c>
      <c r="BU42" s="3">
        <f>IFERROR(__xludf.DUMMYFUNCTION("""COMPUTED_VALUE"""),984.0)</f>
        <v>984</v>
      </c>
      <c r="BV42" s="3">
        <f>IFERROR(__xludf.DUMMYFUNCTION("""COMPUTED_VALUE"""),984.0)</f>
        <v>984</v>
      </c>
      <c r="BW42" s="3">
        <f>IFERROR(__xludf.DUMMYFUNCTION("""COMPUTED_VALUE"""),984.0)</f>
        <v>984</v>
      </c>
      <c r="BX42" s="3">
        <f>IFERROR(__xludf.DUMMYFUNCTION("""COMPUTED_VALUE"""),984.0)</f>
        <v>984</v>
      </c>
      <c r="BY42" s="3">
        <f>IFERROR(__xludf.DUMMYFUNCTION("""COMPUTED_VALUE"""),984.0)</f>
        <v>984</v>
      </c>
      <c r="BZ42" s="3">
        <f>IFERROR(__xludf.DUMMYFUNCTION("""COMPUTED_VALUE"""),984.0)</f>
        <v>984</v>
      </c>
      <c r="CA42" s="3">
        <f>IFERROR(__xludf.DUMMYFUNCTION("""COMPUTED_VALUE"""),984.0)</f>
        <v>984</v>
      </c>
      <c r="CB42" s="3">
        <f>IFERROR(__xludf.DUMMYFUNCTION("""COMPUTED_VALUE"""),984.0)</f>
        <v>984</v>
      </c>
    </row>
    <row r="43">
      <c r="A43" s="3" t="str">
        <f>IFERROR(__xludf.DUMMYFUNCTION("""COMPUTED_VALUE"""),"Beijing")</f>
        <v>Beijing</v>
      </c>
      <c r="B43" s="3" t="str">
        <f>IFERROR(__xludf.DUMMYFUNCTION("""COMPUTED_VALUE"""),"China")</f>
        <v>China</v>
      </c>
      <c r="C43" s="3">
        <f>IFERROR(__xludf.DUMMYFUNCTION("""COMPUTED_VALUE"""),40.1824)</f>
        <v>40.1824</v>
      </c>
      <c r="D43" s="3">
        <f>IFERROR(__xludf.DUMMYFUNCTION("""COMPUTED_VALUE"""),116.4142)</f>
        <v>116.4142</v>
      </c>
      <c r="E43" s="3">
        <f>IFERROR(__xludf.DUMMYFUNCTION("""COMPUTED_VALUE"""),0.0)</f>
        <v>0</v>
      </c>
      <c r="F43" s="3">
        <f>IFERROR(__xludf.DUMMYFUNCTION("""COMPUTED_VALUE"""),0.0)</f>
        <v>0</v>
      </c>
      <c r="G43" s="3">
        <f>IFERROR(__xludf.DUMMYFUNCTION("""COMPUTED_VALUE"""),1.0)</f>
        <v>1</v>
      </c>
      <c r="H43" s="3">
        <f>IFERROR(__xludf.DUMMYFUNCTION("""COMPUTED_VALUE"""),2.0)</f>
        <v>2</v>
      </c>
      <c r="I43" s="3">
        <f>IFERROR(__xludf.DUMMYFUNCTION("""COMPUTED_VALUE"""),2.0)</f>
        <v>2</v>
      </c>
      <c r="J43" s="3">
        <f>IFERROR(__xludf.DUMMYFUNCTION("""COMPUTED_VALUE"""),2.0)</f>
        <v>2</v>
      </c>
      <c r="K43" s="3">
        <f>IFERROR(__xludf.DUMMYFUNCTION("""COMPUTED_VALUE"""),4.0)</f>
        <v>4</v>
      </c>
      <c r="L43" s="3">
        <f>IFERROR(__xludf.DUMMYFUNCTION("""COMPUTED_VALUE"""),4.0)</f>
        <v>4</v>
      </c>
      <c r="M43" s="3">
        <f>IFERROR(__xludf.DUMMYFUNCTION("""COMPUTED_VALUE"""),4.0)</f>
        <v>4</v>
      </c>
      <c r="N43" s="3">
        <f>IFERROR(__xludf.DUMMYFUNCTION("""COMPUTED_VALUE"""),5.0)</f>
        <v>5</v>
      </c>
      <c r="O43" s="3">
        <f>IFERROR(__xludf.DUMMYFUNCTION("""COMPUTED_VALUE"""),9.0)</f>
        <v>9</v>
      </c>
      <c r="P43" s="3">
        <f>IFERROR(__xludf.DUMMYFUNCTION("""COMPUTED_VALUE"""),9.0)</f>
        <v>9</v>
      </c>
      <c r="Q43" s="3">
        <f>IFERROR(__xludf.DUMMYFUNCTION("""COMPUTED_VALUE"""),12.0)</f>
        <v>12</v>
      </c>
      <c r="R43" s="3">
        <f>IFERROR(__xludf.DUMMYFUNCTION("""COMPUTED_VALUE"""),23.0)</f>
        <v>23</v>
      </c>
      <c r="S43" s="3">
        <f>IFERROR(__xludf.DUMMYFUNCTION("""COMPUTED_VALUE"""),24.0)</f>
        <v>24</v>
      </c>
      <c r="T43" s="3">
        <f>IFERROR(__xludf.DUMMYFUNCTION("""COMPUTED_VALUE"""),31.0)</f>
        <v>31</v>
      </c>
      <c r="U43" s="3">
        <f>IFERROR(__xludf.DUMMYFUNCTION("""COMPUTED_VALUE"""),33.0)</f>
        <v>33</v>
      </c>
      <c r="V43" s="3">
        <f>IFERROR(__xludf.DUMMYFUNCTION("""COMPUTED_VALUE"""),34.0)</f>
        <v>34</v>
      </c>
      <c r="W43" s="3">
        <f>IFERROR(__xludf.DUMMYFUNCTION("""COMPUTED_VALUE"""),37.0)</f>
        <v>37</v>
      </c>
      <c r="X43" s="3">
        <f>IFERROR(__xludf.DUMMYFUNCTION("""COMPUTED_VALUE"""),44.0)</f>
        <v>44</v>
      </c>
      <c r="Y43" s="3">
        <f>IFERROR(__xludf.DUMMYFUNCTION("""COMPUTED_VALUE"""),48.0)</f>
        <v>48</v>
      </c>
      <c r="Z43" s="3">
        <f>IFERROR(__xludf.DUMMYFUNCTION("""COMPUTED_VALUE"""),56.0)</f>
        <v>56</v>
      </c>
      <c r="AA43" s="3">
        <f>IFERROR(__xludf.DUMMYFUNCTION("""COMPUTED_VALUE"""),69.0)</f>
        <v>69</v>
      </c>
      <c r="AB43" s="3">
        <f>IFERROR(__xludf.DUMMYFUNCTION("""COMPUTED_VALUE"""),80.0)</f>
        <v>80</v>
      </c>
      <c r="AC43" s="3">
        <f>IFERROR(__xludf.DUMMYFUNCTION("""COMPUTED_VALUE"""),98.0)</f>
        <v>98</v>
      </c>
      <c r="AD43" s="3">
        <f>IFERROR(__xludf.DUMMYFUNCTION("""COMPUTED_VALUE"""),108.0)</f>
        <v>108</v>
      </c>
      <c r="AE43" s="3">
        <f>IFERROR(__xludf.DUMMYFUNCTION("""COMPUTED_VALUE"""),114.0)</f>
        <v>114</v>
      </c>
      <c r="AF43" s="3">
        <f>IFERROR(__xludf.DUMMYFUNCTION("""COMPUTED_VALUE"""),122.0)</f>
        <v>122</v>
      </c>
      <c r="AG43" s="3">
        <f>IFERROR(__xludf.DUMMYFUNCTION("""COMPUTED_VALUE"""),145.0)</f>
        <v>145</v>
      </c>
      <c r="AH43" s="3">
        <f>IFERROR(__xludf.DUMMYFUNCTION("""COMPUTED_VALUE"""),153.0)</f>
        <v>153</v>
      </c>
      <c r="AI43" s="3">
        <f>IFERROR(__xludf.DUMMYFUNCTION("""COMPUTED_VALUE"""),169.0)</f>
        <v>169</v>
      </c>
      <c r="AJ43" s="3">
        <f>IFERROR(__xludf.DUMMYFUNCTION("""COMPUTED_VALUE"""),178.0)</f>
        <v>178</v>
      </c>
      <c r="AK43" s="3">
        <f>IFERROR(__xludf.DUMMYFUNCTION("""COMPUTED_VALUE"""),189.0)</f>
        <v>189</v>
      </c>
      <c r="AL43" s="3">
        <f>IFERROR(__xludf.DUMMYFUNCTION("""COMPUTED_VALUE"""),198.0)</f>
        <v>198</v>
      </c>
      <c r="AM43" s="3">
        <f>IFERROR(__xludf.DUMMYFUNCTION("""COMPUTED_VALUE"""),215.0)</f>
        <v>215</v>
      </c>
      <c r="AN43" s="3">
        <f>IFERROR(__xludf.DUMMYFUNCTION("""COMPUTED_VALUE"""),235.0)</f>
        <v>235</v>
      </c>
      <c r="AO43" s="3">
        <f>IFERROR(__xludf.DUMMYFUNCTION("""COMPUTED_VALUE"""),248.0)</f>
        <v>248</v>
      </c>
      <c r="AP43" s="3">
        <f>IFERROR(__xludf.DUMMYFUNCTION("""COMPUTED_VALUE"""),257.0)</f>
        <v>257</v>
      </c>
      <c r="AQ43" s="3">
        <f>IFERROR(__xludf.DUMMYFUNCTION("""COMPUTED_VALUE"""),271.0)</f>
        <v>271</v>
      </c>
      <c r="AR43" s="3">
        <f>IFERROR(__xludf.DUMMYFUNCTION("""COMPUTED_VALUE"""),276.0)</f>
        <v>276</v>
      </c>
      <c r="AS43" s="3">
        <f>IFERROR(__xludf.DUMMYFUNCTION("""COMPUTED_VALUE"""),282.0)</f>
        <v>282</v>
      </c>
      <c r="AT43" s="3">
        <f>IFERROR(__xludf.DUMMYFUNCTION("""COMPUTED_VALUE"""),288.0)</f>
        <v>288</v>
      </c>
      <c r="AU43" s="3">
        <f>IFERROR(__xludf.DUMMYFUNCTION("""COMPUTED_VALUE"""),297.0)</f>
        <v>297</v>
      </c>
      <c r="AV43" s="3">
        <f>IFERROR(__xludf.DUMMYFUNCTION("""COMPUTED_VALUE"""),297.0)</f>
        <v>297</v>
      </c>
      <c r="AW43" s="3">
        <f>IFERROR(__xludf.DUMMYFUNCTION("""COMPUTED_VALUE"""),299.0)</f>
        <v>299</v>
      </c>
      <c r="AX43" s="3">
        <f>IFERROR(__xludf.DUMMYFUNCTION("""COMPUTED_VALUE"""),303.0)</f>
        <v>303</v>
      </c>
      <c r="AY43" s="3">
        <f>IFERROR(__xludf.DUMMYFUNCTION("""COMPUTED_VALUE"""),308.0)</f>
        <v>308</v>
      </c>
      <c r="AZ43" s="3">
        <f>IFERROR(__xludf.DUMMYFUNCTION("""COMPUTED_VALUE"""),315.0)</f>
        <v>315</v>
      </c>
      <c r="BA43" s="3">
        <f>IFERROR(__xludf.DUMMYFUNCTION("""COMPUTED_VALUE"""),320.0)</f>
        <v>320</v>
      </c>
      <c r="BB43" s="3">
        <f>IFERROR(__xludf.DUMMYFUNCTION("""COMPUTED_VALUE"""),326.0)</f>
        <v>326</v>
      </c>
      <c r="BC43" s="3">
        <f>IFERROR(__xludf.DUMMYFUNCTION("""COMPUTED_VALUE"""),334.0)</f>
        <v>334</v>
      </c>
      <c r="BD43" s="3">
        <f>IFERROR(__xludf.DUMMYFUNCTION("""COMPUTED_VALUE"""),342.0)</f>
        <v>342</v>
      </c>
      <c r="BE43" s="3">
        <f>IFERROR(__xludf.DUMMYFUNCTION("""COMPUTED_VALUE"""),349.0)</f>
        <v>349</v>
      </c>
      <c r="BF43" s="3">
        <f>IFERROR(__xludf.DUMMYFUNCTION("""COMPUTED_VALUE"""),353.0)</f>
        <v>353</v>
      </c>
      <c r="BG43" s="3">
        <f>IFERROR(__xludf.DUMMYFUNCTION("""COMPUTED_VALUE"""),360.0)</f>
        <v>360</v>
      </c>
      <c r="BH43" s="3">
        <f>IFERROR(__xludf.DUMMYFUNCTION("""COMPUTED_VALUE"""),369.0)</f>
        <v>369</v>
      </c>
      <c r="BI43" s="3">
        <f>IFERROR(__xludf.DUMMYFUNCTION("""COMPUTED_VALUE"""),378.0)</f>
        <v>378</v>
      </c>
      <c r="BJ43" s="3">
        <f>IFERROR(__xludf.DUMMYFUNCTION("""COMPUTED_VALUE"""),380.0)</f>
        <v>380</v>
      </c>
      <c r="BK43" s="3">
        <f>IFERROR(__xludf.DUMMYFUNCTION("""COMPUTED_VALUE"""),390.0)</f>
        <v>390</v>
      </c>
      <c r="BL43" s="3">
        <f>IFERROR(__xludf.DUMMYFUNCTION("""COMPUTED_VALUE"""),396.0)</f>
        <v>396</v>
      </c>
      <c r="BM43" s="3">
        <f>IFERROR(__xludf.DUMMYFUNCTION("""COMPUTED_VALUE"""),400.0)</f>
        <v>400</v>
      </c>
      <c r="BN43" s="3">
        <f>IFERROR(__xludf.DUMMYFUNCTION("""COMPUTED_VALUE"""),400.0)</f>
        <v>400</v>
      </c>
      <c r="BO43" s="3">
        <f>IFERROR(__xludf.DUMMYFUNCTION("""COMPUTED_VALUE"""),401.0)</f>
        <v>401</v>
      </c>
      <c r="BP43" s="3">
        <f>IFERROR(__xludf.DUMMYFUNCTION("""COMPUTED_VALUE"""),403.0)</f>
        <v>403</v>
      </c>
      <c r="BQ43" s="3">
        <f>IFERROR(__xludf.DUMMYFUNCTION("""COMPUTED_VALUE"""),406.0)</f>
        <v>406</v>
      </c>
      <c r="BR43" s="3">
        <f>IFERROR(__xludf.DUMMYFUNCTION("""COMPUTED_VALUE"""),408.0)</f>
        <v>408</v>
      </c>
      <c r="BS43" s="3">
        <f>IFERROR(__xludf.DUMMYFUNCTION("""COMPUTED_VALUE"""),410.0)</f>
        <v>410</v>
      </c>
      <c r="BT43" s="3">
        <f>IFERROR(__xludf.DUMMYFUNCTION("""COMPUTED_VALUE"""),412.0)</f>
        <v>412</v>
      </c>
      <c r="BU43" s="3">
        <f>IFERROR(__xludf.DUMMYFUNCTION("""COMPUTED_VALUE"""),415.0)</f>
        <v>415</v>
      </c>
      <c r="BV43" s="3">
        <f>IFERROR(__xludf.DUMMYFUNCTION("""COMPUTED_VALUE"""),418.0)</f>
        <v>418</v>
      </c>
      <c r="BW43" s="3">
        <f>IFERROR(__xludf.DUMMYFUNCTION("""COMPUTED_VALUE"""),418.0)</f>
        <v>418</v>
      </c>
      <c r="BX43" s="3">
        <f>IFERROR(__xludf.DUMMYFUNCTION("""COMPUTED_VALUE"""),424.0)</f>
        <v>424</v>
      </c>
      <c r="BY43" s="3">
        <f>IFERROR(__xludf.DUMMYFUNCTION("""COMPUTED_VALUE"""),434.0)</f>
        <v>434</v>
      </c>
      <c r="BZ43" s="3">
        <f>IFERROR(__xludf.DUMMYFUNCTION("""COMPUTED_VALUE"""),438.0)</f>
        <v>438</v>
      </c>
      <c r="CA43" s="3">
        <f>IFERROR(__xludf.DUMMYFUNCTION("""COMPUTED_VALUE"""),441.0)</f>
        <v>441</v>
      </c>
      <c r="CB43" s="3">
        <f>IFERROR(__xludf.DUMMYFUNCTION("""COMPUTED_VALUE"""),443.0)</f>
        <v>443</v>
      </c>
    </row>
    <row r="44">
      <c r="A44" s="3" t="str">
        <f>IFERROR(__xludf.DUMMYFUNCTION("""COMPUTED_VALUE"""),"Chongqing")</f>
        <v>Chongqing</v>
      </c>
      <c r="B44" s="3" t="str">
        <f>IFERROR(__xludf.DUMMYFUNCTION("""COMPUTED_VALUE"""),"China")</f>
        <v>China</v>
      </c>
      <c r="C44" s="3">
        <f>IFERROR(__xludf.DUMMYFUNCTION("""COMPUTED_VALUE"""),30.0572)</f>
        <v>30.0572</v>
      </c>
      <c r="D44" s="3">
        <f>IFERROR(__xludf.DUMMYFUNCTION("""COMPUTED_VALUE"""),107.874)</f>
        <v>107.874</v>
      </c>
      <c r="E44" s="3">
        <f>IFERROR(__xludf.DUMMYFUNCTION("""COMPUTED_VALUE"""),0.0)</f>
        <v>0</v>
      </c>
      <c r="F44" s="3">
        <f>IFERROR(__xludf.DUMMYFUNCTION("""COMPUTED_VALUE"""),0.0)</f>
        <v>0</v>
      </c>
      <c r="G44" s="3">
        <f>IFERROR(__xludf.DUMMYFUNCTION("""COMPUTED_VALUE"""),0.0)</f>
        <v>0</v>
      </c>
      <c r="H44" s="3">
        <f>IFERROR(__xludf.DUMMYFUNCTION("""COMPUTED_VALUE"""),0.0)</f>
        <v>0</v>
      </c>
      <c r="I44" s="3">
        <f>IFERROR(__xludf.DUMMYFUNCTION("""COMPUTED_VALUE"""),0.0)</f>
        <v>0</v>
      </c>
      <c r="J44" s="3">
        <f>IFERROR(__xludf.DUMMYFUNCTION("""COMPUTED_VALUE"""),0.0)</f>
        <v>0</v>
      </c>
      <c r="K44" s="3">
        <f>IFERROR(__xludf.DUMMYFUNCTION("""COMPUTED_VALUE"""),0.0)</f>
        <v>0</v>
      </c>
      <c r="L44" s="3">
        <f>IFERROR(__xludf.DUMMYFUNCTION("""COMPUTED_VALUE"""),1.0)</f>
        <v>1</v>
      </c>
      <c r="M44" s="3">
        <f>IFERROR(__xludf.DUMMYFUNCTION("""COMPUTED_VALUE"""),1.0)</f>
        <v>1</v>
      </c>
      <c r="N44" s="3">
        <f>IFERROR(__xludf.DUMMYFUNCTION("""COMPUTED_VALUE"""),1.0)</f>
        <v>1</v>
      </c>
      <c r="O44" s="3">
        <f>IFERROR(__xludf.DUMMYFUNCTION("""COMPUTED_VALUE"""),3.0)</f>
        <v>3</v>
      </c>
      <c r="P44" s="3">
        <f>IFERROR(__xludf.DUMMYFUNCTION("""COMPUTED_VALUE"""),7.0)</f>
        <v>7</v>
      </c>
      <c r="Q44" s="3">
        <f>IFERROR(__xludf.DUMMYFUNCTION("""COMPUTED_VALUE"""),9.0)</f>
        <v>9</v>
      </c>
      <c r="R44" s="3">
        <f>IFERROR(__xludf.DUMMYFUNCTION("""COMPUTED_VALUE"""),9.0)</f>
        <v>9</v>
      </c>
      <c r="S44" s="3">
        <f>IFERROR(__xludf.DUMMYFUNCTION("""COMPUTED_VALUE"""),15.0)</f>
        <v>15</v>
      </c>
      <c r="T44" s="3">
        <f>IFERROR(__xludf.DUMMYFUNCTION("""COMPUTED_VALUE"""),24.0)</f>
        <v>24</v>
      </c>
      <c r="U44" s="3">
        <f>IFERROR(__xludf.DUMMYFUNCTION("""COMPUTED_VALUE"""),31.0)</f>
        <v>31</v>
      </c>
      <c r="V44" s="3">
        <f>IFERROR(__xludf.DUMMYFUNCTION("""COMPUTED_VALUE"""),39.0)</f>
        <v>39</v>
      </c>
      <c r="W44" s="3">
        <f>IFERROR(__xludf.DUMMYFUNCTION("""COMPUTED_VALUE"""),51.0)</f>
        <v>51</v>
      </c>
      <c r="X44" s="3">
        <f>IFERROR(__xludf.DUMMYFUNCTION("""COMPUTED_VALUE"""),66.0)</f>
        <v>66</v>
      </c>
      <c r="Y44" s="3">
        <f>IFERROR(__xludf.DUMMYFUNCTION("""COMPUTED_VALUE"""),79.0)</f>
        <v>79</v>
      </c>
      <c r="Z44" s="3">
        <f>IFERROR(__xludf.DUMMYFUNCTION("""COMPUTED_VALUE"""),102.0)</f>
        <v>102</v>
      </c>
      <c r="AA44" s="3">
        <f>IFERROR(__xludf.DUMMYFUNCTION("""COMPUTED_VALUE"""),128.0)</f>
        <v>128</v>
      </c>
      <c r="AB44" s="3">
        <f>IFERROR(__xludf.DUMMYFUNCTION("""COMPUTED_VALUE"""),152.0)</f>
        <v>152</v>
      </c>
      <c r="AC44" s="3">
        <f>IFERROR(__xludf.DUMMYFUNCTION("""COMPUTED_VALUE"""),184.0)</f>
        <v>184</v>
      </c>
      <c r="AD44" s="3">
        <f>IFERROR(__xludf.DUMMYFUNCTION("""COMPUTED_VALUE"""),207.0)</f>
        <v>207</v>
      </c>
      <c r="AE44" s="3">
        <f>IFERROR(__xludf.DUMMYFUNCTION("""COMPUTED_VALUE"""),225.0)</f>
        <v>225</v>
      </c>
      <c r="AF44" s="3">
        <f>IFERROR(__xludf.DUMMYFUNCTION("""COMPUTED_VALUE"""),254.0)</f>
        <v>254</v>
      </c>
      <c r="AG44" s="3">
        <f>IFERROR(__xludf.DUMMYFUNCTION("""COMPUTED_VALUE"""),274.0)</f>
        <v>274</v>
      </c>
      <c r="AH44" s="3">
        <f>IFERROR(__xludf.DUMMYFUNCTION("""COMPUTED_VALUE"""),299.0)</f>
        <v>299</v>
      </c>
      <c r="AI44" s="3">
        <f>IFERROR(__xludf.DUMMYFUNCTION("""COMPUTED_VALUE"""),316.0)</f>
        <v>316</v>
      </c>
      <c r="AJ44" s="3">
        <f>IFERROR(__xludf.DUMMYFUNCTION("""COMPUTED_VALUE"""),328.0)</f>
        <v>328</v>
      </c>
      <c r="AK44" s="3">
        <f>IFERROR(__xludf.DUMMYFUNCTION("""COMPUTED_VALUE"""),335.0)</f>
        <v>335</v>
      </c>
      <c r="AL44" s="3">
        <f>IFERROR(__xludf.DUMMYFUNCTION("""COMPUTED_VALUE"""),349.0)</f>
        <v>349</v>
      </c>
      <c r="AM44" s="3">
        <f>IFERROR(__xludf.DUMMYFUNCTION("""COMPUTED_VALUE"""),372.0)</f>
        <v>372</v>
      </c>
      <c r="AN44" s="3">
        <f>IFERROR(__xludf.DUMMYFUNCTION("""COMPUTED_VALUE"""),384.0)</f>
        <v>384</v>
      </c>
      <c r="AO44" s="3">
        <f>IFERROR(__xludf.DUMMYFUNCTION("""COMPUTED_VALUE"""),401.0)</f>
        <v>401</v>
      </c>
      <c r="AP44" s="3">
        <f>IFERROR(__xludf.DUMMYFUNCTION("""COMPUTED_VALUE"""),422.0)</f>
        <v>422</v>
      </c>
      <c r="AQ44" s="3">
        <f>IFERROR(__xludf.DUMMYFUNCTION("""COMPUTED_VALUE"""),438.0)</f>
        <v>438</v>
      </c>
      <c r="AR44" s="3">
        <f>IFERROR(__xludf.DUMMYFUNCTION("""COMPUTED_VALUE"""),450.0)</f>
        <v>450</v>
      </c>
      <c r="AS44" s="3">
        <f>IFERROR(__xludf.DUMMYFUNCTION("""COMPUTED_VALUE"""),469.0)</f>
        <v>469</v>
      </c>
      <c r="AT44" s="3">
        <f>IFERROR(__xludf.DUMMYFUNCTION("""COMPUTED_VALUE"""),490.0)</f>
        <v>490</v>
      </c>
      <c r="AU44" s="3">
        <f>IFERROR(__xludf.DUMMYFUNCTION("""COMPUTED_VALUE"""),502.0)</f>
        <v>502</v>
      </c>
      <c r="AV44" s="3">
        <f>IFERROR(__xludf.DUMMYFUNCTION("""COMPUTED_VALUE"""),512.0)</f>
        <v>512</v>
      </c>
      <c r="AW44" s="3">
        <f>IFERROR(__xludf.DUMMYFUNCTION("""COMPUTED_VALUE"""),513.0)</f>
        <v>513</v>
      </c>
      <c r="AX44" s="3">
        <f>IFERROR(__xludf.DUMMYFUNCTION("""COMPUTED_VALUE"""),526.0)</f>
        <v>526</v>
      </c>
      <c r="AY44" s="3">
        <f>IFERROR(__xludf.DUMMYFUNCTION("""COMPUTED_VALUE"""),527.0)</f>
        <v>527</v>
      </c>
      <c r="AZ44" s="3">
        <f>IFERROR(__xludf.DUMMYFUNCTION("""COMPUTED_VALUE"""),542.0)</f>
        <v>542</v>
      </c>
      <c r="BA44" s="3">
        <f>IFERROR(__xludf.DUMMYFUNCTION("""COMPUTED_VALUE"""),547.0)</f>
        <v>547</v>
      </c>
      <c r="BB44" s="3">
        <f>IFERROR(__xludf.DUMMYFUNCTION("""COMPUTED_VALUE"""),554.0)</f>
        <v>554</v>
      </c>
      <c r="BC44" s="3">
        <f>IFERROR(__xludf.DUMMYFUNCTION("""COMPUTED_VALUE"""),564.0)</f>
        <v>564</v>
      </c>
      <c r="BD44" s="3">
        <f>IFERROR(__xludf.DUMMYFUNCTION("""COMPUTED_VALUE"""),566.0)</f>
        <v>566</v>
      </c>
      <c r="BE44" s="3">
        <f>IFERROR(__xludf.DUMMYFUNCTION("""COMPUTED_VALUE"""),569.0)</f>
        <v>569</v>
      </c>
      <c r="BF44" s="3">
        <f>IFERROR(__xludf.DUMMYFUNCTION("""COMPUTED_VALUE"""),570.0)</f>
        <v>570</v>
      </c>
      <c r="BG44" s="3">
        <f>IFERROR(__xludf.DUMMYFUNCTION("""COMPUTED_VALUE"""),570.0)</f>
        <v>570</v>
      </c>
      <c r="BH44" s="3">
        <f>IFERROR(__xludf.DUMMYFUNCTION("""COMPUTED_VALUE"""),570.0)</f>
        <v>570</v>
      </c>
      <c r="BI44" s="3">
        <f>IFERROR(__xludf.DUMMYFUNCTION("""COMPUTED_VALUE"""),570.0)</f>
        <v>570</v>
      </c>
      <c r="BJ44" s="3">
        <f>IFERROR(__xludf.DUMMYFUNCTION("""COMPUTED_VALUE"""),570.0)</f>
        <v>570</v>
      </c>
      <c r="BK44" s="3">
        <f>IFERROR(__xludf.DUMMYFUNCTION("""COMPUTED_VALUE"""),570.0)</f>
        <v>570</v>
      </c>
      <c r="BL44" s="3">
        <f>IFERROR(__xludf.DUMMYFUNCTION("""COMPUTED_VALUE"""),570.0)</f>
        <v>570</v>
      </c>
      <c r="BM44" s="3">
        <f>IFERROR(__xludf.DUMMYFUNCTION("""COMPUTED_VALUE"""),570.0)</f>
        <v>570</v>
      </c>
      <c r="BN44" s="3">
        <f>IFERROR(__xludf.DUMMYFUNCTION("""COMPUTED_VALUE"""),570.0)</f>
        <v>570</v>
      </c>
      <c r="BO44" s="3">
        <f>IFERROR(__xludf.DUMMYFUNCTION("""COMPUTED_VALUE"""),570.0)</f>
        <v>570</v>
      </c>
      <c r="BP44" s="3">
        <f>IFERROR(__xludf.DUMMYFUNCTION("""COMPUTED_VALUE"""),570.0)</f>
        <v>570</v>
      </c>
      <c r="BQ44" s="3">
        <f>IFERROR(__xludf.DUMMYFUNCTION("""COMPUTED_VALUE"""),570.0)</f>
        <v>570</v>
      </c>
      <c r="BR44" s="3">
        <f>IFERROR(__xludf.DUMMYFUNCTION("""COMPUTED_VALUE"""),570.0)</f>
        <v>570</v>
      </c>
      <c r="BS44" s="3">
        <f>IFERROR(__xludf.DUMMYFUNCTION("""COMPUTED_VALUE"""),570.0)</f>
        <v>570</v>
      </c>
      <c r="BT44" s="3">
        <f>IFERROR(__xludf.DUMMYFUNCTION("""COMPUTED_VALUE"""),570.0)</f>
        <v>570</v>
      </c>
      <c r="BU44" s="3">
        <f>IFERROR(__xludf.DUMMYFUNCTION("""COMPUTED_VALUE"""),570.0)</f>
        <v>570</v>
      </c>
      <c r="BV44" s="3">
        <f>IFERROR(__xludf.DUMMYFUNCTION("""COMPUTED_VALUE"""),570.0)</f>
        <v>570</v>
      </c>
      <c r="BW44" s="3">
        <f>IFERROR(__xludf.DUMMYFUNCTION("""COMPUTED_VALUE"""),570.0)</f>
        <v>570</v>
      </c>
      <c r="BX44" s="3">
        <f>IFERROR(__xludf.DUMMYFUNCTION("""COMPUTED_VALUE"""),570.0)</f>
        <v>570</v>
      </c>
      <c r="BY44" s="3">
        <f>IFERROR(__xludf.DUMMYFUNCTION("""COMPUTED_VALUE"""),570.0)</f>
        <v>570</v>
      </c>
      <c r="BZ44" s="3">
        <f>IFERROR(__xludf.DUMMYFUNCTION("""COMPUTED_VALUE"""),570.0)</f>
        <v>570</v>
      </c>
      <c r="CA44" s="3">
        <f>IFERROR(__xludf.DUMMYFUNCTION("""COMPUTED_VALUE"""),570.0)</f>
        <v>570</v>
      </c>
      <c r="CB44" s="3">
        <f>IFERROR(__xludf.DUMMYFUNCTION("""COMPUTED_VALUE"""),570.0)</f>
        <v>570</v>
      </c>
    </row>
    <row r="45">
      <c r="A45" s="3" t="str">
        <f>IFERROR(__xludf.DUMMYFUNCTION("""COMPUTED_VALUE"""),"Fujian")</f>
        <v>Fujian</v>
      </c>
      <c r="B45" s="3" t="str">
        <f>IFERROR(__xludf.DUMMYFUNCTION("""COMPUTED_VALUE"""),"China")</f>
        <v>China</v>
      </c>
      <c r="C45" s="3">
        <f>IFERROR(__xludf.DUMMYFUNCTION("""COMPUTED_VALUE"""),26.0789)</f>
        <v>26.0789</v>
      </c>
      <c r="D45" s="3">
        <f>IFERROR(__xludf.DUMMYFUNCTION("""COMPUTED_VALUE"""),117.9874)</f>
        <v>117.9874</v>
      </c>
      <c r="E45" s="3">
        <f>IFERROR(__xludf.DUMMYFUNCTION("""COMPUTED_VALUE"""),0.0)</f>
        <v>0</v>
      </c>
      <c r="F45" s="3">
        <f>IFERROR(__xludf.DUMMYFUNCTION("""COMPUTED_VALUE"""),0.0)</f>
        <v>0</v>
      </c>
      <c r="G45" s="3">
        <f>IFERROR(__xludf.DUMMYFUNCTION("""COMPUTED_VALUE"""),0.0)</f>
        <v>0</v>
      </c>
      <c r="H45" s="3">
        <f>IFERROR(__xludf.DUMMYFUNCTION("""COMPUTED_VALUE"""),0.0)</f>
        <v>0</v>
      </c>
      <c r="I45" s="3">
        <f>IFERROR(__xludf.DUMMYFUNCTION("""COMPUTED_VALUE"""),0.0)</f>
        <v>0</v>
      </c>
      <c r="J45" s="3">
        <f>IFERROR(__xludf.DUMMYFUNCTION("""COMPUTED_VALUE"""),0.0)</f>
        <v>0</v>
      </c>
      <c r="K45" s="3">
        <f>IFERROR(__xludf.DUMMYFUNCTION("""COMPUTED_VALUE"""),0.0)</f>
        <v>0</v>
      </c>
      <c r="L45" s="3">
        <f>IFERROR(__xludf.DUMMYFUNCTION("""COMPUTED_VALUE"""),0.0)</f>
        <v>0</v>
      </c>
      <c r="M45" s="3">
        <f>IFERROR(__xludf.DUMMYFUNCTION("""COMPUTED_VALUE"""),0.0)</f>
        <v>0</v>
      </c>
      <c r="N45" s="3">
        <f>IFERROR(__xludf.DUMMYFUNCTION("""COMPUTED_VALUE"""),0.0)</f>
        <v>0</v>
      </c>
      <c r="O45" s="3">
        <f>IFERROR(__xludf.DUMMYFUNCTION("""COMPUTED_VALUE"""),0.0)</f>
        <v>0</v>
      </c>
      <c r="P45" s="3">
        <f>IFERROR(__xludf.DUMMYFUNCTION("""COMPUTED_VALUE"""),0.0)</f>
        <v>0</v>
      </c>
      <c r="Q45" s="3">
        <f>IFERROR(__xludf.DUMMYFUNCTION("""COMPUTED_VALUE"""),1.0)</f>
        <v>1</v>
      </c>
      <c r="R45" s="3">
        <f>IFERROR(__xludf.DUMMYFUNCTION("""COMPUTED_VALUE"""),3.0)</f>
        <v>3</v>
      </c>
      <c r="S45" s="3">
        <f>IFERROR(__xludf.DUMMYFUNCTION("""COMPUTED_VALUE"""),11.0)</f>
        <v>11</v>
      </c>
      <c r="T45" s="3">
        <f>IFERROR(__xludf.DUMMYFUNCTION("""COMPUTED_VALUE"""),14.0)</f>
        <v>14</v>
      </c>
      <c r="U45" s="3">
        <f>IFERROR(__xludf.DUMMYFUNCTION("""COMPUTED_VALUE"""),20.0)</f>
        <v>20</v>
      </c>
      <c r="V45" s="3">
        <f>IFERROR(__xludf.DUMMYFUNCTION("""COMPUTED_VALUE"""),24.0)</f>
        <v>24</v>
      </c>
      <c r="W45" s="3">
        <f>IFERROR(__xludf.DUMMYFUNCTION("""COMPUTED_VALUE"""),35.0)</f>
        <v>35</v>
      </c>
      <c r="X45" s="3">
        <f>IFERROR(__xludf.DUMMYFUNCTION("""COMPUTED_VALUE"""),39.0)</f>
        <v>39</v>
      </c>
      <c r="Y45" s="3">
        <f>IFERROR(__xludf.DUMMYFUNCTION("""COMPUTED_VALUE"""),45.0)</f>
        <v>45</v>
      </c>
      <c r="Z45" s="3">
        <f>IFERROR(__xludf.DUMMYFUNCTION("""COMPUTED_VALUE"""),53.0)</f>
        <v>53</v>
      </c>
      <c r="AA45" s="3">
        <f>IFERROR(__xludf.DUMMYFUNCTION("""COMPUTED_VALUE"""),57.0)</f>
        <v>57</v>
      </c>
      <c r="AB45" s="3">
        <f>IFERROR(__xludf.DUMMYFUNCTION("""COMPUTED_VALUE"""),63.0)</f>
        <v>63</v>
      </c>
      <c r="AC45" s="3">
        <f>IFERROR(__xludf.DUMMYFUNCTION("""COMPUTED_VALUE"""),71.0)</f>
        <v>71</v>
      </c>
      <c r="AD45" s="3">
        <f>IFERROR(__xludf.DUMMYFUNCTION("""COMPUTED_VALUE"""),82.0)</f>
        <v>82</v>
      </c>
      <c r="AE45" s="3">
        <f>IFERROR(__xludf.DUMMYFUNCTION("""COMPUTED_VALUE"""),90.0)</f>
        <v>90</v>
      </c>
      <c r="AF45" s="3">
        <f>IFERROR(__xludf.DUMMYFUNCTION("""COMPUTED_VALUE"""),93.0)</f>
        <v>93</v>
      </c>
      <c r="AG45" s="3">
        <f>IFERROR(__xludf.DUMMYFUNCTION("""COMPUTED_VALUE"""),112.0)</f>
        <v>112</v>
      </c>
      <c r="AH45" s="3">
        <f>IFERROR(__xludf.DUMMYFUNCTION("""COMPUTED_VALUE"""),126.0)</f>
        <v>126</v>
      </c>
      <c r="AI45" s="3">
        <f>IFERROR(__xludf.DUMMYFUNCTION("""COMPUTED_VALUE"""),149.0)</f>
        <v>149</v>
      </c>
      <c r="AJ45" s="3">
        <f>IFERROR(__xludf.DUMMYFUNCTION("""COMPUTED_VALUE"""),162.0)</f>
        <v>162</v>
      </c>
      <c r="AK45" s="3">
        <f>IFERROR(__xludf.DUMMYFUNCTION("""COMPUTED_VALUE"""),170.0)</f>
        <v>170</v>
      </c>
      <c r="AL45" s="3">
        <f>IFERROR(__xludf.DUMMYFUNCTION("""COMPUTED_VALUE"""),183.0)</f>
        <v>183</v>
      </c>
      <c r="AM45" s="3">
        <f>IFERROR(__xludf.DUMMYFUNCTION("""COMPUTED_VALUE"""),199.0)</f>
        <v>199</v>
      </c>
      <c r="AN45" s="3">
        <f>IFERROR(__xludf.DUMMYFUNCTION("""COMPUTED_VALUE"""),218.0)</f>
        <v>218</v>
      </c>
      <c r="AO45" s="3">
        <f>IFERROR(__xludf.DUMMYFUNCTION("""COMPUTED_VALUE"""),228.0)</f>
        <v>228</v>
      </c>
      <c r="AP45" s="3">
        <f>IFERROR(__xludf.DUMMYFUNCTION("""COMPUTED_VALUE"""),235.0)</f>
        <v>235</v>
      </c>
      <c r="AQ45" s="3">
        <f>IFERROR(__xludf.DUMMYFUNCTION("""COMPUTED_VALUE"""),243.0)</f>
        <v>243</v>
      </c>
      <c r="AR45" s="3">
        <f>IFERROR(__xludf.DUMMYFUNCTION("""COMPUTED_VALUE"""),247.0)</f>
        <v>247</v>
      </c>
      <c r="AS45" s="3">
        <f>IFERROR(__xludf.DUMMYFUNCTION("""COMPUTED_VALUE"""),255.0)</f>
        <v>255</v>
      </c>
      <c r="AT45" s="3">
        <f>IFERROR(__xludf.DUMMYFUNCTION("""COMPUTED_VALUE"""),260.0)</f>
        <v>260</v>
      </c>
      <c r="AU45" s="3">
        <f>IFERROR(__xludf.DUMMYFUNCTION("""COMPUTED_VALUE"""),270.0)</f>
        <v>270</v>
      </c>
      <c r="AV45" s="3">
        <f>IFERROR(__xludf.DUMMYFUNCTION("""COMPUTED_VALUE"""),277.0)</f>
        <v>277</v>
      </c>
      <c r="AW45" s="3">
        <f>IFERROR(__xludf.DUMMYFUNCTION("""COMPUTED_VALUE"""),284.0)</f>
        <v>284</v>
      </c>
      <c r="AX45" s="3">
        <f>IFERROR(__xludf.DUMMYFUNCTION("""COMPUTED_VALUE"""),295.0)</f>
        <v>295</v>
      </c>
      <c r="AY45" s="3">
        <f>IFERROR(__xludf.DUMMYFUNCTION("""COMPUTED_VALUE"""),295.0)</f>
        <v>295</v>
      </c>
      <c r="AZ45" s="3">
        <f>IFERROR(__xludf.DUMMYFUNCTION("""COMPUTED_VALUE"""),295.0)</f>
        <v>295</v>
      </c>
      <c r="BA45" s="3">
        <f>IFERROR(__xludf.DUMMYFUNCTION("""COMPUTED_VALUE"""),295.0)</f>
        <v>295</v>
      </c>
      <c r="BB45" s="3">
        <f>IFERROR(__xludf.DUMMYFUNCTION("""COMPUTED_VALUE"""),295.0)</f>
        <v>295</v>
      </c>
      <c r="BC45" s="3">
        <f>IFERROR(__xludf.DUMMYFUNCTION("""COMPUTED_VALUE"""),295.0)</f>
        <v>295</v>
      </c>
      <c r="BD45" s="3">
        <f>IFERROR(__xludf.DUMMYFUNCTION("""COMPUTED_VALUE"""),295.0)</f>
        <v>295</v>
      </c>
      <c r="BE45" s="3">
        <f>IFERROR(__xludf.DUMMYFUNCTION("""COMPUTED_VALUE"""),295.0)</f>
        <v>295</v>
      </c>
      <c r="BF45" s="3">
        <f>IFERROR(__xludf.DUMMYFUNCTION("""COMPUTED_VALUE"""),295.0)</f>
        <v>295</v>
      </c>
      <c r="BG45" s="3">
        <f>IFERROR(__xludf.DUMMYFUNCTION("""COMPUTED_VALUE"""),295.0)</f>
        <v>295</v>
      </c>
      <c r="BH45" s="3">
        <f>IFERROR(__xludf.DUMMYFUNCTION("""COMPUTED_VALUE"""),295.0)</f>
        <v>295</v>
      </c>
      <c r="BI45" s="3">
        <f>IFERROR(__xludf.DUMMYFUNCTION("""COMPUTED_VALUE"""),295.0)</f>
        <v>295</v>
      </c>
      <c r="BJ45" s="3">
        <f>IFERROR(__xludf.DUMMYFUNCTION("""COMPUTED_VALUE"""),295.0)</f>
        <v>295</v>
      </c>
      <c r="BK45" s="3">
        <f>IFERROR(__xludf.DUMMYFUNCTION("""COMPUTED_VALUE"""),295.0)</f>
        <v>295</v>
      </c>
      <c r="BL45" s="3">
        <f>IFERROR(__xludf.DUMMYFUNCTION("""COMPUTED_VALUE"""),295.0)</f>
        <v>295</v>
      </c>
      <c r="BM45" s="3">
        <f>IFERROR(__xludf.DUMMYFUNCTION("""COMPUTED_VALUE"""),295.0)</f>
        <v>295</v>
      </c>
      <c r="BN45" s="3">
        <f>IFERROR(__xludf.DUMMYFUNCTION("""COMPUTED_VALUE"""),295.0)</f>
        <v>295</v>
      </c>
      <c r="BO45" s="3">
        <f>IFERROR(__xludf.DUMMYFUNCTION("""COMPUTED_VALUE"""),295.0)</f>
        <v>295</v>
      </c>
      <c r="BP45" s="3">
        <f>IFERROR(__xludf.DUMMYFUNCTION("""COMPUTED_VALUE"""),295.0)</f>
        <v>295</v>
      </c>
      <c r="BQ45" s="3">
        <f>IFERROR(__xludf.DUMMYFUNCTION("""COMPUTED_VALUE"""),295.0)</f>
        <v>295</v>
      </c>
      <c r="BR45" s="3">
        <f>IFERROR(__xludf.DUMMYFUNCTION("""COMPUTED_VALUE"""),295.0)</f>
        <v>295</v>
      </c>
      <c r="BS45" s="3">
        <f>IFERROR(__xludf.DUMMYFUNCTION("""COMPUTED_VALUE"""),295.0)</f>
        <v>295</v>
      </c>
      <c r="BT45" s="3">
        <f>IFERROR(__xludf.DUMMYFUNCTION("""COMPUTED_VALUE"""),295.0)</f>
        <v>295</v>
      </c>
      <c r="BU45" s="3">
        <f>IFERROR(__xludf.DUMMYFUNCTION("""COMPUTED_VALUE"""),295.0)</f>
        <v>295</v>
      </c>
      <c r="BV45" s="3">
        <f>IFERROR(__xludf.DUMMYFUNCTION("""COMPUTED_VALUE"""),295.0)</f>
        <v>295</v>
      </c>
      <c r="BW45" s="3">
        <f>IFERROR(__xludf.DUMMYFUNCTION("""COMPUTED_VALUE"""),298.0)</f>
        <v>298</v>
      </c>
      <c r="BX45" s="3">
        <f>IFERROR(__xludf.DUMMYFUNCTION("""COMPUTED_VALUE"""),299.0)</f>
        <v>299</v>
      </c>
      <c r="BY45" s="3">
        <f>IFERROR(__xludf.DUMMYFUNCTION("""COMPUTED_VALUE"""),300.0)</f>
        <v>300</v>
      </c>
      <c r="BZ45" s="3">
        <f>IFERROR(__xludf.DUMMYFUNCTION("""COMPUTED_VALUE"""),301.0)</f>
        <v>301</v>
      </c>
      <c r="CA45" s="3">
        <f>IFERROR(__xludf.DUMMYFUNCTION("""COMPUTED_VALUE"""),303.0)</f>
        <v>303</v>
      </c>
      <c r="CB45" s="3">
        <f>IFERROR(__xludf.DUMMYFUNCTION("""COMPUTED_VALUE"""),305.0)</f>
        <v>305</v>
      </c>
    </row>
    <row r="46">
      <c r="A46" s="3" t="str">
        <f>IFERROR(__xludf.DUMMYFUNCTION("""COMPUTED_VALUE"""),"Gansu")</f>
        <v>Gansu</v>
      </c>
      <c r="B46" s="3" t="str">
        <f>IFERROR(__xludf.DUMMYFUNCTION("""COMPUTED_VALUE"""),"China")</f>
        <v>China</v>
      </c>
      <c r="C46" s="3">
        <f>IFERROR(__xludf.DUMMYFUNCTION("""COMPUTED_VALUE"""),37.8099)</f>
        <v>37.8099</v>
      </c>
      <c r="D46" s="3">
        <f>IFERROR(__xludf.DUMMYFUNCTION("""COMPUTED_VALUE"""),101.0583)</f>
        <v>101.0583</v>
      </c>
      <c r="E46" s="3">
        <f>IFERROR(__xludf.DUMMYFUNCTION("""COMPUTED_VALUE"""),0.0)</f>
        <v>0</v>
      </c>
      <c r="F46" s="3">
        <f>IFERROR(__xludf.DUMMYFUNCTION("""COMPUTED_VALUE"""),0.0)</f>
        <v>0</v>
      </c>
      <c r="G46" s="3">
        <f>IFERROR(__xludf.DUMMYFUNCTION("""COMPUTED_VALUE"""),0.0)</f>
        <v>0</v>
      </c>
      <c r="H46" s="3">
        <f>IFERROR(__xludf.DUMMYFUNCTION("""COMPUTED_VALUE"""),0.0)</f>
        <v>0</v>
      </c>
      <c r="I46" s="3">
        <f>IFERROR(__xludf.DUMMYFUNCTION("""COMPUTED_VALUE"""),0.0)</f>
        <v>0</v>
      </c>
      <c r="J46" s="3">
        <f>IFERROR(__xludf.DUMMYFUNCTION("""COMPUTED_VALUE"""),0.0)</f>
        <v>0</v>
      </c>
      <c r="K46" s="3">
        <f>IFERROR(__xludf.DUMMYFUNCTION("""COMPUTED_VALUE"""),0.0)</f>
        <v>0</v>
      </c>
      <c r="L46" s="3">
        <f>IFERROR(__xludf.DUMMYFUNCTION("""COMPUTED_VALUE"""),0.0)</f>
        <v>0</v>
      </c>
      <c r="M46" s="3">
        <f>IFERROR(__xludf.DUMMYFUNCTION("""COMPUTED_VALUE"""),0.0)</f>
        <v>0</v>
      </c>
      <c r="N46" s="3">
        <f>IFERROR(__xludf.DUMMYFUNCTION("""COMPUTED_VALUE"""),0.0)</f>
        <v>0</v>
      </c>
      <c r="O46" s="3">
        <f>IFERROR(__xludf.DUMMYFUNCTION("""COMPUTED_VALUE"""),0.0)</f>
        <v>0</v>
      </c>
      <c r="P46" s="3">
        <f>IFERROR(__xludf.DUMMYFUNCTION("""COMPUTED_VALUE"""),3.0)</f>
        <v>3</v>
      </c>
      <c r="Q46" s="3">
        <f>IFERROR(__xludf.DUMMYFUNCTION("""COMPUTED_VALUE"""),3.0)</f>
        <v>3</v>
      </c>
      <c r="R46" s="3">
        <f>IFERROR(__xludf.DUMMYFUNCTION("""COMPUTED_VALUE"""),4.0)</f>
        <v>4</v>
      </c>
      <c r="S46" s="3">
        <f>IFERROR(__xludf.DUMMYFUNCTION("""COMPUTED_VALUE"""),6.0)</f>
        <v>6</v>
      </c>
      <c r="T46" s="3">
        <f>IFERROR(__xludf.DUMMYFUNCTION("""COMPUTED_VALUE"""),6.0)</f>
        <v>6</v>
      </c>
      <c r="U46" s="3">
        <f>IFERROR(__xludf.DUMMYFUNCTION("""COMPUTED_VALUE"""),9.0)</f>
        <v>9</v>
      </c>
      <c r="V46" s="3">
        <f>IFERROR(__xludf.DUMMYFUNCTION("""COMPUTED_VALUE"""),12.0)</f>
        <v>12</v>
      </c>
      <c r="W46" s="3">
        <f>IFERROR(__xludf.DUMMYFUNCTION("""COMPUTED_VALUE"""),16.0)</f>
        <v>16</v>
      </c>
      <c r="X46" s="3">
        <f>IFERROR(__xludf.DUMMYFUNCTION("""COMPUTED_VALUE"""),17.0)</f>
        <v>17</v>
      </c>
      <c r="Y46" s="3">
        <f>IFERROR(__xludf.DUMMYFUNCTION("""COMPUTED_VALUE"""),24.0)</f>
        <v>24</v>
      </c>
      <c r="Z46" s="3">
        <f>IFERROR(__xludf.DUMMYFUNCTION("""COMPUTED_VALUE"""),31.0)</f>
        <v>31</v>
      </c>
      <c r="AA46" s="3">
        <f>IFERROR(__xludf.DUMMYFUNCTION("""COMPUTED_VALUE"""),39.0)</f>
        <v>39</v>
      </c>
      <c r="AB46" s="3">
        <f>IFERROR(__xludf.DUMMYFUNCTION("""COMPUTED_VALUE"""),39.0)</f>
        <v>39</v>
      </c>
      <c r="AC46" s="3">
        <f>IFERROR(__xludf.DUMMYFUNCTION("""COMPUTED_VALUE"""),49.0)</f>
        <v>49</v>
      </c>
      <c r="AD46" s="3">
        <f>IFERROR(__xludf.DUMMYFUNCTION("""COMPUTED_VALUE"""),54.0)</f>
        <v>54</v>
      </c>
      <c r="AE46" s="3">
        <f>IFERROR(__xludf.DUMMYFUNCTION("""COMPUTED_VALUE"""),58.0)</f>
        <v>58</v>
      </c>
      <c r="AF46" s="3">
        <f>IFERROR(__xludf.DUMMYFUNCTION("""COMPUTED_VALUE"""),62.0)</f>
        <v>62</v>
      </c>
      <c r="AG46" s="3">
        <f>IFERROR(__xludf.DUMMYFUNCTION("""COMPUTED_VALUE"""),65.0)</f>
        <v>65</v>
      </c>
      <c r="AH46" s="3">
        <f>IFERROR(__xludf.DUMMYFUNCTION("""COMPUTED_VALUE"""),71.0)</f>
        <v>71</v>
      </c>
      <c r="AI46" s="3">
        <f>IFERROR(__xludf.DUMMYFUNCTION("""COMPUTED_VALUE"""),76.0)</f>
        <v>76</v>
      </c>
      <c r="AJ46" s="3">
        <f>IFERROR(__xludf.DUMMYFUNCTION("""COMPUTED_VALUE"""),76.0)</f>
        <v>76</v>
      </c>
      <c r="AK46" s="3">
        <f>IFERROR(__xludf.DUMMYFUNCTION("""COMPUTED_VALUE"""),78.0)</f>
        <v>78</v>
      </c>
      <c r="AL46" s="3">
        <f>IFERROR(__xludf.DUMMYFUNCTION("""COMPUTED_VALUE"""),80.0)</f>
        <v>80</v>
      </c>
      <c r="AM46" s="3">
        <f>IFERROR(__xludf.DUMMYFUNCTION("""COMPUTED_VALUE"""),80.0)</f>
        <v>80</v>
      </c>
      <c r="AN46" s="3">
        <f>IFERROR(__xludf.DUMMYFUNCTION("""COMPUTED_VALUE"""),81.0)</f>
        <v>81</v>
      </c>
      <c r="AO46" s="3">
        <f>IFERROR(__xludf.DUMMYFUNCTION("""COMPUTED_VALUE"""),81.0)</f>
        <v>81</v>
      </c>
      <c r="AP46" s="3">
        <f>IFERROR(__xludf.DUMMYFUNCTION("""COMPUTED_VALUE"""),82.0)</f>
        <v>82</v>
      </c>
      <c r="AQ46" s="3">
        <f>IFERROR(__xludf.DUMMYFUNCTION("""COMPUTED_VALUE"""),82.0)</f>
        <v>82</v>
      </c>
      <c r="AR46" s="3">
        <f>IFERROR(__xludf.DUMMYFUNCTION("""COMPUTED_VALUE"""),84.0)</f>
        <v>84</v>
      </c>
      <c r="AS46" s="3">
        <f>IFERROR(__xludf.DUMMYFUNCTION("""COMPUTED_VALUE"""),85.0)</f>
        <v>85</v>
      </c>
      <c r="AT46" s="3">
        <f>IFERROR(__xludf.DUMMYFUNCTION("""COMPUTED_VALUE"""),86.0)</f>
        <v>86</v>
      </c>
      <c r="AU46" s="3">
        <f>IFERROR(__xludf.DUMMYFUNCTION("""COMPUTED_VALUE"""),87.0)</f>
        <v>87</v>
      </c>
      <c r="AV46" s="3">
        <f>IFERROR(__xludf.DUMMYFUNCTION("""COMPUTED_VALUE"""),87.0)</f>
        <v>87</v>
      </c>
      <c r="AW46" s="3">
        <f>IFERROR(__xludf.DUMMYFUNCTION("""COMPUTED_VALUE"""),87.0)</f>
        <v>87</v>
      </c>
      <c r="AX46" s="3">
        <f>IFERROR(__xludf.DUMMYFUNCTION("""COMPUTED_VALUE"""),87.0)</f>
        <v>87</v>
      </c>
      <c r="AY46" s="3">
        <f>IFERROR(__xludf.DUMMYFUNCTION("""COMPUTED_VALUE"""),87.0)</f>
        <v>87</v>
      </c>
      <c r="AZ46" s="3">
        <f>IFERROR(__xludf.DUMMYFUNCTION("""COMPUTED_VALUE"""),88.0)</f>
        <v>88</v>
      </c>
      <c r="BA46" s="3">
        <f>IFERROR(__xludf.DUMMYFUNCTION("""COMPUTED_VALUE"""),88.0)</f>
        <v>88</v>
      </c>
      <c r="BB46" s="3">
        <f>IFERROR(__xludf.DUMMYFUNCTION("""COMPUTED_VALUE"""),88.0)</f>
        <v>88</v>
      </c>
      <c r="BC46" s="3">
        <f>IFERROR(__xludf.DUMMYFUNCTION("""COMPUTED_VALUE"""),88.0)</f>
        <v>88</v>
      </c>
      <c r="BD46" s="3">
        <f>IFERROR(__xludf.DUMMYFUNCTION("""COMPUTED_VALUE"""),88.0)</f>
        <v>88</v>
      </c>
      <c r="BE46" s="3">
        <f>IFERROR(__xludf.DUMMYFUNCTION("""COMPUTED_VALUE"""),89.0)</f>
        <v>89</v>
      </c>
      <c r="BF46" s="3">
        <f>IFERROR(__xludf.DUMMYFUNCTION("""COMPUTED_VALUE"""),91.0)</f>
        <v>91</v>
      </c>
      <c r="BG46" s="3">
        <f>IFERROR(__xludf.DUMMYFUNCTION("""COMPUTED_VALUE"""),91.0)</f>
        <v>91</v>
      </c>
      <c r="BH46" s="3">
        <f>IFERROR(__xludf.DUMMYFUNCTION("""COMPUTED_VALUE"""),91.0)</f>
        <v>91</v>
      </c>
      <c r="BI46" s="3">
        <f>IFERROR(__xludf.DUMMYFUNCTION("""COMPUTED_VALUE"""),91.0)</f>
        <v>91</v>
      </c>
      <c r="BJ46" s="3">
        <f>IFERROR(__xludf.DUMMYFUNCTION("""COMPUTED_VALUE"""),91.0)</f>
        <v>91</v>
      </c>
      <c r="BK46" s="3">
        <f>IFERROR(__xludf.DUMMYFUNCTION("""COMPUTED_VALUE"""),98.0)</f>
        <v>98</v>
      </c>
      <c r="BL46" s="3">
        <f>IFERROR(__xludf.DUMMYFUNCTION("""COMPUTED_VALUE"""),113.0)</f>
        <v>113</v>
      </c>
      <c r="BM46" s="3">
        <f>IFERROR(__xludf.DUMMYFUNCTION("""COMPUTED_VALUE"""),114.0)</f>
        <v>114</v>
      </c>
      <c r="BN46" s="3">
        <f>IFERROR(__xludf.DUMMYFUNCTION("""COMPUTED_VALUE"""),114.0)</f>
        <v>114</v>
      </c>
      <c r="BO46" s="3">
        <f>IFERROR(__xludf.DUMMYFUNCTION("""COMPUTED_VALUE"""),119.0)</f>
        <v>119</v>
      </c>
      <c r="BP46" s="3">
        <f>IFERROR(__xludf.DUMMYFUNCTION("""COMPUTED_VALUE"""),119.0)</f>
        <v>119</v>
      </c>
      <c r="BQ46" s="3">
        <f>IFERROR(__xludf.DUMMYFUNCTION("""COMPUTED_VALUE"""),121.0)</f>
        <v>121</v>
      </c>
      <c r="BR46" s="3">
        <f>IFERROR(__xludf.DUMMYFUNCTION("""COMPUTED_VALUE"""),123.0)</f>
        <v>123</v>
      </c>
      <c r="BS46" s="3">
        <f>IFERROR(__xludf.DUMMYFUNCTION("""COMPUTED_VALUE"""),125.0)</f>
        <v>125</v>
      </c>
      <c r="BT46" s="3">
        <f>IFERROR(__xludf.DUMMYFUNCTION("""COMPUTED_VALUE"""),125.0)</f>
        <v>125</v>
      </c>
      <c r="BU46" s="3">
        <f>IFERROR(__xludf.DUMMYFUNCTION("""COMPUTED_VALUE"""),125.0)</f>
        <v>125</v>
      </c>
      <c r="BV46" s="3">
        <f>IFERROR(__xludf.DUMMYFUNCTION("""COMPUTED_VALUE"""),125.0)</f>
        <v>125</v>
      </c>
      <c r="BW46" s="3">
        <f>IFERROR(__xludf.DUMMYFUNCTION("""COMPUTED_VALUE"""),127.0)</f>
        <v>127</v>
      </c>
      <c r="BX46" s="3">
        <f>IFERROR(__xludf.DUMMYFUNCTION("""COMPUTED_VALUE"""),127.0)</f>
        <v>127</v>
      </c>
      <c r="BY46" s="3">
        <f>IFERROR(__xludf.DUMMYFUNCTION("""COMPUTED_VALUE"""),127.0)</f>
        <v>127</v>
      </c>
      <c r="BZ46" s="3">
        <f>IFERROR(__xludf.DUMMYFUNCTION("""COMPUTED_VALUE"""),131.0)</f>
        <v>131</v>
      </c>
      <c r="CA46" s="3">
        <f>IFERROR(__xludf.DUMMYFUNCTION("""COMPUTED_VALUE"""),131.0)</f>
        <v>131</v>
      </c>
      <c r="CB46" s="3">
        <f>IFERROR(__xludf.DUMMYFUNCTION("""COMPUTED_VALUE"""),132.0)</f>
        <v>132</v>
      </c>
    </row>
    <row r="47">
      <c r="A47" s="3" t="str">
        <f>IFERROR(__xludf.DUMMYFUNCTION("""COMPUTED_VALUE"""),"Guangdong")</f>
        <v>Guangdong</v>
      </c>
      <c r="B47" s="3" t="str">
        <f>IFERROR(__xludf.DUMMYFUNCTION("""COMPUTED_VALUE"""),"China")</f>
        <v>China</v>
      </c>
      <c r="C47" s="3">
        <f>IFERROR(__xludf.DUMMYFUNCTION("""COMPUTED_VALUE"""),23.3417)</f>
        <v>23.3417</v>
      </c>
      <c r="D47" s="3">
        <f>IFERROR(__xludf.DUMMYFUNCTION("""COMPUTED_VALUE"""),113.4244)</f>
        <v>113.4244</v>
      </c>
      <c r="E47" s="3">
        <f>IFERROR(__xludf.DUMMYFUNCTION("""COMPUTED_VALUE"""),0.0)</f>
        <v>0</v>
      </c>
      <c r="F47" s="3">
        <f>IFERROR(__xludf.DUMMYFUNCTION("""COMPUTED_VALUE"""),2.0)</f>
        <v>2</v>
      </c>
      <c r="G47" s="3">
        <f>IFERROR(__xludf.DUMMYFUNCTION("""COMPUTED_VALUE"""),2.0)</f>
        <v>2</v>
      </c>
      <c r="H47" s="3">
        <f>IFERROR(__xludf.DUMMYFUNCTION("""COMPUTED_VALUE"""),2.0)</f>
        <v>2</v>
      </c>
      <c r="I47" s="3">
        <f>IFERROR(__xludf.DUMMYFUNCTION("""COMPUTED_VALUE"""),2.0)</f>
        <v>2</v>
      </c>
      <c r="J47" s="3">
        <f>IFERROR(__xludf.DUMMYFUNCTION("""COMPUTED_VALUE"""),4.0)</f>
        <v>4</v>
      </c>
      <c r="K47" s="3">
        <f>IFERROR(__xludf.DUMMYFUNCTION("""COMPUTED_VALUE"""),4.0)</f>
        <v>4</v>
      </c>
      <c r="L47" s="3">
        <f>IFERROR(__xludf.DUMMYFUNCTION("""COMPUTED_VALUE"""),5.0)</f>
        <v>5</v>
      </c>
      <c r="M47" s="3">
        <f>IFERROR(__xludf.DUMMYFUNCTION("""COMPUTED_VALUE"""),10.0)</f>
        <v>10</v>
      </c>
      <c r="N47" s="3">
        <f>IFERROR(__xludf.DUMMYFUNCTION("""COMPUTED_VALUE"""),11.0)</f>
        <v>11</v>
      </c>
      <c r="O47" s="3">
        <f>IFERROR(__xludf.DUMMYFUNCTION("""COMPUTED_VALUE"""),14.0)</f>
        <v>14</v>
      </c>
      <c r="P47" s="3">
        <f>IFERROR(__xludf.DUMMYFUNCTION("""COMPUTED_VALUE"""),15.0)</f>
        <v>15</v>
      </c>
      <c r="Q47" s="3">
        <f>IFERROR(__xludf.DUMMYFUNCTION("""COMPUTED_VALUE"""),21.0)</f>
        <v>21</v>
      </c>
      <c r="R47" s="3">
        <f>IFERROR(__xludf.DUMMYFUNCTION("""COMPUTED_VALUE"""),30.0)</f>
        <v>30</v>
      </c>
      <c r="S47" s="3">
        <f>IFERROR(__xludf.DUMMYFUNCTION("""COMPUTED_VALUE"""),49.0)</f>
        <v>49</v>
      </c>
      <c r="T47" s="3">
        <f>IFERROR(__xludf.DUMMYFUNCTION("""COMPUTED_VALUE"""),69.0)</f>
        <v>69</v>
      </c>
      <c r="U47" s="3">
        <f>IFERROR(__xludf.DUMMYFUNCTION("""COMPUTED_VALUE"""),88.0)</f>
        <v>88</v>
      </c>
      <c r="V47" s="3">
        <f>IFERROR(__xludf.DUMMYFUNCTION("""COMPUTED_VALUE"""),112.0)</f>
        <v>112</v>
      </c>
      <c r="W47" s="3">
        <f>IFERROR(__xludf.DUMMYFUNCTION("""COMPUTED_VALUE"""),141.0)</f>
        <v>141</v>
      </c>
      <c r="X47" s="3">
        <f>IFERROR(__xludf.DUMMYFUNCTION("""COMPUTED_VALUE"""),167.0)</f>
        <v>167</v>
      </c>
      <c r="Y47" s="3">
        <f>IFERROR(__xludf.DUMMYFUNCTION("""COMPUTED_VALUE"""),212.0)</f>
        <v>212</v>
      </c>
      <c r="Z47" s="3">
        <f>IFERROR(__xludf.DUMMYFUNCTION("""COMPUTED_VALUE"""),275.0)</f>
        <v>275</v>
      </c>
      <c r="AA47" s="3">
        <f>IFERROR(__xludf.DUMMYFUNCTION("""COMPUTED_VALUE"""),314.0)</f>
        <v>314</v>
      </c>
      <c r="AB47" s="3">
        <f>IFERROR(__xludf.DUMMYFUNCTION("""COMPUTED_VALUE"""),362.0)</f>
        <v>362</v>
      </c>
      <c r="AC47" s="3">
        <f>IFERROR(__xludf.DUMMYFUNCTION("""COMPUTED_VALUE"""),410.0)</f>
        <v>410</v>
      </c>
      <c r="AD47" s="3">
        <f>IFERROR(__xludf.DUMMYFUNCTION("""COMPUTED_VALUE"""),465.0)</f>
        <v>465</v>
      </c>
      <c r="AE47" s="3">
        <f>IFERROR(__xludf.DUMMYFUNCTION("""COMPUTED_VALUE"""),524.0)</f>
        <v>524</v>
      </c>
      <c r="AF47" s="3">
        <f>IFERROR(__xludf.DUMMYFUNCTION("""COMPUTED_VALUE"""),565.0)</f>
        <v>565</v>
      </c>
      <c r="AG47" s="3">
        <f>IFERROR(__xludf.DUMMYFUNCTION("""COMPUTED_VALUE"""),606.0)</f>
        <v>606</v>
      </c>
      <c r="AH47" s="3">
        <f>IFERROR(__xludf.DUMMYFUNCTION("""COMPUTED_VALUE"""),642.0)</f>
        <v>642</v>
      </c>
      <c r="AI47" s="3">
        <f>IFERROR(__xludf.DUMMYFUNCTION("""COMPUTED_VALUE"""),690.0)</f>
        <v>690</v>
      </c>
      <c r="AJ47" s="3">
        <f>IFERROR(__xludf.DUMMYFUNCTION("""COMPUTED_VALUE"""),728.0)</f>
        <v>728</v>
      </c>
      <c r="AK47" s="3">
        <f>IFERROR(__xludf.DUMMYFUNCTION("""COMPUTED_VALUE"""),755.0)</f>
        <v>755</v>
      </c>
      <c r="AL47" s="3">
        <f>IFERROR(__xludf.DUMMYFUNCTION("""COMPUTED_VALUE"""),786.0)</f>
        <v>786</v>
      </c>
      <c r="AM47" s="3">
        <f>IFERROR(__xludf.DUMMYFUNCTION("""COMPUTED_VALUE"""),822.0)</f>
        <v>822</v>
      </c>
      <c r="AN47" s="3">
        <f>IFERROR(__xludf.DUMMYFUNCTION("""COMPUTED_VALUE"""),851.0)</f>
        <v>851</v>
      </c>
      <c r="AO47" s="3">
        <f>IFERROR(__xludf.DUMMYFUNCTION("""COMPUTED_VALUE"""),890.0)</f>
        <v>890</v>
      </c>
      <c r="AP47" s="3">
        <f>IFERROR(__xludf.DUMMYFUNCTION("""COMPUTED_VALUE"""),935.0)</f>
        <v>935</v>
      </c>
      <c r="AQ47" s="3">
        <f>IFERROR(__xludf.DUMMYFUNCTION("""COMPUTED_VALUE"""),983.0)</f>
        <v>983</v>
      </c>
      <c r="AR47" s="3">
        <f>IFERROR(__xludf.DUMMYFUNCTION("""COMPUTED_VALUE"""),1016.0)</f>
        <v>1016</v>
      </c>
      <c r="AS47" s="3">
        <f>IFERROR(__xludf.DUMMYFUNCTION("""COMPUTED_VALUE"""),1059.0)</f>
        <v>1059</v>
      </c>
      <c r="AT47" s="3">
        <f>IFERROR(__xludf.DUMMYFUNCTION("""COMPUTED_VALUE"""),1101.0)</f>
        <v>1101</v>
      </c>
      <c r="AU47" s="3">
        <f>IFERROR(__xludf.DUMMYFUNCTION("""COMPUTED_VALUE"""),1133.0)</f>
        <v>1133</v>
      </c>
      <c r="AV47" s="3">
        <f>IFERROR(__xludf.DUMMYFUNCTION("""COMPUTED_VALUE"""),1181.0)</f>
        <v>1181</v>
      </c>
      <c r="AW47" s="3">
        <f>IFERROR(__xludf.DUMMYFUNCTION("""COMPUTED_VALUE"""),1216.0)</f>
        <v>1216</v>
      </c>
      <c r="AX47" s="3">
        <f>IFERROR(__xludf.DUMMYFUNCTION("""COMPUTED_VALUE"""),1237.0)</f>
        <v>1237</v>
      </c>
      <c r="AY47" s="3">
        <f>IFERROR(__xludf.DUMMYFUNCTION("""COMPUTED_VALUE"""),1256.0)</f>
        <v>1256</v>
      </c>
      <c r="AZ47" s="3">
        <f>IFERROR(__xludf.DUMMYFUNCTION("""COMPUTED_VALUE"""),1260.0)</f>
        <v>1260</v>
      </c>
      <c r="BA47" s="3">
        <f>IFERROR(__xludf.DUMMYFUNCTION("""COMPUTED_VALUE"""),1274.0)</f>
        <v>1274</v>
      </c>
      <c r="BB47" s="3">
        <f>IFERROR(__xludf.DUMMYFUNCTION("""COMPUTED_VALUE"""),1282.0)</f>
        <v>1282</v>
      </c>
      <c r="BC47" s="3">
        <f>IFERROR(__xludf.DUMMYFUNCTION("""COMPUTED_VALUE"""),1289.0)</f>
        <v>1289</v>
      </c>
      <c r="BD47" s="3">
        <f>IFERROR(__xludf.DUMMYFUNCTION("""COMPUTED_VALUE"""),1296.0)</f>
        <v>1296</v>
      </c>
      <c r="BE47" s="3">
        <f>IFERROR(__xludf.DUMMYFUNCTION("""COMPUTED_VALUE"""),1299.0)</f>
        <v>1299</v>
      </c>
      <c r="BF47" s="3">
        <f>IFERROR(__xludf.DUMMYFUNCTION("""COMPUTED_VALUE"""),1304.0)</f>
        <v>1304</v>
      </c>
      <c r="BG47" s="3">
        <f>IFERROR(__xludf.DUMMYFUNCTION("""COMPUTED_VALUE"""),1306.0)</f>
        <v>1306</v>
      </c>
      <c r="BH47" s="3">
        <f>IFERROR(__xludf.DUMMYFUNCTION("""COMPUTED_VALUE"""),1307.0)</f>
        <v>1307</v>
      </c>
      <c r="BI47" s="3">
        <f>IFERROR(__xludf.DUMMYFUNCTION("""COMPUTED_VALUE"""),1313.0)</f>
        <v>1313</v>
      </c>
      <c r="BJ47" s="3">
        <f>IFERROR(__xludf.DUMMYFUNCTION("""COMPUTED_VALUE"""),1318.0)</f>
        <v>1318</v>
      </c>
      <c r="BK47" s="3">
        <f>IFERROR(__xludf.DUMMYFUNCTION("""COMPUTED_VALUE"""),1323.0)</f>
        <v>1323</v>
      </c>
      <c r="BL47" s="3">
        <f>IFERROR(__xludf.DUMMYFUNCTION("""COMPUTED_VALUE"""),1325.0)</f>
        <v>1325</v>
      </c>
      <c r="BM47" s="3">
        <f>IFERROR(__xludf.DUMMYFUNCTION("""COMPUTED_VALUE"""),1329.0)</f>
        <v>1329</v>
      </c>
      <c r="BN47" s="3">
        <f>IFERROR(__xludf.DUMMYFUNCTION("""COMPUTED_VALUE"""),1332.0)</f>
        <v>1332</v>
      </c>
      <c r="BO47" s="3">
        <f>IFERROR(__xludf.DUMMYFUNCTION("""COMPUTED_VALUE"""),1333.0)</f>
        <v>1333</v>
      </c>
      <c r="BP47" s="3">
        <f>IFERROR(__xludf.DUMMYFUNCTION("""COMPUTED_VALUE"""),1336.0)</f>
        <v>1336</v>
      </c>
      <c r="BQ47" s="3">
        <f>IFERROR(__xludf.DUMMYFUNCTION("""COMPUTED_VALUE"""),1336.0)</f>
        <v>1336</v>
      </c>
      <c r="BR47" s="3">
        <f>IFERROR(__xludf.DUMMYFUNCTION("""COMPUTED_VALUE"""),1337.0)</f>
        <v>1337</v>
      </c>
      <c r="BS47" s="3">
        <f>IFERROR(__xludf.DUMMYFUNCTION("""COMPUTED_VALUE"""),1341.0)</f>
        <v>1341</v>
      </c>
      <c r="BT47" s="3">
        <f>IFERROR(__xludf.DUMMYFUNCTION("""COMPUTED_VALUE"""),1349.0)</f>
        <v>1349</v>
      </c>
      <c r="BU47" s="3">
        <f>IFERROR(__xludf.DUMMYFUNCTION("""COMPUTED_VALUE"""),1351.0)</f>
        <v>1351</v>
      </c>
      <c r="BV47" s="3">
        <f>IFERROR(__xludf.DUMMYFUNCTION("""COMPUTED_VALUE"""),1356.0)</f>
        <v>1356</v>
      </c>
      <c r="BW47" s="3">
        <f>IFERROR(__xludf.DUMMYFUNCTION("""COMPUTED_VALUE"""),1357.0)</f>
        <v>1357</v>
      </c>
      <c r="BX47" s="3">
        <f>IFERROR(__xludf.DUMMYFUNCTION("""COMPUTED_VALUE"""),1365.0)</f>
        <v>1365</v>
      </c>
      <c r="BY47" s="3">
        <f>IFERROR(__xludf.DUMMYFUNCTION("""COMPUTED_VALUE"""),1368.0)</f>
        <v>1368</v>
      </c>
      <c r="BZ47" s="3">
        <f>IFERROR(__xludf.DUMMYFUNCTION("""COMPUTED_VALUE"""),1378.0)</f>
        <v>1378</v>
      </c>
      <c r="CA47" s="3">
        <f>IFERROR(__xludf.DUMMYFUNCTION("""COMPUTED_VALUE"""),1387.0)</f>
        <v>1387</v>
      </c>
      <c r="CB47" s="3">
        <f>IFERROR(__xludf.DUMMYFUNCTION("""COMPUTED_VALUE"""),1395.0)</f>
        <v>1395</v>
      </c>
    </row>
    <row r="48">
      <c r="A48" s="3" t="str">
        <f>IFERROR(__xludf.DUMMYFUNCTION("""COMPUTED_VALUE"""),"Guangxi")</f>
        <v>Guangxi</v>
      </c>
      <c r="B48" s="3" t="str">
        <f>IFERROR(__xludf.DUMMYFUNCTION("""COMPUTED_VALUE"""),"China")</f>
        <v>China</v>
      </c>
      <c r="C48" s="3">
        <f>IFERROR(__xludf.DUMMYFUNCTION("""COMPUTED_VALUE"""),23.8298)</f>
        <v>23.8298</v>
      </c>
      <c r="D48" s="3">
        <f>IFERROR(__xludf.DUMMYFUNCTION("""COMPUTED_VALUE"""),108.7881)</f>
        <v>108.7881</v>
      </c>
      <c r="E48" s="3">
        <f>IFERROR(__xludf.DUMMYFUNCTION("""COMPUTED_VALUE"""),0.0)</f>
        <v>0</v>
      </c>
      <c r="F48" s="3">
        <f>IFERROR(__xludf.DUMMYFUNCTION("""COMPUTED_VALUE"""),0.0)</f>
        <v>0</v>
      </c>
      <c r="G48" s="3">
        <f>IFERROR(__xludf.DUMMYFUNCTION("""COMPUTED_VALUE"""),0.0)</f>
        <v>0</v>
      </c>
      <c r="H48" s="3">
        <f>IFERROR(__xludf.DUMMYFUNCTION("""COMPUTED_VALUE"""),0.0)</f>
        <v>0</v>
      </c>
      <c r="I48" s="3">
        <f>IFERROR(__xludf.DUMMYFUNCTION("""COMPUTED_VALUE"""),0.0)</f>
        <v>0</v>
      </c>
      <c r="J48" s="3">
        <f>IFERROR(__xludf.DUMMYFUNCTION("""COMPUTED_VALUE"""),0.0)</f>
        <v>0</v>
      </c>
      <c r="K48" s="3">
        <f>IFERROR(__xludf.DUMMYFUNCTION("""COMPUTED_VALUE"""),2.0)</f>
        <v>2</v>
      </c>
      <c r="L48" s="3">
        <f>IFERROR(__xludf.DUMMYFUNCTION("""COMPUTED_VALUE"""),2.0)</f>
        <v>2</v>
      </c>
      <c r="M48" s="3">
        <f>IFERROR(__xludf.DUMMYFUNCTION("""COMPUTED_VALUE"""),2.0)</f>
        <v>2</v>
      </c>
      <c r="N48" s="3">
        <f>IFERROR(__xludf.DUMMYFUNCTION("""COMPUTED_VALUE"""),2.0)</f>
        <v>2</v>
      </c>
      <c r="O48" s="3">
        <f>IFERROR(__xludf.DUMMYFUNCTION("""COMPUTED_VALUE"""),2.0)</f>
        <v>2</v>
      </c>
      <c r="P48" s="3">
        <f>IFERROR(__xludf.DUMMYFUNCTION("""COMPUTED_VALUE"""),2.0)</f>
        <v>2</v>
      </c>
      <c r="Q48" s="3">
        <f>IFERROR(__xludf.DUMMYFUNCTION("""COMPUTED_VALUE"""),7.0)</f>
        <v>7</v>
      </c>
      <c r="R48" s="3">
        <f>IFERROR(__xludf.DUMMYFUNCTION("""COMPUTED_VALUE"""),10.0)</f>
        <v>10</v>
      </c>
      <c r="S48" s="3">
        <f>IFERROR(__xludf.DUMMYFUNCTION("""COMPUTED_VALUE"""),13.0)</f>
        <v>13</v>
      </c>
      <c r="T48" s="3">
        <f>IFERROR(__xludf.DUMMYFUNCTION("""COMPUTED_VALUE"""),14.0)</f>
        <v>14</v>
      </c>
      <c r="U48" s="3">
        <f>IFERROR(__xludf.DUMMYFUNCTION("""COMPUTED_VALUE"""),17.0)</f>
        <v>17</v>
      </c>
      <c r="V48" s="3">
        <f>IFERROR(__xludf.DUMMYFUNCTION("""COMPUTED_VALUE"""),17.0)</f>
        <v>17</v>
      </c>
      <c r="W48" s="3">
        <f>IFERROR(__xludf.DUMMYFUNCTION("""COMPUTED_VALUE"""),18.0)</f>
        <v>18</v>
      </c>
      <c r="X48" s="3">
        <f>IFERROR(__xludf.DUMMYFUNCTION("""COMPUTED_VALUE"""),24.0)</f>
        <v>24</v>
      </c>
      <c r="Y48" s="3">
        <f>IFERROR(__xludf.DUMMYFUNCTION("""COMPUTED_VALUE"""),33.0)</f>
        <v>33</v>
      </c>
      <c r="Z48" s="3">
        <f>IFERROR(__xludf.DUMMYFUNCTION("""COMPUTED_VALUE"""),32.0)</f>
        <v>32</v>
      </c>
      <c r="AA48" s="3">
        <f>IFERROR(__xludf.DUMMYFUNCTION("""COMPUTED_VALUE"""),33.0)</f>
        <v>33</v>
      </c>
      <c r="AB48" s="3">
        <f>IFERROR(__xludf.DUMMYFUNCTION("""COMPUTED_VALUE"""),36.0)</f>
        <v>36</v>
      </c>
      <c r="AC48" s="3">
        <f>IFERROR(__xludf.DUMMYFUNCTION("""COMPUTED_VALUE"""),44.0)</f>
        <v>44</v>
      </c>
      <c r="AD48" s="3">
        <f>IFERROR(__xludf.DUMMYFUNCTION("""COMPUTED_VALUE"""),49.0)</f>
        <v>49</v>
      </c>
      <c r="AE48" s="3">
        <f>IFERROR(__xludf.DUMMYFUNCTION("""COMPUTED_VALUE"""),53.0)</f>
        <v>53</v>
      </c>
      <c r="AF48" s="3">
        <f>IFERROR(__xludf.DUMMYFUNCTION("""COMPUTED_VALUE"""),69.0)</f>
        <v>69</v>
      </c>
      <c r="AG48" s="3">
        <f>IFERROR(__xludf.DUMMYFUNCTION("""COMPUTED_VALUE"""),86.0)</f>
        <v>86</v>
      </c>
      <c r="AH48" s="3">
        <f>IFERROR(__xludf.DUMMYFUNCTION("""COMPUTED_VALUE"""),90.0)</f>
        <v>90</v>
      </c>
      <c r="AI48" s="3">
        <f>IFERROR(__xludf.DUMMYFUNCTION("""COMPUTED_VALUE"""),97.0)</f>
        <v>97</v>
      </c>
      <c r="AJ48" s="3">
        <f>IFERROR(__xludf.DUMMYFUNCTION("""COMPUTED_VALUE"""),104.0)</f>
        <v>104</v>
      </c>
      <c r="AK48" s="3">
        <f>IFERROR(__xludf.DUMMYFUNCTION("""COMPUTED_VALUE"""),106.0)</f>
        <v>106</v>
      </c>
      <c r="AL48" s="3">
        <f>IFERROR(__xludf.DUMMYFUNCTION("""COMPUTED_VALUE"""),112.0)</f>
        <v>112</v>
      </c>
      <c r="AM48" s="3">
        <f>IFERROR(__xludf.DUMMYFUNCTION("""COMPUTED_VALUE"""),134.0)</f>
        <v>134</v>
      </c>
      <c r="AN48" s="3">
        <f>IFERROR(__xludf.DUMMYFUNCTION("""COMPUTED_VALUE"""),147.0)</f>
        <v>147</v>
      </c>
      <c r="AO48" s="3">
        <f>IFERROR(__xludf.DUMMYFUNCTION("""COMPUTED_VALUE"""),161.0)</f>
        <v>161</v>
      </c>
      <c r="AP48" s="3">
        <f>IFERROR(__xludf.DUMMYFUNCTION("""COMPUTED_VALUE"""),168.0)</f>
        <v>168</v>
      </c>
      <c r="AQ48" s="3">
        <f>IFERROR(__xludf.DUMMYFUNCTION("""COMPUTED_VALUE"""),176.0)</f>
        <v>176</v>
      </c>
      <c r="AR48" s="3">
        <f>IFERROR(__xludf.DUMMYFUNCTION("""COMPUTED_VALUE"""),181.0)</f>
        <v>181</v>
      </c>
      <c r="AS48" s="3">
        <f>IFERROR(__xludf.DUMMYFUNCTION("""COMPUTED_VALUE"""),192.0)</f>
        <v>192</v>
      </c>
      <c r="AT48" s="3">
        <f>IFERROR(__xludf.DUMMYFUNCTION("""COMPUTED_VALUE"""),202.0)</f>
        <v>202</v>
      </c>
      <c r="AU48" s="3">
        <f>IFERROR(__xludf.DUMMYFUNCTION("""COMPUTED_VALUE"""),210.0)</f>
        <v>210</v>
      </c>
      <c r="AV48" s="3">
        <f>IFERROR(__xludf.DUMMYFUNCTION("""COMPUTED_VALUE"""),214.0)</f>
        <v>214</v>
      </c>
      <c r="AW48" s="3">
        <f>IFERROR(__xludf.DUMMYFUNCTION("""COMPUTED_VALUE"""),217.0)</f>
        <v>217</v>
      </c>
      <c r="AX48" s="3">
        <f>IFERROR(__xludf.DUMMYFUNCTION("""COMPUTED_VALUE"""),218.0)</f>
        <v>218</v>
      </c>
      <c r="AY48" s="3">
        <f>IFERROR(__xludf.DUMMYFUNCTION("""COMPUTED_VALUE"""),223.0)</f>
        <v>223</v>
      </c>
      <c r="AZ48" s="3">
        <f>IFERROR(__xludf.DUMMYFUNCTION("""COMPUTED_VALUE"""),230.0)</f>
        <v>230</v>
      </c>
      <c r="BA48" s="3">
        <f>IFERROR(__xludf.DUMMYFUNCTION("""COMPUTED_VALUE"""),234.0)</f>
        <v>234</v>
      </c>
      <c r="BB48" s="3">
        <f>IFERROR(__xludf.DUMMYFUNCTION("""COMPUTED_VALUE"""),238.0)</f>
        <v>238</v>
      </c>
      <c r="BC48" s="3">
        <f>IFERROR(__xludf.DUMMYFUNCTION("""COMPUTED_VALUE"""),241.0)</f>
        <v>241</v>
      </c>
      <c r="BD48" s="3">
        <f>IFERROR(__xludf.DUMMYFUNCTION("""COMPUTED_VALUE"""),243.0)</f>
        <v>243</v>
      </c>
      <c r="BE48" s="3">
        <f>IFERROR(__xludf.DUMMYFUNCTION("""COMPUTED_VALUE"""),243.0)</f>
        <v>243</v>
      </c>
      <c r="BF48" s="3">
        <f>IFERROR(__xludf.DUMMYFUNCTION("""COMPUTED_VALUE"""),243.0)</f>
        <v>243</v>
      </c>
      <c r="BG48" s="3">
        <f>IFERROR(__xludf.DUMMYFUNCTION("""COMPUTED_VALUE"""),248.0)</f>
        <v>248</v>
      </c>
      <c r="BH48" s="3">
        <f>IFERROR(__xludf.DUMMYFUNCTION("""COMPUTED_VALUE"""),248.0)</f>
        <v>248</v>
      </c>
      <c r="BI48" s="3">
        <f>IFERROR(__xludf.DUMMYFUNCTION("""COMPUTED_VALUE"""),250.0)</f>
        <v>250</v>
      </c>
      <c r="BJ48" s="3">
        <f>IFERROR(__xludf.DUMMYFUNCTION("""COMPUTED_VALUE"""),250.0)</f>
        <v>250</v>
      </c>
      <c r="BK48" s="3">
        <f>IFERROR(__xludf.DUMMYFUNCTION("""COMPUTED_VALUE"""),250.0)</f>
        <v>250</v>
      </c>
      <c r="BL48" s="3">
        <f>IFERROR(__xludf.DUMMYFUNCTION("""COMPUTED_VALUE"""),250.0)</f>
        <v>250</v>
      </c>
      <c r="BM48" s="3">
        <f>IFERROR(__xludf.DUMMYFUNCTION("""COMPUTED_VALUE"""),250.0)</f>
        <v>250</v>
      </c>
      <c r="BN48" s="3">
        <f>IFERROR(__xludf.DUMMYFUNCTION("""COMPUTED_VALUE"""),250.0)</f>
        <v>250</v>
      </c>
      <c r="BO48" s="3">
        <f>IFERROR(__xludf.DUMMYFUNCTION("""COMPUTED_VALUE"""),250.0)</f>
        <v>250</v>
      </c>
      <c r="BP48" s="3">
        <f>IFERROR(__xludf.DUMMYFUNCTION("""COMPUTED_VALUE"""),250.0)</f>
        <v>250</v>
      </c>
      <c r="BQ48" s="3">
        <f>IFERROR(__xludf.DUMMYFUNCTION("""COMPUTED_VALUE"""),250.0)</f>
        <v>250</v>
      </c>
      <c r="BR48" s="3">
        <f>IFERROR(__xludf.DUMMYFUNCTION("""COMPUTED_VALUE"""),250.0)</f>
        <v>250</v>
      </c>
      <c r="BS48" s="3">
        <f>IFERROR(__xludf.DUMMYFUNCTION("""COMPUTED_VALUE"""),250.0)</f>
        <v>250</v>
      </c>
      <c r="BT48" s="3">
        <f>IFERROR(__xludf.DUMMYFUNCTION("""COMPUTED_VALUE"""),250.0)</f>
        <v>250</v>
      </c>
      <c r="BU48" s="3">
        <f>IFERROR(__xludf.DUMMYFUNCTION("""COMPUTED_VALUE"""),250.0)</f>
        <v>250</v>
      </c>
      <c r="BV48" s="3">
        <f>IFERROR(__xludf.DUMMYFUNCTION("""COMPUTED_VALUE"""),250.0)</f>
        <v>250</v>
      </c>
      <c r="BW48" s="3">
        <f>IFERROR(__xludf.DUMMYFUNCTION("""COMPUTED_VALUE"""),250.0)</f>
        <v>250</v>
      </c>
      <c r="BX48" s="3">
        <f>IFERROR(__xludf.DUMMYFUNCTION("""COMPUTED_VALUE"""),252.0)</f>
        <v>252</v>
      </c>
      <c r="BY48" s="3">
        <f>IFERROR(__xludf.DUMMYFUNCTION("""COMPUTED_VALUE"""),252.0)</f>
        <v>252</v>
      </c>
      <c r="BZ48" s="3">
        <f>IFERROR(__xludf.DUMMYFUNCTION("""COMPUTED_VALUE"""),252.0)</f>
        <v>252</v>
      </c>
      <c r="CA48" s="3">
        <f>IFERROR(__xludf.DUMMYFUNCTION("""COMPUTED_VALUE"""),252.0)</f>
        <v>252</v>
      </c>
      <c r="CB48" s="3">
        <f>IFERROR(__xludf.DUMMYFUNCTION("""COMPUTED_VALUE"""),252.0)</f>
        <v>252</v>
      </c>
    </row>
    <row r="49">
      <c r="A49" s="3" t="str">
        <f>IFERROR(__xludf.DUMMYFUNCTION("""COMPUTED_VALUE"""),"Guizhou")</f>
        <v>Guizhou</v>
      </c>
      <c r="B49" s="3" t="str">
        <f>IFERROR(__xludf.DUMMYFUNCTION("""COMPUTED_VALUE"""),"China")</f>
        <v>China</v>
      </c>
      <c r="C49" s="3">
        <f>IFERROR(__xludf.DUMMYFUNCTION("""COMPUTED_VALUE"""),26.8154)</f>
        <v>26.8154</v>
      </c>
      <c r="D49" s="3">
        <f>IFERROR(__xludf.DUMMYFUNCTION("""COMPUTED_VALUE"""),106.8748)</f>
        <v>106.8748</v>
      </c>
      <c r="E49" s="3">
        <f>IFERROR(__xludf.DUMMYFUNCTION("""COMPUTED_VALUE"""),0.0)</f>
        <v>0</v>
      </c>
      <c r="F49" s="3">
        <f>IFERROR(__xludf.DUMMYFUNCTION("""COMPUTED_VALUE"""),0.0)</f>
        <v>0</v>
      </c>
      <c r="G49" s="3">
        <f>IFERROR(__xludf.DUMMYFUNCTION("""COMPUTED_VALUE"""),0.0)</f>
        <v>0</v>
      </c>
      <c r="H49" s="3">
        <f>IFERROR(__xludf.DUMMYFUNCTION("""COMPUTED_VALUE"""),0.0)</f>
        <v>0</v>
      </c>
      <c r="I49" s="3">
        <f>IFERROR(__xludf.DUMMYFUNCTION("""COMPUTED_VALUE"""),0.0)</f>
        <v>0</v>
      </c>
      <c r="J49" s="3">
        <f>IFERROR(__xludf.DUMMYFUNCTION("""COMPUTED_VALUE"""),0.0)</f>
        <v>0</v>
      </c>
      <c r="K49" s="3">
        <f>IFERROR(__xludf.DUMMYFUNCTION("""COMPUTED_VALUE"""),0.0)</f>
        <v>0</v>
      </c>
      <c r="L49" s="3">
        <f>IFERROR(__xludf.DUMMYFUNCTION("""COMPUTED_VALUE"""),1.0)</f>
        <v>1</v>
      </c>
      <c r="M49" s="3">
        <f>IFERROR(__xludf.DUMMYFUNCTION("""COMPUTED_VALUE"""),1.0)</f>
        <v>1</v>
      </c>
      <c r="N49" s="3">
        <f>IFERROR(__xludf.DUMMYFUNCTION("""COMPUTED_VALUE"""),2.0)</f>
        <v>2</v>
      </c>
      <c r="O49" s="3">
        <f>IFERROR(__xludf.DUMMYFUNCTION("""COMPUTED_VALUE"""),2.0)</f>
        <v>2</v>
      </c>
      <c r="P49" s="3">
        <f>IFERROR(__xludf.DUMMYFUNCTION("""COMPUTED_VALUE"""),2.0)</f>
        <v>2</v>
      </c>
      <c r="Q49" s="3">
        <f>IFERROR(__xludf.DUMMYFUNCTION("""COMPUTED_VALUE"""),2.0)</f>
        <v>2</v>
      </c>
      <c r="R49" s="3">
        <f>IFERROR(__xludf.DUMMYFUNCTION("""COMPUTED_VALUE"""),2.0)</f>
        <v>2</v>
      </c>
      <c r="S49" s="3">
        <f>IFERROR(__xludf.DUMMYFUNCTION("""COMPUTED_VALUE"""),9.0)</f>
        <v>9</v>
      </c>
      <c r="T49" s="3">
        <f>IFERROR(__xludf.DUMMYFUNCTION("""COMPUTED_VALUE"""),6.0)</f>
        <v>6</v>
      </c>
      <c r="U49" s="3">
        <f>IFERROR(__xludf.DUMMYFUNCTION("""COMPUTED_VALUE"""),6.0)</f>
        <v>6</v>
      </c>
      <c r="V49" s="3">
        <f>IFERROR(__xludf.DUMMYFUNCTION("""COMPUTED_VALUE"""),7.0)</f>
        <v>7</v>
      </c>
      <c r="W49" s="3">
        <f>IFERROR(__xludf.DUMMYFUNCTION("""COMPUTED_VALUE"""),7.0)</f>
        <v>7</v>
      </c>
      <c r="X49" s="3">
        <f>IFERROR(__xludf.DUMMYFUNCTION("""COMPUTED_VALUE"""),10.0)</f>
        <v>10</v>
      </c>
      <c r="Y49" s="3">
        <f>IFERROR(__xludf.DUMMYFUNCTION("""COMPUTED_VALUE"""),17.0)</f>
        <v>17</v>
      </c>
      <c r="Z49" s="3">
        <f>IFERROR(__xludf.DUMMYFUNCTION("""COMPUTED_VALUE"""),18.0)</f>
        <v>18</v>
      </c>
      <c r="AA49" s="3">
        <f>IFERROR(__xludf.DUMMYFUNCTION("""COMPUTED_VALUE"""),27.0)</f>
        <v>27</v>
      </c>
      <c r="AB49" s="3">
        <f>IFERROR(__xludf.DUMMYFUNCTION("""COMPUTED_VALUE"""),28.0)</f>
        <v>28</v>
      </c>
      <c r="AC49" s="3">
        <f>IFERROR(__xludf.DUMMYFUNCTION("""COMPUTED_VALUE"""),41.0)</f>
        <v>41</v>
      </c>
      <c r="AD49" s="3">
        <f>IFERROR(__xludf.DUMMYFUNCTION("""COMPUTED_VALUE"""),46.0)</f>
        <v>46</v>
      </c>
      <c r="AE49" s="3">
        <f>IFERROR(__xludf.DUMMYFUNCTION("""COMPUTED_VALUE"""),57.0)</f>
        <v>57</v>
      </c>
      <c r="AF49" s="3">
        <f>IFERROR(__xludf.DUMMYFUNCTION("""COMPUTED_VALUE"""),66.0)</f>
        <v>66</v>
      </c>
      <c r="AG49" s="3">
        <f>IFERROR(__xludf.DUMMYFUNCTION("""COMPUTED_VALUE"""),70.0)</f>
        <v>70</v>
      </c>
      <c r="AH49" s="3">
        <f>IFERROR(__xludf.DUMMYFUNCTION("""COMPUTED_VALUE"""),72.0)</f>
        <v>72</v>
      </c>
      <c r="AI49" s="3">
        <f>IFERROR(__xludf.DUMMYFUNCTION("""COMPUTED_VALUE"""),77.0)</f>
        <v>77</v>
      </c>
      <c r="AJ49" s="3">
        <f>IFERROR(__xludf.DUMMYFUNCTION("""COMPUTED_VALUE"""),90.0)</f>
        <v>90</v>
      </c>
      <c r="AK49" s="3">
        <f>IFERROR(__xludf.DUMMYFUNCTION("""COMPUTED_VALUE"""),102.0)</f>
        <v>102</v>
      </c>
      <c r="AL49" s="3">
        <f>IFERROR(__xludf.DUMMYFUNCTION("""COMPUTED_VALUE"""),102.0)</f>
        <v>102</v>
      </c>
      <c r="AM49" s="3">
        <f>IFERROR(__xludf.DUMMYFUNCTION("""COMPUTED_VALUE"""),104.0)</f>
        <v>104</v>
      </c>
      <c r="AN49" s="3">
        <f>IFERROR(__xludf.DUMMYFUNCTION("""COMPUTED_VALUE"""),104.0)</f>
        <v>104</v>
      </c>
      <c r="AO49" s="3">
        <f>IFERROR(__xludf.DUMMYFUNCTION("""COMPUTED_VALUE"""),112.0)</f>
        <v>112</v>
      </c>
      <c r="AP49" s="3">
        <f>IFERROR(__xludf.DUMMYFUNCTION("""COMPUTED_VALUE"""),112.0)</f>
        <v>112</v>
      </c>
      <c r="AQ49" s="3">
        <f>IFERROR(__xludf.DUMMYFUNCTION("""COMPUTED_VALUE"""),112.0)</f>
        <v>112</v>
      </c>
      <c r="AR49" s="3">
        <f>IFERROR(__xludf.DUMMYFUNCTION("""COMPUTED_VALUE"""),112.0)</f>
        <v>112</v>
      </c>
      <c r="AS49" s="3">
        <f>IFERROR(__xludf.DUMMYFUNCTION("""COMPUTED_VALUE"""),114.0)</f>
        <v>114</v>
      </c>
      <c r="AT49" s="3">
        <f>IFERROR(__xludf.DUMMYFUNCTION("""COMPUTED_VALUE"""),114.0)</f>
        <v>114</v>
      </c>
      <c r="AU49" s="3">
        <f>IFERROR(__xludf.DUMMYFUNCTION("""COMPUTED_VALUE"""),114.0)</f>
        <v>114</v>
      </c>
      <c r="AV49" s="3">
        <f>IFERROR(__xludf.DUMMYFUNCTION("""COMPUTED_VALUE"""),114.0)</f>
        <v>114</v>
      </c>
      <c r="AW49" s="3">
        <f>IFERROR(__xludf.DUMMYFUNCTION("""COMPUTED_VALUE"""),114.0)</f>
        <v>114</v>
      </c>
      <c r="AX49" s="3">
        <f>IFERROR(__xludf.DUMMYFUNCTION("""COMPUTED_VALUE"""),115.0)</f>
        <v>115</v>
      </c>
      <c r="AY49" s="3">
        <f>IFERROR(__xludf.DUMMYFUNCTION("""COMPUTED_VALUE"""),117.0)</f>
        <v>117</v>
      </c>
      <c r="AZ49" s="3">
        <f>IFERROR(__xludf.DUMMYFUNCTION("""COMPUTED_VALUE"""),123.0)</f>
        <v>123</v>
      </c>
      <c r="BA49" s="3">
        <f>IFERROR(__xludf.DUMMYFUNCTION("""COMPUTED_VALUE"""),129.0)</f>
        <v>129</v>
      </c>
      <c r="BB49" s="3">
        <f>IFERROR(__xludf.DUMMYFUNCTION("""COMPUTED_VALUE"""),133.0)</f>
        <v>133</v>
      </c>
      <c r="BC49" s="3">
        <f>IFERROR(__xludf.DUMMYFUNCTION("""COMPUTED_VALUE"""),137.0)</f>
        <v>137</v>
      </c>
      <c r="BD49" s="3">
        <f>IFERROR(__xludf.DUMMYFUNCTION("""COMPUTED_VALUE"""),140.0)</f>
        <v>140</v>
      </c>
      <c r="BE49" s="3">
        <f>IFERROR(__xludf.DUMMYFUNCTION("""COMPUTED_VALUE"""),143.0)</f>
        <v>143</v>
      </c>
      <c r="BF49" s="3">
        <f>IFERROR(__xludf.DUMMYFUNCTION("""COMPUTED_VALUE"""),143.0)</f>
        <v>143</v>
      </c>
      <c r="BG49" s="3">
        <f>IFERROR(__xludf.DUMMYFUNCTION("""COMPUTED_VALUE"""),144.0)</f>
        <v>144</v>
      </c>
      <c r="BH49" s="3">
        <f>IFERROR(__xludf.DUMMYFUNCTION("""COMPUTED_VALUE"""),144.0)</f>
        <v>144</v>
      </c>
      <c r="BI49" s="3">
        <f>IFERROR(__xludf.DUMMYFUNCTION("""COMPUTED_VALUE"""),144.0)</f>
        <v>144</v>
      </c>
      <c r="BJ49" s="3">
        <f>IFERROR(__xludf.DUMMYFUNCTION("""COMPUTED_VALUE"""),144.0)</f>
        <v>144</v>
      </c>
      <c r="BK49" s="3">
        <f>IFERROR(__xludf.DUMMYFUNCTION("""COMPUTED_VALUE"""),144.0)</f>
        <v>144</v>
      </c>
      <c r="BL49" s="3">
        <f>IFERROR(__xludf.DUMMYFUNCTION("""COMPUTED_VALUE"""),144.0)</f>
        <v>144</v>
      </c>
      <c r="BM49" s="3">
        <f>IFERROR(__xludf.DUMMYFUNCTION("""COMPUTED_VALUE"""),144.0)</f>
        <v>144</v>
      </c>
      <c r="BN49" s="3">
        <f>IFERROR(__xludf.DUMMYFUNCTION("""COMPUTED_VALUE"""),144.0)</f>
        <v>144</v>
      </c>
      <c r="BO49" s="3">
        <f>IFERROR(__xludf.DUMMYFUNCTION("""COMPUTED_VALUE"""),144.0)</f>
        <v>144</v>
      </c>
      <c r="BP49" s="3">
        <f>IFERROR(__xludf.DUMMYFUNCTION("""COMPUTED_VALUE"""),144.0)</f>
        <v>144</v>
      </c>
      <c r="BQ49" s="3">
        <f>IFERROR(__xludf.DUMMYFUNCTION("""COMPUTED_VALUE"""),144.0)</f>
        <v>144</v>
      </c>
      <c r="BR49" s="3">
        <f>IFERROR(__xludf.DUMMYFUNCTION("""COMPUTED_VALUE"""),144.0)</f>
        <v>144</v>
      </c>
      <c r="BS49" s="3">
        <f>IFERROR(__xludf.DUMMYFUNCTION("""COMPUTED_VALUE"""),144.0)</f>
        <v>144</v>
      </c>
      <c r="BT49" s="3">
        <f>IFERROR(__xludf.DUMMYFUNCTION("""COMPUTED_VALUE"""),144.0)</f>
        <v>144</v>
      </c>
      <c r="BU49" s="3">
        <f>IFERROR(__xludf.DUMMYFUNCTION("""COMPUTED_VALUE"""),144.0)</f>
        <v>144</v>
      </c>
      <c r="BV49" s="3">
        <f>IFERROR(__xludf.DUMMYFUNCTION("""COMPUTED_VALUE"""),144.0)</f>
        <v>144</v>
      </c>
      <c r="BW49" s="3">
        <f>IFERROR(__xludf.DUMMYFUNCTION("""COMPUTED_VALUE"""),144.0)</f>
        <v>144</v>
      </c>
      <c r="BX49" s="3">
        <f>IFERROR(__xludf.DUMMYFUNCTION("""COMPUTED_VALUE"""),144.0)</f>
        <v>144</v>
      </c>
      <c r="BY49" s="3">
        <f>IFERROR(__xludf.DUMMYFUNCTION("""COMPUTED_VALUE"""),144.0)</f>
        <v>144</v>
      </c>
      <c r="BZ49" s="3">
        <f>IFERROR(__xludf.DUMMYFUNCTION("""COMPUTED_VALUE"""),144.0)</f>
        <v>144</v>
      </c>
      <c r="CA49" s="3">
        <f>IFERROR(__xludf.DUMMYFUNCTION("""COMPUTED_VALUE"""),144.0)</f>
        <v>144</v>
      </c>
      <c r="CB49" s="3">
        <f>IFERROR(__xludf.DUMMYFUNCTION("""COMPUTED_VALUE"""),144.0)</f>
        <v>144</v>
      </c>
    </row>
    <row r="50">
      <c r="A50" s="3" t="str">
        <f>IFERROR(__xludf.DUMMYFUNCTION("""COMPUTED_VALUE"""),"Hainan")</f>
        <v>Hainan</v>
      </c>
      <c r="B50" s="3" t="str">
        <f>IFERROR(__xludf.DUMMYFUNCTION("""COMPUTED_VALUE"""),"China")</f>
        <v>China</v>
      </c>
      <c r="C50" s="3">
        <f>IFERROR(__xludf.DUMMYFUNCTION("""COMPUTED_VALUE"""),19.1959)</f>
        <v>19.1959</v>
      </c>
      <c r="D50" s="3">
        <f>IFERROR(__xludf.DUMMYFUNCTION("""COMPUTED_VALUE"""),109.7453)</f>
        <v>109.7453</v>
      </c>
      <c r="E50" s="3">
        <f>IFERROR(__xludf.DUMMYFUNCTION("""COMPUTED_VALUE"""),0.0)</f>
        <v>0</v>
      </c>
      <c r="F50" s="3">
        <f>IFERROR(__xludf.DUMMYFUNCTION("""COMPUTED_VALUE"""),0.0)</f>
        <v>0</v>
      </c>
      <c r="G50" s="3">
        <f>IFERROR(__xludf.DUMMYFUNCTION("""COMPUTED_VALUE"""),0.0)</f>
        <v>0</v>
      </c>
      <c r="H50" s="3">
        <f>IFERROR(__xludf.DUMMYFUNCTION("""COMPUTED_VALUE"""),0.0)</f>
        <v>0</v>
      </c>
      <c r="I50" s="3">
        <f>IFERROR(__xludf.DUMMYFUNCTION("""COMPUTED_VALUE"""),0.0)</f>
        <v>0</v>
      </c>
      <c r="J50" s="3">
        <f>IFERROR(__xludf.DUMMYFUNCTION("""COMPUTED_VALUE"""),0.0)</f>
        <v>0</v>
      </c>
      <c r="K50" s="3">
        <f>IFERROR(__xludf.DUMMYFUNCTION("""COMPUTED_VALUE"""),0.0)</f>
        <v>0</v>
      </c>
      <c r="L50" s="3">
        <f>IFERROR(__xludf.DUMMYFUNCTION("""COMPUTED_VALUE"""),0.0)</f>
        <v>0</v>
      </c>
      <c r="M50" s="3">
        <f>IFERROR(__xludf.DUMMYFUNCTION("""COMPUTED_VALUE"""),1.0)</f>
        <v>1</v>
      </c>
      <c r="N50" s="3">
        <f>IFERROR(__xludf.DUMMYFUNCTION("""COMPUTED_VALUE"""),1.0)</f>
        <v>1</v>
      </c>
      <c r="O50" s="3">
        <f>IFERROR(__xludf.DUMMYFUNCTION("""COMPUTED_VALUE"""),1.0)</f>
        <v>1</v>
      </c>
      <c r="P50" s="3">
        <f>IFERROR(__xludf.DUMMYFUNCTION("""COMPUTED_VALUE"""),4.0)</f>
        <v>4</v>
      </c>
      <c r="Q50" s="3">
        <f>IFERROR(__xludf.DUMMYFUNCTION("""COMPUTED_VALUE"""),4.0)</f>
        <v>4</v>
      </c>
      <c r="R50" s="3">
        <f>IFERROR(__xludf.DUMMYFUNCTION("""COMPUTED_VALUE"""),5.0)</f>
        <v>5</v>
      </c>
      <c r="S50" s="3">
        <f>IFERROR(__xludf.DUMMYFUNCTION("""COMPUTED_VALUE"""),5.0)</f>
        <v>5</v>
      </c>
      <c r="T50" s="3">
        <f>IFERROR(__xludf.DUMMYFUNCTION("""COMPUTED_VALUE"""),8.0)</f>
        <v>8</v>
      </c>
      <c r="U50" s="3">
        <f>IFERROR(__xludf.DUMMYFUNCTION("""COMPUTED_VALUE"""),10.0)</f>
        <v>10</v>
      </c>
      <c r="V50" s="3">
        <f>IFERROR(__xludf.DUMMYFUNCTION("""COMPUTED_VALUE"""),14.0)</f>
        <v>14</v>
      </c>
      <c r="W50" s="3">
        <f>IFERROR(__xludf.DUMMYFUNCTION("""COMPUTED_VALUE"""),19.0)</f>
        <v>19</v>
      </c>
      <c r="X50" s="3">
        <f>IFERROR(__xludf.DUMMYFUNCTION("""COMPUTED_VALUE"""),19.0)</f>
        <v>19</v>
      </c>
      <c r="Y50" s="3">
        <f>IFERROR(__xludf.DUMMYFUNCTION("""COMPUTED_VALUE"""),20.0)</f>
        <v>20</v>
      </c>
      <c r="Z50" s="3">
        <f>IFERROR(__xludf.DUMMYFUNCTION("""COMPUTED_VALUE"""),27.0)</f>
        <v>27</v>
      </c>
      <c r="AA50" s="3">
        <f>IFERROR(__xludf.DUMMYFUNCTION("""COMPUTED_VALUE"""),30.0)</f>
        <v>30</v>
      </c>
      <c r="AB50" s="3">
        <f>IFERROR(__xludf.DUMMYFUNCTION("""COMPUTED_VALUE"""),43.0)</f>
        <v>43</v>
      </c>
      <c r="AC50" s="3">
        <f>IFERROR(__xludf.DUMMYFUNCTION("""COMPUTED_VALUE"""),39.0)</f>
        <v>39</v>
      </c>
      <c r="AD50" s="3">
        <f>IFERROR(__xludf.DUMMYFUNCTION("""COMPUTED_VALUE"""),52.0)</f>
        <v>52</v>
      </c>
      <c r="AE50" s="3">
        <f>IFERROR(__xludf.DUMMYFUNCTION("""COMPUTED_VALUE"""),59.0)</f>
        <v>59</v>
      </c>
      <c r="AF50" s="3">
        <f>IFERROR(__xludf.DUMMYFUNCTION("""COMPUTED_VALUE"""),79.0)</f>
        <v>79</v>
      </c>
      <c r="AG50" s="3">
        <f>IFERROR(__xludf.DUMMYFUNCTION("""COMPUTED_VALUE"""),84.0)</f>
        <v>84</v>
      </c>
      <c r="AH50" s="3">
        <f>IFERROR(__xludf.DUMMYFUNCTION("""COMPUTED_VALUE"""),86.0)</f>
        <v>86</v>
      </c>
      <c r="AI50" s="3">
        <f>IFERROR(__xludf.DUMMYFUNCTION("""COMPUTED_VALUE"""),95.0)</f>
        <v>95</v>
      </c>
      <c r="AJ50" s="3">
        <f>IFERROR(__xludf.DUMMYFUNCTION("""COMPUTED_VALUE"""),104.0)</f>
        <v>104</v>
      </c>
      <c r="AK50" s="3">
        <f>IFERROR(__xludf.DUMMYFUNCTION("""COMPUTED_VALUE"""),106.0)</f>
        <v>106</v>
      </c>
      <c r="AL50" s="3">
        <f>IFERROR(__xludf.DUMMYFUNCTION("""COMPUTED_VALUE"""),116.0)</f>
        <v>116</v>
      </c>
      <c r="AM50" s="3">
        <f>IFERROR(__xludf.DUMMYFUNCTION("""COMPUTED_VALUE"""),124.0)</f>
        <v>124</v>
      </c>
      <c r="AN50" s="3">
        <f>IFERROR(__xludf.DUMMYFUNCTION("""COMPUTED_VALUE"""),129.0)</f>
        <v>129</v>
      </c>
      <c r="AO50" s="3">
        <f>IFERROR(__xludf.DUMMYFUNCTION("""COMPUTED_VALUE"""),131.0)</f>
        <v>131</v>
      </c>
      <c r="AP50" s="3">
        <f>IFERROR(__xludf.DUMMYFUNCTION("""COMPUTED_VALUE"""),133.0)</f>
        <v>133</v>
      </c>
      <c r="AQ50" s="3">
        <f>IFERROR(__xludf.DUMMYFUNCTION("""COMPUTED_VALUE"""),148.0)</f>
        <v>148</v>
      </c>
      <c r="AR50" s="3">
        <f>IFERROR(__xludf.DUMMYFUNCTION("""COMPUTED_VALUE"""),149.0)</f>
        <v>149</v>
      </c>
      <c r="AS50" s="3">
        <f>IFERROR(__xludf.DUMMYFUNCTION("""COMPUTED_VALUE"""),151.0)</f>
        <v>151</v>
      </c>
      <c r="AT50" s="3">
        <f>IFERROR(__xludf.DUMMYFUNCTION("""COMPUTED_VALUE"""),155.0)</f>
        <v>155</v>
      </c>
      <c r="AU50" s="3">
        <f>IFERROR(__xludf.DUMMYFUNCTION("""COMPUTED_VALUE"""),158.0)</f>
        <v>158</v>
      </c>
      <c r="AV50" s="3">
        <f>IFERROR(__xludf.DUMMYFUNCTION("""COMPUTED_VALUE"""),158.0)</f>
        <v>158</v>
      </c>
      <c r="AW50" s="3">
        <f>IFERROR(__xludf.DUMMYFUNCTION("""COMPUTED_VALUE"""),158.0)</f>
        <v>158</v>
      </c>
      <c r="AX50" s="3">
        <f>IFERROR(__xludf.DUMMYFUNCTION("""COMPUTED_VALUE"""),158.0)</f>
        <v>158</v>
      </c>
      <c r="AY50" s="3">
        <f>IFERROR(__xludf.DUMMYFUNCTION("""COMPUTED_VALUE"""),159.0)</f>
        <v>159</v>
      </c>
      <c r="AZ50" s="3">
        <f>IFERROR(__xludf.DUMMYFUNCTION("""COMPUTED_VALUE"""),159.0)</f>
        <v>159</v>
      </c>
      <c r="BA50" s="3">
        <f>IFERROR(__xludf.DUMMYFUNCTION("""COMPUTED_VALUE"""),159.0)</f>
        <v>159</v>
      </c>
      <c r="BB50" s="3">
        <f>IFERROR(__xludf.DUMMYFUNCTION("""COMPUTED_VALUE"""),159.0)</f>
        <v>159</v>
      </c>
      <c r="BC50" s="3">
        <f>IFERROR(__xludf.DUMMYFUNCTION("""COMPUTED_VALUE"""),160.0)</f>
        <v>160</v>
      </c>
      <c r="BD50" s="3">
        <f>IFERROR(__xludf.DUMMYFUNCTION("""COMPUTED_VALUE"""),160.0)</f>
        <v>160</v>
      </c>
      <c r="BE50" s="3">
        <f>IFERROR(__xludf.DUMMYFUNCTION("""COMPUTED_VALUE"""),160.0)</f>
        <v>160</v>
      </c>
      <c r="BF50" s="3">
        <f>IFERROR(__xludf.DUMMYFUNCTION("""COMPUTED_VALUE"""),160.0)</f>
        <v>160</v>
      </c>
      <c r="BG50" s="3">
        <f>IFERROR(__xludf.DUMMYFUNCTION("""COMPUTED_VALUE"""),161.0)</f>
        <v>161</v>
      </c>
      <c r="BH50" s="3">
        <f>IFERROR(__xludf.DUMMYFUNCTION("""COMPUTED_VALUE"""),161.0)</f>
        <v>161</v>
      </c>
      <c r="BI50" s="3">
        <f>IFERROR(__xludf.DUMMYFUNCTION("""COMPUTED_VALUE"""),161.0)</f>
        <v>161</v>
      </c>
      <c r="BJ50" s="3">
        <f>IFERROR(__xludf.DUMMYFUNCTION("""COMPUTED_VALUE"""),161.0)</f>
        <v>161</v>
      </c>
      <c r="BK50" s="3">
        <f>IFERROR(__xludf.DUMMYFUNCTION("""COMPUTED_VALUE"""),161.0)</f>
        <v>161</v>
      </c>
      <c r="BL50" s="3">
        <f>IFERROR(__xludf.DUMMYFUNCTION("""COMPUTED_VALUE"""),161.0)</f>
        <v>161</v>
      </c>
      <c r="BM50" s="3">
        <f>IFERROR(__xludf.DUMMYFUNCTION("""COMPUTED_VALUE"""),161.0)</f>
        <v>161</v>
      </c>
      <c r="BN50" s="3">
        <f>IFERROR(__xludf.DUMMYFUNCTION("""COMPUTED_VALUE"""),161.0)</f>
        <v>161</v>
      </c>
      <c r="BO50" s="3">
        <f>IFERROR(__xludf.DUMMYFUNCTION("""COMPUTED_VALUE"""),168.0)</f>
        <v>168</v>
      </c>
      <c r="BP50" s="3">
        <f>IFERROR(__xludf.DUMMYFUNCTION("""COMPUTED_VALUE"""),168.0)</f>
        <v>168</v>
      </c>
      <c r="BQ50" s="3">
        <f>IFERROR(__xludf.DUMMYFUNCTION("""COMPUTED_VALUE"""),168.0)</f>
        <v>168</v>
      </c>
      <c r="BR50" s="3">
        <f>IFERROR(__xludf.DUMMYFUNCTION("""COMPUTED_VALUE"""),168.0)</f>
        <v>168</v>
      </c>
      <c r="BS50" s="3">
        <f>IFERROR(__xludf.DUMMYFUNCTION("""COMPUTED_VALUE"""),168.0)</f>
        <v>168</v>
      </c>
      <c r="BT50" s="3">
        <f>IFERROR(__xludf.DUMMYFUNCTION("""COMPUTED_VALUE"""),168.0)</f>
        <v>168</v>
      </c>
      <c r="BU50" s="3">
        <f>IFERROR(__xludf.DUMMYFUNCTION("""COMPUTED_VALUE"""),168.0)</f>
        <v>168</v>
      </c>
      <c r="BV50" s="3">
        <f>IFERROR(__xludf.DUMMYFUNCTION("""COMPUTED_VALUE"""),168.0)</f>
        <v>168</v>
      </c>
      <c r="BW50" s="3">
        <f>IFERROR(__xludf.DUMMYFUNCTION("""COMPUTED_VALUE"""),168.0)</f>
        <v>168</v>
      </c>
      <c r="BX50" s="3">
        <f>IFERROR(__xludf.DUMMYFUNCTION("""COMPUTED_VALUE"""),162.0)</f>
        <v>162</v>
      </c>
      <c r="BY50" s="3">
        <f>IFERROR(__xludf.DUMMYFUNCTION("""COMPUTED_VALUE"""),162.0)</f>
        <v>162</v>
      </c>
      <c r="BZ50" s="3">
        <f>IFERROR(__xludf.DUMMYFUNCTION("""COMPUTED_VALUE"""),162.0)</f>
        <v>162</v>
      </c>
      <c r="CA50" s="3">
        <f>IFERROR(__xludf.DUMMYFUNCTION("""COMPUTED_VALUE"""),162.0)</f>
        <v>162</v>
      </c>
      <c r="CB50" s="3">
        <f>IFERROR(__xludf.DUMMYFUNCTION("""COMPUTED_VALUE"""),162.0)</f>
        <v>162</v>
      </c>
    </row>
    <row r="51">
      <c r="A51" s="3" t="str">
        <f>IFERROR(__xludf.DUMMYFUNCTION("""COMPUTED_VALUE"""),"Hebei")</f>
        <v>Hebei</v>
      </c>
      <c r="B51" s="3" t="str">
        <f>IFERROR(__xludf.DUMMYFUNCTION("""COMPUTED_VALUE"""),"China")</f>
        <v>China</v>
      </c>
      <c r="C51" s="3">
        <f>IFERROR(__xludf.DUMMYFUNCTION("""COMPUTED_VALUE"""),39.549)</f>
        <v>39.549</v>
      </c>
      <c r="D51" s="3">
        <f>IFERROR(__xludf.DUMMYFUNCTION("""COMPUTED_VALUE"""),116.1306)</f>
        <v>116.1306</v>
      </c>
      <c r="E51" s="3">
        <f>IFERROR(__xludf.DUMMYFUNCTION("""COMPUTED_VALUE"""),0.0)</f>
        <v>0</v>
      </c>
      <c r="F51" s="3">
        <f>IFERROR(__xludf.DUMMYFUNCTION("""COMPUTED_VALUE"""),0.0)</f>
        <v>0</v>
      </c>
      <c r="G51" s="3">
        <f>IFERROR(__xludf.DUMMYFUNCTION("""COMPUTED_VALUE"""),0.0)</f>
        <v>0</v>
      </c>
      <c r="H51" s="3">
        <f>IFERROR(__xludf.DUMMYFUNCTION("""COMPUTED_VALUE"""),0.0)</f>
        <v>0</v>
      </c>
      <c r="I51" s="3">
        <f>IFERROR(__xludf.DUMMYFUNCTION("""COMPUTED_VALUE"""),0.0)</f>
        <v>0</v>
      </c>
      <c r="J51" s="3">
        <f>IFERROR(__xludf.DUMMYFUNCTION("""COMPUTED_VALUE"""),0.0)</f>
        <v>0</v>
      </c>
      <c r="K51" s="3">
        <f>IFERROR(__xludf.DUMMYFUNCTION("""COMPUTED_VALUE"""),0.0)</f>
        <v>0</v>
      </c>
      <c r="L51" s="3">
        <f>IFERROR(__xludf.DUMMYFUNCTION("""COMPUTED_VALUE"""),0.0)</f>
        <v>0</v>
      </c>
      <c r="M51" s="3">
        <f>IFERROR(__xludf.DUMMYFUNCTION("""COMPUTED_VALUE"""),0.0)</f>
        <v>0</v>
      </c>
      <c r="N51" s="3">
        <f>IFERROR(__xludf.DUMMYFUNCTION("""COMPUTED_VALUE"""),0.0)</f>
        <v>0</v>
      </c>
      <c r="O51" s="3">
        <f>IFERROR(__xludf.DUMMYFUNCTION("""COMPUTED_VALUE"""),0.0)</f>
        <v>0</v>
      </c>
      <c r="P51" s="3">
        <f>IFERROR(__xludf.DUMMYFUNCTION("""COMPUTED_VALUE"""),3.0)</f>
        <v>3</v>
      </c>
      <c r="Q51" s="3">
        <f>IFERROR(__xludf.DUMMYFUNCTION("""COMPUTED_VALUE"""),3.0)</f>
        <v>3</v>
      </c>
      <c r="R51" s="3">
        <f>IFERROR(__xludf.DUMMYFUNCTION("""COMPUTED_VALUE"""),4.0)</f>
        <v>4</v>
      </c>
      <c r="S51" s="3">
        <f>IFERROR(__xludf.DUMMYFUNCTION("""COMPUTED_VALUE"""),6.0)</f>
        <v>6</v>
      </c>
      <c r="T51" s="3">
        <f>IFERROR(__xludf.DUMMYFUNCTION("""COMPUTED_VALUE"""),13.0)</f>
        <v>13</v>
      </c>
      <c r="U51" s="3">
        <f>IFERROR(__xludf.DUMMYFUNCTION("""COMPUTED_VALUE"""),22.0)</f>
        <v>22</v>
      </c>
      <c r="V51" s="3">
        <f>IFERROR(__xludf.DUMMYFUNCTION("""COMPUTED_VALUE"""),30.0)</f>
        <v>30</v>
      </c>
      <c r="W51" s="3">
        <f>IFERROR(__xludf.DUMMYFUNCTION("""COMPUTED_VALUE"""),34.0)</f>
        <v>34</v>
      </c>
      <c r="X51" s="3">
        <f>IFERROR(__xludf.DUMMYFUNCTION("""COMPUTED_VALUE"""),41.0)</f>
        <v>41</v>
      </c>
      <c r="Y51" s="3">
        <f>IFERROR(__xludf.DUMMYFUNCTION("""COMPUTED_VALUE"""),48.0)</f>
        <v>48</v>
      </c>
      <c r="Z51" s="3">
        <f>IFERROR(__xludf.DUMMYFUNCTION("""COMPUTED_VALUE"""),54.0)</f>
        <v>54</v>
      </c>
      <c r="AA51" s="3">
        <f>IFERROR(__xludf.DUMMYFUNCTION("""COMPUTED_VALUE"""),68.0)</f>
        <v>68</v>
      </c>
      <c r="AB51" s="3">
        <f>IFERROR(__xludf.DUMMYFUNCTION("""COMPUTED_VALUE"""),87.0)</f>
        <v>87</v>
      </c>
      <c r="AC51" s="3">
        <f>IFERROR(__xludf.DUMMYFUNCTION("""COMPUTED_VALUE"""),101.0)</f>
        <v>101</v>
      </c>
      <c r="AD51" s="3">
        <f>IFERROR(__xludf.DUMMYFUNCTION("""COMPUTED_VALUE"""),105.0)</f>
        <v>105</v>
      </c>
      <c r="AE51" s="3">
        <f>IFERROR(__xludf.DUMMYFUNCTION("""COMPUTED_VALUE"""),122.0)</f>
        <v>122</v>
      </c>
      <c r="AF51" s="3">
        <f>IFERROR(__xludf.DUMMYFUNCTION("""COMPUTED_VALUE"""),136.0)</f>
        <v>136</v>
      </c>
      <c r="AG51" s="3">
        <f>IFERROR(__xludf.DUMMYFUNCTION("""COMPUTED_VALUE"""),152.0)</f>
        <v>152</v>
      </c>
      <c r="AH51" s="3">
        <f>IFERROR(__xludf.DUMMYFUNCTION("""COMPUTED_VALUE"""),169.0)</f>
        <v>169</v>
      </c>
      <c r="AI51" s="3">
        <f>IFERROR(__xludf.DUMMYFUNCTION("""COMPUTED_VALUE"""),184.0)</f>
        <v>184</v>
      </c>
      <c r="AJ51" s="3">
        <f>IFERROR(__xludf.DUMMYFUNCTION("""COMPUTED_VALUE"""),203.0)</f>
        <v>203</v>
      </c>
      <c r="AK51" s="3">
        <f>IFERROR(__xludf.DUMMYFUNCTION("""COMPUTED_VALUE"""),219.0)</f>
        <v>219</v>
      </c>
      <c r="AL51" s="3">
        <f>IFERROR(__xludf.DUMMYFUNCTION("""COMPUTED_VALUE"""),234.0)</f>
        <v>234</v>
      </c>
      <c r="AM51" s="3">
        <f>IFERROR(__xludf.DUMMYFUNCTION("""COMPUTED_VALUE"""),248.0)</f>
        <v>248</v>
      </c>
      <c r="AN51" s="3">
        <f>IFERROR(__xludf.DUMMYFUNCTION("""COMPUTED_VALUE"""),261.0)</f>
        <v>261</v>
      </c>
      <c r="AO51" s="3">
        <f>IFERROR(__xludf.DUMMYFUNCTION("""COMPUTED_VALUE"""),274.0)</f>
        <v>274</v>
      </c>
      <c r="AP51" s="3">
        <f>IFERROR(__xludf.DUMMYFUNCTION("""COMPUTED_VALUE"""),277.0)</f>
        <v>277</v>
      </c>
      <c r="AQ51" s="3">
        <f>IFERROR(__xludf.DUMMYFUNCTION("""COMPUTED_VALUE"""),282.0)</f>
        <v>282</v>
      </c>
      <c r="AR51" s="3">
        <f>IFERROR(__xludf.DUMMYFUNCTION("""COMPUTED_VALUE"""),294.0)</f>
        <v>294</v>
      </c>
      <c r="AS51" s="3">
        <f>IFERROR(__xludf.DUMMYFUNCTION("""COMPUTED_VALUE"""),296.0)</f>
        <v>296</v>
      </c>
      <c r="AT51" s="3">
        <f>IFERROR(__xludf.DUMMYFUNCTION("""COMPUTED_VALUE"""),300.0)</f>
        <v>300</v>
      </c>
      <c r="AU51" s="3">
        <f>IFERROR(__xludf.DUMMYFUNCTION("""COMPUTED_VALUE"""),301.0)</f>
        <v>301</v>
      </c>
      <c r="AV51" s="3">
        <f>IFERROR(__xludf.DUMMYFUNCTION("""COMPUTED_VALUE"""),304.0)</f>
        <v>304</v>
      </c>
      <c r="AW51" s="3">
        <f>IFERROR(__xludf.DUMMYFUNCTION("""COMPUTED_VALUE"""),305.0)</f>
        <v>305</v>
      </c>
      <c r="AX51" s="3">
        <f>IFERROR(__xludf.DUMMYFUNCTION("""COMPUTED_VALUE"""),307.0)</f>
        <v>307</v>
      </c>
      <c r="AY51" s="3">
        <f>IFERROR(__xludf.DUMMYFUNCTION("""COMPUTED_VALUE"""),307.0)</f>
        <v>307</v>
      </c>
      <c r="AZ51" s="3">
        <f>IFERROR(__xludf.DUMMYFUNCTION("""COMPUTED_VALUE"""),307.0)</f>
        <v>307</v>
      </c>
      <c r="BA51" s="3">
        <f>IFERROR(__xludf.DUMMYFUNCTION("""COMPUTED_VALUE"""),307.0)</f>
        <v>307</v>
      </c>
      <c r="BB51" s="3">
        <f>IFERROR(__xludf.DUMMYFUNCTION("""COMPUTED_VALUE"""),307.0)</f>
        <v>307</v>
      </c>
      <c r="BC51" s="3">
        <f>IFERROR(__xludf.DUMMYFUNCTION("""COMPUTED_VALUE"""),308.0)</f>
        <v>308</v>
      </c>
      <c r="BD51" s="3">
        <f>IFERROR(__xludf.DUMMYFUNCTION("""COMPUTED_VALUE"""),310.0)</f>
        <v>310</v>
      </c>
      <c r="BE51" s="3">
        <f>IFERROR(__xludf.DUMMYFUNCTION("""COMPUTED_VALUE"""),310.0)</f>
        <v>310</v>
      </c>
      <c r="BF51" s="3">
        <f>IFERROR(__xludf.DUMMYFUNCTION("""COMPUTED_VALUE"""),310.0)</f>
        <v>310</v>
      </c>
      <c r="BG51" s="3">
        <f>IFERROR(__xludf.DUMMYFUNCTION("""COMPUTED_VALUE"""),310.0)</f>
        <v>310</v>
      </c>
      <c r="BH51" s="3">
        <f>IFERROR(__xludf.DUMMYFUNCTION("""COMPUTED_VALUE"""),310.0)</f>
        <v>310</v>
      </c>
      <c r="BI51" s="3">
        <f>IFERROR(__xludf.DUMMYFUNCTION("""COMPUTED_VALUE"""),310.0)</f>
        <v>310</v>
      </c>
      <c r="BJ51" s="3">
        <f>IFERROR(__xludf.DUMMYFUNCTION("""COMPUTED_VALUE"""),310.0)</f>
        <v>310</v>
      </c>
      <c r="BK51" s="3">
        <f>IFERROR(__xludf.DUMMYFUNCTION("""COMPUTED_VALUE"""),310.0)</f>
        <v>310</v>
      </c>
      <c r="BL51" s="3">
        <f>IFERROR(__xludf.DUMMYFUNCTION("""COMPUTED_VALUE"""),310.0)</f>
        <v>310</v>
      </c>
      <c r="BM51" s="3">
        <f>IFERROR(__xludf.DUMMYFUNCTION("""COMPUTED_VALUE"""),310.0)</f>
        <v>310</v>
      </c>
      <c r="BN51" s="3">
        <f>IFERROR(__xludf.DUMMYFUNCTION("""COMPUTED_VALUE"""),310.0)</f>
        <v>310</v>
      </c>
      <c r="BO51" s="3">
        <f>IFERROR(__xludf.DUMMYFUNCTION("""COMPUTED_VALUE"""),310.0)</f>
        <v>310</v>
      </c>
      <c r="BP51" s="3">
        <f>IFERROR(__xludf.DUMMYFUNCTION("""COMPUTED_VALUE"""),310.0)</f>
        <v>310</v>
      </c>
      <c r="BQ51" s="3">
        <f>IFERROR(__xludf.DUMMYFUNCTION("""COMPUTED_VALUE"""),310.0)</f>
        <v>310</v>
      </c>
      <c r="BR51" s="3">
        <f>IFERROR(__xludf.DUMMYFUNCTION("""COMPUTED_VALUE"""),310.0)</f>
        <v>310</v>
      </c>
      <c r="BS51" s="3">
        <f>IFERROR(__xludf.DUMMYFUNCTION("""COMPUTED_VALUE"""),310.0)</f>
        <v>310</v>
      </c>
      <c r="BT51" s="3">
        <f>IFERROR(__xludf.DUMMYFUNCTION("""COMPUTED_VALUE"""),310.0)</f>
        <v>310</v>
      </c>
      <c r="BU51" s="3">
        <f>IFERROR(__xludf.DUMMYFUNCTION("""COMPUTED_VALUE"""),310.0)</f>
        <v>310</v>
      </c>
      <c r="BV51" s="3">
        <f>IFERROR(__xludf.DUMMYFUNCTION("""COMPUTED_VALUE"""),310.0)</f>
        <v>310</v>
      </c>
      <c r="BW51" s="3">
        <f>IFERROR(__xludf.DUMMYFUNCTION("""COMPUTED_VALUE"""),310.0)</f>
        <v>310</v>
      </c>
      <c r="BX51" s="3">
        <f>IFERROR(__xludf.DUMMYFUNCTION("""COMPUTED_VALUE"""),310.0)</f>
        <v>310</v>
      </c>
      <c r="BY51" s="3">
        <f>IFERROR(__xludf.DUMMYFUNCTION("""COMPUTED_VALUE"""),310.0)</f>
        <v>310</v>
      </c>
      <c r="BZ51" s="3">
        <f>IFERROR(__xludf.DUMMYFUNCTION("""COMPUTED_VALUE"""),310.0)</f>
        <v>310</v>
      </c>
      <c r="CA51" s="3">
        <f>IFERROR(__xludf.DUMMYFUNCTION("""COMPUTED_VALUE"""),310.0)</f>
        <v>310</v>
      </c>
      <c r="CB51" s="3">
        <f>IFERROR(__xludf.DUMMYFUNCTION("""COMPUTED_VALUE"""),310.0)</f>
        <v>310</v>
      </c>
    </row>
    <row r="52">
      <c r="A52" s="3" t="str">
        <f>IFERROR(__xludf.DUMMYFUNCTION("""COMPUTED_VALUE"""),"Heilongjiang")</f>
        <v>Heilongjiang</v>
      </c>
      <c r="B52" s="3" t="str">
        <f>IFERROR(__xludf.DUMMYFUNCTION("""COMPUTED_VALUE"""),"China")</f>
        <v>China</v>
      </c>
      <c r="C52" s="3">
        <f>IFERROR(__xludf.DUMMYFUNCTION("""COMPUTED_VALUE"""),47.862)</f>
        <v>47.862</v>
      </c>
      <c r="D52" s="3">
        <f>IFERROR(__xludf.DUMMYFUNCTION("""COMPUTED_VALUE"""),127.7615)</f>
        <v>127.7615</v>
      </c>
      <c r="E52" s="3">
        <f>IFERROR(__xludf.DUMMYFUNCTION("""COMPUTED_VALUE"""),0.0)</f>
        <v>0</v>
      </c>
      <c r="F52" s="3">
        <f>IFERROR(__xludf.DUMMYFUNCTION("""COMPUTED_VALUE"""),0.0)</f>
        <v>0</v>
      </c>
      <c r="G52" s="3">
        <f>IFERROR(__xludf.DUMMYFUNCTION("""COMPUTED_VALUE"""),0.0)</f>
        <v>0</v>
      </c>
      <c r="H52" s="3">
        <f>IFERROR(__xludf.DUMMYFUNCTION("""COMPUTED_VALUE"""),0.0)</f>
        <v>0</v>
      </c>
      <c r="I52" s="3">
        <f>IFERROR(__xludf.DUMMYFUNCTION("""COMPUTED_VALUE"""),0.0)</f>
        <v>0</v>
      </c>
      <c r="J52" s="3">
        <f>IFERROR(__xludf.DUMMYFUNCTION("""COMPUTED_VALUE"""),0.0)</f>
        <v>0</v>
      </c>
      <c r="K52" s="3">
        <f>IFERROR(__xludf.DUMMYFUNCTION("""COMPUTED_VALUE"""),0.0)</f>
        <v>0</v>
      </c>
      <c r="L52" s="3">
        <f>IFERROR(__xludf.DUMMYFUNCTION("""COMPUTED_VALUE"""),0.0)</f>
        <v>0</v>
      </c>
      <c r="M52" s="3">
        <f>IFERROR(__xludf.DUMMYFUNCTION("""COMPUTED_VALUE"""),0.0)</f>
        <v>0</v>
      </c>
      <c r="N52" s="3">
        <f>IFERROR(__xludf.DUMMYFUNCTION("""COMPUTED_VALUE"""),0.0)</f>
        <v>0</v>
      </c>
      <c r="O52" s="3">
        <f>IFERROR(__xludf.DUMMYFUNCTION("""COMPUTED_VALUE"""),2.0)</f>
        <v>2</v>
      </c>
      <c r="P52" s="3">
        <f>IFERROR(__xludf.DUMMYFUNCTION("""COMPUTED_VALUE"""),2.0)</f>
        <v>2</v>
      </c>
      <c r="Q52" s="3">
        <f>IFERROR(__xludf.DUMMYFUNCTION("""COMPUTED_VALUE"""),2.0)</f>
        <v>2</v>
      </c>
      <c r="R52" s="3">
        <f>IFERROR(__xludf.DUMMYFUNCTION("""COMPUTED_VALUE"""),4.0)</f>
        <v>4</v>
      </c>
      <c r="S52" s="3">
        <f>IFERROR(__xludf.DUMMYFUNCTION("""COMPUTED_VALUE"""),7.0)</f>
        <v>7</v>
      </c>
      <c r="T52" s="3">
        <f>IFERROR(__xludf.DUMMYFUNCTION("""COMPUTED_VALUE"""),8.0)</f>
        <v>8</v>
      </c>
      <c r="U52" s="3">
        <f>IFERROR(__xludf.DUMMYFUNCTION("""COMPUTED_VALUE"""),12.0)</f>
        <v>12</v>
      </c>
      <c r="V52" s="3">
        <f>IFERROR(__xludf.DUMMYFUNCTION("""COMPUTED_VALUE"""),13.0)</f>
        <v>13</v>
      </c>
      <c r="W52" s="3">
        <f>IFERROR(__xludf.DUMMYFUNCTION("""COMPUTED_VALUE"""),14.0)</f>
        <v>14</v>
      </c>
      <c r="X52" s="3">
        <f>IFERROR(__xludf.DUMMYFUNCTION("""COMPUTED_VALUE"""),30.0)</f>
        <v>30</v>
      </c>
      <c r="Y52" s="3">
        <f>IFERROR(__xludf.DUMMYFUNCTION("""COMPUTED_VALUE"""),28.0)</f>
        <v>28</v>
      </c>
      <c r="Z52" s="3">
        <f>IFERROR(__xludf.DUMMYFUNCTION("""COMPUTED_VALUE"""),31.0)</f>
        <v>31</v>
      </c>
      <c r="AA52" s="3">
        <f>IFERROR(__xludf.DUMMYFUNCTION("""COMPUTED_VALUE"""),33.0)</f>
        <v>33</v>
      </c>
      <c r="AB52" s="3">
        <f>IFERROR(__xludf.DUMMYFUNCTION("""COMPUTED_VALUE"""),47.0)</f>
        <v>47</v>
      </c>
      <c r="AC52" s="3">
        <f>IFERROR(__xludf.DUMMYFUNCTION("""COMPUTED_VALUE"""),68.0)</f>
        <v>68</v>
      </c>
      <c r="AD52" s="3">
        <f>IFERROR(__xludf.DUMMYFUNCTION("""COMPUTED_VALUE"""),79.0)</f>
        <v>79</v>
      </c>
      <c r="AE52" s="3">
        <f>IFERROR(__xludf.DUMMYFUNCTION("""COMPUTED_VALUE"""),85.0)</f>
        <v>85</v>
      </c>
      <c r="AF52" s="3">
        <f>IFERROR(__xludf.DUMMYFUNCTION("""COMPUTED_VALUE"""),111.0)</f>
        <v>111</v>
      </c>
      <c r="AG52" s="3">
        <f>IFERROR(__xludf.DUMMYFUNCTION("""COMPUTED_VALUE"""),120.0)</f>
        <v>120</v>
      </c>
      <c r="AH52" s="3">
        <f>IFERROR(__xludf.DUMMYFUNCTION("""COMPUTED_VALUE"""),136.0)</f>
        <v>136</v>
      </c>
      <c r="AI52" s="3">
        <f>IFERROR(__xludf.DUMMYFUNCTION("""COMPUTED_VALUE"""),175.0)</f>
        <v>175</v>
      </c>
      <c r="AJ52" s="3">
        <f>IFERROR(__xludf.DUMMYFUNCTION("""COMPUTED_VALUE"""),204.0)</f>
        <v>204</v>
      </c>
      <c r="AK52" s="3">
        <f>IFERROR(__xludf.DUMMYFUNCTION("""COMPUTED_VALUE"""),222.0)</f>
        <v>222</v>
      </c>
      <c r="AL52" s="3">
        <f>IFERROR(__xludf.DUMMYFUNCTION("""COMPUTED_VALUE"""),227.0)</f>
        <v>227</v>
      </c>
      <c r="AM52" s="3">
        <f>IFERROR(__xludf.DUMMYFUNCTION("""COMPUTED_VALUE"""),243.0)</f>
        <v>243</v>
      </c>
      <c r="AN52" s="3">
        <f>IFERROR(__xludf.DUMMYFUNCTION("""COMPUTED_VALUE"""),249.0)</f>
        <v>249</v>
      </c>
      <c r="AO52" s="3">
        <f>IFERROR(__xludf.DUMMYFUNCTION("""COMPUTED_VALUE"""),270.0)</f>
        <v>270</v>
      </c>
      <c r="AP52" s="3">
        <f>IFERROR(__xludf.DUMMYFUNCTION("""COMPUTED_VALUE"""),283.0)</f>
        <v>283</v>
      </c>
      <c r="AQ52" s="3">
        <f>IFERROR(__xludf.DUMMYFUNCTION("""COMPUTED_VALUE"""),301.0)</f>
        <v>301</v>
      </c>
      <c r="AR52" s="3">
        <f>IFERROR(__xludf.DUMMYFUNCTION("""COMPUTED_VALUE"""),342.0)</f>
        <v>342</v>
      </c>
      <c r="AS52" s="3">
        <f>IFERROR(__xludf.DUMMYFUNCTION("""COMPUTED_VALUE"""),356.0)</f>
        <v>356</v>
      </c>
      <c r="AT52" s="3">
        <f>IFERROR(__xludf.DUMMYFUNCTION("""COMPUTED_VALUE"""),366.0)</f>
        <v>366</v>
      </c>
      <c r="AU52" s="3">
        <f>IFERROR(__xludf.DUMMYFUNCTION("""COMPUTED_VALUE"""),373.0)</f>
        <v>373</v>
      </c>
      <c r="AV52" s="3">
        <f>IFERROR(__xludf.DUMMYFUNCTION("""COMPUTED_VALUE"""),379.0)</f>
        <v>379</v>
      </c>
      <c r="AW52" s="3">
        <f>IFERROR(__xludf.DUMMYFUNCTION("""COMPUTED_VALUE"""),396.0)</f>
        <v>396</v>
      </c>
      <c r="AX52" s="3">
        <f>IFERROR(__xludf.DUMMYFUNCTION("""COMPUTED_VALUE"""),403.0)</f>
        <v>403</v>
      </c>
      <c r="AY52" s="3">
        <f>IFERROR(__xludf.DUMMYFUNCTION("""COMPUTED_VALUE"""),412.0)</f>
        <v>412</v>
      </c>
      <c r="AZ52" s="3">
        <f>IFERROR(__xludf.DUMMYFUNCTION("""COMPUTED_VALUE"""),430.0)</f>
        <v>430</v>
      </c>
      <c r="BA52" s="3">
        <f>IFERROR(__xludf.DUMMYFUNCTION("""COMPUTED_VALUE"""),434.0)</f>
        <v>434</v>
      </c>
      <c r="BB52" s="3">
        <f>IFERROR(__xludf.DUMMYFUNCTION("""COMPUTED_VALUE"""),436.0)</f>
        <v>436</v>
      </c>
      <c r="BC52" s="3">
        <f>IFERROR(__xludf.DUMMYFUNCTION("""COMPUTED_VALUE"""),441.0)</f>
        <v>441</v>
      </c>
      <c r="BD52" s="3">
        <f>IFERROR(__xludf.DUMMYFUNCTION("""COMPUTED_VALUE"""),446.0)</f>
        <v>446</v>
      </c>
      <c r="BE52" s="3">
        <f>IFERROR(__xludf.DUMMYFUNCTION("""COMPUTED_VALUE"""),447.0)</f>
        <v>447</v>
      </c>
      <c r="BF52" s="3">
        <f>IFERROR(__xludf.DUMMYFUNCTION("""COMPUTED_VALUE"""),453.0)</f>
        <v>453</v>
      </c>
      <c r="BG52" s="3">
        <f>IFERROR(__xludf.DUMMYFUNCTION("""COMPUTED_VALUE"""),455.0)</f>
        <v>455</v>
      </c>
      <c r="BH52" s="3">
        <f>IFERROR(__xludf.DUMMYFUNCTION("""COMPUTED_VALUE"""),456.0)</f>
        <v>456</v>
      </c>
      <c r="BI52" s="3">
        <f>IFERROR(__xludf.DUMMYFUNCTION("""COMPUTED_VALUE"""),459.0)</f>
        <v>459</v>
      </c>
      <c r="BJ52" s="3">
        <f>IFERROR(__xludf.DUMMYFUNCTION("""COMPUTED_VALUE"""),460.0)</f>
        <v>460</v>
      </c>
      <c r="BK52" s="3">
        <f>IFERROR(__xludf.DUMMYFUNCTION("""COMPUTED_VALUE"""),463.0)</f>
        <v>463</v>
      </c>
      <c r="BL52" s="3">
        <f>IFERROR(__xludf.DUMMYFUNCTION("""COMPUTED_VALUE"""),463.0)</f>
        <v>463</v>
      </c>
      <c r="BM52" s="3">
        <f>IFERROR(__xludf.DUMMYFUNCTION("""COMPUTED_VALUE"""),466.0)</f>
        <v>466</v>
      </c>
      <c r="BN52" s="3">
        <f>IFERROR(__xludf.DUMMYFUNCTION("""COMPUTED_VALUE"""),465.0)</f>
        <v>465</v>
      </c>
      <c r="BO52" s="3">
        <f>IFERROR(__xludf.DUMMYFUNCTION("""COMPUTED_VALUE"""),468.0)</f>
        <v>468</v>
      </c>
      <c r="BP52" s="3">
        <f>IFERROR(__xludf.DUMMYFUNCTION("""COMPUTED_VALUE"""),468.0)</f>
        <v>468</v>
      </c>
      <c r="BQ52" s="3">
        <f>IFERROR(__xludf.DUMMYFUNCTION("""COMPUTED_VALUE"""),469.0)</f>
        <v>469</v>
      </c>
      <c r="BR52" s="3">
        <f>IFERROR(__xludf.DUMMYFUNCTION("""COMPUTED_VALUE"""),469.0)</f>
        <v>469</v>
      </c>
      <c r="BS52" s="3">
        <f>IFERROR(__xludf.DUMMYFUNCTION("""COMPUTED_VALUE"""),469.0)</f>
        <v>469</v>
      </c>
      <c r="BT52" s="3">
        <f>IFERROR(__xludf.DUMMYFUNCTION("""COMPUTED_VALUE"""),469.0)</f>
        <v>469</v>
      </c>
      <c r="BU52" s="3">
        <f>IFERROR(__xludf.DUMMYFUNCTION("""COMPUTED_VALUE"""),469.0)</f>
        <v>469</v>
      </c>
      <c r="BV52" s="3">
        <f>IFERROR(__xludf.DUMMYFUNCTION("""COMPUTED_VALUE"""),469.0)</f>
        <v>469</v>
      </c>
      <c r="BW52" s="3">
        <f>IFERROR(__xludf.DUMMYFUNCTION("""COMPUTED_VALUE"""),469.0)</f>
        <v>469</v>
      </c>
      <c r="BX52" s="3">
        <f>IFERROR(__xludf.DUMMYFUNCTION("""COMPUTED_VALUE"""),469.0)</f>
        <v>469</v>
      </c>
      <c r="BY52" s="3">
        <f>IFERROR(__xludf.DUMMYFUNCTION("""COMPUTED_VALUE"""),469.0)</f>
        <v>469</v>
      </c>
      <c r="BZ52" s="3">
        <f>IFERROR(__xludf.DUMMYFUNCTION("""COMPUTED_VALUE"""),469.0)</f>
        <v>469</v>
      </c>
      <c r="CA52" s="3">
        <f>IFERROR(__xludf.DUMMYFUNCTION("""COMPUTED_VALUE"""),469.0)</f>
        <v>469</v>
      </c>
      <c r="CB52" s="3">
        <f>IFERROR(__xludf.DUMMYFUNCTION("""COMPUTED_VALUE"""),469.0)</f>
        <v>469</v>
      </c>
    </row>
    <row r="53">
      <c r="A53" s="3" t="str">
        <f>IFERROR(__xludf.DUMMYFUNCTION("""COMPUTED_VALUE"""),"Henan")</f>
        <v>Henan</v>
      </c>
      <c r="B53" s="3" t="str">
        <f>IFERROR(__xludf.DUMMYFUNCTION("""COMPUTED_VALUE"""),"China")</f>
        <v>China</v>
      </c>
      <c r="C53" s="3">
        <f>IFERROR(__xludf.DUMMYFUNCTION("""COMPUTED_VALUE"""),33.882)</f>
        <v>33.882</v>
      </c>
      <c r="D53" s="3">
        <f>IFERROR(__xludf.DUMMYFUNCTION("""COMPUTED_VALUE"""),113.614)</f>
        <v>113.614</v>
      </c>
      <c r="E53" s="3">
        <f>IFERROR(__xludf.DUMMYFUNCTION("""COMPUTED_VALUE"""),0.0)</f>
        <v>0</v>
      </c>
      <c r="F53" s="3">
        <f>IFERROR(__xludf.DUMMYFUNCTION("""COMPUTED_VALUE"""),0.0)</f>
        <v>0</v>
      </c>
      <c r="G53" s="3">
        <f>IFERROR(__xludf.DUMMYFUNCTION("""COMPUTED_VALUE"""),0.0)</f>
        <v>0</v>
      </c>
      <c r="H53" s="3">
        <f>IFERROR(__xludf.DUMMYFUNCTION("""COMPUTED_VALUE"""),0.0)</f>
        <v>0</v>
      </c>
      <c r="I53" s="3">
        <f>IFERROR(__xludf.DUMMYFUNCTION("""COMPUTED_VALUE"""),0.0)</f>
        <v>0</v>
      </c>
      <c r="J53" s="3">
        <f>IFERROR(__xludf.DUMMYFUNCTION("""COMPUTED_VALUE"""),0.0)</f>
        <v>0</v>
      </c>
      <c r="K53" s="3">
        <f>IFERROR(__xludf.DUMMYFUNCTION("""COMPUTED_VALUE"""),0.0)</f>
        <v>0</v>
      </c>
      <c r="L53" s="3">
        <f>IFERROR(__xludf.DUMMYFUNCTION("""COMPUTED_VALUE"""),1.0)</f>
        <v>1</v>
      </c>
      <c r="M53" s="3">
        <f>IFERROR(__xludf.DUMMYFUNCTION("""COMPUTED_VALUE"""),2.0)</f>
        <v>2</v>
      </c>
      <c r="N53" s="3">
        <f>IFERROR(__xludf.DUMMYFUNCTION("""COMPUTED_VALUE"""),3.0)</f>
        <v>3</v>
      </c>
      <c r="O53" s="3">
        <f>IFERROR(__xludf.DUMMYFUNCTION("""COMPUTED_VALUE"""),3.0)</f>
        <v>3</v>
      </c>
      <c r="P53" s="3">
        <f>IFERROR(__xludf.DUMMYFUNCTION("""COMPUTED_VALUE"""),10.0)</f>
        <v>10</v>
      </c>
      <c r="Q53" s="3">
        <f>IFERROR(__xludf.DUMMYFUNCTION("""COMPUTED_VALUE"""),16.0)</f>
        <v>16</v>
      </c>
      <c r="R53" s="3">
        <f>IFERROR(__xludf.DUMMYFUNCTION("""COMPUTED_VALUE"""),27.0)</f>
        <v>27</v>
      </c>
      <c r="S53" s="3">
        <f>IFERROR(__xludf.DUMMYFUNCTION("""COMPUTED_VALUE"""),47.0)</f>
        <v>47</v>
      </c>
      <c r="T53" s="3">
        <f>IFERROR(__xludf.DUMMYFUNCTION("""COMPUTED_VALUE"""),56.0)</f>
        <v>56</v>
      </c>
      <c r="U53" s="3">
        <f>IFERROR(__xludf.DUMMYFUNCTION("""COMPUTED_VALUE"""),86.0)</f>
        <v>86</v>
      </c>
      <c r="V53" s="3">
        <f>IFERROR(__xludf.DUMMYFUNCTION("""COMPUTED_VALUE"""),116.0)</f>
        <v>116</v>
      </c>
      <c r="W53" s="3">
        <f>IFERROR(__xludf.DUMMYFUNCTION("""COMPUTED_VALUE"""),153.0)</f>
        <v>153</v>
      </c>
      <c r="X53" s="3">
        <f>IFERROR(__xludf.DUMMYFUNCTION("""COMPUTED_VALUE"""),191.0)</f>
        <v>191</v>
      </c>
      <c r="Y53" s="3">
        <f>IFERROR(__xludf.DUMMYFUNCTION("""COMPUTED_VALUE"""),218.0)</f>
        <v>218</v>
      </c>
      <c r="Z53" s="3">
        <f>IFERROR(__xludf.DUMMYFUNCTION("""COMPUTED_VALUE"""),246.0)</f>
        <v>246</v>
      </c>
      <c r="AA53" s="3">
        <f>IFERROR(__xludf.DUMMYFUNCTION("""COMPUTED_VALUE"""),296.0)</f>
        <v>296</v>
      </c>
      <c r="AB53" s="3">
        <f>IFERROR(__xludf.DUMMYFUNCTION("""COMPUTED_VALUE"""),357.0)</f>
        <v>357</v>
      </c>
      <c r="AC53" s="3">
        <f>IFERROR(__xludf.DUMMYFUNCTION("""COMPUTED_VALUE"""),391.0)</f>
        <v>391</v>
      </c>
      <c r="AD53" s="3">
        <f>IFERROR(__xludf.DUMMYFUNCTION("""COMPUTED_VALUE"""),440.0)</f>
        <v>440</v>
      </c>
      <c r="AE53" s="3">
        <f>IFERROR(__xludf.DUMMYFUNCTION("""COMPUTED_VALUE"""),509.0)</f>
        <v>509</v>
      </c>
      <c r="AF53" s="3">
        <f>IFERROR(__xludf.DUMMYFUNCTION("""COMPUTED_VALUE"""),522.0)</f>
        <v>522</v>
      </c>
      <c r="AG53" s="3">
        <f>IFERROR(__xludf.DUMMYFUNCTION("""COMPUTED_VALUE"""),573.0)</f>
        <v>573</v>
      </c>
      <c r="AH53" s="3">
        <f>IFERROR(__xludf.DUMMYFUNCTION("""COMPUTED_VALUE"""),637.0)</f>
        <v>637</v>
      </c>
      <c r="AI53" s="3">
        <f>IFERROR(__xludf.DUMMYFUNCTION("""COMPUTED_VALUE"""),736.0)</f>
        <v>736</v>
      </c>
      <c r="AJ53" s="3">
        <f>IFERROR(__xludf.DUMMYFUNCTION("""COMPUTED_VALUE"""),830.0)</f>
        <v>830</v>
      </c>
      <c r="AK53" s="3">
        <f>IFERROR(__xludf.DUMMYFUNCTION("""COMPUTED_VALUE"""),868.0)</f>
        <v>868</v>
      </c>
      <c r="AL53" s="3">
        <f>IFERROR(__xludf.DUMMYFUNCTION("""COMPUTED_VALUE"""),943.0)</f>
        <v>943</v>
      </c>
      <c r="AM53" s="3">
        <f>IFERROR(__xludf.DUMMYFUNCTION("""COMPUTED_VALUE"""),1002.0)</f>
        <v>1002</v>
      </c>
      <c r="AN53" s="3">
        <f>IFERROR(__xludf.DUMMYFUNCTION("""COMPUTED_VALUE"""),1033.0)</f>
        <v>1033</v>
      </c>
      <c r="AO53" s="3">
        <f>IFERROR(__xludf.DUMMYFUNCTION("""COMPUTED_VALUE"""),1068.0)</f>
        <v>1068</v>
      </c>
      <c r="AP53" s="3">
        <f>IFERROR(__xludf.DUMMYFUNCTION("""COMPUTED_VALUE"""),1112.0)</f>
        <v>1112</v>
      </c>
      <c r="AQ53" s="3">
        <f>IFERROR(__xludf.DUMMYFUNCTION("""COMPUTED_VALUE"""),1170.0)</f>
        <v>1170</v>
      </c>
      <c r="AR53" s="3">
        <f>IFERROR(__xludf.DUMMYFUNCTION("""COMPUTED_VALUE"""),1198.0)</f>
        <v>1198</v>
      </c>
      <c r="AS53" s="3">
        <f>IFERROR(__xludf.DUMMYFUNCTION("""COMPUTED_VALUE"""),1205.0)</f>
        <v>1205</v>
      </c>
      <c r="AT53" s="3">
        <f>IFERROR(__xludf.DUMMYFUNCTION("""COMPUTED_VALUE"""),1231.0)</f>
        <v>1231</v>
      </c>
      <c r="AU53" s="3">
        <f>IFERROR(__xludf.DUMMYFUNCTION("""COMPUTED_VALUE"""),1234.0)</f>
        <v>1234</v>
      </c>
      <c r="AV53" s="3">
        <f>IFERROR(__xludf.DUMMYFUNCTION("""COMPUTED_VALUE"""),1239.0)</f>
        <v>1239</v>
      </c>
      <c r="AW53" s="3">
        <f>IFERROR(__xludf.DUMMYFUNCTION("""COMPUTED_VALUE"""),1244.0)</f>
        <v>1244</v>
      </c>
      <c r="AX53" s="3">
        <f>IFERROR(__xludf.DUMMYFUNCTION("""COMPUTED_VALUE"""),1244.0)</f>
        <v>1244</v>
      </c>
      <c r="AY53" s="3">
        <f>IFERROR(__xludf.DUMMYFUNCTION("""COMPUTED_VALUE"""),1247.0)</f>
        <v>1247</v>
      </c>
      <c r="AZ53" s="3">
        <f>IFERROR(__xludf.DUMMYFUNCTION("""COMPUTED_VALUE"""),1247.0)</f>
        <v>1247</v>
      </c>
      <c r="BA53" s="3">
        <f>IFERROR(__xludf.DUMMYFUNCTION("""COMPUTED_VALUE"""),1247.0)</f>
        <v>1247</v>
      </c>
      <c r="BB53" s="3">
        <f>IFERROR(__xludf.DUMMYFUNCTION("""COMPUTED_VALUE"""),1249.0)</f>
        <v>1249</v>
      </c>
      <c r="BC53" s="3">
        <f>IFERROR(__xludf.DUMMYFUNCTION("""COMPUTED_VALUE"""),1249.0)</f>
        <v>1249</v>
      </c>
      <c r="BD53" s="3">
        <f>IFERROR(__xludf.DUMMYFUNCTION("""COMPUTED_VALUE"""),1249.0)</f>
        <v>1249</v>
      </c>
      <c r="BE53" s="3">
        <f>IFERROR(__xludf.DUMMYFUNCTION("""COMPUTED_VALUE"""),1250.0)</f>
        <v>1250</v>
      </c>
      <c r="BF53" s="3">
        <f>IFERROR(__xludf.DUMMYFUNCTION("""COMPUTED_VALUE"""),1250.0)</f>
        <v>1250</v>
      </c>
      <c r="BG53" s="3">
        <f>IFERROR(__xludf.DUMMYFUNCTION("""COMPUTED_VALUE"""),1250.0)</f>
        <v>1250</v>
      </c>
      <c r="BH53" s="3">
        <f>IFERROR(__xludf.DUMMYFUNCTION("""COMPUTED_VALUE"""),1250.0)</f>
        <v>1250</v>
      </c>
      <c r="BI53" s="3">
        <f>IFERROR(__xludf.DUMMYFUNCTION("""COMPUTED_VALUE"""),1250.0)</f>
        <v>1250</v>
      </c>
      <c r="BJ53" s="3">
        <f>IFERROR(__xludf.DUMMYFUNCTION("""COMPUTED_VALUE"""),1250.0)</f>
        <v>1250</v>
      </c>
      <c r="BK53" s="3">
        <f>IFERROR(__xludf.DUMMYFUNCTION("""COMPUTED_VALUE"""),1250.0)</f>
        <v>1250</v>
      </c>
      <c r="BL53" s="3">
        <f>IFERROR(__xludf.DUMMYFUNCTION("""COMPUTED_VALUE"""),1250.0)</f>
        <v>1250</v>
      </c>
      <c r="BM53" s="3">
        <f>IFERROR(__xludf.DUMMYFUNCTION("""COMPUTED_VALUE"""),1250.0)</f>
        <v>1250</v>
      </c>
      <c r="BN53" s="3">
        <f>IFERROR(__xludf.DUMMYFUNCTION("""COMPUTED_VALUE"""),1250.0)</f>
        <v>1250</v>
      </c>
      <c r="BO53" s="3">
        <f>IFERROR(__xludf.DUMMYFUNCTION("""COMPUTED_VALUE"""),1250.0)</f>
        <v>1250</v>
      </c>
      <c r="BP53" s="3">
        <f>IFERROR(__xludf.DUMMYFUNCTION("""COMPUTED_VALUE"""),1250.0)</f>
        <v>1250</v>
      </c>
      <c r="BQ53" s="3">
        <f>IFERROR(__xludf.DUMMYFUNCTION("""COMPUTED_VALUE"""),1250.0)</f>
        <v>1250</v>
      </c>
      <c r="BR53" s="3">
        <f>IFERROR(__xludf.DUMMYFUNCTION("""COMPUTED_VALUE"""),1250.0)</f>
        <v>1250</v>
      </c>
      <c r="BS53" s="3">
        <f>IFERROR(__xludf.DUMMYFUNCTION("""COMPUTED_VALUE"""),1251.0)</f>
        <v>1251</v>
      </c>
      <c r="BT53" s="3">
        <f>IFERROR(__xludf.DUMMYFUNCTION("""COMPUTED_VALUE"""),1251.0)</f>
        <v>1251</v>
      </c>
      <c r="BU53" s="3">
        <f>IFERROR(__xludf.DUMMYFUNCTION("""COMPUTED_VALUE"""),1251.0)</f>
        <v>1251</v>
      </c>
      <c r="BV53" s="3">
        <f>IFERROR(__xludf.DUMMYFUNCTION("""COMPUTED_VALUE"""),1251.0)</f>
        <v>1251</v>
      </c>
      <c r="BW53" s="3">
        <f>IFERROR(__xludf.DUMMYFUNCTION("""COMPUTED_VALUE"""),1251.0)</f>
        <v>1251</v>
      </c>
      <c r="BX53" s="3">
        <f>IFERROR(__xludf.DUMMYFUNCTION("""COMPUTED_VALUE"""),1251.0)</f>
        <v>1251</v>
      </c>
      <c r="BY53" s="3">
        <f>IFERROR(__xludf.DUMMYFUNCTION("""COMPUTED_VALUE"""),1251.0)</f>
        <v>1251</v>
      </c>
      <c r="BZ53" s="3">
        <f>IFERROR(__xludf.DUMMYFUNCTION("""COMPUTED_VALUE"""),1251.0)</f>
        <v>1251</v>
      </c>
      <c r="CA53" s="3">
        <f>IFERROR(__xludf.DUMMYFUNCTION("""COMPUTED_VALUE"""),1251.0)</f>
        <v>1251</v>
      </c>
      <c r="CB53" s="3">
        <f>IFERROR(__xludf.DUMMYFUNCTION("""COMPUTED_VALUE"""),1252.0)</f>
        <v>1252</v>
      </c>
    </row>
    <row r="54">
      <c r="A54" s="3" t="str">
        <f>IFERROR(__xludf.DUMMYFUNCTION("""COMPUTED_VALUE"""),"Hong Kong")</f>
        <v>Hong Kong</v>
      </c>
      <c r="B54" s="3" t="str">
        <f>IFERROR(__xludf.DUMMYFUNCTION("""COMPUTED_VALUE"""),"China")</f>
        <v>China</v>
      </c>
      <c r="C54" s="3">
        <f>IFERROR(__xludf.DUMMYFUNCTION("""COMPUTED_VALUE"""),22.3)</f>
        <v>22.3</v>
      </c>
      <c r="D54" s="3">
        <f>IFERROR(__xludf.DUMMYFUNCTION("""COMPUTED_VALUE"""),114.2)</f>
        <v>114.2</v>
      </c>
      <c r="E54" s="3">
        <f>IFERROR(__xludf.DUMMYFUNCTION("""COMPUTED_VALUE"""),0.0)</f>
        <v>0</v>
      </c>
      <c r="F54" s="3">
        <f>IFERROR(__xludf.DUMMYFUNCTION("""COMPUTED_VALUE"""),0.0)</f>
        <v>0</v>
      </c>
      <c r="G54" s="3">
        <f>IFERROR(__xludf.DUMMYFUNCTION("""COMPUTED_VALUE"""),0.0)</f>
        <v>0</v>
      </c>
      <c r="H54" s="3">
        <f>IFERROR(__xludf.DUMMYFUNCTION("""COMPUTED_VALUE"""),0.0)</f>
        <v>0</v>
      </c>
      <c r="I54" s="3">
        <f>IFERROR(__xludf.DUMMYFUNCTION("""COMPUTED_VALUE"""),0.0)</f>
        <v>0</v>
      </c>
      <c r="J54" s="3">
        <f>IFERROR(__xludf.DUMMYFUNCTION("""COMPUTED_VALUE"""),0.0)</f>
        <v>0</v>
      </c>
      <c r="K54" s="3">
        <f>IFERROR(__xludf.DUMMYFUNCTION("""COMPUTED_VALUE"""),0.0)</f>
        <v>0</v>
      </c>
      <c r="L54" s="3">
        <f>IFERROR(__xludf.DUMMYFUNCTION("""COMPUTED_VALUE"""),0.0)</f>
        <v>0</v>
      </c>
      <c r="M54" s="3">
        <f>IFERROR(__xludf.DUMMYFUNCTION("""COMPUTED_VALUE"""),0.0)</f>
        <v>0</v>
      </c>
      <c r="N54" s="3">
        <f>IFERROR(__xludf.DUMMYFUNCTION("""COMPUTED_VALUE"""),0.0)</f>
        <v>0</v>
      </c>
      <c r="O54" s="3">
        <f>IFERROR(__xludf.DUMMYFUNCTION("""COMPUTED_VALUE"""),0.0)</f>
        <v>0</v>
      </c>
      <c r="P54" s="3">
        <f>IFERROR(__xludf.DUMMYFUNCTION("""COMPUTED_VALUE"""),0.0)</f>
        <v>0</v>
      </c>
      <c r="Q54" s="3">
        <f>IFERROR(__xludf.DUMMYFUNCTION("""COMPUTED_VALUE"""),0.0)</f>
        <v>0</v>
      </c>
      <c r="R54" s="3">
        <f>IFERROR(__xludf.DUMMYFUNCTION("""COMPUTED_VALUE"""),0.0)</f>
        <v>0</v>
      </c>
      <c r="S54" s="3">
        <f>IFERROR(__xludf.DUMMYFUNCTION("""COMPUTED_VALUE"""),0.0)</f>
        <v>0</v>
      </c>
      <c r="T54" s="3">
        <f>IFERROR(__xludf.DUMMYFUNCTION("""COMPUTED_VALUE"""),0.0)</f>
        <v>0</v>
      </c>
      <c r="U54" s="3">
        <f>IFERROR(__xludf.DUMMYFUNCTION("""COMPUTED_VALUE"""),0.0)</f>
        <v>0</v>
      </c>
      <c r="V54" s="3">
        <f>IFERROR(__xludf.DUMMYFUNCTION("""COMPUTED_VALUE"""),0.0)</f>
        <v>0</v>
      </c>
      <c r="W54" s="3">
        <f>IFERROR(__xludf.DUMMYFUNCTION("""COMPUTED_VALUE"""),0.0)</f>
        <v>0</v>
      </c>
      <c r="X54" s="3">
        <f>IFERROR(__xludf.DUMMYFUNCTION("""COMPUTED_VALUE"""),0.0)</f>
        <v>0</v>
      </c>
      <c r="Y54" s="3">
        <f>IFERROR(__xludf.DUMMYFUNCTION("""COMPUTED_VALUE"""),0.0)</f>
        <v>0</v>
      </c>
      <c r="Z54" s="3">
        <f>IFERROR(__xludf.DUMMYFUNCTION("""COMPUTED_VALUE"""),1.0)</f>
        <v>1</v>
      </c>
      <c r="AA54" s="3">
        <f>IFERROR(__xludf.DUMMYFUNCTION("""COMPUTED_VALUE"""),1.0)</f>
        <v>1</v>
      </c>
      <c r="AB54" s="3">
        <f>IFERROR(__xludf.DUMMYFUNCTION("""COMPUTED_VALUE"""),1.0)</f>
        <v>1</v>
      </c>
      <c r="AC54" s="3">
        <f>IFERROR(__xludf.DUMMYFUNCTION("""COMPUTED_VALUE"""),1.0)</f>
        <v>1</v>
      </c>
      <c r="AD54" s="3">
        <f>IFERROR(__xludf.DUMMYFUNCTION("""COMPUTED_VALUE"""),2.0)</f>
        <v>2</v>
      </c>
      <c r="AE54" s="3">
        <f>IFERROR(__xludf.DUMMYFUNCTION("""COMPUTED_VALUE"""),2.0)</f>
        <v>2</v>
      </c>
      <c r="AF54" s="3">
        <f>IFERROR(__xludf.DUMMYFUNCTION("""COMPUTED_VALUE"""),2.0)</f>
        <v>2</v>
      </c>
      <c r="AG54" s="3">
        <f>IFERROR(__xludf.DUMMYFUNCTION("""COMPUTED_VALUE"""),5.0)</f>
        <v>5</v>
      </c>
      <c r="AH54" s="3">
        <f>IFERROR(__xludf.DUMMYFUNCTION("""COMPUTED_VALUE"""),6.0)</f>
        <v>6</v>
      </c>
      <c r="AI54" s="3">
        <f>IFERROR(__xludf.DUMMYFUNCTION("""COMPUTED_VALUE"""),5.0)</f>
        <v>5</v>
      </c>
      <c r="AJ54" s="3">
        <f>IFERROR(__xludf.DUMMYFUNCTION("""COMPUTED_VALUE"""),6.0)</f>
        <v>6</v>
      </c>
      <c r="AK54" s="3">
        <f>IFERROR(__xludf.DUMMYFUNCTION("""COMPUTED_VALUE"""),11.0)</f>
        <v>11</v>
      </c>
      <c r="AL54" s="3">
        <f>IFERROR(__xludf.DUMMYFUNCTION("""COMPUTED_VALUE"""),19.0)</f>
        <v>19</v>
      </c>
      <c r="AM54" s="3">
        <f>IFERROR(__xludf.DUMMYFUNCTION("""COMPUTED_VALUE"""),19.0)</f>
        <v>19</v>
      </c>
      <c r="AN54" s="3">
        <f>IFERROR(__xludf.DUMMYFUNCTION("""COMPUTED_VALUE"""),24.0)</f>
        <v>24</v>
      </c>
      <c r="AO54" s="3">
        <f>IFERROR(__xludf.DUMMYFUNCTION("""COMPUTED_VALUE"""),24.0)</f>
        <v>24</v>
      </c>
      <c r="AP54" s="3">
        <f>IFERROR(__xludf.DUMMYFUNCTION("""COMPUTED_VALUE"""),30.0)</f>
        <v>30</v>
      </c>
      <c r="AQ54" s="3">
        <f>IFERROR(__xludf.DUMMYFUNCTION("""COMPUTED_VALUE"""),33.0)</f>
        <v>33</v>
      </c>
      <c r="AR54" s="3">
        <f>IFERROR(__xludf.DUMMYFUNCTION("""COMPUTED_VALUE"""),36.0)</f>
        <v>36</v>
      </c>
      <c r="AS54" s="3">
        <f>IFERROR(__xludf.DUMMYFUNCTION("""COMPUTED_VALUE"""),36.0)</f>
        <v>36</v>
      </c>
      <c r="AT54" s="3">
        <f>IFERROR(__xludf.DUMMYFUNCTION("""COMPUTED_VALUE"""),37.0)</f>
        <v>37</v>
      </c>
      <c r="AU54" s="3">
        <f>IFERROR(__xludf.DUMMYFUNCTION("""COMPUTED_VALUE"""),37.0)</f>
        <v>37</v>
      </c>
      <c r="AV54" s="3">
        <f>IFERROR(__xludf.DUMMYFUNCTION("""COMPUTED_VALUE"""),43.0)</f>
        <v>43</v>
      </c>
      <c r="AW54" s="3">
        <f>IFERROR(__xludf.DUMMYFUNCTION("""COMPUTED_VALUE"""),46.0)</f>
        <v>46</v>
      </c>
      <c r="AX54" s="3">
        <f>IFERROR(__xludf.DUMMYFUNCTION("""COMPUTED_VALUE"""),51.0)</f>
        <v>51</v>
      </c>
      <c r="AY54" s="3">
        <f>IFERROR(__xludf.DUMMYFUNCTION("""COMPUTED_VALUE"""),58.0)</f>
        <v>58</v>
      </c>
      <c r="AZ54" s="3">
        <f>IFERROR(__xludf.DUMMYFUNCTION("""COMPUTED_VALUE"""),59.0)</f>
        <v>59</v>
      </c>
      <c r="BA54" s="3">
        <f>IFERROR(__xludf.DUMMYFUNCTION("""COMPUTED_VALUE"""),65.0)</f>
        <v>65</v>
      </c>
      <c r="BB54" s="3">
        <f>IFERROR(__xludf.DUMMYFUNCTION("""COMPUTED_VALUE"""),65.0)</f>
        <v>65</v>
      </c>
      <c r="BC54" s="3">
        <f>IFERROR(__xludf.DUMMYFUNCTION("""COMPUTED_VALUE"""),67.0)</f>
        <v>67</v>
      </c>
      <c r="BD54" s="3">
        <f>IFERROR(__xludf.DUMMYFUNCTION("""COMPUTED_VALUE"""),77.0)</f>
        <v>77</v>
      </c>
      <c r="BE54" s="3">
        <f>IFERROR(__xludf.DUMMYFUNCTION("""COMPUTED_VALUE"""),78.0)</f>
        <v>78</v>
      </c>
      <c r="BF54" s="3">
        <f>IFERROR(__xludf.DUMMYFUNCTION("""COMPUTED_VALUE"""),81.0)</f>
        <v>81</v>
      </c>
      <c r="BG54" s="3">
        <f>IFERROR(__xludf.DUMMYFUNCTION("""COMPUTED_VALUE"""),84.0)</f>
        <v>84</v>
      </c>
      <c r="BH54" s="3">
        <f>IFERROR(__xludf.DUMMYFUNCTION("""COMPUTED_VALUE"""),88.0)</f>
        <v>88</v>
      </c>
      <c r="BI54" s="3">
        <f>IFERROR(__xludf.DUMMYFUNCTION("""COMPUTED_VALUE"""),92.0)</f>
        <v>92</v>
      </c>
      <c r="BJ54" s="3">
        <f>IFERROR(__xludf.DUMMYFUNCTION("""COMPUTED_VALUE"""),95.0)</f>
        <v>95</v>
      </c>
      <c r="BK54" s="3">
        <f>IFERROR(__xludf.DUMMYFUNCTION("""COMPUTED_VALUE"""),98.0)</f>
        <v>98</v>
      </c>
      <c r="BL54" s="3">
        <f>IFERROR(__xludf.DUMMYFUNCTION("""COMPUTED_VALUE"""),98.0)</f>
        <v>98</v>
      </c>
      <c r="BM54" s="3">
        <f>IFERROR(__xludf.DUMMYFUNCTION("""COMPUTED_VALUE"""),100.0)</f>
        <v>100</v>
      </c>
      <c r="BN54" s="3">
        <f>IFERROR(__xludf.DUMMYFUNCTION("""COMPUTED_VALUE"""),100.0)</f>
        <v>100</v>
      </c>
      <c r="BO54" s="3">
        <f>IFERROR(__xludf.DUMMYFUNCTION("""COMPUTED_VALUE"""),101.0)</f>
        <v>101</v>
      </c>
      <c r="BP54" s="3">
        <f>IFERROR(__xludf.DUMMYFUNCTION("""COMPUTED_VALUE"""),102.0)</f>
        <v>102</v>
      </c>
      <c r="BQ54" s="3">
        <f>IFERROR(__xludf.DUMMYFUNCTION("""COMPUTED_VALUE"""),110.0)</f>
        <v>110</v>
      </c>
      <c r="BR54" s="3">
        <f>IFERROR(__xludf.DUMMYFUNCTION("""COMPUTED_VALUE"""),110.0)</f>
        <v>110</v>
      </c>
      <c r="BS54" s="3">
        <f>IFERROR(__xludf.DUMMYFUNCTION("""COMPUTED_VALUE"""),112.0)</f>
        <v>112</v>
      </c>
      <c r="BT54" s="3">
        <f>IFERROR(__xludf.DUMMYFUNCTION("""COMPUTED_VALUE"""),112.0)</f>
        <v>112</v>
      </c>
      <c r="BU54" s="3">
        <f>IFERROR(__xludf.DUMMYFUNCTION("""COMPUTED_VALUE"""),123.0)</f>
        <v>123</v>
      </c>
      <c r="BV54" s="3">
        <f>IFERROR(__xludf.DUMMYFUNCTION("""COMPUTED_VALUE"""),128.0)</f>
        <v>128</v>
      </c>
      <c r="BW54" s="3">
        <f>IFERROR(__xludf.DUMMYFUNCTION("""COMPUTED_VALUE"""),147.0)</f>
        <v>147</v>
      </c>
      <c r="BX54" s="3">
        <f>IFERROR(__xludf.DUMMYFUNCTION("""COMPUTED_VALUE"""),147.0)</f>
        <v>147</v>
      </c>
      <c r="BY54" s="3">
        <f>IFERROR(__xludf.DUMMYFUNCTION("""COMPUTED_VALUE"""),173.0)</f>
        <v>173</v>
      </c>
      <c r="BZ54" s="3">
        <f>IFERROR(__xludf.DUMMYFUNCTION("""COMPUTED_VALUE"""),173.0)</f>
        <v>173</v>
      </c>
      <c r="CA54" s="3">
        <f>IFERROR(__xludf.DUMMYFUNCTION("""COMPUTED_VALUE"""),206.0)</f>
        <v>206</v>
      </c>
      <c r="CB54" s="3">
        <f>IFERROR(__xludf.DUMMYFUNCTION("""COMPUTED_VALUE"""),216.0)</f>
        <v>216</v>
      </c>
    </row>
    <row r="55">
      <c r="A55" s="3" t="str">
        <f>IFERROR(__xludf.DUMMYFUNCTION("""COMPUTED_VALUE"""),"Hubei")</f>
        <v>Hubei</v>
      </c>
      <c r="B55" s="3" t="str">
        <f>IFERROR(__xludf.DUMMYFUNCTION("""COMPUTED_VALUE"""),"China")</f>
        <v>China</v>
      </c>
      <c r="C55" s="3">
        <f>IFERROR(__xludf.DUMMYFUNCTION("""COMPUTED_VALUE"""),30.9756)</f>
        <v>30.9756</v>
      </c>
      <c r="D55" s="3">
        <f>IFERROR(__xludf.DUMMYFUNCTION("""COMPUTED_VALUE"""),112.2707)</f>
        <v>112.2707</v>
      </c>
      <c r="E55" s="3">
        <f>IFERROR(__xludf.DUMMYFUNCTION("""COMPUTED_VALUE"""),28.0)</f>
        <v>28</v>
      </c>
      <c r="F55" s="3">
        <f>IFERROR(__xludf.DUMMYFUNCTION("""COMPUTED_VALUE"""),28.0)</f>
        <v>28</v>
      </c>
      <c r="G55" s="3">
        <f>IFERROR(__xludf.DUMMYFUNCTION("""COMPUTED_VALUE"""),31.0)</f>
        <v>31</v>
      </c>
      <c r="H55" s="3">
        <f>IFERROR(__xludf.DUMMYFUNCTION("""COMPUTED_VALUE"""),32.0)</f>
        <v>32</v>
      </c>
      <c r="I55" s="3">
        <f>IFERROR(__xludf.DUMMYFUNCTION("""COMPUTED_VALUE"""),42.0)</f>
        <v>42</v>
      </c>
      <c r="J55" s="3">
        <f>IFERROR(__xludf.DUMMYFUNCTION("""COMPUTED_VALUE"""),45.0)</f>
        <v>45</v>
      </c>
      <c r="K55" s="3">
        <f>IFERROR(__xludf.DUMMYFUNCTION("""COMPUTED_VALUE"""),80.0)</f>
        <v>80</v>
      </c>
      <c r="L55" s="3">
        <f>IFERROR(__xludf.DUMMYFUNCTION("""COMPUTED_VALUE"""),88.0)</f>
        <v>88</v>
      </c>
      <c r="M55" s="3">
        <f>IFERROR(__xludf.DUMMYFUNCTION("""COMPUTED_VALUE"""),90.0)</f>
        <v>90</v>
      </c>
      <c r="N55" s="3">
        <f>IFERROR(__xludf.DUMMYFUNCTION("""COMPUTED_VALUE"""),141.0)</f>
        <v>141</v>
      </c>
      <c r="O55" s="3">
        <f>IFERROR(__xludf.DUMMYFUNCTION("""COMPUTED_VALUE"""),168.0)</f>
        <v>168</v>
      </c>
      <c r="P55" s="3">
        <f>IFERROR(__xludf.DUMMYFUNCTION("""COMPUTED_VALUE"""),295.0)</f>
        <v>295</v>
      </c>
      <c r="Q55" s="3">
        <f>IFERROR(__xludf.DUMMYFUNCTION("""COMPUTED_VALUE"""),386.0)</f>
        <v>386</v>
      </c>
      <c r="R55" s="3">
        <f>IFERROR(__xludf.DUMMYFUNCTION("""COMPUTED_VALUE"""),522.0)</f>
        <v>522</v>
      </c>
      <c r="S55" s="3">
        <f>IFERROR(__xludf.DUMMYFUNCTION("""COMPUTED_VALUE"""),633.0)</f>
        <v>633</v>
      </c>
      <c r="T55" s="3">
        <f>IFERROR(__xludf.DUMMYFUNCTION("""COMPUTED_VALUE"""),817.0)</f>
        <v>817</v>
      </c>
      <c r="U55" s="3">
        <f>IFERROR(__xludf.DUMMYFUNCTION("""COMPUTED_VALUE"""),1115.0)</f>
        <v>1115</v>
      </c>
      <c r="V55" s="3">
        <f>IFERROR(__xludf.DUMMYFUNCTION("""COMPUTED_VALUE"""),1439.0)</f>
        <v>1439</v>
      </c>
      <c r="W55" s="3">
        <f>IFERROR(__xludf.DUMMYFUNCTION("""COMPUTED_VALUE"""),1795.0)</f>
        <v>1795</v>
      </c>
      <c r="X55" s="3">
        <f>IFERROR(__xludf.DUMMYFUNCTION("""COMPUTED_VALUE"""),2222.0)</f>
        <v>2222</v>
      </c>
      <c r="Y55" s="3">
        <f>IFERROR(__xludf.DUMMYFUNCTION("""COMPUTED_VALUE"""),2639.0)</f>
        <v>2639</v>
      </c>
      <c r="Z55" s="3">
        <f>IFERROR(__xludf.DUMMYFUNCTION("""COMPUTED_VALUE"""),2686.0)</f>
        <v>2686</v>
      </c>
      <c r="AA55" s="3">
        <f>IFERROR(__xludf.DUMMYFUNCTION("""COMPUTED_VALUE"""),3459.0)</f>
        <v>3459</v>
      </c>
      <c r="AB55" s="3">
        <f>IFERROR(__xludf.DUMMYFUNCTION("""COMPUTED_VALUE"""),4774.0)</f>
        <v>4774</v>
      </c>
      <c r="AC55" s="3">
        <f>IFERROR(__xludf.DUMMYFUNCTION("""COMPUTED_VALUE"""),5623.0)</f>
        <v>5623</v>
      </c>
      <c r="AD55" s="3">
        <f>IFERROR(__xludf.DUMMYFUNCTION("""COMPUTED_VALUE"""),6639.0)</f>
        <v>6639</v>
      </c>
      <c r="AE55" s="3">
        <f>IFERROR(__xludf.DUMMYFUNCTION("""COMPUTED_VALUE"""),7862.0)</f>
        <v>7862</v>
      </c>
      <c r="AF55" s="3">
        <f>IFERROR(__xludf.DUMMYFUNCTION("""COMPUTED_VALUE"""),9128.0)</f>
        <v>9128</v>
      </c>
      <c r="AG55" s="3">
        <f>IFERROR(__xludf.DUMMYFUNCTION("""COMPUTED_VALUE"""),10337.0)</f>
        <v>10337</v>
      </c>
      <c r="AH55" s="3">
        <f>IFERROR(__xludf.DUMMYFUNCTION("""COMPUTED_VALUE"""),11788.0)</f>
        <v>11788</v>
      </c>
      <c r="AI55" s="3">
        <f>IFERROR(__xludf.DUMMYFUNCTION("""COMPUTED_VALUE"""),11881.0)</f>
        <v>11881</v>
      </c>
      <c r="AJ55" s="3">
        <f>IFERROR(__xludf.DUMMYFUNCTION("""COMPUTED_VALUE"""),15299.0)</f>
        <v>15299</v>
      </c>
      <c r="AK55" s="3">
        <f>IFERROR(__xludf.DUMMYFUNCTION("""COMPUTED_VALUE"""),15343.0)</f>
        <v>15343</v>
      </c>
      <c r="AL55" s="3">
        <f>IFERROR(__xludf.DUMMYFUNCTION("""COMPUTED_VALUE"""),16748.0)</f>
        <v>16748</v>
      </c>
      <c r="AM55" s="3">
        <f>IFERROR(__xludf.DUMMYFUNCTION("""COMPUTED_VALUE"""),18971.0)</f>
        <v>18971</v>
      </c>
      <c r="AN55" s="3">
        <f>IFERROR(__xludf.DUMMYFUNCTION("""COMPUTED_VALUE"""),20969.0)</f>
        <v>20969</v>
      </c>
      <c r="AO55" s="3">
        <f>IFERROR(__xludf.DUMMYFUNCTION("""COMPUTED_VALUE"""),23383.0)</f>
        <v>23383</v>
      </c>
      <c r="AP55" s="3">
        <f>IFERROR(__xludf.DUMMYFUNCTION("""COMPUTED_VALUE"""),26403.0)</f>
        <v>26403</v>
      </c>
      <c r="AQ55" s="3">
        <f>IFERROR(__xludf.DUMMYFUNCTION("""COMPUTED_VALUE"""),28993.0)</f>
        <v>28993</v>
      </c>
      <c r="AR55" s="3">
        <f>IFERROR(__xludf.DUMMYFUNCTION("""COMPUTED_VALUE"""),31536.0)</f>
        <v>31536</v>
      </c>
      <c r="AS55" s="3">
        <f>IFERROR(__xludf.DUMMYFUNCTION("""COMPUTED_VALUE"""),33934.0)</f>
        <v>33934</v>
      </c>
      <c r="AT55" s="3">
        <f>IFERROR(__xludf.DUMMYFUNCTION("""COMPUTED_VALUE"""),36208.0)</f>
        <v>36208</v>
      </c>
      <c r="AU55" s="3">
        <f>IFERROR(__xludf.DUMMYFUNCTION("""COMPUTED_VALUE"""),38557.0)</f>
        <v>38557</v>
      </c>
      <c r="AV55" s="3">
        <f>IFERROR(__xludf.DUMMYFUNCTION("""COMPUTED_VALUE"""),40592.0)</f>
        <v>40592</v>
      </c>
      <c r="AW55" s="3">
        <f>IFERROR(__xludf.DUMMYFUNCTION("""COMPUTED_VALUE"""),42033.0)</f>
        <v>42033</v>
      </c>
      <c r="AX55" s="3">
        <f>IFERROR(__xludf.DUMMYFUNCTION("""COMPUTED_VALUE"""),43500.0)</f>
        <v>43500</v>
      </c>
      <c r="AY55" s="3">
        <f>IFERROR(__xludf.DUMMYFUNCTION("""COMPUTED_VALUE"""),45235.0)</f>
        <v>45235</v>
      </c>
      <c r="AZ55" s="3">
        <f>IFERROR(__xludf.DUMMYFUNCTION("""COMPUTED_VALUE"""),46488.0)</f>
        <v>46488</v>
      </c>
      <c r="BA55" s="3">
        <f>IFERROR(__xludf.DUMMYFUNCTION("""COMPUTED_VALUE"""),47743.0)</f>
        <v>47743</v>
      </c>
      <c r="BB55" s="3">
        <f>IFERROR(__xludf.DUMMYFUNCTION("""COMPUTED_VALUE"""),49134.0)</f>
        <v>49134</v>
      </c>
      <c r="BC55" s="3">
        <f>IFERROR(__xludf.DUMMYFUNCTION("""COMPUTED_VALUE"""),50318.0)</f>
        <v>50318</v>
      </c>
      <c r="BD55" s="3">
        <f>IFERROR(__xludf.DUMMYFUNCTION("""COMPUTED_VALUE"""),51553.0)</f>
        <v>51553</v>
      </c>
      <c r="BE55" s="3">
        <f>IFERROR(__xludf.DUMMYFUNCTION("""COMPUTED_VALUE"""),52960.0)</f>
        <v>52960</v>
      </c>
      <c r="BF55" s="3">
        <f>IFERROR(__xludf.DUMMYFUNCTION("""COMPUTED_VALUE"""),54288.0)</f>
        <v>54288</v>
      </c>
      <c r="BG55" s="3">
        <f>IFERROR(__xludf.DUMMYFUNCTION("""COMPUTED_VALUE"""),55142.0)</f>
        <v>55142</v>
      </c>
      <c r="BH55" s="3">
        <f>IFERROR(__xludf.DUMMYFUNCTION("""COMPUTED_VALUE"""),56003.0)</f>
        <v>56003</v>
      </c>
      <c r="BI55" s="3">
        <f>IFERROR(__xludf.DUMMYFUNCTION("""COMPUTED_VALUE"""),56927.0)</f>
        <v>56927</v>
      </c>
      <c r="BJ55" s="3">
        <f>IFERROR(__xludf.DUMMYFUNCTION("""COMPUTED_VALUE"""),57682.0)</f>
        <v>57682</v>
      </c>
      <c r="BK55" s="3">
        <f>IFERROR(__xludf.DUMMYFUNCTION("""COMPUTED_VALUE"""),58382.0)</f>
        <v>58382</v>
      </c>
      <c r="BL55" s="3">
        <f>IFERROR(__xludf.DUMMYFUNCTION("""COMPUTED_VALUE"""),58946.0)</f>
        <v>58946</v>
      </c>
      <c r="BM55" s="3">
        <f>IFERROR(__xludf.DUMMYFUNCTION("""COMPUTED_VALUE"""),59433.0)</f>
        <v>59433</v>
      </c>
      <c r="BN55" s="3">
        <f>IFERROR(__xludf.DUMMYFUNCTION("""COMPUTED_VALUE"""),59879.0)</f>
        <v>59879</v>
      </c>
      <c r="BO55" s="3">
        <f>IFERROR(__xludf.DUMMYFUNCTION("""COMPUTED_VALUE"""),60324.0)</f>
        <v>60324</v>
      </c>
      <c r="BP55" s="3">
        <f>IFERROR(__xludf.DUMMYFUNCTION("""COMPUTED_VALUE"""),60811.0)</f>
        <v>60811</v>
      </c>
      <c r="BQ55" s="3">
        <f>IFERROR(__xludf.DUMMYFUNCTION("""COMPUTED_VALUE"""),61201.0)</f>
        <v>61201</v>
      </c>
      <c r="BR55" s="3">
        <f>IFERROR(__xludf.DUMMYFUNCTION("""COMPUTED_VALUE"""),61732.0)</f>
        <v>61732</v>
      </c>
      <c r="BS55" s="3">
        <f>IFERROR(__xludf.DUMMYFUNCTION("""COMPUTED_VALUE"""),62098.0)</f>
        <v>62098</v>
      </c>
      <c r="BT55" s="3">
        <f>IFERROR(__xludf.DUMMYFUNCTION("""COMPUTED_VALUE"""),62570.0)</f>
        <v>62570</v>
      </c>
      <c r="BU55" s="3">
        <f>IFERROR(__xludf.DUMMYFUNCTION("""COMPUTED_VALUE"""),62889.0)</f>
        <v>62889</v>
      </c>
      <c r="BV55" s="3">
        <f>IFERROR(__xludf.DUMMYFUNCTION("""COMPUTED_VALUE"""),63153.0)</f>
        <v>63153</v>
      </c>
      <c r="BW55" s="3">
        <f>IFERROR(__xludf.DUMMYFUNCTION("""COMPUTED_VALUE"""),63326.0)</f>
        <v>63326</v>
      </c>
      <c r="BX55" s="3">
        <f>IFERROR(__xludf.DUMMYFUNCTION("""COMPUTED_VALUE"""),63471.0)</f>
        <v>63471</v>
      </c>
      <c r="BY55" s="3">
        <f>IFERROR(__xludf.DUMMYFUNCTION("""COMPUTED_VALUE"""),63612.0)</f>
        <v>63612</v>
      </c>
      <c r="BZ55" s="3">
        <f>IFERROR(__xludf.DUMMYFUNCTION("""COMPUTED_VALUE"""),63762.0)</f>
        <v>63762</v>
      </c>
      <c r="CA55" s="3">
        <f>IFERROR(__xludf.DUMMYFUNCTION("""COMPUTED_VALUE"""),63945.0)</f>
        <v>63945</v>
      </c>
      <c r="CB55" s="3">
        <f>IFERROR(__xludf.DUMMYFUNCTION("""COMPUTED_VALUE"""),64014.0)</f>
        <v>64014</v>
      </c>
    </row>
    <row r="56">
      <c r="A56" s="3" t="str">
        <f>IFERROR(__xludf.DUMMYFUNCTION("""COMPUTED_VALUE"""),"Hunan")</f>
        <v>Hunan</v>
      </c>
      <c r="B56" s="3" t="str">
        <f>IFERROR(__xludf.DUMMYFUNCTION("""COMPUTED_VALUE"""),"China")</f>
        <v>China</v>
      </c>
      <c r="C56" s="3">
        <f>IFERROR(__xludf.DUMMYFUNCTION("""COMPUTED_VALUE"""),27.6104)</f>
        <v>27.6104</v>
      </c>
      <c r="D56" s="3">
        <f>IFERROR(__xludf.DUMMYFUNCTION("""COMPUTED_VALUE"""),111.7088)</f>
        <v>111.7088</v>
      </c>
      <c r="E56" s="3">
        <f>IFERROR(__xludf.DUMMYFUNCTION("""COMPUTED_VALUE"""),0.0)</f>
        <v>0</v>
      </c>
      <c r="F56" s="3">
        <f>IFERROR(__xludf.DUMMYFUNCTION("""COMPUTED_VALUE"""),0.0)</f>
        <v>0</v>
      </c>
      <c r="G56" s="3">
        <f>IFERROR(__xludf.DUMMYFUNCTION("""COMPUTED_VALUE"""),0.0)</f>
        <v>0</v>
      </c>
      <c r="H56" s="3">
        <f>IFERROR(__xludf.DUMMYFUNCTION("""COMPUTED_VALUE"""),0.0)</f>
        <v>0</v>
      </c>
      <c r="I56" s="3">
        <f>IFERROR(__xludf.DUMMYFUNCTION("""COMPUTED_VALUE"""),0.0)</f>
        <v>0</v>
      </c>
      <c r="J56" s="3">
        <f>IFERROR(__xludf.DUMMYFUNCTION("""COMPUTED_VALUE"""),0.0)</f>
        <v>0</v>
      </c>
      <c r="K56" s="3">
        <f>IFERROR(__xludf.DUMMYFUNCTION("""COMPUTED_VALUE"""),0.0)</f>
        <v>0</v>
      </c>
      <c r="L56" s="3">
        <f>IFERROR(__xludf.DUMMYFUNCTION("""COMPUTED_VALUE"""),0.0)</f>
        <v>0</v>
      </c>
      <c r="M56" s="3">
        <f>IFERROR(__xludf.DUMMYFUNCTION("""COMPUTED_VALUE"""),2.0)</f>
        <v>2</v>
      </c>
      <c r="N56" s="3">
        <f>IFERROR(__xludf.DUMMYFUNCTION("""COMPUTED_VALUE"""),2.0)</f>
        <v>2</v>
      </c>
      <c r="O56" s="3">
        <f>IFERROR(__xludf.DUMMYFUNCTION("""COMPUTED_VALUE"""),8.0)</f>
        <v>8</v>
      </c>
      <c r="P56" s="3">
        <f>IFERROR(__xludf.DUMMYFUNCTION("""COMPUTED_VALUE"""),16.0)</f>
        <v>16</v>
      </c>
      <c r="Q56" s="3">
        <f>IFERROR(__xludf.DUMMYFUNCTION("""COMPUTED_VALUE"""),22.0)</f>
        <v>22</v>
      </c>
      <c r="R56" s="3">
        <f>IFERROR(__xludf.DUMMYFUNCTION("""COMPUTED_VALUE"""),31.0)</f>
        <v>31</v>
      </c>
      <c r="S56" s="3">
        <f>IFERROR(__xludf.DUMMYFUNCTION("""COMPUTED_VALUE"""),54.0)</f>
        <v>54</v>
      </c>
      <c r="T56" s="3">
        <f>IFERROR(__xludf.DUMMYFUNCTION("""COMPUTED_VALUE"""),81.0)</f>
        <v>81</v>
      </c>
      <c r="U56" s="3">
        <f>IFERROR(__xludf.DUMMYFUNCTION("""COMPUTED_VALUE"""),112.0)</f>
        <v>112</v>
      </c>
      <c r="V56" s="3">
        <f>IFERROR(__xludf.DUMMYFUNCTION("""COMPUTED_VALUE"""),156.0)</f>
        <v>156</v>
      </c>
      <c r="W56" s="3">
        <f>IFERROR(__xludf.DUMMYFUNCTION("""COMPUTED_VALUE"""),186.0)</f>
        <v>186</v>
      </c>
      <c r="X56" s="3">
        <f>IFERROR(__xludf.DUMMYFUNCTION("""COMPUTED_VALUE"""),208.0)</f>
        <v>208</v>
      </c>
      <c r="Y56" s="3">
        <f>IFERROR(__xludf.DUMMYFUNCTION("""COMPUTED_VALUE"""),247.0)</f>
        <v>247</v>
      </c>
      <c r="Z56" s="3">
        <f>IFERROR(__xludf.DUMMYFUNCTION("""COMPUTED_VALUE"""),304.0)</f>
        <v>304</v>
      </c>
      <c r="AA56" s="3">
        <f>IFERROR(__xludf.DUMMYFUNCTION("""COMPUTED_VALUE"""),339.0)</f>
        <v>339</v>
      </c>
      <c r="AB56" s="3">
        <f>IFERROR(__xludf.DUMMYFUNCTION("""COMPUTED_VALUE"""),364.0)</f>
        <v>364</v>
      </c>
      <c r="AC56" s="3">
        <f>IFERROR(__xludf.DUMMYFUNCTION("""COMPUTED_VALUE"""),425.0)</f>
        <v>425</v>
      </c>
      <c r="AD56" s="3">
        <f>IFERROR(__xludf.DUMMYFUNCTION("""COMPUTED_VALUE"""),464.0)</f>
        <v>464</v>
      </c>
      <c r="AE56" s="3">
        <f>IFERROR(__xludf.DUMMYFUNCTION("""COMPUTED_VALUE"""),498.0)</f>
        <v>498</v>
      </c>
      <c r="AF56" s="3">
        <f>IFERROR(__xludf.DUMMYFUNCTION("""COMPUTED_VALUE"""),527.0)</f>
        <v>527</v>
      </c>
      <c r="AG56" s="3">
        <f>IFERROR(__xludf.DUMMYFUNCTION("""COMPUTED_VALUE"""),561.0)</f>
        <v>561</v>
      </c>
      <c r="AH56" s="3">
        <f>IFERROR(__xludf.DUMMYFUNCTION("""COMPUTED_VALUE"""),634.0)</f>
        <v>634</v>
      </c>
      <c r="AI56" s="3">
        <f>IFERROR(__xludf.DUMMYFUNCTION("""COMPUTED_VALUE"""),661.0)</f>
        <v>661</v>
      </c>
      <c r="AJ56" s="3">
        <f>IFERROR(__xludf.DUMMYFUNCTION("""COMPUTED_VALUE"""),692.0)</f>
        <v>692</v>
      </c>
      <c r="AK56" s="3">
        <f>IFERROR(__xludf.DUMMYFUNCTION("""COMPUTED_VALUE"""),714.0)</f>
        <v>714</v>
      </c>
      <c r="AL56" s="3">
        <f>IFERROR(__xludf.DUMMYFUNCTION("""COMPUTED_VALUE"""),731.0)</f>
        <v>731</v>
      </c>
      <c r="AM56" s="3">
        <f>IFERROR(__xludf.DUMMYFUNCTION("""COMPUTED_VALUE"""),768.0)</f>
        <v>768</v>
      </c>
      <c r="AN56" s="3">
        <f>IFERROR(__xludf.DUMMYFUNCTION("""COMPUTED_VALUE"""),783.0)</f>
        <v>783</v>
      </c>
      <c r="AO56" s="3">
        <f>IFERROR(__xludf.DUMMYFUNCTION("""COMPUTED_VALUE"""),804.0)</f>
        <v>804</v>
      </c>
      <c r="AP56" s="3">
        <f>IFERROR(__xludf.DUMMYFUNCTION("""COMPUTED_VALUE"""),830.0)</f>
        <v>830</v>
      </c>
      <c r="AQ56" s="3">
        <f>IFERROR(__xludf.DUMMYFUNCTION("""COMPUTED_VALUE"""),846.0)</f>
        <v>846</v>
      </c>
      <c r="AR56" s="3">
        <f>IFERROR(__xludf.DUMMYFUNCTION("""COMPUTED_VALUE"""),866.0)</f>
        <v>866</v>
      </c>
      <c r="AS56" s="3">
        <f>IFERROR(__xludf.DUMMYFUNCTION("""COMPUTED_VALUE"""),887.0)</f>
        <v>887</v>
      </c>
      <c r="AT56" s="3">
        <f>IFERROR(__xludf.DUMMYFUNCTION("""COMPUTED_VALUE"""),906.0)</f>
        <v>906</v>
      </c>
      <c r="AU56" s="3">
        <f>IFERROR(__xludf.DUMMYFUNCTION("""COMPUTED_VALUE"""),916.0)</f>
        <v>916</v>
      </c>
      <c r="AV56" s="3">
        <f>IFERROR(__xludf.DUMMYFUNCTION("""COMPUTED_VALUE"""),938.0)</f>
        <v>938</v>
      </c>
      <c r="AW56" s="3">
        <f>IFERROR(__xludf.DUMMYFUNCTION("""COMPUTED_VALUE"""),955.0)</f>
        <v>955</v>
      </c>
      <c r="AX56" s="3">
        <f>IFERROR(__xludf.DUMMYFUNCTION("""COMPUTED_VALUE"""),960.0)</f>
        <v>960</v>
      </c>
      <c r="AY56" s="3">
        <f>IFERROR(__xludf.DUMMYFUNCTION("""COMPUTED_VALUE"""),968.0)</f>
        <v>968</v>
      </c>
      <c r="AZ56" s="3">
        <f>IFERROR(__xludf.DUMMYFUNCTION("""COMPUTED_VALUE"""),979.0)</f>
        <v>979</v>
      </c>
      <c r="BA56" s="3">
        <f>IFERROR(__xludf.DUMMYFUNCTION("""COMPUTED_VALUE"""),990.0)</f>
        <v>990</v>
      </c>
      <c r="BB56" s="3">
        <f>IFERROR(__xludf.DUMMYFUNCTION("""COMPUTED_VALUE"""),995.0)</f>
        <v>995</v>
      </c>
      <c r="BC56" s="3">
        <f>IFERROR(__xludf.DUMMYFUNCTION("""COMPUTED_VALUE"""),999.0)</f>
        <v>999</v>
      </c>
      <c r="BD56" s="3">
        <f>IFERROR(__xludf.DUMMYFUNCTION("""COMPUTED_VALUE"""),1005.0)</f>
        <v>1005</v>
      </c>
      <c r="BE56" s="3">
        <f>IFERROR(__xludf.DUMMYFUNCTION("""COMPUTED_VALUE"""),1014.0)</f>
        <v>1014</v>
      </c>
      <c r="BF56" s="3">
        <f>IFERROR(__xludf.DUMMYFUNCTION("""COMPUTED_VALUE"""),1014.0)</f>
        <v>1014</v>
      </c>
      <c r="BG56" s="3">
        <f>IFERROR(__xludf.DUMMYFUNCTION("""COMPUTED_VALUE"""),1014.0)</f>
        <v>1014</v>
      </c>
      <c r="BH56" s="3">
        <f>IFERROR(__xludf.DUMMYFUNCTION("""COMPUTED_VALUE"""),1014.0)</f>
        <v>1014</v>
      </c>
      <c r="BI56" s="3">
        <f>IFERROR(__xludf.DUMMYFUNCTION("""COMPUTED_VALUE"""),1014.0)</f>
        <v>1014</v>
      </c>
      <c r="BJ56" s="3">
        <f>IFERROR(__xludf.DUMMYFUNCTION("""COMPUTED_VALUE"""),1014.0)</f>
        <v>1014</v>
      </c>
      <c r="BK56" s="3">
        <f>IFERROR(__xludf.DUMMYFUNCTION("""COMPUTED_VALUE"""),1014.0)</f>
        <v>1014</v>
      </c>
      <c r="BL56" s="3">
        <f>IFERROR(__xludf.DUMMYFUNCTION("""COMPUTED_VALUE"""),1014.0)</f>
        <v>1014</v>
      </c>
      <c r="BM56" s="3">
        <f>IFERROR(__xludf.DUMMYFUNCTION("""COMPUTED_VALUE"""),1014.0)</f>
        <v>1014</v>
      </c>
      <c r="BN56" s="3">
        <f>IFERROR(__xludf.DUMMYFUNCTION("""COMPUTED_VALUE"""),1014.0)</f>
        <v>1014</v>
      </c>
      <c r="BO56" s="3">
        <f>IFERROR(__xludf.DUMMYFUNCTION("""COMPUTED_VALUE"""),1014.0)</f>
        <v>1014</v>
      </c>
      <c r="BP56" s="3">
        <f>IFERROR(__xludf.DUMMYFUNCTION("""COMPUTED_VALUE"""),1014.0)</f>
        <v>1014</v>
      </c>
      <c r="BQ56" s="3">
        <f>IFERROR(__xludf.DUMMYFUNCTION("""COMPUTED_VALUE"""),1014.0)</f>
        <v>1014</v>
      </c>
      <c r="BR56" s="3">
        <f>IFERROR(__xludf.DUMMYFUNCTION("""COMPUTED_VALUE"""),1014.0)</f>
        <v>1014</v>
      </c>
      <c r="BS56" s="3">
        <f>IFERROR(__xludf.DUMMYFUNCTION("""COMPUTED_VALUE"""),1014.0)</f>
        <v>1014</v>
      </c>
      <c r="BT56" s="3">
        <f>IFERROR(__xludf.DUMMYFUNCTION("""COMPUTED_VALUE"""),1014.0)</f>
        <v>1014</v>
      </c>
      <c r="BU56" s="3">
        <f>IFERROR(__xludf.DUMMYFUNCTION("""COMPUTED_VALUE"""),1014.0)</f>
        <v>1014</v>
      </c>
      <c r="BV56" s="3">
        <f>IFERROR(__xludf.DUMMYFUNCTION("""COMPUTED_VALUE"""),1014.0)</f>
        <v>1014</v>
      </c>
      <c r="BW56" s="3">
        <f>IFERROR(__xludf.DUMMYFUNCTION("""COMPUTED_VALUE"""),1014.0)</f>
        <v>1014</v>
      </c>
      <c r="BX56" s="3">
        <f>IFERROR(__xludf.DUMMYFUNCTION("""COMPUTED_VALUE"""),1014.0)</f>
        <v>1014</v>
      </c>
      <c r="BY56" s="3">
        <f>IFERROR(__xludf.DUMMYFUNCTION("""COMPUTED_VALUE"""),1014.0)</f>
        <v>1014</v>
      </c>
      <c r="BZ56" s="3">
        <f>IFERROR(__xludf.DUMMYFUNCTION("""COMPUTED_VALUE"""),1014.0)</f>
        <v>1014</v>
      </c>
      <c r="CA56" s="3">
        <f>IFERROR(__xludf.DUMMYFUNCTION("""COMPUTED_VALUE"""),1014.0)</f>
        <v>1014</v>
      </c>
      <c r="CB56" s="3">
        <f>IFERROR(__xludf.DUMMYFUNCTION("""COMPUTED_VALUE"""),1014.0)</f>
        <v>1014</v>
      </c>
    </row>
    <row r="57">
      <c r="A57" s="3" t="str">
        <f>IFERROR(__xludf.DUMMYFUNCTION("""COMPUTED_VALUE"""),"Inner Mongolia")</f>
        <v>Inner Mongolia</v>
      </c>
      <c r="B57" s="3" t="str">
        <f>IFERROR(__xludf.DUMMYFUNCTION("""COMPUTED_VALUE"""),"China")</f>
        <v>China</v>
      </c>
      <c r="C57" s="3">
        <f>IFERROR(__xludf.DUMMYFUNCTION("""COMPUTED_VALUE"""),44.0935)</f>
        <v>44.0935</v>
      </c>
      <c r="D57" s="3">
        <f>IFERROR(__xludf.DUMMYFUNCTION("""COMPUTED_VALUE"""),113.9448)</f>
        <v>113.9448</v>
      </c>
      <c r="E57" s="3">
        <f>IFERROR(__xludf.DUMMYFUNCTION("""COMPUTED_VALUE"""),0.0)</f>
        <v>0</v>
      </c>
      <c r="F57" s="3">
        <f>IFERROR(__xludf.DUMMYFUNCTION("""COMPUTED_VALUE"""),0.0)</f>
        <v>0</v>
      </c>
      <c r="G57" s="3">
        <f>IFERROR(__xludf.DUMMYFUNCTION("""COMPUTED_VALUE"""),0.0)</f>
        <v>0</v>
      </c>
      <c r="H57" s="3">
        <f>IFERROR(__xludf.DUMMYFUNCTION("""COMPUTED_VALUE"""),0.0)</f>
        <v>0</v>
      </c>
      <c r="I57" s="3">
        <f>IFERROR(__xludf.DUMMYFUNCTION("""COMPUTED_VALUE"""),0.0)</f>
        <v>0</v>
      </c>
      <c r="J57" s="3">
        <f>IFERROR(__xludf.DUMMYFUNCTION("""COMPUTED_VALUE"""),0.0)</f>
        <v>0</v>
      </c>
      <c r="K57" s="3">
        <f>IFERROR(__xludf.DUMMYFUNCTION("""COMPUTED_VALUE"""),0.0)</f>
        <v>0</v>
      </c>
      <c r="L57" s="3">
        <f>IFERROR(__xludf.DUMMYFUNCTION("""COMPUTED_VALUE"""),0.0)</f>
        <v>0</v>
      </c>
      <c r="M57" s="3">
        <f>IFERROR(__xludf.DUMMYFUNCTION("""COMPUTED_VALUE"""),0.0)</f>
        <v>0</v>
      </c>
      <c r="N57" s="3">
        <f>IFERROR(__xludf.DUMMYFUNCTION("""COMPUTED_VALUE"""),1.0)</f>
        <v>1</v>
      </c>
      <c r="O57" s="3">
        <f>IFERROR(__xludf.DUMMYFUNCTION("""COMPUTED_VALUE"""),1.0)</f>
        <v>1</v>
      </c>
      <c r="P57" s="3">
        <f>IFERROR(__xludf.DUMMYFUNCTION("""COMPUTED_VALUE"""),1.0)</f>
        <v>1</v>
      </c>
      <c r="Q57" s="3">
        <f>IFERROR(__xludf.DUMMYFUNCTION("""COMPUTED_VALUE"""),1.0)</f>
        <v>1</v>
      </c>
      <c r="R57" s="3">
        <f>IFERROR(__xludf.DUMMYFUNCTION("""COMPUTED_VALUE"""),1.0)</f>
        <v>1</v>
      </c>
      <c r="S57" s="3">
        <f>IFERROR(__xludf.DUMMYFUNCTION("""COMPUTED_VALUE"""),3.0)</f>
        <v>3</v>
      </c>
      <c r="T57" s="3">
        <f>IFERROR(__xludf.DUMMYFUNCTION("""COMPUTED_VALUE"""),4.0)</f>
        <v>4</v>
      </c>
      <c r="U57" s="3">
        <f>IFERROR(__xludf.DUMMYFUNCTION("""COMPUTED_VALUE"""),5.0)</f>
        <v>5</v>
      </c>
      <c r="V57" s="3">
        <f>IFERROR(__xludf.DUMMYFUNCTION("""COMPUTED_VALUE"""),5.0)</f>
        <v>5</v>
      </c>
      <c r="W57" s="3">
        <f>IFERROR(__xludf.DUMMYFUNCTION("""COMPUTED_VALUE"""),5.0)</f>
        <v>5</v>
      </c>
      <c r="X57" s="3">
        <f>IFERROR(__xludf.DUMMYFUNCTION("""COMPUTED_VALUE"""),5.0)</f>
        <v>5</v>
      </c>
      <c r="Y57" s="3">
        <f>IFERROR(__xludf.DUMMYFUNCTION("""COMPUTED_VALUE"""),5.0)</f>
        <v>5</v>
      </c>
      <c r="Z57" s="3">
        <f>IFERROR(__xludf.DUMMYFUNCTION("""COMPUTED_VALUE"""),6.0)</f>
        <v>6</v>
      </c>
      <c r="AA57" s="3">
        <f>IFERROR(__xludf.DUMMYFUNCTION("""COMPUTED_VALUE"""),6.0)</f>
        <v>6</v>
      </c>
      <c r="AB57" s="3">
        <f>IFERROR(__xludf.DUMMYFUNCTION("""COMPUTED_VALUE"""),6.0)</f>
        <v>6</v>
      </c>
      <c r="AC57" s="3">
        <f>IFERROR(__xludf.DUMMYFUNCTION("""COMPUTED_VALUE"""),7.0)</f>
        <v>7</v>
      </c>
      <c r="AD57" s="3">
        <f>IFERROR(__xludf.DUMMYFUNCTION("""COMPUTED_VALUE"""),8.0)</f>
        <v>8</v>
      </c>
      <c r="AE57" s="3">
        <f>IFERROR(__xludf.DUMMYFUNCTION("""COMPUTED_VALUE"""),8.0)</f>
        <v>8</v>
      </c>
      <c r="AF57" s="3">
        <f>IFERROR(__xludf.DUMMYFUNCTION("""COMPUTED_VALUE"""),8.0)</f>
        <v>8</v>
      </c>
      <c r="AG57" s="3">
        <f>IFERROR(__xludf.DUMMYFUNCTION("""COMPUTED_VALUE"""),10.0)</f>
        <v>10</v>
      </c>
      <c r="AH57" s="3">
        <f>IFERROR(__xludf.DUMMYFUNCTION("""COMPUTED_VALUE"""),16.0)</f>
        <v>16</v>
      </c>
      <c r="AI57" s="3">
        <f>IFERROR(__xludf.DUMMYFUNCTION("""COMPUTED_VALUE"""),17.0)</f>
        <v>17</v>
      </c>
      <c r="AJ57" s="3">
        <f>IFERROR(__xludf.DUMMYFUNCTION("""COMPUTED_VALUE"""),26.0)</f>
        <v>26</v>
      </c>
      <c r="AK57" s="3">
        <f>IFERROR(__xludf.DUMMYFUNCTION("""COMPUTED_VALUE"""),27.0)</f>
        <v>27</v>
      </c>
      <c r="AL57" s="3">
        <f>IFERROR(__xludf.DUMMYFUNCTION("""COMPUTED_VALUE"""),34.0)</f>
        <v>34</v>
      </c>
      <c r="AM57" s="3">
        <f>IFERROR(__xludf.DUMMYFUNCTION("""COMPUTED_VALUE"""),35.0)</f>
        <v>35</v>
      </c>
      <c r="AN57" s="3">
        <f>IFERROR(__xludf.DUMMYFUNCTION("""COMPUTED_VALUE"""),38.0)</f>
        <v>38</v>
      </c>
      <c r="AO57" s="3">
        <f>IFERROR(__xludf.DUMMYFUNCTION("""COMPUTED_VALUE"""),43.0)</f>
        <v>43</v>
      </c>
      <c r="AP57" s="3">
        <f>IFERROR(__xludf.DUMMYFUNCTION("""COMPUTED_VALUE"""),45.0)</f>
        <v>45</v>
      </c>
      <c r="AQ57" s="3">
        <f>IFERROR(__xludf.DUMMYFUNCTION("""COMPUTED_VALUE"""),49.0)</f>
        <v>49</v>
      </c>
      <c r="AR57" s="3">
        <f>IFERROR(__xludf.DUMMYFUNCTION("""COMPUTED_VALUE"""),52.0)</f>
        <v>52</v>
      </c>
      <c r="AS57" s="3">
        <f>IFERROR(__xludf.DUMMYFUNCTION("""COMPUTED_VALUE"""),54.0)</f>
        <v>54</v>
      </c>
      <c r="AT57" s="3">
        <f>IFERROR(__xludf.DUMMYFUNCTION("""COMPUTED_VALUE"""),59.0)</f>
        <v>59</v>
      </c>
      <c r="AU57" s="3">
        <f>IFERROR(__xludf.DUMMYFUNCTION("""COMPUTED_VALUE"""),63.0)</f>
        <v>63</v>
      </c>
      <c r="AV57" s="3">
        <f>IFERROR(__xludf.DUMMYFUNCTION("""COMPUTED_VALUE"""),65.0)</f>
        <v>65</v>
      </c>
      <c r="AW57" s="3">
        <f>IFERROR(__xludf.DUMMYFUNCTION("""COMPUTED_VALUE"""),65.0)</f>
        <v>65</v>
      </c>
      <c r="AX57" s="3">
        <f>IFERROR(__xludf.DUMMYFUNCTION("""COMPUTED_VALUE"""),67.0)</f>
        <v>67</v>
      </c>
      <c r="AY57" s="3">
        <f>IFERROR(__xludf.DUMMYFUNCTION("""COMPUTED_VALUE"""),70.0)</f>
        <v>70</v>
      </c>
      <c r="AZ57" s="3">
        <f>IFERROR(__xludf.DUMMYFUNCTION("""COMPUTED_VALUE"""),70.0)</f>
        <v>70</v>
      </c>
      <c r="BA57" s="3">
        <f>IFERROR(__xludf.DUMMYFUNCTION("""COMPUTED_VALUE"""),70.0)</f>
        <v>70</v>
      </c>
      <c r="BB57" s="3">
        <f>IFERROR(__xludf.DUMMYFUNCTION("""COMPUTED_VALUE"""),71.0)</f>
        <v>71</v>
      </c>
      <c r="BC57" s="3">
        <f>IFERROR(__xludf.DUMMYFUNCTION("""COMPUTED_VALUE"""),71.0)</f>
        <v>71</v>
      </c>
      <c r="BD57" s="3">
        <f>IFERROR(__xludf.DUMMYFUNCTION("""COMPUTED_VALUE"""),71.0)</f>
        <v>71</v>
      </c>
      <c r="BE57" s="3">
        <f>IFERROR(__xludf.DUMMYFUNCTION("""COMPUTED_VALUE"""),71.0)</f>
        <v>71</v>
      </c>
      <c r="BF57" s="3">
        <f>IFERROR(__xludf.DUMMYFUNCTION("""COMPUTED_VALUE"""),71.0)</f>
        <v>71</v>
      </c>
      <c r="BG57" s="3">
        <f>IFERROR(__xludf.DUMMYFUNCTION("""COMPUTED_VALUE"""),73.0)</f>
        <v>73</v>
      </c>
      <c r="BH57" s="3">
        <f>IFERROR(__xludf.DUMMYFUNCTION("""COMPUTED_VALUE"""),73.0)</f>
        <v>73</v>
      </c>
      <c r="BI57" s="3">
        <f>IFERROR(__xludf.DUMMYFUNCTION("""COMPUTED_VALUE"""),73.0)</f>
        <v>73</v>
      </c>
      <c r="BJ57" s="3">
        <f>IFERROR(__xludf.DUMMYFUNCTION("""COMPUTED_VALUE"""),74.0)</f>
        <v>74</v>
      </c>
      <c r="BK57" s="3">
        <f>IFERROR(__xludf.DUMMYFUNCTION("""COMPUTED_VALUE"""),74.0)</f>
        <v>74</v>
      </c>
      <c r="BL57" s="3">
        <f>IFERROR(__xludf.DUMMYFUNCTION("""COMPUTED_VALUE"""),74.0)</f>
        <v>74</v>
      </c>
      <c r="BM57" s="3">
        <f>IFERROR(__xludf.DUMMYFUNCTION("""COMPUTED_VALUE"""),74.0)</f>
        <v>74</v>
      </c>
      <c r="BN57" s="3">
        <f>IFERROR(__xludf.DUMMYFUNCTION("""COMPUTED_VALUE"""),74.0)</f>
        <v>74</v>
      </c>
      <c r="BO57" s="3">
        <f>IFERROR(__xludf.DUMMYFUNCTION("""COMPUTED_VALUE"""),74.0)</f>
        <v>74</v>
      </c>
      <c r="BP57" s="3">
        <f>IFERROR(__xludf.DUMMYFUNCTION("""COMPUTED_VALUE"""),74.0)</f>
        <v>74</v>
      </c>
      <c r="BQ57" s="3">
        <f>IFERROR(__xludf.DUMMYFUNCTION("""COMPUTED_VALUE"""),74.0)</f>
        <v>74</v>
      </c>
      <c r="BR57" s="3">
        <f>IFERROR(__xludf.DUMMYFUNCTION("""COMPUTED_VALUE"""),74.0)</f>
        <v>74</v>
      </c>
      <c r="BS57" s="3">
        <f>IFERROR(__xludf.DUMMYFUNCTION("""COMPUTED_VALUE"""),74.0)</f>
        <v>74</v>
      </c>
      <c r="BT57" s="3">
        <f>IFERROR(__xludf.DUMMYFUNCTION("""COMPUTED_VALUE"""),74.0)</f>
        <v>74</v>
      </c>
      <c r="BU57" s="3">
        <f>IFERROR(__xludf.DUMMYFUNCTION("""COMPUTED_VALUE"""),74.0)</f>
        <v>74</v>
      </c>
      <c r="BV57" s="3">
        <f>IFERROR(__xludf.DUMMYFUNCTION("""COMPUTED_VALUE"""),74.0)</f>
        <v>74</v>
      </c>
      <c r="BW57" s="3">
        <f>IFERROR(__xludf.DUMMYFUNCTION("""COMPUTED_VALUE"""),74.0)</f>
        <v>74</v>
      </c>
      <c r="BX57" s="3">
        <f>IFERROR(__xludf.DUMMYFUNCTION("""COMPUTED_VALUE"""),74.0)</f>
        <v>74</v>
      </c>
      <c r="BY57" s="3">
        <f>IFERROR(__xludf.DUMMYFUNCTION("""COMPUTED_VALUE"""),74.0)</f>
        <v>74</v>
      </c>
      <c r="BZ57" s="3">
        <f>IFERROR(__xludf.DUMMYFUNCTION("""COMPUTED_VALUE"""),74.0)</f>
        <v>74</v>
      </c>
      <c r="CA57" s="3">
        <f>IFERROR(__xludf.DUMMYFUNCTION("""COMPUTED_VALUE"""),74.0)</f>
        <v>74</v>
      </c>
      <c r="CB57" s="3">
        <f>IFERROR(__xludf.DUMMYFUNCTION("""COMPUTED_VALUE"""),74.0)</f>
        <v>74</v>
      </c>
    </row>
    <row r="58">
      <c r="A58" s="3" t="str">
        <f>IFERROR(__xludf.DUMMYFUNCTION("""COMPUTED_VALUE"""),"Jiangsu")</f>
        <v>Jiangsu</v>
      </c>
      <c r="B58" s="3" t="str">
        <f>IFERROR(__xludf.DUMMYFUNCTION("""COMPUTED_VALUE"""),"China")</f>
        <v>China</v>
      </c>
      <c r="C58" s="3">
        <f>IFERROR(__xludf.DUMMYFUNCTION("""COMPUTED_VALUE"""),32.9711)</f>
        <v>32.9711</v>
      </c>
      <c r="D58" s="3">
        <f>IFERROR(__xludf.DUMMYFUNCTION("""COMPUTED_VALUE"""),119.455)</f>
        <v>119.455</v>
      </c>
      <c r="E58" s="3">
        <f>IFERROR(__xludf.DUMMYFUNCTION("""COMPUTED_VALUE"""),0.0)</f>
        <v>0</v>
      </c>
      <c r="F58" s="3">
        <f>IFERROR(__xludf.DUMMYFUNCTION("""COMPUTED_VALUE"""),0.0)</f>
        <v>0</v>
      </c>
      <c r="G58" s="3">
        <f>IFERROR(__xludf.DUMMYFUNCTION("""COMPUTED_VALUE"""),0.0)</f>
        <v>0</v>
      </c>
      <c r="H58" s="3">
        <f>IFERROR(__xludf.DUMMYFUNCTION("""COMPUTED_VALUE"""),1.0)</f>
        <v>1</v>
      </c>
      <c r="I58" s="3">
        <f>IFERROR(__xludf.DUMMYFUNCTION("""COMPUTED_VALUE"""),1.0)</f>
        <v>1</v>
      </c>
      <c r="J58" s="3">
        <f>IFERROR(__xludf.DUMMYFUNCTION("""COMPUTED_VALUE"""),1.0)</f>
        <v>1</v>
      </c>
      <c r="K58" s="3">
        <f>IFERROR(__xludf.DUMMYFUNCTION("""COMPUTED_VALUE"""),1.0)</f>
        <v>1</v>
      </c>
      <c r="L58" s="3">
        <f>IFERROR(__xludf.DUMMYFUNCTION("""COMPUTED_VALUE"""),1.0)</f>
        <v>1</v>
      </c>
      <c r="M58" s="3">
        <f>IFERROR(__xludf.DUMMYFUNCTION("""COMPUTED_VALUE"""),1.0)</f>
        <v>1</v>
      </c>
      <c r="N58" s="3">
        <f>IFERROR(__xludf.DUMMYFUNCTION("""COMPUTED_VALUE"""),5.0)</f>
        <v>5</v>
      </c>
      <c r="O58" s="3">
        <f>IFERROR(__xludf.DUMMYFUNCTION("""COMPUTED_VALUE"""),6.0)</f>
        <v>6</v>
      </c>
      <c r="P58" s="3">
        <f>IFERROR(__xludf.DUMMYFUNCTION("""COMPUTED_VALUE"""),7.0)</f>
        <v>7</v>
      </c>
      <c r="Q58" s="3">
        <f>IFERROR(__xludf.DUMMYFUNCTION("""COMPUTED_VALUE"""),8.0)</f>
        <v>8</v>
      </c>
      <c r="R58" s="3">
        <f>IFERROR(__xludf.DUMMYFUNCTION("""COMPUTED_VALUE"""),12.0)</f>
        <v>12</v>
      </c>
      <c r="S58" s="3">
        <f>IFERROR(__xludf.DUMMYFUNCTION("""COMPUTED_VALUE"""),23.0)</f>
        <v>23</v>
      </c>
      <c r="T58" s="3">
        <f>IFERROR(__xludf.DUMMYFUNCTION("""COMPUTED_VALUE"""),34.0)</f>
        <v>34</v>
      </c>
      <c r="U58" s="3">
        <f>IFERROR(__xludf.DUMMYFUNCTION("""COMPUTED_VALUE"""),43.0)</f>
        <v>43</v>
      </c>
      <c r="V58" s="3">
        <f>IFERROR(__xludf.DUMMYFUNCTION("""COMPUTED_VALUE"""),51.0)</f>
        <v>51</v>
      </c>
      <c r="W58" s="3">
        <f>IFERROR(__xludf.DUMMYFUNCTION("""COMPUTED_VALUE"""),71.0)</f>
        <v>71</v>
      </c>
      <c r="X58" s="3">
        <f>IFERROR(__xludf.DUMMYFUNCTION("""COMPUTED_VALUE"""),81.0)</f>
        <v>81</v>
      </c>
      <c r="Y58" s="3">
        <f>IFERROR(__xludf.DUMMYFUNCTION("""COMPUTED_VALUE"""),93.0)</f>
        <v>93</v>
      </c>
      <c r="Z58" s="3">
        <f>IFERROR(__xludf.DUMMYFUNCTION("""COMPUTED_VALUE"""),125.0)</f>
        <v>125</v>
      </c>
      <c r="AA58" s="3">
        <f>IFERROR(__xludf.DUMMYFUNCTION("""COMPUTED_VALUE"""),139.0)</f>
        <v>139</v>
      </c>
      <c r="AB58" s="3">
        <f>IFERROR(__xludf.DUMMYFUNCTION("""COMPUTED_VALUE"""),157.0)</f>
        <v>157</v>
      </c>
      <c r="AC58" s="3">
        <f>IFERROR(__xludf.DUMMYFUNCTION("""COMPUTED_VALUE"""),186.0)</f>
        <v>186</v>
      </c>
      <c r="AD58" s="3">
        <f>IFERROR(__xludf.DUMMYFUNCTION("""COMPUTED_VALUE"""),218.0)</f>
        <v>218</v>
      </c>
      <c r="AE58" s="3">
        <f>IFERROR(__xludf.DUMMYFUNCTION("""COMPUTED_VALUE"""),258.0)</f>
        <v>258</v>
      </c>
      <c r="AF58" s="3">
        <f>IFERROR(__xludf.DUMMYFUNCTION("""COMPUTED_VALUE"""),280.0)</f>
        <v>280</v>
      </c>
      <c r="AG58" s="3">
        <f>IFERROR(__xludf.DUMMYFUNCTION("""COMPUTED_VALUE"""),318.0)</f>
        <v>318</v>
      </c>
      <c r="AH58" s="3">
        <f>IFERROR(__xludf.DUMMYFUNCTION("""COMPUTED_VALUE"""),356.0)</f>
        <v>356</v>
      </c>
      <c r="AI58" s="3">
        <f>IFERROR(__xludf.DUMMYFUNCTION("""COMPUTED_VALUE"""),373.0)</f>
        <v>373</v>
      </c>
      <c r="AJ58" s="3">
        <f>IFERROR(__xludf.DUMMYFUNCTION("""COMPUTED_VALUE"""),401.0)</f>
        <v>401</v>
      </c>
      <c r="AK58" s="3">
        <f>IFERROR(__xludf.DUMMYFUNCTION("""COMPUTED_VALUE"""),418.0)</f>
        <v>418</v>
      </c>
      <c r="AL58" s="3">
        <f>IFERROR(__xludf.DUMMYFUNCTION("""COMPUTED_VALUE"""),452.0)</f>
        <v>452</v>
      </c>
      <c r="AM58" s="3">
        <f>IFERROR(__xludf.DUMMYFUNCTION("""COMPUTED_VALUE"""),458.0)</f>
        <v>458</v>
      </c>
      <c r="AN58" s="3">
        <f>IFERROR(__xludf.DUMMYFUNCTION("""COMPUTED_VALUE"""),478.0)</f>
        <v>478</v>
      </c>
      <c r="AO58" s="3">
        <f>IFERROR(__xludf.DUMMYFUNCTION("""COMPUTED_VALUE"""),498.0)</f>
        <v>498</v>
      </c>
      <c r="AP58" s="3">
        <f>IFERROR(__xludf.DUMMYFUNCTION("""COMPUTED_VALUE"""),515.0)</f>
        <v>515</v>
      </c>
      <c r="AQ58" s="3">
        <f>IFERROR(__xludf.DUMMYFUNCTION("""COMPUTED_VALUE"""),523.0)</f>
        <v>523</v>
      </c>
      <c r="AR58" s="3">
        <f>IFERROR(__xludf.DUMMYFUNCTION("""COMPUTED_VALUE"""),536.0)</f>
        <v>536</v>
      </c>
      <c r="AS58" s="3">
        <f>IFERROR(__xludf.DUMMYFUNCTION("""COMPUTED_VALUE"""),543.0)</f>
        <v>543</v>
      </c>
      <c r="AT58" s="3">
        <f>IFERROR(__xludf.DUMMYFUNCTION("""COMPUTED_VALUE"""),562.0)</f>
        <v>562</v>
      </c>
      <c r="AU58" s="3">
        <f>IFERROR(__xludf.DUMMYFUNCTION("""COMPUTED_VALUE"""),577.0)</f>
        <v>577</v>
      </c>
      <c r="AV58" s="3">
        <f>IFERROR(__xludf.DUMMYFUNCTION("""COMPUTED_VALUE"""),583.0)</f>
        <v>583</v>
      </c>
      <c r="AW58" s="3">
        <f>IFERROR(__xludf.DUMMYFUNCTION("""COMPUTED_VALUE"""),594.0)</f>
        <v>594</v>
      </c>
      <c r="AX58" s="3">
        <f>IFERROR(__xludf.DUMMYFUNCTION("""COMPUTED_VALUE"""),606.0)</f>
        <v>606</v>
      </c>
      <c r="AY58" s="3">
        <f>IFERROR(__xludf.DUMMYFUNCTION("""COMPUTED_VALUE"""),612.0)</f>
        <v>612</v>
      </c>
      <c r="AZ58" s="3">
        <f>IFERROR(__xludf.DUMMYFUNCTION("""COMPUTED_VALUE"""),621.0)</f>
        <v>621</v>
      </c>
      <c r="BA58" s="3">
        <f>IFERROR(__xludf.DUMMYFUNCTION("""COMPUTED_VALUE"""),627.0)</f>
        <v>627</v>
      </c>
      <c r="BB58" s="3">
        <f>IFERROR(__xludf.DUMMYFUNCTION("""COMPUTED_VALUE"""),627.0)</f>
        <v>627</v>
      </c>
      <c r="BC58" s="3">
        <f>IFERROR(__xludf.DUMMYFUNCTION("""COMPUTED_VALUE"""),629.0)</f>
        <v>629</v>
      </c>
      <c r="BD58" s="3">
        <f>IFERROR(__xludf.DUMMYFUNCTION("""COMPUTED_VALUE"""),630.0)</f>
        <v>630</v>
      </c>
      <c r="BE58" s="3">
        <f>IFERROR(__xludf.DUMMYFUNCTION("""COMPUTED_VALUE"""),630.0)</f>
        <v>630</v>
      </c>
      <c r="BF58" s="3">
        <f>IFERROR(__xludf.DUMMYFUNCTION("""COMPUTED_VALUE"""),631.0)</f>
        <v>631</v>
      </c>
      <c r="BG58" s="3">
        <f>IFERROR(__xludf.DUMMYFUNCTION("""COMPUTED_VALUE"""),631.0)</f>
        <v>631</v>
      </c>
      <c r="BH58" s="3">
        <f>IFERROR(__xludf.DUMMYFUNCTION("""COMPUTED_VALUE"""),631.0)</f>
        <v>631</v>
      </c>
      <c r="BI58" s="3">
        <f>IFERROR(__xludf.DUMMYFUNCTION("""COMPUTED_VALUE"""),631.0)</f>
        <v>631</v>
      </c>
      <c r="BJ58" s="3">
        <f>IFERROR(__xludf.DUMMYFUNCTION("""COMPUTED_VALUE"""),631.0)</f>
        <v>631</v>
      </c>
      <c r="BK58" s="3">
        <f>IFERROR(__xludf.DUMMYFUNCTION("""COMPUTED_VALUE"""),631.0)</f>
        <v>631</v>
      </c>
      <c r="BL58" s="3">
        <f>IFERROR(__xludf.DUMMYFUNCTION("""COMPUTED_VALUE"""),631.0)</f>
        <v>631</v>
      </c>
      <c r="BM58" s="3">
        <f>IFERROR(__xludf.DUMMYFUNCTION("""COMPUTED_VALUE"""),631.0)</f>
        <v>631</v>
      </c>
      <c r="BN58" s="3">
        <f>IFERROR(__xludf.DUMMYFUNCTION("""COMPUTED_VALUE"""),631.0)</f>
        <v>631</v>
      </c>
      <c r="BO58" s="3">
        <f>IFERROR(__xludf.DUMMYFUNCTION("""COMPUTED_VALUE"""),631.0)</f>
        <v>631</v>
      </c>
      <c r="BP58" s="3">
        <f>IFERROR(__xludf.DUMMYFUNCTION("""COMPUTED_VALUE"""),631.0)</f>
        <v>631</v>
      </c>
      <c r="BQ58" s="3">
        <f>IFERROR(__xludf.DUMMYFUNCTION("""COMPUTED_VALUE"""),631.0)</f>
        <v>631</v>
      </c>
      <c r="BR58" s="3">
        <f>IFERROR(__xludf.DUMMYFUNCTION("""COMPUTED_VALUE"""),631.0)</f>
        <v>631</v>
      </c>
      <c r="BS58" s="3">
        <f>IFERROR(__xludf.DUMMYFUNCTION("""COMPUTED_VALUE"""),631.0)</f>
        <v>631</v>
      </c>
      <c r="BT58" s="3">
        <f>IFERROR(__xludf.DUMMYFUNCTION("""COMPUTED_VALUE"""),631.0)</f>
        <v>631</v>
      </c>
      <c r="BU58" s="3">
        <f>IFERROR(__xludf.DUMMYFUNCTION("""COMPUTED_VALUE"""),631.0)</f>
        <v>631</v>
      </c>
      <c r="BV58" s="3">
        <f>IFERROR(__xludf.DUMMYFUNCTION("""COMPUTED_VALUE"""),631.0)</f>
        <v>631</v>
      </c>
      <c r="BW58" s="3">
        <f>IFERROR(__xludf.DUMMYFUNCTION("""COMPUTED_VALUE"""),631.0)</f>
        <v>631</v>
      </c>
      <c r="BX58" s="3">
        <f>IFERROR(__xludf.DUMMYFUNCTION("""COMPUTED_VALUE"""),631.0)</f>
        <v>631</v>
      </c>
      <c r="BY58" s="3">
        <f>IFERROR(__xludf.DUMMYFUNCTION("""COMPUTED_VALUE"""),632.0)</f>
        <v>632</v>
      </c>
      <c r="BZ58" s="3">
        <f>IFERROR(__xludf.DUMMYFUNCTION("""COMPUTED_VALUE"""),632.0)</f>
        <v>632</v>
      </c>
      <c r="CA58" s="3">
        <f>IFERROR(__xludf.DUMMYFUNCTION("""COMPUTED_VALUE"""),633.0)</f>
        <v>633</v>
      </c>
      <c r="CB58" s="3">
        <f>IFERROR(__xludf.DUMMYFUNCTION("""COMPUTED_VALUE"""),633.0)</f>
        <v>633</v>
      </c>
    </row>
    <row r="59">
      <c r="A59" s="3" t="str">
        <f>IFERROR(__xludf.DUMMYFUNCTION("""COMPUTED_VALUE"""),"Jiangxi")</f>
        <v>Jiangxi</v>
      </c>
      <c r="B59" s="3" t="str">
        <f>IFERROR(__xludf.DUMMYFUNCTION("""COMPUTED_VALUE"""),"China")</f>
        <v>China</v>
      </c>
      <c r="C59" s="3">
        <f>IFERROR(__xludf.DUMMYFUNCTION("""COMPUTED_VALUE"""),27.614)</f>
        <v>27.614</v>
      </c>
      <c r="D59" s="3">
        <f>IFERROR(__xludf.DUMMYFUNCTION("""COMPUTED_VALUE"""),115.7221)</f>
        <v>115.7221</v>
      </c>
      <c r="E59" s="3">
        <f>IFERROR(__xludf.DUMMYFUNCTION("""COMPUTED_VALUE"""),0.0)</f>
        <v>0</v>
      </c>
      <c r="F59" s="3">
        <f>IFERROR(__xludf.DUMMYFUNCTION("""COMPUTED_VALUE"""),0.0)</f>
        <v>0</v>
      </c>
      <c r="G59" s="3">
        <f>IFERROR(__xludf.DUMMYFUNCTION("""COMPUTED_VALUE"""),0.0)</f>
        <v>0</v>
      </c>
      <c r="H59" s="3">
        <f>IFERROR(__xludf.DUMMYFUNCTION("""COMPUTED_VALUE"""),0.0)</f>
        <v>0</v>
      </c>
      <c r="I59" s="3">
        <f>IFERROR(__xludf.DUMMYFUNCTION("""COMPUTED_VALUE"""),0.0)</f>
        <v>0</v>
      </c>
      <c r="J59" s="3">
        <f>IFERROR(__xludf.DUMMYFUNCTION("""COMPUTED_VALUE"""),2.0)</f>
        <v>2</v>
      </c>
      <c r="K59" s="3">
        <f>IFERROR(__xludf.DUMMYFUNCTION("""COMPUTED_VALUE"""),3.0)</f>
        <v>3</v>
      </c>
      <c r="L59" s="3">
        <f>IFERROR(__xludf.DUMMYFUNCTION("""COMPUTED_VALUE"""),3.0)</f>
        <v>3</v>
      </c>
      <c r="M59" s="3">
        <f>IFERROR(__xludf.DUMMYFUNCTION("""COMPUTED_VALUE"""),5.0)</f>
        <v>5</v>
      </c>
      <c r="N59" s="3">
        <f>IFERROR(__xludf.DUMMYFUNCTION("""COMPUTED_VALUE"""),7.0)</f>
        <v>7</v>
      </c>
      <c r="O59" s="3">
        <f>IFERROR(__xludf.DUMMYFUNCTION("""COMPUTED_VALUE"""),9.0)</f>
        <v>9</v>
      </c>
      <c r="P59" s="3">
        <f>IFERROR(__xludf.DUMMYFUNCTION("""COMPUTED_VALUE"""),12.0)</f>
        <v>12</v>
      </c>
      <c r="Q59" s="3">
        <f>IFERROR(__xludf.DUMMYFUNCTION("""COMPUTED_VALUE"""),18.0)</f>
        <v>18</v>
      </c>
      <c r="R59" s="3">
        <f>IFERROR(__xludf.DUMMYFUNCTION("""COMPUTED_VALUE"""),20.0)</f>
        <v>20</v>
      </c>
      <c r="S59" s="3">
        <f>IFERROR(__xludf.DUMMYFUNCTION("""COMPUTED_VALUE"""),27.0)</f>
        <v>27</v>
      </c>
      <c r="T59" s="3">
        <f>IFERROR(__xludf.DUMMYFUNCTION("""COMPUTED_VALUE"""),37.0)</f>
        <v>37</v>
      </c>
      <c r="U59" s="3">
        <f>IFERROR(__xludf.DUMMYFUNCTION("""COMPUTED_VALUE"""),45.0)</f>
        <v>45</v>
      </c>
      <c r="V59" s="3">
        <f>IFERROR(__xludf.DUMMYFUNCTION("""COMPUTED_VALUE"""),55.0)</f>
        <v>55</v>
      </c>
      <c r="W59" s="3">
        <f>IFERROR(__xludf.DUMMYFUNCTION("""COMPUTED_VALUE"""),73.0)</f>
        <v>73</v>
      </c>
      <c r="X59" s="3">
        <f>IFERROR(__xludf.DUMMYFUNCTION("""COMPUTED_VALUE"""),105.0)</f>
        <v>105</v>
      </c>
      <c r="Y59" s="3">
        <f>IFERROR(__xludf.DUMMYFUNCTION("""COMPUTED_VALUE"""),128.0)</f>
        <v>128</v>
      </c>
      <c r="Z59" s="3">
        <f>IFERROR(__xludf.DUMMYFUNCTION("""COMPUTED_VALUE"""),152.0)</f>
        <v>152</v>
      </c>
      <c r="AA59" s="3">
        <f>IFERROR(__xludf.DUMMYFUNCTION("""COMPUTED_VALUE"""),170.0)</f>
        <v>170</v>
      </c>
      <c r="AB59" s="3">
        <f>IFERROR(__xludf.DUMMYFUNCTION("""COMPUTED_VALUE"""),187.0)</f>
        <v>187</v>
      </c>
      <c r="AC59" s="3">
        <f>IFERROR(__xludf.DUMMYFUNCTION("""COMPUTED_VALUE"""),210.0)</f>
        <v>210</v>
      </c>
      <c r="AD59" s="3">
        <f>IFERROR(__xludf.DUMMYFUNCTION("""COMPUTED_VALUE"""),240.0)</f>
        <v>240</v>
      </c>
      <c r="AE59" s="3">
        <f>IFERROR(__xludf.DUMMYFUNCTION("""COMPUTED_VALUE"""),275.0)</f>
        <v>275</v>
      </c>
      <c r="AF59" s="3">
        <f>IFERROR(__xludf.DUMMYFUNCTION("""COMPUTED_VALUE"""),310.0)</f>
        <v>310</v>
      </c>
      <c r="AG59" s="3">
        <f>IFERROR(__xludf.DUMMYFUNCTION("""COMPUTED_VALUE"""),362.0)</f>
        <v>362</v>
      </c>
      <c r="AH59" s="3">
        <f>IFERROR(__xludf.DUMMYFUNCTION("""COMPUTED_VALUE"""),433.0)</f>
        <v>433</v>
      </c>
      <c r="AI59" s="3">
        <f>IFERROR(__xludf.DUMMYFUNCTION("""COMPUTED_VALUE"""),489.0)</f>
        <v>489</v>
      </c>
      <c r="AJ59" s="3">
        <f>IFERROR(__xludf.DUMMYFUNCTION("""COMPUTED_VALUE"""),555.0)</f>
        <v>555</v>
      </c>
      <c r="AK59" s="3">
        <f>IFERROR(__xludf.DUMMYFUNCTION("""COMPUTED_VALUE"""),613.0)</f>
        <v>613</v>
      </c>
      <c r="AL59" s="3">
        <f>IFERROR(__xludf.DUMMYFUNCTION("""COMPUTED_VALUE"""),645.0)</f>
        <v>645</v>
      </c>
      <c r="AM59" s="3">
        <f>IFERROR(__xludf.DUMMYFUNCTION("""COMPUTED_VALUE"""),683.0)</f>
        <v>683</v>
      </c>
      <c r="AN59" s="3">
        <f>IFERROR(__xludf.DUMMYFUNCTION("""COMPUTED_VALUE"""),719.0)</f>
        <v>719</v>
      </c>
      <c r="AO59" s="3">
        <f>IFERROR(__xludf.DUMMYFUNCTION("""COMPUTED_VALUE"""),754.0)</f>
        <v>754</v>
      </c>
      <c r="AP59" s="3">
        <f>IFERROR(__xludf.DUMMYFUNCTION("""COMPUTED_VALUE"""),790.0)</f>
        <v>790</v>
      </c>
      <c r="AQ59" s="3">
        <f>IFERROR(__xludf.DUMMYFUNCTION("""COMPUTED_VALUE"""),811.0)</f>
        <v>811</v>
      </c>
      <c r="AR59" s="3">
        <f>IFERROR(__xludf.DUMMYFUNCTION("""COMPUTED_VALUE"""),831.0)</f>
        <v>831</v>
      </c>
      <c r="AS59" s="3">
        <f>IFERROR(__xludf.DUMMYFUNCTION("""COMPUTED_VALUE"""),850.0)</f>
        <v>850</v>
      </c>
      <c r="AT59" s="3">
        <f>IFERROR(__xludf.DUMMYFUNCTION("""COMPUTED_VALUE"""),870.0)</f>
        <v>870</v>
      </c>
      <c r="AU59" s="3">
        <f>IFERROR(__xludf.DUMMYFUNCTION("""COMPUTED_VALUE"""),884.0)</f>
        <v>884</v>
      </c>
      <c r="AV59" s="3">
        <f>IFERROR(__xludf.DUMMYFUNCTION("""COMPUTED_VALUE"""),901.0)</f>
        <v>901</v>
      </c>
      <c r="AW59" s="3">
        <f>IFERROR(__xludf.DUMMYFUNCTION("""COMPUTED_VALUE"""),909.0)</f>
        <v>909</v>
      </c>
      <c r="AX59" s="3">
        <f>IFERROR(__xludf.DUMMYFUNCTION("""COMPUTED_VALUE"""),916.0)</f>
        <v>916</v>
      </c>
      <c r="AY59" s="3">
        <f>IFERROR(__xludf.DUMMYFUNCTION("""COMPUTED_VALUE"""),919.0)</f>
        <v>919</v>
      </c>
      <c r="AZ59" s="3">
        <f>IFERROR(__xludf.DUMMYFUNCTION("""COMPUTED_VALUE"""),923.0)</f>
        <v>923</v>
      </c>
      <c r="BA59" s="3">
        <f>IFERROR(__xludf.DUMMYFUNCTION("""COMPUTED_VALUE"""),927.0)</f>
        <v>927</v>
      </c>
      <c r="BB59" s="3">
        <f>IFERROR(__xludf.DUMMYFUNCTION("""COMPUTED_VALUE"""),932.0)</f>
        <v>932</v>
      </c>
      <c r="BC59" s="3">
        <f>IFERROR(__xludf.DUMMYFUNCTION("""COMPUTED_VALUE"""),934.0)</f>
        <v>934</v>
      </c>
      <c r="BD59" s="3">
        <f>IFERROR(__xludf.DUMMYFUNCTION("""COMPUTED_VALUE"""),934.0)</f>
        <v>934</v>
      </c>
      <c r="BE59" s="3">
        <f>IFERROR(__xludf.DUMMYFUNCTION("""COMPUTED_VALUE"""),934.0)</f>
        <v>934</v>
      </c>
      <c r="BF59" s="3">
        <f>IFERROR(__xludf.DUMMYFUNCTION("""COMPUTED_VALUE"""),934.0)</f>
        <v>934</v>
      </c>
      <c r="BG59" s="3">
        <f>IFERROR(__xludf.DUMMYFUNCTION("""COMPUTED_VALUE"""),934.0)</f>
        <v>934</v>
      </c>
      <c r="BH59" s="3">
        <f>IFERROR(__xludf.DUMMYFUNCTION("""COMPUTED_VALUE"""),934.0)</f>
        <v>934</v>
      </c>
      <c r="BI59" s="3">
        <f>IFERROR(__xludf.DUMMYFUNCTION("""COMPUTED_VALUE"""),934.0)</f>
        <v>934</v>
      </c>
      <c r="BJ59" s="3">
        <f>IFERROR(__xludf.DUMMYFUNCTION("""COMPUTED_VALUE"""),934.0)</f>
        <v>934</v>
      </c>
      <c r="BK59" s="3">
        <f>IFERROR(__xludf.DUMMYFUNCTION("""COMPUTED_VALUE"""),934.0)</f>
        <v>934</v>
      </c>
      <c r="BL59" s="3">
        <f>IFERROR(__xludf.DUMMYFUNCTION("""COMPUTED_VALUE"""),934.0)</f>
        <v>934</v>
      </c>
      <c r="BM59" s="3">
        <f>IFERROR(__xludf.DUMMYFUNCTION("""COMPUTED_VALUE"""),934.0)</f>
        <v>934</v>
      </c>
      <c r="BN59" s="3">
        <f>IFERROR(__xludf.DUMMYFUNCTION("""COMPUTED_VALUE"""),934.0)</f>
        <v>934</v>
      </c>
      <c r="BO59" s="3">
        <f>IFERROR(__xludf.DUMMYFUNCTION("""COMPUTED_VALUE"""),934.0)</f>
        <v>934</v>
      </c>
      <c r="BP59" s="3">
        <f>IFERROR(__xludf.DUMMYFUNCTION("""COMPUTED_VALUE"""),934.0)</f>
        <v>934</v>
      </c>
      <c r="BQ59" s="3">
        <f>IFERROR(__xludf.DUMMYFUNCTION("""COMPUTED_VALUE"""),934.0)</f>
        <v>934</v>
      </c>
      <c r="BR59" s="3">
        <f>IFERROR(__xludf.DUMMYFUNCTION("""COMPUTED_VALUE"""),934.0)</f>
        <v>934</v>
      </c>
      <c r="BS59" s="3">
        <f>IFERROR(__xludf.DUMMYFUNCTION("""COMPUTED_VALUE"""),934.0)</f>
        <v>934</v>
      </c>
      <c r="BT59" s="3">
        <f>IFERROR(__xludf.DUMMYFUNCTION("""COMPUTED_VALUE"""),934.0)</f>
        <v>934</v>
      </c>
      <c r="BU59" s="3">
        <f>IFERROR(__xludf.DUMMYFUNCTION("""COMPUTED_VALUE"""),935.0)</f>
        <v>935</v>
      </c>
      <c r="BV59" s="3">
        <f>IFERROR(__xludf.DUMMYFUNCTION("""COMPUTED_VALUE"""),935.0)</f>
        <v>935</v>
      </c>
      <c r="BW59" s="3">
        <f>IFERROR(__xludf.DUMMYFUNCTION("""COMPUTED_VALUE"""),935.0)</f>
        <v>935</v>
      </c>
      <c r="BX59" s="3">
        <f>IFERROR(__xludf.DUMMYFUNCTION("""COMPUTED_VALUE"""),935.0)</f>
        <v>935</v>
      </c>
      <c r="BY59" s="3">
        <f>IFERROR(__xludf.DUMMYFUNCTION("""COMPUTED_VALUE"""),935.0)</f>
        <v>935</v>
      </c>
      <c r="BZ59" s="3">
        <f>IFERROR(__xludf.DUMMYFUNCTION("""COMPUTED_VALUE"""),935.0)</f>
        <v>935</v>
      </c>
      <c r="CA59" s="3">
        <f>IFERROR(__xludf.DUMMYFUNCTION("""COMPUTED_VALUE"""),935.0)</f>
        <v>935</v>
      </c>
      <c r="CB59" s="3">
        <f>IFERROR(__xludf.DUMMYFUNCTION("""COMPUTED_VALUE"""),935.0)</f>
        <v>935</v>
      </c>
    </row>
    <row r="60">
      <c r="A60" s="3" t="str">
        <f>IFERROR(__xludf.DUMMYFUNCTION("""COMPUTED_VALUE"""),"Jilin")</f>
        <v>Jilin</v>
      </c>
      <c r="B60" s="3" t="str">
        <f>IFERROR(__xludf.DUMMYFUNCTION("""COMPUTED_VALUE"""),"China")</f>
        <v>China</v>
      </c>
      <c r="C60" s="3">
        <f>IFERROR(__xludf.DUMMYFUNCTION("""COMPUTED_VALUE"""),43.6661)</f>
        <v>43.6661</v>
      </c>
      <c r="D60" s="3">
        <f>IFERROR(__xludf.DUMMYFUNCTION("""COMPUTED_VALUE"""),126.1923)</f>
        <v>126.1923</v>
      </c>
      <c r="E60" s="3">
        <f>IFERROR(__xludf.DUMMYFUNCTION("""COMPUTED_VALUE"""),0.0)</f>
        <v>0</v>
      </c>
      <c r="F60" s="3">
        <f>IFERROR(__xludf.DUMMYFUNCTION("""COMPUTED_VALUE"""),0.0)</f>
        <v>0</v>
      </c>
      <c r="G60" s="3">
        <f>IFERROR(__xludf.DUMMYFUNCTION("""COMPUTED_VALUE"""),0.0)</f>
        <v>0</v>
      </c>
      <c r="H60" s="3">
        <f>IFERROR(__xludf.DUMMYFUNCTION("""COMPUTED_VALUE"""),0.0)</f>
        <v>0</v>
      </c>
      <c r="I60" s="3">
        <f>IFERROR(__xludf.DUMMYFUNCTION("""COMPUTED_VALUE"""),0.0)</f>
        <v>0</v>
      </c>
      <c r="J60" s="3">
        <f>IFERROR(__xludf.DUMMYFUNCTION("""COMPUTED_VALUE"""),0.0)</f>
        <v>0</v>
      </c>
      <c r="K60" s="3">
        <f>IFERROR(__xludf.DUMMYFUNCTION("""COMPUTED_VALUE"""),0.0)</f>
        <v>0</v>
      </c>
      <c r="L60" s="3">
        <f>IFERROR(__xludf.DUMMYFUNCTION("""COMPUTED_VALUE"""),0.0)</f>
        <v>0</v>
      </c>
      <c r="M60" s="3">
        <f>IFERROR(__xludf.DUMMYFUNCTION("""COMPUTED_VALUE"""),1.0)</f>
        <v>1</v>
      </c>
      <c r="N60" s="3">
        <f>IFERROR(__xludf.DUMMYFUNCTION("""COMPUTED_VALUE"""),1.0)</f>
        <v>1</v>
      </c>
      <c r="O60" s="3">
        <f>IFERROR(__xludf.DUMMYFUNCTION("""COMPUTED_VALUE"""),1.0)</f>
        <v>1</v>
      </c>
      <c r="P60" s="3">
        <f>IFERROR(__xludf.DUMMYFUNCTION("""COMPUTED_VALUE"""),1.0)</f>
        <v>1</v>
      </c>
      <c r="Q60" s="3">
        <f>IFERROR(__xludf.DUMMYFUNCTION("""COMPUTED_VALUE"""),1.0)</f>
        <v>1</v>
      </c>
      <c r="R60" s="3">
        <f>IFERROR(__xludf.DUMMYFUNCTION("""COMPUTED_VALUE"""),1.0)</f>
        <v>1</v>
      </c>
      <c r="S60" s="3">
        <f>IFERROR(__xludf.DUMMYFUNCTION("""COMPUTED_VALUE"""),2.0)</f>
        <v>2</v>
      </c>
      <c r="T60" s="3">
        <f>IFERROR(__xludf.DUMMYFUNCTION("""COMPUTED_VALUE"""),4.0)</f>
        <v>4</v>
      </c>
      <c r="U60" s="3">
        <f>IFERROR(__xludf.DUMMYFUNCTION("""COMPUTED_VALUE"""),4.0)</f>
        <v>4</v>
      </c>
      <c r="V60" s="3">
        <f>IFERROR(__xludf.DUMMYFUNCTION("""COMPUTED_VALUE"""),4.0)</f>
        <v>4</v>
      </c>
      <c r="W60" s="3">
        <f>IFERROR(__xludf.DUMMYFUNCTION("""COMPUTED_VALUE"""),12.0)</f>
        <v>12</v>
      </c>
      <c r="X60" s="3">
        <f>IFERROR(__xludf.DUMMYFUNCTION("""COMPUTED_VALUE"""),13.0)</f>
        <v>13</v>
      </c>
      <c r="Y60" s="3">
        <f>IFERROR(__xludf.DUMMYFUNCTION("""COMPUTED_VALUE"""),18.0)</f>
        <v>18</v>
      </c>
      <c r="Z60" s="3">
        <f>IFERROR(__xludf.DUMMYFUNCTION("""COMPUTED_VALUE"""),22.0)</f>
        <v>22</v>
      </c>
      <c r="AA60" s="3">
        <f>IFERROR(__xludf.DUMMYFUNCTION("""COMPUTED_VALUE"""),24.0)</f>
        <v>24</v>
      </c>
      <c r="AB60" s="3">
        <f>IFERROR(__xludf.DUMMYFUNCTION("""COMPUTED_VALUE"""),25.0)</f>
        <v>25</v>
      </c>
      <c r="AC60" s="3">
        <f>IFERROR(__xludf.DUMMYFUNCTION("""COMPUTED_VALUE"""),26.0)</f>
        <v>26</v>
      </c>
      <c r="AD60" s="3">
        <f>IFERROR(__xludf.DUMMYFUNCTION("""COMPUTED_VALUE"""),30.0)</f>
        <v>30</v>
      </c>
      <c r="AE60" s="3">
        <f>IFERROR(__xludf.DUMMYFUNCTION("""COMPUTED_VALUE"""),34.0)</f>
        <v>34</v>
      </c>
      <c r="AF60" s="3">
        <f>IFERROR(__xludf.DUMMYFUNCTION("""COMPUTED_VALUE"""),36.0)</f>
        <v>36</v>
      </c>
      <c r="AG60" s="3">
        <f>IFERROR(__xludf.DUMMYFUNCTION("""COMPUTED_VALUE"""),37.0)</f>
        <v>37</v>
      </c>
      <c r="AH60" s="3">
        <f>IFERROR(__xludf.DUMMYFUNCTION("""COMPUTED_VALUE"""),43.0)</f>
        <v>43</v>
      </c>
      <c r="AI60" s="3">
        <f>IFERROR(__xludf.DUMMYFUNCTION("""COMPUTED_VALUE"""),45.0)</f>
        <v>45</v>
      </c>
      <c r="AJ60" s="3">
        <f>IFERROR(__xludf.DUMMYFUNCTION("""COMPUTED_VALUE"""),52.0)</f>
        <v>52</v>
      </c>
      <c r="AK60" s="3">
        <f>IFERROR(__xludf.DUMMYFUNCTION("""COMPUTED_VALUE"""),54.0)</f>
        <v>54</v>
      </c>
      <c r="AL60" s="3">
        <f>IFERROR(__xludf.DUMMYFUNCTION("""COMPUTED_VALUE"""),60.0)</f>
        <v>60</v>
      </c>
      <c r="AM60" s="3">
        <f>IFERROR(__xludf.DUMMYFUNCTION("""COMPUTED_VALUE"""),63.0)</f>
        <v>63</v>
      </c>
      <c r="AN60" s="3">
        <f>IFERROR(__xludf.DUMMYFUNCTION("""COMPUTED_VALUE"""),65.0)</f>
        <v>65</v>
      </c>
      <c r="AO60" s="3">
        <f>IFERROR(__xludf.DUMMYFUNCTION("""COMPUTED_VALUE"""),67.0)</f>
        <v>67</v>
      </c>
      <c r="AP60" s="3">
        <f>IFERROR(__xludf.DUMMYFUNCTION("""COMPUTED_VALUE"""),73.0)</f>
        <v>73</v>
      </c>
      <c r="AQ60" s="3">
        <f>IFERROR(__xludf.DUMMYFUNCTION("""COMPUTED_VALUE"""),75.0)</f>
        <v>75</v>
      </c>
      <c r="AR60" s="3">
        <f>IFERROR(__xludf.DUMMYFUNCTION("""COMPUTED_VALUE"""),78.0)</f>
        <v>78</v>
      </c>
      <c r="AS60" s="3">
        <f>IFERROR(__xludf.DUMMYFUNCTION("""COMPUTED_VALUE"""),83.0)</f>
        <v>83</v>
      </c>
      <c r="AT60" s="3">
        <f>IFERROR(__xludf.DUMMYFUNCTION("""COMPUTED_VALUE"""),83.0)</f>
        <v>83</v>
      </c>
      <c r="AU60" s="3">
        <f>IFERROR(__xludf.DUMMYFUNCTION("""COMPUTED_VALUE"""),86.0)</f>
        <v>86</v>
      </c>
      <c r="AV60" s="3">
        <f>IFERROR(__xludf.DUMMYFUNCTION("""COMPUTED_VALUE"""),88.0)</f>
        <v>88</v>
      </c>
      <c r="AW60" s="3">
        <f>IFERROR(__xludf.DUMMYFUNCTION("""COMPUTED_VALUE"""),90.0)</f>
        <v>90</v>
      </c>
      <c r="AX60" s="3">
        <f>IFERROR(__xludf.DUMMYFUNCTION("""COMPUTED_VALUE"""),90.0)</f>
        <v>90</v>
      </c>
      <c r="AY60" s="3">
        <f>IFERROR(__xludf.DUMMYFUNCTION("""COMPUTED_VALUE"""),90.0)</f>
        <v>90</v>
      </c>
      <c r="AZ60" s="3">
        <f>IFERROR(__xludf.DUMMYFUNCTION("""COMPUTED_VALUE"""),91.0)</f>
        <v>91</v>
      </c>
      <c r="BA60" s="3">
        <f>IFERROR(__xludf.DUMMYFUNCTION("""COMPUTED_VALUE"""),91.0)</f>
        <v>91</v>
      </c>
      <c r="BB60" s="3">
        <f>IFERROR(__xludf.DUMMYFUNCTION("""COMPUTED_VALUE"""),91.0)</f>
        <v>91</v>
      </c>
      <c r="BC60" s="3">
        <f>IFERROR(__xludf.DUMMYFUNCTION("""COMPUTED_VALUE"""),91.0)</f>
        <v>91</v>
      </c>
      <c r="BD60" s="3">
        <f>IFERROR(__xludf.DUMMYFUNCTION("""COMPUTED_VALUE"""),91.0)</f>
        <v>91</v>
      </c>
      <c r="BE60" s="3">
        <f>IFERROR(__xludf.DUMMYFUNCTION("""COMPUTED_VALUE"""),91.0)</f>
        <v>91</v>
      </c>
      <c r="BF60" s="3">
        <f>IFERROR(__xludf.DUMMYFUNCTION("""COMPUTED_VALUE"""),91.0)</f>
        <v>91</v>
      </c>
      <c r="BG60" s="3">
        <f>IFERROR(__xludf.DUMMYFUNCTION("""COMPUTED_VALUE"""),92.0)</f>
        <v>92</v>
      </c>
      <c r="BH60" s="3">
        <f>IFERROR(__xludf.DUMMYFUNCTION("""COMPUTED_VALUE"""),92.0)</f>
        <v>92</v>
      </c>
      <c r="BI60" s="3">
        <f>IFERROR(__xludf.DUMMYFUNCTION("""COMPUTED_VALUE"""),92.0)</f>
        <v>92</v>
      </c>
      <c r="BJ60" s="3">
        <f>IFERROR(__xludf.DUMMYFUNCTION("""COMPUTED_VALUE"""),92.0)</f>
        <v>92</v>
      </c>
      <c r="BK60" s="3">
        <f>IFERROR(__xludf.DUMMYFUNCTION("""COMPUTED_VALUE"""),92.0)</f>
        <v>92</v>
      </c>
      <c r="BL60" s="3">
        <f>IFERROR(__xludf.DUMMYFUNCTION("""COMPUTED_VALUE"""),92.0)</f>
        <v>92</v>
      </c>
      <c r="BM60" s="3">
        <f>IFERROR(__xludf.DUMMYFUNCTION("""COMPUTED_VALUE"""),92.0)</f>
        <v>92</v>
      </c>
      <c r="BN60" s="3">
        <f>IFERROR(__xludf.DUMMYFUNCTION("""COMPUTED_VALUE"""),92.0)</f>
        <v>92</v>
      </c>
      <c r="BO60" s="3">
        <f>IFERROR(__xludf.DUMMYFUNCTION("""COMPUTED_VALUE"""),92.0)</f>
        <v>92</v>
      </c>
      <c r="BP60" s="3">
        <f>IFERROR(__xludf.DUMMYFUNCTION("""COMPUTED_VALUE"""),92.0)</f>
        <v>92</v>
      </c>
      <c r="BQ60" s="3">
        <f>IFERROR(__xludf.DUMMYFUNCTION("""COMPUTED_VALUE"""),92.0)</f>
        <v>92</v>
      </c>
      <c r="BR60" s="3">
        <f>IFERROR(__xludf.DUMMYFUNCTION("""COMPUTED_VALUE"""),92.0)</f>
        <v>92</v>
      </c>
      <c r="BS60" s="3">
        <f>IFERROR(__xludf.DUMMYFUNCTION("""COMPUTED_VALUE"""),92.0)</f>
        <v>92</v>
      </c>
      <c r="BT60" s="3">
        <f>IFERROR(__xludf.DUMMYFUNCTION("""COMPUTED_VALUE"""),92.0)</f>
        <v>92</v>
      </c>
      <c r="BU60" s="3">
        <f>IFERROR(__xludf.DUMMYFUNCTION("""COMPUTED_VALUE"""),92.0)</f>
        <v>92</v>
      </c>
      <c r="BV60" s="3">
        <f>IFERROR(__xludf.DUMMYFUNCTION("""COMPUTED_VALUE"""),92.0)</f>
        <v>92</v>
      </c>
      <c r="BW60" s="3">
        <f>IFERROR(__xludf.DUMMYFUNCTION("""COMPUTED_VALUE"""),92.0)</f>
        <v>92</v>
      </c>
      <c r="BX60" s="3">
        <f>IFERROR(__xludf.DUMMYFUNCTION("""COMPUTED_VALUE"""),92.0)</f>
        <v>92</v>
      </c>
      <c r="BY60" s="3">
        <f>IFERROR(__xludf.DUMMYFUNCTION("""COMPUTED_VALUE"""),92.0)</f>
        <v>92</v>
      </c>
      <c r="BZ60" s="3">
        <f>IFERROR(__xludf.DUMMYFUNCTION("""COMPUTED_VALUE"""),92.0)</f>
        <v>92</v>
      </c>
      <c r="CA60" s="3">
        <f>IFERROR(__xludf.DUMMYFUNCTION("""COMPUTED_VALUE"""),92.0)</f>
        <v>92</v>
      </c>
      <c r="CB60" s="3">
        <f>IFERROR(__xludf.DUMMYFUNCTION("""COMPUTED_VALUE"""),92.0)</f>
        <v>92</v>
      </c>
    </row>
    <row r="61">
      <c r="A61" s="3" t="str">
        <f>IFERROR(__xludf.DUMMYFUNCTION("""COMPUTED_VALUE"""),"Liaoning")</f>
        <v>Liaoning</v>
      </c>
      <c r="B61" s="3" t="str">
        <f>IFERROR(__xludf.DUMMYFUNCTION("""COMPUTED_VALUE"""),"China")</f>
        <v>China</v>
      </c>
      <c r="C61" s="3">
        <f>IFERROR(__xludf.DUMMYFUNCTION("""COMPUTED_VALUE"""),41.2956)</f>
        <v>41.2956</v>
      </c>
      <c r="D61" s="3">
        <f>IFERROR(__xludf.DUMMYFUNCTION("""COMPUTED_VALUE"""),122.6085)</f>
        <v>122.6085</v>
      </c>
      <c r="E61" s="3">
        <f>IFERROR(__xludf.DUMMYFUNCTION("""COMPUTED_VALUE"""),0.0)</f>
        <v>0</v>
      </c>
      <c r="F61" s="3">
        <f>IFERROR(__xludf.DUMMYFUNCTION("""COMPUTED_VALUE"""),0.0)</f>
        <v>0</v>
      </c>
      <c r="G61" s="3">
        <f>IFERROR(__xludf.DUMMYFUNCTION("""COMPUTED_VALUE"""),0.0)</f>
        <v>0</v>
      </c>
      <c r="H61" s="3">
        <f>IFERROR(__xludf.DUMMYFUNCTION("""COMPUTED_VALUE"""),0.0)</f>
        <v>0</v>
      </c>
      <c r="I61" s="3">
        <f>IFERROR(__xludf.DUMMYFUNCTION("""COMPUTED_VALUE"""),0.0)</f>
        <v>0</v>
      </c>
      <c r="J61" s="3">
        <f>IFERROR(__xludf.DUMMYFUNCTION("""COMPUTED_VALUE"""),0.0)</f>
        <v>0</v>
      </c>
      <c r="K61" s="3">
        <f>IFERROR(__xludf.DUMMYFUNCTION("""COMPUTED_VALUE"""),0.0)</f>
        <v>0</v>
      </c>
      <c r="L61" s="3">
        <f>IFERROR(__xludf.DUMMYFUNCTION("""COMPUTED_VALUE"""),1.0)</f>
        <v>1</v>
      </c>
      <c r="M61" s="3">
        <f>IFERROR(__xludf.DUMMYFUNCTION("""COMPUTED_VALUE"""),1.0)</f>
        <v>1</v>
      </c>
      <c r="N61" s="3">
        <f>IFERROR(__xludf.DUMMYFUNCTION("""COMPUTED_VALUE"""),1.0)</f>
        <v>1</v>
      </c>
      <c r="O61" s="3">
        <f>IFERROR(__xludf.DUMMYFUNCTION("""COMPUTED_VALUE"""),1.0)</f>
        <v>1</v>
      </c>
      <c r="P61" s="3">
        <f>IFERROR(__xludf.DUMMYFUNCTION("""COMPUTED_VALUE"""),1.0)</f>
        <v>1</v>
      </c>
      <c r="Q61" s="3">
        <f>IFERROR(__xludf.DUMMYFUNCTION("""COMPUTED_VALUE"""),1.0)</f>
        <v>1</v>
      </c>
      <c r="R61" s="3">
        <f>IFERROR(__xludf.DUMMYFUNCTION("""COMPUTED_VALUE"""),2.0)</f>
        <v>2</v>
      </c>
      <c r="S61" s="3">
        <f>IFERROR(__xludf.DUMMYFUNCTION("""COMPUTED_VALUE"""),4.0)</f>
        <v>4</v>
      </c>
      <c r="T61" s="3">
        <f>IFERROR(__xludf.DUMMYFUNCTION("""COMPUTED_VALUE"""),5.0)</f>
        <v>5</v>
      </c>
      <c r="U61" s="3">
        <f>IFERROR(__xludf.DUMMYFUNCTION("""COMPUTED_VALUE"""),7.0)</f>
        <v>7</v>
      </c>
      <c r="V61" s="3">
        <f>IFERROR(__xludf.DUMMYFUNCTION("""COMPUTED_VALUE"""),8.0)</f>
        <v>8</v>
      </c>
      <c r="W61" s="3">
        <f>IFERROR(__xludf.DUMMYFUNCTION("""COMPUTED_VALUE"""),12.0)</f>
        <v>12</v>
      </c>
      <c r="X61" s="3">
        <f>IFERROR(__xludf.DUMMYFUNCTION("""COMPUTED_VALUE"""),13.0)</f>
        <v>13</v>
      </c>
      <c r="Y61" s="3">
        <f>IFERROR(__xludf.DUMMYFUNCTION("""COMPUTED_VALUE"""),19.0)</f>
        <v>19</v>
      </c>
      <c r="Z61" s="3">
        <f>IFERROR(__xludf.DUMMYFUNCTION("""COMPUTED_VALUE"""),20.0)</f>
        <v>20</v>
      </c>
      <c r="AA61" s="3">
        <f>IFERROR(__xludf.DUMMYFUNCTION("""COMPUTED_VALUE"""),22.0)</f>
        <v>22</v>
      </c>
      <c r="AB61" s="3">
        <f>IFERROR(__xludf.DUMMYFUNCTION("""COMPUTED_VALUE"""),29.0)</f>
        <v>29</v>
      </c>
      <c r="AC61" s="3">
        <f>IFERROR(__xludf.DUMMYFUNCTION("""COMPUTED_VALUE"""),31.0)</f>
        <v>31</v>
      </c>
      <c r="AD61" s="3">
        <f>IFERROR(__xludf.DUMMYFUNCTION("""COMPUTED_VALUE"""),40.0)</f>
        <v>40</v>
      </c>
      <c r="AE61" s="3">
        <f>IFERROR(__xludf.DUMMYFUNCTION("""COMPUTED_VALUE"""),43.0)</f>
        <v>43</v>
      </c>
      <c r="AF61" s="3">
        <f>IFERROR(__xludf.DUMMYFUNCTION("""COMPUTED_VALUE"""),53.0)</f>
        <v>53</v>
      </c>
      <c r="AG61" s="3">
        <f>IFERROR(__xludf.DUMMYFUNCTION("""COMPUTED_VALUE"""),55.0)</f>
        <v>55</v>
      </c>
      <c r="AH61" s="3">
        <f>IFERROR(__xludf.DUMMYFUNCTION("""COMPUTED_VALUE"""),59.0)</f>
        <v>59</v>
      </c>
      <c r="AI61" s="3">
        <f>IFERROR(__xludf.DUMMYFUNCTION("""COMPUTED_VALUE"""),61.0)</f>
        <v>61</v>
      </c>
      <c r="AJ61" s="3">
        <f>IFERROR(__xludf.DUMMYFUNCTION("""COMPUTED_VALUE"""),66.0)</f>
        <v>66</v>
      </c>
      <c r="AK61" s="3">
        <f>IFERROR(__xludf.DUMMYFUNCTION("""COMPUTED_VALUE"""),73.0)</f>
        <v>73</v>
      </c>
      <c r="AL61" s="3">
        <f>IFERROR(__xludf.DUMMYFUNCTION("""COMPUTED_VALUE"""),80.0)</f>
        <v>80</v>
      </c>
      <c r="AM61" s="3">
        <f>IFERROR(__xludf.DUMMYFUNCTION("""COMPUTED_VALUE"""),83.0)</f>
        <v>83</v>
      </c>
      <c r="AN61" s="3">
        <f>IFERROR(__xludf.DUMMYFUNCTION("""COMPUTED_VALUE"""),88.0)</f>
        <v>88</v>
      </c>
      <c r="AO61" s="3">
        <f>IFERROR(__xludf.DUMMYFUNCTION("""COMPUTED_VALUE"""),93.0)</f>
        <v>93</v>
      </c>
      <c r="AP61" s="3">
        <f>IFERROR(__xludf.DUMMYFUNCTION("""COMPUTED_VALUE"""),93.0)</f>
        <v>93</v>
      </c>
      <c r="AQ61" s="3">
        <f>IFERROR(__xludf.DUMMYFUNCTION("""COMPUTED_VALUE"""),96.0)</f>
        <v>96</v>
      </c>
      <c r="AR61" s="3">
        <f>IFERROR(__xludf.DUMMYFUNCTION("""COMPUTED_VALUE"""),103.0)</f>
        <v>103</v>
      </c>
      <c r="AS61" s="3">
        <f>IFERROR(__xludf.DUMMYFUNCTION("""COMPUTED_VALUE"""),103.0)</f>
        <v>103</v>
      </c>
      <c r="AT61" s="3">
        <f>IFERROR(__xludf.DUMMYFUNCTION("""COMPUTED_VALUE"""),106.0)</f>
        <v>106</v>
      </c>
      <c r="AU61" s="3">
        <f>IFERROR(__xludf.DUMMYFUNCTION("""COMPUTED_VALUE"""),106.0)</f>
        <v>106</v>
      </c>
      <c r="AV61" s="3">
        <f>IFERROR(__xludf.DUMMYFUNCTION("""COMPUTED_VALUE"""),106.0)</f>
        <v>106</v>
      </c>
      <c r="AW61" s="3">
        <f>IFERROR(__xludf.DUMMYFUNCTION("""COMPUTED_VALUE"""),106.0)</f>
        <v>106</v>
      </c>
      <c r="AX61" s="3">
        <f>IFERROR(__xludf.DUMMYFUNCTION("""COMPUTED_VALUE"""),107.0)</f>
        <v>107</v>
      </c>
      <c r="AY61" s="3">
        <f>IFERROR(__xludf.DUMMYFUNCTION("""COMPUTED_VALUE"""),109.0)</f>
        <v>109</v>
      </c>
      <c r="AZ61" s="3">
        <f>IFERROR(__xludf.DUMMYFUNCTION("""COMPUTED_VALUE"""),109.0)</f>
        <v>109</v>
      </c>
      <c r="BA61" s="3">
        <f>IFERROR(__xludf.DUMMYFUNCTION("""COMPUTED_VALUE"""),111.0)</f>
        <v>111</v>
      </c>
      <c r="BB61" s="3">
        <f>IFERROR(__xludf.DUMMYFUNCTION("""COMPUTED_VALUE"""),111.0)</f>
        <v>111</v>
      </c>
      <c r="BC61" s="3">
        <f>IFERROR(__xludf.DUMMYFUNCTION("""COMPUTED_VALUE"""),112.0)</f>
        <v>112</v>
      </c>
      <c r="BD61" s="3">
        <f>IFERROR(__xludf.DUMMYFUNCTION("""COMPUTED_VALUE"""),112.0)</f>
        <v>112</v>
      </c>
      <c r="BE61" s="3">
        <f>IFERROR(__xludf.DUMMYFUNCTION("""COMPUTED_VALUE"""),113.0)</f>
        <v>113</v>
      </c>
      <c r="BF61" s="3">
        <f>IFERROR(__xludf.DUMMYFUNCTION("""COMPUTED_VALUE"""),114.0)</f>
        <v>114</v>
      </c>
      <c r="BG61" s="3">
        <f>IFERROR(__xludf.DUMMYFUNCTION("""COMPUTED_VALUE"""),115.0)</f>
        <v>115</v>
      </c>
      <c r="BH61" s="3">
        <f>IFERROR(__xludf.DUMMYFUNCTION("""COMPUTED_VALUE"""),120.0)</f>
        <v>120</v>
      </c>
      <c r="BI61" s="3">
        <f>IFERROR(__xludf.DUMMYFUNCTION("""COMPUTED_VALUE"""),122.0)</f>
        <v>122</v>
      </c>
      <c r="BJ61" s="3">
        <f>IFERROR(__xludf.DUMMYFUNCTION("""COMPUTED_VALUE"""),122.0)</f>
        <v>122</v>
      </c>
      <c r="BK61" s="3">
        <f>IFERROR(__xludf.DUMMYFUNCTION("""COMPUTED_VALUE"""),122.0)</f>
        <v>122</v>
      </c>
      <c r="BL61" s="3">
        <f>IFERROR(__xludf.DUMMYFUNCTION("""COMPUTED_VALUE"""),122.0)</f>
        <v>122</v>
      </c>
      <c r="BM61" s="3">
        <f>IFERROR(__xludf.DUMMYFUNCTION("""COMPUTED_VALUE"""),124.0)</f>
        <v>124</v>
      </c>
      <c r="BN61" s="3">
        <f>IFERROR(__xludf.DUMMYFUNCTION("""COMPUTED_VALUE"""),124.0)</f>
        <v>124</v>
      </c>
      <c r="BO61" s="3">
        <f>IFERROR(__xludf.DUMMYFUNCTION("""COMPUTED_VALUE"""),124.0)</f>
        <v>124</v>
      </c>
      <c r="BP61" s="3">
        <f>IFERROR(__xludf.DUMMYFUNCTION("""COMPUTED_VALUE"""),124.0)</f>
        <v>124</v>
      </c>
      <c r="BQ61" s="3">
        <f>IFERROR(__xludf.DUMMYFUNCTION("""COMPUTED_VALUE"""),124.0)</f>
        <v>124</v>
      </c>
      <c r="BR61" s="3">
        <f>IFERROR(__xludf.DUMMYFUNCTION("""COMPUTED_VALUE"""),124.0)</f>
        <v>124</v>
      </c>
      <c r="BS61" s="3">
        <f>IFERROR(__xludf.DUMMYFUNCTION("""COMPUTED_VALUE"""),124.0)</f>
        <v>124</v>
      </c>
      <c r="BT61" s="3">
        <f>IFERROR(__xludf.DUMMYFUNCTION("""COMPUTED_VALUE"""),124.0)</f>
        <v>124</v>
      </c>
      <c r="BU61" s="3">
        <f>IFERROR(__xludf.DUMMYFUNCTION("""COMPUTED_VALUE"""),124.0)</f>
        <v>124</v>
      </c>
      <c r="BV61" s="3">
        <f>IFERROR(__xludf.DUMMYFUNCTION("""COMPUTED_VALUE"""),124.0)</f>
        <v>124</v>
      </c>
      <c r="BW61" s="3">
        <f>IFERROR(__xludf.DUMMYFUNCTION("""COMPUTED_VALUE"""),124.0)</f>
        <v>124</v>
      </c>
      <c r="BX61" s="3">
        <f>IFERROR(__xludf.DUMMYFUNCTION("""COMPUTED_VALUE"""),124.0)</f>
        <v>124</v>
      </c>
      <c r="BY61" s="3">
        <f>IFERROR(__xludf.DUMMYFUNCTION("""COMPUTED_VALUE"""),124.0)</f>
        <v>124</v>
      </c>
      <c r="BZ61" s="3">
        <f>IFERROR(__xludf.DUMMYFUNCTION("""COMPUTED_VALUE"""),125.0)</f>
        <v>125</v>
      </c>
      <c r="CA61" s="3">
        <f>IFERROR(__xludf.DUMMYFUNCTION("""COMPUTED_VALUE"""),126.0)</f>
        <v>126</v>
      </c>
      <c r="CB61" s="3">
        <f>IFERROR(__xludf.DUMMYFUNCTION("""COMPUTED_VALUE"""),128.0)</f>
        <v>128</v>
      </c>
    </row>
    <row r="62">
      <c r="A62" s="3" t="str">
        <f>IFERROR(__xludf.DUMMYFUNCTION("""COMPUTED_VALUE"""),"Macau")</f>
        <v>Macau</v>
      </c>
      <c r="B62" s="3" t="str">
        <f>IFERROR(__xludf.DUMMYFUNCTION("""COMPUTED_VALUE"""),"China")</f>
        <v>China</v>
      </c>
      <c r="C62" s="3">
        <f>IFERROR(__xludf.DUMMYFUNCTION("""COMPUTED_VALUE"""),22.1667)</f>
        <v>22.1667</v>
      </c>
      <c r="D62" s="3">
        <f>IFERROR(__xludf.DUMMYFUNCTION("""COMPUTED_VALUE"""),113.55)</f>
        <v>113.55</v>
      </c>
      <c r="E62" s="3">
        <f>IFERROR(__xludf.DUMMYFUNCTION("""COMPUTED_VALUE"""),0.0)</f>
        <v>0</v>
      </c>
      <c r="F62" s="3">
        <f>IFERROR(__xludf.DUMMYFUNCTION("""COMPUTED_VALUE"""),0.0)</f>
        <v>0</v>
      </c>
      <c r="G62" s="3">
        <f>IFERROR(__xludf.DUMMYFUNCTION("""COMPUTED_VALUE"""),0.0)</f>
        <v>0</v>
      </c>
      <c r="H62" s="3">
        <f>IFERROR(__xludf.DUMMYFUNCTION("""COMPUTED_VALUE"""),0.0)</f>
        <v>0</v>
      </c>
      <c r="I62" s="3">
        <f>IFERROR(__xludf.DUMMYFUNCTION("""COMPUTED_VALUE"""),0.0)</f>
        <v>0</v>
      </c>
      <c r="J62" s="3">
        <f>IFERROR(__xludf.DUMMYFUNCTION("""COMPUTED_VALUE"""),0.0)</f>
        <v>0</v>
      </c>
      <c r="K62" s="3">
        <f>IFERROR(__xludf.DUMMYFUNCTION("""COMPUTED_VALUE"""),0.0)</f>
        <v>0</v>
      </c>
      <c r="L62" s="3">
        <f>IFERROR(__xludf.DUMMYFUNCTION("""COMPUTED_VALUE"""),0.0)</f>
        <v>0</v>
      </c>
      <c r="M62" s="3">
        <f>IFERROR(__xludf.DUMMYFUNCTION("""COMPUTED_VALUE"""),0.0)</f>
        <v>0</v>
      </c>
      <c r="N62" s="3">
        <f>IFERROR(__xludf.DUMMYFUNCTION("""COMPUTED_VALUE"""),0.0)</f>
        <v>0</v>
      </c>
      <c r="O62" s="3">
        <f>IFERROR(__xludf.DUMMYFUNCTION("""COMPUTED_VALUE"""),0.0)</f>
        <v>0</v>
      </c>
      <c r="P62" s="3">
        <f>IFERROR(__xludf.DUMMYFUNCTION("""COMPUTED_VALUE"""),0.0)</f>
        <v>0</v>
      </c>
      <c r="Q62" s="3">
        <f>IFERROR(__xludf.DUMMYFUNCTION("""COMPUTED_VALUE"""),0.0)</f>
        <v>0</v>
      </c>
      <c r="R62" s="3">
        <f>IFERROR(__xludf.DUMMYFUNCTION("""COMPUTED_VALUE"""),0.0)</f>
        <v>0</v>
      </c>
      <c r="S62" s="3">
        <f>IFERROR(__xludf.DUMMYFUNCTION("""COMPUTED_VALUE"""),0.0)</f>
        <v>0</v>
      </c>
      <c r="T62" s="3">
        <f>IFERROR(__xludf.DUMMYFUNCTION("""COMPUTED_VALUE"""),1.0)</f>
        <v>1</v>
      </c>
      <c r="U62" s="3">
        <f>IFERROR(__xludf.DUMMYFUNCTION("""COMPUTED_VALUE"""),1.0)</f>
        <v>1</v>
      </c>
      <c r="V62" s="3">
        <f>IFERROR(__xludf.DUMMYFUNCTION("""COMPUTED_VALUE"""),1.0)</f>
        <v>1</v>
      </c>
      <c r="W62" s="3">
        <f>IFERROR(__xludf.DUMMYFUNCTION("""COMPUTED_VALUE"""),1.0)</f>
        <v>1</v>
      </c>
      <c r="X62" s="3">
        <f>IFERROR(__xludf.DUMMYFUNCTION("""COMPUTED_VALUE"""),1.0)</f>
        <v>1</v>
      </c>
      <c r="Y62" s="3">
        <f>IFERROR(__xludf.DUMMYFUNCTION("""COMPUTED_VALUE"""),1.0)</f>
        <v>1</v>
      </c>
      <c r="Z62" s="3">
        <f>IFERROR(__xludf.DUMMYFUNCTION("""COMPUTED_VALUE"""),2.0)</f>
        <v>2</v>
      </c>
      <c r="AA62" s="3">
        <f>IFERROR(__xludf.DUMMYFUNCTION("""COMPUTED_VALUE"""),3.0)</f>
        <v>3</v>
      </c>
      <c r="AB62" s="3">
        <f>IFERROR(__xludf.DUMMYFUNCTION("""COMPUTED_VALUE"""),3.0)</f>
        <v>3</v>
      </c>
      <c r="AC62" s="3">
        <f>IFERROR(__xludf.DUMMYFUNCTION("""COMPUTED_VALUE"""),3.0)</f>
        <v>3</v>
      </c>
      <c r="AD62" s="3">
        <f>IFERROR(__xludf.DUMMYFUNCTION("""COMPUTED_VALUE"""),5.0)</f>
        <v>5</v>
      </c>
      <c r="AE62" s="3">
        <f>IFERROR(__xludf.DUMMYFUNCTION("""COMPUTED_VALUE"""),5.0)</f>
        <v>5</v>
      </c>
      <c r="AF62" s="3">
        <f>IFERROR(__xludf.DUMMYFUNCTION("""COMPUTED_VALUE"""),5.0)</f>
        <v>5</v>
      </c>
      <c r="AG62" s="3">
        <f>IFERROR(__xludf.DUMMYFUNCTION("""COMPUTED_VALUE"""),5.0)</f>
        <v>5</v>
      </c>
      <c r="AH62" s="3">
        <f>IFERROR(__xludf.DUMMYFUNCTION("""COMPUTED_VALUE"""),6.0)</f>
        <v>6</v>
      </c>
      <c r="AI62" s="3">
        <f>IFERROR(__xludf.DUMMYFUNCTION("""COMPUTED_VALUE"""),6.0)</f>
        <v>6</v>
      </c>
      <c r="AJ62" s="3">
        <f>IFERROR(__xludf.DUMMYFUNCTION("""COMPUTED_VALUE"""),6.0)</f>
        <v>6</v>
      </c>
      <c r="AK62" s="3">
        <f>IFERROR(__xludf.DUMMYFUNCTION("""COMPUTED_VALUE"""),6.0)</f>
        <v>6</v>
      </c>
      <c r="AL62" s="3">
        <f>IFERROR(__xludf.DUMMYFUNCTION("""COMPUTED_VALUE"""),6.0)</f>
        <v>6</v>
      </c>
      <c r="AM62" s="3">
        <f>IFERROR(__xludf.DUMMYFUNCTION("""COMPUTED_VALUE"""),7.0)</f>
        <v>7</v>
      </c>
      <c r="AN62" s="3">
        <f>IFERROR(__xludf.DUMMYFUNCTION("""COMPUTED_VALUE"""),7.0)</f>
        <v>7</v>
      </c>
      <c r="AO62" s="3">
        <f>IFERROR(__xludf.DUMMYFUNCTION("""COMPUTED_VALUE"""),8.0)</f>
        <v>8</v>
      </c>
      <c r="AP62" s="3">
        <f>IFERROR(__xludf.DUMMYFUNCTION("""COMPUTED_VALUE"""),8.0)</f>
        <v>8</v>
      </c>
      <c r="AQ62" s="3">
        <f>IFERROR(__xludf.DUMMYFUNCTION("""COMPUTED_VALUE"""),8.0)</f>
        <v>8</v>
      </c>
      <c r="AR62" s="3">
        <f>IFERROR(__xludf.DUMMYFUNCTION("""COMPUTED_VALUE"""),8.0)</f>
        <v>8</v>
      </c>
      <c r="AS62" s="3">
        <f>IFERROR(__xludf.DUMMYFUNCTION("""COMPUTED_VALUE"""),8.0)</f>
        <v>8</v>
      </c>
      <c r="AT62" s="3">
        <f>IFERROR(__xludf.DUMMYFUNCTION("""COMPUTED_VALUE"""),9.0)</f>
        <v>9</v>
      </c>
      <c r="AU62" s="3">
        <f>IFERROR(__xludf.DUMMYFUNCTION("""COMPUTED_VALUE"""),9.0)</f>
        <v>9</v>
      </c>
      <c r="AV62" s="3">
        <f>IFERROR(__xludf.DUMMYFUNCTION("""COMPUTED_VALUE"""),9.0)</f>
        <v>9</v>
      </c>
      <c r="AW62" s="3">
        <f>IFERROR(__xludf.DUMMYFUNCTION("""COMPUTED_VALUE"""),10.0)</f>
        <v>10</v>
      </c>
      <c r="AX62" s="3">
        <f>IFERROR(__xludf.DUMMYFUNCTION("""COMPUTED_VALUE"""),10.0)</f>
        <v>10</v>
      </c>
      <c r="AY62" s="3">
        <f>IFERROR(__xludf.DUMMYFUNCTION("""COMPUTED_VALUE"""),10.0)</f>
        <v>10</v>
      </c>
      <c r="AZ62" s="3">
        <f>IFERROR(__xludf.DUMMYFUNCTION("""COMPUTED_VALUE"""),10.0)</f>
        <v>10</v>
      </c>
      <c r="BA62" s="3">
        <f>IFERROR(__xludf.DUMMYFUNCTION("""COMPUTED_VALUE"""),10.0)</f>
        <v>10</v>
      </c>
      <c r="BB62" s="3">
        <f>IFERROR(__xludf.DUMMYFUNCTION("""COMPUTED_VALUE"""),10.0)</f>
        <v>10</v>
      </c>
      <c r="BC62" s="3">
        <f>IFERROR(__xludf.DUMMYFUNCTION("""COMPUTED_VALUE"""),10.0)</f>
        <v>10</v>
      </c>
      <c r="BD62" s="3">
        <f>IFERROR(__xludf.DUMMYFUNCTION("""COMPUTED_VALUE"""),10.0)</f>
        <v>10</v>
      </c>
      <c r="BE62" s="3">
        <f>IFERROR(__xludf.DUMMYFUNCTION("""COMPUTED_VALUE"""),10.0)</f>
        <v>10</v>
      </c>
      <c r="BF62" s="3">
        <f>IFERROR(__xludf.DUMMYFUNCTION("""COMPUTED_VALUE"""),10.0)</f>
        <v>10</v>
      </c>
      <c r="BG62" s="3">
        <f>IFERROR(__xludf.DUMMYFUNCTION("""COMPUTED_VALUE"""),10.0)</f>
        <v>10</v>
      </c>
      <c r="BH62" s="3">
        <f>IFERROR(__xludf.DUMMYFUNCTION("""COMPUTED_VALUE"""),10.0)</f>
        <v>10</v>
      </c>
      <c r="BI62" s="3">
        <f>IFERROR(__xludf.DUMMYFUNCTION("""COMPUTED_VALUE"""),10.0)</f>
        <v>10</v>
      </c>
      <c r="BJ62" s="3">
        <f>IFERROR(__xludf.DUMMYFUNCTION("""COMPUTED_VALUE"""),10.0)</f>
        <v>10</v>
      </c>
      <c r="BK62" s="3">
        <f>IFERROR(__xludf.DUMMYFUNCTION("""COMPUTED_VALUE"""),10.0)</f>
        <v>10</v>
      </c>
      <c r="BL62" s="3">
        <f>IFERROR(__xludf.DUMMYFUNCTION("""COMPUTED_VALUE"""),10.0)</f>
        <v>10</v>
      </c>
      <c r="BM62" s="3">
        <f>IFERROR(__xludf.DUMMYFUNCTION("""COMPUTED_VALUE"""),10.0)</f>
        <v>10</v>
      </c>
      <c r="BN62" s="3">
        <f>IFERROR(__xludf.DUMMYFUNCTION("""COMPUTED_VALUE"""),10.0)</f>
        <v>10</v>
      </c>
      <c r="BO62" s="3">
        <f>IFERROR(__xludf.DUMMYFUNCTION("""COMPUTED_VALUE"""),10.0)</f>
        <v>10</v>
      </c>
      <c r="BP62" s="3">
        <f>IFERROR(__xludf.DUMMYFUNCTION("""COMPUTED_VALUE"""),10.0)</f>
        <v>10</v>
      </c>
      <c r="BQ62" s="3">
        <f>IFERROR(__xludf.DUMMYFUNCTION("""COMPUTED_VALUE"""),10.0)</f>
        <v>10</v>
      </c>
      <c r="BR62" s="3">
        <f>IFERROR(__xludf.DUMMYFUNCTION("""COMPUTED_VALUE"""),10.0)</f>
        <v>10</v>
      </c>
      <c r="BS62" s="3">
        <f>IFERROR(__xludf.DUMMYFUNCTION("""COMPUTED_VALUE"""),10.0)</f>
        <v>10</v>
      </c>
      <c r="BT62" s="3">
        <f>IFERROR(__xludf.DUMMYFUNCTION("""COMPUTED_VALUE"""),10.0)</f>
        <v>10</v>
      </c>
      <c r="BU62" s="3">
        <f>IFERROR(__xludf.DUMMYFUNCTION("""COMPUTED_VALUE"""),10.0)</f>
        <v>10</v>
      </c>
      <c r="BV62" s="3">
        <f>IFERROR(__xludf.DUMMYFUNCTION("""COMPUTED_VALUE"""),10.0)</f>
        <v>10</v>
      </c>
      <c r="BW62" s="3">
        <f>IFERROR(__xludf.DUMMYFUNCTION("""COMPUTED_VALUE"""),10.0)</f>
        <v>10</v>
      </c>
      <c r="BX62" s="3">
        <f>IFERROR(__xludf.DUMMYFUNCTION("""COMPUTED_VALUE"""),10.0)</f>
        <v>10</v>
      </c>
      <c r="BY62" s="3">
        <f>IFERROR(__xludf.DUMMYFUNCTION("""COMPUTED_VALUE"""),10.0)</f>
        <v>10</v>
      </c>
      <c r="BZ62" s="3">
        <f>IFERROR(__xludf.DUMMYFUNCTION("""COMPUTED_VALUE"""),10.0)</f>
        <v>10</v>
      </c>
      <c r="CA62" s="3">
        <f>IFERROR(__xludf.DUMMYFUNCTION("""COMPUTED_VALUE"""),10.0)</f>
        <v>10</v>
      </c>
      <c r="CB62" s="3">
        <f>IFERROR(__xludf.DUMMYFUNCTION("""COMPUTED_VALUE"""),10.0)</f>
        <v>10</v>
      </c>
    </row>
    <row r="63">
      <c r="A63" s="3" t="str">
        <f>IFERROR(__xludf.DUMMYFUNCTION("""COMPUTED_VALUE"""),"Ningxia")</f>
        <v>Ningxia</v>
      </c>
      <c r="B63" s="3" t="str">
        <f>IFERROR(__xludf.DUMMYFUNCTION("""COMPUTED_VALUE"""),"China")</f>
        <v>China</v>
      </c>
      <c r="C63" s="3">
        <f>IFERROR(__xludf.DUMMYFUNCTION("""COMPUTED_VALUE"""),37.2692)</f>
        <v>37.2692</v>
      </c>
      <c r="D63" s="3">
        <f>IFERROR(__xludf.DUMMYFUNCTION("""COMPUTED_VALUE"""),106.1655)</f>
        <v>106.1655</v>
      </c>
      <c r="E63" s="3">
        <f>IFERROR(__xludf.DUMMYFUNCTION("""COMPUTED_VALUE"""),0.0)</f>
        <v>0</v>
      </c>
      <c r="F63" s="3">
        <f>IFERROR(__xludf.DUMMYFUNCTION("""COMPUTED_VALUE"""),0.0)</f>
        <v>0</v>
      </c>
      <c r="G63" s="3">
        <f>IFERROR(__xludf.DUMMYFUNCTION("""COMPUTED_VALUE"""),0.0)</f>
        <v>0</v>
      </c>
      <c r="H63" s="3">
        <f>IFERROR(__xludf.DUMMYFUNCTION("""COMPUTED_VALUE"""),0.0)</f>
        <v>0</v>
      </c>
      <c r="I63" s="3">
        <f>IFERROR(__xludf.DUMMYFUNCTION("""COMPUTED_VALUE"""),0.0)</f>
        <v>0</v>
      </c>
      <c r="J63" s="3">
        <f>IFERROR(__xludf.DUMMYFUNCTION("""COMPUTED_VALUE"""),0.0)</f>
        <v>0</v>
      </c>
      <c r="K63" s="3">
        <f>IFERROR(__xludf.DUMMYFUNCTION("""COMPUTED_VALUE"""),0.0)</f>
        <v>0</v>
      </c>
      <c r="L63" s="3">
        <f>IFERROR(__xludf.DUMMYFUNCTION("""COMPUTED_VALUE"""),0.0)</f>
        <v>0</v>
      </c>
      <c r="M63" s="3">
        <f>IFERROR(__xludf.DUMMYFUNCTION("""COMPUTED_VALUE"""),0.0)</f>
        <v>0</v>
      </c>
      <c r="N63" s="3">
        <f>IFERROR(__xludf.DUMMYFUNCTION("""COMPUTED_VALUE"""),0.0)</f>
        <v>0</v>
      </c>
      <c r="O63" s="3">
        <f>IFERROR(__xludf.DUMMYFUNCTION("""COMPUTED_VALUE"""),0.0)</f>
        <v>0</v>
      </c>
      <c r="P63" s="3">
        <f>IFERROR(__xludf.DUMMYFUNCTION("""COMPUTED_VALUE"""),0.0)</f>
        <v>0</v>
      </c>
      <c r="Q63" s="3">
        <f>IFERROR(__xludf.DUMMYFUNCTION("""COMPUTED_VALUE"""),1.0)</f>
        <v>1</v>
      </c>
      <c r="R63" s="3">
        <f>IFERROR(__xludf.DUMMYFUNCTION("""COMPUTED_VALUE"""),1.0)</f>
        <v>1</v>
      </c>
      <c r="S63" s="3">
        <f>IFERROR(__xludf.DUMMYFUNCTION("""COMPUTED_VALUE"""),1.0)</f>
        <v>1</v>
      </c>
      <c r="T63" s="3">
        <f>IFERROR(__xludf.DUMMYFUNCTION("""COMPUTED_VALUE"""),1.0)</f>
        <v>1</v>
      </c>
      <c r="U63" s="3">
        <f>IFERROR(__xludf.DUMMYFUNCTION("""COMPUTED_VALUE"""),5.0)</f>
        <v>5</v>
      </c>
      <c r="V63" s="3">
        <f>IFERROR(__xludf.DUMMYFUNCTION("""COMPUTED_VALUE"""),15.0)</f>
        <v>15</v>
      </c>
      <c r="W63" s="3">
        <f>IFERROR(__xludf.DUMMYFUNCTION("""COMPUTED_VALUE"""),13.0)</f>
        <v>13</v>
      </c>
      <c r="X63" s="3">
        <f>IFERROR(__xludf.DUMMYFUNCTION("""COMPUTED_VALUE"""),13.0)</f>
        <v>13</v>
      </c>
      <c r="Y63" s="3">
        <f>IFERROR(__xludf.DUMMYFUNCTION("""COMPUTED_VALUE"""),22.0)</f>
        <v>22</v>
      </c>
      <c r="Z63" s="3">
        <f>IFERROR(__xludf.DUMMYFUNCTION("""COMPUTED_VALUE"""),24.0)</f>
        <v>24</v>
      </c>
      <c r="AA63" s="3">
        <f>IFERROR(__xludf.DUMMYFUNCTION("""COMPUTED_VALUE"""),24.0)</f>
        <v>24</v>
      </c>
      <c r="AB63" s="3">
        <f>IFERROR(__xludf.DUMMYFUNCTION("""COMPUTED_VALUE"""),24.0)</f>
        <v>24</v>
      </c>
      <c r="AC63" s="3">
        <f>IFERROR(__xludf.DUMMYFUNCTION("""COMPUTED_VALUE"""),33.0)</f>
        <v>33</v>
      </c>
      <c r="AD63" s="3">
        <f>IFERROR(__xludf.DUMMYFUNCTION("""COMPUTED_VALUE"""),33.0)</f>
        <v>33</v>
      </c>
      <c r="AE63" s="3">
        <f>IFERROR(__xludf.DUMMYFUNCTION("""COMPUTED_VALUE"""),35.0)</f>
        <v>35</v>
      </c>
      <c r="AF63" s="3">
        <f>IFERROR(__xludf.DUMMYFUNCTION("""COMPUTED_VALUE"""),42.0)</f>
        <v>42</v>
      </c>
      <c r="AG63" s="3">
        <f>IFERROR(__xludf.DUMMYFUNCTION("""COMPUTED_VALUE"""),42.0)</f>
        <v>42</v>
      </c>
      <c r="AH63" s="3">
        <f>IFERROR(__xludf.DUMMYFUNCTION("""COMPUTED_VALUE"""),44.0)</f>
        <v>44</v>
      </c>
      <c r="AI63" s="3">
        <f>IFERROR(__xludf.DUMMYFUNCTION("""COMPUTED_VALUE"""),48.0)</f>
        <v>48</v>
      </c>
      <c r="AJ63" s="3">
        <f>IFERROR(__xludf.DUMMYFUNCTION("""COMPUTED_VALUE"""),48.0)</f>
        <v>48</v>
      </c>
      <c r="AK63" s="3">
        <f>IFERROR(__xludf.DUMMYFUNCTION("""COMPUTED_VALUE"""),56.0)</f>
        <v>56</v>
      </c>
      <c r="AL63" s="3">
        <f>IFERROR(__xludf.DUMMYFUNCTION("""COMPUTED_VALUE"""),58.0)</f>
        <v>58</v>
      </c>
      <c r="AM63" s="3">
        <f>IFERROR(__xludf.DUMMYFUNCTION("""COMPUTED_VALUE"""),61.0)</f>
        <v>61</v>
      </c>
      <c r="AN63" s="3">
        <f>IFERROR(__xludf.DUMMYFUNCTION("""COMPUTED_VALUE"""),65.0)</f>
        <v>65</v>
      </c>
      <c r="AO63" s="3">
        <f>IFERROR(__xludf.DUMMYFUNCTION("""COMPUTED_VALUE"""),68.0)</f>
        <v>68</v>
      </c>
      <c r="AP63" s="3">
        <f>IFERROR(__xludf.DUMMYFUNCTION("""COMPUTED_VALUE"""),68.0)</f>
        <v>68</v>
      </c>
      <c r="AQ63" s="3">
        <f>IFERROR(__xludf.DUMMYFUNCTION("""COMPUTED_VALUE"""),69.0)</f>
        <v>69</v>
      </c>
      <c r="AR63" s="3">
        <f>IFERROR(__xludf.DUMMYFUNCTION("""COMPUTED_VALUE"""),69.0)</f>
        <v>69</v>
      </c>
      <c r="AS63" s="3">
        <f>IFERROR(__xludf.DUMMYFUNCTION("""COMPUTED_VALUE"""),69.0)</f>
        <v>69</v>
      </c>
      <c r="AT63" s="3">
        <f>IFERROR(__xludf.DUMMYFUNCTION("""COMPUTED_VALUE"""),69.0)</f>
        <v>69</v>
      </c>
      <c r="AU63" s="3">
        <f>IFERROR(__xludf.DUMMYFUNCTION("""COMPUTED_VALUE"""),69.0)</f>
        <v>69</v>
      </c>
      <c r="AV63" s="3">
        <f>IFERROR(__xludf.DUMMYFUNCTION("""COMPUTED_VALUE"""),69.0)</f>
        <v>69</v>
      </c>
      <c r="AW63" s="3">
        <f>IFERROR(__xludf.DUMMYFUNCTION("""COMPUTED_VALUE"""),71.0)</f>
        <v>71</v>
      </c>
      <c r="AX63" s="3">
        <f>IFERROR(__xludf.DUMMYFUNCTION("""COMPUTED_VALUE"""),71.0)</f>
        <v>71</v>
      </c>
      <c r="AY63" s="3">
        <f>IFERROR(__xludf.DUMMYFUNCTION("""COMPUTED_VALUE"""),71.0)</f>
        <v>71</v>
      </c>
      <c r="AZ63" s="3">
        <f>IFERROR(__xludf.DUMMYFUNCTION("""COMPUTED_VALUE"""),71.0)</f>
        <v>71</v>
      </c>
      <c r="BA63" s="3">
        <f>IFERROR(__xludf.DUMMYFUNCTION("""COMPUTED_VALUE"""),71.0)</f>
        <v>71</v>
      </c>
      <c r="BB63" s="3">
        <f>IFERROR(__xludf.DUMMYFUNCTION("""COMPUTED_VALUE"""),72.0)</f>
        <v>72</v>
      </c>
      <c r="BC63" s="3">
        <f>IFERROR(__xludf.DUMMYFUNCTION("""COMPUTED_VALUE"""),72.0)</f>
        <v>72</v>
      </c>
      <c r="BD63" s="3">
        <f>IFERROR(__xludf.DUMMYFUNCTION("""COMPUTED_VALUE"""),72.0)</f>
        <v>72</v>
      </c>
      <c r="BE63" s="3">
        <f>IFERROR(__xludf.DUMMYFUNCTION("""COMPUTED_VALUE"""),73.0)</f>
        <v>73</v>
      </c>
      <c r="BF63" s="3">
        <f>IFERROR(__xludf.DUMMYFUNCTION("""COMPUTED_VALUE"""),73.0)</f>
        <v>73</v>
      </c>
      <c r="BG63" s="3">
        <f>IFERROR(__xludf.DUMMYFUNCTION("""COMPUTED_VALUE"""),75.0)</f>
        <v>75</v>
      </c>
      <c r="BH63" s="3">
        <f>IFERROR(__xludf.DUMMYFUNCTION("""COMPUTED_VALUE"""),75.0)</f>
        <v>75</v>
      </c>
      <c r="BI63" s="3">
        <f>IFERROR(__xludf.DUMMYFUNCTION("""COMPUTED_VALUE"""),75.0)</f>
        <v>75</v>
      </c>
      <c r="BJ63" s="3">
        <f>IFERROR(__xludf.DUMMYFUNCTION("""COMPUTED_VALUE"""),75.0)</f>
        <v>75</v>
      </c>
      <c r="BK63" s="3">
        <f>IFERROR(__xludf.DUMMYFUNCTION("""COMPUTED_VALUE"""),75.0)</f>
        <v>75</v>
      </c>
      <c r="BL63" s="3">
        <f>IFERROR(__xludf.DUMMYFUNCTION("""COMPUTED_VALUE"""),75.0)</f>
        <v>75</v>
      </c>
      <c r="BM63" s="3">
        <f>IFERROR(__xludf.DUMMYFUNCTION("""COMPUTED_VALUE"""),75.0)</f>
        <v>75</v>
      </c>
      <c r="BN63" s="3">
        <f>IFERROR(__xludf.DUMMYFUNCTION("""COMPUTED_VALUE"""),75.0)</f>
        <v>75</v>
      </c>
      <c r="BO63" s="3">
        <f>IFERROR(__xludf.DUMMYFUNCTION("""COMPUTED_VALUE"""),75.0)</f>
        <v>75</v>
      </c>
      <c r="BP63" s="3">
        <f>IFERROR(__xludf.DUMMYFUNCTION("""COMPUTED_VALUE"""),75.0)</f>
        <v>75</v>
      </c>
      <c r="BQ63" s="3">
        <f>IFERROR(__xludf.DUMMYFUNCTION("""COMPUTED_VALUE"""),75.0)</f>
        <v>75</v>
      </c>
      <c r="BR63" s="3">
        <f>IFERROR(__xludf.DUMMYFUNCTION("""COMPUTED_VALUE"""),75.0)</f>
        <v>75</v>
      </c>
      <c r="BS63" s="3">
        <f>IFERROR(__xludf.DUMMYFUNCTION("""COMPUTED_VALUE"""),75.0)</f>
        <v>75</v>
      </c>
      <c r="BT63" s="3">
        <f>IFERROR(__xludf.DUMMYFUNCTION("""COMPUTED_VALUE"""),75.0)</f>
        <v>75</v>
      </c>
      <c r="BU63" s="3">
        <f>IFERROR(__xludf.DUMMYFUNCTION("""COMPUTED_VALUE"""),75.0)</f>
        <v>75</v>
      </c>
      <c r="BV63" s="3">
        <f>IFERROR(__xludf.DUMMYFUNCTION("""COMPUTED_VALUE"""),75.0)</f>
        <v>75</v>
      </c>
      <c r="BW63" s="3">
        <f>IFERROR(__xludf.DUMMYFUNCTION("""COMPUTED_VALUE"""),75.0)</f>
        <v>75</v>
      </c>
      <c r="BX63" s="3">
        <f>IFERROR(__xludf.DUMMYFUNCTION("""COMPUTED_VALUE"""),75.0)</f>
        <v>75</v>
      </c>
      <c r="BY63" s="3">
        <f>IFERROR(__xludf.DUMMYFUNCTION("""COMPUTED_VALUE"""),75.0)</f>
        <v>75</v>
      </c>
      <c r="BZ63" s="3">
        <f>IFERROR(__xludf.DUMMYFUNCTION("""COMPUTED_VALUE"""),75.0)</f>
        <v>75</v>
      </c>
      <c r="CA63" s="3">
        <f>IFERROR(__xludf.DUMMYFUNCTION("""COMPUTED_VALUE"""),75.0)</f>
        <v>75</v>
      </c>
      <c r="CB63" s="3">
        <f>IFERROR(__xludf.DUMMYFUNCTION("""COMPUTED_VALUE"""),75.0)</f>
        <v>75</v>
      </c>
    </row>
    <row r="64">
      <c r="A64" s="3" t="str">
        <f>IFERROR(__xludf.DUMMYFUNCTION("""COMPUTED_VALUE"""),"Qinghai")</f>
        <v>Qinghai</v>
      </c>
      <c r="B64" s="3" t="str">
        <f>IFERROR(__xludf.DUMMYFUNCTION("""COMPUTED_VALUE"""),"China")</f>
        <v>China</v>
      </c>
      <c r="C64" s="3">
        <f>IFERROR(__xludf.DUMMYFUNCTION("""COMPUTED_VALUE"""),35.7452)</f>
        <v>35.7452</v>
      </c>
      <c r="D64" s="3">
        <f>IFERROR(__xludf.DUMMYFUNCTION("""COMPUTED_VALUE"""),95.9956)</f>
        <v>95.9956</v>
      </c>
      <c r="E64" s="3">
        <f>IFERROR(__xludf.DUMMYFUNCTION("""COMPUTED_VALUE"""),0.0)</f>
        <v>0</v>
      </c>
      <c r="F64" s="3">
        <f>IFERROR(__xludf.DUMMYFUNCTION("""COMPUTED_VALUE"""),0.0)</f>
        <v>0</v>
      </c>
      <c r="G64" s="3">
        <f>IFERROR(__xludf.DUMMYFUNCTION("""COMPUTED_VALUE"""),0.0)</f>
        <v>0</v>
      </c>
      <c r="H64" s="3">
        <f>IFERROR(__xludf.DUMMYFUNCTION("""COMPUTED_VALUE"""),0.0)</f>
        <v>0</v>
      </c>
      <c r="I64" s="3">
        <f>IFERROR(__xludf.DUMMYFUNCTION("""COMPUTED_VALUE"""),0.0)</f>
        <v>0</v>
      </c>
      <c r="J64" s="3">
        <f>IFERROR(__xludf.DUMMYFUNCTION("""COMPUTED_VALUE"""),0.0)</f>
        <v>0</v>
      </c>
      <c r="K64" s="3">
        <f>IFERROR(__xludf.DUMMYFUNCTION("""COMPUTED_VALUE"""),0.0)</f>
        <v>0</v>
      </c>
      <c r="L64" s="3">
        <f>IFERROR(__xludf.DUMMYFUNCTION("""COMPUTED_VALUE"""),0.0)</f>
        <v>0</v>
      </c>
      <c r="M64" s="3">
        <f>IFERROR(__xludf.DUMMYFUNCTION("""COMPUTED_VALUE"""),0.0)</f>
        <v>0</v>
      </c>
      <c r="N64" s="3">
        <f>IFERROR(__xludf.DUMMYFUNCTION("""COMPUTED_VALUE"""),0.0)</f>
        <v>0</v>
      </c>
      <c r="O64" s="3">
        <f>IFERROR(__xludf.DUMMYFUNCTION("""COMPUTED_VALUE"""),0.0)</f>
        <v>0</v>
      </c>
      <c r="P64" s="3">
        <f>IFERROR(__xludf.DUMMYFUNCTION("""COMPUTED_VALUE"""),0.0)</f>
        <v>0</v>
      </c>
      <c r="Q64" s="3">
        <f>IFERROR(__xludf.DUMMYFUNCTION("""COMPUTED_VALUE"""),0.0)</f>
        <v>0</v>
      </c>
      <c r="R64" s="3">
        <f>IFERROR(__xludf.DUMMYFUNCTION("""COMPUTED_VALUE"""),0.0)</f>
        <v>0</v>
      </c>
      <c r="S64" s="3">
        <f>IFERROR(__xludf.DUMMYFUNCTION("""COMPUTED_VALUE"""),3.0)</f>
        <v>3</v>
      </c>
      <c r="T64" s="3">
        <f>IFERROR(__xludf.DUMMYFUNCTION("""COMPUTED_VALUE"""),3.0)</f>
        <v>3</v>
      </c>
      <c r="U64" s="3">
        <f>IFERROR(__xludf.DUMMYFUNCTION("""COMPUTED_VALUE"""),3.0)</f>
        <v>3</v>
      </c>
      <c r="V64" s="3">
        <f>IFERROR(__xludf.DUMMYFUNCTION("""COMPUTED_VALUE"""),3.0)</f>
        <v>3</v>
      </c>
      <c r="W64" s="3">
        <f>IFERROR(__xludf.DUMMYFUNCTION("""COMPUTED_VALUE"""),3.0)</f>
        <v>3</v>
      </c>
      <c r="X64" s="3">
        <f>IFERROR(__xludf.DUMMYFUNCTION("""COMPUTED_VALUE"""),3.0)</f>
        <v>3</v>
      </c>
      <c r="Y64" s="3">
        <f>IFERROR(__xludf.DUMMYFUNCTION("""COMPUTED_VALUE"""),5.0)</f>
        <v>5</v>
      </c>
      <c r="Z64" s="3">
        <f>IFERROR(__xludf.DUMMYFUNCTION("""COMPUTED_VALUE"""),9.0)</f>
        <v>9</v>
      </c>
      <c r="AA64" s="3">
        <f>IFERROR(__xludf.DUMMYFUNCTION("""COMPUTED_VALUE"""),11.0)</f>
        <v>11</v>
      </c>
      <c r="AB64" s="3">
        <f>IFERROR(__xludf.DUMMYFUNCTION("""COMPUTED_VALUE"""),11.0)</f>
        <v>11</v>
      </c>
      <c r="AC64" s="3">
        <f>IFERROR(__xludf.DUMMYFUNCTION("""COMPUTED_VALUE"""),13.0)</f>
        <v>13</v>
      </c>
      <c r="AD64" s="3">
        <f>IFERROR(__xludf.DUMMYFUNCTION("""COMPUTED_VALUE"""),13.0)</f>
        <v>13</v>
      </c>
      <c r="AE64" s="3">
        <f>IFERROR(__xludf.DUMMYFUNCTION("""COMPUTED_VALUE"""),13.0)</f>
        <v>13</v>
      </c>
      <c r="AF64" s="3">
        <f>IFERROR(__xludf.DUMMYFUNCTION("""COMPUTED_VALUE"""),15.0)</f>
        <v>15</v>
      </c>
      <c r="AG64" s="3">
        <f>IFERROR(__xludf.DUMMYFUNCTION("""COMPUTED_VALUE"""),16.0)</f>
        <v>16</v>
      </c>
      <c r="AH64" s="3">
        <f>IFERROR(__xludf.DUMMYFUNCTION("""COMPUTED_VALUE"""),16.0)</f>
        <v>16</v>
      </c>
      <c r="AI64" s="3">
        <f>IFERROR(__xludf.DUMMYFUNCTION("""COMPUTED_VALUE"""),18.0)</f>
        <v>18</v>
      </c>
      <c r="AJ64" s="3">
        <f>IFERROR(__xludf.DUMMYFUNCTION("""COMPUTED_VALUE"""),18.0)</f>
        <v>18</v>
      </c>
      <c r="AK64" s="3">
        <f>IFERROR(__xludf.DUMMYFUNCTION("""COMPUTED_VALUE"""),18.0)</f>
        <v>18</v>
      </c>
      <c r="AL64" s="3">
        <f>IFERROR(__xludf.DUMMYFUNCTION("""COMPUTED_VALUE"""),18.0)</f>
        <v>18</v>
      </c>
      <c r="AM64" s="3">
        <f>IFERROR(__xludf.DUMMYFUNCTION("""COMPUTED_VALUE"""),18.0)</f>
        <v>18</v>
      </c>
      <c r="AN64" s="3">
        <f>IFERROR(__xludf.DUMMYFUNCTION("""COMPUTED_VALUE"""),18.0)</f>
        <v>18</v>
      </c>
      <c r="AO64" s="3">
        <f>IFERROR(__xludf.DUMMYFUNCTION("""COMPUTED_VALUE"""),18.0)</f>
        <v>18</v>
      </c>
      <c r="AP64" s="3">
        <f>IFERROR(__xludf.DUMMYFUNCTION("""COMPUTED_VALUE"""),18.0)</f>
        <v>18</v>
      </c>
      <c r="AQ64" s="3">
        <f>IFERROR(__xludf.DUMMYFUNCTION("""COMPUTED_VALUE"""),18.0)</f>
        <v>18</v>
      </c>
      <c r="AR64" s="3">
        <f>IFERROR(__xludf.DUMMYFUNCTION("""COMPUTED_VALUE"""),18.0)</f>
        <v>18</v>
      </c>
      <c r="AS64" s="3">
        <f>IFERROR(__xludf.DUMMYFUNCTION("""COMPUTED_VALUE"""),18.0)</f>
        <v>18</v>
      </c>
      <c r="AT64" s="3">
        <f>IFERROR(__xludf.DUMMYFUNCTION("""COMPUTED_VALUE"""),18.0)</f>
        <v>18</v>
      </c>
      <c r="AU64" s="3">
        <f>IFERROR(__xludf.DUMMYFUNCTION("""COMPUTED_VALUE"""),18.0)</f>
        <v>18</v>
      </c>
      <c r="AV64" s="3">
        <f>IFERROR(__xludf.DUMMYFUNCTION("""COMPUTED_VALUE"""),18.0)</f>
        <v>18</v>
      </c>
      <c r="AW64" s="3">
        <f>IFERROR(__xludf.DUMMYFUNCTION("""COMPUTED_VALUE"""),18.0)</f>
        <v>18</v>
      </c>
      <c r="AX64" s="3">
        <f>IFERROR(__xludf.DUMMYFUNCTION("""COMPUTED_VALUE"""),18.0)</f>
        <v>18</v>
      </c>
      <c r="AY64" s="3">
        <f>IFERROR(__xludf.DUMMYFUNCTION("""COMPUTED_VALUE"""),18.0)</f>
        <v>18</v>
      </c>
      <c r="AZ64" s="3">
        <f>IFERROR(__xludf.DUMMYFUNCTION("""COMPUTED_VALUE"""),18.0)</f>
        <v>18</v>
      </c>
      <c r="BA64" s="3">
        <f>IFERROR(__xludf.DUMMYFUNCTION("""COMPUTED_VALUE"""),18.0)</f>
        <v>18</v>
      </c>
      <c r="BB64" s="3">
        <f>IFERROR(__xludf.DUMMYFUNCTION("""COMPUTED_VALUE"""),18.0)</f>
        <v>18</v>
      </c>
      <c r="BC64" s="3">
        <f>IFERROR(__xludf.DUMMYFUNCTION("""COMPUTED_VALUE"""),18.0)</f>
        <v>18</v>
      </c>
      <c r="BD64" s="3">
        <f>IFERROR(__xludf.DUMMYFUNCTION("""COMPUTED_VALUE"""),18.0)</f>
        <v>18</v>
      </c>
      <c r="BE64" s="3">
        <f>IFERROR(__xludf.DUMMYFUNCTION("""COMPUTED_VALUE"""),18.0)</f>
        <v>18</v>
      </c>
      <c r="BF64" s="3">
        <f>IFERROR(__xludf.DUMMYFUNCTION("""COMPUTED_VALUE"""),18.0)</f>
        <v>18</v>
      </c>
      <c r="BG64" s="3">
        <f>IFERROR(__xludf.DUMMYFUNCTION("""COMPUTED_VALUE"""),18.0)</f>
        <v>18</v>
      </c>
      <c r="BH64" s="3">
        <f>IFERROR(__xludf.DUMMYFUNCTION("""COMPUTED_VALUE"""),18.0)</f>
        <v>18</v>
      </c>
      <c r="BI64" s="3">
        <f>IFERROR(__xludf.DUMMYFUNCTION("""COMPUTED_VALUE"""),18.0)</f>
        <v>18</v>
      </c>
      <c r="BJ64" s="3">
        <f>IFERROR(__xludf.DUMMYFUNCTION("""COMPUTED_VALUE"""),18.0)</f>
        <v>18</v>
      </c>
      <c r="BK64" s="3">
        <f>IFERROR(__xludf.DUMMYFUNCTION("""COMPUTED_VALUE"""),18.0)</f>
        <v>18</v>
      </c>
      <c r="BL64" s="3">
        <f>IFERROR(__xludf.DUMMYFUNCTION("""COMPUTED_VALUE"""),18.0)</f>
        <v>18</v>
      </c>
      <c r="BM64" s="3">
        <f>IFERROR(__xludf.DUMMYFUNCTION("""COMPUTED_VALUE"""),18.0)</f>
        <v>18</v>
      </c>
      <c r="BN64" s="3">
        <f>IFERROR(__xludf.DUMMYFUNCTION("""COMPUTED_VALUE"""),18.0)</f>
        <v>18</v>
      </c>
      <c r="BO64" s="3">
        <f>IFERROR(__xludf.DUMMYFUNCTION("""COMPUTED_VALUE"""),18.0)</f>
        <v>18</v>
      </c>
      <c r="BP64" s="3">
        <f>IFERROR(__xludf.DUMMYFUNCTION("""COMPUTED_VALUE"""),18.0)</f>
        <v>18</v>
      </c>
      <c r="BQ64" s="3">
        <f>IFERROR(__xludf.DUMMYFUNCTION("""COMPUTED_VALUE"""),18.0)</f>
        <v>18</v>
      </c>
      <c r="BR64" s="3">
        <f>IFERROR(__xludf.DUMMYFUNCTION("""COMPUTED_VALUE"""),18.0)</f>
        <v>18</v>
      </c>
      <c r="BS64" s="3">
        <f>IFERROR(__xludf.DUMMYFUNCTION("""COMPUTED_VALUE"""),18.0)</f>
        <v>18</v>
      </c>
      <c r="BT64" s="3">
        <f>IFERROR(__xludf.DUMMYFUNCTION("""COMPUTED_VALUE"""),18.0)</f>
        <v>18</v>
      </c>
      <c r="BU64" s="3">
        <f>IFERROR(__xludf.DUMMYFUNCTION("""COMPUTED_VALUE"""),18.0)</f>
        <v>18</v>
      </c>
      <c r="BV64" s="3">
        <f>IFERROR(__xludf.DUMMYFUNCTION("""COMPUTED_VALUE"""),18.0)</f>
        <v>18</v>
      </c>
      <c r="BW64" s="3">
        <f>IFERROR(__xludf.DUMMYFUNCTION("""COMPUTED_VALUE"""),18.0)</f>
        <v>18</v>
      </c>
      <c r="BX64" s="3">
        <f>IFERROR(__xludf.DUMMYFUNCTION("""COMPUTED_VALUE"""),18.0)</f>
        <v>18</v>
      </c>
      <c r="BY64" s="3">
        <f>IFERROR(__xludf.DUMMYFUNCTION("""COMPUTED_VALUE"""),18.0)</f>
        <v>18</v>
      </c>
      <c r="BZ64" s="3">
        <f>IFERROR(__xludf.DUMMYFUNCTION("""COMPUTED_VALUE"""),18.0)</f>
        <v>18</v>
      </c>
      <c r="CA64" s="3">
        <f>IFERROR(__xludf.DUMMYFUNCTION("""COMPUTED_VALUE"""),18.0)</f>
        <v>18</v>
      </c>
      <c r="CB64" s="3">
        <f>IFERROR(__xludf.DUMMYFUNCTION("""COMPUTED_VALUE"""),18.0)</f>
        <v>18</v>
      </c>
    </row>
    <row r="65">
      <c r="A65" s="3" t="str">
        <f>IFERROR(__xludf.DUMMYFUNCTION("""COMPUTED_VALUE"""),"Shaanxi")</f>
        <v>Shaanxi</v>
      </c>
      <c r="B65" s="3" t="str">
        <f>IFERROR(__xludf.DUMMYFUNCTION("""COMPUTED_VALUE"""),"China")</f>
        <v>China</v>
      </c>
      <c r="C65" s="3">
        <f>IFERROR(__xludf.DUMMYFUNCTION("""COMPUTED_VALUE"""),35.1917)</f>
        <v>35.1917</v>
      </c>
      <c r="D65" s="3">
        <f>IFERROR(__xludf.DUMMYFUNCTION("""COMPUTED_VALUE"""),108.8701)</f>
        <v>108.8701</v>
      </c>
      <c r="E65" s="3">
        <f>IFERROR(__xludf.DUMMYFUNCTION("""COMPUTED_VALUE"""),0.0)</f>
        <v>0</v>
      </c>
      <c r="F65" s="3">
        <f>IFERROR(__xludf.DUMMYFUNCTION("""COMPUTED_VALUE"""),0.0)</f>
        <v>0</v>
      </c>
      <c r="G65" s="3">
        <f>IFERROR(__xludf.DUMMYFUNCTION("""COMPUTED_VALUE"""),0.0)</f>
        <v>0</v>
      </c>
      <c r="H65" s="3">
        <f>IFERROR(__xludf.DUMMYFUNCTION("""COMPUTED_VALUE"""),0.0)</f>
        <v>0</v>
      </c>
      <c r="I65" s="3">
        <f>IFERROR(__xludf.DUMMYFUNCTION("""COMPUTED_VALUE"""),0.0)</f>
        <v>0</v>
      </c>
      <c r="J65" s="3">
        <f>IFERROR(__xludf.DUMMYFUNCTION("""COMPUTED_VALUE"""),0.0)</f>
        <v>0</v>
      </c>
      <c r="K65" s="3">
        <f>IFERROR(__xludf.DUMMYFUNCTION("""COMPUTED_VALUE"""),0.0)</f>
        <v>0</v>
      </c>
      <c r="L65" s="3">
        <f>IFERROR(__xludf.DUMMYFUNCTION("""COMPUTED_VALUE"""),0.0)</f>
        <v>0</v>
      </c>
      <c r="M65" s="3">
        <f>IFERROR(__xludf.DUMMYFUNCTION("""COMPUTED_VALUE"""),0.0)</f>
        <v>0</v>
      </c>
      <c r="N65" s="3">
        <f>IFERROR(__xludf.DUMMYFUNCTION("""COMPUTED_VALUE"""),0.0)</f>
        <v>0</v>
      </c>
      <c r="O65" s="3">
        <f>IFERROR(__xludf.DUMMYFUNCTION("""COMPUTED_VALUE"""),0.0)</f>
        <v>0</v>
      </c>
      <c r="P65" s="3">
        <f>IFERROR(__xludf.DUMMYFUNCTION("""COMPUTED_VALUE"""),0.0)</f>
        <v>0</v>
      </c>
      <c r="Q65" s="3">
        <f>IFERROR(__xludf.DUMMYFUNCTION("""COMPUTED_VALUE"""),0.0)</f>
        <v>0</v>
      </c>
      <c r="R65" s="3">
        <f>IFERROR(__xludf.DUMMYFUNCTION("""COMPUTED_VALUE"""),2.0)</f>
        <v>2</v>
      </c>
      <c r="S65" s="3">
        <f>IFERROR(__xludf.DUMMYFUNCTION("""COMPUTED_VALUE"""),6.0)</f>
        <v>6</v>
      </c>
      <c r="T65" s="3">
        <f>IFERROR(__xludf.DUMMYFUNCTION("""COMPUTED_VALUE"""),9.0)</f>
        <v>9</v>
      </c>
      <c r="U65" s="3">
        <f>IFERROR(__xludf.DUMMYFUNCTION("""COMPUTED_VALUE"""),17.0)</f>
        <v>17</v>
      </c>
      <c r="V65" s="3">
        <f>IFERROR(__xludf.DUMMYFUNCTION("""COMPUTED_VALUE"""),20.0)</f>
        <v>20</v>
      </c>
      <c r="W65" s="3">
        <f>IFERROR(__xludf.DUMMYFUNCTION("""COMPUTED_VALUE"""),25.0)</f>
        <v>25</v>
      </c>
      <c r="X65" s="3">
        <f>IFERROR(__xludf.DUMMYFUNCTION("""COMPUTED_VALUE"""),30.0)</f>
        <v>30</v>
      </c>
      <c r="Y65" s="3">
        <f>IFERROR(__xludf.DUMMYFUNCTION("""COMPUTED_VALUE"""),32.0)</f>
        <v>32</v>
      </c>
      <c r="Z65" s="3">
        <f>IFERROR(__xludf.DUMMYFUNCTION("""COMPUTED_VALUE"""),43.0)</f>
        <v>43</v>
      </c>
      <c r="AA65" s="3">
        <f>IFERROR(__xludf.DUMMYFUNCTION("""COMPUTED_VALUE"""),46.0)</f>
        <v>46</v>
      </c>
      <c r="AB65" s="3">
        <f>IFERROR(__xludf.DUMMYFUNCTION("""COMPUTED_VALUE"""),54.0)</f>
        <v>54</v>
      </c>
      <c r="AC65" s="3">
        <f>IFERROR(__xludf.DUMMYFUNCTION("""COMPUTED_VALUE"""),60.0)</f>
        <v>60</v>
      </c>
      <c r="AD65" s="3">
        <f>IFERROR(__xludf.DUMMYFUNCTION("""COMPUTED_VALUE"""),71.0)</f>
        <v>71</v>
      </c>
      <c r="AE65" s="3">
        <f>IFERROR(__xludf.DUMMYFUNCTION("""COMPUTED_VALUE"""),79.0)</f>
        <v>79</v>
      </c>
      <c r="AF65" s="3">
        <f>IFERROR(__xludf.DUMMYFUNCTION("""COMPUTED_VALUE"""),89.0)</f>
        <v>89</v>
      </c>
      <c r="AG65" s="3">
        <f>IFERROR(__xludf.DUMMYFUNCTION("""COMPUTED_VALUE"""),102.0)</f>
        <v>102</v>
      </c>
      <c r="AH65" s="3">
        <f>IFERROR(__xludf.DUMMYFUNCTION("""COMPUTED_VALUE"""),118.0)</f>
        <v>118</v>
      </c>
      <c r="AI65" s="3">
        <f>IFERROR(__xludf.DUMMYFUNCTION("""COMPUTED_VALUE"""),134.0)</f>
        <v>134</v>
      </c>
      <c r="AJ65" s="3">
        <f>IFERROR(__xludf.DUMMYFUNCTION("""COMPUTED_VALUE"""),149.0)</f>
        <v>149</v>
      </c>
      <c r="AK65" s="3">
        <f>IFERROR(__xludf.DUMMYFUNCTION("""COMPUTED_VALUE"""),163.0)</f>
        <v>163</v>
      </c>
      <c r="AL65" s="3">
        <f>IFERROR(__xludf.DUMMYFUNCTION("""COMPUTED_VALUE"""),173.0)</f>
        <v>173</v>
      </c>
      <c r="AM65" s="3">
        <f>IFERROR(__xludf.DUMMYFUNCTION("""COMPUTED_VALUE"""),186.0)</f>
        <v>186</v>
      </c>
      <c r="AN65" s="3">
        <f>IFERROR(__xludf.DUMMYFUNCTION("""COMPUTED_VALUE"""),192.0)</f>
        <v>192</v>
      </c>
      <c r="AO65" s="3">
        <f>IFERROR(__xludf.DUMMYFUNCTION("""COMPUTED_VALUE"""),195.0)</f>
        <v>195</v>
      </c>
      <c r="AP65" s="3">
        <f>IFERROR(__xludf.DUMMYFUNCTION("""COMPUTED_VALUE"""),199.0)</f>
        <v>199</v>
      </c>
      <c r="AQ65" s="3">
        <f>IFERROR(__xludf.DUMMYFUNCTION("""COMPUTED_VALUE"""),207.0)</f>
        <v>207</v>
      </c>
      <c r="AR65" s="3">
        <f>IFERROR(__xludf.DUMMYFUNCTION("""COMPUTED_VALUE"""),208.0)</f>
        <v>208</v>
      </c>
      <c r="AS65" s="3">
        <f>IFERROR(__xludf.DUMMYFUNCTION("""COMPUTED_VALUE"""),216.0)</f>
        <v>216</v>
      </c>
      <c r="AT65" s="3">
        <f>IFERROR(__xludf.DUMMYFUNCTION("""COMPUTED_VALUE"""),216.0)</f>
        <v>216</v>
      </c>
      <c r="AU65" s="3">
        <f>IFERROR(__xludf.DUMMYFUNCTION("""COMPUTED_VALUE"""),223.0)</f>
        <v>223</v>
      </c>
      <c r="AV65" s="3">
        <f>IFERROR(__xludf.DUMMYFUNCTION("""COMPUTED_VALUE"""),224.0)</f>
        <v>224</v>
      </c>
      <c r="AW65" s="3">
        <f>IFERROR(__xludf.DUMMYFUNCTION("""COMPUTED_VALUE"""),226.0)</f>
        <v>226</v>
      </c>
      <c r="AX65" s="3">
        <f>IFERROR(__xludf.DUMMYFUNCTION("""COMPUTED_VALUE"""),226.0)</f>
        <v>226</v>
      </c>
      <c r="AY65" s="3">
        <f>IFERROR(__xludf.DUMMYFUNCTION("""COMPUTED_VALUE"""),227.0)</f>
        <v>227</v>
      </c>
      <c r="AZ65" s="3">
        <f>IFERROR(__xludf.DUMMYFUNCTION("""COMPUTED_VALUE"""),227.0)</f>
        <v>227</v>
      </c>
      <c r="BA65" s="3">
        <f>IFERROR(__xludf.DUMMYFUNCTION("""COMPUTED_VALUE"""),227.0)</f>
        <v>227</v>
      </c>
      <c r="BB65" s="3">
        <f>IFERROR(__xludf.DUMMYFUNCTION("""COMPUTED_VALUE"""),232.0)</f>
        <v>232</v>
      </c>
      <c r="BC65" s="3">
        <f>IFERROR(__xludf.DUMMYFUNCTION("""COMPUTED_VALUE"""),232.0)</f>
        <v>232</v>
      </c>
      <c r="BD65" s="3">
        <f>IFERROR(__xludf.DUMMYFUNCTION("""COMPUTED_VALUE"""),232.0)</f>
        <v>232</v>
      </c>
      <c r="BE65" s="3">
        <f>IFERROR(__xludf.DUMMYFUNCTION("""COMPUTED_VALUE"""),232.0)</f>
        <v>232</v>
      </c>
      <c r="BF65" s="3">
        <f>IFERROR(__xludf.DUMMYFUNCTION("""COMPUTED_VALUE"""),232.0)</f>
        <v>232</v>
      </c>
      <c r="BG65" s="3">
        <f>IFERROR(__xludf.DUMMYFUNCTION("""COMPUTED_VALUE"""),233.0)</f>
        <v>233</v>
      </c>
      <c r="BH65" s="3">
        <f>IFERROR(__xludf.DUMMYFUNCTION("""COMPUTED_VALUE"""),236.0)</f>
        <v>236</v>
      </c>
      <c r="BI65" s="3">
        <f>IFERROR(__xludf.DUMMYFUNCTION("""COMPUTED_VALUE"""),237.0)</f>
        <v>237</v>
      </c>
      <c r="BJ65" s="3">
        <f>IFERROR(__xludf.DUMMYFUNCTION("""COMPUTED_VALUE"""),237.0)</f>
        <v>237</v>
      </c>
      <c r="BK65" s="3">
        <f>IFERROR(__xludf.DUMMYFUNCTION("""COMPUTED_VALUE"""),237.0)</f>
        <v>237</v>
      </c>
      <c r="BL65" s="3">
        <f>IFERROR(__xludf.DUMMYFUNCTION("""COMPUTED_VALUE"""),239.0)</f>
        <v>239</v>
      </c>
      <c r="BM65" s="3">
        <f>IFERROR(__xludf.DUMMYFUNCTION("""COMPUTED_VALUE"""),239.0)</f>
        <v>239</v>
      </c>
      <c r="BN65" s="3">
        <f>IFERROR(__xludf.DUMMYFUNCTION("""COMPUTED_VALUE"""),239.0)</f>
        <v>239</v>
      </c>
      <c r="BO65" s="3">
        <f>IFERROR(__xludf.DUMMYFUNCTION("""COMPUTED_VALUE"""),240.0)</f>
        <v>240</v>
      </c>
      <c r="BP65" s="3">
        <f>IFERROR(__xludf.DUMMYFUNCTION("""COMPUTED_VALUE"""),240.0)</f>
        <v>240</v>
      </c>
      <c r="BQ65" s="3">
        <f>IFERROR(__xludf.DUMMYFUNCTION("""COMPUTED_VALUE"""),242.0)</f>
        <v>242</v>
      </c>
      <c r="BR65" s="3">
        <f>IFERROR(__xludf.DUMMYFUNCTION("""COMPUTED_VALUE"""),242.0)</f>
        <v>242</v>
      </c>
      <c r="BS65" s="3">
        <f>IFERROR(__xludf.DUMMYFUNCTION("""COMPUTED_VALUE"""),242.0)</f>
        <v>242</v>
      </c>
      <c r="BT65" s="3">
        <f>IFERROR(__xludf.DUMMYFUNCTION("""COMPUTED_VALUE"""),242.0)</f>
        <v>242</v>
      </c>
      <c r="BU65" s="3">
        <f>IFERROR(__xludf.DUMMYFUNCTION("""COMPUTED_VALUE"""),242.0)</f>
        <v>242</v>
      </c>
      <c r="BV65" s="3">
        <f>IFERROR(__xludf.DUMMYFUNCTION("""COMPUTED_VALUE"""),242.0)</f>
        <v>242</v>
      </c>
      <c r="BW65" s="3">
        <f>IFERROR(__xludf.DUMMYFUNCTION("""COMPUTED_VALUE"""),242.0)</f>
        <v>242</v>
      </c>
      <c r="BX65" s="3">
        <f>IFERROR(__xludf.DUMMYFUNCTION("""COMPUTED_VALUE"""),242.0)</f>
        <v>242</v>
      </c>
      <c r="BY65" s="3">
        <f>IFERROR(__xludf.DUMMYFUNCTION("""COMPUTED_VALUE"""),244.0)</f>
        <v>244</v>
      </c>
      <c r="BZ65" s="3">
        <f>IFERROR(__xludf.DUMMYFUNCTION("""COMPUTED_VALUE"""),245.0)</f>
        <v>245</v>
      </c>
      <c r="CA65" s="3">
        <f>IFERROR(__xludf.DUMMYFUNCTION("""COMPUTED_VALUE"""),245.0)</f>
        <v>245</v>
      </c>
      <c r="CB65" s="3">
        <f>IFERROR(__xludf.DUMMYFUNCTION("""COMPUTED_VALUE"""),246.0)</f>
        <v>246</v>
      </c>
    </row>
    <row r="66">
      <c r="A66" s="3" t="str">
        <f>IFERROR(__xludf.DUMMYFUNCTION("""COMPUTED_VALUE"""),"Shandong")</f>
        <v>Shandong</v>
      </c>
      <c r="B66" s="3" t="str">
        <f>IFERROR(__xludf.DUMMYFUNCTION("""COMPUTED_VALUE"""),"China")</f>
        <v>China</v>
      </c>
      <c r="C66" s="3">
        <f>IFERROR(__xludf.DUMMYFUNCTION("""COMPUTED_VALUE"""),36.3427)</f>
        <v>36.3427</v>
      </c>
      <c r="D66" s="3">
        <f>IFERROR(__xludf.DUMMYFUNCTION("""COMPUTED_VALUE"""),118.1498)</f>
        <v>118.1498</v>
      </c>
      <c r="E66" s="3">
        <f>IFERROR(__xludf.DUMMYFUNCTION("""COMPUTED_VALUE"""),0.0)</f>
        <v>0</v>
      </c>
      <c r="F66" s="3">
        <f>IFERROR(__xludf.DUMMYFUNCTION("""COMPUTED_VALUE"""),0.0)</f>
        <v>0</v>
      </c>
      <c r="G66" s="3">
        <f>IFERROR(__xludf.DUMMYFUNCTION("""COMPUTED_VALUE"""),0.0)</f>
        <v>0</v>
      </c>
      <c r="H66" s="3">
        <f>IFERROR(__xludf.DUMMYFUNCTION("""COMPUTED_VALUE"""),0.0)</f>
        <v>0</v>
      </c>
      <c r="I66" s="3">
        <f>IFERROR(__xludf.DUMMYFUNCTION("""COMPUTED_VALUE"""),0.0)</f>
        <v>0</v>
      </c>
      <c r="J66" s="3">
        <f>IFERROR(__xludf.DUMMYFUNCTION("""COMPUTED_VALUE"""),0.0)</f>
        <v>0</v>
      </c>
      <c r="K66" s="3">
        <f>IFERROR(__xludf.DUMMYFUNCTION("""COMPUTED_VALUE"""),0.0)</f>
        <v>0</v>
      </c>
      <c r="L66" s="3">
        <f>IFERROR(__xludf.DUMMYFUNCTION("""COMPUTED_VALUE"""),1.0)</f>
        <v>1</v>
      </c>
      <c r="M66" s="3">
        <f>IFERROR(__xludf.DUMMYFUNCTION("""COMPUTED_VALUE"""),1.0)</f>
        <v>1</v>
      </c>
      <c r="N66" s="3">
        <f>IFERROR(__xludf.DUMMYFUNCTION("""COMPUTED_VALUE"""),2.0)</f>
        <v>2</v>
      </c>
      <c r="O66" s="3">
        <f>IFERROR(__xludf.DUMMYFUNCTION("""COMPUTED_VALUE"""),3.0)</f>
        <v>3</v>
      </c>
      <c r="P66" s="3">
        <f>IFERROR(__xludf.DUMMYFUNCTION("""COMPUTED_VALUE"""),6.0)</f>
        <v>6</v>
      </c>
      <c r="Q66" s="3">
        <f>IFERROR(__xludf.DUMMYFUNCTION("""COMPUTED_VALUE"""),7.0)</f>
        <v>7</v>
      </c>
      <c r="R66" s="3">
        <f>IFERROR(__xludf.DUMMYFUNCTION("""COMPUTED_VALUE"""),11.0)</f>
        <v>11</v>
      </c>
      <c r="S66" s="3">
        <f>IFERROR(__xludf.DUMMYFUNCTION("""COMPUTED_VALUE"""),15.0)</f>
        <v>15</v>
      </c>
      <c r="T66" s="3">
        <f>IFERROR(__xludf.DUMMYFUNCTION("""COMPUTED_VALUE"""),27.0)</f>
        <v>27</v>
      </c>
      <c r="U66" s="3">
        <f>IFERROR(__xludf.DUMMYFUNCTION("""COMPUTED_VALUE"""),37.0)</f>
        <v>37</v>
      </c>
      <c r="V66" s="3">
        <f>IFERROR(__xludf.DUMMYFUNCTION("""COMPUTED_VALUE"""),44.0)</f>
        <v>44</v>
      </c>
      <c r="W66" s="3">
        <f>IFERROR(__xludf.DUMMYFUNCTION("""COMPUTED_VALUE"""),63.0)</f>
        <v>63</v>
      </c>
      <c r="X66" s="3">
        <f>IFERROR(__xludf.DUMMYFUNCTION("""COMPUTED_VALUE"""),66.0)</f>
        <v>66</v>
      </c>
      <c r="Y66" s="3">
        <f>IFERROR(__xludf.DUMMYFUNCTION("""COMPUTED_VALUE"""),80.0)</f>
        <v>80</v>
      </c>
      <c r="Z66" s="3">
        <f>IFERROR(__xludf.DUMMYFUNCTION("""COMPUTED_VALUE"""),92.0)</f>
        <v>92</v>
      </c>
      <c r="AA66" s="3">
        <f>IFERROR(__xludf.DUMMYFUNCTION("""COMPUTED_VALUE"""),105.0)</f>
        <v>105</v>
      </c>
      <c r="AB66" s="3">
        <f>IFERROR(__xludf.DUMMYFUNCTION("""COMPUTED_VALUE"""),136.0)</f>
        <v>136</v>
      </c>
      <c r="AC66" s="3">
        <f>IFERROR(__xludf.DUMMYFUNCTION("""COMPUTED_VALUE"""),156.0)</f>
        <v>156</v>
      </c>
      <c r="AD66" s="3">
        <f>IFERROR(__xludf.DUMMYFUNCTION("""COMPUTED_VALUE"""),173.0)</f>
        <v>173</v>
      </c>
      <c r="AE66" s="3">
        <f>IFERROR(__xludf.DUMMYFUNCTION("""COMPUTED_VALUE"""),191.0)</f>
        <v>191</v>
      </c>
      <c r="AF66" s="3">
        <f>IFERROR(__xludf.DUMMYFUNCTION("""COMPUTED_VALUE"""),211.0)</f>
        <v>211</v>
      </c>
      <c r="AG66" s="3">
        <f>IFERROR(__xludf.DUMMYFUNCTION("""COMPUTED_VALUE"""),231.0)</f>
        <v>231</v>
      </c>
      <c r="AH66" s="3">
        <f>IFERROR(__xludf.DUMMYFUNCTION("""COMPUTED_VALUE"""),254.0)</f>
        <v>254</v>
      </c>
      <c r="AI66" s="3">
        <f>IFERROR(__xludf.DUMMYFUNCTION("""COMPUTED_VALUE"""),281.0)</f>
        <v>281</v>
      </c>
      <c r="AJ66" s="3">
        <f>IFERROR(__xludf.DUMMYFUNCTION("""COMPUTED_VALUE"""),302.0)</f>
        <v>302</v>
      </c>
      <c r="AK66" s="3">
        <f>IFERROR(__xludf.DUMMYFUNCTION("""COMPUTED_VALUE"""),321.0)</f>
        <v>321</v>
      </c>
      <c r="AL66" s="3">
        <f>IFERROR(__xludf.DUMMYFUNCTION("""COMPUTED_VALUE"""),343.0)</f>
        <v>343</v>
      </c>
      <c r="AM66" s="3">
        <f>IFERROR(__xludf.DUMMYFUNCTION("""COMPUTED_VALUE"""),355.0)</f>
        <v>355</v>
      </c>
      <c r="AN66" s="3">
        <f>IFERROR(__xludf.DUMMYFUNCTION("""COMPUTED_VALUE"""),377.0)</f>
        <v>377</v>
      </c>
      <c r="AO66" s="3">
        <f>IFERROR(__xludf.DUMMYFUNCTION("""COMPUTED_VALUE"""),387.0)</f>
        <v>387</v>
      </c>
      <c r="AP66" s="3">
        <f>IFERROR(__xludf.DUMMYFUNCTION("""COMPUTED_VALUE"""),405.0)</f>
        <v>405</v>
      </c>
      <c r="AQ66" s="3">
        <f>IFERROR(__xludf.DUMMYFUNCTION("""COMPUTED_VALUE"""),421.0)</f>
        <v>421</v>
      </c>
      <c r="AR66" s="3">
        <f>IFERROR(__xludf.DUMMYFUNCTION("""COMPUTED_VALUE"""),443.0)</f>
        <v>443</v>
      </c>
      <c r="AS66" s="3">
        <f>IFERROR(__xludf.DUMMYFUNCTION("""COMPUTED_VALUE"""),460.0)</f>
        <v>460</v>
      </c>
      <c r="AT66" s="3">
        <f>IFERROR(__xludf.DUMMYFUNCTION("""COMPUTED_VALUE"""),511.0)</f>
        <v>511</v>
      </c>
      <c r="AU66" s="3">
        <f>IFERROR(__xludf.DUMMYFUNCTION("""COMPUTED_VALUE"""),516.0)</f>
        <v>516</v>
      </c>
      <c r="AV66" s="3">
        <f>IFERROR(__xludf.DUMMYFUNCTION("""COMPUTED_VALUE"""),578.0)</f>
        <v>578</v>
      </c>
      <c r="AW66" s="3">
        <f>IFERROR(__xludf.DUMMYFUNCTION("""COMPUTED_VALUE"""),618.0)</f>
        <v>618</v>
      </c>
      <c r="AX66" s="3">
        <f>IFERROR(__xludf.DUMMYFUNCTION("""COMPUTED_VALUE"""),627.0)</f>
        <v>627</v>
      </c>
      <c r="AY66" s="3">
        <f>IFERROR(__xludf.DUMMYFUNCTION("""COMPUTED_VALUE"""),642.0)</f>
        <v>642</v>
      </c>
      <c r="AZ66" s="3">
        <f>IFERROR(__xludf.DUMMYFUNCTION("""COMPUTED_VALUE"""),700.0)</f>
        <v>700</v>
      </c>
      <c r="BA66" s="3">
        <f>IFERROR(__xludf.DUMMYFUNCTION("""COMPUTED_VALUE"""),719.0)</f>
        <v>719</v>
      </c>
      <c r="BB66" s="3">
        <f>IFERROR(__xludf.DUMMYFUNCTION("""COMPUTED_VALUE"""),726.0)</f>
        <v>726</v>
      </c>
      <c r="BC66" s="3">
        <f>IFERROR(__xludf.DUMMYFUNCTION("""COMPUTED_VALUE"""),734.0)</f>
        <v>734</v>
      </c>
      <c r="BD66" s="3">
        <f>IFERROR(__xludf.DUMMYFUNCTION("""COMPUTED_VALUE"""),739.0)</f>
        <v>739</v>
      </c>
      <c r="BE66" s="3">
        <f>IFERROR(__xludf.DUMMYFUNCTION("""COMPUTED_VALUE"""),741.0)</f>
        <v>741</v>
      </c>
      <c r="BF66" s="3">
        <f>IFERROR(__xludf.DUMMYFUNCTION("""COMPUTED_VALUE"""),741.0)</f>
        <v>741</v>
      </c>
      <c r="BG66" s="3">
        <f>IFERROR(__xludf.DUMMYFUNCTION("""COMPUTED_VALUE"""),746.0)</f>
        <v>746</v>
      </c>
      <c r="BH66" s="3">
        <f>IFERROR(__xludf.DUMMYFUNCTION("""COMPUTED_VALUE"""),746.0)</f>
        <v>746</v>
      </c>
      <c r="BI66" s="3">
        <f>IFERROR(__xludf.DUMMYFUNCTION("""COMPUTED_VALUE"""),746.0)</f>
        <v>746</v>
      </c>
      <c r="BJ66" s="3">
        <f>IFERROR(__xludf.DUMMYFUNCTION("""COMPUTED_VALUE"""),747.0)</f>
        <v>747</v>
      </c>
      <c r="BK66" s="3">
        <f>IFERROR(__xludf.DUMMYFUNCTION("""COMPUTED_VALUE"""),748.0)</f>
        <v>748</v>
      </c>
      <c r="BL66" s="3">
        <f>IFERROR(__xludf.DUMMYFUNCTION("""COMPUTED_VALUE"""),749.0)</f>
        <v>749</v>
      </c>
      <c r="BM66" s="3">
        <f>IFERROR(__xludf.DUMMYFUNCTION("""COMPUTED_VALUE"""),750.0)</f>
        <v>750</v>
      </c>
      <c r="BN66" s="3">
        <f>IFERROR(__xludf.DUMMYFUNCTION("""COMPUTED_VALUE"""),751.0)</f>
        <v>751</v>
      </c>
      <c r="BO66" s="3">
        <f>IFERROR(__xludf.DUMMYFUNCTION("""COMPUTED_VALUE"""),752.0)</f>
        <v>752</v>
      </c>
      <c r="BP66" s="3">
        <f>IFERROR(__xludf.DUMMYFUNCTION("""COMPUTED_VALUE"""),752.0)</f>
        <v>752</v>
      </c>
      <c r="BQ66" s="3">
        <f>IFERROR(__xludf.DUMMYFUNCTION("""COMPUTED_VALUE"""),752.0)</f>
        <v>752</v>
      </c>
      <c r="BR66" s="3">
        <f>IFERROR(__xludf.DUMMYFUNCTION("""COMPUTED_VALUE"""),752.0)</f>
        <v>752</v>
      </c>
      <c r="BS66" s="3">
        <f>IFERROR(__xludf.DUMMYFUNCTION("""COMPUTED_VALUE"""),752.0)</f>
        <v>752</v>
      </c>
      <c r="BT66" s="3">
        <f>IFERROR(__xludf.DUMMYFUNCTION("""COMPUTED_VALUE"""),752.0)</f>
        <v>752</v>
      </c>
      <c r="BU66" s="3">
        <f>IFERROR(__xludf.DUMMYFUNCTION("""COMPUTED_VALUE"""),753.0)</f>
        <v>753</v>
      </c>
      <c r="BV66" s="3">
        <f>IFERROR(__xludf.DUMMYFUNCTION("""COMPUTED_VALUE"""),753.0)</f>
        <v>753</v>
      </c>
      <c r="BW66" s="3">
        <f>IFERROR(__xludf.DUMMYFUNCTION("""COMPUTED_VALUE"""),753.0)</f>
        <v>753</v>
      </c>
      <c r="BX66" s="3">
        <f>IFERROR(__xludf.DUMMYFUNCTION("""COMPUTED_VALUE"""),753.0)</f>
        <v>753</v>
      </c>
      <c r="BY66" s="3">
        <f>IFERROR(__xludf.DUMMYFUNCTION("""COMPUTED_VALUE"""),754.0)</f>
        <v>754</v>
      </c>
      <c r="BZ66" s="3">
        <f>IFERROR(__xludf.DUMMYFUNCTION("""COMPUTED_VALUE"""),755.0)</f>
        <v>755</v>
      </c>
      <c r="CA66" s="3">
        <f>IFERROR(__xludf.DUMMYFUNCTION("""COMPUTED_VALUE"""),755.0)</f>
        <v>755</v>
      </c>
      <c r="CB66" s="3">
        <f>IFERROR(__xludf.DUMMYFUNCTION("""COMPUTED_VALUE"""),755.0)</f>
        <v>755</v>
      </c>
    </row>
    <row r="67">
      <c r="A67" s="3" t="str">
        <f>IFERROR(__xludf.DUMMYFUNCTION("""COMPUTED_VALUE"""),"Shanghai")</f>
        <v>Shanghai</v>
      </c>
      <c r="B67" s="3" t="str">
        <f>IFERROR(__xludf.DUMMYFUNCTION("""COMPUTED_VALUE"""),"China")</f>
        <v>China</v>
      </c>
      <c r="C67" s="3">
        <f>IFERROR(__xludf.DUMMYFUNCTION("""COMPUTED_VALUE"""),31.202)</f>
        <v>31.202</v>
      </c>
      <c r="D67" s="3">
        <f>IFERROR(__xludf.DUMMYFUNCTION("""COMPUTED_VALUE"""),121.4491)</f>
        <v>121.4491</v>
      </c>
      <c r="E67" s="3">
        <f>IFERROR(__xludf.DUMMYFUNCTION("""COMPUTED_VALUE"""),0.0)</f>
        <v>0</v>
      </c>
      <c r="F67" s="3">
        <f>IFERROR(__xludf.DUMMYFUNCTION("""COMPUTED_VALUE"""),0.0)</f>
        <v>0</v>
      </c>
      <c r="G67" s="3">
        <f>IFERROR(__xludf.DUMMYFUNCTION("""COMPUTED_VALUE"""),1.0)</f>
        <v>1</v>
      </c>
      <c r="H67" s="3">
        <f>IFERROR(__xludf.DUMMYFUNCTION("""COMPUTED_VALUE"""),1.0)</f>
        <v>1</v>
      </c>
      <c r="I67" s="3">
        <f>IFERROR(__xludf.DUMMYFUNCTION("""COMPUTED_VALUE"""),1.0)</f>
        <v>1</v>
      </c>
      <c r="J67" s="3">
        <f>IFERROR(__xludf.DUMMYFUNCTION("""COMPUTED_VALUE"""),3.0)</f>
        <v>3</v>
      </c>
      <c r="K67" s="3">
        <f>IFERROR(__xludf.DUMMYFUNCTION("""COMPUTED_VALUE"""),4.0)</f>
        <v>4</v>
      </c>
      <c r="L67" s="3">
        <f>IFERROR(__xludf.DUMMYFUNCTION("""COMPUTED_VALUE"""),5.0)</f>
        <v>5</v>
      </c>
      <c r="M67" s="3">
        <f>IFERROR(__xludf.DUMMYFUNCTION("""COMPUTED_VALUE"""),5.0)</f>
        <v>5</v>
      </c>
      <c r="N67" s="3">
        <f>IFERROR(__xludf.DUMMYFUNCTION("""COMPUTED_VALUE"""),9.0)</f>
        <v>9</v>
      </c>
      <c r="O67" s="3">
        <f>IFERROR(__xludf.DUMMYFUNCTION("""COMPUTED_VALUE"""),10.0)</f>
        <v>10</v>
      </c>
      <c r="P67" s="3">
        <f>IFERROR(__xludf.DUMMYFUNCTION("""COMPUTED_VALUE"""),10.0)</f>
        <v>10</v>
      </c>
      <c r="Q67" s="3">
        <f>IFERROR(__xludf.DUMMYFUNCTION("""COMPUTED_VALUE"""),10.0)</f>
        <v>10</v>
      </c>
      <c r="R67" s="3">
        <f>IFERROR(__xludf.DUMMYFUNCTION("""COMPUTED_VALUE"""),12.0)</f>
        <v>12</v>
      </c>
      <c r="S67" s="3">
        <f>IFERROR(__xludf.DUMMYFUNCTION("""COMPUTED_VALUE"""),15.0)</f>
        <v>15</v>
      </c>
      <c r="T67" s="3">
        <f>IFERROR(__xludf.DUMMYFUNCTION("""COMPUTED_VALUE"""),25.0)</f>
        <v>25</v>
      </c>
      <c r="U67" s="3">
        <f>IFERROR(__xludf.DUMMYFUNCTION("""COMPUTED_VALUE"""),30.0)</f>
        <v>30</v>
      </c>
      <c r="V67" s="3">
        <f>IFERROR(__xludf.DUMMYFUNCTION("""COMPUTED_VALUE"""),41.0)</f>
        <v>41</v>
      </c>
      <c r="W67" s="3">
        <f>IFERROR(__xludf.DUMMYFUNCTION("""COMPUTED_VALUE"""),44.0)</f>
        <v>44</v>
      </c>
      <c r="X67" s="3">
        <f>IFERROR(__xludf.DUMMYFUNCTION("""COMPUTED_VALUE"""),48.0)</f>
        <v>48</v>
      </c>
      <c r="Y67" s="3">
        <f>IFERROR(__xludf.DUMMYFUNCTION("""COMPUTED_VALUE"""),52.0)</f>
        <v>52</v>
      </c>
      <c r="Z67" s="3">
        <f>IFERROR(__xludf.DUMMYFUNCTION("""COMPUTED_VALUE"""),57.0)</f>
        <v>57</v>
      </c>
      <c r="AA67" s="3">
        <f>IFERROR(__xludf.DUMMYFUNCTION("""COMPUTED_VALUE"""),62.0)</f>
        <v>62</v>
      </c>
      <c r="AB67" s="3">
        <f>IFERROR(__xludf.DUMMYFUNCTION("""COMPUTED_VALUE"""),90.0)</f>
        <v>90</v>
      </c>
      <c r="AC67" s="3">
        <f>IFERROR(__xludf.DUMMYFUNCTION("""COMPUTED_VALUE"""),124.0)</f>
        <v>124</v>
      </c>
      <c r="AD67" s="3">
        <f>IFERROR(__xludf.DUMMYFUNCTION("""COMPUTED_VALUE"""),140.0)</f>
        <v>140</v>
      </c>
      <c r="AE67" s="3">
        <f>IFERROR(__xludf.DUMMYFUNCTION("""COMPUTED_VALUE"""),161.0)</f>
        <v>161</v>
      </c>
      <c r="AF67" s="3">
        <f>IFERROR(__xludf.DUMMYFUNCTION("""COMPUTED_VALUE"""),177.0)</f>
        <v>177</v>
      </c>
      <c r="AG67" s="3">
        <f>IFERROR(__xludf.DUMMYFUNCTION("""COMPUTED_VALUE"""),186.0)</f>
        <v>186</v>
      </c>
      <c r="AH67" s="3">
        <f>IFERROR(__xludf.DUMMYFUNCTION("""COMPUTED_VALUE"""),199.0)</f>
        <v>199</v>
      </c>
      <c r="AI67" s="3">
        <f>IFERROR(__xludf.DUMMYFUNCTION("""COMPUTED_VALUE"""),211.0)</f>
        <v>211</v>
      </c>
      <c r="AJ67" s="3">
        <f>IFERROR(__xludf.DUMMYFUNCTION("""COMPUTED_VALUE"""),227.0)</f>
        <v>227</v>
      </c>
      <c r="AK67" s="3">
        <f>IFERROR(__xludf.DUMMYFUNCTION("""COMPUTED_VALUE"""),249.0)</f>
        <v>249</v>
      </c>
      <c r="AL67" s="3">
        <f>IFERROR(__xludf.DUMMYFUNCTION("""COMPUTED_VALUE"""),261.0)</f>
        <v>261</v>
      </c>
      <c r="AM67" s="3">
        <f>IFERROR(__xludf.DUMMYFUNCTION("""COMPUTED_VALUE"""),268.0)</f>
        <v>268</v>
      </c>
      <c r="AN67" s="3">
        <f>IFERROR(__xludf.DUMMYFUNCTION("""COMPUTED_VALUE"""),272.0)</f>
        <v>272</v>
      </c>
      <c r="AO67" s="3">
        <f>IFERROR(__xludf.DUMMYFUNCTION("""COMPUTED_VALUE"""),276.0)</f>
        <v>276</v>
      </c>
      <c r="AP67" s="3">
        <f>IFERROR(__xludf.DUMMYFUNCTION("""COMPUTED_VALUE"""),279.0)</f>
        <v>279</v>
      </c>
      <c r="AQ67" s="3">
        <f>IFERROR(__xludf.DUMMYFUNCTION("""COMPUTED_VALUE"""),287.0)</f>
        <v>287</v>
      </c>
      <c r="AR67" s="3">
        <f>IFERROR(__xludf.DUMMYFUNCTION("""COMPUTED_VALUE"""),290.0)</f>
        <v>290</v>
      </c>
      <c r="AS67" s="3">
        <f>IFERROR(__xludf.DUMMYFUNCTION("""COMPUTED_VALUE"""),292.0)</f>
        <v>292</v>
      </c>
      <c r="AT67" s="3">
        <f>IFERROR(__xludf.DUMMYFUNCTION("""COMPUTED_VALUE"""),294.0)</f>
        <v>294</v>
      </c>
      <c r="AU67" s="3">
        <f>IFERROR(__xludf.DUMMYFUNCTION("""COMPUTED_VALUE"""),298.0)</f>
        <v>298</v>
      </c>
      <c r="AV67" s="3">
        <f>IFERROR(__xludf.DUMMYFUNCTION("""COMPUTED_VALUE"""),303.0)</f>
        <v>303</v>
      </c>
      <c r="AW67" s="3">
        <f>IFERROR(__xludf.DUMMYFUNCTION("""COMPUTED_VALUE"""),306.0)</f>
        <v>306</v>
      </c>
      <c r="AX67" s="3">
        <f>IFERROR(__xludf.DUMMYFUNCTION("""COMPUTED_VALUE"""),313.0)</f>
        <v>313</v>
      </c>
      <c r="AY67" s="3">
        <f>IFERROR(__xludf.DUMMYFUNCTION("""COMPUTED_VALUE"""),314.0)</f>
        <v>314</v>
      </c>
      <c r="AZ67" s="3">
        <f>IFERROR(__xludf.DUMMYFUNCTION("""COMPUTED_VALUE"""),315.0)</f>
        <v>315</v>
      </c>
      <c r="BA67" s="3">
        <f>IFERROR(__xludf.DUMMYFUNCTION("""COMPUTED_VALUE"""),319.0)</f>
        <v>319</v>
      </c>
      <c r="BB67" s="3">
        <f>IFERROR(__xludf.DUMMYFUNCTION("""COMPUTED_VALUE"""),320.0)</f>
        <v>320</v>
      </c>
      <c r="BC67" s="3">
        <f>IFERROR(__xludf.DUMMYFUNCTION("""COMPUTED_VALUE"""),321.0)</f>
        <v>321</v>
      </c>
      <c r="BD67" s="3">
        <f>IFERROR(__xludf.DUMMYFUNCTION("""COMPUTED_VALUE"""),324.0)</f>
        <v>324</v>
      </c>
      <c r="BE67" s="3">
        <f>IFERROR(__xludf.DUMMYFUNCTION("""COMPUTED_VALUE"""),324.0)</f>
        <v>324</v>
      </c>
      <c r="BF67" s="3">
        <f>IFERROR(__xludf.DUMMYFUNCTION("""COMPUTED_VALUE"""),324.0)</f>
        <v>324</v>
      </c>
      <c r="BG67" s="3">
        <f>IFERROR(__xludf.DUMMYFUNCTION("""COMPUTED_VALUE"""),325.0)</f>
        <v>325</v>
      </c>
      <c r="BH67" s="3">
        <f>IFERROR(__xludf.DUMMYFUNCTION("""COMPUTED_VALUE"""),325.0)</f>
        <v>325</v>
      </c>
      <c r="BI67" s="3">
        <f>IFERROR(__xludf.DUMMYFUNCTION("""COMPUTED_VALUE"""),326.0)</f>
        <v>326</v>
      </c>
      <c r="BJ67" s="3">
        <f>IFERROR(__xludf.DUMMYFUNCTION("""COMPUTED_VALUE"""),326.0)</f>
        <v>326</v>
      </c>
      <c r="BK67" s="3">
        <f>IFERROR(__xludf.DUMMYFUNCTION("""COMPUTED_VALUE"""),326.0)</f>
        <v>326</v>
      </c>
      <c r="BL67" s="3">
        <f>IFERROR(__xludf.DUMMYFUNCTION("""COMPUTED_VALUE"""),327.0)</f>
        <v>327</v>
      </c>
      <c r="BM67" s="3">
        <f>IFERROR(__xludf.DUMMYFUNCTION("""COMPUTED_VALUE"""),328.0)</f>
        <v>328</v>
      </c>
      <c r="BN67" s="3">
        <f>IFERROR(__xludf.DUMMYFUNCTION("""COMPUTED_VALUE"""),329.0)</f>
        <v>329</v>
      </c>
      <c r="BO67" s="3">
        <f>IFERROR(__xludf.DUMMYFUNCTION("""COMPUTED_VALUE"""),330.0)</f>
        <v>330</v>
      </c>
      <c r="BP67" s="3">
        <f>IFERROR(__xludf.DUMMYFUNCTION("""COMPUTED_VALUE"""),330.0)</f>
        <v>330</v>
      </c>
      <c r="BQ67" s="3">
        <f>IFERROR(__xludf.DUMMYFUNCTION("""COMPUTED_VALUE"""),331.0)</f>
        <v>331</v>
      </c>
      <c r="BR67" s="3">
        <f>IFERROR(__xludf.DUMMYFUNCTION("""COMPUTED_VALUE"""),334.0)</f>
        <v>334</v>
      </c>
      <c r="BS67" s="3">
        <f>IFERROR(__xludf.DUMMYFUNCTION("""COMPUTED_VALUE"""),334.0)</f>
        <v>334</v>
      </c>
      <c r="BT67" s="3">
        <f>IFERROR(__xludf.DUMMYFUNCTION("""COMPUTED_VALUE"""),334.0)</f>
        <v>334</v>
      </c>
      <c r="BU67" s="3">
        <f>IFERROR(__xludf.DUMMYFUNCTION("""COMPUTED_VALUE"""),338.0)</f>
        <v>338</v>
      </c>
      <c r="BV67" s="3">
        <f>IFERROR(__xludf.DUMMYFUNCTION("""COMPUTED_VALUE"""),341.0)</f>
        <v>341</v>
      </c>
      <c r="BW67" s="3">
        <f>IFERROR(__xludf.DUMMYFUNCTION("""COMPUTED_VALUE"""),341.0)</f>
        <v>341</v>
      </c>
      <c r="BX67" s="3">
        <f>IFERROR(__xludf.DUMMYFUNCTION("""COMPUTED_VALUE"""),343.0)</f>
        <v>343</v>
      </c>
      <c r="BY67" s="3">
        <f>IFERROR(__xludf.DUMMYFUNCTION("""COMPUTED_VALUE"""),348.0)</f>
        <v>348</v>
      </c>
      <c r="BZ67" s="3">
        <f>IFERROR(__xludf.DUMMYFUNCTION("""COMPUTED_VALUE"""),356.0)</f>
        <v>356</v>
      </c>
      <c r="CA67" s="3">
        <f>IFERROR(__xludf.DUMMYFUNCTION("""COMPUTED_VALUE"""),383.0)</f>
        <v>383</v>
      </c>
      <c r="CB67" s="3">
        <f>IFERROR(__xludf.DUMMYFUNCTION("""COMPUTED_VALUE"""),389.0)</f>
        <v>389</v>
      </c>
    </row>
    <row r="68">
      <c r="A68" s="3" t="str">
        <f>IFERROR(__xludf.DUMMYFUNCTION("""COMPUTED_VALUE"""),"Shanxi")</f>
        <v>Shanxi</v>
      </c>
      <c r="B68" s="3" t="str">
        <f>IFERROR(__xludf.DUMMYFUNCTION("""COMPUTED_VALUE"""),"China")</f>
        <v>China</v>
      </c>
      <c r="C68" s="3">
        <f>IFERROR(__xludf.DUMMYFUNCTION("""COMPUTED_VALUE"""),37.5777)</f>
        <v>37.5777</v>
      </c>
      <c r="D68" s="3">
        <f>IFERROR(__xludf.DUMMYFUNCTION("""COMPUTED_VALUE"""),112.2922)</f>
        <v>112.2922</v>
      </c>
      <c r="E68" s="3">
        <f>IFERROR(__xludf.DUMMYFUNCTION("""COMPUTED_VALUE"""),0.0)</f>
        <v>0</v>
      </c>
      <c r="F68" s="3">
        <f>IFERROR(__xludf.DUMMYFUNCTION("""COMPUTED_VALUE"""),0.0)</f>
        <v>0</v>
      </c>
      <c r="G68" s="3">
        <f>IFERROR(__xludf.DUMMYFUNCTION("""COMPUTED_VALUE"""),0.0)</f>
        <v>0</v>
      </c>
      <c r="H68" s="3">
        <f>IFERROR(__xludf.DUMMYFUNCTION("""COMPUTED_VALUE"""),0.0)</f>
        <v>0</v>
      </c>
      <c r="I68" s="3">
        <f>IFERROR(__xludf.DUMMYFUNCTION("""COMPUTED_VALUE"""),0.0)</f>
        <v>0</v>
      </c>
      <c r="J68" s="3">
        <f>IFERROR(__xludf.DUMMYFUNCTION("""COMPUTED_VALUE"""),0.0)</f>
        <v>0</v>
      </c>
      <c r="K68" s="3">
        <f>IFERROR(__xludf.DUMMYFUNCTION("""COMPUTED_VALUE"""),0.0)</f>
        <v>0</v>
      </c>
      <c r="L68" s="3">
        <f>IFERROR(__xludf.DUMMYFUNCTION("""COMPUTED_VALUE"""),1.0)</f>
        <v>1</v>
      </c>
      <c r="M68" s="3">
        <f>IFERROR(__xludf.DUMMYFUNCTION("""COMPUTED_VALUE"""),1.0)</f>
        <v>1</v>
      </c>
      <c r="N68" s="3">
        <f>IFERROR(__xludf.DUMMYFUNCTION("""COMPUTED_VALUE"""),1.0)</f>
        <v>1</v>
      </c>
      <c r="O68" s="3">
        <f>IFERROR(__xludf.DUMMYFUNCTION("""COMPUTED_VALUE"""),1.0)</f>
        <v>1</v>
      </c>
      <c r="P68" s="3">
        <f>IFERROR(__xludf.DUMMYFUNCTION("""COMPUTED_VALUE"""),3.0)</f>
        <v>3</v>
      </c>
      <c r="Q68" s="3">
        <f>IFERROR(__xludf.DUMMYFUNCTION("""COMPUTED_VALUE"""),2.0)</f>
        <v>2</v>
      </c>
      <c r="R68" s="3">
        <f>IFERROR(__xludf.DUMMYFUNCTION("""COMPUTED_VALUE"""),4.0)</f>
        <v>4</v>
      </c>
      <c r="S68" s="3">
        <f>IFERROR(__xludf.DUMMYFUNCTION("""COMPUTED_VALUE"""),5.0)</f>
        <v>5</v>
      </c>
      <c r="T68" s="3">
        <f>IFERROR(__xludf.DUMMYFUNCTION("""COMPUTED_VALUE"""),12.0)</f>
        <v>12</v>
      </c>
      <c r="U68" s="3">
        <f>IFERROR(__xludf.DUMMYFUNCTION("""COMPUTED_VALUE"""),15.0)</f>
        <v>15</v>
      </c>
      <c r="V68" s="3">
        <f>IFERROR(__xludf.DUMMYFUNCTION("""COMPUTED_VALUE"""),21.0)</f>
        <v>21</v>
      </c>
      <c r="W68" s="3">
        <f>IFERROR(__xludf.DUMMYFUNCTION("""COMPUTED_VALUE"""),25.0)</f>
        <v>25</v>
      </c>
      <c r="X68" s="3">
        <f>IFERROR(__xludf.DUMMYFUNCTION("""COMPUTED_VALUE"""),25.0)</f>
        <v>25</v>
      </c>
      <c r="Y68" s="3">
        <f>IFERROR(__xludf.DUMMYFUNCTION("""COMPUTED_VALUE"""),30.0)</f>
        <v>30</v>
      </c>
      <c r="Z68" s="3">
        <f>IFERROR(__xludf.DUMMYFUNCTION("""COMPUTED_VALUE"""),33.0)</f>
        <v>33</v>
      </c>
      <c r="AA68" s="3">
        <f>IFERROR(__xludf.DUMMYFUNCTION("""COMPUTED_VALUE"""),36.0)</f>
        <v>36</v>
      </c>
      <c r="AB68" s="3">
        <f>IFERROR(__xludf.DUMMYFUNCTION("""COMPUTED_VALUE"""),38.0)</f>
        <v>38</v>
      </c>
      <c r="AC68" s="3">
        <f>IFERROR(__xludf.DUMMYFUNCTION("""COMPUTED_VALUE"""),46.0)</f>
        <v>46</v>
      </c>
      <c r="AD68" s="3">
        <f>IFERROR(__xludf.DUMMYFUNCTION("""COMPUTED_VALUE"""),50.0)</f>
        <v>50</v>
      </c>
      <c r="AE68" s="3">
        <f>IFERROR(__xludf.DUMMYFUNCTION("""COMPUTED_VALUE"""),53.0)</f>
        <v>53</v>
      </c>
      <c r="AF68" s="3">
        <f>IFERROR(__xludf.DUMMYFUNCTION("""COMPUTED_VALUE"""),61.0)</f>
        <v>61</v>
      </c>
      <c r="AG68" s="3">
        <f>IFERROR(__xludf.DUMMYFUNCTION("""COMPUTED_VALUE"""),68.0)</f>
        <v>68</v>
      </c>
      <c r="AH68" s="3">
        <f>IFERROR(__xludf.DUMMYFUNCTION("""COMPUTED_VALUE"""),76.0)</f>
        <v>76</v>
      </c>
      <c r="AI68" s="3">
        <f>IFERROR(__xludf.DUMMYFUNCTION("""COMPUTED_VALUE"""),78.0)</f>
        <v>78</v>
      </c>
      <c r="AJ68" s="3">
        <f>IFERROR(__xludf.DUMMYFUNCTION("""COMPUTED_VALUE"""),81.0)</f>
        <v>81</v>
      </c>
      <c r="AK68" s="3">
        <f>IFERROR(__xludf.DUMMYFUNCTION("""COMPUTED_VALUE"""),88.0)</f>
        <v>88</v>
      </c>
      <c r="AL68" s="3">
        <f>IFERROR(__xludf.DUMMYFUNCTION("""COMPUTED_VALUE"""),94.0)</f>
        <v>94</v>
      </c>
      <c r="AM68" s="3">
        <f>IFERROR(__xludf.DUMMYFUNCTION("""COMPUTED_VALUE"""),98.0)</f>
        <v>98</v>
      </c>
      <c r="AN68" s="3">
        <f>IFERROR(__xludf.DUMMYFUNCTION("""COMPUTED_VALUE"""),104.0)</f>
        <v>104</v>
      </c>
      <c r="AO68" s="3">
        <f>IFERROR(__xludf.DUMMYFUNCTION("""COMPUTED_VALUE"""),107.0)</f>
        <v>107</v>
      </c>
      <c r="AP68" s="3">
        <f>IFERROR(__xludf.DUMMYFUNCTION("""COMPUTED_VALUE"""),112.0)</f>
        <v>112</v>
      </c>
      <c r="AQ68" s="3">
        <f>IFERROR(__xludf.DUMMYFUNCTION("""COMPUTED_VALUE"""),114.0)</f>
        <v>114</v>
      </c>
      <c r="AR68" s="3">
        <f>IFERROR(__xludf.DUMMYFUNCTION("""COMPUTED_VALUE"""),116.0)</f>
        <v>116</v>
      </c>
      <c r="AS68" s="3">
        <f>IFERROR(__xludf.DUMMYFUNCTION("""COMPUTED_VALUE"""),119.0)</f>
        <v>119</v>
      </c>
      <c r="AT68" s="3">
        <f>IFERROR(__xludf.DUMMYFUNCTION("""COMPUTED_VALUE"""),124.0)</f>
        <v>124</v>
      </c>
      <c r="AU68" s="3">
        <f>IFERROR(__xludf.DUMMYFUNCTION("""COMPUTED_VALUE"""),124.0)</f>
        <v>124</v>
      </c>
      <c r="AV68" s="3">
        <f>IFERROR(__xludf.DUMMYFUNCTION("""COMPUTED_VALUE"""),126.0)</f>
        <v>126</v>
      </c>
      <c r="AW68" s="3">
        <f>IFERROR(__xludf.DUMMYFUNCTION("""COMPUTED_VALUE"""),126.0)</f>
        <v>126</v>
      </c>
      <c r="AX68" s="3">
        <f>IFERROR(__xludf.DUMMYFUNCTION("""COMPUTED_VALUE"""),126.0)</f>
        <v>126</v>
      </c>
      <c r="AY68" s="3">
        <f>IFERROR(__xludf.DUMMYFUNCTION("""COMPUTED_VALUE"""),126.0)</f>
        <v>126</v>
      </c>
      <c r="AZ68" s="3">
        <f>IFERROR(__xludf.DUMMYFUNCTION("""COMPUTED_VALUE"""),127.0)</f>
        <v>127</v>
      </c>
      <c r="BA68" s="3">
        <f>IFERROR(__xludf.DUMMYFUNCTION("""COMPUTED_VALUE"""),131.0)</f>
        <v>131</v>
      </c>
      <c r="BB68" s="3">
        <f>IFERROR(__xludf.DUMMYFUNCTION("""COMPUTED_VALUE"""),131.0)</f>
        <v>131</v>
      </c>
      <c r="BC68" s="3">
        <f>IFERROR(__xludf.DUMMYFUNCTION("""COMPUTED_VALUE"""),132.0)</f>
        <v>132</v>
      </c>
      <c r="BD68" s="3">
        <f>IFERROR(__xludf.DUMMYFUNCTION("""COMPUTED_VALUE"""),133.0)</f>
        <v>133</v>
      </c>
      <c r="BE68" s="3">
        <f>IFERROR(__xludf.DUMMYFUNCTION("""COMPUTED_VALUE"""),133.0)</f>
        <v>133</v>
      </c>
      <c r="BF68" s="3">
        <f>IFERROR(__xludf.DUMMYFUNCTION("""COMPUTED_VALUE"""),133.0)</f>
        <v>133</v>
      </c>
      <c r="BG68" s="3">
        <f>IFERROR(__xludf.DUMMYFUNCTION("""COMPUTED_VALUE"""),133.0)</f>
        <v>133</v>
      </c>
      <c r="BH68" s="3">
        <f>IFERROR(__xludf.DUMMYFUNCTION("""COMPUTED_VALUE"""),133.0)</f>
        <v>133</v>
      </c>
      <c r="BI68" s="3">
        <f>IFERROR(__xludf.DUMMYFUNCTION("""COMPUTED_VALUE"""),133.0)</f>
        <v>133</v>
      </c>
      <c r="BJ68" s="3">
        <f>IFERROR(__xludf.DUMMYFUNCTION("""COMPUTED_VALUE"""),133.0)</f>
        <v>133</v>
      </c>
      <c r="BK68" s="3">
        <f>IFERROR(__xludf.DUMMYFUNCTION("""COMPUTED_VALUE"""),133.0)</f>
        <v>133</v>
      </c>
      <c r="BL68" s="3">
        <f>IFERROR(__xludf.DUMMYFUNCTION("""COMPUTED_VALUE"""),133.0)</f>
        <v>133</v>
      </c>
      <c r="BM68" s="3">
        <f>IFERROR(__xludf.DUMMYFUNCTION("""COMPUTED_VALUE"""),133.0)</f>
        <v>133</v>
      </c>
      <c r="BN68" s="3">
        <f>IFERROR(__xludf.DUMMYFUNCTION("""COMPUTED_VALUE"""),133.0)</f>
        <v>133</v>
      </c>
      <c r="BO68" s="3">
        <f>IFERROR(__xludf.DUMMYFUNCTION("""COMPUTED_VALUE"""),133.0)</f>
        <v>133</v>
      </c>
      <c r="BP68" s="3">
        <f>IFERROR(__xludf.DUMMYFUNCTION("""COMPUTED_VALUE"""),133.0)</f>
        <v>133</v>
      </c>
      <c r="BQ68" s="3">
        <f>IFERROR(__xludf.DUMMYFUNCTION("""COMPUTED_VALUE"""),133.0)</f>
        <v>133</v>
      </c>
      <c r="BR68" s="3">
        <f>IFERROR(__xludf.DUMMYFUNCTION("""COMPUTED_VALUE"""),133.0)</f>
        <v>133</v>
      </c>
      <c r="BS68" s="3">
        <f>IFERROR(__xludf.DUMMYFUNCTION("""COMPUTED_VALUE"""),133.0)</f>
        <v>133</v>
      </c>
      <c r="BT68" s="3">
        <f>IFERROR(__xludf.DUMMYFUNCTION("""COMPUTED_VALUE"""),133.0)</f>
        <v>133</v>
      </c>
      <c r="BU68" s="3">
        <f>IFERROR(__xludf.DUMMYFUNCTION("""COMPUTED_VALUE"""),133.0)</f>
        <v>133</v>
      </c>
      <c r="BV68" s="3">
        <f>IFERROR(__xludf.DUMMYFUNCTION("""COMPUTED_VALUE"""),133.0)</f>
        <v>133</v>
      </c>
      <c r="BW68" s="3">
        <f>IFERROR(__xludf.DUMMYFUNCTION("""COMPUTED_VALUE"""),133.0)</f>
        <v>133</v>
      </c>
      <c r="BX68" s="3">
        <f>IFERROR(__xludf.DUMMYFUNCTION("""COMPUTED_VALUE"""),133.0)</f>
        <v>133</v>
      </c>
      <c r="BY68" s="3">
        <f>IFERROR(__xludf.DUMMYFUNCTION("""COMPUTED_VALUE"""),133.0)</f>
        <v>133</v>
      </c>
      <c r="BZ68" s="3">
        <f>IFERROR(__xludf.DUMMYFUNCTION("""COMPUTED_VALUE"""),133.0)</f>
        <v>133</v>
      </c>
      <c r="CA68" s="3">
        <f>IFERROR(__xludf.DUMMYFUNCTION("""COMPUTED_VALUE"""),133.0)</f>
        <v>133</v>
      </c>
      <c r="CB68" s="3">
        <f>IFERROR(__xludf.DUMMYFUNCTION("""COMPUTED_VALUE"""),133.0)</f>
        <v>133</v>
      </c>
    </row>
    <row r="69">
      <c r="A69" s="3" t="str">
        <f>IFERROR(__xludf.DUMMYFUNCTION("""COMPUTED_VALUE"""),"Sichuan")</f>
        <v>Sichuan</v>
      </c>
      <c r="B69" s="3" t="str">
        <f>IFERROR(__xludf.DUMMYFUNCTION("""COMPUTED_VALUE"""),"China")</f>
        <v>China</v>
      </c>
      <c r="C69" s="3">
        <f>IFERROR(__xludf.DUMMYFUNCTION("""COMPUTED_VALUE"""),30.6171)</f>
        <v>30.6171</v>
      </c>
      <c r="D69" s="3">
        <f>IFERROR(__xludf.DUMMYFUNCTION("""COMPUTED_VALUE"""),102.7103)</f>
        <v>102.7103</v>
      </c>
      <c r="E69" s="3">
        <f>IFERROR(__xludf.DUMMYFUNCTION("""COMPUTED_VALUE"""),0.0)</f>
        <v>0</v>
      </c>
      <c r="F69" s="3">
        <f>IFERROR(__xludf.DUMMYFUNCTION("""COMPUTED_VALUE"""),0.0)</f>
        <v>0</v>
      </c>
      <c r="G69" s="3">
        <f>IFERROR(__xludf.DUMMYFUNCTION("""COMPUTED_VALUE"""),0.0)</f>
        <v>0</v>
      </c>
      <c r="H69" s="3">
        <f>IFERROR(__xludf.DUMMYFUNCTION("""COMPUTED_VALUE"""),0.0)</f>
        <v>0</v>
      </c>
      <c r="I69" s="3">
        <f>IFERROR(__xludf.DUMMYFUNCTION("""COMPUTED_VALUE"""),0.0)</f>
        <v>0</v>
      </c>
      <c r="J69" s="3">
        <f>IFERROR(__xludf.DUMMYFUNCTION("""COMPUTED_VALUE"""),0.0)</f>
        <v>0</v>
      </c>
      <c r="K69" s="3">
        <f>IFERROR(__xludf.DUMMYFUNCTION("""COMPUTED_VALUE"""),0.0)</f>
        <v>0</v>
      </c>
      <c r="L69" s="3">
        <f>IFERROR(__xludf.DUMMYFUNCTION("""COMPUTED_VALUE"""),1.0)</f>
        <v>1</v>
      </c>
      <c r="M69" s="3">
        <f>IFERROR(__xludf.DUMMYFUNCTION("""COMPUTED_VALUE"""),1.0)</f>
        <v>1</v>
      </c>
      <c r="N69" s="3">
        <f>IFERROR(__xludf.DUMMYFUNCTION("""COMPUTED_VALUE"""),1.0)</f>
        <v>1</v>
      </c>
      <c r="O69" s="3">
        <f>IFERROR(__xludf.DUMMYFUNCTION("""COMPUTED_VALUE"""),3.0)</f>
        <v>3</v>
      </c>
      <c r="P69" s="3">
        <f>IFERROR(__xludf.DUMMYFUNCTION("""COMPUTED_VALUE"""),11.0)</f>
        <v>11</v>
      </c>
      <c r="Q69" s="3">
        <f>IFERROR(__xludf.DUMMYFUNCTION("""COMPUTED_VALUE"""),14.0)</f>
        <v>14</v>
      </c>
      <c r="R69" s="3">
        <f>IFERROR(__xludf.DUMMYFUNCTION("""COMPUTED_VALUE"""),14.0)</f>
        <v>14</v>
      </c>
      <c r="S69" s="3">
        <f>IFERROR(__xludf.DUMMYFUNCTION("""COMPUTED_VALUE"""),24.0)</f>
        <v>24</v>
      </c>
      <c r="T69" s="3">
        <f>IFERROR(__xludf.DUMMYFUNCTION("""COMPUTED_VALUE"""),31.0)</f>
        <v>31</v>
      </c>
      <c r="U69" s="3">
        <f>IFERROR(__xludf.DUMMYFUNCTION("""COMPUTED_VALUE"""),42.0)</f>
        <v>42</v>
      </c>
      <c r="V69" s="3">
        <f>IFERROR(__xludf.DUMMYFUNCTION("""COMPUTED_VALUE"""),60.0)</f>
        <v>60</v>
      </c>
      <c r="W69" s="3">
        <f>IFERROR(__xludf.DUMMYFUNCTION("""COMPUTED_VALUE"""),71.0)</f>
        <v>71</v>
      </c>
      <c r="X69" s="3">
        <f>IFERROR(__xludf.DUMMYFUNCTION("""COMPUTED_VALUE"""),80.0)</f>
        <v>80</v>
      </c>
      <c r="Y69" s="3">
        <f>IFERROR(__xludf.DUMMYFUNCTION("""COMPUTED_VALUE"""),85.0)</f>
        <v>85</v>
      </c>
      <c r="Z69" s="3">
        <f>IFERROR(__xludf.DUMMYFUNCTION("""COMPUTED_VALUE"""),92.0)</f>
        <v>92</v>
      </c>
      <c r="AA69" s="3">
        <f>IFERROR(__xludf.DUMMYFUNCTION("""COMPUTED_VALUE"""),104.0)</f>
        <v>104</v>
      </c>
      <c r="AB69" s="3">
        <f>IFERROR(__xludf.DUMMYFUNCTION("""COMPUTED_VALUE"""),114.0)</f>
        <v>114</v>
      </c>
      <c r="AC69" s="3">
        <f>IFERROR(__xludf.DUMMYFUNCTION("""COMPUTED_VALUE"""),119.0)</f>
        <v>119</v>
      </c>
      <c r="AD69" s="3">
        <f>IFERROR(__xludf.DUMMYFUNCTION("""COMPUTED_VALUE"""),131.0)</f>
        <v>131</v>
      </c>
      <c r="AE69" s="3">
        <f>IFERROR(__xludf.DUMMYFUNCTION("""COMPUTED_VALUE"""),156.0)</f>
        <v>156</v>
      </c>
      <c r="AF69" s="3">
        <f>IFERROR(__xludf.DUMMYFUNCTION("""COMPUTED_VALUE"""),169.0)</f>
        <v>169</v>
      </c>
      <c r="AG69" s="3">
        <f>IFERROR(__xludf.DUMMYFUNCTION("""COMPUTED_VALUE"""),188.0)</f>
        <v>188</v>
      </c>
      <c r="AH69" s="3">
        <f>IFERROR(__xludf.DUMMYFUNCTION("""COMPUTED_VALUE"""),217.0)</f>
        <v>217</v>
      </c>
      <c r="AI69" s="3">
        <f>IFERROR(__xludf.DUMMYFUNCTION("""COMPUTED_VALUE"""),231.0)</f>
        <v>231</v>
      </c>
      <c r="AJ69" s="3">
        <f>IFERROR(__xludf.DUMMYFUNCTION("""COMPUTED_VALUE"""),250.0)</f>
        <v>250</v>
      </c>
      <c r="AK69" s="3">
        <f>IFERROR(__xludf.DUMMYFUNCTION("""COMPUTED_VALUE"""),261.0)</f>
        <v>261</v>
      </c>
      <c r="AL69" s="3">
        <f>IFERROR(__xludf.DUMMYFUNCTION("""COMPUTED_VALUE"""),276.0)</f>
        <v>276</v>
      </c>
      <c r="AM69" s="3">
        <f>IFERROR(__xludf.DUMMYFUNCTION("""COMPUTED_VALUE"""),289.0)</f>
        <v>289</v>
      </c>
      <c r="AN69" s="3">
        <f>IFERROR(__xludf.DUMMYFUNCTION("""COMPUTED_VALUE"""),307.0)</f>
        <v>307</v>
      </c>
      <c r="AO69" s="3">
        <f>IFERROR(__xludf.DUMMYFUNCTION("""COMPUTED_VALUE"""),321.0)</f>
        <v>321</v>
      </c>
      <c r="AP69" s="3">
        <f>IFERROR(__xludf.DUMMYFUNCTION("""COMPUTED_VALUE"""),338.0)</f>
        <v>338</v>
      </c>
      <c r="AQ69" s="3">
        <f>IFERROR(__xludf.DUMMYFUNCTION("""COMPUTED_VALUE"""),351.0)</f>
        <v>351</v>
      </c>
      <c r="AR69" s="3">
        <f>IFERROR(__xludf.DUMMYFUNCTION("""COMPUTED_VALUE"""),365.0)</f>
        <v>365</v>
      </c>
      <c r="AS69" s="3">
        <f>IFERROR(__xludf.DUMMYFUNCTION("""COMPUTED_VALUE"""),386.0)</f>
        <v>386</v>
      </c>
      <c r="AT69" s="3">
        <f>IFERROR(__xludf.DUMMYFUNCTION("""COMPUTED_VALUE"""),394.0)</f>
        <v>394</v>
      </c>
      <c r="AU69" s="3">
        <f>IFERROR(__xludf.DUMMYFUNCTION("""COMPUTED_VALUE"""),406.0)</f>
        <v>406</v>
      </c>
      <c r="AV69" s="3">
        <f>IFERROR(__xludf.DUMMYFUNCTION("""COMPUTED_VALUE"""),425.0)</f>
        <v>425</v>
      </c>
      <c r="AW69" s="3">
        <f>IFERROR(__xludf.DUMMYFUNCTION("""COMPUTED_VALUE"""),442.0)</f>
        <v>442</v>
      </c>
      <c r="AX69" s="3">
        <f>IFERROR(__xludf.DUMMYFUNCTION("""COMPUTED_VALUE"""),454.0)</f>
        <v>454</v>
      </c>
      <c r="AY69" s="3">
        <f>IFERROR(__xludf.DUMMYFUNCTION("""COMPUTED_VALUE"""),464.0)</f>
        <v>464</v>
      </c>
      <c r="AZ69" s="3">
        <f>IFERROR(__xludf.DUMMYFUNCTION("""COMPUTED_VALUE"""),466.0)</f>
        <v>466</v>
      </c>
      <c r="BA69" s="3">
        <f>IFERROR(__xludf.DUMMYFUNCTION("""COMPUTED_VALUE"""),478.0)</f>
        <v>478</v>
      </c>
      <c r="BB69" s="3">
        <f>IFERROR(__xludf.DUMMYFUNCTION("""COMPUTED_VALUE"""),488.0)</f>
        <v>488</v>
      </c>
      <c r="BC69" s="3">
        <f>IFERROR(__xludf.DUMMYFUNCTION("""COMPUTED_VALUE"""),498.0)</f>
        <v>498</v>
      </c>
      <c r="BD69" s="3">
        <f>IFERROR(__xludf.DUMMYFUNCTION("""COMPUTED_VALUE"""),503.0)</f>
        <v>503</v>
      </c>
      <c r="BE69" s="3">
        <f>IFERROR(__xludf.DUMMYFUNCTION("""COMPUTED_VALUE"""),511.0)</f>
        <v>511</v>
      </c>
      <c r="BF69" s="3">
        <f>IFERROR(__xludf.DUMMYFUNCTION("""COMPUTED_VALUE"""),516.0)</f>
        <v>516</v>
      </c>
      <c r="BG69" s="3">
        <f>IFERROR(__xludf.DUMMYFUNCTION("""COMPUTED_VALUE"""),516.0)</f>
        <v>516</v>
      </c>
      <c r="BH69" s="3">
        <f>IFERROR(__xludf.DUMMYFUNCTION("""COMPUTED_VALUE"""),520.0)</f>
        <v>520</v>
      </c>
      <c r="BI69" s="3">
        <f>IFERROR(__xludf.DUMMYFUNCTION("""COMPUTED_VALUE"""),525.0)</f>
        <v>525</v>
      </c>
      <c r="BJ69" s="3">
        <f>IFERROR(__xludf.DUMMYFUNCTION("""COMPUTED_VALUE"""),536.0)</f>
        <v>536</v>
      </c>
      <c r="BK69" s="3">
        <f>IFERROR(__xludf.DUMMYFUNCTION("""COMPUTED_VALUE"""),536.0)</f>
        <v>536</v>
      </c>
      <c r="BL69" s="3">
        <f>IFERROR(__xludf.DUMMYFUNCTION("""COMPUTED_VALUE"""),536.0)</f>
        <v>536</v>
      </c>
      <c r="BM69" s="3">
        <f>IFERROR(__xludf.DUMMYFUNCTION("""COMPUTED_VALUE"""),536.0)</f>
        <v>536</v>
      </c>
      <c r="BN69" s="3">
        <f>IFERROR(__xludf.DUMMYFUNCTION("""COMPUTED_VALUE"""),536.0)</f>
        <v>536</v>
      </c>
      <c r="BO69" s="3">
        <f>IFERROR(__xludf.DUMMYFUNCTION("""COMPUTED_VALUE"""),536.0)</f>
        <v>536</v>
      </c>
      <c r="BP69" s="3">
        <f>IFERROR(__xludf.DUMMYFUNCTION("""COMPUTED_VALUE"""),536.0)</f>
        <v>536</v>
      </c>
      <c r="BQ69" s="3">
        <f>IFERROR(__xludf.DUMMYFUNCTION("""COMPUTED_VALUE"""),536.0)</f>
        <v>536</v>
      </c>
      <c r="BR69" s="3">
        <f>IFERROR(__xludf.DUMMYFUNCTION("""COMPUTED_VALUE"""),536.0)</f>
        <v>536</v>
      </c>
      <c r="BS69" s="3">
        <f>IFERROR(__xludf.DUMMYFUNCTION("""COMPUTED_VALUE"""),536.0)</f>
        <v>536</v>
      </c>
      <c r="BT69" s="3">
        <f>IFERROR(__xludf.DUMMYFUNCTION("""COMPUTED_VALUE"""),536.0)</f>
        <v>536</v>
      </c>
      <c r="BU69" s="3">
        <f>IFERROR(__xludf.DUMMYFUNCTION("""COMPUTED_VALUE"""),536.0)</f>
        <v>536</v>
      </c>
      <c r="BV69" s="3">
        <f>IFERROR(__xludf.DUMMYFUNCTION("""COMPUTED_VALUE"""),536.0)</f>
        <v>536</v>
      </c>
      <c r="BW69" s="3">
        <f>IFERROR(__xludf.DUMMYFUNCTION("""COMPUTED_VALUE"""),537.0)</f>
        <v>537</v>
      </c>
      <c r="BX69" s="3">
        <f>IFERROR(__xludf.DUMMYFUNCTION("""COMPUTED_VALUE"""),537.0)</f>
        <v>537</v>
      </c>
      <c r="BY69" s="3">
        <f>IFERROR(__xludf.DUMMYFUNCTION("""COMPUTED_VALUE"""),537.0)</f>
        <v>537</v>
      </c>
      <c r="BZ69" s="3">
        <f>IFERROR(__xludf.DUMMYFUNCTION("""COMPUTED_VALUE"""),538.0)</f>
        <v>538</v>
      </c>
      <c r="CA69" s="3">
        <f>IFERROR(__xludf.DUMMYFUNCTION("""COMPUTED_VALUE"""),539.0)</f>
        <v>539</v>
      </c>
      <c r="CB69" s="3">
        <f>IFERROR(__xludf.DUMMYFUNCTION("""COMPUTED_VALUE"""),540.0)</f>
        <v>540</v>
      </c>
    </row>
    <row r="70">
      <c r="A70" s="3" t="str">
        <f>IFERROR(__xludf.DUMMYFUNCTION("""COMPUTED_VALUE"""),"Tianjin")</f>
        <v>Tianjin</v>
      </c>
      <c r="B70" s="3" t="str">
        <f>IFERROR(__xludf.DUMMYFUNCTION("""COMPUTED_VALUE"""),"China")</f>
        <v>China</v>
      </c>
      <c r="C70" s="3">
        <f>IFERROR(__xludf.DUMMYFUNCTION("""COMPUTED_VALUE"""),39.3054)</f>
        <v>39.3054</v>
      </c>
      <c r="D70" s="3">
        <f>IFERROR(__xludf.DUMMYFUNCTION("""COMPUTED_VALUE"""),117.323)</f>
        <v>117.323</v>
      </c>
      <c r="E70" s="3">
        <f>IFERROR(__xludf.DUMMYFUNCTION("""COMPUTED_VALUE"""),0.0)</f>
        <v>0</v>
      </c>
      <c r="F70" s="3">
        <f>IFERROR(__xludf.DUMMYFUNCTION("""COMPUTED_VALUE"""),0.0)</f>
        <v>0</v>
      </c>
      <c r="G70" s="3">
        <f>IFERROR(__xludf.DUMMYFUNCTION("""COMPUTED_VALUE"""),0.0)</f>
        <v>0</v>
      </c>
      <c r="H70" s="3">
        <f>IFERROR(__xludf.DUMMYFUNCTION("""COMPUTED_VALUE"""),0.0)</f>
        <v>0</v>
      </c>
      <c r="I70" s="3">
        <f>IFERROR(__xludf.DUMMYFUNCTION("""COMPUTED_VALUE"""),0.0)</f>
        <v>0</v>
      </c>
      <c r="J70" s="3">
        <f>IFERROR(__xludf.DUMMYFUNCTION("""COMPUTED_VALUE"""),0.0)</f>
        <v>0</v>
      </c>
      <c r="K70" s="3">
        <f>IFERROR(__xludf.DUMMYFUNCTION("""COMPUTED_VALUE"""),0.0)</f>
        <v>0</v>
      </c>
      <c r="L70" s="3">
        <f>IFERROR(__xludf.DUMMYFUNCTION("""COMPUTED_VALUE"""),0.0)</f>
        <v>0</v>
      </c>
      <c r="M70" s="3">
        <f>IFERROR(__xludf.DUMMYFUNCTION("""COMPUTED_VALUE"""),0.0)</f>
        <v>0</v>
      </c>
      <c r="N70" s="3">
        <f>IFERROR(__xludf.DUMMYFUNCTION("""COMPUTED_VALUE"""),0.0)</f>
        <v>0</v>
      </c>
      <c r="O70" s="3">
        <f>IFERROR(__xludf.DUMMYFUNCTION("""COMPUTED_VALUE"""),0.0)</f>
        <v>0</v>
      </c>
      <c r="P70" s="3">
        <f>IFERROR(__xludf.DUMMYFUNCTION("""COMPUTED_VALUE"""),1.0)</f>
        <v>1</v>
      </c>
      <c r="Q70" s="3">
        <f>IFERROR(__xludf.DUMMYFUNCTION("""COMPUTED_VALUE"""),1.0)</f>
        <v>1</v>
      </c>
      <c r="R70" s="3">
        <f>IFERROR(__xludf.DUMMYFUNCTION("""COMPUTED_VALUE"""),2.0)</f>
        <v>2</v>
      </c>
      <c r="S70" s="3">
        <f>IFERROR(__xludf.DUMMYFUNCTION("""COMPUTED_VALUE"""),2.0)</f>
        <v>2</v>
      </c>
      <c r="T70" s="3">
        <f>IFERROR(__xludf.DUMMYFUNCTION("""COMPUTED_VALUE"""),2.0)</f>
        <v>2</v>
      </c>
      <c r="U70" s="3">
        <f>IFERROR(__xludf.DUMMYFUNCTION("""COMPUTED_VALUE"""),2.0)</f>
        <v>2</v>
      </c>
      <c r="V70" s="3">
        <f>IFERROR(__xludf.DUMMYFUNCTION("""COMPUTED_VALUE"""),4.0)</f>
        <v>4</v>
      </c>
      <c r="W70" s="3">
        <f>IFERROR(__xludf.DUMMYFUNCTION("""COMPUTED_VALUE"""),4.0)</f>
        <v>4</v>
      </c>
      <c r="X70" s="3">
        <f>IFERROR(__xludf.DUMMYFUNCTION("""COMPUTED_VALUE"""),8.0)</f>
        <v>8</v>
      </c>
      <c r="Y70" s="3">
        <f>IFERROR(__xludf.DUMMYFUNCTION("""COMPUTED_VALUE"""),10.0)</f>
        <v>10</v>
      </c>
      <c r="Z70" s="3">
        <f>IFERROR(__xludf.DUMMYFUNCTION("""COMPUTED_VALUE"""),11.0)</f>
        <v>11</v>
      </c>
      <c r="AA70" s="3">
        <f>IFERROR(__xludf.DUMMYFUNCTION("""COMPUTED_VALUE"""),21.0)</f>
        <v>21</v>
      </c>
      <c r="AB70" s="3">
        <f>IFERROR(__xludf.DUMMYFUNCTION("""COMPUTED_VALUE"""),31.0)</f>
        <v>31</v>
      </c>
      <c r="AC70" s="3">
        <f>IFERROR(__xludf.DUMMYFUNCTION("""COMPUTED_VALUE"""),37.0)</f>
        <v>37</v>
      </c>
      <c r="AD70" s="3">
        <f>IFERROR(__xludf.DUMMYFUNCTION("""COMPUTED_VALUE"""),45.0)</f>
        <v>45</v>
      </c>
      <c r="AE70" s="3">
        <f>IFERROR(__xludf.DUMMYFUNCTION("""COMPUTED_VALUE"""),46.0)</f>
        <v>46</v>
      </c>
      <c r="AF70" s="3">
        <f>IFERROR(__xludf.DUMMYFUNCTION("""COMPUTED_VALUE"""),48.0)</f>
        <v>48</v>
      </c>
      <c r="AG70" s="3">
        <f>IFERROR(__xludf.DUMMYFUNCTION("""COMPUTED_VALUE"""),54.0)</f>
        <v>54</v>
      </c>
      <c r="AH70" s="3">
        <f>IFERROR(__xludf.DUMMYFUNCTION("""COMPUTED_VALUE"""),59.0)</f>
        <v>59</v>
      </c>
      <c r="AI70" s="3">
        <f>IFERROR(__xludf.DUMMYFUNCTION("""COMPUTED_VALUE"""),62.0)</f>
        <v>62</v>
      </c>
      <c r="AJ70" s="3">
        <f>IFERROR(__xludf.DUMMYFUNCTION("""COMPUTED_VALUE"""),65.0)</f>
        <v>65</v>
      </c>
      <c r="AK70" s="3">
        <f>IFERROR(__xludf.DUMMYFUNCTION("""COMPUTED_VALUE"""),81.0)</f>
        <v>81</v>
      </c>
      <c r="AL70" s="3">
        <f>IFERROR(__xludf.DUMMYFUNCTION("""COMPUTED_VALUE"""),87.0)</f>
        <v>87</v>
      </c>
      <c r="AM70" s="3">
        <f>IFERROR(__xludf.DUMMYFUNCTION("""COMPUTED_VALUE"""),91.0)</f>
        <v>91</v>
      </c>
      <c r="AN70" s="3">
        <f>IFERROR(__xludf.DUMMYFUNCTION("""COMPUTED_VALUE"""),96.0)</f>
        <v>96</v>
      </c>
      <c r="AO70" s="3">
        <f>IFERROR(__xludf.DUMMYFUNCTION("""COMPUTED_VALUE"""),102.0)</f>
        <v>102</v>
      </c>
      <c r="AP70" s="3">
        <f>IFERROR(__xludf.DUMMYFUNCTION("""COMPUTED_VALUE"""),102.0)</f>
        <v>102</v>
      </c>
      <c r="AQ70" s="3">
        <f>IFERROR(__xludf.DUMMYFUNCTION("""COMPUTED_VALUE"""),109.0)</f>
        <v>109</v>
      </c>
      <c r="AR70" s="3">
        <f>IFERROR(__xludf.DUMMYFUNCTION("""COMPUTED_VALUE"""),111.0)</f>
        <v>111</v>
      </c>
      <c r="AS70" s="3">
        <f>IFERROR(__xludf.DUMMYFUNCTION("""COMPUTED_VALUE"""),111.0)</f>
        <v>111</v>
      </c>
      <c r="AT70" s="3">
        <f>IFERROR(__xludf.DUMMYFUNCTION("""COMPUTED_VALUE"""),124.0)</f>
        <v>124</v>
      </c>
      <c r="AU70" s="3">
        <f>IFERROR(__xludf.DUMMYFUNCTION("""COMPUTED_VALUE"""),124.0)</f>
        <v>124</v>
      </c>
      <c r="AV70" s="3">
        <f>IFERROR(__xludf.DUMMYFUNCTION("""COMPUTED_VALUE"""),128.0)</f>
        <v>128</v>
      </c>
      <c r="AW70" s="3">
        <f>IFERROR(__xludf.DUMMYFUNCTION("""COMPUTED_VALUE"""),128.0)</f>
        <v>128</v>
      </c>
      <c r="AX70" s="3">
        <f>IFERROR(__xludf.DUMMYFUNCTION("""COMPUTED_VALUE"""),128.0)</f>
        <v>128</v>
      </c>
      <c r="AY70" s="3">
        <f>IFERROR(__xludf.DUMMYFUNCTION("""COMPUTED_VALUE"""),128.0)</f>
        <v>128</v>
      </c>
      <c r="AZ70" s="3">
        <f>IFERROR(__xludf.DUMMYFUNCTION("""COMPUTED_VALUE"""),130.0)</f>
        <v>130</v>
      </c>
      <c r="BA70" s="3">
        <f>IFERROR(__xludf.DUMMYFUNCTION("""COMPUTED_VALUE"""),131.0)</f>
        <v>131</v>
      </c>
      <c r="BB70" s="3">
        <f>IFERROR(__xludf.DUMMYFUNCTION("""COMPUTED_VALUE"""),131.0)</f>
        <v>131</v>
      </c>
      <c r="BC70" s="3">
        <f>IFERROR(__xludf.DUMMYFUNCTION("""COMPUTED_VALUE"""),132.0)</f>
        <v>132</v>
      </c>
      <c r="BD70" s="3">
        <f>IFERROR(__xludf.DUMMYFUNCTION("""COMPUTED_VALUE"""),132.0)</f>
        <v>132</v>
      </c>
      <c r="BE70" s="3">
        <f>IFERROR(__xludf.DUMMYFUNCTION("""COMPUTED_VALUE"""),132.0)</f>
        <v>132</v>
      </c>
      <c r="BF70" s="3">
        <f>IFERROR(__xludf.DUMMYFUNCTION("""COMPUTED_VALUE"""),133.0)</f>
        <v>133</v>
      </c>
      <c r="BG70" s="3">
        <f>IFERROR(__xludf.DUMMYFUNCTION("""COMPUTED_VALUE"""),133.0)</f>
        <v>133</v>
      </c>
      <c r="BH70" s="3">
        <f>IFERROR(__xludf.DUMMYFUNCTION("""COMPUTED_VALUE"""),133.0)</f>
        <v>133</v>
      </c>
      <c r="BI70" s="3">
        <f>IFERROR(__xludf.DUMMYFUNCTION("""COMPUTED_VALUE"""),133.0)</f>
        <v>133</v>
      </c>
      <c r="BJ70" s="3">
        <f>IFERROR(__xludf.DUMMYFUNCTION("""COMPUTED_VALUE"""),133.0)</f>
        <v>133</v>
      </c>
      <c r="BK70" s="3">
        <f>IFERROR(__xludf.DUMMYFUNCTION("""COMPUTED_VALUE"""),133.0)</f>
        <v>133</v>
      </c>
      <c r="BL70" s="3">
        <f>IFERROR(__xludf.DUMMYFUNCTION("""COMPUTED_VALUE"""),133.0)</f>
        <v>133</v>
      </c>
      <c r="BM70" s="3">
        <f>IFERROR(__xludf.DUMMYFUNCTION("""COMPUTED_VALUE"""),133.0)</f>
        <v>133</v>
      </c>
      <c r="BN70" s="3">
        <f>IFERROR(__xludf.DUMMYFUNCTION("""COMPUTED_VALUE"""),133.0)</f>
        <v>133</v>
      </c>
      <c r="BO70" s="3">
        <f>IFERROR(__xludf.DUMMYFUNCTION("""COMPUTED_VALUE"""),133.0)</f>
        <v>133</v>
      </c>
      <c r="BP70" s="3">
        <f>IFERROR(__xludf.DUMMYFUNCTION("""COMPUTED_VALUE"""),133.0)</f>
        <v>133</v>
      </c>
      <c r="BQ70" s="3">
        <f>IFERROR(__xludf.DUMMYFUNCTION("""COMPUTED_VALUE"""),133.0)</f>
        <v>133</v>
      </c>
      <c r="BR70" s="3">
        <f>IFERROR(__xludf.DUMMYFUNCTION("""COMPUTED_VALUE"""),133.0)</f>
        <v>133</v>
      </c>
      <c r="BS70" s="3">
        <f>IFERROR(__xludf.DUMMYFUNCTION("""COMPUTED_VALUE"""),133.0)</f>
        <v>133</v>
      </c>
      <c r="BT70" s="3">
        <f>IFERROR(__xludf.DUMMYFUNCTION("""COMPUTED_VALUE"""),133.0)</f>
        <v>133</v>
      </c>
      <c r="BU70" s="3">
        <f>IFERROR(__xludf.DUMMYFUNCTION("""COMPUTED_VALUE"""),133.0)</f>
        <v>133</v>
      </c>
      <c r="BV70" s="3">
        <f>IFERROR(__xludf.DUMMYFUNCTION("""COMPUTED_VALUE"""),135.0)</f>
        <v>135</v>
      </c>
      <c r="BW70" s="3">
        <f>IFERROR(__xludf.DUMMYFUNCTION("""COMPUTED_VALUE"""),135.0)</f>
        <v>135</v>
      </c>
      <c r="BX70" s="3">
        <f>IFERROR(__xludf.DUMMYFUNCTION("""COMPUTED_VALUE"""),135.0)</f>
        <v>135</v>
      </c>
      <c r="BY70" s="3">
        <f>IFERROR(__xludf.DUMMYFUNCTION("""COMPUTED_VALUE"""),140.0)</f>
        <v>140</v>
      </c>
      <c r="BZ70" s="3">
        <f>IFERROR(__xludf.DUMMYFUNCTION("""COMPUTED_VALUE"""),144.0)</f>
        <v>144</v>
      </c>
      <c r="CA70" s="3">
        <f>IFERROR(__xludf.DUMMYFUNCTION("""COMPUTED_VALUE"""),144.0)</f>
        <v>144</v>
      </c>
      <c r="CB70" s="3">
        <f>IFERROR(__xludf.DUMMYFUNCTION("""COMPUTED_VALUE"""),144.0)</f>
        <v>144</v>
      </c>
    </row>
    <row r="71">
      <c r="A71" s="3" t="str">
        <f>IFERROR(__xludf.DUMMYFUNCTION("""COMPUTED_VALUE"""),"Tibet")</f>
        <v>Tibet</v>
      </c>
      <c r="B71" s="3" t="str">
        <f>IFERROR(__xludf.DUMMYFUNCTION("""COMPUTED_VALUE"""),"China")</f>
        <v>China</v>
      </c>
      <c r="C71" s="3">
        <f>IFERROR(__xludf.DUMMYFUNCTION("""COMPUTED_VALUE"""),31.6927)</f>
        <v>31.6927</v>
      </c>
      <c r="D71" s="3">
        <f>IFERROR(__xludf.DUMMYFUNCTION("""COMPUTED_VALUE"""),88.0924)</f>
        <v>88.0924</v>
      </c>
      <c r="E71" s="3">
        <f>IFERROR(__xludf.DUMMYFUNCTION("""COMPUTED_VALUE"""),0.0)</f>
        <v>0</v>
      </c>
      <c r="F71" s="3">
        <f>IFERROR(__xludf.DUMMYFUNCTION("""COMPUTED_VALUE"""),0.0)</f>
        <v>0</v>
      </c>
      <c r="G71" s="3">
        <f>IFERROR(__xludf.DUMMYFUNCTION("""COMPUTED_VALUE"""),0.0)</f>
        <v>0</v>
      </c>
      <c r="H71" s="3">
        <f>IFERROR(__xludf.DUMMYFUNCTION("""COMPUTED_VALUE"""),0.0)</f>
        <v>0</v>
      </c>
      <c r="I71" s="3">
        <f>IFERROR(__xludf.DUMMYFUNCTION("""COMPUTED_VALUE"""),0.0)</f>
        <v>0</v>
      </c>
      <c r="J71" s="3">
        <f>IFERROR(__xludf.DUMMYFUNCTION("""COMPUTED_VALUE"""),0.0)</f>
        <v>0</v>
      </c>
      <c r="K71" s="3">
        <f>IFERROR(__xludf.DUMMYFUNCTION("""COMPUTED_VALUE"""),0.0)</f>
        <v>0</v>
      </c>
      <c r="L71" s="3">
        <f>IFERROR(__xludf.DUMMYFUNCTION("""COMPUTED_VALUE"""),0.0)</f>
        <v>0</v>
      </c>
      <c r="M71" s="3">
        <f>IFERROR(__xludf.DUMMYFUNCTION("""COMPUTED_VALUE"""),0.0)</f>
        <v>0</v>
      </c>
      <c r="N71" s="3">
        <f>IFERROR(__xludf.DUMMYFUNCTION("""COMPUTED_VALUE"""),0.0)</f>
        <v>0</v>
      </c>
      <c r="O71" s="3">
        <f>IFERROR(__xludf.DUMMYFUNCTION("""COMPUTED_VALUE"""),0.0)</f>
        <v>0</v>
      </c>
      <c r="P71" s="3">
        <f>IFERROR(__xludf.DUMMYFUNCTION("""COMPUTED_VALUE"""),0.0)</f>
        <v>0</v>
      </c>
      <c r="Q71" s="3">
        <f>IFERROR(__xludf.DUMMYFUNCTION("""COMPUTED_VALUE"""),0.0)</f>
        <v>0</v>
      </c>
      <c r="R71" s="3">
        <f>IFERROR(__xludf.DUMMYFUNCTION("""COMPUTED_VALUE"""),0.0)</f>
        <v>0</v>
      </c>
      <c r="S71" s="3">
        <f>IFERROR(__xludf.DUMMYFUNCTION("""COMPUTED_VALUE"""),0.0)</f>
        <v>0</v>
      </c>
      <c r="T71" s="3">
        <f>IFERROR(__xludf.DUMMYFUNCTION("""COMPUTED_VALUE"""),0.0)</f>
        <v>0</v>
      </c>
      <c r="U71" s="3">
        <f>IFERROR(__xludf.DUMMYFUNCTION("""COMPUTED_VALUE"""),0.0)</f>
        <v>0</v>
      </c>
      <c r="V71" s="3">
        <f>IFERROR(__xludf.DUMMYFUNCTION("""COMPUTED_VALUE"""),0.0)</f>
        <v>0</v>
      </c>
      <c r="W71" s="3">
        <f>IFERROR(__xludf.DUMMYFUNCTION("""COMPUTED_VALUE"""),0.0)</f>
        <v>0</v>
      </c>
      <c r="X71" s="3">
        <f>IFERROR(__xludf.DUMMYFUNCTION("""COMPUTED_VALUE"""),0.0)</f>
        <v>0</v>
      </c>
      <c r="Y71" s="3">
        <f>IFERROR(__xludf.DUMMYFUNCTION("""COMPUTED_VALUE"""),0.0)</f>
        <v>0</v>
      </c>
      <c r="Z71" s="3">
        <f>IFERROR(__xludf.DUMMYFUNCTION("""COMPUTED_VALUE"""),1.0)</f>
        <v>1</v>
      </c>
      <c r="AA71" s="3">
        <f>IFERROR(__xludf.DUMMYFUNCTION("""COMPUTED_VALUE"""),1.0)</f>
        <v>1</v>
      </c>
      <c r="AB71" s="3">
        <f>IFERROR(__xludf.DUMMYFUNCTION("""COMPUTED_VALUE"""),1.0)</f>
        <v>1</v>
      </c>
      <c r="AC71" s="3">
        <f>IFERROR(__xludf.DUMMYFUNCTION("""COMPUTED_VALUE"""),1.0)</f>
        <v>1</v>
      </c>
      <c r="AD71" s="3">
        <f>IFERROR(__xludf.DUMMYFUNCTION("""COMPUTED_VALUE"""),1.0)</f>
        <v>1</v>
      </c>
      <c r="AE71" s="3">
        <f>IFERROR(__xludf.DUMMYFUNCTION("""COMPUTED_VALUE"""),1.0)</f>
        <v>1</v>
      </c>
      <c r="AF71" s="3">
        <f>IFERROR(__xludf.DUMMYFUNCTION("""COMPUTED_VALUE"""),1.0)</f>
        <v>1</v>
      </c>
      <c r="AG71" s="3">
        <f>IFERROR(__xludf.DUMMYFUNCTION("""COMPUTED_VALUE"""),1.0)</f>
        <v>1</v>
      </c>
      <c r="AH71" s="3">
        <f>IFERROR(__xludf.DUMMYFUNCTION("""COMPUTED_VALUE"""),1.0)</f>
        <v>1</v>
      </c>
      <c r="AI71" s="3">
        <f>IFERROR(__xludf.DUMMYFUNCTION("""COMPUTED_VALUE"""),1.0)</f>
        <v>1</v>
      </c>
      <c r="AJ71" s="3">
        <f>IFERROR(__xludf.DUMMYFUNCTION("""COMPUTED_VALUE"""),1.0)</f>
        <v>1</v>
      </c>
      <c r="AK71" s="3">
        <f>IFERROR(__xludf.DUMMYFUNCTION("""COMPUTED_VALUE"""),1.0)</f>
        <v>1</v>
      </c>
      <c r="AL71" s="3">
        <f>IFERROR(__xludf.DUMMYFUNCTION("""COMPUTED_VALUE"""),1.0)</f>
        <v>1</v>
      </c>
      <c r="AM71" s="3">
        <f>IFERROR(__xludf.DUMMYFUNCTION("""COMPUTED_VALUE"""),1.0)</f>
        <v>1</v>
      </c>
      <c r="AN71" s="3">
        <f>IFERROR(__xludf.DUMMYFUNCTION("""COMPUTED_VALUE"""),1.0)</f>
        <v>1</v>
      </c>
      <c r="AO71" s="3">
        <f>IFERROR(__xludf.DUMMYFUNCTION("""COMPUTED_VALUE"""),1.0)</f>
        <v>1</v>
      </c>
      <c r="AP71" s="3">
        <f>IFERROR(__xludf.DUMMYFUNCTION("""COMPUTED_VALUE"""),1.0)</f>
        <v>1</v>
      </c>
      <c r="AQ71" s="3">
        <f>IFERROR(__xludf.DUMMYFUNCTION("""COMPUTED_VALUE"""),1.0)</f>
        <v>1</v>
      </c>
      <c r="AR71" s="3">
        <f>IFERROR(__xludf.DUMMYFUNCTION("""COMPUTED_VALUE"""),1.0)</f>
        <v>1</v>
      </c>
      <c r="AS71" s="3">
        <f>IFERROR(__xludf.DUMMYFUNCTION("""COMPUTED_VALUE"""),1.0)</f>
        <v>1</v>
      </c>
      <c r="AT71" s="3">
        <f>IFERROR(__xludf.DUMMYFUNCTION("""COMPUTED_VALUE"""),1.0)</f>
        <v>1</v>
      </c>
      <c r="AU71" s="3">
        <f>IFERROR(__xludf.DUMMYFUNCTION("""COMPUTED_VALUE"""),1.0)</f>
        <v>1</v>
      </c>
      <c r="AV71" s="3">
        <f>IFERROR(__xludf.DUMMYFUNCTION("""COMPUTED_VALUE"""),1.0)</f>
        <v>1</v>
      </c>
      <c r="AW71" s="3">
        <f>IFERROR(__xludf.DUMMYFUNCTION("""COMPUTED_VALUE"""),1.0)</f>
        <v>1</v>
      </c>
      <c r="AX71" s="3">
        <f>IFERROR(__xludf.DUMMYFUNCTION("""COMPUTED_VALUE"""),1.0)</f>
        <v>1</v>
      </c>
      <c r="AY71" s="3">
        <f>IFERROR(__xludf.DUMMYFUNCTION("""COMPUTED_VALUE"""),1.0)</f>
        <v>1</v>
      </c>
      <c r="AZ71" s="3">
        <f>IFERROR(__xludf.DUMMYFUNCTION("""COMPUTED_VALUE"""),1.0)</f>
        <v>1</v>
      </c>
      <c r="BA71" s="3">
        <f>IFERROR(__xludf.DUMMYFUNCTION("""COMPUTED_VALUE"""),1.0)</f>
        <v>1</v>
      </c>
      <c r="BB71" s="3">
        <f>IFERROR(__xludf.DUMMYFUNCTION("""COMPUTED_VALUE"""),1.0)</f>
        <v>1</v>
      </c>
      <c r="BC71" s="3">
        <f>IFERROR(__xludf.DUMMYFUNCTION("""COMPUTED_VALUE"""),1.0)</f>
        <v>1</v>
      </c>
      <c r="BD71" s="3">
        <f>IFERROR(__xludf.DUMMYFUNCTION("""COMPUTED_VALUE"""),1.0)</f>
        <v>1</v>
      </c>
      <c r="BE71" s="3">
        <f>IFERROR(__xludf.DUMMYFUNCTION("""COMPUTED_VALUE"""),1.0)</f>
        <v>1</v>
      </c>
      <c r="BF71" s="3">
        <f>IFERROR(__xludf.DUMMYFUNCTION("""COMPUTED_VALUE"""),1.0)</f>
        <v>1</v>
      </c>
      <c r="BG71" s="3">
        <f>IFERROR(__xludf.DUMMYFUNCTION("""COMPUTED_VALUE"""),1.0)</f>
        <v>1</v>
      </c>
      <c r="BH71" s="3">
        <f>IFERROR(__xludf.DUMMYFUNCTION("""COMPUTED_VALUE"""),1.0)</f>
        <v>1</v>
      </c>
      <c r="BI71" s="3">
        <f>IFERROR(__xludf.DUMMYFUNCTION("""COMPUTED_VALUE"""),1.0)</f>
        <v>1</v>
      </c>
      <c r="BJ71" s="3">
        <f>IFERROR(__xludf.DUMMYFUNCTION("""COMPUTED_VALUE"""),1.0)</f>
        <v>1</v>
      </c>
      <c r="BK71" s="3">
        <f>IFERROR(__xludf.DUMMYFUNCTION("""COMPUTED_VALUE"""),1.0)</f>
        <v>1</v>
      </c>
      <c r="BL71" s="3">
        <f>IFERROR(__xludf.DUMMYFUNCTION("""COMPUTED_VALUE"""),1.0)</f>
        <v>1</v>
      </c>
      <c r="BM71" s="3">
        <f>IFERROR(__xludf.DUMMYFUNCTION("""COMPUTED_VALUE"""),1.0)</f>
        <v>1</v>
      </c>
      <c r="BN71" s="3">
        <f>IFERROR(__xludf.DUMMYFUNCTION("""COMPUTED_VALUE"""),1.0)</f>
        <v>1</v>
      </c>
      <c r="BO71" s="3">
        <f>IFERROR(__xludf.DUMMYFUNCTION("""COMPUTED_VALUE"""),1.0)</f>
        <v>1</v>
      </c>
      <c r="BP71" s="3">
        <f>IFERROR(__xludf.DUMMYFUNCTION("""COMPUTED_VALUE"""),1.0)</f>
        <v>1</v>
      </c>
      <c r="BQ71" s="3">
        <f>IFERROR(__xludf.DUMMYFUNCTION("""COMPUTED_VALUE"""),1.0)</f>
        <v>1</v>
      </c>
      <c r="BR71" s="3">
        <f>IFERROR(__xludf.DUMMYFUNCTION("""COMPUTED_VALUE"""),1.0)</f>
        <v>1</v>
      </c>
      <c r="BS71" s="3">
        <f>IFERROR(__xludf.DUMMYFUNCTION("""COMPUTED_VALUE"""),1.0)</f>
        <v>1</v>
      </c>
      <c r="BT71" s="3">
        <f>IFERROR(__xludf.DUMMYFUNCTION("""COMPUTED_VALUE"""),1.0)</f>
        <v>1</v>
      </c>
      <c r="BU71" s="3">
        <f>IFERROR(__xludf.DUMMYFUNCTION("""COMPUTED_VALUE"""),1.0)</f>
        <v>1</v>
      </c>
      <c r="BV71" s="3">
        <f>IFERROR(__xludf.DUMMYFUNCTION("""COMPUTED_VALUE"""),1.0)</f>
        <v>1</v>
      </c>
      <c r="BW71" s="3">
        <f>IFERROR(__xludf.DUMMYFUNCTION("""COMPUTED_VALUE"""),1.0)</f>
        <v>1</v>
      </c>
      <c r="BX71" s="3">
        <f>IFERROR(__xludf.DUMMYFUNCTION("""COMPUTED_VALUE"""),1.0)</f>
        <v>1</v>
      </c>
      <c r="BY71" s="3">
        <f>IFERROR(__xludf.DUMMYFUNCTION("""COMPUTED_VALUE"""),1.0)</f>
        <v>1</v>
      </c>
      <c r="BZ71" s="3">
        <f>IFERROR(__xludf.DUMMYFUNCTION("""COMPUTED_VALUE"""),1.0)</f>
        <v>1</v>
      </c>
      <c r="CA71" s="3">
        <f>IFERROR(__xludf.DUMMYFUNCTION("""COMPUTED_VALUE"""),1.0)</f>
        <v>1</v>
      </c>
      <c r="CB71" s="3">
        <f>IFERROR(__xludf.DUMMYFUNCTION("""COMPUTED_VALUE"""),1.0)</f>
        <v>1</v>
      </c>
    </row>
    <row r="72">
      <c r="A72" s="3" t="str">
        <f>IFERROR(__xludf.DUMMYFUNCTION("""COMPUTED_VALUE"""),"Xinjiang")</f>
        <v>Xinjiang</v>
      </c>
      <c r="B72" s="3" t="str">
        <f>IFERROR(__xludf.DUMMYFUNCTION("""COMPUTED_VALUE"""),"China")</f>
        <v>China</v>
      </c>
      <c r="C72" s="3">
        <f>IFERROR(__xludf.DUMMYFUNCTION("""COMPUTED_VALUE"""),41.1129)</f>
        <v>41.1129</v>
      </c>
      <c r="D72" s="3">
        <f>IFERROR(__xludf.DUMMYFUNCTION("""COMPUTED_VALUE"""),85.2401)</f>
        <v>85.2401</v>
      </c>
      <c r="E72" s="3">
        <f>IFERROR(__xludf.DUMMYFUNCTION("""COMPUTED_VALUE"""),0.0)</f>
        <v>0</v>
      </c>
      <c r="F72" s="3">
        <f>IFERROR(__xludf.DUMMYFUNCTION("""COMPUTED_VALUE"""),0.0)</f>
        <v>0</v>
      </c>
      <c r="G72" s="3">
        <f>IFERROR(__xludf.DUMMYFUNCTION("""COMPUTED_VALUE"""),0.0)</f>
        <v>0</v>
      </c>
      <c r="H72" s="3">
        <f>IFERROR(__xludf.DUMMYFUNCTION("""COMPUTED_VALUE"""),0.0)</f>
        <v>0</v>
      </c>
      <c r="I72" s="3">
        <f>IFERROR(__xludf.DUMMYFUNCTION("""COMPUTED_VALUE"""),0.0)</f>
        <v>0</v>
      </c>
      <c r="J72" s="3">
        <f>IFERROR(__xludf.DUMMYFUNCTION("""COMPUTED_VALUE"""),0.0)</f>
        <v>0</v>
      </c>
      <c r="K72" s="3">
        <f>IFERROR(__xludf.DUMMYFUNCTION("""COMPUTED_VALUE"""),0.0)</f>
        <v>0</v>
      </c>
      <c r="L72" s="3">
        <f>IFERROR(__xludf.DUMMYFUNCTION("""COMPUTED_VALUE"""),0.0)</f>
        <v>0</v>
      </c>
      <c r="M72" s="3">
        <f>IFERROR(__xludf.DUMMYFUNCTION("""COMPUTED_VALUE"""),0.0)</f>
        <v>0</v>
      </c>
      <c r="N72" s="3">
        <f>IFERROR(__xludf.DUMMYFUNCTION("""COMPUTED_VALUE"""),0.0)</f>
        <v>0</v>
      </c>
      <c r="O72" s="3">
        <f>IFERROR(__xludf.DUMMYFUNCTION("""COMPUTED_VALUE"""),0.0)</f>
        <v>0</v>
      </c>
      <c r="P72" s="3">
        <f>IFERROR(__xludf.DUMMYFUNCTION("""COMPUTED_VALUE"""),0.0)</f>
        <v>0</v>
      </c>
      <c r="Q72" s="3">
        <f>IFERROR(__xludf.DUMMYFUNCTION("""COMPUTED_VALUE"""),0.0)</f>
        <v>0</v>
      </c>
      <c r="R72" s="3">
        <f>IFERROR(__xludf.DUMMYFUNCTION("""COMPUTED_VALUE"""),0.0)</f>
        <v>0</v>
      </c>
      <c r="S72" s="3">
        <f>IFERROR(__xludf.DUMMYFUNCTION("""COMPUTED_VALUE"""),0.0)</f>
        <v>0</v>
      </c>
      <c r="T72" s="3">
        <f>IFERROR(__xludf.DUMMYFUNCTION("""COMPUTED_VALUE"""),0.0)</f>
        <v>0</v>
      </c>
      <c r="U72" s="3">
        <f>IFERROR(__xludf.DUMMYFUNCTION("""COMPUTED_VALUE"""),0.0)</f>
        <v>0</v>
      </c>
      <c r="V72" s="3">
        <f>IFERROR(__xludf.DUMMYFUNCTION("""COMPUTED_VALUE"""),0.0)</f>
        <v>0</v>
      </c>
      <c r="W72" s="3">
        <f>IFERROR(__xludf.DUMMYFUNCTION("""COMPUTED_VALUE"""),0.0)</f>
        <v>0</v>
      </c>
      <c r="X72" s="3">
        <f>IFERROR(__xludf.DUMMYFUNCTION("""COMPUTED_VALUE"""),0.0)</f>
        <v>0</v>
      </c>
      <c r="Y72" s="3">
        <f>IFERROR(__xludf.DUMMYFUNCTION("""COMPUTED_VALUE"""),3.0)</f>
        <v>3</v>
      </c>
      <c r="Z72" s="3">
        <f>IFERROR(__xludf.DUMMYFUNCTION("""COMPUTED_VALUE"""),3.0)</f>
        <v>3</v>
      </c>
      <c r="AA72" s="3">
        <f>IFERROR(__xludf.DUMMYFUNCTION("""COMPUTED_VALUE"""),6.0)</f>
        <v>6</v>
      </c>
      <c r="AB72" s="3">
        <f>IFERROR(__xludf.DUMMYFUNCTION("""COMPUTED_VALUE"""),6.0)</f>
        <v>6</v>
      </c>
      <c r="AC72" s="3">
        <f>IFERROR(__xludf.DUMMYFUNCTION("""COMPUTED_VALUE"""),10.0)</f>
        <v>10</v>
      </c>
      <c r="AD72" s="3">
        <f>IFERROR(__xludf.DUMMYFUNCTION("""COMPUTED_VALUE"""),12.0)</f>
        <v>12</v>
      </c>
      <c r="AE72" s="3">
        <f>IFERROR(__xludf.DUMMYFUNCTION("""COMPUTED_VALUE"""),12.0)</f>
        <v>12</v>
      </c>
      <c r="AF72" s="3">
        <f>IFERROR(__xludf.DUMMYFUNCTION("""COMPUTED_VALUE"""),12.0)</f>
        <v>12</v>
      </c>
      <c r="AG72" s="3">
        <f>IFERROR(__xludf.DUMMYFUNCTION("""COMPUTED_VALUE"""),20.0)</f>
        <v>20</v>
      </c>
      <c r="AH72" s="3">
        <f>IFERROR(__xludf.DUMMYFUNCTION("""COMPUTED_VALUE"""),22.0)</f>
        <v>22</v>
      </c>
      <c r="AI72" s="3">
        <f>IFERROR(__xludf.DUMMYFUNCTION("""COMPUTED_VALUE"""),24.0)</f>
        <v>24</v>
      </c>
      <c r="AJ72" s="3">
        <f>IFERROR(__xludf.DUMMYFUNCTION("""COMPUTED_VALUE"""),25.0)</f>
        <v>25</v>
      </c>
      <c r="AK72" s="3">
        <f>IFERROR(__xludf.DUMMYFUNCTION("""COMPUTED_VALUE"""),28.0)</f>
        <v>28</v>
      </c>
      <c r="AL72" s="3">
        <f>IFERROR(__xludf.DUMMYFUNCTION("""COMPUTED_VALUE"""),30.0)</f>
        <v>30</v>
      </c>
      <c r="AM72" s="3">
        <f>IFERROR(__xludf.DUMMYFUNCTION("""COMPUTED_VALUE"""),30.0)</f>
        <v>30</v>
      </c>
      <c r="AN72" s="3">
        <f>IFERROR(__xludf.DUMMYFUNCTION("""COMPUTED_VALUE"""),34.0)</f>
        <v>34</v>
      </c>
      <c r="AO72" s="3">
        <f>IFERROR(__xludf.DUMMYFUNCTION("""COMPUTED_VALUE"""),43.0)</f>
        <v>43</v>
      </c>
      <c r="AP72" s="3">
        <f>IFERROR(__xludf.DUMMYFUNCTION("""COMPUTED_VALUE"""),52.0)</f>
        <v>52</v>
      </c>
      <c r="AQ72" s="3">
        <f>IFERROR(__xludf.DUMMYFUNCTION("""COMPUTED_VALUE"""),62.0)</f>
        <v>62</v>
      </c>
      <c r="AR72" s="3">
        <f>IFERROR(__xludf.DUMMYFUNCTION("""COMPUTED_VALUE"""),64.0)</f>
        <v>64</v>
      </c>
      <c r="AS72" s="3">
        <f>IFERROR(__xludf.DUMMYFUNCTION("""COMPUTED_VALUE"""),66.0)</f>
        <v>66</v>
      </c>
      <c r="AT72" s="3">
        <f>IFERROR(__xludf.DUMMYFUNCTION("""COMPUTED_VALUE"""),68.0)</f>
        <v>68</v>
      </c>
      <c r="AU72" s="3">
        <f>IFERROR(__xludf.DUMMYFUNCTION("""COMPUTED_VALUE"""),69.0)</f>
        <v>69</v>
      </c>
      <c r="AV72" s="3">
        <f>IFERROR(__xludf.DUMMYFUNCTION("""COMPUTED_VALUE"""),70.0)</f>
        <v>70</v>
      </c>
      <c r="AW72" s="3">
        <f>IFERROR(__xludf.DUMMYFUNCTION("""COMPUTED_VALUE"""),71.0)</f>
        <v>71</v>
      </c>
      <c r="AX72" s="3">
        <f>IFERROR(__xludf.DUMMYFUNCTION("""COMPUTED_VALUE"""),72.0)</f>
        <v>72</v>
      </c>
      <c r="AY72" s="3">
        <f>IFERROR(__xludf.DUMMYFUNCTION("""COMPUTED_VALUE"""),73.0)</f>
        <v>73</v>
      </c>
      <c r="AZ72" s="3">
        <f>IFERROR(__xludf.DUMMYFUNCTION("""COMPUTED_VALUE"""),73.0)</f>
        <v>73</v>
      </c>
      <c r="BA72" s="3">
        <f>IFERROR(__xludf.DUMMYFUNCTION("""COMPUTED_VALUE"""),73.0)</f>
        <v>73</v>
      </c>
      <c r="BB72" s="3">
        <f>IFERROR(__xludf.DUMMYFUNCTION("""COMPUTED_VALUE"""),73.0)</f>
        <v>73</v>
      </c>
      <c r="BC72" s="3">
        <f>IFERROR(__xludf.DUMMYFUNCTION("""COMPUTED_VALUE"""),73.0)</f>
        <v>73</v>
      </c>
      <c r="BD72" s="3">
        <f>IFERROR(__xludf.DUMMYFUNCTION("""COMPUTED_VALUE"""),73.0)</f>
        <v>73</v>
      </c>
      <c r="BE72" s="3">
        <f>IFERROR(__xludf.DUMMYFUNCTION("""COMPUTED_VALUE"""),73.0)</f>
        <v>73</v>
      </c>
      <c r="BF72" s="3">
        <f>IFERROR(__xludf.DUMMYFUNCTION("""COMPUTED_VALUE"""),73.0)</f>
        <v>73</v>
      </c>
      <c r="BG72" s="3">
        <f>IFERROR(__xludf.DUMMYFUNCTION("""COMPUTED_VALUE"""),73.0)</f>
        <v>73</v>
      </c>
      <c r="BH72" s="3">
        <f>IFERROR(__xludf.DUMMYFUNCTION("""COMPUTED_VALUE"""),73.0)</f>
        <v>73</v>
      </c>
      <c r="BI72" s="3">
        <f>IFERROR(__xludf.DUMMYFUNCTION("""COMPUTED_VALUE"""),73.0)</f>
        <v>73</v>
      </c>
      <c r="BJ72" s="3">
        <f>IFERROR(__xludf.DUMMYFUNCTION("""COMPUTED_VALUE"""),73.0)</f>
        <v>73</v>
      </c>
      <c r="BK72" s="3">
        <f>IFERROR(__xludf.DUMMYFUNCTION("""COMPUTED_VALUE"""),73.0)</f>
        <v>73</v>
      </c>
      <c r="BL72" s="3">
        <f>IFERROR(__xludf.DUMMYFUNCTION("""COMPUTED_VALUE"""),73.0)</f>
        <v>73</v>
      </c>
      <c r="BM72" s="3">
        <f>IFERROR(__xludf.DUMMYFUNCTION("""COMPUTED_VALUE"""),73.0)</f>
        <v>73</v>
      </c>
      <c r="BN72" s="3">
        <f>IFERROR(__xludf.DUMMYFUNCTION("""COMPUTED_VALUE"""),73.0)</f>
        <v>73</v>
      </c>
      <c r="BO72" s="3">
        <f>IFERROR(__xludf.DUMMYFUNCTION("""COMPUTED_VALUE"""),73.0)</f>
        <v>73</v>
      </c>
      <c r="BP72" s="3">
        <f>IFERROR(__xludf.DUMMYFUNCTION("""COMPUTED_VALUE"""),73.0)</f>
        <v>73</v>
      </c>
      <c r="BQ72" s="3">
        <f>IFERROR(__xludf.DUMMYFUNCTION("""COMPUTED_VALUE"""),73.0)</f>
        <v>73</v>
      </c>
      <c r="BR72" s="3">
        <f>IFERROR(__xludf.DUMMYFUNCTION("""COMPUTED_VALUE"""),73.0)</f>
        <v>73</v>
      </c>
      <c r="BS72" s="3">
        <f>IFERROR(__xludf.DUMMYFUNCTION("""COMPUTED_VALUE"""),73.0)</f>
        <v>73</v>
      </c>
      <c r="BT72" s="3">
        <f>IFERROR(__xludf.DUMMYFUNCTION("""COMPUTED_VALUE"""),73.0)</f>
        <v>73</v>
      </c>
      <c r="BU72" s="3">
        <f>IFERROR(__xludf.DUMMYFUNCTION("""COMPUTED_VALUE"""),73.0)</f>
        <v>73</v>
      </c>
      <c r="BV72" s="3">
        <f>IFERROR(__xludf.DUMMYFUNCTION("""COMPUTED_VALUE"""),73.0)</f>
        <v>73</v>
      </c>
      <c r="BW72" s="3">
        <f>IFERROR(__xludf.DUMMYFUNCTION("""COMPUTED_VALUE"""),73.0)</f>
        <v>73</v>
      </c>
      <c r="BX72" s="3">
        <f>IFERROR(__xludf.DUMMYFUNCTION("""COMPUTED_VALUE"""),73.0)</f>
        <v>73</v>
      </c>
      <c r="BY72" s="3">
        <f>IFERROR(__xludf.DUMMYFUNCTION("""COMPUTED_VALUE"""),73.0)</f>
        <v>73</v>
      </c>
      <c r="BZ72" s="3">
        <f>IFERROR(__xludf.DUMMYFUNCTION("""COMPUTED_VALUE"""),73.0)</f>
        <v>73</v>
      </c>
      <c r="CA72" s="3">
        <f>IFERROR(__xludf.DUMMYFUNCTION("""COMPUTED_VALUE"""),73.0)</f>
        <v>73</v>
      </c>
      <c r="CB72" s="3">
        <f>IFERROR(__xludf.DUMMYFUNCTION("""COMPUTED_VALUE"""),73.0)</f>
        <v>73</v>
      </c>
    </row>
    <row r="73">
      <c r="A73" s="3" t="str">
        <f>IFERROR(__xludf.DUMMYFUNCTION("""COMPUTED_VALUE"""),"Yunnan")</f>
        <v>Yunnan</v>
      </c>
      <c r="B73" s="3" t="str">
        <f>IFERROR(__xludf.DUMMYFUNCTION("""COMPUTED_VALUE"""),"China")</f>
        <v>China</v>
      </c>
      <c r="C73" s="3">
        <f>IFERROR(__xludf.DUMMYFUNCTION("""COMPUTED_VALUE"""),24.974)</f>
        <v>24.974</v>
      </c>
      <c r="D73" s="3">
        <f>IFERROR(__xludf.DUMMYFUNCTION("""COMPUTED_VALUE"""),101.487)</f>
        <v>101.487</v>
      </c>
      <c r="E73" s="3">
        <f>IFERROR(__xludf.DUMMYFUNCTION("""COMPUTED_VALUE"""),0.0)</f>
        <v>0</v>
      </c>
      <c r="F73" s="3">
        <f>IFERROR(__xludf.DUMMYFUNCTION("""COMPUTED_VALUE"""),0.0)</f>
        <v>0</v>
      </c>
      <c r="G73" s="3">
        <f>IFERROR(__xludf.DUMMYFUNCTION("""COMPUTED_VALUE"""),0.0)</f>
        <v>0</v>
      </c>
      <c r="H73" s="3">
        <f>IFERROR(__xludf.DUMMYFUNCTION("""COMPUTED_VALUE"""),0.0)</f>
        <v>0</v>
      </c>
      <c r="I73" s="3">
        <f>IFERROR(__xludf.DUMMYFUNCTION("""COMPUTED_VALUE"""),0.0)</f>
        <v>0</v>
      </c>
      <c r="J73" s="3">
        <f>IFERROR(__xludf.DUMMYFUNCTION("""COMPUTED_VALUE"""),0.0)</f>
        <v>0</v>
      </c>
      <c r="K73" s="3">
        <f>IFERROR(__xludf.DUMMYFUNCTION("""COMPUTED_VALUE"""),0.0)</f>
        <v>0</v>
      </c>
      <c r="L73" s="3">
        <f>IFERROR(__xludf.DUMMYFUNCTION("""COMPUTED_VALUE"""),0.0)</f>
        <v>0</v>
      </c>
      <c r="M73" s="3">
        <f>IFERROR(__xludf.DUMMYFUNCTION("""COMPUTED_VALUE"""),0.0)</f>
        <v>0</v>
      </c>
      <c r="N73" s="3">
        <f>IFERROR(__xludf.DUMMYFUNCTION("""COMPUTED_VALUE"""),1.0)</f>
        <v>1</v>
      </c>
      <c r="O73" s="3">
        <f>IFERROR(__xludf.DUMMYFUNCTION("""COMPUTED_VALUE"""),2.0)</f>
        <v>2</v>
      </c>
      <c r="P73" s="3">
        <f>IFERROR(__xludf.DUMMYFUNCTION("""COMPUTED_VALUE"""),3.0)</f>
        <v>3</v>
      </c>
      <c r="Q73" s="3">
        <f>IFERROR(__xludf.DUMMYFUNCTION("""COMPUTED_VALUE"""),5.0)</f>
        <v>5</v>
      </c>
      <c r="R73" s="3">
        <f>IFERROR(__xludf.DUMMYFUNCTION("""COMPUTED_VALUE"""),5.0)</f>
        <v>5</v>
      </c>
      <c r="S73" s="3">
        <f>IFERROR(__xludf.DUMMYFUNCTION("""COMPUTED_VALUE"""),5.0)</f>
        <v>5</v>
      </c>
      <c r="T73" s="3">
        <f>IFERROR(__xludf.DUMMYFUNCTION("""COMPUTED_VALUE"""),7.0)</f>
        <v>7</v>
      </c>
      <c r="U73" s="3">
        <f>IFERROR(__xludf.DUMMYFUNCTION("""COMPUTED_VALUE"""),12.0)</f>
        <v>12</v>
      </c>
      <c r="V73" s="3">
        <f>IFERROR(__xludf.DUMMYFUNCTION("""COMPUTED_VALUE"""),17.0)</f>
        <v>17</v>
      </c>
      <c r="W73" s="3">
        <f>IFERROR(__xludf.DUMMYFUNCTION("""COMPUTED_VALUE"""),18.0)</f>
        <v>18</v>
      </c>
      <c r="X73" s="3">
        <f>IFERROR(__xludf.DUMMYFUNCTION("""COMPUTED_VALUE"""),19.0)</f>
        <v>19</v>
      </c>
      <c r="Y73" s="3">
        <f>IFERROR(__xludf.DUMMYFUNCTION("""COMPUTED_VALUE"""),20.0)</f>
        <v>20</v>
      </c>
      <c r="Z73" s="3">
        <f>IFERROR(__xludf.DUMMYFUNCTION("""COMPUTED_VALUE"""),26.0)</f>
        <v>26</v>
      </c>
      <c r="AA73" s="3">
        <f>IFERROR(__xludf.DUMMYFUNCTION("""COMPUTED_VALUE"""),27.0)</f>
        <v>27</v>
      </c>
      <c r="AB73" s="3">
        <f>IFERROR(__xludf.DUMMYFUNCTION("""COMPUTED_VALUE"""),36.0)</f>
        <v>36</v>
      </c>
      <c r="AC73" s="3">
        <f>IFERROR(__xludf.DUMMYFUNCTION("""COMPUTED_VALUE"""),42.0)</f>
        <v>42</v>
      </c>
      <c r="AD73" s="3">
        <f>IFERROR(__xludf.DUMMYFUNCTION("""COMPUTED_VALUE"""),42.0)</f>
        <v>42</v>
      </c>
      <c r="AE73" s="3">
        <f>IFERROR(__xludf.DUMMYFUNCTION("""COMPUTED_VALUE"""),47.0)</f>
        <v>47</v>
      </c>
      <c r="AF73" s="3">
        <f>IFERROR(__xludf.DUMMYFUNCTION("""COMPUTED_VALUE"""),57.0)</f>
        <v>57</v>
      </c>
      <c r="AG73" s="3">
        <f>IFERROR(__xludf.DUMMYFUNCTION("""COMPUTED_VALUE"""),60.0)</f>
        <v>60</v>
      </c>
      <c r="AH73" s="3">
        <f>IFERROR(__xludf.DUMMYFUNCTION("""COMPUTED_VALUE"""),79.0)</f>
        <v>79</v>
      </c>
      <c r="AI73" s="3">
        <f>IFERROR(__xludf.DUMMYFUNCTION("""COMPUTED_VALUE"""),96.0)</f>
        <v>96</v>
      </c>
      <c r="AJ73" s="3">
        <f>IFERROR(__xludf.DUMMYFUNCTION("""COMPUTED_VALUE"""),107.0)</f>
        <v>107</v>
      </c>
      <c r="AK73" s="3">
        <f>IFERROR(__xludf.DUMMYFUNCTION("""COMPUTED_VALUE"""),115.0)</f>
        <v>115</v>
      </c>
      <c r="AL73" s="3">
        <f>IFERROR(__xludf.DUMMYFUNCTION("""COMPUTED_VALUE"""),124.0)</f>
        <v>124</v>
      </c>
      <c r="AM73" s="3">
        <f>IFERROR(__xludf.DUMMYFUNCTION("""COMPUTED_VALUE"""),129.0)</f>
        <v>129</v>
      </c>
      <c r="AN73" s="3">
        <f>IFERROR(__xludf.DUMMYFUNCTION("""COMPUTED_VALUE"""),144.0)</f>
        <v>144</v>
      </c>
      <c r="AO73" s="3">
        <f>IFERROR(__xludf.DUMMYFUNCTION("""COMPUTED_VALUE"""),150.0)</f>
        <v>150</v>
      </c>
      <c r="AP73" s="3">
        <f>IFERROR(__xludf.DUMMYFUNCTION("""COMPUTED_VALUE"""),156.0)</f>
        <v>156</v>
      </c>
      <c r="AQ73" s="3">
        <f>IFERROR(__xludf.DUMMYFUNCTION("""COMPUTED_VALUE"""),157.0)</f>
        <v>157</v>
      </c>
      <c r="AR73" s="3">
        <f>IFERROR(__xludf.DUMMYFUNCTION("""COMPUTED_VALUE"""),163.0)</f>
        <v>163</v>
      </c>
      <c r="AS73" s="3">
        <f>IFERROR(__xludf.DUMMYFUNCTION("""COMPUTED_VALUE"""),168.0)</f>
        <v>168</v>
      </c>
      <c r="AT73" s="3">
        <f>IFERROR(__xludf.DUMMYFUNCTION("""COMPUTED_VALUE"""),169.0)</f>
        <v>169</v>
      </c>
      <c r="AU73" s="3">
        <f>IFERROR(__xludf.DUMMYFUNCTION("""COMPUTED_VALUE"""),169.0)</f>
        <v>169</v>
      </c>
      <c r="AV73" s="3">
        <f>IFERROR(__xludf.DUMMYFUNCTION("""COMPUTED_VALUE"""),169.0)</f>
        <v>169</v>
      </c>
      <c r="AW73" s="3">
        <f>IFERROR(__xludf.DUMMYFUNCTION("""COMPUTED_VALUE"""),170.0)</f>
        <v>170</v>
      </c>
      <c r="AX73" s="3">
        <f>IFERROR(__xludf.DUMMYFUNCTION("""COMPUTED_VALUE"""),170.0)</f>
        <v>170</v>
      </c>
      <c r="AY73" s="3">
        <f>IFERROR(__xludf.DUMMYFUNCTION("""COMPUTED_VALUE"""),170.0)</f>
        <v>170</v>
      </c>
      <c r="AZ73" s="3">
        <f>IFERROR(__xludf.DUMMYFUNCTION("""COMPUTED_VALUE"""),170.0)</f>
        <v>170</v>
      </c>
      <c r="BA73" s="3">
        <f>IFERROR(__xludf.DUMMYFUNCTION("""COMPUTED_VALUE"""),170.0)</f>
        <v>170</v>
      </c>
      <c r="BB73" s="3">
        <f>IFERROR(__xludf.DUMMYFUNCTION("""COMPUTED_VALUE"""),170.0)</f>
        <v>170</v>
      </c>
      <c r="BC73" s="3">
        <f>IFERROR(__xludf.DUMMYFUNCTION("""COMPUTED_VALUE"""),170.0)</f>
        <v>170</v>
      </c>
      <c r="BD73" s="3">
        <f>IFERROR(__xludf.DUMMYFUNCTION("""COMPUTED_VALUE"""),170.0)</f>
        <v>170</v>
      </c>
      <c r="BE73" s="3">
        <f>IFERROR(__xludf.DUMMYFUNCTION("""COMPUTED_VALUE"""),172.0)</f>
        <v>172</v>
      </c>
      <c r="BF73" s="3">
        <f>IFERROR(__xludf.DUMMYFUNCTION("""COMPUTED_VALUE"""),172.0)</f>
        <v>172</v>
      </c>
      <c r="BG73" s="3">
        <f>IFERROR(__xludf.DUMMYFUNCTION("""COMPUTED_VALUE"""),172.0)</f>
        <v>172</v>
      </c>
      <c r="BH73" s="3">
        <f>IFERROR(__xludf.DUMMYFUNCTION("""COMPUTED_VALUE"""),172.0)</f>
        <v>172</v>
      </c>
      <c r="BI73" s="3">
        <f>IFERROR(__xludf.DUMMYFUNCTION("""COMPUTED_VALUE"""),172.0)</f>
        <v>172</v>
      </c>
      <c r="BJ73" s="3">
        <f>IFERROR(__xludf.DUMMYFUNCTION("""COMPUTED_VALUE"""),172.0)</f>
        <v>172</v>
      </c>
      <c r="BK73" s="3">
        <f>IFERROR(__xludf.DUMMYFUNCTION("""COMPUTED_VALUE"""),172.0)</f>
        <v>172</v>
      </c>
      <c r="BL73" s="3">
        <f>IFERROR(__xludf.DUMMYFUNCTION("""COMPUTED_VALUE"""),172.0)</f>
        <v>172</v>
      </c>
      <c r="BM73" s="3">
        <f>IFERROR(__xludf.DUMMYFUNCTION("""COMPUTED_VALUE"""),172.0)</f>
        <v>172</v>
      </c>
      <c r="BN73" s="3">
        <f>IFERROR(__xludf.DUMMYFUNCTION("""COMPUTED_VALUE"""),172.0)</f>
        <v>172</v>
      </c>
      <c r="BO73" s="3">
        <f>IFERROR(__xludf.DUMMYFUNCTION("""COMPUTED_VALUE"""),172.0)</f>
        <v>172</v>
      </c>
      <c r="BP73" s="3">
        <f>IFERROR(__xludf.DUMMYFUNCTION("""COMPUTED_VALUE"""),172.0)</f>
        <v>172</v>
      </c>
      <c r="BQ73" s="3">
        <f>IFERROR(__xludf.DUMMYFUNCTION("""COMPUTED_VALUE"""),172.0)</f>
        <v>172</v>
      </c>
      <c r="BR73" s="3">
        <f>IFERROR(__xludf.DUMMYFUNCTION("""COMPUTED_VALUE"""),172.0)</f>
        <v>172</v>
      </c>
      <c r="BS73" s="3">
        <f>IFERROR(__xludf.DUMMYFUNCTION("""COMPUTED_VALUE"""),172.0)</f>
        <v>172</v>
      </c>
      <c r="BT73" s="3">
        <f>IFERROR(__xludf.DUMMYFUNCTION("""COMPUTED_VALUE"""),172.0)</f>
        <v>172</v>
      </c>
      <c r="BU73" s="3">
        <f>IFERROR(__xludf.DUMMYFUNCTION("""COMPUTED_VALUE"""),172.0)</f>
        <v>172</v>
      </c>
      <c r="BV73" s="3">
        <f>IFERROR(__xludf.DUMMYFUNCTION("""COMPUTED_VALUE"""),172.0)</f>
        <v>172</v>
      </c>
      <c r="BW73" s="3">
        <f>IFERROR(__xludf.DUMMYFUNCTION("""COMPUTED_VALUE"""),172.0)</f>
        <v>172</v>
      </c>
      <c r="BX73" s="3">
        <f>IFERROR(__xludf.DUMMYFUNCTION("""COMPUTED_VALUE"""),172.0)</f>
        <v>172</v>
      </c>
      <c r="BY73" s="3">
        <f>IFERROR(__xludf.DUMMYFUNCTION("""COMPUTED_VALUE"""),172.0)</f>
        <v>172</v>
      </c>
      <c r="BZ73" s="3">
        <f>IFERROR(__xludf.DUMMYFUNCTION("""COMPUTED_VALUE"""),172.0)</f>
        <v>172</v>
      </c>
      <c r="CA73" s="3">
        <f>IFERROR(__xludf.DUMMYFUNCTION("""COMPUTED_VALUE"""),172.0)</f>
        <v>172</v>
      </c>
      <c r="CB73" s="3">
        <f>IFERROR(__xludf.DUMMYFUNCTION("""COMPUTED_VALUE"""),172.0)</f>
        <v>172</v>
      </c>
    </row>
    <row r="74">
      <c r="A74" s="3" t="str">
        <f>IFERROR(__xludf.DUMMYFUNCTION("""COMPUTED_VALUE"""),"Zhejiang")</f>
        <v>Zhejiang</v>
      </c>
      <c r="B74" s="3" t="str">
        <f>IFERROR(__xludf.DUMMYFUNCTION("""COMPUTED_VALUE"""),"China")</f>
        <v>China</v>
      </c>
      <c r="C74" s="3">
        <f>IFERROR(__xludf.DUMMYFUNCTION("""COMPUTED_VALUE"""),29.1832)</f>
        <v>29.1832</v>
      </c>
      <c r="D74" s="3">
        <f>IFERROR(__xludf.DUMMYFUNCTION("""COMPUTED_VALUE"""),120.0934)</f>
        <v>120.0934</v>
      </c>
      <c r="E74" s="3">
        <f>IFERROR(__xludf.DUMMYFUNCTION("""COMPUTED_VALUE"""),0.0)</f>
        <v>0</v>
      </c>
      <c r="F74" s="3">
        <f>IFERROR(__xludf.DUMMYFUNCTION("""COMPUTED_VALUE"""),0.0)</f>
        <v>0</v>
      </c>
      <c r="G74" s="3">
        <f>IFERROR(__xludf.DUMMYFUNCTION("""COMPUTED_VALUE"""),1.0)</f>
        <v>1</v>
      </c>
      <c r="H74" s="3">
        <f>IFERROR(__xludf.DUMMYFUNCTION("""COMPUTED_VALUE"""),1.0)</f>
        <v>1</v>
      </c>
      <c r="I74" s="3">
        <f>IFERROR(__xludf.DUMMYFUNCTION("""COMPUTED_VALUE"""),1.0)</f>
        <v>1</v>
      </c>
      <c r="J74" s="3">
        <f>IFERROR(__xludf.DUMMYFUNCTION("""COMPUTED_VALUE"""),1.0)</f>
        <v>1</v>
      </c>
      <c r="K74" s="3">
        <f>IFERROR(__xludf.DUMMYFUNCTION("""COMPUTED_VALUE"""),3.0)</f>
        <v>3</v>
      </c>
      <c r="L74" s="3">
        <f>IFERROR(__xludf.DUMMYFUNCTION("""COMPUTED_VALUE"""),3.0)</f>
        <v>3</v>
      </c>
      <c r="M74" s="3">
        <f>IFERROR(__xludf.DUMMYFUNCTION("""COMPUTED_VALUE"""),4.0)</f>
        <v>4</v>
      </c>
      <c r="N74" s="3">
        <f>IFERROR(__xludf.DUMMYFUNCTION("""COMPUTED_VALUE"""),14.0)</f>
        <v>14</v>
      </c>
      <c r="O74" s="3">
        <f>IFERROR(__xludf.DUMMYFUNCTION("""COMPUTED_VALUE"""),21.0)</f>
        <v>21</v>
      </c>
      <c r="P74" s="3">
        <f>IFERROR(__xludf.DUMMYFUNCTION("""COMPUTED_VALUE"""),32.0)</f>
        <v>32</v>
      </c>
      <c r="Q74" s="3">
        <f>IFERROR(__xludf.DUMMYFUNCTION("""COMPUTED_VALUE"""),43.0)</f>
        <v>43</v>
      </c>
      <c r="R74" s="3">
        <f>IFERROR(__xludf.DUMMYFUNCTION("""COMPUTED_VALUE"""),62.0)</f>
        <v>62</v>
      </c>
      <c r="S74" s="3">
        <f>IFERROR(__xludf.DUMMYFUNCTION("""COMPUTED_VALUE"""),78.0)</f>
        <v>78</v>
      </c>
      <c r="T74" s="3">
        <f>IFERROR(__xludf.DUMMYFUNCTION("""COMPUTED_VALUE"""),94.0)</f>
        <v>94</v>
      </c>
      <c r="U74" s="3">
        <f>IFERROR(__xludf.DUMMYFUNCTION("""COMPUTED_VALUE"""),123.0)</f>
        <v>123</v>
      </c>
      <c r="V74" s="3">
        <f>IFERROR(__xludf.DUMMYFUNCTION("""COMPUTED_VALUE"""),175.0)</f>
        <v>175</v>
      </c>
      <c r="W74" s="3">
        <f>IFERROR(__xludf.DUMMYFUNCTION("""COMPUTED_VALUE"""),201.0)</f>
        <v>201</v>
      </c>
      <c r="X74" s="3">
        <f>IFERROR(__xludf.DUMMYFUNCTION("""COMPUTED_VALUE"""),242.0)</f>
        <v>242</v>
      </c>
      <c r="Y74" s="3">
        <f>IFERROR(__xludf.DUMMYFUNCTION("""COMPUTED_VALUE"""),270.0)</f>
        <v>270</v>
      </c>
      <c r="Z74" s="3">
        <f>IFERROR(__xludf.DUMMYFUNCTION("""COMPUTED_VALUE"""),321.0)</f>
        <v>321</v>
      </c>
      <c r="AA74" s="3">
        <f>IFERROR(__xludf.DUMMYFUNCTION("""COMPUTED_VALUE"""),360.0)</f>
        <v>360</v>
      </c>
      <c r="AB74" s="3">
        <f>IFERROR(__xludf.DUMMYFUNCTION("""COMPUTED_VALUE"""),403.0)</f>
        <v>403</v>
      </c>
      <c r="AC74" s="3">
        <f>IFERROR(__xludf.DUMMYFUNCTION("""COMPUTED_VALUE"""),428.0)</f>
        <v>428</v>
      </c>
      <c r="AD74" s="3">
        <f>IFERROR(__xludf.DUMMYFUNCTION("""COMPUTED_VALUE"""),456.0)</f>
        <v>456</v>
      </c>
      <c r="AE74" s="3">
        <f>IFERROR(__xludf.DUMMYFUNCTION("""COMPUTED_VALUE"""),507.0)</f>
        <v>507</v>
      </c>
      <c r="AF74" s="3">
        <f>IFERROR(__xludf.DUMMYFUNCTION("""COMPUTED_VALUE"""),535.0)</f>
        <v>535</v>
      </c>
      <c r="AG74" s="3">
        <f>IFERROR(__xludf.DUMMYFUNCTION("""COMPUTED_VALUE"""),604.0)</f>
        <v>604</v>
      </c>
      <c r="AH74" s="3">
        <f>IFERROR(__xludf.DUMMYFUNCTION("""COMPUTED_VALUE"""),633.0)</f>
        <v>633</v>
      </c>
      <c r="AI74" s="3">
        <f>IFERROR(__xludf.DUMMYFUNCTION("""COMPUTED_VALUE"""),679.0)</f>
        <v>679</v>
      </c>
      <c r="AJ74" s="3">
        <f>IFERROR(__xludf.DUMMYFUNCTION("""COMPUTED_VALUE"""),719.0)</f>
        <v>719</v>
      </c>
      <c r="AK74" s="3">
        <f>IFERROR(__xludf.DUMMYFUNCTION("""COMPUTED_VALUE"""),760.0)</f>
        <v>760</v>
      </c>
      <c r="AL74" s="3">
        <f>IFERROR(__xludf.DUMMYFUNCTION("""COMPUTED_VALUE"""),782.0)</f>
        <v>782</v>
      </c>
      <c r="AM74" s="3">
        <f>IFERROR(__xludf.DUMMYFUNCTION("""COMPUTED_VALUE"""),808.0)</f>
        <v>808</v>
      </c>
      <c r="AN74" s="3">
        <f>IFERROR(__xludf.DUMMYFUNCTION("""COMPUTED_VALUE"""),867.0)</f>
        <v>867</v>
      </c>
      <c r="AO74" s="3">
        <f>IFERROR(__xludf.DUMMYFUNCTION("""COMPUTED_VALUE"""),932.0)</f>
        <v>932</v>
      </c>
      <c r="AP74" s="3">
        <f>IFERROR(__xludf.DUMMYFUNCTION("""COMPUTED_VALUE"""),975.0)</f>
        <v>975</v>
      </c>
      <c r="AQ74" s="3">
        <f>IFERROR(__xludf.DUMMYFUNCTION("""COMPUTED_VALUE"""),1016.0)</f>
        <v>1016</v>
      </c>
      <c r="AR74" s="3">
        <f>IFERROR(__xludf.DUMMYFUNCTION("""COMPUTED_VALUE"""),1046.0)</f>
        <v>1046</v>
      </c>
      <c r="AS74" s="3">
        <f>IFERROR(__xludf.DUMMYFUNCTION("""COMPUTED_VALUE"""),1069.0)</f>
        <v>1069</v>
      </c>
      <c r="AT74" s="3">
        <f>IFERROR(__xludf.DUMMYFUNCTION("""COMPUTED_VALUE"""),1093.0)</f>
        <v>1093</v>
      </c>
      <c r="AU74" s="3">
        <f>IFERROR(__xludf.DUMMYFUNCTION("""COMPUTED_VALUE"""),1114.0)</f>
        <v>1114</v>
      </c>
      <c r="AV74" s="3">
        <f>IFERROR(__xludf.DUMMYFUNCTION("""COMPUTED_VALUE"""),1124.0)</f>
        <v>1124</v>
      </c>
      <c r="AW74" s="3">
        <f>IFERROR(__xludf.DUMMYFUNCTION("""COMPUTED_VALUE"""),1147.0)</f>
        <v>1147</v>
      </c>
      <c r="AX74" s="3">
        <f>IFERROR(__xludf.DUMMYFUNCTION("""COMPUTED_VALUE"""),1154.0)</f>
        <v>1154</v>
      </c>
      <c r="AY74" s="3">
        <f>IFERROR(__xludf.DUMMYFUNCTION("""COMPUTED_VALUE"""),1161.0)</f>
        <v>1161</v>
      </c>
      <c r="AZ74" s="3">
        <f>IFERROR(__xludf.DUMMYFUNCTION("""COMPUTED_VALUE"""),1176.0)</f>
        <v>1176</v>
      </c>
      <c r="BA74" s="3">
        <f>IFERROR(__xludf.DUMMYFUNCTION("""COMPUTED_VALUE"""),1191.0)</f>
        <v>1191</v>
      </c>
      <c r="BB74" s="3">
        <f>IFERROR(__xludf.DUMMYFUNCTION("""COMPUTED_VALUE"""),1195.0)</f>
        <v>1195</v>
      </c>
      <c r="BC74" s="3">
        <f>IFERROR(__xludf.DUMMYFUNCTION("""COMPUTED_VALUE"""),1197.0)</f>
        <v>1197</v>
      </c>
      <c r="BD74" s="3">
        <f>IFERROR(__xludf.DUMMYFUNCTION("""COMPUTED_VALUE"""),1197.0)</f>
        <v>1197</v>
      </c>
      <c r="BE74" s="3">
        <f>IFERROR(__xludf.DUMMYFUNCTION("""COMPUTED_VALUE"""),1211.0)</f>
        <v>1211</v>
      </c>
      <c r="BF74" s="3">
        <f>IFERROR(__xludf.DUMMYFUNCTION("""COMPUTED_VALUE"""),1211.0)</f>
        <v>1211</v>
      </c>
      <c r="BG74" s="3">
        <f>IFERROR(__xludf.DUMMYFUNCTION("""COMPUTED_VALUE"""),1216.0)</f>
        <v>1216</v>
      </c>
      <c r="BH74" s="3">
        <f>IFERROR(__xludf.DUMMYFUNCTION("""COMPUTED_VALUE"""),1216.0)</f>
        <v>1216</v>
      </c>
      <c r="BI74" s="3">
        <f>IFERROR(__xludf.DUMMYFUNCTION("""COMPUTED_VALUE"""),1216.0)</f>
        <v>1216</v>
      </c>
      <c r="BJ74" s="3">
        <f>IFERROR(__xludf.DUMMYFUNCTION("""COMPUTED_VALUE"""),1217.0)</f>
        <v>1217</v>
      </c>
      <c r="BK74" s="3">
        <f>IFERROR(__xludf.DUMMYFUNCTION("""COMPUTED_VALUE"""),1219.0)</f>
        <v>1219</v>
      </c>
      <c r="BL74" s="3">
        <f>IFERROR(__xludf.DUMMYFUNCTION("""COMPUTED_VALUE"""),1219.0)</f>
        <v>1219</v>
      </c>
      <c r="BM74" s="3">
        <f>IFERROR(__xludf.DUMMYFUNCTION("""COMPUTED_VALUE"""),1219.0)</f>
        <v>1219</v>
      </c>
      <c r="BN74" s="3">
        <f>IFERROR(__xludf.DUMMYFUNCTION("""COMPUTED_VALUE"""),1221.0)</f>
        <v>1221</v>
      </c>
      <c r="BO74" s="3">
        <f>IFERROR(__xludf.DUMMYFUNCTION("""COMPUTED_VALUE"""),1221.0)</f>
        <v>1221</v>
      </c>
      <c r="BP74" s="3">
        <f>IFERROR(__xludf.DUMMYFUNCTION("""COMPUTED_VALUE"""),1221.0)</f>
        <v>1221</v>
      </c>
      <c r="BQ74" s="3">
        <f>IFERROR(__xludf.DUMMYFUNCTION("""COMPUTED_VALUE"""),1222.0)</f>
        <v>1222</v>
      </c>
      <c r="BR74" s="3">
        <f>IFERROR(__xludf.DUMMYFUNCTION("""COMPUTED_VALUE"""),1222.0)</f>
        <v>1222</v>
      </c>
      <c r="BS74" s="3">
        <f>IFERROR(__xludf.DUMMYFUNCTION("""COMPUTED_VALUE"""),1225.0)</f>
        <v>1225</v>
      </c>
      <c r="BT74" s="3">
        <f>IFERROR(__xludf.DUMMYFUNCTION("""COMPUTED_VALUE"""),1225.0)</f>
        <v>1225</v>
      </c>
      <c r="BU74" s="3">
        <f>IFERROR(__xludf.DUMMYFUNCTION("""COMPUTED_VALUE"""),1225.0)</f>
        <v>1225</v>
      </c>
      <c r="BV74" s="3">
        <f>IFERROR(__xludf.DUMMYFUNCTION("""COMPUTED_VALUE"""),1226.0)</f>
        <v>1226</v>
      </c>
      <c r="BW74" s="3">
        <f>IFERROR(__xludf.DUMMYFUNCTION("""COMPUTED_VALUE"""),1226.0)</f>
        <v>1226</v>
      </c>
      <c r="BX74" s="3">
        <f>IFERROR(__xludf.DUMMYFUNCTION("""COMPUTED_VALUE"""),1228.0)</f>
        <v>1228</v>
      </c>
      <c r="BY74" s="3">
        <f>IFERROR(__xludf.DUMMYFUNCTION("""COMPUTED_VALUE"""),1228.0)</f>
        <v>1228</v>
      </c>
      <c r="BZ74" s="3">
        <f>IFERROR(__xludf.DUMMYFUNCTION("""COMPUTED_VALUE"""),1229.0)</f>
        <v>1229</v>
      </c>
      <c r="CA74" s="3">
        <f>IFERROR(__xludf.DUMMYFUNCTION("""COMPUTED_VALUE"""),1230.0)</f>
        <v>1230</v>
      </c>
      <c r="CB74" s="3">
        <f>IFERROR(__xludf.DUMMYFUNCTION("""COMPUTED_VALUE"""),1230.0)</f>
        <v>1230</v>
      </c>
    </row>
    <row r="75">
      <c r="A75" s="3" t="str">
        <f>IFERROR(__xludf.DUMMYFUNCTION("""COMPUTED_VALUE"""),"")</f>
        <v/>
      </c>
      <c r="B75" s="3" t="str">
        <f>IFERROR(__xludf.DUMMYFUNCTION("""COMPUTED_VALUE"""),"Colombia")</f>
        <v>Colombia</v>
      </c>
      <c r="C75" s="3">
        <f>IFERROR(__xludf.DUMMYFUNCTION("""COMPUTED_VALUE"""),4.5709)</f>
        <v>4.5709</v>
      </c>
      <c r="D75" s="3">
        <f>IFERROR(__xludf.DUMMYFUNCTION("""COMPUTED_VALUE"""),-74.2973)</f>
        <v>-74.2973</v>
      </c>
      <c r="E75" s="3">
        <f>IFERROR(__xludf.DUMMYFUNCTION("""COMPUTED_VALUE"""),0.0)</f>
        <v>0</v>
      </c>
      <c r="F75" s="3">
        <f>IFERROR(__xludf.DUMMYFUNCTION("""COMPUTED_VALUE"""),0.0)</f>
        <v>0</v>
      </c>
      <c r="G75" s="3">
        <f>IFERROR(__xludf.DUMMYFUNCTION("""COMPUTED_VALUE"""),0.0)</f>
        <v>0</v>
      </c>
      <c r="H75" s="3">
        <f>IFERROR(__xludf.DUMMYFUNCTION("""COMPUTED_VALUE"""),0.0)</f>
        <v>0</v>
      </c>
      <c r="I75" s="3">
        <f>IFERROR(__xludf.DUMMYFUNCTION("""COMPUTED_VALUE"""),0.0)</f>
        <v>0</v>
      </c>
      <c r="J75" s="3">
        <f>IFERROR(__xludf.DUMMYFUNCTION("""COMPUTED_VALUE"""),0.0)</f>
        <v>0</v>
      </c>
      <c r="K75" s="3">
        <f>IFERROR(__xludf.DUMMYFUNCTION("""COMPUTED_VALUE"""),0.0)</f>
        <v>0</v>
      </c>
      <c r="L75" s="3">
        <f>IFERROR(__xludf.DUMMYFUNCTION("""COMPUTED_VALUE"""),0.0)</f>
        <v>0</v>
      </c>
      <c r="M75" s="3">
        <f>IFERROR(__xludf.DUMMYFUNCTION("""COMPUTED_VALUE"""),0.0)</f>
        <v>0</v>
      </c>
      <c r="N75" s="3">
        <f>IFERROR(__xludf.DUMMYFUNCTION("""COMPUTED_VALUE"""),0.0)</f>
        <v>0</v>
      </c>
      <c r="O75" s="3">
        <f>IFERROR(__xludf.DUMMYFUNCTION("""COMPUTED_VALUE"""),0.0)</f>
        <v>0</v>
      </c>
      <c r="P75" s="3">
        <f>IFERROR(__xludf.DUMMYFUNCTION("""COMPUTED_VALUE"""),0.0)</f>
        <v>0</v>
      </c>
      <c r="Q75" s="3">
        <f>IFERROR(__xludf.DUMMYFUNCTION("""COMPUTED_VALUE"""),0.0)</f>
        <v>0</v>
      </c>
      <c r="R75" s="3">
        <f>IFERROR(__xludf.DUMMYFUNCTION("""COMPUTED_VALUE"""),0.0)</f>
        <v>0</v>
      </c>
      <c r="S75" s="3">
        <f>IFERROR(__xludf.DUMMYFUNCTION("""COMPUTED_VALUE"""),0.0)</f>
        <v>0</v>
      </c>
      <c r="T75" s="3">
        <f>IFERROR(__xludf.DUMMYFUNCTION("""COMPUTED_VALUE"""),0.0)</f>
        <v>0</v>
      </c>
      <c r="U75" s="3">
        <f>IFERROR(__xludf.DUMMYFUNCTION("""COMPUTED_VALUE"""),0.0)</f>
        <v>0</v>
      </c>
      <c r="V75" s="3">
        <f>IFERROR(__xludf.DUMMYFUNCTION("""COMPUTED_VALUE"""),0.0)</f>
        <v>0</v>
      </c>
      <c r="W75" s="3">
        <f>IFERROR(__xludf.DUMMYFUNCTION("""COMPUTED_VALUE"""),0.0)</f>
        <v>0</v>
      </c>
      <c r="X75" s="3">
        <f>IFERROR(__xludf.DUMMYFUNCTION("""COMPUTED_VALUE"""),0.0)</f>
        <v>0</v>
      </c>
      <c r="Y75" s="3">
        <f>IFERROR(__xludf.DUMMYFUNCTION("""COMPUTED_VALUE"""),0.0)</f>
        <v>0</v>
      </c>
      <c r="Z75" s="3">
        <f>IFERROR(__xludf.DUMMYFUNCTION("""COMPUTED_VALUE"""),0.0)</f>
        <v>0</v>
      </c>
      <c r="AA75" s="3">
        <f>IFERROR(__xludf.DUMMYFUNCTION("""COMPUTED_VALUE"""),0.0)</f>
        <v>0</v>
      </c>
      <c r="AB75" s="3">
        <f>IFERROR(__xludf.DUMMYFUNCTION("""COMPUTED_VALUE"""),0.0)</f>
        <v>0</v>
      </c>
      <c r="AC75" s="3">
        <f>IFERROR(__xludf.DUMMYFUNCTION("""COMPUTED_VALUE"""),0.0)</f>
        <v>0</v>
      </c>
      <c r="AD75" s="3">
        <f>IFERROR(__xludf.DUMMYFUNCTION("""COMPUTED_VALUE"""),0.0)</f>
        <v>0</v>
      </c>
      <c r="AE75" s="3">
        <f>IFERROR(__xludf.DUMMYFUNCTION("""COMPUTED_VALUE"""),0.0)</f>
        <v>0</v>
      </c>
      <c r="AF75" s="3">
        <f>IFERROR(__xludf.DUMMYFUNCTION("""COMPUTED_VALUE"""),0.0)</f>
        <v>0</v>
      </c>
      <c r="AG75" s="3">
        <f>IFERROR(__xludf.DUMMYFUNCTION("""COMPUTED_VALUE"""),0.0)</f>
        <v>0</v>
      </c>
      <c r="AH75" s="3">
        <f>IFERROR(__xludf.DUMMYFUNCTION("""COMPUTED_VALUE"""),0.0)</f>
        <v>0</v>
      </c>
      <c r="AI75" s="3">
        <f>IFERROR(__xludf.DUMMYFUNCTION("""COMPUTED_VALUE"""),0.0)</f>
        <v>0</v>
      </c>
      <c r="AJ75" s="3">
        <f>IFERROR(__xludf.DUMMYFUNCTION("""COMPUTED_VALUE"""),0.0)</f>
        <v>0</v>
      </c>
      <c r="AK75" s="3">
        <f>IFERROR(__xludf.DUMMYFUNCTION("""COMPUTED_VALUE"""),0.0)</f>
        <v>0</v>
      </c>
      <c r="AL75" s="3">
        <f>IFERROR(__xludf.DUMMYFUNCTION("""COMPUTED_VALUE"""),0.0)</f>
        <v>0</v>
      </c>
      <c r="AM75" s="3">
        <f>IFERROR(__xludf.DUMMYFUNCTION("""COMPUTED_VALUE"""),0.0)</f>
        <v>0</v>
      </c>
      <c r="AN75" s="3">
        <f>IFERROR(__xludf.DUMMYFUNCTION("""COMPUTED_VALUE"""),0.0)</f>
        <v>0</v>
      </c>
      <c r="AO75" s="3">
        <f>IFERROR(__xludf.DUMMYFUNCTION("""COMPUTED_VALUE"""),0.0)</f>
        <v>0</v>
      </c>
      <c r="AP75" s="3">
        <f>IFERROR(__xludf.DUMMYFUNCTION("""COMPUTED_VALUE"""),0.0)</f>
        <v>0</v>
      </c>
      <c r="AQ75" s="3">
        <f>IFERROR(__xludf.DUMMYFUNCTION("""COMPUTED_VALUE"""),0.0)</f>
        <v>0</v>
      </c>
      <c r="AR75" s="3">
        <f>IFERROR(__xludf.DUMMYFUNCTION("""COMPUTED_VALUE"""),0.0)</f>
        <v>0</v>
      </c>
      <c r="AS75" s="3">
        <f>IFERROR(__xludf.DUMMYFUNCTION("""COMPUTED_VALUE"""),0.0)</f>
        <v>0</v>
      </c>
      <c r="AT75" s="3">
        <f>IFERROR(__xludf.DUMMYFUNCTION("""COMPUTED_VALUE"""),0.0)</f>
        <v>0</v>
      </c>
      <c r="AU75" s="3">
        <f>IFERROR(__xludf.DUMMYFUNCTION("""COMPUTED_VALUE"""),0.0)</f>
        <v>0</v>
      </c>
      <c r="AV75" s="3">
        <f>IFERROR(__xludf.DUMMYFUNCTION("""COMPUTED_VALUE"""),0.0)</f>
        <v>0</v>
      </c>
      <c r="AW75" s="3">
        <f>IFERROR(__xludf.DUMMYFUNCTION("""COMPUTED_VALUE"""),0.0)</f>
        <v>0</v>
      </c>
      <c r="AX75" s="3">
        <f>IFERROR(__xludf.DUMMYFUNCTION("""COMPUTED_VALUE"""),0.0)</f>
        <v>0</v>
      </c>
      <c r="AY75" s="3">
        <f>IFERROR(__xludf.DUMMYFUNCTION("""COMPUTED_VALUE"""),0.0)</f>
        <v>0</v>
      </c>
      <c r="AZ75" s="3">
        <f>IFERROR(__xludf.DUMMYFUNCTION("""COMPUTED_VALUE"""),0.0)</f>
        <v>0</v>
      </c>
      <c r="BA75" s="3">
        <f>IFERROR(__xludf.DUMMYFUNCTION("""COMPUTED_VALUE"""),0.0)</f>
        <v>0</v>
      </c>
      <c r="BB75" s="3">
        <f>IFERROR(__xludf.DUMMYFUNCTION("""COMPUTED_VALUE"""),0.0)</f>
        <v>0</v>
      </c>
      <c r="BC75" s="3">
        <f>IFERROR(__xludf.DUMMYFUNCTION("""COMPUTED_VALUE"""),0.0)</f>
        <v>0</v>
      </c>
      <c r="BD75" s="3">
        <f>IFERROR(__xludf.DUMMYFUNCTION("""COMPUTED_VALUE"""),0.0)</f>
        <v>0</v>
      </c>
      <c r="BE75" s="3">
        <f>IFERROR(__xludf.DUMMYFUNCTION("""COMPUTED_VALUE"""),0.0)</f>
        <v>0</v>
      </c>
      <c r="BF75" s="3">
        <f>IFERROR(__xludf.DUMMYFUNCTION("""COMPUTED_VALUE"""),0.0)</f>
        <v>0</v>
      </c>
      <c r="BG75" s="3">
        <f>IFERROR(__xludf.DUMMYFUNCTION("""COMPUTED_VALUE"""),0.0)</f>
        <v>0</v>
      </c>
      <c r="BH75" s="3">
        <f>IFERROR(__xludf.DUMMYFUNCTION("""COMPUTED_VALUE"""),1.0)</f>
        <v>1</v>
      </c>
      <c r="BI75" s="3">
        <f>IFERROR(__xludf.DUMMYFUNCTION("""COMPUTED_VALUE"""),1.0)</f>
        <v>1</v>
      </c>
      <c r="BJ75" s="3">
        <f>IFERROR(__xludf.DUMMYFUNCTION("""COMPUTED_VALUE"""),1.0)</f>
        <v>1</v>
      </c>
      <c r="BK75" s="3">
        <f>IFERROR(__xludf.DUMMYFUNCTION("""COMPUTED_VALUE"""),1.0)</f>
        <v>1</v>
      </c>
      <c r="BL75" s="3">
        <f>IFERROR(__xludf.DUMMYFUNCTION("""COMPUTED_VALUE"""),1.0)</f>
        <v>1</v>
      </c>
      <c r="BM75" s="3">
        <f>IFERROR(__xludf.DUMMYFUNCTION("""COMPUTED_VALUE"""),3.0)</f>
        <v>3</v>
      </c>
      <c r="BN75" s="3">
        <f>IFERROR(__xludf.DUMMYFUNCTION("""COMPUTED_VALUE"""),3.0)</f>
        <v>3</v>
      </c>
      <c r="BO75" s="3">
        <f>IFERROR(__xludf.DUMMYFUNCTION("""COMPUTED_VALUE"""),6.0)</f>
        <v>6</v>
      </c>
      <c r="BP75" s="3">
        <f>IFERROR(__xludf.DUMMYFUNCTION("""COMPUTED_VALUE"""),8.0)</f>
        <v>8</v>
      </c>
      <c r="BQ75" s="3">
        <f>IFERROR(__xludf.DUMMYFUNCTION("""COMPUTED_VALUE"""),8.0)</f>
        <v>8</v>
      </c>
      <c r="BR75" s="3">
        <f>IFERROR(__xludf.DUMMYFUNCTION("""COMPUTED_VALUE"""),10.0)</f>
        <v>10</v>
      </c>
      <c r="BS75" s="3">
        <f>IFERROR(__xludf.DUMMYFUNCTION("""COMPUTED_VALUE"""),10.0)</f>
        <v>10</v>
      </c>
      <c r="BT75" s="3">
        <f>IFERROR(__xludf.DUMMYFUNCTION("""COMPUTED_VALUE"""),10.0)</f>
        <v>10</v>
      </c>
      <c r="BU75" s="3">
        <f>IFERROR(__xludf.DUMMYFUNCTION("""COMPUTED_VALUE"""),15.0)</f>
        <v>15</v>
      </c>
      <c r="BV75" s="3">
        <f>IFERROR(__xludf.DUMMYFUNCTION("""COMPUTED_VALUE"""),31.0)</f>
        <v>31</v>
      </c>
      <c r="BW75" s="3">
        <f>IFERROR(__xludf.DUMMYFUNCTION("""COMPUTED_VALUE"""),39.0)</f>
        <v>39</v>
      </c>
      <c r="BX75" s="3">
        <f>IFERROR(__xludf.DUMMYFUNCTION("""COMPUTED_VALUE"""),55.0)</f>
        <v>55</v>
      </c>
      <c r="BY75" s="3">
        <f>IFERROR(__xludf.DUMMYFUNCTION("""COMPUTED_VALUE"""),55.0)</f>
        <v>55</v>
      </c>
      <c r="BZ75" s="3">
        <f>IFERROR(__xludf.DUMMYFUNCTION("""COMPUTED_VALUE"""),85.0)</f>
        <v>85</v>
      </c>
      <c r="CA75" s="3">
        <f>IFERROR(__xludf.DUMMYFUNCTION("""COMPUTED_VALUE"""),88.0)</f>
        <v>88</v>
      </c>
      <c r="CB75" s="3">
        <f>IFERROR(__xludf.DUMMYFUNCTION("""COMPUTED_VALUE"""),88.0)</f>
        <v>88</v>
      </c>
    </row>
    <row r="76">
      <c r="A76" s="3" t="str">
        <f>IFERROR(__xludf.DUMMYFUNCTION("""COMPUTED_VALUE"""),"")</f>
        <v/>
      </c>
      <c r="B76" s="3" t="str">
        <f>IFERROR(__xludf.DUMMYFUNCTION("""COMPUTED_VALUE"""),"Congo (Brazzaville)")</f>
        <v>Congo (Brazzaville)</v>
      </c>
      <c r="C76" s="3">
        <f>IFERROR(__xludf.DUMMYFUNCTION("""COMPUTED_VALUE"""),-4.0383)</f>
        <v>-4.0383</v>
      </c>
      <c r="D76" s="3">
        <f>IFERROR(__xludf.DUMMYFUNCTION("""COMPUTED_VALUE"""),21.7587)</f>
        <v>21.7587</v>
      </c>
      <c r="E76" s="3">
        <f>IFERROR(__xludf.DUMMYFUNCTION("""COMPUTED_VALUE"""),0.0)</f>
        <v>0</v>
      </c>
      <c r="F76" s="3">
        <f>IFERROR(__xludf.DUMMYFUNCTION("""COMPUTED_VALUE"""),0.0)</f>
        <v>0</v>
      </c>
      <c r="G76" s="3">
        <f>IFERROR(__xludf.DUMMYFUNCTION("""COMPUTED_VALUE"""),0.0)</f>
        <v>0</v>
      </c>
      <c r="H76" s="3">
        <f>IFERROR(__xludf.DUMMYFUNCTION("""COMPUTED_VALUE"""),0.0)</f>
        <v>0</v>
      </c>
      <c r="I76" s="3">
        <f>IFERROR(__xludf.DUMMYFUNCTION("""COMPUTED_VALUE"""),0.0)</f>
        <v>0</v>
      </c>
      <c r="J76" s="3">
        <f>IFERROR(__xludf.DUMMYFUNCTION("""COMPUTED_VALUE"""),0.0)</f>
        <v>0</v>
      </c>
      <c r="K76" s="3">
        <f>IFERROR(__xludf.DUMMYFUNCTION("""COMPUTED_VALUE"""),0.0)</f>
        <v>0</v>
      </c>
      <c r="L76" s="3">
        <f>IFERROR(__xludf.DUMMYFUNCTION("""COMPUTED_VALUE"""),0.0)</f>
        <v>0</v>
      </c>
      <c r="M76" s="3">
        <f>IFERROR(__xludf.DUMMYFUNCTION("""COMPUTED_VALUE"""),0.0)</f>
        <v>0</v>
      </c>
      <c r="N76" s="3">
        <f>IFERROR(__xludf.DUMMYFUNCTION("""COMPUTED_VALUE"""),0.0)</f>
        <v>0</v>
      </c>
      <c r="O76" s="3">
        <f>IFERROR(__xludf.DUMMYFUNCTION("""COMPUTED_VALUE"""),0.0)</f>
        <v>0</v>
      </c>
      <c r="P76" s="3">
        <f>IFERROR(__xludf.DUMMYFUNCTION("""COMPUTED_VALUE"""),0.0)</f>
        <v>0</v>
      </c>
      <c r="Q76" s="3">
        <f>IFERROR(__xludf.DUMMYFUNCTION("""COMPUTED_VALUE"""),0.0)</f>
        <v>0</v>
      </c>
      <c r="R76" s="3">
        <f>IFERROR(__xludf.DUMMYFUNCTION("""COMPUTED_VALUE"""),0.0)</f>
        <v>0</v>
      </c>
      <c r="S76" s="3">
        <f>IFERROR(__xludf.DUMMYFUNCTION("""COMPUTED_VALUE"""),0.0)</f>
        <v>0</v>
      </c>
      <c r="T76" s="3">
        <f>IFERROR(__xludf.DUMMYFUNCTION("""COMPUTED_VALUE"""),0.0)</f>
        <v>0</v>
      </c>
      <c r="U76" s="3">
        <f>IFERROR(__xludf.DUMMYFUNCTION("""COMPUTED_VALUE"""),0.0)</f>
        <v>0</v>
      </c>
      <c r="V76" s="3">
        <f>IFERROR(__xludf.DUMMYFUNCTION("""COMPUTED_VALUE"""),0.0)</f>
        <v>0</v>
      </c>
      <c r="W76" s="3">
        <f>IFERROR(__xludf.DUMMYFUNCTION("""COMPUTED_VALUE"""),0.0)</f>
        <v>0</v>
      </c>
      <c r="X76" s="3">
        <f>IFERROR(__xludf.DUMMYFUNCTION("""COMPUTED_VALUE"""),0.0)</f>
        <v>0</v>
      </c>
      <c r="Y76" s="3">
        <f>IFERROR(__xludf.DUMMYFUNCTION("""COMPUTED_VALUE"""),0.0)</f>
        <v>0</v>
      </c>
      <c r="Z76" s="3">
        <f>IFERROR(__xludf.DUMMYFUNCTION("""COMPUTED_VALUE"""),0.0)</f>
        <v>0</v>
      </c>
      <c r="AA76" s="3">
        <f>IFERROR(__xludf.DUMMYFUNCTION("""COMPUTED_VALUE"""),0.0)</f>
        <v>0</v>
      </c>
      <c r="AB76" s="3">
        <f>IFERROR(__xludf.DUMMYFUNCTION("""COMPUTED_VALUE"""),0.0)</f>
        <v>0</v>
      </c>
      <c r="AC76" s="3">
        <f>IFERROR(__xludf.DUMMYFUNCTION("""COMPUTED_VALUE"""),0.0)</f>
        <v>0</v>
      </c>
      <c r="AD76" s="3">
        <f>IFERROR(__xludf.DUMMYFUNCTION("""COMPUTED_VALUE"""),0.0)</f>
        <v>0</v>
      </c>
      <c r="AE76" s="3">
        <f>IFERROR(__xludf.DUMMYFUNCTION("""COMPUTED_VALUE"""),0.0)</f>
        <v>0</v>
      </c>
      <c r="AF76" s="3">
        <f>IFERROR(__xludf.DUMMYFUNCTION("""COMPUTED_VALUE"""),0.0)</f>
        <v>0</v>
      </c>
      <c r="AG76" s="3">
        <f>IFERROR(__xludf.DUMMYFUNCTION("""COMPUTED_VALUE"""),0.0)</f>
        <v>0</v>
      </c>
      <c r="AH76" s="3">
        <f>IFERROR(__xludf.DUMMYFUNCTION("""COMPUTED_VALUE"""),0.0)</f>
        <v>0</v>
      </c>
      <c r="AI76" s="3">
        <f>IFERROR(__xludf.DUMMYFUNCTION("""COMPUTED_VALUE"""),0.0)</f>
        <v>0</v>
      </c>
      <c r="AJ76" s="3">
        <f>IFERROR(__xludf.DUMMYFUNCTION("""COMPUTED_VALUE"""),0.0)</f>
        <v>0</v>
      </c>
      <c r="AK76" s="3">
        <f>IFERROR(__xludf.DUMMYFUNCTION("""COMPUTED_VALUE"""),0.0)</f>
        <v>0</v>
      </c>
      <c r="AL76" s="3">
        <f>IFERROR(__xludf.DUMMYFUNCTION("""COMPUTED_VALUE"""),0.0)</f>
        <v>0</v>
      </c>
      <c r="AM76" s="3">
        <f>IFERROR(__xludf.DUMMYFUNCTION("""COMPUTED_VALUE"""),0.0)</f>
        <v>0</v>
      </c>
      <c r="AN76" s="3">
        <f>IFERROR(__xludf.DUMMYFUNCTION("""COMPUTED_VALUE"""),0.0)</f>
        <v>0</v>
      </c>
      <c r="AO76" s="3">
        <f>IFERROR(__xludf.DUMMYFUNCTION("""COMPUTED_VALUE"""),0.0)</f>
        <v>0</v>
      </c>
      <c r="AP76" s="3">
        <f>IFERROR(__xludf.DUMMYFUNCTION("""COMPUTED_VALUE"""),0.0)</f>
        <v>0</v>
      </c>
      <c r="AQ76" s="3">
        <f>IFERROR(__xludf.DUMMYFUNCTION("""COMPUTED_VALUE"""),0.0)</f>
        <v>0</v>
      </c>
      <c r="AR76" s="3">
        <f>IFERROR(__xludf.DUMMYFUNCTION("""COMPUTED_VALUE"""),0.0)</f>
        <v>0</v>
      </c>
      <c r="AS76" s="3">
        <f>IFERROR(__xludf.DUMMYFUNCTION("""COMPUTED_VALUE"""),0.0)</f>
        <v>0</v>
      </c>
      <c r="AT76" s="3">
        <f>IFERROR(__xludf.DUMMYFUNCTION("""COMPUTED_VALUE"""),0.0)</f>
        <v>0</v>
      </c>
      <c r="AU76" s="3">
        <f>IFERROR(__xludf.DUMMYFUNCTION("""COMPUTED_VALUE"""),0.0)</f>
        <v>0</v>
      </c>
      <c r="AV76" s="3">
        <f>IFERROR(__xludf.DUMMYFUNCTION("""COMPUTED_VALUE"""),0.0)</f>
        <v>0</v>
      </c>
      <c r="AW76" s="3">
        <f>IFERROR(__xludf.DUMMYFUNCTION("""COMPUTED_VALUE"""),0.0)</f>
        <v>0</v>
      </c>
      <c r="AX76" s="3">
        <f>IFERROR(__xludf.DUMMYFUNCTION("""COMPUTED_VALUE"""),0.0)</f>
        <v>0</v>
      </c>
      <c r="AY76" s="3">
        <f>IFERROR(__xludf.DUMMYFUNCTION("""COMPUTED_VALUE"""),0.0)</f>
        <v>0</v>
      </c>
      <c r="AZ76" s="3">
        <f>IFERROR(__xludf.DUMMYFUNCTION("""COMPUTED_VALUE"""),0.0)</f>
        <v>0</v>
      </c>
      <c r="BA76" s="3">
        <f>IFERROR(__xludf.DUMMYFUNCTION("""COMPUTED_VALUE"""),0.0)</f>
        <v>0</v>
      </c>
      <c r="BB76" s="3">
        <f>IFERROR(__xludf.DUMMYFUNCTION("""COMPUTED_VALUE"""),0.0)</f>
        <v>0</v>
      </c>
      <c r="BC76" s="3">
        <f>IFERROR(__xludf.DUMMYFUNCTION("""COMPUTED_VALUE"""),0.0)</f>
        <v>0</v>
      </c>
      <c r="BD76" s="3">
        <f>IFERROR(__xludf.DUMMYFUNCTION("""COMPUTED_VALUE"""),0.0)</f>
        <v>0</v>
      </c>
      <c r="BE76" s="3">
        <f>IFERROR(__xludf.DUMMYFUNCTION("""COMPUTED_VALUE"""),0.0)</f>
        <v>0</v>
      </c>
      <c r="BF76" s="3">
        <f>IFERROR(__xludf.DUMMYFUNCTION("""COMPUTED_VALUE"""),0.0)</f>
        <v>0</v>
      </c>
      <c r="BG76" s="3">
        <f>IFERROR(__xludf.DUMMYFUNCTION("""COMPUTED_VALUE"""),0.0)</f>
        <v>0</v>
      </c>
      <c r="BH76" s="3">
        <f>IFERROR(__xludf.DUMMYFUNCTION("""COMPUTED_VALUE"""),0.0)</f>
        <v>0</v>
      </c>
      <c r="BI76" s="3">
        <f>IFERROR(__xludf.DUMMYFUNCTION("""COMPUTED_VALUE"""),0.0)</f>
        <v>0</v>
      </c>
      <c r="BJ76" s="3">
        <f>IFERROR(__xludf.DUMMYFUNCTION("""COMPUTED_VALUE"""),0.0)</f>
        <v>0</v>
      </c>
      <c r="BK76" s="3">
        <f>IFERROR(__xludf.DUMMYFUNCTION("""COMPUTED_VALUE"""),0.0)</f>
        <v>0</v>
      </c>
      <c r="BL76" s="3">
        <f>IFERROR(__xludf.DUMMYFUNCTION("""COMPUTED_VALUE"""),0.0)</f>
        <v>0</v>
      </c>
      <c r="BM76" s="3">
        <f>IFERROR(__xludf.DUMMYFUNCTION("""COMPUTED_VALUE"""),0.0)</f>
        <v>0</v>
      </c>
      <c r="BN76" s="3">
        <f>IFERROR(__xludf.DUMMYFUNCTION("""COMPUTED_VALUE"""),0.0)</f>
        <v>0</v>
      </c>
      <c r="BO76" s="3">
        <f>IFERROR(__xludf.DUMMYFUNCTION("""COMPUTED_VALUE"""),0.0)</f>
        <v>0</v>
      </c>
      <c r="BP76" s="3">
        <f>IFERROR(__xludf.DUMMYFUNCTION("""COMPUTED_VALUE"""),0.0)</f>
        <v>0</v>
      </c>
      <c r="BQ76" s="3">
        <f>IFERROR(__xludf.DUMMYFUNCTION("""COMPUTED_VALUE"""),0.0)</f>
        <v>0</v>
      </c>
      <c r="BR76" s="3">
        <f>IFERROR(__xludf.DUMMYFUNCTION("""COMPUTED_VALUE"""),0.0)</f>
        <v>0</v>
      </c>
      <c r="BS76" s="3">
        <f>IFERROR(__xludf.DUMMYFUNCTION("""COMPUTED_VALUE"""),0.0)</f>
        <v>0</v>
      </c>
      <c r="BT76" s="3">
        <f>IFERROR(__xludf.DUMMYFUNCTION("""COMPUTED_VALUE"""),0.0)</f>
        <v>0</v>
      </c>
      <c r="BU76" s="3">
        <f>IFERROR(__xludf.DUMMYFUNCTION("""COMPUTED_VALUE"""),0.0)</f>
        <v>0</v>
      </c>
      <c r="BV76" s="3">
        <f>IFERROR(__xludf.DUMMYFUNCTION("""COMPUTED_VALUE"""),0.0)</f>
        <v>0</v>
      </c>
      <c r="BW76" s="3">
        <f>IFERROR(__xludf.DUMMYFUNCTION("""COMPUTED_VALUE"""),0.0)</f>
        <v>0</v>
      </c>
      <c r="BX76" s="3">
        <f>IFERROR(__xludf.DUMMYFUNCTION("""COMPUTED_VALUE"""),2.0)</f>
        <v>2</v>
      </c>
      <c r="BY76" s="3">
        <f>IFERROR(__xludf.DUMMYFUNCTION("""COMPUTED_VALUE"""),2.0)</f>
        <v>2</v>
      </c>
      <c r="BZ76" s="3">
        <f>IFERROR(__xludf.DUMMYFUNCTION("""COMPUTED_VALUE"""),2.0)</f>
        <v>2</v>
      </c>
      <c r="CA76" s="3">
        <f>IFERROR(__xludf.DUMMYFUNCTION("""COMPUTED_VALUE"""),2.0)</f>
        <v>2</v>
      </c>
      <c r="CB76" s="3">
        <f>IFERROR(__xludf.DUMMYFUNCTION("""COMPUTED_VALUE"""),2.0)</f>
        <v>2</v>
      </c>
    </row>
    <row r="77">
      <c r="A77" s="3" t="str">
        <f>IFERROR(__xludf.DUMMYFUNCTION("""COMPUTED_VALUE"""),"")</f>
        <v/>
      </c>
      <c r="B77" s="3" t="str">
        <f>IFERROR(__xludf.DUMMYFUNCTION("""COMPUTED_VALUE"""),"Congo (Kinshasa)")</f>
        <v>Congo (Kinshasa)</v>
      </c>
      <c r="C77" s="3">
        <f>IFERROR(__xludf.DUMMYFUNCTION("""COMPUTED_VALUE"""),-4.0383)</f>
        <v>-4.0383</v>
      </c>
      <c r="D77" s="3">
        <f>IFERROR(__xludf.DUMMYFUNCTION("""COMPUTED_VALUE"""),21.7587)</f>
        <v>21.7587</v>
      </c>
      <c r="E77" s="3">
        <f>IFERROR(__xludf.DUMMYFUNCTION("""COMPUTED_VALUE"""),0.0)</f>
        <v>0</v>
      </c>
      <c r="F77" s="3">
        <f>IFERROR(__xludf.DUMMYFUNCTION("""COMPUTED_VALUE"""),0.0)</f>
        <v>0</v>
      </c>
      <c r="G77" s="3">
        <f>IFERROR(__xludf.DUMMYFUNCTION("""COMPUTED_VALUE"""),0.0)</f>
        <v>0</v>
      </c>
      <c r="H77" s="3">
        <f>IFERROR(__xludf.DUMMYFUNCTION("""COMPUTED_VALUE"""),0.0)</f>
        <v>0</v>
      </c>
      <c r="I77" s="3">
        <f>IFERROR(__xludf.DUMMYFUNCTION("""COMPUTED_VALUE"""),0.0)</f>
        <v>0</v>
      </c>
      <c r="J77" s="3">
        <f>IFERROR(__xludf.DUMMYFUNCTION("""COMPUTED_VALUE"""),0.0)</f>
        <v>0</v>
      </c>
      <c r="K77" s="3">
        <f>IFERROR(__xludf.DUMMYFUNCTION("""COMPUTED_VALUE"""),0.0)</f>
        <v>0</v>
      </c>
      <c r="L77" s="3">
        <f>IFERROR(__xludf.DUMMYFUNCTION("""COMPUTED_VALUE"""),0.0)</f>
        <v>0</v>
      </c>
      <c r="M77" s="3">
        <f>IFERROR(__xludf.DUMMYFUNCTION("""COMPUTED_VALUE"""),0.0)</f>
        <v>0</v>
      </c>
      <c r="N77" s="3">
        <f>IFERROR(__xludf.DUMMYFUNCTION("""COMPUTED_VALUE"""),0.0)</f>
        <v>0</v>
      </c>
      <c r="O77" s="3">
        <f>IFERROR(__xludf.DUMMYFUNCTION("""COMPUTED_VALUE"""),0.0)</f>
        <v>0</v>
      </c>
      <c r="P77" s="3">
        <f>IFERROR(__xludf.DUMMYFUNCTION("""COMPUTED_VALUE"""),0.0)</f>
        <v>0</v>
      </c>
      <c r="Q77" s="3">
        <f>IFERROR(__xludf.DUMMYFUNCTION("""COMPUTED_VALUE"""),0.0)</f>
        <v>0</v>
      </c>
      <c r="R77" s="3">
        <f>IFERROR(__xludf.DUMMYFUNCTION("""COMPUTED_VALUE"""),0.0)</f>
        <v>0</v>
      </c>
      <c r="S77" s="3">
        <f>IFERROR(__xludf.DUMMYFUNCTION("""COMPUTED_VALUE"""),0.0)</f>
        <v>0</v>
      </c>
      <c r="T77" s="3">
        <f>IFERROR(__xludf.DUMMYFUNCTION("""COMPUTED_VALUE"""),0.0)</f>
        <v>0</v>
      </c>
      <c r="U77" s="3">
        <f>IFERROR(__xludf.DUMMYFUNCTION("""COMPUTED_VALUE"""),0.0)</f>
        <v>0</v>
      </c>
      <c r="V77" s="3">
        <f>IFERROR(__xludf.DUMMYFUNCTION("""COMPUTED_VALUE"""),0.0)</f>
        <v>0</v>
      </c>
      <c r="W77" s="3">
        <f>IFERROR(__xludf.DUMMYFUNCTION("""COMPUTED_VALUE"""),0.0)</f>
        <v>0</v>
      </c>
      <c r="X77" s="3">
        <f>IFERROR(__xludf.DUMMYFUNCTION("""COMPUTED_VALUE"""),0.0)</f>
        <v>0</v>
      </c>
      <c r="Y77" s="3">
        <f>IFERROR(__xludf.DUMMYFUNCTION("""COMPUTED_VALUE"""),0.0)</f>
        <v>0</v>
      </c>
      <c r="Z77" s="3">
        <f>IFERROR(__xludf.DUMMYFUNCTION("""COMPUTED_VALUE"""),0.0)</f>
        <v>0</v>
      </c>
      <c r="AA77" s="3">
        <f>IFERROR(__xludf.DUMMYFUNCTION("""COMPUTED_VALUE"""),0.0)</f>
        <v>0</v>
      </c>
      <c r="AB77" s="3">
        <f>IFERROR(__xludf.DUMMYFUNCTION("""COMPUTED_VALUE"""),0.0)</f>
        <v>0</v>
      </c>
      <c r="AC77" s="3">
        <f>IFERROR(__xludf.DUMMYFUNCTION("""COMPUTED_VALUE"""),0.0)</f>
        <v>0</v>
      </c>
      <c r="AD77" s="3">
        <f>IFERROR(__xludf.DUMMYFUNCTION("""COMPUTED_VALUE"""),0.0)</f>
        <v>0</v>
      </c>
      <c r="AE77" s="3">
        <f>IFERROR(__xludf.DUMMYFUNCTION("""COMPUTED_VALUE"""),0.0)</f>
        <v>0</v>
      </c>
      <c r="AF77" s="3">
        <f>IFERROR(__xludf.DUMMYFUNCTION("""COMPUTED_VALUE"""),0.0)</f>
        <v>0</v>
      </c>
      <c r="AG77" s="3">
        <f>IFERROR(__xludf.DUMMYFUNCTION("""COMPUTED_VALUE"""),0.0)</f>
        <v>0</v>
      </c>
      <c r="AH77" s="3">
        <f>IFERROR(__xludf.DUMMYFUNCTION("""COMPUTED_VALUE"""),0.0)</f>
        <v>0</v>
      </c>
      <c r="AI77" s="3">
        <f>IFERROR(__xludf.DUMMYFUNCTION("""COMPUTED_VALUE"""),0.0)</f>
        <v>0</v>
      </c>
      <c r="AJ77" s="3">
        <f>IFERROR(__xludf.DUMMYFUNCTION("""COMPUTED_VALUE"""),0.0)</f>
        <v>0</v>
      </c>
      <c r="AK77" s="3">
        <f>IFERROR(__xludf.DUMMYFUNCTION("""COMPUTED_VALUE"""),0.0)</f>
        <v>0</v>
      </c>
      <c r="AL77" s="3">
        <f>IFERROR(__xludf.DUMMYFUNCTION("""COMPUTED_VALUE"""),0.0)</f>
        <v>0</v>
      </c>
      <c r="AM77" s="3">
        <f>IFERROR(__xludf.DUMMYFUNCTION("""COMPUTED_VALUE"""),0.0)</f>
        <v>0</v>
      </c>
      <c r="AN77" s="3">
        <f>IFERROR(__xludf.DUMMYFUNCTION("""COMPUTED_VALUE"""),0.0)</f>
        <v>0</v>
      </c>
      <c r="AO77" s="3">
        <f>IFERROR(__xludf.DUMMYFUNCTION("""COMPUTED_VALUE"""),0.0)</f>
        <v>0</v>
      </c>
      <c r="AP77" s="3">
        <f>IFERROR(__xludf.DUMMYFUNCTION("""COMPUTED_VALUE"""),0.0)</f>
        <v>0</v>
      </c>
      <c r="AQ77" s="3">
        <f>IFERROR(__xludf.DUMMYFUNCTION("""COMPUTED_VALUE"""),0.0)</f>
        <v>0</v>
      </c>
      <c r="AR77" s="3">
        <f>IFERROR(__xludf.DUMMYFUNCTION("""COMPUTED_VALUE"""),0.0)</f>
        <v>0</v>
      </c>
      <c r="AS77" s="3">
        <f>IFERROR(__xludf.DUMMYFUNCTION("""COMPUTED_VALUE"""),0.0)</f>
        <v>0</v>
      </c>
      <c r="AT77" s="3">
        <f>IFERROR(__xludf.DUMMYFUNCTION("""COMPUTED_VALUE"""),0.0)</f>
        <v>0</v>
      </c>
      <c r="AU77" s="3">
        <f>IFERROR(__xludf.DUMMYFUNCTION("""COMPUTED_VALUE"""),0.0)</f>
        <v>0</v>
      </c>
      <c r="AV77" s="3">
        <f>IFERROR(__xludf.DUMMYFUNCTION("""COMPUTED_VALUE"""),0.0)</f>
        <v>0</v>
      </c>
      <c r="AW77" s="3">
        <f>IFERROR(__xludf.DUMMYFUNCTION("""COMPUTED_VALUE"""),0.0)</f>
        <v>0</v>
      </c>
      <c r="AX77" s="3">
        <f>IFERROR(__xludf.DUMMYFUNCTION("""COMPUTED_VALUE"""),0.0)</f>
        <v>0</v>
      </c>
      <c r="AY77" s="3">
        <f>IFERROR(__xludf.DUMMYFUNCTION("""COMPUTED_VALUE"""),0.0)</f>
        <v>0</v>
      </c>
      <c r="AZ77" s="3">
        <f>IFERROR(__xludf.DUMMYFUNCTION("""COMPUTED_VALUE"""),0.0)</f>
        <v>0</v>
      </c>
      <c r="BA77" s="3">
        <f>IFERROR(__xludf.DUMMYFUNCTION("""COMPUTED_VALUE"""),0.0)</f>
        <v>0</v>
      </c>
      <c r="BB77" s="3">
        <f>IFERROR(__xludf.DUMMYFUNCTION("""COMPUTED_VALUE"""),0.0)</f>
        <v>0</v>
      </c>
      <c r="BC77" s="3">
        <f>IFERROR(__xludf.DUMMYFUNCTION("""COMPUTED_VALUE"""),0.0)</f>
        <v>0</v>
      </c>
      <c r="BD77" s="3">
        <f>IFERROR(__xludf.DUMMYFUNCTION("""COMPUTED_VALUE"""),0.0)</f>
        <v>0</v>
      </c>
      <c r="BE77" s="3">
        <f>IFERROR(__xludf.DUMMYFUNCTION("""COMPUTED_VALUE"""),0.0)</f>
        <v>0</v>
      </c>
      <c r="BF77" s="3">
        <f>IFERROR(__xludf.DUMMYFUNCTION("""COMPUTED_VALUE"""),0.0)</f>
        <v>0</v>
      </c>
      <c r="BG77" s="3">
        <f>IFERROR(__xludf.DUMMYFUNCTION("""COMPUTED_VALUE"""),0.0)</f>
        <v>0</v>
      </c>
      <c r="BH77" s="3">
        <f>IFERROR(__xludf.DUMMYFUNCTION("""COMPUTED_VALUE"""),0.0)</f>
        <v>0</v>
      </c>
      <c r="BI77" s="3">
        <f>IFERROR(__xludf.DUMMYFUNCTION("""COMPUTED_VALUE"""),0.0)</f>
        <v>0</v>
      </c>
      <c r="BJ77" s="3">
        <f>IFERROR(__xludf.DUMMYFUNCTION("""COMPUTED_VALUE"""),0.0)</f>
        <v>0</v>
      </c>
      <c r="BK77" s="3">
        <f>IFERROR(__xludf.DUMMYFUNCTION("""COMPUTED_VALUE"""),0.0)</f>
        <v>0</v>
      </c>
      <c r="BL77" s="3">
        <f>IFERROR(__xludf.DUMMYFUNCTION("""COMPUTED_VALUE"""),0.0)</f>
        <v>0</v>
      </c>
      <c r="BM77" s="3">
        <f>IFERROR(__xludf.DUMMYFUNCTION("""COMPUTED_VALUE"""),0.0)</f>
        <v>0</v>
      </c>
      <c r="BN77" s="3">
        <f>IFERROR(__xludf.DUMMYFUNCTION("""COMPUTED_VALUE"""),0.0)</f>
        <v>0</v>
      </c>
      <c r="BO77" s="3">
        <f>IFERROR(__xludf.DUMMYFUNCTION("""COMPUTED_VALUE"""),0.0)</f>
        <v>0</v>
      </c>
      <c r="BP77" s="3">
        <f>IFERROR(__xludf.DUMMYFUNCTION("""COMPUTED_VALUE"""),0.0)</f>
        <v>0</v>
      </c>
      <c r="BQ77" s="3">
        <f>IFERROR(__xludf.DUMMYFUNCTION("""COMPUTED_VALUE"""),0.0)</f>
        <v>0</v>
      </c>
      <c r="BR77" s="3">
        <f>IFERROR(__xludf.DUMMYFUNCTION("""COMPUTED_VALUE"""),2.0)</f>
        <v>2</v>
      </c>
      <c r="BS77" s="3">
        <f>IFERROR(__xludf.DUMMYFUNCTION("""COMPUTED_VALUE"""),2.0)</f>
        <v>2</v>
      </c>
      <c r="BT77" s="3">
        <f>IFERROR(__xludf.DUMMYFUNCTION("""COMPUTED_VALUE"""),2.0)</f>
        <v>2</v>
      </c>
      <c r="BU77" s="3">
        <f>IFERROR(__xludf.DUMMYFUNCTION("""COMPUTED_VALUE"""),2.0)</f>
        <v>2</v>
      </c>
      <c r="BV77" s="3">
        <f>IFERROR(__xludf.DUMMYFUNCTION("""COMPUTED_VALUE"""),2.0)</f>
        <v>2</v>
      </c>
      <c r="BW77" s="3">
        <f>IFERROR(__xludf.DUMMYFUNCTION("""COMPUTED_VALUE"""),3.0)</f>
        <v>3</v>
      </c>
      <c r="BX77" s="3">
        <f>IFERROR(__xludf.DUMMYFUNCTION("""COMPUTED_VALUE"""),3.0)</f>
        <v>3</v>
      </c>
      <c r="BY77" s="3">
        <f>IFERROR(__xludf.DUMMYFUNCTION("""COMPUTED_VALUE"""),3.0)</f>
        <v>3</v>
      </c>
      <c r="BZ77" s="3">
        <f>IFERROR(__xludf.DUMMYFUNCTION("""COMPUTED_VALUE"""),3.0)</f>
        <v>3</v>
      </c>
      <c r="CA77" s="3">
        <f>IFERROR(__xludf.DUMMYFUNCTION("""COMPUTED_VALUE"""),3.0)</f>
        <v>3</v>
      </c>
      <c r="CB77" s="3">
        <f>IFERROR(__xludf.DUMMYFUNCTION("""COMPUTED_VALUE"""),5.0)</f>
        <v>5</v>
      </c>
    </row>
    <row r="78">
      <c r="A78" s="3" t="str">
        <f>IFERROR(__xludf.DUMMYFUNCTION("""COMPUTED_VALUE"""),"")</f>
        <v/>
      </c>
      <c r="B78" s="3" t="str">
        <f>IFERROR(__xludf.DUMMYFUNCTION("""COMPUTED_VALUE"""),"Costa Rica")</f>
        <v>Costa Rica</v>
      </c>
      <c r="C78" s="3">
        <f>IFERROR(__xludf.DUMMYFUNCTION("""COMPUTED_VALUE"""),9.7489)</f>
        <v>9.7489</v>
      </c>
      <c r="D78" s="3">
        <f>IFERROR(__xludf.DUMMYFUNCTION("""COMPUTED_VALUE"""),-83.7534)</f>
        <v>-83.7534</v>
      </c>
      <c r="E78" s="3">
        <f>IFERROR(__xludf.DUMMYFUNCTION("""COMPUTED_VALUE"""),0.0)</f>
        <v>0</v>
      </c>
      <c r="F78" s="3">
        <f>IFERROR(__xludf.DUMMYFUNCTION("""COMPUTED_VALUE"""),0.0)</f>
        <v>0</v>
      </c>
      <c r="G78" s="3">
        <f>IFERROR(__xludf.DUMMYFUNCTION("""COMPUTED_VALUE"""),0.0)</f>
        <v>0</v>
      </c>
      <c r="H78" s="3">
        <f>IFERROR(__xludf.DUMMYFUNCTION("""COMPUTED_VALUE"""),0.0)</f>
        <v>0</v>
      </c>
      <c r="I78" s="3">
        <f>IFERROR(__xludf.DUMMYFUNCTION("""COMPUTED_VALUE"""),0.0)</f>
        <v>0</v>
      </c>
      <c r="J78" s="3">
        <f>IFERROR(__xludf.DUMMYFUNCTION("""COMPUTED_VALUE"""),0.0)</f>
        <v>0</v>
      </c>
      <c r="K78" s="3">
        <f>IFERROR(__xludf.DUMMYFUNCTION("""COMPUTED_VALUE"""),0.0)</f>
        <v>0</v>
      </c>
      <c r="L78" s="3">
        <f>IFERROR(__xludf.DUMMYFUNCTION("""COMPUTED_VALUE"""),0.0)</f>
        <v>0</v>
      </c>
      <c r="M78" s="3">
        <f>IFERROR(__xludf.DUMMYFUNCTION("""COMPUTED_VALUE"""),0.0)</f>
        <v>0</v>
      </c>
      <c r="N78" s="3">
        <f>IFERROR(__xludf.DUMMYFUNCTION("""COMPUTED_VALUE"""),0.0)</f>
        <v>0</v>
      </c>
      <c r="O78" s="3">
        <f>IFERROR(__xludf.DUMMYFUNCTION("""COMPUTED_VALUE"""),0.0)</f>
        <v>0</v>
      </c>
      <c r="P78" s="3">
        <f>IFERROR(__xludf.DUMMYFUNCTION("""COMPUTED_VALUE"""),0.0)</f>
        <v>0</v>
      </c>
      <c r="Q78" s="3">
        <f>IFERROR(__xludf.DUMMYFUNCTION("""COMPUTED_VALUE"""),0.0)</f>
        <v>0</v>
      </c>
      <c r="R78" s="3">
        <f>IFERROR(__xludf.DUMMYFUNCTION("""COMPUTED_VALUE"""),0.0)</f>
        <v>0</v>
      </c>
      <c r="S78" s="3">
        <f>IFERROR(__xludf.DUMMYFUNCTION("""COMPUTED_VALUE"""),0.0)</f>
        <v>0</v>
      </c>
      <c r="T78" s="3">
        <f>IFERROR(__xludf.DUMMYFUNCTION("""COMPUTED_VALUE"""),0.0)</f>
        <v>0</v>
      </c>
      <c r="U78" s="3">
        <f>IFERROR(__xludf.DUMMYFUNCTION("""COMPUTED_VALUE"""),0.0)</f>
        <v>0</v>
      </c>
      <c r="V78" s="3">
        <f>IFERROR(__xludf.DUMMYFUNCTION("""COMPUTED_VALUE"""),0.0)</f>
        <v>0</v>
      </c>
      <c r="W78" s="3">
        <f>IFERROR(__xludf.DUMMYFUNCTION("""COMPUTED_VALUE"""),0.0)</f>
        <v>0</v>
      </c>
      <c r="X78" s="3">
        <f>IFERROR(__xludf.DUMMYFUNCTION("""COMPUTED_VALUE"""),0.0)</f>
        <v>0</v>
      </c>
      <c r="Y78" s="3">
        <f>IFERROR(__xludf.DUMMYFUNCTION("""COMPUTED_VALUE"""),0.0)</f>
        <v>0</v>
      </c>
      <c r="Z78" s="3">
        <f>IFERROR(__xludf.DUMMYFUNCTION("""COMPUTED_VALUE"""),0.0)</f>
        <v>0</v>
      </c>
      <c r="AA78" s="3">
        <f>IFERROR(__xludf.DUMMYFUNCTION("""COMPUTED_VALUE"""),0.0)</f>
        <v>0</v>
      </c>
      <c r="AB78" s="3">
        <f>IFERROR(__xludf.DUMMYFUNCTION("""COMPUTED_VALUE"""),0.0)</f>
        <v>0</v>
      </c>
      <c r="AC78" s="3">
        <f>IFERROR(__xludf.DUMMYFUNCTION("""COMPUTED_VALUE"""),0.0)</f>
        <v>0</v>
      </c>
      <c r="AD78" s="3">
        <f>IFERROR(__xludf.DUMMYFUNCTION("""COMPUTED_VALUE"""),0.0)</f>
        <v>0</v>
      </c>
      <c r="AE78" s="3">
        <f>IFERROR(__xludf.DUMMYFUNCTION("""COMPUTED_VALUE"""),0.0)</f>
        <v>0</v>
      </c>
      <c r="AF78" s="3">
        <f>IFERROR(__xludf.DUMMYFUNCTION("""COMPUTED_VALUE"""),0.0)</f>
        <v>0</v>
      </c>
      <c r="AG78" s="3">
        <f>IFERROR(__xludf.DUMMYFUNCTION("""COMPUTED_VALUE"""),0.0)</f>
        <v>0</v>
      </c>
      <c r="AH78" s="3">
        <f>IFERROR(__xludf.DUMMYFUNCTION("""COMPUTED_VALUE"""),0.0)</f>
        <v>0</v>
      </c>
      <c r="AI78" s="3">
        <f>IFERROR(__xludf.DUMMYFUNCTION("""COMPUTED_VALUE"""),0.0)</f>
        <v>0</v>
      </c>
      <c r="AJ78" s="3">
        <f>IFERROR(__xludf.DUMMYFUNCTION("""COMPUTED_VALUE"""),0.0)</f>
        <v>0</v>
      </c>
      <c r="AK78" s="3">
        <f>IFERROR(__xludf.DUMMYFUNCTION("""COMPUTED_VALUE"""),0.0)</f>
        <v>0</v>
      </c>
      <c r="AL78" s="3">
        <f>IFERROR(__xludf.DUMMYFUNCTION("""COMPUTED_VALUE"""),0.0)</f>
        <v>0</v>
      </c>
      <c r="AM78" s="3">
        <f>IFERROR(__xludf.DUMMYFUNCTION("""COMPUTED_VALUE"""),0.0)</f>
        <v>0</v>
      </c>
      <c r="AN78" s="3">
        <f>IFERROR(__xludf.DUMMYFUNCTION("""COMPUTED_VALUE"""),0.0)</f>
        <v>0</v>
      </c>
      <c r="AO78" s="3">
        <f>IFERROR(__xludf.DUMMYFUNCTION("""COMPUTED_VALUE"""),0.0)</f>
        <v>0</v>
      </c>
      <c r="AP78" s="3">
        <f>IFERROR(__xludf.DUMMYFUNCTION("""COMPUTED_VALUE"""),0.0)</f>
        <v>0</v>
      </c>
      <c r="AQ78" s="3">
        <f>IFERROR(__xludf.DUMMYFUNCTION("""COMPUTED_VALUE"""),0.0)</f>
        <v>0</v>
      </c>
      <c r="AR78" s="3">
        <f>IFERROR(__xludf.DUMMYFUNCTION("""COMPUTED_VALUE"""),0.0)</f>
        <v>0</v>
      </c>
      <c r="AS78" s="3">
        <f>IFERROR(__xludf.DUMMYFUNCTION("""COMPUTED_VALUE"""),0.0)</f>
        <v>0</v>
      </c>
      <c r="AT78" s="3">
        <f>IFERROR(__xludf.DUMMYFUNCTION("""COMPUTED_VALUE"""),0.0)</f>
        <v>0</v>
      </c>
      <c r="AU78" s="3">
        <f>IFERROR(__xludf.DUMMYFUNCTION("""COMPUTED_VALUE"""),0.0)</f>
        <v>0</v>
      </c>
      <c r="AV78" s="3">
        <f>IFERROR(__xludf.DUMMYFUNCTION("""COMPUTED_VALUE"""),0.0)</f>
        <v>0</v>
      </c>
      <c r="AW78" s="3">
        <f>IFERROR(__xludf.DUMMYFUNCTION("""COMPUTED_VALUE"""),0.0)</f>
        <v>0</v>
      </c>
      <c r="AX78" s="3">
        <f>IFERROR(__xludf.DUMMYFUNCTION("""COMPUTED_VALUE"""),0.0)</f>
        <v>0</v>
      </c>
      <c r="AY78" s="3">
        <f>IFERROR(__xludf.DUMMYFUNCTION("""COMPUTED_VALUE"""),0.0)</f>
        <v>0</v>
      </c>
      <c r="AZ78" s="3">
        <f>IFERROR(__xludf.DUMMYFUNCTION("""COMPUTED_VALUE"""),0.0)</f>
        <v>0</v>
      </c>
      <c r="BA78" s="3">
        <f>IFERROR(__xludf.DUMMYFUNCTION("""COMPUTED_VALUE"""),0.0)</f>
        <v>0</v>
      </c>
      <c r="BB78" s="3">
        <f>IFERROR(__xludf.DUMMYFUNCTION("""COMPUTED_VALUE"""),0.0)</f>
        <v>0</v>
      </c>
      <c r="BC78" s="3">
        <f>IFERROR(__xludf.DUMMYFUNCTION("""COMPUTED_VALUE"""),0.0)</f>
        <v>0</v>
      </c>
      <c r="BD78" s="3">
        <f>IFERROR(__xludf.DUMMYFUNCTION("""COMPUTED_VALUE"""),0.0)</f>
        <v>0</v>
      </c>
      <c r="BE78" s="3">
        <f>IFERROR(__xludf.DUMMYFUNCTION("""COMPUTED_VALUE"""),0.0)</f>
        <v>0</v>
      </c>
      <c r="BF78" s="3">
        <f>IFERROR(__xludf.DUMMYFUNCTION("""COMPUTED_VALUE"""),0.0)</f>
        <v>0</v>
      </c>
      <c r="BG78" s="3">
        <f>IFERROR(__xludf.DUMMYFUNCTION("""COMPUTED_VALUE"""),0.0)</f>
        <v>0</v>
      </c>
      <c r="BH78" s="3">
        <f>IFERROR(__xludf.DUMMYFUNCTION("""COMPUTED_VALUE"""),0.0)</f>
        <v>0</v>
      </c>
      <c r="BI78" s="3">
        <f>IFERROR(__xludf.DUMMYFUNCTION("""COMPUTED_VALUE"""),0.0)</f>
        <v>0</v>
      </c>
      <c r="BJ78" s="3">
        <f>IFERROR(__xludf.DUMMYFUNCTION("""COMPUTED_VALUE"""),0.0)</f>
        <v>0</v>
      </c>
      <c r="BK78" s="3">
        <f>IFERROR(__xludf.DUMMYFUNCTION("""COMPUTED_VALUE"""),0.0)</f>
        <v>0</v>
      </c>
      <c r="BL78" s="3">
        <f>IFERROR(__xludf.DUMMYFUNCTION("""COMPUTED_VALUE"""),2.0)</f>
        <v>2</v>
      </c>
      <c r="BM78" s="3">
        <f>IFERROR(__xludf.DUMMYFUNCTION("""COMPUTED_VALUE"""),2.0)</f>
        <v>2</v>
      </c>
      <c r="BN78" s="3">
        <f>IFERROR(__xludf.DUMMYFUNCTION("""COMPUTED_VALUE"""),2.0)</f>
        <v>2</v>
      </c>
      <c r="BO78" s="3">
        <f>IFERROR(__xludf.DUMMYFUNCTION("""COMPUTED_VALUE"""),2.0)</f>
        <v>2</v>
      </c>
      <c r="BP78" s="3">
        <f>IFERROR(__xludf.DUMMYFUNCTION("""COMPUTED_VALUE"""),2.0)</f>
        <v>2</v>
      </c>
      <c r="BQ78" s="3">
        <f>IFERROR(__xludf.DUMMYFUNCTION("""COMPUTED_VALUE"""),2.0)</f>
        <v>2</v>
      </c>
      <c r="BR78" s="3">
        <f>IFERROR(__xludf.DUMMYFUNCTION("""COMPUTED_VALUE"""),3.0)</f>
        <v>3</v>
      </c>
      <c r="BS78" s="3">
        <f>IFERROR(__xludf.DUMMYFUNCTION("""COMPUTED_VALUE"""),3.0)</f>
        <v>3</v>
      </c>
      <c r="BT78" s="3">
        <f>IFERROR(__xludf.DUMMYFUNCTION("""COMPUTED_VALUE"""),3.0)</f>
        <v>3</v>
      </c>
      <c r="BU78" s="3">
        <f>IFERROR(__xludf.DUMMYFUNCTION("""COMPUTED_VALUE"""),4.0)</f>
        <v>4</v>
      </c>
      <c r="BV78" s="3">
        <f>IFERROR(__xludf.DUMMYFUNCTION("""COMPUTED_VALUE"""),4.0)</f>
        <v>4</v>
      </c>
      <c r="BW78" s="3">
        <f>IFERROR(__xludf.DUMMYFUNCTION("""COMPUTED_VALUE"""),4.0)</f>
        <v>4</v>
      </c>
      <c r="BX78" s="3">
        <f>IFERROR(__xludf.DUMMYFUNCTION("""COMPUTED_VALUE"""),6.0)</f>
        <v>6</v>
      </c>
      <c r="BY78" s="3">
        <f>IFERROR(__xludf.DUMMYFUNCTION("""COMPUTED_VALUE"""),11.0)</f>
        <v>11</v>
      </c>
      <c r="BZ78" s="3">
        <f>IFERROR(__xludf.DUMMYFUNCTION("""COMPUTED_VALUE"""),13.0)</f>
        <v>13</v>
      </c>
      <c r="CA78" s="3">
        <f>IFERROR(__xludf.DUMMYFUNCTION("""COMPUTED_VALUE"""),16.0)</f>
        <v>16</v>
      </c>
      <c r="CB78" s="3">
        <f>IFERROR(__xludf.DUMMYFUNCTION("""COMPUTED_VALUE"""),18.0)</f>
        <v>18</v>
      </c>
    </row>
    <row r="79">
      <c r="A79" s="3" t="str">
        <f>IFERROR(__xludf.DUMMYFUNCTION("""COMPUTED_VALUE"""),"")</f>
        <v/>
      </c>
      <c r="B79" s="3" t="str">
        <f>IFERROR(__xludf.DUMMYFUNCTION("""COMPUTED_VALUE"""),"Cote d'Ivoire")</f>
        <v>Cote d'Ivoire</v>
      </c>
      <c r="C79" s="3">
        <f>IFERROR(__xludf.DUMMYFUNCTION("""COMPUTED_VALUE"""),7.54)</f>
        <v>7.54</v>
      </c>
      <c r="D79" s="3">
        <f>IFERROR(__xludf.DUMMYFUNCTION("""COMPUTED_VALUE"""),-5.5471)</f>
        <v>-5.5471</v>
      </c>
      <c r="E79" s="3">
        <f>IFERROR(__xludf.DUMMYFUNCTION("""COMPUTED_VALUE"""),0.0)</f>
        <v>0</v>
      </c>
      <c r="F79" s="3">
        <f>IFERROR(__xludf.DUMMYFUNCTION("""COMPUTED_VALUE"""),0.0)</f>
        <v>0</v>
      </c>
      <c r="G79" s="3">
        <f>IFERROR(__xludf.DUMMYFUNCTION("""COMPUTED_VALUE"""),0.0)</f>
        <v>0</v>
      </c>
      <c r="H79" s="3">
        <f>IFERROR(__xludf.DUMMYFUNCTION("""COMPUTED_VALUE"""),0.0)</f>
        <v>0</v>
      </c>
      <c r="I79" s="3">
        <f>IFERROR(__xludf.DUMMYFUNCTION("""COMPUTED_VALUE"""),0.0)</f>
        <v>0</v>
      </c>
      <c r="J79" s="3">
        <f>IFERROR(__xludf.DUMMYFUNCTION("""COMPUTED_VALUE"""),0.0)</f>
        <v>0</v>
      </c>
      <c r="K79" s="3">
        <f>IFERROR(__xludf.DUMMYFUNCTION("""COMPUTED_VALUE"""),0.0)</f>
        <v>0</v>
      </c>
      <c r="L79" s="3">
        <f>IFERROR(__xludf.DUMMYFUNCTION("""COMPUTED_VALUE"""),0.0)</f>
        <v>0</v>
      </c>
      <c r="M79" s="3">
        <f>IFERROR(__xludf.DUMMYFUNCTION("""COMPUTED_VALUE"""),0.0)</f>
        <v>0</v>
      </c>
      <c r="N79" s="3">
        <f>IFERROR(__xludf.DUMMYFUNCTION("""COMPUTED_VALUE"""),0.0)</f>
        <v>0</v>
      </c>
      <c r="O79" s="3">
        <f>IFERROR(__xludf.DUMMYFUNCTION("""COMPUTED_VALUE"""),0.0)</f>
        <v>0</v>
      </c>
      <c r="P79" s="3">
        <f>IFERROR(__xludf.DUMMYFUNCTION("""COMPUTED_VALUE"""),0.0)</f>
        <v>0</v>
      </c>
      <c r="Q79" s="3">
        <f>IFERROR(__xludf.DUMMYFUNCTION("""COMPUTED_VALUE"""),0.0)</f>
        <v>0</v>
      </c>
      <c r="R79" s="3">
        <f>IFERROR(__xludf.DUMMYFUNCTION("""COMPUTED_VALUE"""),0.0)</f>
        <v>0</v>
      </c>
      <c r="S79" s="3">
        <f>IFERROR(__xludf.DUMMYFUNCTION("""COMPUTED_VALUE"""),0.0)</f>
        <v>0</v>
      </c>
      <c r="T79" s="3">
        <f>IFERROR(__xludf.DUMMYFUNCTION("""COMPUTED_VALUE"""),0.0)</f>
        <v>0</v>
      </c>
      <c r="U79" s="3">
        <f>IFERROR(__xludf.DUMMYFUNCTION("""COMPUTED_VALUE"""),0.0)</f>
        <v>0</v>
      </c>
      <c r="V79" s="3">
        <f>IFERROR(__xludf.DUMMYFUNCTION("""COMPUTED_VALUE"""),0.0)</f>
        <v>0</v>
      </c>
      <c r="W79" s="3">
        <f>IFERROR(__xludf.DUMMYFUNCTION("""COMPUTED_VALUE"""),0.0)</f>
        <v>0</v>
      </c>
      <c r="X79" s="3">
        <f>IFERROR(__xludf.DUMMYFUNCTION("""COMPUTED_VALUE"""),0.0)</f>
        <v>0</v>
      </c>
      <c r="Y79" s="3">
        <f>IFERROR(__xludf.DUMMYFUNCTION("""COMPUTED_VALUE"""),0.0)</f>
        <v>0</v>
      </c>
      <c r="Z79" s="3">
        <f>IFERROR(__xludf.DUMMYFUNCTION("""COMPUTED_VALUE"""),0.0)</f>
        <v>0</v>
      </c>
      <c r="AA79" s="3">
        <f>IFERROR(__xludf.DUMMYFUNCTION("""COMPUTED_VALUE"""),0.0)</f>
        <v>0</v>
      </c>
      <c r="AB79" s="3">
        <f>IFERROR(__xludf.DUMMYFUNCTION("""COMPUTED_VALUE"""),0.0)</f>
        <v>0</v>
      </c>
      <c r="AC79" s="3">
        <f>IFERROR(__xludf.DUMMYFUNCTION("""COMPUTED_VALUE"""),0.0)</f>
        <v>0</v>
      </c>
      <c r="AD79" s="3">
        <f>IFERROR(__xludf.DUMMYFUNCTION("""COMPUTED_VALUE"""),0.0)</f>
        <v>0</v>
      </c>
      <c r="AE79" s="3">
        <f>IFERROR(__xludf.DUMMYFUNCTION("""COMPUTED_VALUE"""),0.0)</f>
        <v>0</v>
      </c>
      <c r="AF79" s="3">
        <f>IFERROR(__xludf.DUMMYFUNCTION("""COMPUTED_VALUE"""),0.0)</f>
        <v>0</v>
      </c>
      <c r="AG79" s="3">
        <f>IFERROR(__xludf.DUMMYFUNCTION("""COMPUTED_VALUE"""),0.0)</f>
        <v>0</v>
      </c>
      <c r="AH79" s="3">
        <f>IFERROR(__xludf.DUMMYFUNCTION("""COMPUTED_VALUE"""),0.0)</f>
        <v>0</v>
      </c>
      <c r="AI79" s="3">
        <f>IFERROR(__xludf.DUMMYFUNCTION("""COMPUTED_VALUE"""),0.0)</f>
        <v>0</v>
      </c>
      <c r="AJ79" s="3">
        <f>IFERROR(__xludf.DUMMYFUNCTION("""COMPUTED_VALUE"""),0.0)</f>
        <v>0</v>
      </c>
      <c r="AK79" s="3">
        <f>IFERROR(__xludf.DUMMYFUNCTION("""COMPUTED_VALUE"""),0.0)</f>
        <v>0</v>
      </c>
      <c r="AL79" s="3">
        <f>IFERROR(__xludf.DUMMYFUNCTION("""COMPUTED_VALUE"""),0.0)</f>
        <v>0</v>
      </c>
      <c r="AM79" s="3">
        <f>IFERROR(__xludf.DUMMYFUNCTION("""COMPUTED_VALUE"""),0.0)</f>
        <v>0</v>
      </c>
      <c r="AN79" s="3">
        <f>IFERROR(__xludf.DUMMYFUNCTION("""COMPUTED_VALUE"""),0.0)</f>
        <v>0</v>
      </c>
      <c r="AO79" s="3">
        <f>IFERROR(__xludf.DUMMYFUNCTION("""COMPUTED_VALUE"""),0.0)</f>
        <v>0</v>
      </c>
      <c r="AP79" s="3">
        <f>IFERROR(__xludf.DUMMYFUNCTION("""COMPUTED_VALUE"""),0.0)</f>
        <v>0</v>
      </c>
      <c r="AQ79" s="3">
        <f>IFERROR(__xludf.DUMMYFUNCTION("""COMPUTED_VALUE"""),0.0)</f>
        <v>0</v>
      </c>
      <c r="AR79" s="3">
        <f>IFERROR(__xludf.DUMMYFUNCTION("""COMPUTED_VALUE"""),0.0)</f>
        <v>0</v>
      </c>
      <c r="AS79" s="3">
        <f>IFERROR(__xludf.DUMMYFUNCTION("""COMPUTED_VALUE"""),0.0)</f>
        <v>0</v>
      </c>
      <c r="AT79" s="3">
        <f>IFERROR(__xludf.DUMMYFUNCTION("""COMPUTED_VALUE"""),0.0)</f>
        <v>0</v>
      </c>
      <c r="AU79" s="3">
        <f>IFERROR(__xludf.DUMMYFUNCTION("""COMPUTED_VALUE"""),0.0)</f>
        <v>0</v>
      </c>
      <c r="AV79" s="3">
        <f>IFERROR(__xludf.DUMMYFUNCTION("""COMPUTED_VALUE"""),0.0)</f>
        <v>0</v>
      </c>
      <c r="AW79" s="3">
        <f>IFERROR(__xludf.DUMMYFUNCTION("""COMPUTED_VALUE"""),0.0)</f>
        <v>0</v>
      </c>
      <c r="AX79" s="3">
        <f>IFERROR(__xludf.DUMMYFUNCTION("""COMPUTED_VALUE"""),0.0)</f>
        <v>0</v>
      </c>
      <c r="AY79" s="3">
        <f>IFERROR(__xludf.DUMMYFUNCTION("""COMPUTED_VALUE"""),0.0)</f>
        <v>0</v>
      </c>
      <c r="AZ79" s="3">
        <f>IFERROR(__xludf.DUMMYFUNCTION("""COMPUTED_VALUE"""),0.0)</f>
        <v>0</v>
      </c>
      <c r="BA79" s="3">
        <f>IFERROR(__xludf.DUMMYFUNCTION("""COMPUTED_VALUE"""),0.0)</f>
        <v>0</v>
      </c>
      <c r="BB79" s="3">
        <f>IFERROR(__xludf.DUMMYFUNCTION("""COMPUTED_VALUE"""),0.0)</f>
        <v>0</v>
      </c>
      <c r="BC79" s="3">
        <f>IFERROR(__xludf.DUMMYFUNCTION("""COMPUTED_VALUE"""),0.0)</f>
        <v>0</v>
      </c>
      <c r="BD79" s="3">
        <f>IFERROR(__xludf.DUMMYFUNCTION("""COMPUTED_VALUE"""),0.0)</f>
        <v>0</v>
      </c>
      <c r="BE79" s="3">
        <f>IFERROR(__xludf.DUMMYFUNCTION("""COMPUTED_VALUE"""),0.0)</f>
        <v>0</v>
      </c>
      <c r="BF79" s="3">
        <f>IFERROR(__xludf.DUMMYFUNCTION("""COMPUTED_VALUE"""),0.0)</f>
        <v>0</v>
      </c>
      <c r="BG79" s="3">
        <f>IFERROR(__xludf.DUMMYFUNCTION("""COMPUTED_VALUE"""),0.0)</f>
        <v>0</v>
      </c>
      <c r="BH79" s="3">
        <f>IFERROR(__xludf.DUMMYFUNCTION("""COMPUTED_VALUE"""),1.0)</f>
        <v>1</v>
      </c>
      <c r="BI79" s="3">
        <f>IFERROR(__xludf.DUMMYFUNCTION("""COMPUTED_VALUE"""),1.0)</f>
        <v>1</v>
      </c>
      <c r="BJ79" s="3">
        <f>IFERROR(__xludf.DUMMYFUNCTION("""COMPUTED_VALUE"""),1.0)</f>
        <v>1</v>
      </c>
      <c r="BK79" s="3">
        <f>IFERROR(__xludf.DUMMYFUNCTION("""COMPUTED_VALUE"""),1.0)</f>
        <v>1</v>
      </c>
      <c r="BL79" s="3">
        <f>IFERROR(__xludf.DUMMYFUNCTION("""COMPUTED_VALUE"""),1.0)</f>
        <v>1</v>
      </c>
      <c r="BM79" s="3">
        <f>IFERROR(__xludf.DUMMYFUNCTION("""COMPUTED_VALUE"""),1.0)</f>
        <v>1</v>
      </c>
      <c r="BN79" s="3">
        <f>IFERROR(__xludf.DUMMYFUNCTION("""COMPUTED_VALUE"""),1.0)</f>
        <v>1</v>
      </c>
      <c r="BO79" s="3">
        <f>IFERROR(__xludf.DUMMYFUNCTION("""COMPUTED_VALUE"""),2.0)</f>
        <v>2</v>
      </c>
      <c r="BP79" s="3">
        <f>IFERROR(__xludf.DUMMYFUNCTION("""COMPUTED_VALUE"""),3.0)</f>
        <v>3</v>
      </c>
      <c r="BQ79" s="3">
        <f>IFERROR(__xludf.DUMMYFUNCTION("""COMPUTED_VALUE"""),3.0)</f>
        <v>3</v>
      </c>
      <c r="BR79" s="3">
        <f>IFERROR(__xludf.DUMMYFUNCTION("""COMPUTED_VALUE"""),3.0)</f>
        <v>3</v>
      </c>
      <c r="BS79" s="3">
        <f>IFERROR(__xludf.DUMMYFUNCTION("""COMPUTED_VALUE"""),3.0)</f>
        <v>3</v>
      </c>
      <c r="BT79" s="3">
        <f>IFERROR(__xludf.DUMMYFUNCTION("""COMPUTED_VALUE"""),4.0)</f>
        <v>4</v>
      </c>
      <c r="BU79" s="3">
        <f>IFERROR(__xludf.DUMMYFUNCTION("""COMPUTED_VALUE"""),6.0)</f>
        <v>6</v>
      </c>
      <c r="BV79" s="3">
        <f>IFERROR(__xludf.DUMMYFUNCTION("""COMPUTED_VALUE"""),7.0)</f>
        <v>7</v>
      </c>
      <c r="BW79" s="3">
        <f>IFERROR(__xludf.DUMMYFUNCTION("""COMPUTED_VALUE"""),9.0)</f>
        <v>9</v>
      </c>
      <c r="BX79" s="3">
        <f>IFERROR(__xludf.DUMMYFUNCTION("""COMPUTED_VALUE"""),15.0)</f>
        <v>15</v>
      </c>
      <c r="BY79" s="3">
        <f>IFERROR(__xludf.DUMMYFUNCTION("""COMPUTED_VALUE"""),19.0)</f>
        <v>19</v>
      </c>
      <c r="BZ79" s="3">
        <f>IFERROR(__xludf.DUMMYFUNCTION("""COMPUTED_VALUE"""),25.0)</f>
        <v>25</v>
      </c>
      <c r="CA79" s="3">
        <f>IFERROR(__xludf.DUMMYFUNCTION("""COMPUTED_VALUE"""),37.0)</f>
        <v>37</v>
      </c>
      <c r="CB79" s="3">
        <f>IFERROR(__xludf.DUMMYFUNCTION("""COMPUTED_VALUE"""),41.0)</f>
        <v>41</v>
      </c>
    </row>
    <row r="80">
      <c r="A80" s="3" t="str">
        <f>IFERROR(__xludf.DUMMYFUNCTION("""COMPUTED_VALUE"""),"")</f>
        <v/>
      </c>
      <c r="B80" s="3" t="str">
        <f>IFERROR(__xludf.DUMMYFUNCTION("""COMPUTED_VALUE"""),"Croatia")</f>
        <v>Croatia</v>
      </c>
      <c r="C80" s="3">
        <f>IFERROR(__xludf.DUMMYFUNCTION("""COMPUTED_VALUE"""),45.1)</f>
        <v>45.1</v>
      </c>
      <c r="D80" s="3">
        <f>IFERROR(__xludf.DUMMYFUNCTION("""COMPUTED_VALUE"""),15.2)</f>
        <v>15.2</v>
      </c>
      <c r="E80" s="3">
        <f>IFERROR(__xludf.DUMMYFUNCTION("""COMPUTED_VALUE"""),0.0)</f>
        <v>0</v>
      </c>
      <c r="F80" s="3">
        <f>IFERROR(__xludf.DUMMYFUNCTION("""COMPUTED_VALUE"""),0.0)</f>
        <v>0</v>
      </c>
      <c r="G80" s="3">
        <f>IFERROR(__xludf.DUMMYFUNCTION("""COMPUTED_VALUE"""),0.0)</f>
        <v>0</v>
      </c>
      <c r="H80" s="3">
        <f>IFERROR(__xludf.DUMMYFUNCTION("""COMPUTED_VALUE"""),0.0)</f>
        <v>0</v>
      </c>
      <c r="I80" s="3">
        <f>IFERROR(__xludf.DUMMYFUNCTION("""COMPUTED_VALUE"""),0.0)</f>
        <v>0</v>
      </c>
      <c r="J80" s="3">
        <f>IFERROR(__xludf.DUMMYFUNCTION("""COMPUTED_VALUE"""),0.0)</f>
        <v>0</v>
      </c>
      <c r="K80" s="3">
        <f>IFERROR(__xludf.DUMMYFUNCTION("""COMPUTED_VALUE"""),0.0)</f>
        <v>0</v>
      </c>
      <c r="L80" s="3">
        <f>IFERROR(__xludf.DUMMYFUNCTION("""COMPUTED_VALUE"""),0.0)</f>
        <v>0</v>
      </c>
      <c r="M80" s="3">
        <f>IFERROR(__xludf.DUMMYFUNCTION("""COMPUTED_VALUE"""),0.0)</f>
        <v>0</v>
      </c>
      <c r="N80" s="3">
        <f>IFERROR(__xludf.DUMMYFUNCTION("""COMPUTED_VALUE"""),0.0)</f>
        <v>0</v>
      </c>
      <c r="O80" s="3">
        <f>IFERROR(__xludf.DUMMYFUNCTION("""COMPUTED_VALUE"""),0.0)</f>
        <v>0</v>
      </c>
      <c r="P80" s="3">
        <f>IFERROR(__xludf.DUMMYFUNCTION("""COMPUTED_VALUE"""),0.0)</f>
        <v>0</v>
      </c>
      <c r="Q80" s="3">
        <f>IFERROR(__xludf.DUMMYFUNCTION("""COMPUTED_VALUE"""),0.0)</f>
        <v>0</v>
      </c>
      <c r="R80" s="3">
        <f>IFERROR(__xludf.DUMMYFUNCTION("""COMPUTED_VALUE"""),0.0)</f>
        <v>0</v>
      </c>
      <c r="S80" s="3">
        <f>IFERROR(__xludf.DUMMYFUNCTION("""COMPUTED_VALUE"""),0.0)</f>
        <v>0</v>
      </c>
      <c r="T80" s="3">
        <f>IFERROR(__xludf.DUMMYFUNCTION("""COMPUTED_VALUE"""),0.0)</f>
        <v>0</v>
      </c>
      <c r="U80" s="3">
        <f>IFERROR(__xludf.DUMMYFUNCTION("""COMPUTED_VALUE"""),0.0)</f>
        <v>0</v>
      </c>
      <c r="V80" s="3">
        <f>IFERROR(__xludf.DUMMYFUNCTION("""COMPUTED_VALUE"""),0.0)</f>
        <v>0</v>
      </c>
      <c r="W80" s="3">
        <f>IFERROR(__xludf.DUMMYFUNCTION("""COMPUTED_VALUE"""),0.0)</f>
        <v>0</v>
      </c>
      <c r="X80" s="3">
        <f>IFERROR(__xludf.DUMMYFUNCTION("""COMPUTED_VALUE"""),0.0)</f>
        <v>0</v>
      </c>
      <c r="Y80" s="3">
        <f>IFERROR(__xludf.DUMMYFUNCTION("""COMPUTED_VALUE"""),0.0)</f>
        <v>0</v>
      </c>
      <c r="Z80" s="3">
        <f>IFERROR(__xludf.DUMMYFUNCTION("""COMPUTED_VALUE"""),0.0)</f>
        <v>0</v>
      </c>
      <c r="AA80" s="3">
        <f>IFERROR(__xludf.DUMMYFUNCTION("""COMPUTED_VALUE"""),0.0)</f>
        <v>0</v>
      </c>
      <c r="AB80" s="3">
        <f>IFERROR(__xludf.DUMMYFUNCTION("""COMPUTED_VALUE"""),0.0)</f>
        <v>0</v>
      </c>
      <c r="AC80" s="3">
        <f>IFERROR(__xludf.DUMMYFUNCTION("""COMPUTED_VALUE"""),0.0)</f>
        <v>0</v>
      </c>
      <c r="AD80" s="3">
        <f>IFERROR(__xludf.DUMMYFUNCTION("""COMPUTED_VALUE"""),0.0)</f>
        <v>0</v>
      </c>
      <c r="AE80" s="3">
        <f>IFERROR(__xludf.DUMMYFUNCTION("""COMPUTED_VALUE"""),0.0)</f>
        <v>0</v>
      </c>
      <c r="AF80" s="3">
        <f>IFERROR(__xludf.DUMMYFUNCTION("""COMPUTED_VALUE"""),0.0)</f>
        <v>0</v>
      </c>
      <c r="AG80" s="3">
        <f>IFERROR(__xludf.DUMMYFUNCTION("""COMPUTED_VALUE"""),0.0)</f>
        <v>0</v>
      </c>
      <c r="AH80" s="3">
        <f>IFERROR(__xludf.DUMMYFUNCTION("""COMPUTED_VALUE"""),0.0)</f>
        <v>0</v>
      </c>
      <c r="AI80" s="3">
        <f>IFERROR(__xludf.DUMMYFUNCTION("""COMPUTED_VALUE"""),0.0)</f>
        <v>0</v>
      </c>
      <c r="AJ80" s="3">
        <f>IFERROR(__xludf.DUMMYFUNCTION("""COMPUTED_VALUE"""),0.0)</f>
        <v>0</v>
      </c>
      <c r="AK80" s="3">
        <f>IFERROR(__xludf.DUMMYFUNCTION("""COMPUTED_VALUE"""),0.0)</f>
        <v>0</v>
      </c>
      <c r="AL80" s="3">
        <f>IFERROR(__xludf.DUMMYFUNCTION("""COMPUTED_VALUE"""),0.0)</f>
        <v>0</v>
      </c>
      <c r="AM80" s="3">
        <f>IFERROR(__xludf.DUMMYFUNCTION("""COMPUTED_VALUE"""),0.0)</f>
        <v>0</v>
      </c>
      <c r="AN80" s="3">
        <f>IFERROR(__xludf.DUMMYFUNCTION("""COMPUTED_VALUE"""),0.0)</f>
        <v>0</v>
      </c>
      <c r="AO80" s="3">
        <f>IFERROR(__xludf.DUMMYFUNCTION("""COMPUTED_VALUE"""),0.0)</f>
        <v>0</v>
      </c>
      <c r="AP80" s="3">
        <f>IFERROR(__xludf.DUMMYFUNCTION("""COMPUTED_VALUE"""),0.0)</f>
        <v>0</v>
      </c>
      <c r="AQ80" s="3">
        <f>IFERROR(__xludf.DUMMYFUNCTION("""COMPUTED_VALUE"""),0.0)</f>
        <v>0</v>
      </c>
      <c r="AR80" s="3">
        <f>IFERROR(__xludf.DUMMYFUNCTION("""COMPUTED_VALUE"""),0.0)</f>
        <v>0</v>
      </c>
      <c r="AS80" s="3">
        <f>IFERROR(__xludf.DUMMYFUNCTION("""COMPUTED_VALUE"""),0.0)</f>
        <v>0</v>
      </c>
      <c r="AT80" s="3">
        <f>IFERROR(__xludf.DUMMYFUNCTION("""COMPUTED_VALUE"""),0.0)</f>
        <v>0</v>
      </c>
      <c r="AU80" s="3">
        <f>IFERROR(__xludf.DUMMYFUNCTION("""COMPUTED_VALUE"""),0.0)</f>
        <v>0</v>
      </c>
      <c r="AV80" s="3">
        <f>IFERROR(__xludf.DUMMYFUNCTION("""COMPUTED_VALUE"""),0.0)</f>
        <v>0</v>
      </c>
      <c r="AW80" s="3">
        <f>IFERROR(__xludf.DUMMYFUNCTION("""COMPUTED_VALUE"""),0.0)</f>
        <v>0</v>
      </c>
      <c r="AX80" s="3">
        <f>IFERROR(__xludf.DUMMYFUNCTION("""COMPUTED_VALUE"""),0.0)</f>
        <v>0</v>
      </c>
      <c r="AY80" s="3">
        <f>IFERROR(__xludf.DUMMYFUNCTION("""COMPUTED_VALUE"""),0.0)</f>
        <v>0</v>
      </c>
      <c r="AZ80" s="3">
        <f>IFERROR(__xludf.DUMMYFUNCTION("""COMPUTED_VALUE"""),0.0)</f>
        <v>0</v>
      </c>
      <c r="BA80" s="3">
        <f>IFERROR(__xludf.DUMMYFUNCTION("""COMPUTED_VALUE"""),0.0)</f>
        <v>0</v>
      </c>
      <c r="BB80" s="3">
        <f>IFERROR(__xludf.DUMMYFUNCTION("""COMPUTED_VALUE"""),0.0)</f>
        <v>0</v>
      </c>
      <c r="BC80" s="3">
        <f>IFERROR(__xludf.DUMMYFUNCTION("""COMPUTED_VALUE"""),0.0)</f>
        <v>0</v>
      </c>
      <c r="BD80" s="3">
        <f>IFERROR(__xludf.DUMMYFUNCTION("""COMPUTED_VALUE"""),1.0)</f>
        <v>1</v>
      </c>
      <c r="BE80" s="3">
        <f>IFERROR(__xludf.DUMMYFUNCTION("""COMPUTED_VALUE"""),1.0)</f>
        <v>1</v>
      </c>
      <c r="BF80" s="3">
        <f>IFERROR(__xludf.DUMMYFUNCTION("""COMPUTED_VALUE"""),1.0)</f>
        <v>1</v>
      </c>
      <c r="BG80" s="3">
        <f>IFERROR(__xludf.DUMMYFUNCTION("""COMPUTED_VALUE"""),2.0)</f>
        <v>2</v>
      </c>
      <c r="BH80" s="3">
        <f>IFERROR(__xludf.DUMMYFUNCTION("""COMPUTED_VALUE"""),4.0)</f>
        <v>4</v>
      </c>
      <c r="BI80" s="3">
        <f>IFERROR(__xludf.DUMMYFUNCTION("""COMPUTED_VALUE"""),4.0)</f>
        <v>4</v>
      </c>
      <c r="BJ80" s="3">
        <f>IFERROR(__xludf.DUMMYFUNCTION("""COMPUTED_VALUE"""),5.0)</f>
        <v>5</v>
      </c>
      <c r="BK80" s="3">
        <f>IFERROR(__xludf.DUMMYFUNCTION("""COMPUTED_VALUE"""),5.0)</f>
        <v>5</v>
      </c>
      <c r="BL80" s="3">
        <f>IFERROR(__xludf.DUMMYFUNCTION("""COMPUTED_VALUE"""),5.0)</f>
        <v>5</v>
      </c>
      <c r="BM80" s="3">
        <f>IFERROR(__xludf.DUMMYFUNCTION("""COMPUTED_VALUE"""),5.0)</f>
        <v>5</v>
      </c>
      <c r="BN80" s="3">
        <f>IFERROR(__xludf.DUMMYFUNCTION("""COMPUTED_VALUE"""),5.0)</f>
        <v>5</v>
      </c>
      <c r="BO80" s="3">
        <f>IFERROR(__xludf.DUMMYFUNCTION("""COMPUTED_VALUE"""),5.0)</f>
        <v>5</v>
      </c>
      <c r="BP80" s="3">
        <f>IFERROR(__xludf.DUMMYFUNCTION("""COMPUTED_VALUE"""),22.0)</f>
        <v>22</v>
      </c>
      <c r="BQ80" s="3">
        <f>IFERROR(__xludf.DUMMYFUNCTION("""COMPUTED_VALUE"""),22.0)</f>
        <v>22</v>
      </c>
      <c r="BR80" s="3">
        <f>IFERROR(__xludf.DUMMYFUNCTION("""COMPUTED_VALUE"""),37.0)</f>
        <v>37</v>
      </c>
      <c r="BS80" s="3">
        <f>IFERROR(__xludf.DUMMYFUNCTION("""COMPUTED_VALUE"""),45.0)</f>
        <v>45</v>
      </c>
      <c r="BT80" s="3">
        <f>IFERROR(__xludf.DUMMYFUNCTION("""COMPUTED_VALUE"""),52.0)</f>
        <v>52</v>
      </c>
      <c r="BU80" s="3">
        <f>IFERROR(__xludf.DUMMYFUNCTION("""COMPUTED_VALUE"""),67.0)</f>
        <v>67</v>
      </c>
      <c r="BV80" s="3">
        <f>IFERROR(__xludf.DUMMYFUNCTION("""COMPUTED_VALUE"""),67.0)</f>
        <v>67</v>
      </c>
      <c r="BW80" s="3">
        <f>IFERROR(__xludf.DUMMYFUNCTION("""COMPUTED_VALUE"""),73.0)</f>
        <v>73</v>
      </c>
      <c r="BX80" s="3">
        <f>IFERROR(__xludf.DUMMYFUNCTION("""COMPUTED_VALUE"""),88.0)</f>
        <v>88</v>
      </c>
      <c r="BY80" s="3">
        <f>IFERROR(__xludf.DUMMYFUNCTION("""COMPUTED_VALUE"""),92.0)</f>
        <v>92</v>
      </c>
      <c r="BZ80" s="3">
        <f>IFERROR(__xludf.DUMMYFUNCTION("""COMPUTED_VALUE"""),119.0)</f>
        <v>119</v>
      </c>
      <c r="CA80" s="3">
        <f>IFERROR(__xludf.DUMMYFUNCTION("""COMPUTED_VALUE"""),125.0)</f>
        <v>125</v>
      </c>
      <c r="CB80" s="3">
        <f>IFERROR(__xludf.DUMMYFUNCTION("""COMPUTED_VALUE"""),130.0)</f>
        <v>130</v>
      </c>
    </row>
    <row r="81">
      <c r="A81" s="3" t="str">
        <f>IFERROR(__xludf.DUMMYFUNCTION("""COMPUTED_VALUE"""),"")</f>
        <v/>
      </c>
      <c r="B81" s="3" t="str">
        <f>IFERROR(__xludf.DUMMYFUNCTION("""COMPUTED_VALUE"""),"Diamond Princess")</f>
        <v>Diamond Princess</v>
      </c>
      <c r="C81" s="3">
        <f>IFERROR(__xludf.DUMMYFUNCTION("""COMPUTED_VALUE"""),0.0)</f>
        <v>0</v>
      </c>
      <c r="D81" s="3">
        <f>IFERROR(__xludf.DUMMYFUNCTION("""COMPUTED_VALUE"""),0.0)</f>
        <v>0</v>
      </c>
      <c r="E81" s="3">
        <f>IFERROR(__xludf.DUMMYFUNCTION("""COMPUTED_VALUE"""),0.0)</f>
        <v>0</v>
      </c>
      <c r="F81" s="3">
        <f>IFERROR(__xludf.DUMMYFUNCTION("""COMPUTED_VALUE"""),0.0)</f>
        <v>0</v>
      </c>
      <c r="G81" s="3">
        <f>IFERROR(__xludf.DUMMYFUNCTION("""COMPUTED_VALUE"""),0.0)</f>
        <v>0</v>
      </c>
      <c r="H81" s="3">
        <f>IFERROR(__xludf.DUMMYFUNCTION("""COMPUTED_VALUE"""),0.0)</f>
        <v>0</v>
      </c>
      <c r="I81" s="3">
        <f>IFERROR(__xludf.DUMMYFUNCTION("""COMPUTED_VALUE"""),0.0)</f>
        <v>0</v>
      </c>
      <c r="J81" s="3">
        <f>IFERROR(__xludf.DUMMYFUNCTION("""COMPUTED_VALUE"""),0.0)</f>
        <v>0</v>
      </c>
      <c r="K81" s="3">
        <f>IFERROR(__xludf.DUMMYFUNCTION("""COMPUTED_VALUE"""),0.0)</f>
        <v>0</v>
      </c>
      <c r="L81" s="3">
        <f>IFERROR(__xludf.DUMMYFUNCTION("""COMPUTED_VALUE"""),0.0)</f>
        <v>0</v>
      </c>
      <c r="M81" s="3">
        <f>IFERROR(__xludf.DUMMYFUNCTION("""COMPUTED_VALUE"""),0.0)</f>
        <v>0</v>
      </c>
      <c r="N81" s="3">
        <f>IFERROR(__xludf.DUMMYFUNCTION("""COMPUTED_VALUE"""),0.0)</f>
        <v>0</v>
      </c>
      <c r="O81" s="3">
        <f>IFERROR(__xludf.DUMMYFUNCTION("""COMPUTED_VALUE"""),0.0)</f>
        <v>0</v>
      </c>
      <c r="P81" s="3">
        <f>IFERROR(__xludf.DUMMYFUNCTION("""COMPUTED_VALUE"""),0.0)</f>
        <v>0</v>
      </c>
      <c r="Q81" s="3">
        <f>IFERROR(__xludf.DUMMYFUNCTION("""COMPUTED_VALUE"""),0.0)</f>
        <v>0</v>
      </c>
      <c r="R81" s="3">
        <f>IFERROR(__xludf.DUMMYFUNCTION("""COMPUTED_VALUE"""),0.0)</f>
        <v>0</v>
      </c>
      <c r="S81" s="3">
        <f>IFERROR(__xludf.DUMMYFUNCTION("""COMPUTED_VALUE"""),0.0)</f>
        <v>0</v>
      </c>
      <c r="T81" s="3">
        <f>IFERROR(__xludf.DUMMYFUNCTION("""COMPUTED_VALUE"""),0.0)</f>
        <v>0</v>
      </c>
      <c r="U81" s="3">
        <f>IFERROR(__xludf.DUMMYFUNCTION("""COMPUTED_VALUE"""),0.0)</f>
        <v>0</v>
      </c>
      <c r="V81" s="3">
        <f>IFERROR(__xludf.DUMMYFUNCTION("""COMPUTED_VALUE"""),0.0)</f>
        <v>0</v>
      </c>
      <c r="W81" s="3">
        <f>IFERROR(__xludf.DUMMYFUNCTION("""COMPUTED_VALUE"""),0.0)</f>
        <v>0</v>
      </c>
      <c r="X81" s="3">
        <f>IFERROR(__xludf.DUMMYFUNCTION("""COMPUTED_VALUE"""),0.0)</f>
        <v>0</v>
      </c>
      <c r="Y81" s="3">
        <f>IFERROR(__xludf.DUMMYFUNCTION("""COMPUTED_VALUE"""),0.0)</f>
        <v>0</v>
      </c>
      <c r="Z81" s="3">
        <f>IFERROR(__xludf.DUMMYFUNCTION("""COMPUTED_VALUE"""),0.0)</f>
        <v>0</v>
      </c>
      <c r="AA81" s="3">
        <f>IFERROR(__xludf.DUMMYFUNCTION("""COMPUTED_VALUE"""),0.0)</f>
        <v>0</v>
      </c>
      <c r="AB81" s="3">
        <f>IFERROR(__xludf.DUMMYFUNCTION("""COMPUTED_VALUE"""),0.0)</f>
        <v>0</v>
      </c>
      <c r="AC81" s="3">
        <f>IFERROR(__xludf.DUMMYFUNCTION("""COMPUTED_VALUE"""),0.0)</f>
        <v>0</v>
      </c>
      <c r="AD81" s="3">
        <f>IFERROR(__xludf.DUMMYFUNCTION("""COMPUTED_VALUE"""),0.0)</f>
        <v>0</v>
      </c>
      <c r="AE81" s="3">
        <f>IFERROR(__xludf.DUMMYFUNCTION("""COMPUTED_VALUE"""),0.0)</f>
        <v>0</v>
      </c>
      <c r="AF81" s="3">
        <f>IFERROR(__xludf.DUMMYFUNCTION("""COMPUTED_VALUE"""),0.0)</f>
        <v>0</v>
      </c>
      <c r="AG81" s="3">
        <f>IFERROR(__xludf.DUMMYFUNCTION("""COMPUTED_VALUE"""),1.0)</f>
        <v>1</v>
      </c>
      <c r="AH81" s="3">
        <f>IFERROR(__xludf.DUMMYFUNCTION("""COMPUTED_VALUE"""),1.0)</f>
        <v>1</v>
      </c>
      <c r="AI81" s="3">
        <f>IFERROR(__xludf.DUMMYFUNCTION("""COMPUTED_VALUE"""),1.0)</f>
        <v>1</v>
      </c>
      <c r="AJ81" s="3">
        <f>IFERROR(__xludf.DUMMYFUNCTION("""COMPUTED_VALUE"""),1.0)</f>
        <v>1</v>
      </c>
      <c r="AK81" s="3">
        <f>IFERROR(__xludf.DUMMYFUNCTION("""COMPUTED_VALUE"""),0.0)</f>
        <v>0</v>
      </c>
      <c r="AL81" s="3">
        <f>IFERROR(__xludf.DUMMYFUNCTION("""COMPUTED_VALUE"""),0.0)</f>
        <v>0</v>
      </c>
      <c r="AM81" s="3">
        <f>IFERROR(__xludf.DUMMYFUNCTION("""COMPUTED_VALUE"""),0.0)</f>
        <v>0</v>
      </c>
      <c r="AN81" s="3">
        <f>IFERROR(__xludf.DUMMYFUNCTION("""COMPUTED_VALUE"""),10.0)</f>
        <v>10</v>
      </c>
      <c r="AO81" s="3">
        <f>IFERROR(__xludf.DUMMYFUNCTION("""COMPUTED_VALUE"""),10.0)</f>
        <v>10</v>
      </c>
      <c r="AP81" s="3">
        <f>IFERROR(__xludf.DUMMYFUNCTION("""COMPUTED_VALUE"""),10.0)</f>
        <v>10</v>
      </c>
      <c r="AQ81" s="3">
        <f>IFERROR(__xludf.DUMMYFUNCTION("""COMPUTED_VALUE"""),10.0)</f>
        <v>10</v>
      </c>
      <c r="AR81" s="3">
        <f>IFERROR(__xludf.DUMMYFUNCTION("""COMPUTED_VALUE"""),10.0)</f>
        <v>10</v>
      </c>
      <c r="AS81" s="3">
        <f>IFERROR(__xludf.DUMMYFUNCTION("""COMPUTED_VALUE"""),10.0)</f>
        <v>10</v>
      </c>
      <c r="AT81" s="3">
        <f>IFERROR(__xludf.DUMMYFUNCTION("""COMPUTED_VALUE"""),10.0)</f>
        <v>10</v>
      </c>
      <c r="AU81" s="3">
        <f>IFERROR(__xludf.DUMMYFUNCTION("""COMPUTED_VALUE"""),10.0)</f>
        <v>10</v>
      </c>
      <c r="AV81" s="3">
        <f>IFERROR(__xludf.DUMMYFUNCTION("""COMPUTED_VALUE"""),10.0)</f>
        <v>10</v>
      </c>
      <c r="AW81" s="3">
        <f>IFERROR(__xludf.DUMMYFUNCTION("""COMPUTED_VALUE"""),40.0)</f>
        <v>40</v>
      </c>
      <c r="AX81" s="3">
        <f>IFERROR(__xludf.DUMMYFUNCTION("""COMPUTED_VALUE"""),40.0)</f>
        <v>40</v>
      </c>
      <c r="AY81" s="3">
        <f>IFERROR(__xludf.DUMMYFUNCTION("""COMPUTED_VALUE"""),40.0)</f>
        <v>40</v>
      </c>
      <c r="AZ81" s="3">
        <f>IFERROR(__xludf.DUMMYFUNCTION("""COMPUTED_VALUE"""),40.0)</f>
        <v>40</v>
      </c>
      <c r="BA81" s="3">
        <f>IFERROR(__xludf.DUMMYFUNCTION("""COMPUTED_VALUE"""),40.0)</f>
        <v>40</v>
      </c>
      <c r="BB81" s="3">
        <f>IFERROR(__xludf.DUMMYFUNCTION("""COMPUTED_VALUE"""),325.0)</f>
        <v>325</v>
      </c>
      <c r="BC81" s="3">
        <f>IFERROR(__xludf.DUMMYFUNCTION("""COMPUTED_VALUE"""),325.0)</f>
        <v>325</v>
      </c>
      <c r="BD81" s="3">
        <f>IFERROR(__xludf.DUMMYFUNCTION("""COMPUTED_VALUE"""),325.0)</f>
        <v>325</v>
      </c>
      <c r="BE81" s="3">
        <f>IFERROR(__xludf.DUMMYFUNCTION("""COMPUTED_VALUE"""),325.0)</f>
        <v>325</v>
      </c>
      <c r="BF81" s="3">
        <f>IFERROR(__xludf.DUMMYFUNCTION("""COMPUTED_VALUE"""),325.0)</f>
        <v>325</v>
      </c>
      <c r="BG81" s="3">
        <f>IFERROR(__xludf.DUMMYFUNCTION("""COMPUTED_VALUE"""),325.0)</f>
        <v>325</v>
      </c>
      <c r="BH81" s="3">
        <f>IFERROR(__xludf.DUMMYFUNCTION("""COMPUTED_VALUE"""),325.0)</f>
        <v>325</v>
      </c>
      <c r="BI81" s="3">
        <f>IFERROR(__xludf.DUMMYFUNCTION("""COMPUTED_VALUE"""),325.0)</f>
        <v>325</v>
      </c>
      <c r="BJ81" s="3">
        <f>IFERROR(__xludf.DUMMYFUNCTION("""COMPUTED_VALUE"""),325.0)</f>
        <v>325</v>
      </c>
      <c r="BK81" s="3">
        <f>IFERROR(__xludf.DUMMYFUNCTION("""COMPUTED_VALUE"""),325.0)</f>
        <v>325</v>
      </c>
      <c r="BL81" s="3">
        <f>IFERROR(__xludf.DUMMYFUNCTION("""COMPUTED_VALUE"""),325.0)</f>
        <v>325</v>
      </c>
      <c r="BM81" s="3">
        <f>IFERROR(__xludf.DUMMYFUNCTION("""COMPUTED_VALUE"""),325.0)</f>
        <v>325</v>
      </c>
      <c r="BN81" s="3">
        <f>IFERROR(__xludf.DUMMYFUNCTION("""COMPUTED_VALUE"""),325.0)</f>
        <v>325</v>
      </c>
      <c r="BO81" s="3">
        <f>IFERROR(__xludf.DUMMYFUNCTION("""COMPUTED_VALUE"""),325.0)</f>
        <v>325</v>
      </c>
      <c r="BP81" s="3">
        <f>IFERROR(__xludf.DUMMYFUNCTION("""COMPUTED_VALUE"""),587.0)</f>
        <v>587</v>
      </c>
      <c r="BQ81" s="3">
        <f>IFERROR(__xludf.DUMMYFUNCTION("""COMPUTED_VALUE"""),597.0)</f>
        <v>597</v>
      </c>
      <c r="BR81" s="3">
        <f>IFERROR(__xludf.DUMMYFUNCTION("""COMPUTED_VALUE"""),597.0)</f>
        <v>597</v>
      </c>
      <c r="BS81" s="3">
        <f>IFERROR(__xludf.DUMMYFUNCTION("""COMPUTED_VALUE"""),597.0)</f>
        <v>597</v>
      </c>
      <c r="BT81" s="3">
        <f>IFERROR(__xludf.DUMMYFUNCTION("""COMPUTED_VALUE"""),603.0)</f>
        <v>603</v>
      </c>
      <c r="BU81" s="3">
        <f>IFERROR(__xludf.DUMMYFUNCTION("""COMPUTED_VALUE"""),603.0)</f>
        <v>603</v>
      </c>
      <c r="BV81" s="3">
        <f>IFERROR(__xludf.DUMMYFUNCTION("""COMPUTED_VALUE"""),603.0)</f>
        <v>603</v>
      </c>
      <c r="BW81" s="3">
        <f>IFERROR(__xludf.DUMMYFUNCTION("""COMPUTED_VALUE"""),603.0)</f>
        <v>603</v>
      </c>
      <c r="BX81" s="3">
        <f>IFERROR(__xludf.DUMMYFUNCTION("""COMPUTED_VALUE"""),619.0)</f>
        <v>619</v>
      </c>
      <c r="BY81" s="3">
        <f>IFERROR(__xludf.DUMMYFUNCTION("""COMPUTED_VALUE"""),619.0)</f>
        <v>619</v>
      </c>
      <c r="BZ81" s="3">
        <f>IFERROR(__xludf.DUMMYFUNCTION("""COMPUTED_VALUE"""),619.0)</f>
        <v>619</v>
      </c>
      <c r="CA81" s="3">
        <f>IFERROR(__xludf.DUMMYFUNCTION("""COMPUTED_VALUE"""),619.0)</f>
        <v>619</v>
      </c>
      <c r="CB81" s="3">
        <f>IFERROR(__xludf.DUMMYFUNCTION("""COMPUTED_VALUE"""),619.0)</f>
        <v>619</v>
      </c>
    </row>
    <row r="82">
      <c r="A82" s="3" t="str">
        <f>IFERROR(__xludf.DUMMYFUNCTION("""COMPUTED_VALUE"""),"")</f>
        <v/>
      </c>
      <c r="B82" s="3" t="str">
        <f>IFERROR(__xludf.DUMMYFUNCTION("""COMPUTED_VALUE"""),"Cuba")</f>
        <v>Cuba</v>
      </c>
      <c r="C82" s="3">
        <f>IFERROR(__xludf.DUMMYFUNCTION("""COMPUTED_VALUE"""),22.0)</f>
        <v>22</v>
      </c>
      <c r="D82" s="3">
        <f>IFERROR(__xludf.DUMMYFUNCTION("""COMPUTED_VALUE"""),-80.0)</f>
        <v>-80</v>
      </c>
      <c r="E82" s="3">
        <f>IFERROR(__xludf.DUMMYFUNCTION("""COMPUTED_VALUE"""),0.0)</f>
        <v>0</v>
      </c>
      <c r="F82" s="3">
        <f>IFERROR(__xludf.DUMMYFUNCTION("""COMPUTED_VALUE"""),0.0)</f>
        <v>0</v>
      </c>
      <c r="G82" s="3">
        <f>IFERROR(__xludf.DUMMYFUNCTION("""COMPUTED_VALUE"""),0.0)</f>
        <v>0</v>
      </c>
      <c r="H82" s="3">
        <f>IFERROR(__xludf.DUMMYFUNCTION("""COMPUTED_VALUE"""),0.0)</f>
        <v>0</v>
      </c>
      <c r="I82" s="3">
        <f>IFERROR(__xludf.DUMMYFUNCTION("""COMPUTED_VALUE"""),0.0)</f>
        <v>0</v>
      </c>
      <c r="J82" s="3">
        <f>IFERROR(__xludf.DUMMYFUNCTION("""COMPUTED_VALUE"""),0.0)</f>
        <v>0</v>
      </c>
      <c r="K82" s="3">
        <f>IFERROR(__xludf.DUMMYFUNCTION("""COMPUTED_VALUE"""),0.0)</f>
        <v>0</v>
      </c>
      <c r="L82" s="3">
        <f>IFERROR(__xludf.DUMMYFUNCTION("""COMPUTED_VALUE"""),0.0)</f>
        <v>0</v>
      </c>
      <c r="M82" s="3">
        <f>IFERROR(__xludf.DUMMYFUNCTION("""COMPUTED_VALUE"""),0.0)</f>
        <v>0</v>
      </c>
      <c r="N82" s="3">
        <f>IFERROR(__xludf.DUMMYFUNCTION("""COMPUTED_VALUE"""),0.0)</f>
        <v>0</v>
      </c>
      <c r="O82" s="3">
        <f>IFERROR(__xludf.DUMMYFUNCTION("""COMPUTED_VALUE"""),0.0)</f>
        <v>0</v>
      </c>
      <c r="P82" s="3">
        <f>IFERROR(__xludf.DUMMYFUNCTION("""COMPUTED_VALUE"""),0.0)</f>
        <v>0</v>
      </c>
      <c r="Q82" s="3">
        <f>IFERROR(__xludf.DUMMYFUNCTION("""COMPUTED_VALUE"""),0.0)</f>
        <v>0</v>
      </c>
      <c r="R82" s="3">
        <f>IFERROR(__xludf.DUMMYFUNCTION("""COMPUTED_VALUE"""),0.0)</f>
        <v>0</v>
      </c>
      <c r="S82" s="3">
        <f>IFERROR(__xludf.DUMMYFUNCTION("""COMPUTED_VALUE"""),0.0)</f>
        <v>0</v>
      </c>
      <c r="T82" s="3">
        <f>IFERROR(__xludf.DUMMYFUNCTION("""COMPUTED_VALUE"""),0.0)</f>
        <v>0</v>
      </c>
      <c r="U82" s="3">
        <f>IFERROR(__xludf.DUMMYFUNCTION("""COMPUTED_VALUE"""),0.0)</f>
        <v>0</v>
      </c>
      <c r="V82" s="3">
        <f>IFERROR(__xludf.DUMMYFUNCTION("""COMPUTED_VALUE"""),0.0)</f>
        <v>0</v>
      </c>
      <c r="W82" s="3">
        <f>IFERROR(__xludf.DUMMYFUNCTION("""COMPUTED_VALUE"""),0.0)</f>
        <v>0</v>
      </c>
      <c r="X82" s="3">
        <f>IFERROR(__xludf.DUMMYFUNCTION("""COMPUTED_VALUE"""),0.0)</f>
        <v>0</v>
      </c>
      <c r="Y82" s="3">
        <f>IFERROR(__xludf.DUMMYFUNCTION("""COMPUTED_VALUE"""),0.0)</f>
        <v>0</v>
      </c>
      <c r="Z82" s="3">
        <f>IFERROR(__xludf.DUMMYFUNCTION("""COMPUTED_VALUE"""),0.0)</f>
        <v>0</v>
      </c>
      <c r="AA82" s="3">
        <f>IFERROR(__xludf.DUMMYFUNCTION("""COMPUTED_VALUE"""),0.0)</f>
        <v>0</v>
      </c>
      <c r="AB82" s="3">
        <f>IFERROR(__xludf.DUMMYFUNCTION("""COMPUTED_VALUE"""),0.0)</f>
        <v>0</v>
      </c>
      <c r="AC82" s="3">
        <f>IFERROR(__xludf.DUMMYFUNCTION("""COMPUTED_VALUE"""),0.0)</f>
        <v>0</v>
      </c>
      <c r="AD82" s="3">
        <f>IFERROR(__xludf.DUMMYFUNCTION("""COMPUTED_VALUE"""),0.0)</f>
        <v>0</v>
      </c>
      <c r="AE82" s="3">
        <f>IFERROR(__xludf.DUMMYFUNCTION("""COMPUTED_VALUE"""),0.0)</f>
        <v>0</v>
      </c>
      <c r="AF82" s="3">
        <f>IFERROR(__xludf.DUMMYFUNCTION("""COMPUTED_VALUE"""),0.0)</f>
        <v>0</v>
      </c>
      <c r="AG82" s="3">
        <f>IFERROR(__xludf.DUMMYFUNCTION("""COMPUTED_VALUE"""),0.0)</f>
        <v>0</v>
      </c>
      <c r="AH82" s="3">
        <f>IFERROR(__xludf.DUMMYFUNCTION("""COMPUTED_VALUE"""),0.0)</f>
        <v>0</v>
      </c>
      <c r="AI82" s="3">
        <f>IFERROR(__xludf.DUMMYFUNCTION("""COMPUTED_VALUE"""),0.0)</f>
        <v>0</v>
      </c>
      <c r="AJ82" s="3">
        <f>IFERROR(__xludf.DUMMYFUNCTION("""COMPUTED_VALUE"""),0.0)</f>
        <v>0</v>
      </c>
      <c r="AK82" s="3">
        <f>IFERROR(__xludf.DUMMYFUNCTION("""COMPUTED_VALUE"""),0.0)</f>
        <v>0</v>
      </c>
      <c r="AL82" s="3">
        <f>IFERROR(__xludf.DUMMYFUNCTION("""COMPUTED_VALUE"""),0.0)</f>
        <v>0</v>
      </c>
      <c r="AM82" s="3">
        <f>IFERROR(__xludf.DUMMYFUNCTION("""COMPUTED_VALUE"""),0.0)</f>
        <v>0</v>
      </c>
      <c r="AN82" s="3">
        <f>IFERROR(__xludf.DUMMYFUNCTION("""COMPUTED_VALUE"""),0.0)</f>
        <v>0</v>
      </c>
      <c r="AO82" s="3">
        <f>IFERROR(__xludf.DUMMYFUNCTION("""COMPUTED_VALUE"""),0.0)</f>
        <v>0</v>
      </c>
      <c r="AP82" s="3">
        <f>IFERROR(__xludf.DUMMYFUNCTION("""COMPUTED_VALUE"""),0.0)</f>
        <v>0</v>
      </c>
      <c r="AQ82" s="3">
        <f>IFERROR(__xludf.DUMMYFUNCTION("""COMPUTED_VALUE"""),0.0)</f>
        <v>0</v>
      </c>
      <c r="AR82" s="3">
        <f>IFERROR(__xludf.DUMMYFUNCTION("""COMPUTED_VALUE"""),0.0)</f>
        <v>0</v>
      </c>
      <c r="AS82" s="3">
        <f>IFERROR(__xludf.DUMMYFUNCTION("""COMPUTED_VALUE"""),0.0)</f>
        <v>0</v>
      </c>
      <c r="AT82" s="3">
        <f>IFERROR(__xludf.DUMMYFUNCTION("""COMPUTED_VALUE"""),0.0)</f>
        <v>0</v>
      </c>
      <c r="AU82" s="3">
        <f>IFERROR(__xludf.DUMMYFUNCTION("""COMPUTED_VALUE"""),0.0)</f>
        <v>0</v>
      </c>
      <c r="AV82" s="3">
        <f>IFERROR(__xludf.DUMMYFUNCTION("""COMPUTED_VALUE"""),0.0)</f>
        <v>0</v>
      </c>
      <c r="AW82" s="3">
        <f>IFERROR(__xludf.DUMMYFUNCTION("""COMPUTED_VALUE"""),0.0)</f>
        <v>0</v>
      </c>
      <c r="AX82" s="3">
        <f>IFERROR(__xludf.DUMMYFUNCTION("""COMPUTED_VALUE"""),0.0)</f>
        <v>0</v>
      </c>
      <c r="AY82" s="3">
        <f>IFERROR(__xludf.DUMMYFUNCTION("""COMPUTED_VALUE"""),0.0)</f>
        <v>0</v>
      </c>
      <c r="AZ82" s="3">
        <f>IFERROR(__xludf.DUMMYFUNCTION("""COMPUTED_VALUE"""),0.0)</f>
        <v>0</v>
      </c>
      <c r="BA82" s="3">
        <f>IFERROR(__xludf.DUMMYFUNCTION("""COMPUTED_VALUE"""),0.0)</f>
        <v>0</v>
      </c>
      <c r="BB82" s="3">
        <f>IFERROR(__xludf.DUMMYFUNCTION("""COMPUTED_VALUE"""),0.0)</f>
        <v>0</v>
      </c>
      <c r="BC82" s="3">
        <f>IFERROR(__xludf.DUMMYFUNCTION("""COMPUTED_VALUE"""),0.0)</f>
        <v>0</v>
      </c>
      <c r="BD82" s="3">
        <f>IFERROR(__xludf.DUMMYFUNCTION("""COMPUTED_VALUE"""),0.0)</f>
        <v>0</v>
      </c>
      <c r="BE82" s="3">
        <f>IFERROR(__xludf.DUMMYFUNCTION("""COMPUTED_VALUE"""),0.0)</f>
        <v>0</v>
      </c>
      <c r="BF82" s="3">
        <f>IFERROR(__xludf.DUMMYFUNCTION("""COMPUTED_VALUE"""),0.0)</f>
        <v>0</v>
      </c>
      <c r="BG82" s="3">
        <f>IFERROR(__xludf.DUMMYFUNCTION("""COMPUTED_VALUE"""),0.0)</f>
        <v>0</v>
      </c>
      <c r="BH82" s="3">
        <f>IFERROR(__xludf.DUMMYFUNCTION("""COMPUTED_VALUE"""),0.0)</f>
        <v>0</v>
      </c>
      <c r="BI82" s="3">
        <f>IFERROR(__xludf.DUMMYFUNCTION("""COMPUTED_VALUE"""),0.0)</f>
        <v>0</v>
      </c>
      <c r="BJ82" s="3">
        <f>IFERROR(__xludf.DUMMYFUNCTION("""COMPUTED_VALUE"""),0.0)</f>
        <v>0</v>
      </c>
      <c r="BK82" s="3">
        <f>IFERROR(__xludf.DUMMYFUNCTION("""COMPUTED_VALUE"""),0.0)</f>
        <v>0</v>
      </c>
      <c r="BL82" s="3">
        <f>IFERROR(__xludf.DUMMYFUNCTION("""COMPUTED_VALUE"""),0.0)</f>
        <v>0</v>
      </c>
      <c r="BM82" s="3">
        <f>IFERROR(__xludf.DUMMYFUNCTION("""COMPUTED_VALUE"""),0.0)</f>
        <v>0</v>
      </c>
      <c r="BN82" s="3">
        <f>IFERROR(__xludf.DUMMYFUNCTION("""COMPUTED_VALUE"""),0.0)</f>
        <v>0</v>
      </c>
      <c r="BO82" s="3">
        <f>IFERROR(__xludf.DUMMYFUNCTION("""COMPUTED_VALUE"""),1.0)</f>
        <v>1</v>
      </c>
      <c r="BP82" s="3">
        <f>IFERROR(__xludf.DUMMYFUNCTION("""COMPUTED_VALUE"""),1.0)</f>
        <v>1</v>
      </c>
      <c r="BQ82" s="3">
        <f>IFERROR(__xludf.DUMMYFUNCTION("""COMPUTED_VALUE"""),1.0)</f>
        <v>1</v>
      </c>
      <c r="BR82" s="3">
        <f>IFERROR(__xludf.DUMMYFUNCTION("""COMPUTED_VALUE"""),4.0)</f>
        <v>4</v>
      </c>
      <c r="BS82" s="3">
        <f>IFERROR(__xludf.DUMMYFUNCTION("""COMPUTED_VALUE"""),4.0)</f>
        <v>4</v>
      </c>
      <c r="BT82" s="3">
        <f>IFERROR(__xludf.DUMMYFUNCTION("""COMPUTED_VALUE"""),4.0)</f>
        <v>4</v>
      </c>
      <c r="BU82" s="3">
        <f>IFERROR(__xludf.DUMMYFUNCTION("""COMPUTED_VALUE"""),4.0)</f>
        <v>4</v>
      </c>
      <c r="BV82" s="3">
        <f>IFERROR(__xludf.DUMMYFUNCTION("""COMPUTED_VALUE"""),8.0)</f>
        <v>8</v>
      </c>
      <c r="BW82" s="3">
        <f>IFERROR(__xludf.DUMMYFUNCTION("""COMPUTED_VALUE"""),12.0)</f>
        <v>12</v>
      </c>
      <c r="BX82" s="3">
        <f>IFERROR(__xludf.DUMMYFUNCTION("""COMPUTED_VALUE"""),13.0)</f>
        <v>13</v>
      </c>
      <c r="BY82" s="3">
        <f>IFERROR(__xludf.DUMMYFUNCTION("""COMPUTED_VALUE"""),15.0)</f>
        <v>15</v>
      </c>
      <c r="BZ82" s="3">
        <f>IFERROR(__xludf.DUMMYFUNCTION("""COMPUTED_VALUE"""),15.0)</f>
        <v>15</v>
      </c>
      <c r="CA82" s="3">
        <f>IFERROR(__xludf.DUMMYFUNCTION("""COMPUTED_VALUE"""),15.0)</f>
        <v>15</v>
      </c>
      <c r="CB82" s="3">
        <f>IFERROR(__xludf.DUMMYFUNCTION("""COMPUTED_VALUE"""),18.0)</f>
        <v>18</v>
      </c>
    </row>
    <row r="83">
      <c r="A83" s="3" t="str">
        <f>IFERROR(__xludf.DUMMYFUNCTION("""COMPUTED_VALUE"""),"")</f>
        <v/>
      </c>
      <c r="B83" s="3" t="str">
        <f>IFERROR(__xludf.DUMMYFUNCTION("""COMPUTED_VALUE"""),"Cyprus")</f>
        <v>Cyprus</v>
      </c>
      <c r="C83" s="3">
        <f>IFERROR(__xludf.DUMMYFUNCTION("""COMPUTED_VALUE"""),35.1264)</f>
        <v>35.1264</v>
      </c>
      <c r="D83" s="3">
        <f>IFERROR(__xludf.DUMMYFUNCTION("""COMPUTED_VALUE"""),33.4299)</f>
        <v>33.4299</v>
      </c>
      <c r="E83" s="3">
        <f>IFERROR(__xludf.DUMMYFUNCTION("""COMPUTED_VALUE"""),0.0)</f>
        <v>0</v>
      </c>
      <c r="F83" s="3">
        <f>IFERROR(__xludf.DUMMYFUNCTION("""COMPUTED_VALUE"""),0.0)</f>
        <v>0</v>
      </c>
      <c r="G83" s="3">
        <f>IFERROR(__xludf.DUMMYFUNCTION("""COMPUTED_VALUE"""),0.0)</f>
        <v>0</v>
      </c>
      <c r="H83" s="3">
        <f>IFERROR(__xludf.DUMMYFUNCTION("""COMPUTED_VALUE"""),0.0)</f>
        <v>0</v>
      </c>
      <c r="I83" s="3">
        <f>IFERROR(__xludf.DUMMYFUNCTION("""COMPUTED_VALUE"""),0.0)</f>
        <v>0</v>
      </c>
      <c r="J83" s="3">
        <f>IFERROR(__xludf.DUMMYFUNCTION("""COMPUTED_VALUE"""),0.0)</f>
        <v>0</v>
      </c>
      <c r="K83" s="3">
        <f>IFERROR(__xludf.DUMMYFUNCTION("""COMPUTED_VALUE"""),0.0)</f>
        <v>0</v>
      </c>
      <c r="L83" s="3">
        <f>IFERROR(__xludf.DUMMYFUNCTION("""COMPUTED_VALUE"""),0.0)</f>
        <v>0</v>
      </c>
      <c r="M83" s="3">
        <f>IFERROR(__xludf.DUMMYFUNCTION("""COMPUTED_VALUE"""),0.0)</f>
        <v>0</v>
      </c>
      <c r="N83" s="3">
        <f>IFERROR(__xludf.DUMMYFUNCTION("""COMPUTED_VALUE"""),0.0)</f>
        <v>0</v>
      </c>
      <c r="O83" s="3">
        <f>IFERROR(__xludf.DUMMYFUNCTION("""COMPUTED_VALUE"""),0.0)</f>
        <v>0</v>
      </c>
      <c r="P83" s="3">
        <f>IFERROR(__xludf.DUMMYFUNCTION("""COMPUTED_VALUE"""),0.0)</f>
        <v>0</v>
      </c>
      <c r="Q83" s="3">
        <f>IFERROR(__xludf.DUMMYFUNCTION("""COMPUTED_VALUE"""),0.0)</f>
        <v>0</v>
      </c>
      <c r="R83" s="3">
        <f>IFERROR(__xludf.DUMMYFUNCTION("""COMPUTED_VALUE"""),0.0)</f>
        <v>0</v>
      </c>
      <c r="S83" s="3">
        <f>IFERROR(__xludf.DUMMYFUNCTION("""COMPUTED_VALUE"""),0.0)</f>
        <v>0</v>
      </c>
      <c r="T83" s="3">
        <f>IFERROR(__xludf.DUMMYFUNCTION("""COMPUTED_VALUE"""),0.0)</f>
        <v>0</v>
      </c>
      <c r="U83" s="3">
        <f>IFERROR(__xludf.DUMMYFUNCTION("""COMPUTED_VALUE"""),0.0)</f>
        <v>0</v>
      </c>
      <c r="V83" s="3">
        <f>IFERROR(__xludf.DUMMYFUNCTION("""COMPUTED_VALUE"""),0.0)</f>
        <v>0</v>
      </c>
      <c r="W83" s="3">
        <f>IFERROR(__xludf.DUMMYFUNCTION("""COMPUTED_VALUE"""),0.0)</f>
        <v>0</v>
      </c>
      <c r="X83" s="3">
        <f>IFERROR(__xludf.DUMMYFUNCTION("""COMPUTED_VALUE"""),0.0)</f>
        <v>0</v>
      </c>
      <c r="Y83" s="3">
        <f>IFERROR(__xludf.DUMMYFUNCTION("""COMPUTED_VALUE"""),0.0)</f>
        <v>0</v>
      </c>
      <c r="Z83" s="3">
        <f>IFERROR(__xludf.DUMMYFUNCTION("""COMPUTED_VALUE"""),0.0)</f>
        <v>0</v>
      </c>
      <c r="AA83" s="3">
        <f>IFERROR(__xludf.DUMMYFUNCTION("""COMPUTED_VALUE"""),0.0)</f>
        <v>0</v>
      </c>
      <c r="AB83" s="3">
        <f>IFERROR(__xludf.DUMMYFUNCTION("""COMPUTED_VALUE"""),0.0)</f>
        <v>0</v>
      </c>
      <c r="AC83" s="3">
        <f>IFERROR(__xludf.DUMMYFUNCTION("""COMPUTED_VALUE"""),0.0)</f>
        <v>0</v>
      </c>
      <c r="AD83" s="3">
        <f>IFERROR(__xludf.DUMMYFUNCTION("""COMPUTED_VALUE"""),0.0)</f>
        <v>0</v>
      </c>
      <c r="AE83" s="3">
        <f>IFERROR(__xludf.DUMMYFUNCTION("""COMPUTED_VALUE"""),0.0)</f>
        <v>0</v>
      </c>
      <c r="AF83" s="3">
        <f>IFERROR(__xludf.DUMMYFUNCTION("""COMPUTED_VALUE"""),0.0)</f>
        <v>0</v>
      </c>
      <c r="AG83" s="3">
        <f>IFERROR(__xludf.DUMMYFUNCTION("""COMPUTED_VALUE"""),0.0)</f>
        <v>0</v>
      </c>
      <c r="AH83" s="3">
        <f>IFERROR(__xludf.DUMMYFUNCTION("""COMPUTED_VALUE"""),0.0)</f>
        <v>0</v>
      </c>
      <c r="AI83" s="3">
        <f>IFERROR(__xludf.DUMMYFUNCTION("""COMPUTED_VALUE"""),0.0)</f>
        <v>0</v>
      </c>
      <c r="AJ83" s="3">
        <f>IFERROR(__xludf.DUMMYFUNCTION("""COMPUTED_VALUE"""),0.0)</f>
        <v>0</v>
      </c>
      <c r="AK83" s="3">
        <f>IFERROR(__xludf.DUMMYFUNCTION("""COMPUTED_VALUE"""),0.0)</f>
        <v>0</v>
      </c>
      <c r="AL83" s="3">
        <f>IFERROR(__xludf.DUMMYFUNCTION("""COMPUTED_VALUE"""),0.0)</f>
        <v>0</v>
      </c>
      <c r="AM83" s="3">
        <f>IFERROR(__xludf.DUMMYFUNCTION("""COMPUTED_VALUE"""),0.0)</f>
        <v>0</v>
      </c>
      <c r="AN83" s="3">
        <f>IFERROR(__xludf.DUMMYFUNCTION("""COMPUTED_VALUE"""),0.0)</f>
        <v>0</v>
      </c>
      <c r="AO83" s="3">
        <f>IFERROR(__xludf.DUMMYFUNCTION("""COMPUTED_VALUE"""),0.0)</f>
        <v>0</v>
      </c>
      <c r="AP83" s="3">
        <f>IFERROR(__xludf.DUMMYFUNCTION("""COMPUTED_VALUE"""),0.0)</f>
        <v>0</v>
      </c>
      <c r="AQ83" s="3">
        <f>IFERROR(__xludf.DUMMYFUNCTION("""COMPUTED_VALUE"""),0.0)</f>
        <v>0</v>
      </c>
      <c r="AR83" s="3">
        <f>IFERROR(__xludf.DUMMYFUNCTION("""COMPUTED_VALUE"""),0.0)</f>
        <v>0</v>
      </c>
      <c r="AS83" s="3">
        <f>IFERROR(__xludf.DUMMYFUNCTION("""COMPUTED_VALUE"""),0.0)</f>
        <v>0</v>
      </c>
      <c r="AT83" s="3">
        <f>IFERROR(__xludf.DUMMYFUNCTION("""COMPUTED_VALUE"""),0.0)</f>
        <v>0</v>
      </c>
      <c r="AU83" s="3">
        <f>IFERROR(__xludf.DUMMYFUNCTION("""COMPUTED_VALUE"""),0.0)</f>
        <v>0</v>
      </c>
      <c r="AV83" s="3">
        <f>IFERROR(__xludf.DUMMYFUNCTION("""COMPUTED_VALUE"""),0.0)</f>
        <v>0</v>
      </c>
      <c r="AW83" s="3">
        <f>IFERROR(__xludf.DUMMYFUNCTION("""COMPUTED_VALUE"""),0.0)</f>
        <v>0</v>
      </c>
      <c r="AX83" s="3">
        <f>IFERROR(__xludf.DUMMYFUNCTION("""COMPUTED_VALUE"""),0.0)</f>
        <v>0</v>
      </c>
      <c r="AY83" s="3">
        <f>IFERROR(__xludf.DUMMYFUNCTION("""COMPUTED_VALUE"""),0.0)</f>
        <v>0</v>
      </c>
      <c r="AZ83" s="3">
        <f>IFERROR(__xludf.DUMMYFUNCTION("""COMPUTED_VALUE"""),0.0)</f>
        <v>0</v>
      </c>
      <c r="BA83" s="3">
        <f>IFERROR(__xludf.DUMMYFUNCTION("""COMPUTED_VALUE"""),0.0)</f>
        <v>0</v>
      </c>
      <c r="BB83" s="3">
        <f>IFERROR(__xludf.DUMMYFUNCTION("""COMPUTED_VALUE"""),0.0)</f>
        <v>0</v>
      </c>
      <c r="BC83" s="3">
        <f>IFERROR(__xludf.DUMMYFUNCTION("""COMPUTED_VALUE"""),0.0)</f>
        <v>0</v>
      </c>
      <c r="BD83" s="3">
        <f>IFERROR(__xludf.DUMMYFUNCTION("""COMPUTED_VALUE"""),0.0)</f>
        <v>0</v>
      </c>
      <c r="BE83" s="3">
        <f>IFERROR(__xludf.DUMMYFUNCTION("""COMPUTED_VALUE"""),0.0)</f>
        <v>0</v>
      </c>
      <c r="BF83" s="3">
        <f>IFERROR(__xludf.DUMMYFUNCTION("""COMPUTED_VALUE"""),0.0)</f>
        <v>0</v>
      </c>
      <c r="BG83" s="3">
        <f>IFERROR(__xludf.DUMMYFUNCTION("""COMPUTED_VALUE"""),0.0)</f>
        <v>0</v>
      </c>
      <c r="BH83" s="3">
        <f>IFERROR(__xludf.DUMMYFUNCTION("""COMPUTED_VALUE"""),0.0)</f>
        <v>0</v>
      </c>
      <c r="BI83" s="3">
        <f>IFERROR(__xludf.DUMMYFUNCTION("""COMPUTED_VALUE"""),0.0)</f>
        <v>0</v>
      </c>
      <c r="BJ83" s="3">
        <f>IFERROR(__xludf.DUMMYFUNCTION("""COMPUTED_VALUE"""),0.0)</f>
        <v>0</v>
      </c>
      <c r="BK83" s="3">
        <f>IFERROR(__xludf.DUMMYFUNCTION("""COMPUTED_VALUE"""),0.0)</f>
        <v>0</v>
      </c>
      <c r="BL83" s="3">
        <f>IFERROR(__xludf.DUMMYFUNCTION("""COMPUTED_VALUE"""),0.0)</f>
        <v>0</v>
      </c>
      <c r="BM83" s="3">
        <f>IFERROR(__xludf.DUMMYFUNCTION("""COMPUTED_VALUE"""),3.0)</f>
        <v>3</v>
      </c>
      <c r="BN83" s="3">
        <f>IFERROR(__xludf.DUMMYFUNCTION("""COMPUTED_VALUE"""),3.0)</f>
        <v>3</v>
      </c>
      <c r="BO83" s="3">
        <f>IFERROR(__xludf.DUMMYFUNCTION("""COMPUTED_VALUE"""),3.0)</f>
        <v>3</v>
      </c>
      <c r="BP83" s="3">
        <f>IFERROR(__xludf.DUMMYFUNCTION("""COMPUTED_VALUE"""),3.0)</f>
        <v>3</v>
      </c>
      <c r="BQ83" s="3">
        <f>IFERROR(__xludf.DUMMYFUNCTION("""COMPUTED_VALUE"""),4.0)</f>
        <v>4</v>
      </c>
      <c r="BR83" s="3">
        <f>IFERROR(__xludf.DUMMYFUNCTION("""COMPUTED_VALUE"""),15.0)</f>
        <v>15</v>
      </c>
      <c r="BS83" s="3">
        <f>IFERROR(__xludf.DUMMYFUNCTION("""COMPUTED_VALUE"""),15.0)</f>
        <v>15</v>
      </c>
      <c r="BT83" s="3">
        <f>IFERROR(__xludf.DUMMYFUNCTION("""COMPUTED_VALUE"""),15.0)</f>
        <v>15</v>
      </c>
      <c r="BU83" s="3">
        <f>IFERROR(__xludf.DUMMYFUNCTION("""COMPUTED_VALUE"""),22.0)</f>
        <v>22</v>
      </c>
      <c r="BV83" s="3">
        <f>IFERROR(__xludf.DUMMYFUNCTION("""COMPUTED_VALUE"""),23.0)</f>
        <v>23</v>
      </c>
      <c r="BW83" s="3">
        <f>IFERROR(__xludf.DUMMYFUNCTION("""COMPUTED_VALUE"""),28.0)</f>
        <v>28</v>
      </c>
      <c r="BX83" s="3">
        <f>IFERROR(__xludf.DUMMYFUNCTION("""COMPUTED_VALUE"""),28.0)</f>
        <v>28</v>
      </c>
      <c r="BY83" s="3">
        <f>IFERROR(__xludf.DUMMYFUNCTION("""COMPUTED_VALUE"""),28.0)</f>
        <v>28</v>
      </c>
      <c r="BZ83" s="3">
        <f>IFERROR(__xludf.DUMMYFUNCTION("""COMPUTED_VALUE"""),33.0)</f>
        <v>33</v>
      </c>
      <c r="CA83" s="3">
        <f>IFERROR(__xludf.DUMMYFUNCTION("""COMPUTED_VALUE"""),37.0)</f>
        <v>37</v>
      </c>
      <c r="CB83" s="3">
        <f>IFERROR(__xludf.DUMMYFUNCTION("""COMPUTED_VALUE"""),45.0)</f>
        <v>45</v>
      </c>
    </row>
    <row r="84">
      <c r="A84" s="3" t="str">
        <f>IFERROR(__xludf.DUMMYFUNCTION("""COMPUTED_VALUE"""),"")</f>
        <v/>
      </c>
      <c r="B84" s="3" t="str">
        <f>IFERROR(__xludf.DUMMYFUNCTION("""COMPUTED_VALUE"""),"Czechia")</f>
        <v>Czechia</v>
      </c>
      <c r="C84" s="3">
        <f>IFERROR(__xludf.DUMMYFUNCTION("""COMPUTED_VALUE"""),49.8175)</f>
        <v>49.8175</v>
      </c>
      <c r="D84" s="3">
        <f>IFERROR(__xludf.DUMMYFUNCTION("""COMPUTED_VALUE"""),15.473)</f>
        <v>15.473</v>
      </c>
      <c r="E84" s="3">
        <f>IFERROR(__xludf.DUMMYFUNCTION("""COMPUTED_VALUE"""),0.0)</f>
        <v>0</v>
      </c>
      <c r="F84" s="3">
        <f>IFERROR(__xludf.DUMMYFUNCTION("""COMPUTED_VALUE"""),0.0)</f>
        <v>0</v>
      </c>
      <c r="G84" s="3">
        <f>IFERROR(__xludf.DUMMYFUNCTION("""COMPUTED_VALUE"""),0.0)</f>
        <v>0</v>
      </c>
      <c r="H84" s="3">
        <f>IFERROR(__xludf.DUMMYFUNCTION("""COMPUTED_VALUE"""),0.0)</f>
        <v>0</v>
      </c>
      <c r="I84" s="3">
        <f>IFERROR(__xludf.DUMMYFUNCTION("""COMPUTED_VALUE"""),0.0)</f>
        <v>0</v>
      </c>
      <c r="J84" s="3">
        <f>IFERROR(__xludf.DUMMYFUNCTION("""COMPUTED_VALUE"""),0.0)</f>
        <v>0</v>
      </c>
      <c r="K84" s="3">
        <f>IFERROR(__xludf.DUMMYFUNCTION("""COMPUTED_VALUE"""),0.0)</f>
        <v>0</v>
      </c>
      <c r="L84" s="3">
        <f>IFERROR(__xludf.DUMMYFUNCTION("""COMPUTED_VALUE"""),0.0)</f>
        <v>0</v>
      </c>
      <c r="M84" s="3">
        <f>IFERROR(__xludf.DUMMYFUNCTION("""COMPUTED_VALUE"""),0.0)</f>
        <v>0</v>
      </c>
      <c r="N84" s="3">
        <f>IFERROR(__xludf.DUMMYFUNCTION("""COMPUTED_VALUE"""),0.0)</f>
        <v>0</v>
      </c>
      <c r="O84" s="3">
        <f>IFERROR(__xludf.DUMMYFUNCTION("""COMPUTED_VALUE"""),0.0)</f>
        <v>0</v>
      </c>
      <c r="P84" s="3">
        <f>IFERROR(__xludf.DUMMYFUNCTION("""COMPUTED_VALUE"""),0.0)</f>
        <v>0</v>
      </c>
      <c r="Q84" s="3">
        <f>IFERROR(__xludf.DUMMYFUNCTION("""COMPUTED_VALUE"""),0.0)</f>
        <v>0</v>
      </c>
      <c r="R84" s="3">
        <f>IFERROR(__xludf.DUMMYFUNCTION("""COMPUTED_VALUE"""),0.0)</f>
        <v>0</v>
      </c>
      <c r="S84" s="3">
        <f>IFERROR(__xludf.DUMMYFUNCTION("""COMPUTED_VALUE"""),0.0)</f>
        <v>0</v>
      </c>
      <c r="T84" s="3">
        <f>IFERROR(__xludf.DUMMYFUNCTION("""COMPUTED_VALUE"""),0.0)</f>
        <v>0</v>
      </c>
      <c r="U84" s="3">
        <f>IFERROR(__xludf.DUMMYFUNCTION("""COMPUTED_VALUE"""),0.0)</f>
        <v>0</v>
      </c>
      <c r="V84" s="3">
        <f>IFERROR(__xludf.DUMMYFUNCTION("""COMPUTED_VALUE"""),0.0)</f>
        <v>0</v>
      </c>
      <c r="W84" s="3">
        <f>IFERROR(__xludf.DUMMYFUNCTION("""COMPUTED_VALUE"""),0.0)</f>
        <v>0</v>
      </c>
      <c r="X84" s="3">
        <f>IFERROR(__xludf.DUMMYFUNCTION("""COMPUTED_VALUE"""),0.0)</f>
        <v>0</v>
      </c>
      <c r="Y84" s="3">
        <f>IFERROR(__xludf.DUMMYFUNCTION("""COMPUTED_VALUE"""),0.0)</f>
        <v>0</v>
      </c>
      <c r="Z84" s="3">
        <f>IFERROR(__xludf.DUMMYFUNCTION("""COMPUTED_VALUE"""),0.0)</f>
        <v>0</v>
      </c>
      <c r="AA84" s="3">
        <f>IFERROR(__xludf.DUMMYFUNCTION("""COMPUTED_VALUE"""),0.0)</f>
        <v>0</v>
      </c>
      <c r="AB84" s="3">
        <f>IFERROR(__xludf.DUMMYFUNCTION("""COMPUTED_VALUE"""),0.0)</f>
        <v>0</v>
      </c>
      <c r="AC84" s="3">
        <f>IFERROR(__xludf.DUMMYFUNCTION("""COMPUTED_VALUE"""),0.0)</f>
        <v>0</v>
      </c>
      <c r="AD84" s="3">
        <f>IFERROR(__xludf.DUMMYFUNCTION("""COMPUTED_VALUE"""),0.0)</f>
        <v>0</v>
      </c>
      <c r="AE84" s="3">
        <f>IFERROR(__xludf.DUMMYFUNCTION("""COMPUTED_VALUE"""),0.0)</f>
        <v>0</v>
      </c>
      <c r="AF84" s="3">
        <f>IFERROR(__xludf.DUMMYFUNCTION("""COMPUTED_VALUE"""),0.0)</f>
        <v>0</v>
      </c>
      <c r="AG84" s="3">
        <f>IFERROR(__xludf.DUMMYFUNCTION("""COMPUTED_VALUE"""),0.0)</f>
        <v>0</v>
      </c>
      <c r="AH84" s="3">
        <f>IFERROR(__xludf.DUMMYFUNCTION("""COMPUTED_VALUE"""),0.0)</f>
        <v>0</v>
      </c>
      <c r="AI84" s="3">
        <f>IFERROR(__xludf.DUMMYFUNCTION("""COMPUTED_VALUE"""),0.0)</f>
        <v>0</v>
      </c>
      <c r="AJ84" s="3">
        <f>IFERROR(__xludf.DUMMYFUNCTION("""COMPUTED_VALUE"""),0.0)</f>
        <v>0</v>
      </c>
      <c r="AK84" s="3">
        <f>IFERROR(__xludf.DUMMYFUNCTION("""COMPUTED_VALUE"""),0.0)</f>
        <v>0</v>
      </c>
      <c r="AL84" s="3">
        <f>IFERROR(__xludf.DUMMYFUNCTION("""COMPUTED_VALUE"""),0.0)</f>
        <v>0</v>
      </c>
      <c r="AM84" s="3">
        <f>IFERROR(__xludf.DUMMYFUNCTION("""COMPUTED_VALUE"""),0.0)</f>
        <v>0</v>
      </c>
      <c r="AN84" s="3">
        <f>IFERROR(__xludf.DUMMYFUNCTION("""COMPUTED_VALUE"""),0.0)</f>
        <v>0</v>
      </c>
      <c r="AO84" s="3">
        <f>IFERROR(__xludf.DUMMYFUNCTION("""COMPUTED_VALUE"""),0.0)</f>
        <v>0</v>
      </c>
      <c r="AP84" s="3">
        <f>IFERROR(__xludf.DUMMYFUNCTION("""COMPUTED_VALUE"""),0.0)</f>
        <v>0</v>
      </c>
      <c r="AQ84" s="3">
        <f>IFERROR(__xludf.DUMMYFUNCTION("""COMPUTED_VALUE"""),0.0)</f>
        <v>0</v>
      </c>
      <c r="AR84" s="3">
        <f>IFERROR(__xludf.DUMMYFUNCTION("""COMPUTED_VALUE"""),0.0)</f>
        <v>0</v>
      </c>
      <c r="AS84" s="3">
        <f>IFERROR(__xludf.DUMMYFUNCTION("""COMPUTED_VALUE"""),0.0)</f>
        <v>0</v>
      </c>
      <c r="AT84" s="3">
        <f>IFERROR(__xludf.DUMMYFUNCTION("""COMPUTED_VALUE"""),0.0)</f>
        <v>0</v>
      </c>
      <c r="AU84" s="3">
        <f>IFERROR(__xludf.DUMMYFUNCTION("""COMPUTED_VALUE"""),0.0)</f>
        <v>0</v>
      </c>
      <c r="AV84" s="3">
        <f>IFERROR(__xludf.DUMMYFUNCTION("""COMPUTED_VALUE"""),0.0)</f>
        <v>0</v>
      </c>
      <c r="AW84" s="3">
        <f>IFERROR(__xludf.DUMMYFUNCTION("""COMPUTED_VALUE"""),0.0)</f>
        <v>0</v>
      </c>
      <c r="AX84" s="3">
        <f>IFERROR(__xludf.DUMMYFUNCTION("""COMPUTED_VALUE"""),0.0)</f>
        <v>0</v>
      </c>
      <c r="AY84" s="3">
        <f>IFERROR(__xludf.DUMMYFUNCTION("""COMPUTED_VALUE"""),0.0)</f>
        <v>0</v>
      </c>
      <c r="AZ84" s="3">
        <f>IFERROR(__xludf.DUMMYFUNCTION("""COMPUTED_VALUE"""),0.0)</f>
        <v>0</v>
      </c>
      <c r="BA84" s="3">
        <f>IFERROR(__xludf.DUMMYFUNCTION("""COMPUTED_VALUE"""),0.0)</f>
        <v>0</v>
      </c>
      <c r="BB84" s="3">
        <f>IFERROR(__xludf.DUMMYFUNCTION("""COMPUTED_VALUE"""),0.0)</f>
        <v>0</v>
      </c>
      <c r="BC84" s="3">
        <f>IFERROR(__xludf.DUMMYFUNCTION("""COMPUTED_VALUE"""),0.0)</f>
        <v>0</v>
      </c>
      <c r="BD84" s="3">
        <f>IFERROR(__xludf.DUMMYFUNCTION("""COMPUTED_VALUE"""),0.0)</f>
        <v>0</v>
      </c>
      <c r="BE84" s="3">
        <f>IFERROR(__xludf.DUMMYFUNCTION("""COMPUTED_VALUE"""),0.0)</f>
        <v>0</v>
      </c>
      <c r="BF84" s="3">
        <f>IFERROR(__xludf.DUMMYFUNCTION("""COMPUTED_VALUE"""),0.0)</f>
        <v>0</v>
      </c>
      <c r="BG84" s="3">
        <f>IFERROR(__xludf.DUMMYFUNCTION("""COMPUTED_VALUE"""),3.0)</f>
        <v>3</v>
      </c>
      <c r="BH84" s="3">
        <f>IFERROR(__xludf.DUMMYFUNCTION("""COMPUTED_VALUE"""),3.0)</f>
        <v>3</v>
      </c>
      <c r="BI84" s="3">
        <f>IFERROR(__xludf.DUMMYFUNCTION("""COMPUTED_VALUE"""),3.0)</f>
        <v>3</v>
      </c>
      <c r="BJ84" s="3">
        <f>IFERROR(__xludf.DUMMYFUNCTION("""COMPUTED_VALUE"""),3.0)</f>
        <v>3</v>
      </c>
      <c r="BK84" s="3">
        <f>IFERROR(__xludf.DUMMYFUNCTION("""COMPUTED_VALUE"""),4.0)</f>
        <v>4</v>
      </c>
      <c r="BL84" s="3">
        <f>IFERROR(__xludf.DUMMYFUNCTION("""COMPUTED_VALUE"""),6.0)</f>
        <v>6</v>
      </c>
      <c r="BM84" s="3">
        <f>IFERROR(__xludf.DUMMYFUNCTION("""COMPUTED_VALUE"""),6.0)</f>
        <v>6</v>
      </c>
      <c r="BN84" s="3">
        <f>IFERROR(__xludf.DUMMYFUNCTION("""COMPUTED_VALUE"""),6.0)</f>
        <v>6</v>
      </c>
      <c r="BO84" s="3">
        <f>IFERROR(__xludf.DUMMYFUNCTION("""COMPUTED_VALUE"""),10.0)</f>
        <v>10</v>
      </c>
      <c r="BP84" s="3">
        <f>IFERROR(__xludf.DUMMYFUNCTION("""COMPUTED_VALUE"""),10.0)</f>
        <v>10</v>
      </c>
      <c r="BQ84" s="3">
        <f>IFERROR(__xludf.DUMMYFUNCTION("""COMPUTED_VALUE"""),10.0)</f>
        <v>10</v>
      </c>
      <c r="BR84" s="3">
        <f>IFERROR(__xludf.DUMMYFUNCTION("""COMPUTED_VALUE"""),11.0)</f>
        <v>11</v>
      </c>
      <c r="BS84" s="3">
        <f>IFERROR(__xludf.DUMMYFUNCTION("""COMPUTED_VALUE"""),11.0)</f>
        <v>11</v>
      </c>
      <c r="BT84" s="3">
        <f>IFERROR(__xludf.DUMMYFUNCTION("""COMPUTED_VALUE"""),11.0)</f>
        <v>11</v>
      </c>
      <c r="BU84" s="3">
        <f>IFERROR(__xludf.DUMMYFUNCTION("""COMPUTED_VALUE"""),25.0)</f>
        <v>25</v>
      </c>
      <c r="BV84" s="3">
        <f>IFERROR(__xludf.DUMMYFUNCTION("""COMPUTED_VALUE"""),45.0)</f>
        <v>45</v>
      </c>
      <c r="BW84" s="3">
        <f>IFERROR(__xludf.DUMMYFUNCTION("""COMPUTED_VALUE"""),61.0)</f>
        <v>61</v>
      </c>
      <c r="BX84" s="3">
        <f>IFERROR(__xludf.DUMMYFUNCTION("""COMPUTED_VALUE"""),67.0)</f>
        <v>67</v>
      </c>
      <c r="BY84" s="3">
        <f>IFERROR(__xludf.DUMMYFUNCTION("""COMPUTED_VALUE"""),72.0)</f>
        <v>72</v>
      </c>
      <c r="BZ84" s="3">
        <f>IFERROR(__xludf.DUMMYFUNCTION("""COMPUTED_VALUE"""),78.0)</f>
        <v>78</v>
      </c>
      <c r="CA84" s="3">
        <f>IFERROR(__xludf.DUMMYFUNCTION("""COMPUTED_VALUE"""),96.0)</f>
        <v>96</v>
      </c>
      <c r="CB84" s="3">
        <f>IFERROR(__xludf.DUMMYFUNCTION("""COMPUTED_VALUE"""),121.0)</f>
        <v>121</v>
      </c>
    </row>
    <row r="85">
      <c r="A85" s="3" t="str">
        <f>IFERROR(__xludf.DUMMYFUNCTION("""COMPUTED_VALUE"""),"Faroe Islands")</f>
        <v>Faroe Islands</v>
      </c>
      <c r="B85" s="3" t="str">
        <f>IFERROR(__xludf.DUMMYFUNCTION("""COMPUTED_VALUE"""),"Denmark")</f>
        <v>Denmark</v>
      </c>
      <c r="C85" s="3">
        <f>IFERROR(__xludf.DUMMYFUNCTION("""COMPUTED_VALUE"""),61.8926)</f>
        <v>61.8926</v>
      </c>
      <c r="D85" s="3">
        <f>IFERROR(__xludf.DUMMYFUNCTION("""COMPUTED_VALUE"""),-6.9118)</f>
        <v>-6.9118</v>
      </c>
      <c r="E85" s="3">
        <f>IFERROR(__xludf.DUMMYFUNCTION("""COMPUTED_VALUE"""),0.0)</f>
        <v>0</v>
      </c>
      <c r="F85" s="3">
        <f>IFERROR(__xludf.DUMMYFUNCTION("""COMPUTED_VALUE"""),0.0)</f>
        <v>0</v>
      </c>
      <c r="G85" s="3">
        <f>IFERROR(__xludf.DUMMYFUNCTION("""COMPUTED_VALUE"""),0.0)</f>
        <v>0</v>
      </c>
      <c r="H85" s="3">
        <f>IFERROR(__xludf.DUMMYFUNCTION("""COMPUTED_VALUE"""),0.0)</f>
        <v>0</v>
      </c>
      <c r="I85" s="3">
        <f>IFERROR(__xludf.DUMMYFUNCTION("""COMPUTED_VALUE"""),0.0)</f>
        <v>0</v>
      </c>
      <c r="J85" s="3">
        <f>IFERROR(__xludf.DUMMYFUNCTION("""COMPUTED_VALUE"""),0.0)</f>
        <v>0</v>
      </c>
      <c r="K85" s="3">
        <f>IFERROR(__xludf.DUMMYFUNCTION("""COMPUTED_VALUE"""),0.0)</f>
        <v>0</v>
      </c>
      <c r="L85" s="3">
        <f>IFERROR(__xludf.DUMMYFUNCTION("""COMPUTED_VALUE"""),0.0)</f>
        <v>0</v>
      </c>
      <c r="M85" s="3">
        <f>IFERROR(__xludf.DUMMYFUNCTION("""COMPUTED_VALUE"""),0.0)</f>
        <v>0</v>
      </c>
      <c r="N85" s="3">
        <f>IFERROR(__xludf.DUMMYFUNCTION("""COMPUTED_VALUE"""),0.0)</f>
        <v>0</v>
      </c>
      <c r="O85" s="3">
        <f>IFERROR(__xludf.DUMMYFUNCTION("""COMPUTED_VALUE"""),0.0)</f>
        <v>0</v>
      </c>
      <c r="P85" s="3">
        <f>IFERROR(__xludf.DUMMYFUNCTION("""COMPUTED_VALUE"""),0.0)</f>
        <v>0</v>
      </c>
      <c r="Q85" s="3">
        <f>IFERROR(__xludf.DUMMYFUNCTION("""COMPUTED_VALUE"""),0.0)</f>
        <v>0</v>
      </c>
      <c r="R85" s="3">
        <f>IFERROR(__xludf.DUMMYFUNCTION("""COMPUTED_VALUE"""),0.0)</f>
        <v>0</v>
      </c>
      <c r="S85" s="3">
        <f>IFERROR(__xludf.DUMMYFUNCTION("""COMPUTED_VALUE"""),0.0)</f>
        <v>0</v>
      </c>
      <c r="T85" s="3">
        <f>IFERROR(__xludf.DUMMYFUNCTION("""COMPUTED_VALUE"""),0.0)</f>
        <v>0</v>
      </c>
      <c r="U85" s="3">
        <f>IFERROR(__xludf.DUMMYFUNCTION("""COMPUTED_VALUE"""),0.0)</f>
        <v>0</v>
      </c>
      <c r="V85" s="3">
        <f>IFERROR(__xludf.DUMMYFUNCTION("""COMPUTED_VALUE"""),0.0)</f>
        <v>0</v>
      </c>
      <c r="W85" s="3">
        <f>IFERROR(__xludf.DUMMYFUNCTION("""COMPUTED_VALUE"""),0.0)</f>
        <v>0</v>
      </c>
      <c r="X85" s="3">
        <f>IFERROR(__xludf.DUMMYFUNCTION("""COMPUTED_VALUE"""),0.0)</f>
        <v>0</v>
      </c>
      <c r="Y85" s="3">
        <f>IFERROR(__xludf.DUMMYFUNCTION("""COMPUTED_VALUE"""),0.0)</f>
        <v>0</v>
      </c>
      <c r="Z85" s="3">
        <f>IFERROR(__xludf.DUMMYFUNCTION("""COMPUTED_VALUE"""),0.0)</f>
        <v>0</v>
      </c>
      <c r="AA85" s="3">
        <f>IFERROR(__xludf.DUMMYFUNCTION("""COMPUTED_VALUE"""),0.0)</f>
        <v>0</v>
      </c>
      <c r="AB85" s="3">
        <f>IFERROR(__xludf.DUMMYFUNCTION("""COMPUTED_VALUE"""),0.0)</f>
        <v>0</v>
      </c>
      <c r="AC85" s="3">
        <f>IFERROR(__xludf.DUMMYFUNCTION("""COMPUTED_VALUE"""),0.0)</f>
        <v>0</v>
      </c>
      <c r="AD85" s="3">
        <f>IFERROR(__xludf.DUMMYFUNCTION("""COMPUTED_VALUE"""),0.0)</f>
        <v>0</v>
      </c>
      <c r="AE85" s="3">
        <f>IFERROR(__xludf.DUMMYFUNCTION("""COMPUTED_VALUE"""),0.0)</f>
        <v>0</v>
      </c>
      <c r="AF85" s="3">
        <f>IFERROR(__xludf.DUMMYFUNCTION("""COMPUTED_VALUE"""),0.0)</f>
        <v>0</v>
      </c>
      <c r="AG85" s="3">
        <f>IFERROR(__xludf.DUMMYFUNCTION("""COMPUTED_VALUE"""),0.0)</f>
        <v>0</v>
      </c>
      <c r="AH85" s="3">
        <f>IFERROR(__xludf.DUMMYFUNCTION("""COMPUTED_VALUE"""),0.0)</f>
        <v>0</v>
      </c>
      <c r="AI85" s="3">
        <f>IFERROR(__xludf.DUMMYFUNCTION("""COMPUTED_VALUE"""),0.0)</f>
        <v>0</v>
      </c>
      <c r="AJ85" s="3">
        <f>IFERROR(__xludf.DUMMYFUNCTION("""COMPUTED_VALUE"""),0.0)</f>
        <v>0</v>
      </c>
      <c r="AK85" s="3">
        <f>IFERROR(__xludf.DUMMYFUNCTION("""COMPUTED_VALUE"""),0.0)</f>
        <v>0</v>
      </c>
      <c r="AL85" s="3">
        <f>IFERROR(__xludf.DUMMYFUNCTION("""COMPUTED_VALUE"""),0.0)</f>
        <v>0</v>
      </c>
      <c r="AM85" s="3">
        <f>IFERROR(__xludf.DUMMYFUNCTION("""COMPUTED_VALUE"""),0.0)</f>
        <v>0</v>
      </c>
      <c r="AN85" s="3">
        <f>IFERROR(__xludf.DUMMYFUNCTION("""COMPUTED_VALUE"""),0.0)</f>
        <v>0</v>
      </c>
      <c r="AO85" s="3">
        <f>IFERROR(__xludf.DUMMYFUNCTION("""COMPUTED_VALUE"""),0.0)</f>
        <v>0</v>
      </c>
      <c r="AP85" s="3">
        <f>IFERROR(__xludf.DUMMYFUNCTION("""COMPUTED_VALUE"""),0.0)</f>
        <v>0</v>
      </c>
      <c r="AQ85" s="3">
        <f>IFERROR(__xludf.DUMMYFUNCTION("""COMPUTED_VALUE"""),0.0)</f>
        <v>0</v>
      </c>
      <c r="AR85" s="3">
        <f>IFERROR(__xludf.DUMMYFUNCTION("""COMPUTED_VALUE"""),0.0)</f>
        <v>0</v>
      </c>
      <c r="AS85" s="3">
        <f>IFERROR(__xludf.DUMMYFUNCTION("""COMPUTED_VALUE"""),0.0)</f>
        <v>0</v>
      </c>
      <c r="AT85" s="3">
        <f>IFERROR(__xludf.DUMMYFUNCTION("""COMPUTED_VALUE"""),0.0)</f>
        <v>0</v>
      </c>
      <c r="AU85" s="3">
        <f>IFERROR(__xludf.DUMMYFUNCTION("""COMPUTED_VALUE"""),0.0)</f>
        <v>0</v>
      </c>
      <c r="AV85" s="3">
        <f>IFERROR(__xludf.DUMMYFUNCTION("""COMPUTED_VALUE"""),0.0)</f>
        <v>0</v>
      </c>
      <c r="AW85" s="3">
        <f>IFERROR(__xludf.DUMMYFUNCTION("""COMPUTED_VALUE"""),0.0)</f>
        <v>0</v>
      </c>
      <c r="AX85" s="3">
        <f>IFERROR(__xludf.DUMMYFUNCTION("""COMPUTED_VALUE"""),0.0)</f>
        <v>0</v>
      </c>
      <c r="AY85" s="3">
        <f>IFERROR(__xludf.DUMMYFUNCTION("""COMPUTED_VALUE"""),0.0)</f>
        <v>0</v>
      </c>
      <c r="AZ85" s="3">
        <f>IFERROR(__xludf.DUMMYFUNCTION("""COMPUTED_VALUE"""),0.0)</f>
        <v>0</v>
      </c>
      <c r="BA85" s="3">
        <f>IFERROR(__xludf.DUMMYFUNCTION("""COMPUTED_VALUE"""),0.0)</f>
        <v>0</v>
      </c>
      <c r="BB85" s="3">
        <f>IFERROR(__xludf.DUMMYFUNCTION("""COMPUTED_VALUE"""),0.0)</f>
        <v>0</v>
      </c>
      <c r="BC85" s="3">
        <f>IFERROR(__xludf.DUMMYFUNCTION("""COMPUTED_VALUE"""),0.0)</f>
        <v>0</v>
      </c>
      <c r="BD85" s="3">
        <f>IFERROR(__xludf.DUMMYFUNCTION("""COMPUTED_VALUE"""),0.0)</f>
        <v>0</v>
      </c>
      <c r="BE85" s="3">
        <f>IFERROR(__xludf.DUMMYFUNCTION("""COMPUTED_VALUE"""),0.0)</f>
        <v>0</v>
      </c>
      <c r="BF85" s="3">
        <f>IFERROR(__xludf.DUMMYFUNCTION("""COMPUTED_VALUE"""),0.0)</f>
        <v>0</v>
      </c>
      <c r="BG85" s="3">
        <f>IFERROR(__xludf.DUMMYFUNCTION("""COMPUTED_VALUE"""),0.0)</f>
        <v>0</v>
      </c>
      <c r="BH85" s="3">
        <f>IFERROR(__xludf.DUMMYFUNCTION("""COMPUTED_VALUE"""),0.0)</f>
        <v>0</v>
      </c>
      <c r="BI85" s="3">
        <f>IFERROR(__xludf.DUMMYFUNCTION("""COMPUTED_VALUE"""),0.0)</f>
        <v>0</v>
      </c>
      <c r="BJ85" s="3">
        <f>IFERROR(__xludf.DUMMYFUNCTION("""COMPUTED_VALUE"""),0.0)</f>
        <v>0</v>
      </c>
      <c r="BK85" s="3">
        <f>IFERROR(__xludf.DUMMYFUNCTION("""COMPUTED_VALUE"""),0.0)</f>
        <v>0</v>
      </c>
      <c r="BL85" s="3">
        <f>IFERROR(__xludf.DUMMYFUNCTION("""COMPUTED_VALUE"""),0.0)</f>
        <v>0</v>
      </c>
      <c r="BM85" s="3">
        <f>IFERROR(__xludf.DUMMYFUNCTION("""COMPUTED_VALUE"""),0.0)</f>
        <v>0</v>
      </c>
      <c r="BN85" s="3">
        <f>IFERROR(__xludf.DUMMYFUNCTION("""COMPUTED_VALUE"""),0.0)</f>
        <v>0</v>
      </c>
      <c r="BO85" s="3">
        <f>IFERROR(__xludf.DUMMYFUNCTION("""COMPUTED_VALUE"""),33.0)</f>
        <v>33</v>
      </c>
      <c r="BP85" s="3">
        <f>IFERROR(__xludf.DUMMYFUNCTION("""COMPUTED_VALUE"""),38.0)</f>
        <v>38</v>
      </c>
      <c r="BQ85" s="3">
        <f>IFERROR(__xludf.DUMMYFUNCTION("""COMPUTED_VALUE"""),47.0)</f>
        <v>47</v>
      </c>
      <c r="BR85" s="3">
        <f>IFERROR(__xludf.DUMMYFUNCTION("""COMPUTED_VALUE"""),54.0)</f>
        <v>54</v>
      </c>
      <c r="BS85" s="3">
        <f>IFERROR(__xludf.DUMMYFUNCTION("""COMPUTED_VALUE"""),54.0)</f>
        <v>54</v>
      </c>
      <c r="BT85" s="3">
        <f>IFERROR(__xludf.DUMMYFUNCTION("""COMPUTED_VALUE"""),70.0)</f>
        <v>70</v>
      </c>
      <c r="BU85" s="3">
        <f>IFERROR(__xludf.DUMMYFUNCTION("""COMPUTED_VALUE"""),70.0)</f>
        <v>70</v>
      </c>
      <c r="BV85" s="3">
        <f>IFERROR(__xludf.DUMMYFUNCTION("""COMPUTED_VALUE"""),74.0)</f>
        <v>74</v>
      </c>
      <c r="BW85" s="3">
        <f>IFERROR(__xludf.DUMMYFUNCTION("""COMPUTED_VALUE"""),75.0)</f>
        <v>75</v>
      </c>
      <c r="BX85" s="3">
        <f>IFERROR(__xludf.DUMMYFUNCTION("""COMPUTED_VALUE"""),81.0)</f>
        <v>81</v>
      </c>
      <c r="BY85" s="3">
        <f>IFERROR(__xludf.DUMMYFUNCTION("""COMPUTED_VALUE"""),91.0)</f>
        <v>91</v>
      </c>
      <c r="BZ85" s="3">
        <f>IFERROR(__xludf.DUMMYFUNCTION("""COMPUTED_VALUE"""),93.0)</f>
        <v>93</v>
      </c>
      <c r="CA85" s="3">
        <f>IFERROR(__xludf.DUMMYFUNCTION("""COMPUTED_VALUE"""),99.0)</f>
        <v>99</v>
      </c>
      <c r="CB85" s="3">
        <f>IFERROR(__xludf.DUMMYFUNCTION("""COMPUTED_VALUE"""),107.0)</f>
        <v>107</v>
      </c>
    </row>
    <row r="86">
      <c r="A86" s="3" t="str">
        <f>IFERROR(__xludf.DUMMYFUNCTION("""COMPUTED_VALUE"""),"Greenland")</f>
        <v>Greenland</v>
      </c>
      <c r="B86" s="3" t="str">
        <f>IFERROR(__xludf.DUMMYFUNCTION("""COMPUTED_VALUE"""),"Denmark")</f>
        <v>Denmark</v>
      </c>
      <c r="C86" s="3">
        <f>IFERROR(__xludf.DUMMYFUNCTION("""COMPUTED_VALUE"""),71.7069)</f>
        <v>71.7069</v>
      </c>
      <c r="D86" s="3">
        <f>IFERROR(__xludf.DUMMYFUNCTION("""COMPUTED_VALUE"""),-42.6043)</f>
        <v>-42.6043</v>
      </c>
      <c r="E86" s="3">
        <f>IFERROR(__xludf.DUMMYFUNCTION("""COMPUTED_VALUE"""),0.0)</f>
        <v>0</v>
      </c>
      <c r="F86" s="3">
        <f>IFERROR(__xludf.DUMMYFUNCTION("""COMPUTED_VALUE"""),0.0)</f>
        <v>0</v>
      </c>
      <c r="G86" s="3">
        <f>IFERROR(__xludf.DUMMYFUNCTION("""COMPUTED_VALUE"""),0.0)</f>
        <v>0</v>
      </c>
      <c r="H86" s="3">
        <f>IFERROR(__xludf.DUMMYFUNCTION("""COMPUTED_VALUE"""),0.0)</f>
        <v>0</v>
      </c>
      <c r="I86" s="3">
        <f>IFERROR(__xludf.DUMMYFUNCTION("""COMPUTED_VALUE"""),0.0)</f>
        <v>0</v>
      </c>
      <c r="J86" s="3">
        <f>IFERROR(__xludf.DUMMYFUNCTION("""COMPUTED_VALUE"""),0.0)</f>
        <v>0</v>
      </c>
      <c r="K86" s="3">
        <f>IFERROR(__xludf.DUMMYFUNCTION("""COMPUTED_VALUE"""),0.0)</f>
        <v>0</v>
      </c>
      <c r="L86" s="3">
        <f>IFERROR(__xludf.DUMMYFUNCTION("""COMPUTED_VALUE"""),0.0)</f>
        <v>0</v>
      </c>
      <c r="M86" s="3">
        <f>IFERROR(__xludf.DUMMYFUNCTION("""COMPUTED_VALUE"""),0.0)</f>
        <v>0</v>
      </c>
      <c r="N86" s="3">
        <f>IFERROR(__xludf.DUMMYFUNCTION("""COMPUTED_VALUE"""),0.0)</f>
        <v>0</v>
      </c>
      <c r="O86" s="3">
        <f>IFERROR(__xludf.DUMMYFUNCTION("""COMPUTED_VALUE"""),0.0)</f>
        <v>0</v>
      </c>
      <c r="P86" s="3">
        <f>IFERROR(__xludf.DUMMYFUNCTION("""COMPUTED_VALUE"""),0.0)</f>
        <v>0</v>
      </c>
      <c r="Q86" s="3">
        <f>IFERROR(__xludf.DUMMYFUNCTION("""COMPUTED_VALUE"""),0.0)</f>
        <v>0</v>
      </c>
      <c r="R86" s="3">
        <f>IFERROR(__xludf.DUMMYFUNCTION("""COMPUTED_VALUE"""),0.0)</f>
        <v>0</v>
      </c>
      <c r="S86" s="3">
        <f>IFERROR(__xludf.DUMMYFUNCTION("""COMPUTED_VALUE"""),0.0)</f>
        <v>0</v>
      </c>
      <c r="T86" s="3">
        <f>IFERROR(__xludf.DUMMYFUNCTION("""COMPUTED_VALUE"""),0.0)</f>
        <v>0</v>
      </c>
      <c r="U86" s="3">
        <f>IFERROR(__xludf.DUMMYFUNCTION("""COMPUTED_VALUE"""),0.0)</f>
        <v>0</v>
      </c>
      <c r="V86" s="3">
        <f>IFERROR(__xludf.DUMMYFUNCTION("""COMPUTED_VALUE"""),0.0)</f>
        <v>0</v>
      </c>
      <c r="W86" s="3">
        <f>IFERROR(__xludf.DUMMYFUNCTION("""COMPUTED_VALUE"""),0.0)</f>
        <v>0</v>
      </c>
      <c r="X86" s="3">
        <f>IFERROR(__xludf.DUMMYFUNCTION("""COMPUTED_VALUE"""),0.0)</f>
        <v>0</v>
      </c>
      <c r="Y86" s="3">
        <f>IFERROR(__xludf.DUMMYFUNCTION("""COMPUTED_VALUE"""),0.0)</f>
        <v>0</v>
      </c>
      <c r="Z86" s="3">
        <f>IFERROR(__xludf.DUMMYFUNCTION("""COMPUTED_VALUE"""),0.0)</f>
        <v>0</v>
      </c>
      <c r="AA86" s="3">
        <f>IFERROR(__xludf.DUMMYFUNCTION("""COMPUTED_VALUE"""),0.0)</f>
        <v>0</v>
      </c>
      <c r="AB86" s="3">
        <f>IFERROR(__xludf.DUMMYFUNCTION("""COMPUTED_VALUE"""),0.0)</f>
        <v>0</v>
      </c>
      <c r="AC86" s="3">
        <f>IFERROR(__xludf.DUMMYFUNCTION("""COMPUTED_VALUE"""),0.0)</f>
        <v>0</v>
      </c>
      <c r="AD86" s="3">
        <f>IFERROR(__xludf.DUMMYFUNCTION("""COMPUTED_VALUE"""),0.0)</f>
        <v>0</v>
      </c>
      <c r="AE86" s="3">
        <f>IFERROR(__xludf.DUMMYFUNCTION("""COMPUTED_VALUE"""),0.0)</f>
        <v>0</v>
      </c>
      <c r="AF86" s="3">
        <f>IFERROR(__xludf.DUMMYFUNCTION("""COMPUTED_VALUE"""),0.0)</f>
        <v>0</v>
      </c>
      <c r="AG86" s="3">
        <f>IFERROR(__xludf.DUMMYFUNCTION("""COMPUTED_VALUE"""),0.0)</f>
        <v>0</v>
      </c>
      <c r="AH86" s="3">
        <f>IFERROR(__xludf.DUMMYFUNCTION("""COMPUTED_VALUE"""),0.0)</f>
        <v>0</v>
      </c>
      <c r="AI86" s="3">
        <f>IFERROR(__xludf.DUMMYFUNCTION("""COMPUTED_VALUE"""),0.0)</f>
        <v>0</v>
      </c>
      <c r="AJ86" s="3">
        <f>IFERROR(__xludf.DUMMYFUNCTION("""COMPUTED_VALUE"""),0.0)</f>
        <v>0</v>
      </c>
      <c r="AK86" s="3">
        <f>IFERROR(__xludf.DUMMYFUNCTION("""COMPUTED_VALUE"""),0.0)</f>
        <v>0</v>
      </c>
      <c r="AL86" s="3">
        <f>IFERROR(__xludf.DUMMYFUNCTION("""COMPUTED_VALUE"""),0.0)</f>
        <v>0</v>
      </c>
      <c r="AM86" s="3">
        <f>IFERROR(__xludf.DUMMYFUNCTION("""COMPUTED_VALUE"""),0.0)</f>
        <v>0</v>
      </c>
      <c r="AN86" s="3">
        <f>IFERROR(__xludf.DUMMYFUNCTION("""COMPUTED_VALUE"""),0.0)</f>
        <v>0</v>
      </c>
      <c r="AO86" s="3">
        <f>IFERROR(__xludf.DUMMYFUNCTION("""COMPUTED_VALUE"""),0.0)</f>
        <v>0</v>
      </c>
      <c r="AP86" s="3">
        <f>IFERROR(__xludf.DUMMYFUNCTION("""COMPUTED_VALUE"""),0.0)</f>
        <v>0</v>
      </c>
      <c r="AQ86" s="3">
        <f>IFERROR(__xludf.DUMMYFUNCTION("""COMPUTED_VALUE"""),0.0)</f>
        <v>0</v>
      </c>
      <c r="AR86" s="3">
        <f>IFERROR(__xludf.DUMMYFUNCTION("""COMPUTED_VALUE"""),0.0)</f>
        <v>0</v>
      </c>
      <c r="AS86" s="3">
        <f>IFERROR(__xludf.DUMMYFUNCTION("""COMPUTED_VALUE"""),0.0)</f>
        <v>0</v>
      </c>
      <c r="AT86" s="3">
        <f>IFERROR(__xludf.DUMMYFUNCTION("""COMPUTED_VALUE"""),0.0)</f>
        <v>0</v>
      </c>
      <c r="AU86" s="3">
        <f>IFERROR(__xludf.DUMMYFUNCTION("""COMPUTED_VALUE"""),0.0)</f>
        <v>0</v>
      </c>
      <c r="AV86" s="3">
        <f>IFERROR(__xludf.DUMMYFUNCTION("""COMPUTED_VALUE"""),0.0)</f>
        <v>0</v>
      </c>
      <c r="AW86" s="3">
        <f>IFERROR(__xludf.DUMMYFUNCTION("""COMPUTED_VALUE"""),0.0)</f>
        <v>0</v>
      </c>
      <c r="AX86" s="3">
        <f>IFERROR(__xludf.DUMMYFUNCTION("""COMPUTED_VALUE"""),0.0)</f>
        <v>0</v>
      </c>
      <c r="AY86" s="3">
        <f>IFERROR(__xludf.DUMMYFUNCTION("""COMPUTED_VALUE"""),0.0)</f>
        <v>0</v>
      </c>
      <c r="AZ86" s="3">
        <f>IFERROR(__xludf.DUMMYFUNCTION("""COMPUTED_VALUE"""),0.0)</f>
        <v>0</v>
      </c>
      <c r="BA86" s="3">
        <f>IFERROR(__xludf.DUMMYFUNCTION("""COMPUTED_VALUE"""),0.0)</f>
        <v>0</v>
      </c>
      <c r="BB86" s="3">
        <f>IFERROR(__xludf.DUMMYFUNCTION("""COMPUTED_VALUE"""),0.0)</f>
        <v>0</v>
      </c>
      <c r="BC86" s="3">
        <f>IFERROR(__xludf.DUMMYFUNCTION("""COMPUTED_VALUE"""),0.0)</f>
        <v>0</v>
      </c>
      <c r="BD86" s="3">
        <f>IFERROR(__xludf.DUMMYFUNCTION("""COMPUTED_VALUE"""),0.0)</f>
        <v>0</v>
      </c>
      <c r="BE86" s="3">
        <f>IFERROR(__xludf.DUMMYFUNCTION("""COMPUTED_VALUE"""),0.0)</f>
        <v>0</v>
      </c>
      <c r="BF86" s="3">
        <f>IFERROR(__xludf.DUMMYFUNCTION("""COMPUTED_VALUE"""),0.0)</f>
        <v>0</v>
      </c>
      <c r="BG86" s="3">
        <f>IFERROR(__xludf.DUMMYFUNCTION("""COMPUTED_VALUE"""),0.0)</f>
        <v>0</v>
      </c>
      <c r="BH86" s="3">
        <f>IFERROR(__xludf.DUMMYFUNCTION("""COMPUTED_VALUE"""),0.0)</f>
        <v>0</v>
      </c>
      <c r="BI86" s="3">
        <f>IFERROR(__xludf.DUMMYFUNCTION("""COMPUTED_VALUE"""),0.0)</f>
        <v>0</v>
      </c>
      <c r="BJ86" s="3">
        <f>IFERROR(__xludf.DUMMYFUNCTION("""COMPUTED_VALUE"""),0.0)</f>
        <v>0</v>
      </c>
      <c r="BK86" s="3">
        <f>IFERROR(__xludf.DUMMYFUNCTION("""COMPUTED_VALUE"""),0.0)</f>
        <v>0</v>
      </c>
      <c r="BL86" s="3">
        <f>IFERROR(__xludf.DUMMYFUNCTION("""COMPUTED_VALUE"""),0.0)</f>
        <v>0</v>
      </c>
      <c r="BM86" s="3">
        <f>IFERROR(__xludf.DUMMYFUNCTION("""COMPUTED_VALUE"""),0.0)</f>
        <v>0</v>
      </c>
      <c r="BN86" s="3">
        <f>IFERROR(__xludf.DUMMYFUNCTION("""COMPUTED_VALUE"""),0.0)</f>
        <v>0</v>
      </c>
      <c r="BO86" s="3">
        <f>IFERROR(__xludf.DUMMYFUNCTION("""COMPUTED_VALUE"""),2.0)</f>
        <v>2</v>
      </c>
      <c r="BP86" s="3">
        <f>IFERROR(__xludf.DUMMYFUNCTION("""COMPUTED_VALUE"""),2.0)</f>
        <v>2</v>
      </c>
      <c r="BQ86" s="3">
        <f>IFERROR(__xludf.DUMMYFUNCTION("""COMPUTED_VALUE"""),2.0)</f>
        <v>2</v>
      </c>
      <c r="BR86" s="3">
        <f>IFERROR(__xludf.DUMMYFUNCTION("""COMPUTED_VALUE"""),2.0)</f>
        <v>2</v>
      </c>
      <c r="BS86" s="3">
        <f>IFERROR(__xludf.DUMMYFUNCTION("""COMPUTED_VALUE"""),2.0)</f>
        <v>2</v>
      </c>
      <c r="BT86" s="3">
        <f>IFERROR(__xludf.DUMMYFUNCTION("""COMPUTED_VALUE"""),2.0)</f>
        <v>2</v>
      </c>
      <c r="BU86" s="3">
        <f>IFERROR(__xludf.DUMMYFUNCTION("""COMPUTED_VALUE"""),2.0)</f>
        <v>2</v>
      </c>
      <c r="BV86" s="3">
        <f>IFERROR(__xludf.DUMMYFUNCTION("""COMPUTED_VALUE"""),2.0)</f>
        <v>2</v>
      </c>
      <c r="BW86" s="3">
        <f>IFERROR(__xludf.DUMMYFUNCTION("""COMPUTED_VALUE"""),2.0)</f>
        <v>2</v>
      </c>
      <c r="BX86" s="3">
        <f>IFERROR(__xludf.DUMMYFUNCTION("""COMPUTED_VALUE"""),2.0)</f>
        <v>2</v>
      </c>
      <c r="BY86" s="3">
        <f>IFERROR(__xludf.DUMMYFUNCTION("""COMPUTED_VALUE"""),3.0)</f>
        <v>3</v>
      </c>
      <c r="BZ86" s="3">
        <f>IFERROR(__xludf.DUMMYFUNCTION("""COMPUTED_VALUE"""),3.0)</f>
        <v>3</v>
      </c>
      <c r="CA86" s="3">
        <f>IFERROR(__xludf.DUMMYFUNCTION("""COMPUTED_VALUE"""),3.0)</f>
        <v>3</v>
      </c>
      <c r="CB86" s="3">
        <f>IFERROR(__xludf.DUMMYFUNCTION("""COMPUTED_VALUE"""),4.0)</f>
        <v>4</v>
      </c>
    </row>
    <row r="87">
      <c r="A87" s="3" t="str">
        <f>IFERROR(__xludf.DUMMYFUNCTION("""COMPUTED_VALUE"""),"")</f>
        <v/>
      </c>
      <c r="B87" s="3" t="str">
        <f>IFERROR(__xludf.DUMMYFUNCTION("""COMPUTED_VALUE"""),"Denmark")</f>
        <v>Denmark</v>
      </c>
      <c r="C87" s="3">
        <f>IFERROR(__xludf.DUMMYFUNCTION("""COMPUTED_VALUE"""),56.2639)</f>
        <v>56.2639</v>
      </c>
      <c r="D87" s="3">
        <f>IFERROR(__xludf.DUMMYFUNCTION("""COMPUTED_VALUE"""),9.5018)</f>
        <v>9.5018</v>
      </c>
      <c r="E87" s="3">
        <f>IFERROR(__xludf.DUMMYFUNCTION("""COMPUTED_VALUE"""),0.0)</f>
        <v>0</v>
      </c>
      <c r="F87" s="3">
        <f>IFERROR(__xludf.DUMMYFUNCTION("""COMPUTED_VALUE"""),0.0)</f>
        <v>0</v>
      </c>
      <c r="G87" s="3">
        <f>IFERROR(__xludf.DUMMYFUNCTION("""COMPUTED_VALUE"""),0.0)</f>
        <v>0</v>
      </c>
      <c r="H87" s="3">
        <f>IFERROR(__xludf.DUMMYFUNCTION("""COMPUTED_VALUE"""),0.0)</f>
        <v>0</v>
      </c>
      <c r="I87" s="3">
        <f>IFERROR(__xludf.DUMMYFUNCTION("""COMPUTED_VALUE"""),0.0)</f>
        <v>0</v>
      </c>
      <c r="J87" s="3">
        <f>IFERROR(__xludf.DUMMYFUNCTION("""COMPUTED_VALUE"""),0.0)</f>
        <v>0</v>
      </c>
      <c r="K87" s="3">
        <f>IFERROR(__xludf.DUMMYFUNCTION("""COMPUTED_VALUE"""),0.0)</f>
        <v>0</v>
      </c>
      <c r="L87" s="3">
        <f>IFERROR(__xludf.DUMMYFUNCTION("""COMPUTED_VALUE"""),0.0)</f>
        <v>0</v>
      </c>
      <c r="M87" s="3">
        <f>IFERROR(__xludf.DUMMYFUNCTION("""COMPUTED_VALUE"""),0.0)</f>
        <v>0</v>
      </c>
      <c r="N87" s="3">
        <f>IFERROR(__xludf.DUMMYFUNCTION("""COMPUTED_VALUE"""),0.0)</f>
        <v>0</v>
      </c>
      <c r="O87" s="3">
        <f>IFERROR(__xludf.DUMMYFUNCTION("""COMPUTED_VALUE"""),0.0)</f>
        <v>0</v>
      </c>
      <c r="P87" s="3">
        <f>IFERROR(__xludf.DUMMYFUNCTION("""COMPUTED_VALUE"""),0.0)</f>
        <v>0</v>
      </c>
      <c r="Q87" s="3">
        <f>IFERROR(__xludf.DUMMYFUNCTION("""COMPUTED_VALUE"""),0.0)</f>
        <v>0</v>
      </c>
      <c r="R87" s="3">
        <f>IFERROR(__xludf.DUMMYFUNCTION("""COMPUTED_VALUE"""),0.0)</f>
        <v>0</v>
      </c>
      <c r="S87" s="3">
        <f>IFERROR(__xludf.DUMMYFUNCTION("""COMPUTED_VALUE"""),0.0)</f>
        <v>0</v>
      </c>
      <c r="T87" s="3">
        <f>IFERROR(__xludf.DUMMYFUNCTION("""COMPUTED_VALUE"""),0.0)</f>
        <v>0</v>
      </c>
      <c r="U87" s="3">
        <f>IFERROR(__xludf.DUMMYFUNCTION("""COMPUTED_VALUE"""),0.0)</f>
        <v>0</v>
      </c>
      <c r="V87" s="3">
        <f>IFERROR(__xludf.DUMMYFUNCTION("""COMPUTED_VALUE"""),0.0)</f>
        <v>0</v>
      </c>
      <c r="W87" s="3">
        <f>IFERROR(__xludf.DUMMYFUNCTION("""COMPUTED_VALUE"""),0.0)</f>
        <v>0</v>
      </c>
      <c r="X87" s="3">
        <f>IFERROR(__xludf.DUMMYFUNCTION("""COMPUTED_VALUE"""),0.0)</f>
        <v>0</v>
      </c>
      <c r="Y87" s="3">
        <f>IFERROR(__xludf.DUMMYFUNCTION("""COMPUTED_VALUE"""),0.0)</f>
        <v>0</v>
      </c>
      <c r="Z87" s="3">
        <f>IFERROR(__xludf.DUMMYFUNCTION("""COMPUTED_VALUE"""),0.0)</f>
        <v>0</v>
      </c>
      <c r="AA87" s="3">
        <f>IFERROR(__xludf.DUMMYFUNCTION("""COMPUTED_VALUE"""),0.0)</f>
        <v>0</v>
      </c>
      <c r="AB87" s="3">
        <f>IFERROR(__xludf.DUMMYFUNCTION("""COMPUTED_VALUE"""),0.0)</f>
        <v>0</v>
      </c>
      <c r="AC87" s="3">
        <f>IFERROR(__xludf.DUMMYFUNCTION("""COMPUTED_VALUE"""),0.0)</f>
        <v>0</v>
      </c>
      <c r="AD87" s="3">
        <f>IFERROR(__xludf.DUMMYFUNCTION("""COMPUTED_VALUE"""),0.0)</f>
        <v>0</v>
      </c>
      <c r="AE87" s="3">
        <f>IFERROR(__xludf.DUMMYFUNCTION("""COMPUTED_VALUE"""),0.0)</f>
        <v>0</v>
      </c>
      <c r="AF87" s="3">
        <f>IFERROR(__xludf.DUMMYFUNCTION("""COMPUTED_VALUE"""),0.0)</f>
        <v>0</v>
      </c>
      <c r="AG87" s="3">
        <f>IFERROR(__xludf.DUMMYFUNCTION("""COMPUTED_VALUE"""),0.0)</f>
        <v>0</v>
      </c>
      <c r="AH87" s="3">
        <f>IFERROR(__xludf.DUMMYFUNCTION("""COMPUTED_VALUE"""),0.0)</f>
        <v>0</v>
      </c>
      <c r="AI87" s="3">
        <f>IFERROR(__xludf.DUMMYFUNCTION("""COMPUTED_VALUE"""),0.0)</f>
        <v>0</v>
      </c>
      <c r="AJ87" s="3">
        <f>IFERROR(__xludf.DUMMYFUNCTION("""COMPUTED_VALUE"""),0.0)</f>
        <v>0</v>
      </c>
      <c r="AK87" s="3">
        <f>IFERROR(__xludf.DUMMYFUNCTION("""COMPUTED_VALUE"""),0.0)</f>
        <v>0</v>
      </c>
      <c r="AL87" s="3">
        <f>IFERROR(__xludf.DUMMYFUNCTION("""COMPUTED_VALUE"""),0.0)</f>
        <v>0</v>
      </c>
      <c r="AM87" s="3">
        <f>IFERROR(__xludf.DUMMYFUNCTION("""COMPUTED_VALUE"""),0.0)</f>
        <v>0</v>
      </c>
      <c r="AN87" s="3">
        <f>IFERROR(__xludf.DUMMYFUNCTION("""COMPUTED_VALUE"""),0.0)</f>
        <v>0</v>
      </c>
      <c r="AO87" s="3">
        <f>IFERROR(__xludf.DUMMYFUNCTION("""COMPUTED_VALUE"""),0.0)</f>
        <v>0</v>
      </c>
      <c r="AP87" s="3">
        <f>IFERROR(__xludf.DUMMYFUNCTION("""COMPUTED_VALUE"""),0.0)</f>
        <v>0</v>
      </c>
      <c r="AQ87" s="3">
        <f>IFERROR(__xludf.DUMMYFUNCTION("""COMPUTED_VALUE"""),0.0)</f>
        <v>0</v>
      </c>
      <c r="AR87" s="3">
        <f>IFERROR(__xludf.DUMMYFUNCTION("""COMPUTED_VALUE"""),0.0)</f>
        <v>0</v>
      </c>
      <c r="AS87" s="3">
        <f>IFERROR(__xludf.DUMMYFUNCTION("""COMPUTED_VALUE"""),0.0)</f>
        <v>0</v>
      </c>
      <c r="AT87" s="3">
        <f>IFERROR(__xludf.DUMMYFUNCTION("""COMPUTED_VALUE"""),0.0)</f>
        <v>0</v>
      </c>
      <c r="AU87" s="3">
        <f>IFERROR(__xludf.DUMMYFUNCTION("""COMPUTED_VALUE"""),0.0)</f>
        <v>0</v>
      </c>
      <c r="AV87" s="3">
        <f>IFERROR(__xludf.DUMMYFUNCTION("""COMPUTED_VALUE"""),0.0)</f>
        <v>0</v>
      </c>
      <c r="AW87" s="3">
        <f>IFERROR(__xludf.DUMMYFUNCTION("""COMPUTED_VALUE"""),1.0)</f>
        <v>1</v>
      </c>
      <c r="AX87" s="3">
        <f>IFERROR(__xludf.DUMMYFUNCTION("""COMPUTED_VALUE"""),1.0)</f>
        <v>1</v>
      </c>
      <c r="AY87" s="3">
        <f>IFERROR(__xludf.DUMMYFUNCTION("""COMPUTED_VALUE"""),1.0)</f>
        <v>1</v>
      </c>
      <c r="AZ87" s="3">
        <f>IFERROR(__xludf.DUMMYFUNCTION("""COMPUTED_VALUE"""),1.0)</f>
        <v>1</v>
      </c>
      <c r="BA87" s="3">
        <f>IFERROR(__xludf.DUMMYFUNCTION("""COMPUTED_VALUE"""),1.0)</f>
        <v>1</v>
      </c>
      <c r="BB87" s="3">
        <f>IFERROR(__xludf.DUMMYFUNCTION("""COMPUTED_VALUE"""),1.0)</f>
        <v>1</v>
      </c>
      <c r="BC87" s="3">
        <f>IFERROR(__xludf.DUMMYFUNCTION("""COMPUTED_VALUE"""),1.0)</f>
        <v>1</v>
      </c>
      <c r="BD87" s="3">
        <f>IFERROR(__xludf.DUMMYFUNCTION("""COMPUTED_VALUE"""),1.0)</f>
        <v>1</v>
      </c>
      <c r="BE87" s="3">
        <f>IFERROR(__xludf.DUMMYFUNCTION("""COMPUTED_VALUE"""),1.0)</f>
        <v>1</v>
      </c>
      <c r="BF87" s="3">
        <f>IFERROR(__xludf.DUMMYFUNCTION("""COMPUTED_VALUE"""),1.0)</f>
        <v>1</v>
      </c>
      <c r="BG87" s="3">
        <f>IFERROR(__xludf.DUMMYFUNCTION("""COMPUTED_VALUE"""),1.0)</f>
        <v>1</v>
      </c>
      <c r="BH87" s="3">
        <f>IFERROR(__xludf.DUMMYFUNCTION("""COMPUTED_VALUE"""),1.0)</f>
        <v>1</v>
      </c>
      <c r="BI87" s="3">
        <f>IFERROR(__xludf.DUMMYFUNCTION("""COMPUTED_VALUE"""),1.0)</f>
        <v>1</v>
      </c>
      <c r="BJ87" s="3">
        <f>IFERROR(__xludf.DUMMYFUNCTION("""COMPUTED_VALUE"""),1.0)</f>
        <v>1</v>
      </c>
      <c r="BK87" s="3">
        <f>IFERROR(__xludf.DUMMYFUNCTION("""COMPUTED_VALUE"""),1.0)</f>
        <v>1</v>
      </c>
      <c r="BL87" s="3">
        <f>IFERROR(__xludf.DUMMYFUNCTION("""COMPUTED_VALUE"""),1.0)</f>
        <v>1</v>
      </c>
      <c r="BM87" s="3">
        <f>IFERROR(__xludf.DUMMYFUNCTION("""COMPUTED_VALUE"""),1.0)</f>
        <v>1</v>
      </c>
      <c r="BN87" s="3">
        <f>IFERROR(__xludf.DUMMYFUNCTION("""COMPUTED_VALUE"""),1.0)</f>
        <v>1</v>
      </c>
      <c r="BO87" s="3">
        <f>IFERROR(__xludf.DUMMYFUNCTION("""COMPUTED_VALUE"""),1.0)</f>
        <v>1</v>
      </c>
      <c r="BP87" s="3">
        <f>IFERROR(__xludf.DUMMYFUNCTION("""COMPUTED_VALUE"""),1.0)</f>
        <v>1</v>
      </c>
      <c r="BQ87" s="3">
        <f>IFERROR(__xludf.DUMMYFUNCTION("""COMPUTED_VALUE"""),1.0)</f>
        <v>1</v>
      </c>
      <c r="BR87" s="3">
        <f>IFERROR(__xludf.DUMMYFUNCTION("""COMPUTED_VALUE"""),1.0)</f>
        <v>1</v>
      </c>
      <c r="BS87" s="3">
        <f>IFERROR(__xludf.DUMMYFUNCTION("""COMPUTED_VALUE"""),1.0)</f>
        <v>1</v>
      </c>
      <c r="BT87" s="3">
        <f>IFERROR(__xludf.DUMMYFUNCTION("""COMPUTED_VALUE"""),1.0)</f>
        <v>1</v>
      </c>
      <c r="BU87" s="3">
        <f>IFERROR(__xludf.DUMMYFUNCTION("""COMPUTED_VALUE"""),1.0)</f>
        <v>1</v>
      </c>
      <c r="BV87" s="3">
        <f>IFERROR(__xludf.DUMMYFUNCTION("""COMPUTED_VALUE"""),1.0)</f>
        <v>1</v>
      </c>
      <c r="BW87" s="3">
        <f>IFERROR(__xludf.DUMMYFUNCTION("""COMPUTED_VALUE"""),894.0)</f>
        <v>894</v>
      </c>
      <c r="BX87" s="3">
        <f>IFERROR(__xludf.DUMMYFUNCTION("""COMPUTED_VALUE"""),1089.0)</f>
        <v>1089</v>
      </c>
      <c r="BY87" s="3">
        <f>IFERROR(__xludf.DUMMYFUNCTION("""COMPUTED_VALUE"""),1193.0)</f>
        <v>1193</v>
      </c>
      <c r="BZ87" s="3">
        <f>IFERROR(__xludf.DUMMYFUNCTION("""COMPUTED_VALUE"""),1283.0)</f>
        <v>1283</v>
      </c>
      <c r="CA87" s="3">
        <f>IFERROR(__xludf.DUMMYFUNCTION("""COMPUTED_VALUE"""),1327.0)</f>
        <v>1327</v>
      </c>
      <c r="CB87" s="3">
        <f>IFERROR(__xludf.DUMMYFUNCTION("""COMPUTED_VALUE"""),1378.0)</f>
        <v>1378</v>
      </c>
    </row>
    <row r="88">
      <c r="A88" s="3" t="str">
        <f>IFERROR(__xludf.DUMMYFUNCTION("""COMPUTED_VALUE"""),"")</f>
        <v/>
      </c>
      <c r="B88" s="3" t="str">
        <f>IFERROR(__xludf.DUMMYFUNCTION("""COMPUTED_VALUE"""),"Djibouti")</f>
        <v>Djibouti</v>
      </c>
      <c r="C88" s="3">
        <f>IFERROR(__xludf.DUMMYFUNCTION("""COMPUTED_VALUE"""),11.8251)</f>
        <v>11.8251</v>
      </c>
      <c r="D88" s="3">
        <f>IFERROR(__xludf.DUMMYFUNCTION("""COMPUTED_VALUE"""),42.5903)</f>
        <v>42.5903</v>
      </c>
      <c r="E88" s="3">
        <f>IFERROR(__xludf.DUMMYFUNCTION("""COMPUTED_VALUE"""),0.0)</f>
        <v>0</v>
      </c>
      <c r="F88" s="3">
        <f>IFERROR(__xludf.DUMMYFUNCTION("""COMPUTED_VALUE"""),0.0)</f>
        <v>0</v>
      </c>
      <c r="G88" s="3">
        <f>IFERROR(__xludf.DUMMYFUNCTION("""COMPUTED_VALUE"""),0.0)</f>
        <v>0</v>
      </c>
      <c r="H88" s="3">
        <f>IFERROR(__xludf.DUMMYFUNCTION("""COMPUTED_VALUE"""),0.0)</f>
        <v>0</v>
      </c>
      <c r="I88" s="3">
        <f>IFERROR(__xludf.DUMMYFUNCTION("""COMPUTED_VALUE"""),0.0)</f>
        <v>0</v>
      </c>
      <c r="J88" s="3">
        <f>IFERROR(__xludf.DUMMYFUNCTION("""COMPUTED_VALUE"""),0.0)</f>
        <v>0</v>
      </c>
      <c r="K88" s="3">
        <f>IFERROR(__xludf.DUMMYFUNCTION("""COMPUTED_VALUE"""),0.0)</f>
        <v>0</v>
      </c>
      <c r="L88" s="3">
        <f>IFERROR(__xludf.DUMMYFUNCTION("""COMPUTED_VALUE"""),0.0)</f>
        <v>0</v>
      </c>
      <c r="M88" s="3">
        <f>IFERROR(__xludf.DUMMYFUNCTION("""COMPUTED_VALUE"""),0.0)</f>
        <v>0</v>
      </c>
      <c r="N88" s="3">
        <f>IFERROR(__xludf.DUMMYFUNCTION("""COMPUTED_VALUE"""),0.0)</f>
        <v>0</v>
      </c>
      <c r="O88" s="3">
        <f>IFERROR(__xludf.DUMMYFUNCTION("""COMPUTED_VALUE"""),0.0)</f>
        <v>0</v>
      </c>
      <c r="P88" s="3">
        <f>IFERROR(__xludf.DUMMYFUNCTION("""COMPUTED_VALUE"""),0.0)</f>
        <v>0</v>
      </c>
      <c r="Q88" s="3">
        <f>IFERROR(__xludf.DUMMYFUNCTION("""COMPUTED_VALUE"""),0.0)</f>
        <v>0</v>
      </c>
      <c r="R88" s="3">
        <f>IFERROR(__xludf.DUMMYFUNCTION("""COMPUTED_VALUE"""),0.0)</f>
        <v>0</v>
      </c>
      <c r="S88" s="3">
        <f>IFERROR(__xludf.DUMMYFUNCTION("""COMPUTED_VALUE"""),0.0)</f>
        <v>0</v>
      </c>
      <c r="T88" s="3">
        <f>IFERROR(__xludf.DUMMYFUNCTION("""COMPUTED_VALUE"""),0.0)</f>
        <v>0</v>
      </c>
      <c r="U88" s="3">
        <f>IFERROR(__xludf.DUMMYFUNCTION("""COMPUTED_VALUE"""),0.0)</f>
        <v>0</v>
      </c>
      <c r="V88" s="3">
        <f>IFERROR(__xludf.DUMMYFUNCTION("""COMPUTED_VALUE"""),0.0)</f>
        <v>0</v>
      </c>
      <c r="W88" s="3">
        <f>IFERROR(__xludf.DUMMYFUNCTION("""COMPUTED_VALUE"""),0.0)</f>
        <v>0</v>
      </c>
      <c r="X88" s="3">
        <f>IFERROR(__xludf.DUMMYFUNCTION("""COMPUTED_VALUE"""),0.0)</f>
        <v>0</v>
      </c>
      <c r="Y88" s="3">
        <f>IFERROR(__xludf.DUMMYFUNCTION("""COMPUTED_VALUE"""),0.0)</f>
        <v>0</v>
      </c>
      <c r="Z88" s="3">
        <f>IFERROR(__xludf.DUMMYFUNCTION("""COMPUTED_VALUE"""),0.0)</f>
        <v>0</v>
      </c>
      <c r="AA88" s="3">
        <f>IFERROR(__xludf.DUMMYFUNCTION("""COMPUTED_VALUE"""),0.0)</f>
        <v>0</v>
      </c>
      <c r="AB88" s="3">
        <f>IFERROR(__xludf.DUMMYFUNCTION("""COMPUTED_VALUE"""),0.0)</f>
        <v>0</v>
      </c>
      <c r="AC88" s="3">
        <f>IFERROR(__xludf.DUMMYFUNCTION("""COMPUTED_VALUE"""),0.0)</f>
        <v>0</v>
      </c>
      <c r="AD88" s="3">
        <f>IFERROR(__xludf.DUMMYFUNCTION("""COMPUTED_VALUE"""),0.0)</f>
        <v>0</v>
      </c>
      <c r="AE88" s="3">
        <f>IFERROR(__xludf.DUMMYFUNCTION("""COMPUTED_VALUE"""),0.0)</f>
        <v>0</v>
      </c>
      <c r="AF88" s="3">
        <f>IFERROR(__xludf.DUMMYFUNCTION("""COMPUTED_VALUE"""),0.0)</f>
        <v>0</v>
      </c>
      <c r="AG88" s="3">
        <f>IFERROR(__xludf.DUMMYFUNCTION("""COMPUTED_VALUE"""),0.0)</f>
        <v>0</v>
      </c>
      <c r="AH88" s="3">
        <f>IFERROR(__xludf.DUMMYFUNCTION("""COMPUTED_VALUE"""),0.0)</f>
        <v>0</v>
      </c>
      <c r="AI88" s="3">
        <f>IFERROR(__xludf.DUMMYFUNCTION("""COMPUTED_VALUE"""),0.0)</f>
        <v>0</v>
      </c>
      <c r="AJ88" s="3">
        <f>IFERROR(__xludf.DUMMYFUNCTION("""COMPUTED_VALUE"""),0.0)</f>
        <v>0</v>
      </c>
      <c r="AK88" s="3">
        <f>IFERROR(__xludf.DUMMYFUNCTION("""COMPUTED_VALUE"""),0.0)</f>
        <v>0</v>
      </c>
      <c r="AL88" s="3">
        <f>IFERROR(__xludf.DUMMYFUNCTION("""COMPUTED_VALUE"""),0.0)</f>
        <v>0</v>
      </c>
      <c r="AM88" s="3">
        <f>IFERROR(__xludf.DUMMYFUNCTION("""COMPUTED_VALUE"""),0.0)</f>
        <v>0</v>
      </c>
      <c r="AN88" s="3">
        <f>IFERROR(__xludf.DUMMYFUNCTION("""COMPUTED_VALUE"""),0.0)</f>
        <v>0</v>
      </c>
      <c r="AO88" s="3">
        <f>IFERROR(__xludf.DUMMYFUNCTION("""COMPUTED_VALUE"""),0.0)</f>
        <v>0</v>
      </c>
      <c r="AP88" s="3">
        <f>IFERROR(__xludf.DUMMYFUNCTION("""COMPUTED_VALUE"""),0.0)</f>
        <v>0</v>
      </c>
      <c r="AQ88" s="3">
        <f>IFERROR(__xludf.DUMMYFUNCTION("""COMPUTED_VALUE"""),0.0)</f>
        <v>0</v>
      </c>
      <c r="AR88" s="3">
        <f>IFERROR(__xludf.DUMMYFUNCTION("""COMPUTED_VALUE"""),0.0)</f>
        <v>0</v>
      </c>
      <c r="AS88" s="3">
        <f>IFERROR(__xludf.DUMMYFUNCTION("""COMPUTED_VALUE"""),0.0)</f>
        <v>0</v>
      </c>
      <c r="AT88" s="3">
        <f>IFERROR(__xludf.DUMMYFUNCTION("""COMPUTED_VALUE"""),0.0)</f>
        <v>0</v>
      </c>
      <c r="AU88" s="3">
        <f>IFERROR(__xludf.DUMMYFUNCTION("""COMPUTED_VALUE"""),0.0)</f>
        <v>0</v>
      </c>
      <c r="AV88" s="3">
        <f>IFERROR(__xludf.DUMMYFUNCTION("""COMPUTED_VALUE"""),0.0)</f>
        <v>0</v>
      </c>
      <c r="AW88" s="3">
        <f>IFERROR(__xludf.DUMMYFUNCTION("""COMPUTED_VALUE"""),0.0)</f>
        <v>0</v>
      </c>
      <c r="AX88" s="3">
        <f>IFERROR(__xludf.DUMMYFUNCTION("""COMPUTED_VALUE"""),0.0)</f>
        <v>0</v>
      </c>
      <c r="AY88" s="3">
        <f>IFERROR(__xludf.DUMMYFUNCTION("""COMPUTED_VALUE"""),0.0)</f>
        <v>0</v>
      </c>
      <c r="AZ88" s="3">
        <f>IFERROR(__xludf.DUMMYFUNCTION("""COMPUTED_VALUE"""),0.0)</f>
        <v>0</v>
      </c>
      <c r="BA88" s="3">
        <f>IFERROR(__xludf.DUMMYFUNCTION("""COMPUTED_VALUE"""),0.0)</f>
        <v>0</v>
      </c>
      <c r="BB88" s="3">
        <f>IFERROR(__xludf.DUMMYFUNCTION("""COMPUTED_VALUE"""),0.0)</f>
        <v>0</v>
      </c>
      <c r="BC88" s="3">
        <f>IFERROR(__xludf.DUMMYFUNCTION("""COMPUTED_VALUE"""),0.0)</f>
        <v>0</v>
      </c>
      <c r="BD88" s="3">
        <f>IFERROR(__xludf.DUMMYFUNCTION("""COMPUTED_VALUE"""),0.0)</f>
        <v>0</v>
      </c>
      <c r="BE88" s="3">
        <f>IFERROR(__xludf.DUMMYFUNCTION("""COMPUTED_VALUE"""),0.0)</f>
        <v>0</v>
      </c>
      <c r="BF88" s="3">
        <f>IFERROR(__xludf.DUMMYFUNCTION("""COMPUTED_VALUE"""),0.0)</f>
        <v>0</v>
      </c>
      <c r="BG88" s="3">
        <f>IFERROR(__xludf.DUMMYFUNCTION("""COMPUTED_VALUE"""),0.0)</f>
        <v>0</v>
      </c>
      <c r="BH88" s="3">
        <f>IFERROR(__xludf.DUMMYFUNCTION("""COMPUTED_VALUE"""),0.0)</f>
        <v>0</v>
      </c>
      <c r="BI88" s="3">
        <f>IFERROR(__xludf.DUMMYFUNCTION("""COMPUTED_VALUE"""),0.0)</f>
        <v>0</v>
      </c>
      <c r="BJ88" s="3">
        <f>IFERROR(__xludf.DUMMYFUNCTION("""COMPUTED_VALUE"""),0.0)</f>
        <v>0</v>
      </c>
      <c r="BK88" s="3">
        <f>IFERROR(__xludf.DUMMYFUNCTION("""COMPUTED_VALUE"""),0.0)</f>
        <v>0</v>
      </c>
      <c r="BL88" s="3">
        <f>IFERROR(__xludf.DUMMYFUNCTION("""COMPUTED_VALUE"""),0.0)</f>
        <v>0</v>
      </c>
      <c r="BM88" s="3">
        <f>IFERROR(__xludf.DUMMYFUNCTION("""COMPUTED_VALUE"""),0.0)</f>
        <v>0</v>
      </c>
      <c r="BN88" s="3">
        <f>IFERROR(__xludf.DUMMYFUNCTION("""COMPUTED_VALUE"""),0.0)</f>
        <v>0</v>
      </c>
      <c r="BO88" s="3">
        <f>IFERROR(__xludf.DUMMYFUNCTION("""COMPUTED_VALUE"""),0.0)</f>
        <v>0</v>
      </c>
      <c r="BP88" s="3">
        <f>IFERROR(__xludf.DUMMYFUNCTION("""COMPUTED_VALUE"""),0.0)</f>
        <v>0</v>
      </c>
      <c r="BQ88" s="3">
        <f>IFERROR(__xludf.DUMMYFUNCTION("""COMPUTED_VALUE"""),0.0)</f>
        <v>0</v>
      </c>
      <c r="BR88" s="3">
        <f>IFERROR(__xludf.DUMMYFUNCTION("""COMPUTED_VALUE"""),0.0)</f>
        <v>0</v>
      </c>
      <c r="BS88" s="3">
        <f>IFERROR(__xludf.DUMMYFUNCTION("""COMPUTED_VALUE"""),0.0)</f>
        <v>0</v>
      </c>
      <c r="BT88" s="3">
        <f>IFERROR(__xludf.DUMMYFUNCTION("""COMPUTED_VALUE"""),0.0)</f>
        <v>0</v>
      </c>
      <c r="BU88" s="3">
        <f>IFERROR(__xludf.DUMMYFUNCTION("""COMPUTED_VALUE"""),0.0)</f>
        <v>0</v>
      </c>
      <c r="BV88" s="3">
        <f>IFERROR(__xludf.DUMMYFUNCTION("""COMPUTED_VALUE"""),0.0)</f>
        <v>0</v>
      </c>
      <c r="BW88" s="3">
        <f>IFERROR(__xludf.DUMMYFUNCTION("""COMPUTED_VALUE"""),0.0)</f>
        <v>0</v>
      </c>
      <c r="BX88" s="3">
        <f>IFERROR(__xludf.DUMMYFUNCTION("""COMPUTED_VALUE"""),0.0)</f>
        <v>0</v>
      </c>
      <c r="BY88" s="3">
        <f>IFERROR(__xludf.DUMMYFUNCTION("""COMPUTED_VALUE"""),8.0)</f>
        <v>8</v>
      </c>
      <c r="BZ88" s="3">
        <f>IFERROR(__xludf.DUMMYFUNCTION("""COMPUTED_VALUE"""),8.0)</f>
        <v>8</v>
      </c>
      <c r="CA88" s="3">
        <f>IFERROR(__xludf.DUMMYFUNCTION("""COMPUTED_VALUE"""),9.0)</f>
        <v>9</v>
      </c>
      <c r="CB88" s="3">
        <f>IFERROR(__xludf.DUMMYFUNCTION("""COMPUTED_VALUE"""),9.0)</f>
        <v>9</v>
      </c>
    </row>
    <row r="89">
      <c r="A89" s="3" t="str">
        <f>IFERROR(__xludf.DUMMYFUNCTION("""COMPUTED_VALUE"""),"")</f>
        <v/>
      </c>
      <c r="B89" s="3" t="str">
        <f>IFERROR(__xludf.DUMMYFUNCTION("""COMPUTED_VALUE"""),"Dominica")</f>
        <v>Dominica</v>
      </c>
      <c r="C89" s="3">
        <f>IFERROR(__xludf.DUMMYFUNCTION("""COMPUTED_VALUE"""),15.415)</f>
        <v>15.415</v>
      </c>
      <c r="D89" s="3">
        <f>IFERROR(__xludf.DUMMYFUNCTION("""COMPUTED_VALUE"""),-61.371)</f>
        <v>-61.371</v>
      </c>
      <c r="E89" s="3">
        <f>IFERROR(__xludf.DUMMYFUNCTION("""COMPUTED_VALUE"""),0.0)</f>
        <v>0</v>
      </c>
      <c r="F89" s="3">
        <f>IFERROR(__xludf.DUMMYFUNCTION("""COMPUTED_VALUE"""),0.0)</f>
        <v>0</v>
      </c>
      <c r="G89" s="3">
        <f>IFERROR(__xludf.DUMMYFUNCTION("""COMPUTED_VALUE"""),0.0)</f>
        <v>0</v>
      </c>
      <c r="H89" s="3">
        <f>IFERROR(__xludf.DUMMYFUNCTION("""COMPUTED_VALUE"""),0.0)</f>
        <v>0</v>
      </c>
      <c r="I89" s="3">
        <f>IFERROR(__xludf.DUMMYFUNCTION("""COMPUTED_VALUE"""),0.0)</f>
        <v>0</v>
      </c>
      <c r="J89" s="3">
        <f>IFERROR(__xludf.DUMMYFUNCTION("""COMPUTED_VALUE"""),0.0)</f>
        <v>0</v>
      </c>
      <c r="K89" s="3">
        <f>IFERROR(__xludf.DUMMYFUNCTION("""COMPUTED_VALUE"""),0.0)</f>
        <v>0</v>
      </c>
      <c r="L89" s="3">
        <f>IFERROR(__xludf.DUMMYFUNCTION("""COMPUTED_VALUE"""),0.0)</f>
        <v>0</v>
      </c>
      <c r="M89" s="3">
        <f>IFERROR(__xludf.DUMMYFUNCTION("""COMPUTED_VALUE"""),0.0)</f>
        <v>0</v>
      </c>
      <c r="N89" s="3">
        <f>IFERROR(__xludf.DUMMYFUNCTION("""COMPUTED_VALUE"""),0.0)</f>
        <v>0</v>
      </c>
      <c r="O89" s="3">
        <f>IFERROR(__xludf.DUMMYFUNCTION("""COMPUTED_VALUE"""),0.0)</f>
        <v>0</v>
      </c>
      <c r="P89" s="3">
        <f>IFERROR(__xludf.DUMMYFUNCTION("""COMPUTED_VALUE"""),0.0)</f>
        <v>0</v>
      </c>
      <c r="Q89" s="3">
        <f>IFERROR(__xludf.DUMMYFUNCTION("""COMPUTED_VALUE"""),0.0)</f>
        <v>0</v>
      </c>
      <c r="R89" s="3">
        <f>IFERROR(__xludf.DUMMYFUNCTION("""COMPUTED_VALUE"""),0.0)</f>
        <v>0</v>
      </c>
      <c r="S89" s="3">
        <f>IFERROR(__xludf.DUMMYFUNCTION("""COMPUTED_VALUE"""),0.0)</f>
        <v>0</v>
      </c>
      <c r="T89" s="3">
        <f>IFERROR(__xludf.DUMMYFUNCTION("""COMPUTED_VALUE"""),0.0)</f>
        <v>0</v>
      </c>
      <c r="U89" s="3">
        <f>IFERROR(__xludf.DUMMYFUNCTION("""COMPUTED_VALUE"""),0.0)</f>
        <v>0</v>
      </c>
      <c r="V89" s="3">
        <f>IFERROR(__xludf.DUMMYFUNCTION("""COMPUTED_VALUE"""),0.0)</f>
        <v>0</v>
      </c>
      <c r="W89" s="3">
        <f>IFERROR(__xludf.DUMMYFUNCTION("""COMPUTED_VALUE"""),0.0)</f>
        <v>0</v>
      </c>
      <c r="X89" s="3">
        <f>IFERROR(__xludf.DUMMYFUNCTION("""COMPUTED_VALUE"""),0.0)</f>
        <v>0</v>
      </c>
      <c r="Y89" s="3">
        <f>IFERROR(__xludf.DUMMYFUNCTION("""COMPUTED_VALUE"""),0.0)</f>
        <v>0</v>
      </c>
      <c r="Z89" s="3">
        <f>IFERROR(__xludf.DUMMYFUNCTION("""COMPUTED_VALUE"""),0.0)</f>
        <v>0</v>
      </c>
      <c r="AA89" s="3">
        <f>IFERROR(__xludf.DUMMYFUNCTION("""COMPUTED_VALUE"""),0.0)</f>
        <v>0</v>
      </c>
      <c r="AB89" s="3">
        <f>IFERROR(__xludf.DUMMYFUNCTION("""COMPUTED_VALUE"""),0.0)</f>
        <v>0</v>
      </c>
      <c r="AC89" s="3">
        <f>IFERROR(__xludf.DUMMYFUNCTION("""COMPUTED_VALUE"""),0.0)</f>
        <v>0</v>
      </c>
      <c r="AD89" s="3">
        <f>IFERROR(__xludf.DUMMYFUNCTION("""COMPUTED_VALUE"""),0.0)</f>
        <v>0</v>
      </c>
      <c r="AE89" s="3">
        <f>IFERROR(__xludf.DUMMYFUNCTION("""COMPUTED_VALUE"""),0.0)</f>
        <v>0</v>
      </c>
      <c r="AF89" s="3">
        <f>IFERROR(__xludf.DUMMYFUNCTION("""COMPUTED_VALUE"""),0.0)</f>
        <v>0</v>
      </c>
      <c r="AG89" s="3">
        <f>IFERROR(__xludf.DUMMYFUNCTION("""COMPUTED_VALUE"""),0.0)</f>
        <v>0</v>
      </c>
      <c r="AH89" s="3">
        <f>IFERROR(__xludf.DUMMYFUNCTION("""COMPUTED_VALUE"""),0.0)</f>
        <v>0</v>
      </c>
      <c r="AI89" s="3">
        <f>IFERROR(__xludf.DUMMYFUNCTION("""COMPUTED_VALUE"""),0.0)</f>
        <v>0</v>
      </c>
      <c r="AJ89" s="3">
        <f>IFERROR(__xludf.DUMMYFUNCTION("""COMPUTED_VALUE"""),0.0)</f>
        <v>0</v>
      </c>
      <c r="AK89" s="3">
        <f>IFERROR(__xludf.DUMMYFUNCTION("""COMPUTED_VALUE"""),0.0)</f>
        <v>0</v>
      </c>
      <c r="AL89" s="3">
        <f>IFERROR(__xludf.DUMMYFUNCTION("""COMPUTED_VALUE"""),0.0)</f>
        <v>0</v>
      </c>
      <c r="AM89" s="3">
        <f>IFERROR(__xludf.DUMMYFUNCTION("""COMPUTED_VALUE"""),0.0)</f>
        <v>0</v>
      </c>
      <c r="AN89" s="3">
        <f>IFERROR(__xludf.DUMMYFUNCTION("""COMPUTED_VALUE"""),0.0)</f>
        <v>0</v>
      </c>
      <c r="AO89" s="3">
        <f>IFERROR(__xludf.DUMMYFUNCTION("""COMPUTED_VALUE"""),0.0)</f>
        <v>0</v>
      </c>
      <c r="AP89" s="3">
        <f>IFERROR(__xludf.DUMMYFUNCTION("""COMPUTED_VALUE"""),0.0)</f>
        <v>0</v>
      </c>
      <c r="AQ89" s="3">
        <f>IFERROR(__xludf.DUMMYFUNCTION("""COMPUTED_VALUE"""),0.0)</f>
        <v>0</v>
      </c>
      <c r="AR89" s="3">
        <f>IFERROR(__xludf.DUMMYFUNCTION("""COMPUTED_VALUE"""),0.0)</f>
        <v>0</v>
      </c>
      <c r="AS89" s="3">
        <f>IFERROR(__xludf.DUMMYFUNCTION("""COMPUTED_VALUE"""),0.0)</f>
        <v>0</v>
      </c>
      <c r="AT89" s="3">
        <f>IFERROR(__xludf.DUMMYFUNCTION("""COMPUTED_VALUE"""),0.0)</f>
        <v>0</v>
      </c>
      <c r="AU89" s="3">
        <f>IFERROR(__xludf.DUMMYFUNCTION("""COMPUTED_VALUE"""),0.0)</f>
        <v>0</v>
      </c>
      <c r="AV89" s="3">
        <f>IFERROR(__xludf.DUMMYFUNCTION("""COMPUTED_VALUE"""),0.0)</f>
        <v>0</v>
      </c>
      <c r="AW89" s="3">
        <f>IFERROR(__xludf.DUMMYFUNCTION("""COMPUTED_VALUE"""),0.0)</f>
        <v>0</v>
      </c>
      <c r="AX89" s="3">
        <f>IFERROR(__xludf.DUMMYFUNCTION("""COMPUTED_VALUE"""),0.0)</f>
        <v>0</v>
      </c>
      <c r="AY89" s="3">
        <f>IFERROR(__xludf.DUMMYFUNCTION("""COMPUTED_VALUE"""),0.0)</f>
        <v>0</v>
      </c>
      <c r="AZ89" s="3">
        <f>IFERROR(__xludf.DUMMYFUNCTION("""COMPUTED_VALUE"""),0.0)</f>
        <v>0</v>
      </c>
      <c r="BA89" s="3">
        <f>IFERROR(__xludf.DUMMYFUNCTION("""COMPUTED_VALUE"""),0.0)</f>
        <v>0</v>
      </c>
      <c r="BB89" s="3">
        <f>IFERROR(__xludf.DUMMYFUNCTION("""COMPUTED_VALUE"""),0.0)</f>
        <v>0</v>
      </c>
      <c r="BC89" s="3">
        <f>IFERROR(__xludf.DUMMYFUNCTION("""COMPUTED_VALUE"""),0.0)</f>
        <v>0</v>
      </c>
      <c r="BD89" s="3">
        <f>IFERROR(__xludf.DUMMYFUNCTION("""COMPUTED_VALUE"""),0.0)</f>
        <v>0</v>
      </c>
      <c r="BE89" s="3">
        <f>IFERROR(__xludf.DUMMYFUNCTION("""COMPUTED_VALUE"""),0.0)</f>
        <v>0</v>
      </c>
      <c r="BF89" s="3">
        <f>IFERROR(__xludf.DUMMYFUNCTION("""COMPUTED_VALUE"""),0.0)</f>
        <v>0</v>
      </c>
      <c r="BG89" s="3">
        <f>IFERROR(__xludf.DUMMYFUNCTION("""COMPUTED_VALUE"""),0.0)</f>
        <v>0</v>
      </c>
      <c r="BH89" s="3">
        <f>IFERROR(__xludf.DUMMYFUNCTION("""COMPUTED_VALUE"""),0.0)</f>
        <v>0</v>
      </c>
      <c r="BI89" s="3">
        <f>IFERROR(__xludf.DUMMYFUNCTION("""COMPUTED_VALUE"""),0.0)</f>
        <v>0</v>
      </c>
      <c r="BJ89" s="3">
        <f>IFERROR(__xludf.DUMMYFUNCTION("""COMPUTED_VALUE"""),0.0)</f>
        <v>0</v>
      </c>
      <c r="BK89" s="3">
        <f>IFERROR(__xludf.DUMMYFUNCTION("""COMPUTED_VALUE"""),0.0)</f>
        <v>0</v>
      </c>
      <c r="BL89" s="3">
        <f>IFERROR(__xludf.DUMMYFUNCTION("""COMPUTED_VALUE"""),0.0)</f>
        <v>0</v>
      </c>
      <c r="BM89" s="3">
        <f>IFERROR(__xludf.DUMMYFUNCTION("""COMPUTED_VALUE"""),0.0)</f>
        <v>0</v>
      </c>
      <c r="BN89" s="3">
        <f>IFERROR(__xludf.DUMMYFUNCTION("""COMPUTED_VALUE"""),0.0)</f>
        <v>0</v>
      </c>
      <c r="BO89" s="3">
        <f>IFERROR(__xludf.DUMMYFUNCTION("""COMPUTED_VALUE"""),0.0)</f>
        <v>0</v>
      </c>
      <c r="BP89" s="3">
        <f>IFERROR(__xludf.DUMMYFUNCTION("""COMPUTED_VALUE"""),0.0)</f>
        <v>0</v>
      </c>
      <c r="BQ89" s="3">
        <f>IFERROR(__xludf.DUMMYFUNCTION("""COMPUTED_VALUE"""),0.0)</f>
        <v>0</v>
      </c>
      <c r="BR89" s="3">
        <f>IFERROR(__xludf.DUMMYFUNCTION("""COMPUTED_VALUE"""),0.0)</f>
        <v>0</v>
      </c>
      <c r="BS89" s="3">
        <f>IFERROR(__xludf.DUMMYFUNCTION("""COMPUTED_VALUE"""),0.0)</f>
        <v>0</v>
      </c>
      <c r="BT89" s="3">
        <f>IFERROR(__xludf.DUMMYFUNCTION("""COMPUTED_VALUE"""),0.0)</f>
        <v>0</v>
      </c>
      <c r="BU89" s="3">
        <f>IFERROR(__xludf.DUMMYFUNCTION("""COMPUTED_VALUE"""),0.0)</f>
        <v>0</v>
      </c>
      <c r="BV89" s="3">
        <f>IFERROR(__xludf.DUMMYFUNCTION("""COMPUTED_VALUE"""),0.0)</f>
        <v>0</v>
      </c>
      <c r="BW89" s="3">
        <f>IFERROR(__xludf.DUMMYFUNCTION("""COMPUTED_VALUE"""),0.0)</f>
        <v>0</v>
      </c>
      <c r="BX89" s="3">
        <f>IFERROR(__xludf.DUMMYFUNCTION("""COMPUTED_VALUE"""),0.0)</f>
        <v>0</v>
      </c>
      <c r="BY89" s="3">
        <f>IFERROR(__xludf.DUMMYFUNCTION("""COMPUTED_VALUE"""),0.0)</f>
        <v>0</v>
      </c>
      <c r="BZ89" s="3">
        <f>IFERROR(__xludf.DUMMYFUNCTION("""COMPUTED_VALUE"""),0.0)</f>
        <v>0</v>
      </c>
      <c r="CA89" s="3">
        <f>IFERROR(__xludf.DUMMYFUNCTION("""COMPUTED_VALUE"""),0.0)</f>
        <v>0</v>
      </c>
      <c r="CB89" s="3">
        <f>IFERROR(__xludf.DUMMYFUNCTION("""COMPUTED_VALUE"""),1.0)</f>
        <v>1</v>
      </c>
    </row>
    <row r="90">
      <c r="A90" s="3" t="str">
        <f>IFERROR(__xludf.DUMMYFUNCTION("""COMPUTED_VALUE"""),"")</f>
        <v/>
      </c>
      <c r="B90" s="3" t="str">
        <f>IFERROR(__xludf.DUMMYFUNCTION("""COMPUTED_VALUE"""),"Dominican Republic")</f>
        <v>Dominican Republic</v>
      </c>
      <c r="C90" s="3">
        <f>IFERROR(__xludf.DUMMYFUNCTION("""COMPUTED_VALUE"""),18.7357)</f>
        <v>18.7357</v>
      </c>
      <c r="D90" s="3">
        <f>IFERROR(__xludf.DUMMYFUNCTION("""COMPUTED_VALUE"""),-70.1627)</f>
        <v>-70.1627</v>
      </c>
      <c r="E90" s="3">
        <f>IFERROR(__xludf.DUMMYFUNCTION("""COMPUTED_VALUE"""),0.0)</f>
        <v>0</v>
      </c>
      <c r="F90" s="3">
        <f>IFERROR(__xludf.DUMMYFUNCTION("""COMPUTED_VALUE"""),0.0)</f>
        <v>0</v>
      </c>
      <c r="G90" s="3">
        <f>IFERROR(__xludf.DUMMYFUNCTION("""COMPUTED_VALUE"""),0.0)</f>
        <v>0</v>
      </c>
      <c r="H90" s="3">
        <f>IFERROR(__xludf.DUMMYFUNCTION("""COMPUTED_VALUE"""),0.0)</f>
        <v>0</v>
      </c>
      <c r="I90" s="3">
        <f>IFERROR(__xludf.DUMMYFUNCTION("""COMPUTED_VALUE"""),0.0)</f>
        <v>0</v>
      </c>
      <c r="J90" s="3">
        <f>IFERROR(__xludf.DUMMYFUNCTION("""COMPUTED_VALUE"""),0.0)</f>
        <v>0</v>
      </c>
      <c r="K90" s="3">
        <f>IFERROR(__xludf.DUMMYFUNCTION("""COMPUTED_VALUE"""),0.0)</f>
        <v>0</v>
      </c>
      <c r="L90" s="3">
        <f>IFERROR(__xludf.DUMMYFUNCTION("""COMPUTED_VALUE"""),0.0)</f>
        <v>0</v>
      </c>
      <c r="M90" s="3">
        <f>IFERROR(__xludf.DUMMYFUNCTION("""COMPUTED_VALUE"""),0.0)</f>
        <v>0</v>
      </c>
      <c r="N90" s="3">
        <f>IFERROR(__xludf.DUMMYFUNCTION("""COMPUTED_VALUE"""),0.0)</f>
        <v>0</v>
      </c>
      <c r="O90" s="3">
        <f>IFERROR(__xludf.DUMMYFUNCTION("""COMPUTED_VALUE"""),0.0)</f>
        <v>0</v>
      </c>
      <c r="P90" s="3">
        <f>IFERROR(__xludf.DUMMYFUNCTION("""COMPUTED_VALUE"""),0.0)</f>
        <v>0</v>
      </c>
      <c r="Q90" s="3">
        <f>IFERROR(__xludf.DUMMYFUNCTION("""COMPUTED_VALUE"""),0.0)</f>
        <v>0</v>
      </c>
      <c r="R90" s="3">
        <f>IFERROR(__xludf.DUMMYFUNCTION("""COMPUTED_VALUE"""),0.0)</f>
        <v>0</v>
      </c>
      <c r="S90" s="3">
        <f>IFERROR(__xludf.DUMMYFUNCTION("""COMPUTED_VALUE"""),0.0)</f>
        <v>0</v>
      </c>
      <c r="T90" s="3">
        <f>IFERROR(__xludf.DUMMYFUNCTION("""COMPUTED_VALUE"""),0.0)</f>
        <v>0</v>
      </c>
      <c r="U90" s="3">
        <f>IFERROR(__xludf.DUMMYFUNCTION("""COMPUTED_VALUE"""),0.0)</f>
        <v>0</v>
      </c>
      <c r="V90" s="3">
        <f>IFERROR(__xludf.DUMMYFUNCTION("""COMPUTED_VALUE"""),0.0)</f>
        <v>0</v>
      </c>
      <c r="W90" s="3">
        <f>IFERROR(__xludf.DUMMYFUNCTION("""COMPUTED_VALUE"""),0.0)</f>
        <v>0</v>
      </c>
      <c r="X90" s="3">
        <f>IFERROR(__xludf.DUMMYFUNCTION("""COMPUTED_VALUE"""),0.0)</f>
        <v>0</v>
      </c>
      <c r="Y90" s="3">
        <f>IFERROR(__xludf.DUMMYFUNCTION("""COMPUTED_VALUE"""),0.0)</f>
        <v>0</v>
      </c>
      <c r="Z90" s="3">
        <f>IFERROR(__xludf.DUMMYFUNCTION("""COMPUTED_VALUE"""),0.0)</f>
        <v>0</v>
      </c>
      <c r="AA90" s="3">
        <f>IFERROR(__xludf.DUMMYFUNCTION("""COMPUTED_VALUE"""),0.0)</f>
        <v>0</v>
      </c>
      <c r="AB90" s="3">
        <f>IFERROR(__xludf.DUMMYFUNCTION("""COMPUTED_VALUE"""),0.0)</f>
        <v>0</v>
      </c>
      <c r="AC90" s="3">
        <f>IFERROR(__xludf.DUMMYFUNCTION("""COMPUTED_VALUE"""),0.0)</f>
        <v>0</v>
      </c>
      <c r="AD90" s="3">
        <f>IFERROR(__xludf.DUMMYFUNCTION("""COMPUTED_VALUE"""),0.0)</f>
        <v>0</v>
      </c>
      <c r="AE90" s="3">
        <f>IFERROR(__xludf.DUMMYFUNCTION("""COMPUTED_VALUE"""),0.0)</f>
        <v>0</v>
      </c>
      <c r="AF90" s="3">
        <f>IFERROR(__xludf.DUMMYFUNCTION("""COMPUTED_VALUE"""),0.0)</f>
        <v>0</v>
      </c>
      <c r="AG90" s="3">
        <f>IFERROR(__xludf.DUMMYFUNCTION("""COMPUTED_VALUE"""),0.0)</f>
        <v>0</v>
      </c>
      <c r="AH90" s="3">
        <f>IFERROR(__xludf.DUMMYFUNCTION("""COMPUTED_VALUE"""),0.0)</f>
        <v>0</v>
      </c>
      <c r="AI90" s="3">
        <f>IFERROR(__xludf.DUMMYFUNCTION("""COMPUTED_VALUE"""),0.0)</f>
        <v>0</v>
      </c>
      <c r="AJ90" s="3">
        <f>IFERROR(__xludf.DUMMYFUNCTION("""COMPUTED_VALUE"""),0.0)</f>
        <v>0</v>
      </c>
      <c r="AK90" s="3">
        <f>IFERROR(__xludf.DUMMYFUNCTION("""COMPUTED_VALUE"""),0.0)</f>
        <v>0</v>
      </c>
      <c r="AL90" s="3">
        <f>IFERROR(__xludf.DUMMYFUNCTION("""COMPUTED_VALUE"""),0.0)</f>
        <v>0</v>
      </c>
      <c r="AM90" s="3">
        <f>IFERROR(__xludf.DUMMYFUNCTION("""COMPUTED_VALUE"""),0.0)</f>
        <v>0</v>
      </c>
      <c r="AN90" s="3">
        <f>IFERROR(__xludf.DUMMYFUNCTION("""COMPUTED_VALUE"""),0.0)</f>
        <v>0</v>
      </c>
      <c r="AO90" s="3">
        <f>IFERROR(__xludf.DUMMYFUNCTION("""COMPUTED_VALUE"""),0.0)</f>
        <v>0</v>
      </c>
      <c r="AP90" s="3">
        <f>IFERROR(__xludf.DUMMYFUNCTION("""COMPUTED_VALUE"""),0.0)</f>
        <v>0</v>
      </c>
      <c r="AQ90" s="3">
        <f>IFERROR(__xludf.DUMMYFUNCTION("""COMPUTED_VALUE"""),0.0)</f>
        <v>0</v>
      </c>
      <c r="AR90" s="3">
        <f>IFERROR(__xludf.DUMMYFUNCTION("""COMPUTED_VALUE"""),0.0)</f>
        <v>0</v>
      </c>
      <c r="AS90" s="3">
        <f>IFERROR(__xludf.DUMMYFUNCTION("""COMPUTED_VALUE"""),0.0)</f>
        <v>0</v>
      </c>
      <c r="AT90" s="3">
        <f>IFERROR(__xludf.DUMMYFUNCTION("""COMPUTED_VALUE"""),0.0)</f>
        <v>0</v>
      </c>
      <c r="AU90" s="3">
        <f>IFERROR(__xludf.DUMMYFUNCTION("""COMPUTED_VALUE"""),0.0)</f>
        <v>0</v>
      </c>
      <c r="AV90" s="3">
        <f>IFERROR(__xludf.DUMMYFUNCTION("""COMPUTED_VALUE"""),0.0)</f>
        <v>0</v>
      </c>
      <c r="AW90" s="3">
        <f>IFERROR(__xludf.DUMMYFUNCTION("""COMPUTED_VALUE"""),0.0)</f>
        <v>0</v>
      </c>
      <c r="AX90" s="3">
        <f>IFERROR(__xludf.DUMMYFUNCTION("""COMPUTED_VALUE"""),0.0)</f>
        <v>0</v>
      </c>
      <c r="AY90" s="3">
        <f>IFERROR(__xludf.DUMMYFUNCTION("""COMPUTED_VALUE"""),0.0)</f>
        <v>0</v>
      </c>
      <c r="AZ90" s="3">
        <f>IFERROR(__xludf.DUMMYFUNCTION("""COMPUTED_VALUE"""),0.0)</f>
        <v>0</v>
      </c>
      <c r="BA90" s="3">
        <f>IFERROR(__xludf.DUMMYFUNCTION("""COMPUTED_VALUE"""),0.0)</f>
        <v>0</v>
      </c>
      <c r="BB90" s="3">
        <f>IFERROR(__xludf.DUMMYFUNCTION("""COMPUTED_VALUE"""),0.0)</f>
        <v>0</v>
      </c>
      <c r="BC90" s="3">
        <f>IFERROR(__xludf.DUMMYFUNCTION("""COMPUTED_VALUE"""),0.0)</f>
        <v>0</v>
      </c>
      <c r="BD90" s="3">
        <f>IFERROR(__xludf.DUMMYFUNCTION("""COMPUTED_VALUE"""),0.0)</f>
        <v>0</v>
      </c>
      <c r="BE90" s="3">
        <f>IFERROR(__xludf.DUMMYFUNCTION("""COMPUTED_VALUE"""),0.0)</f>
        <v>0</v>
      </c>
      <c r="BF90" s="3">
        <f>IFERROR(__xludf.DUMMYFUNCTION("""COMPUTED_VALUE"""),0.0)</f>
        <v>0</v>
      </c>
      <c r="BG90" s="3">
        <f>IFERROR(__xludf.DUMMYFUNCTION("""COMPUTED_VALUE"""),0.0)</f>
        <v>0</v>
      </c>
      <c r="BH90" s="3">
        <f>IFERROR(__xludf.DUMMYFUNCTION("""COMPUTED_VALUE"""),0.0)</f>
        <v>0</v>
      </c>
      <c r="BI90" s="3">
        <f>IFERROR(__xludf.DUMMYFUNCTION("""COMPUTED_VALUE"""),0.0)</f>
        <v>0</v>
      </c>
      <c r="BJ90" s="3">
        <f>IFERROR(__xludf.DUMMYFUNCTION("""COMPUTED_VALUE"""),0.0)</f>
        <v>0</v>
      </c>
      <c r="BK90" s="3">
        <f>IFERROR(__xludf.DUMMYFUNCTION("""COMPUTED_VALUE"""),0.0)</f>
        <v>0</v>
      </c>
      <c r="BL90" s="3">
        <f>IFERROR(__xludf.DUMMYFUNCTION("""COMPUTED_VALUE"""),0.0)</f>
        <v>0</v>
      </c>
      <c r="BM90" s="3">
        <f>IFERROR(__xludf.DUMMYFUNCTION("""COMPUTED_VALUE"""),0.0)</f>
        <v>0</v>
      </c>
      <c r="BN90" s="3">
        <f>IFERROR(__xludf.DUMMYFUNCTION("""COMPUTED_VALUE"""),0.0)</f>
        <v>0</v>
      </c>
      <c r="BO90" s="3">
        <f>IFERROR(__xludf.DUMMYFUNCTION("""COMPUTED_VALUE"""),3.0)</f>
        <v>3</v>
      </c>
      <c r="BP90" s="3">
        <f>IFERROR(__xludf.DUMMYFUNCTION("""COMPUTED_VALUE"""),3.0)</f>
        <v>3</v>
      </c>
      <c r="BQ90" s="3">
        <f>IFERROR(__xludf.DUMMYFUNCTION("""COMPUTED_VALUE"""),3.0)</f>
        <v>3</v>
      </c>
      <c r="BR90" s="3">
        <f>IFERROR(__xludf.DUMMYFUNCTION("""COMPUTED_VALUE"""),3.0)</f>
        <v>3</v>
      </c>
      <c r="BS90" s="3">
        <f>IFERROR(__xludf.DUMMYFUNCTION("""COMPUTED_VALUE"""),3.0)</f>
        <v>3</v>
      </c>
      <c r="BT90" s="3">
        <f>IFERROR(__xludf.DUMMYFUNCTION("""COMPUTED_VALUE"""),3.0)</f>
        <v>3</v>
      </c>
      <c r="BU90" s="3">
        <f>IFERROR(__xludf.DUMMYFUNCTION("""COMPUTED_VALUE"""),4.0)</f>
        <v>4</v>
      </c>
      <c r="BV90" s="3">
        <f>IFERROR(__xludf.DUMMYFUNCTION("""COMPUTED_VALUE"""),5.0)</f>
        <v>5</v>
      </c>
      <c r="BW90" s="3">
        <f>IFERROR(__xludf.DUMMYFUNCTION("""COMPUTED_VALUE"""),9.0)</f>
        <v>9</v>
      </c>
      <c r="BX90" s="3">
        <f>IFERROR(__xludf.DUMMYFUNCTION("""COMPUTED_VALUE"""),16.0)</f>
        <v>16</v>
      </c>
      <c r="BY90" s="3">
        <f>IFERROR(__xludf.DUMMYFUNCTION("""COMPUTED_VALUE"""),16.0)</f>
        <v>16</v>
      </c>
      <c r="BZ90" s="3">
        <f>IFERROR(__xludf.DUMMYFUNCTION("""COMPUTED_VALUE"""),16.0)</f>
        <v>16</v>
      </c>
      <c r="CA90" s="3">
        <f>IFERROR(__xludf.DUMMYFUNCTION("""COMPUTED_VALUE"""),17.0)</f>
        <v>17</v>
      </c>
      <c r="CB90" s="3">
        <f>IFERROR(__xludf.DUMMYFUNCTION("""COMPUTED_VALUE"""),33.0)</f>
        <v>33</v>
      </c>
    </row>
    <row r="91">
      <c r="A91" s="3" t="str">
        <f>IFERROR(__xludf.DUMMYFUNCTION("""COMPUTED_VALUE"""),"")</f>
        <v/>
      </c>
      <c r="B91" s="3" t="str">
        <f>IFERROR(__xludf.DUMMYFUNCTION("""COMPUTED_VALUE"""),"Ecuador")</f>
        <v>Ecuador</v>
      </c>
      <c r="C91" s="3">
        <f>IFERROR(__xludf.DUMMYFUNCTION("""COMPUTED_VALUE"""),-1.8312)</f>
        <v>-1.8312</v>
      </c>
      <c r="D91" s="3">
        <f>IFERROR(__xludf.DUMMYFUNCTION("""COMPUTED_VALUE"""),-78.1834)</f>
        <v>-78.1834</v>
      </c>
      <c r="E91" s="3">
        <f>IFERROR(__xludf.DUMMYFUNCTION("""COMPUTED_VALUE"""),0.0)</f>
        <v>0</v>
      </c>
      <c r="F91" s="3">
        <f>IFERROR(__xludf.DUMMYFUNCTION("""COMPUTED_VALUE"""),0.0)</f>
        <v>0</v>
      </c>
      <c r="G91" s="3">
        <f>IFERROR(__xludf.DUMMYFUNCTION("""COMPUTED_VALUE"""),0.0)</f>
        <v>0</v>
      </c>
      <c r="H91" s="3">
        <f>IFERROR(__xludf.DUMMYFUNCTION("""COMPUTED_VALUE"""),0.0)</f>
        <v>0</v>
      </c>
      <c r="I91" s="3">
        <f>IFERROR(__xludf.DUMMYFUNCTION("""COMPUTED_VALUE"""),0.0)</f>
        <v>0</v>
      </c>
      <c r="J91" s="3">
        <f>IFERROR(__xludf.DUMMYFUNCTION("""COMPUTED_VALUE"""),0.0)</f>
        <v>0</v>
      </c>
      <c r="K91" s="3">
        <f>IFERROR(__xludf.DUMMYFUNCTION("""COMPUTED_VALUE"""),0.0)</f>
        <v>0</v>
      </c>
      <c r="L91" s="3">
        <f>IFERROR(__xludf.DUMMYFUNCTION("""COMPUTED_VALUE"""),0.0)</f>
        <v>0</v>
      </c>
      <c r="M91" s="3">
        <f>IFERROR(__xludf.DUMMYFUNCTION("""COMPUTED_VALUE"""),0.0)</f>
        <v>0</v>
      </c>
      <c r="N91" s="3">
        <f>IFERROR(__xludf.DUMMYFUNCTION("""COMPUTED_VALUE"""),0.0)</f>
        <v>0</v>
      </c>
      <c r="O91" s="3">
        <f>IFERROR(__xludf.DUMMYFUNCTION("""COMPUTED_VALUE"""),0.0)</f>
        <v>0</v>
      </c>
      <c r="P91" s="3">
        <f>IFERROR(__xludf.DUMMYFUNCTION("""COMPUTED_VALUE"""),0.0)</f>
        <v>0</v>
      </c>
      <c r="Q91" s="3">
        <f>IFERROR(__xludf.DUMMYFUNCTION("""COMPUTED_VALUE"""),0.0)</f>
        <v>0</v>
      </c>
      <c r="R91" s="3">
        <f>IFERROR(__xludf.DUMMYFUNCTION("""COMPUTED_VALUE"""),0.0)</f>
        <v>0</v>
      </c>
      <c r="S91" s="3">
        <f>IFERROR(__xludf.DUMMYFUNCTION("""COMPUTED_VALUE"""),0.0)</f>
        <v>0</v>
      </c>
      <c r="T91" s="3">
        <f>IFERROR(__xludf.DUMMYFUNCTION("""COMPUTED_VALUE"""),0.0)</f>
        <v>0</v>
      </c>
      <c r="U91" s="3">
        <f>IFERROR(__xludf.DUMMYFUNCTION("""COMPUTED_VALUE"""),0.0)</f>
        <v>0</v>
      </c>
      <c r="V91" s="3">
        <f>IFERROR(__xludf.DUMMYFUNCTION("""COMPUTED_VALUE"""),0.0)</f>
        <v>0</v>
      </c>
      <c r="W91" s="3">
        <f>IFERROR(__xludf.DUMMYFUNCTION("""COMPUTED_VALUE"""),0.0)</f>
        <v>0</v>
      </c>
      <c r="X91" s="3">
        <f>IFERROR(__xludf.DUMMYFUNCTION("""COMPUTED_VALUE"""),0.0)</f>
        <v>0</v>
      </c>
      <c r="Y91" s="3">
        <f>IFERROR(__xludf.DUMMYFUNCTION("""COMPUTED_VALUE"""),0.0)</f>
        <v>0</v>
      </c>
      <c r="Z91" s="3">
        <f>IFERROR(__xludf.DUMMYFUNCTION("""COMPUTED_VALUE"""),0.0)</f>
        <v>0</v>
      </c>
      <c r="AA91" s="3">
        <f>IFERROR(__xludf.DUMMYFUNCTION("""COMPUTED_VALUE"""),0.0)</f>
        <v>0</v>
      </c>
      <c r="AB91" s="3">
        <f>IFERROR(__xludf.DUMMYFUNCTION("""COMPUTED_VALUE"""),0.0)</f>
        <v>0</v>
      </c>
      <c r="AC91" s="3">
        <f>IFERROR(__xludf.DUMMYFUNCTION("""COMPUTED_VALUE"""),0.0)</f>
        <v>0</v>
      </c>
      <c r="AD91" s="3">
        <f>IFERROR(__xludf.DUMMYFUNCTION("""COMPUTED_VALUE"""),0.0)</f>
        <v>0</v>
      </c>
      <c r="AE91" s="3">
        <f>IFERROR(__xludf.DUMMYFUNCTION("""COMPUTED_VALUE"""),0.0)</f>
        <v>0</v>
      </c>
      <c r="AF91" s="3">
        <f>IFERROR(__xludf.DUMMYFUNCTION("""COMPUTED_VALUE"""),0.0)</f>
        <v>0</v>
      </c>
      <c r="AG91" s="3">
        <f>IFERROR(__xludf.DUMMYFUNCTION("""COMPUTED_VALUE"""),0.0)</f>
        <v>0</v>
      </c>
      <c r="AH91" s="3">
        <f>IFERROR(__xludf.DUMMYFUNCTION("""COMPUTED_VALUE"""),0.0)</f>
        <v>0</v>
      </c>
      <c r="AI91" s="3">
        <f>IFERROR(__xludf.DUMMYFUNCTION("""COMPUTED_VALUE"""),0.0)</f>
        <v>0</v>
      </c>
      <c r="AJ91" s="3">
        <f>IFERROR(__xludf.DUMMYFUNCTION("""COMPUTED_VALUE"""),0.0)</f>
        <v>0</v>
      </c>
      <c r="AK91" s="3">
        <f>IFERROR(__xludf.DUMMYFUNCTION("""COMPUTED_VALUE"""),0.0)</f>
        <v>0</v>
      </c>
      <c r="AL91" s="3">
        <f>IFERROR(__xludf.DUMMYFUNCTION("""COMPUTED_VALUE"""),0.0)</f>
        <v>0</v>
      </c>
      <c r="AM91" s="3">
        <f>IFERROR(__xludf.DUMMYFUNCTION("""COMPUTED_VALUE"""),0.0)</f>
        <v>0</v>
      </c>
      <c r="AN91" s="3">
        <f>IFERROR(__xludf.DUMMYFUNCTION("""COMPUTED_VALUE"""),0.0)</f>
        <v>0</v>
      </c>
      <c r="AO91" s="3">
        <f>IFERROR(__xludf.DUMMYFUNCTION("""COMPUTED_VALUE"""),0.0)</f>
        <v>0</v>
      </c>
      <c r="AP91" s="3">
        <f>IFERROR(__xludf.DUMMYFUNCTION("""COMPUTED_VALUE"""),0.0)</f>
        <v>0</v>
      </c>
      <c r="AQ91" s="3">
        <f>IFERROR(__xludf.DUMMYFUNCTION("""COMPUTED_VALUE"""),0.0)</f>
        <v>0</v>
      </c>
      <c r="AR91" s="3">
        <f>IFERROR(__xludf.DUMMYFUNCTION("""COMPUTED_VALUE"""),0.0)</f>
        <v>0</v>
      </c>
      <c r="AS91" s="3">
        <f>IFERROR(__xludf.DUMMYFUNCTION("""COMPUTED_VALUE"""),0.0)</f>
        <v>0</v>
      </c>
      <c r="AT91" s="3">
        <f>IFERROR(__xludf.DUMMYFUNCTION("""COMPUTED_VALUE"""),0.0)</f>
        <v>0</v>
      </c>
      <c r="AU91" s="3">
        <f>IFERROR(__xludf.DUMMYFUNCTION("""COMPUTED_VALUE"""),0.0)</f>
        <v>0</v>
      </c>
      <c r="AV91" s="3">
        <f>IFERROR(__xludf.DUMMYFUNCTION("""COMPUTED_VALUE"""),0.0)</f>
        <v>0</v>
      </c>
      <c r="AW91" s="3">
        <f>IFERROR(__xludf.DUMMYFUNCTION("""COMPUTED_VALUE"""),0.0)</f>
        <v>0</v>
      </c>
      <c r="AX91" s="3">
        <f>IFERROR(__xludf.DUMMYFUNCTION("""COMPUTED_VALUE"""),0.0)</f>
        <v>0</v>
      </c>
      <c r="AY91" s="3">
        <f>IFERROR(__xludf.DUMMYFUNCTION("""COMPUTED_VALUE"""),0.0)</f>
        <v>0</v>
      </c>
      <c r="AZ91" s="3">
        <f>IFERROR(__xludf.DUMMYFUNCTION("""COMPUTED_VALUE"""),0.0)</f>
        <v>0</v>
      </c>
      <c r="BA91" s="3">
        <f>IFERROR(__xludf.DUMMYFUNCTION("""COMPUTED_VALUE"""),0.0)</f>
        <v>0</v>
      </c>
      <c r="BB91" s="3">
        <f>IFERROR(__xludf.DUMMYFUNCTION("""COMPUTED_VALUE"""),0.0)</f>
        <v>0</v>
      </c>
      <c r="BC91" s="3">
        <f>IFERROR(__xludf.DUMMYFUNCTION("""COMPUTED_VALUE"""),0.0)</f>
        <v>0</v>
      </c>
      <c r="BD91" s="3">
        <f>IFERROR(__xludf.DUMMYFUNCTION("""COMPUTED_VALUE"""),0.0)</f>
        <v>0</v>
      </c>
      <c r="BE91" s="3">
        <f>IFERROR(__xludf.DUMMYFUNCTION("""COMPUTED_VALUE"""),0.0)</f>
        <v>0</v>
      </c>
      <c r="BF91" s="3">
        <f>IFERROR(__xludf.DUMMYFUNCTION("""COMPUTED_VALUE"""),0.0)</f>
        <v>0</v>
      </c>
      <c r="BG91" s="3">
        <f>IFERROR(__xludf.DUMMYFUNCTION("""COMPUTED_VALUE"""),0.0)</f>
        <v>0</v>
      </c>
      <c r="BH91" s="3">
        <f>IFERROR(__xludf.DUMMYFUNCTION("""COMPUTED_VALUE"""),0.0)</f>
        <v>0</v>
      </c>
      <c r="BI91" s="3">
        <f>IFERROR(__xludf.DUMMYFUNCTION("""COMPUTED_VALUE"""),0.0)</f>
        <v>0</v>
      </c>
      <c r="BJ91" s="3">
        <f>IFERROR(__xludf.DUMMYFUNCTION("""COMPUTED_VALUE"""),0.0)</f>
        <v>0</v>
      </c>
      <c r="BK91" s="3">
        <f>IFERROR(__xludf.DUMMYFUNCTION("""COMPUTED_VALUE"""),0.0)</f>
        <v>0</v>
      </c>
      <c r="BL91" s="3">
        <f>IFERROR(__xludf.DUMMYFUNCTION("""COMPUTED_VALUE"""),3.0)</f>
        <v>3</v>
      </c>
      <c r="BM91" s="3">
        <f>IFERROR(__xludf.DUMMYFUNCTION("""COMPUTED_VALUE"""),3.0)</f>
        <v>3</v>
      </c>
      <c r="BN91" s="3">
        <f>IFERROR(__xludf.DUMMYFUNCTION("""COMPUTED_VALUE"""),3.0)</f>
        <v>3</v>
      </c>
      <c r="BO91" s="3">
        <f>IFERROR(__xludf.DUMMYFUNCTION("""COMPUTED_VALUE"""),3.0)</f>
        <v>3</v>
      </c>
      <c r="BP91" s="3">
        <f>IFERROR(__xludf.DUMMYFUNCTION("""COMPUTED_VALUE"""),3.0)</f>
        <v>3</v>
      </c>
      <c r="BQ91" s="3">
        <f>IFERROR(__xludf.DUMMYFUNCTION("""COMPUTED_VALUE"""),3.0)</f>
        <v>3</v>
      </c>
      <c r="BR91" s="3">
        <f>IFERROR(__xludf.DUMMYFUNCTION("""COMPUTED_VALUE"""),3.0)</f>
        <v>3</v>
      </c>
      <c r="BS91" s="3">
        <f>IFERROR(__xludf.DUMMYFUNCTION("""COMPUTED_VALUE"""),3.0)</f>
        <v>3</v>
      </c>
      <c r="BT91" s="3">
        <f>IFERROR(__xludf.DUMMYFUNCTION("""COMPUTED_VALUE"""),3.0)</f>
        <v>3</v>
      </c>
      <c r="BU91" s="3">
        <f>IFERROR(__xludf.DUMMYFUNCTION("""COMPUTED_VALUE"""),3.0)</f>
        <v>3</v>
      </c>
      <c r="BV91" s="3">
        <f>IFERROR(__xludf.DUMMYFUNCTION("""COMPUTED_VALUE"""),54.0)</f>
        <v>54</v>
      </c>
      <c r="BW91" s="3">
        <f>IFERROR(__xludf.DUMMYFUNCTION("""COMPUTED_VALUE"""),58.0)</f>
        <v>58</v>
      </c>
      <c r="BX91" s="3">
        <f>IFERROR(__xludf.DUMMYFUNCTION("""COMPUTED_VALUE"""),65.0)</f>
        <v>65</v>
      </c>
      <c r="BY91" s="3">
        <f>IFERROR(__xludf.DUMMYFUNCTION("""COMPUTED_VALUE"""),65.0)</f>
        <v>65</v>
      </c>
      <c r="BZ91" s="3">
        <f>IFERROR(__xludf.DUMMYFUNCTION("""COMPUTED_VALUE"""),100.0)</f>
        <v>100</v>
      </c>
      <c r="CA91" s="3">
        <f>IFERROR(__xludf.DUMMYFUNCTION("""COMPUTED_VALUE"""),100.0)</f>
        <v>100</v>
      </c>
      <c r="CB91" s="3">
        <f>IFERROR(__xludf.DUMMYFUNCTION("""COMPUTED_VALUE"""),100.0)</f>
        <v>100</v>
      </c>
    </row>
    <row r="92">
      <c r="A92" s="3" t="str">
        <f>IFERROR(__xludf.DUMMYFUNCTION("""COMPUTED_VALUE"""),"")</f>
        <v/>
      </c>
      <c r="B92" s="3" t="str">
        <f>IFERROR(__xludf.DUMMYFUNCTION("""COMPUTED_VALUE"""),"Egypt")</f>
        <v>Egypt</v>
      </c>
      <c r="C92" s="3">
        <f>IFERROR(__xludf.DUMMYFUNCTION("""COMPUTED_VALUE"""),26.0)</f>
        <v>26</v>
      </c>
      <c r="D92" s="3">
        <f>IFERROR(__xludf.DUMMYFUNCTION("""COMPUTED_VALUE"""),30.0)</f>
        <v>30</v>
      </c>
      <c r="E92" s="3">
        <f>IFERROR(__xludf.DUMMYFUNCTION("""COMPUTED_VALUE"""),0.0)</f>
        <v>0</v>
      </c>
      <c r="F92" s="3">
        <f>IFERROR(__xludf.DUMMYFUNCTION("""COMPUTED_VALUE"""),0.0)</f>
        <v>0</v>
      </c>
      <c r="G92" s="3">
        <f>IFERROR(__xludf.DUMMYFUNCTION("""COMPUTED_VALUE"""),0.0)</f>
        <v>0</v>
      </c>
      <c r="H92" s="3">
        <f>IFERROR(__xludf.DUMMYFUNCTION("""COMPUTED_VALUE"""),0.0)</f>
        <v>0</v>
      </c>
      <c r="I92" s="3">
        <f>IFERROR(__xludf.DUMMYFUNCTION("""COMPUTED_VALUE"""),0.0)</f>
        <v>0</v>
      </c>
      <c r="J92" s="3">
        <f>IFERROR(__xludf.DUMMYFUNCTION("""COMPUTED_VALUE"""),0.0)</f>
        <v>0</v>
      </c>
      <c r="K92" s="3">
        <f>IFERROR(__xludf.DUMMYFUNCTION("""COMPUTED_VALUE"""),0.0)</f>
        <v>0</v>
      </c>
      <c r="L92" s="3">
        <f>IFERROR(__xludf.DUMMYFUNCTION("""COMPUTED_VALUE"""),0.0)</f>
        <v>0</v>
      </c>
      <c r="M92" s="3">
        <f>IFERROR(__xludf.DUMMYFUNCTION("""COMPUTED_VALUE"""),0.0)</f>
        <v>0</v>
      </c>
      <c r="N92" s="3">
        <f>IFERROR(__xludf.DUMMYFUNCTION("""COMPUTED_VALUE"""),0.0)</f>
        <v>0</v>
      </c>
      <c r="O92" s="3">
        <f>IFERROR(__xludf.DUMMYFUNCTION("""COMPUTED_VALUE"""),0.0)</f>
        <v>0</v>
      </c>
      <c r="P92" s="3">
        <f>IFERROR(__xludf.DUMMYFUNCTION("""COMPUTED_VALUE"""),0.0)</f>
        <v>0</v>
      </c>
      <c r="Q92" s="3">
        <f>IFERROR(__xludf.DUMMYFUNCTION("""COMPUTED_VALUE"""),0.0)</f>
        <v>0</v>
      </c>
      <c r="R92" s="3">
        <f>IFERROR(__xludf.DUMMYFUNCTION("""COMPUTED_VALUE"""),0.0)</f>
        <v>0</v>
      </c>
      <c r="S92" s="3">
        <f>IFERROR(__xludf.DUMMYFUNCTION("""COMPUTED_VALUE"""),0.0)</f>
        <v>0</v>
      </c>
      <c r="T92" s="3">
        <f>IFERROR(__xludf.DUMMYFUNCTION("""COMPUTED_VALUE"""),0.0)</f>
        <v>0</v>
      </c>
      <c r="U92" s="3">
        <f>IFERROR(__xludf.DUMMYFUNCTION("""COMPUTED_VALUE"""),0.0)</f>
        <v>0</v>
      </c>
      <c r="V92" s="3">
        <f>IFERROR(__xludf.DUMMYFUNCTION("""COMPUTED_VALUE"""),0.0)</f>
        <v>0</v>
      </c>
      <c r="W92" s="3">
        <f>IFERROR(__xludf.DUMMYFUNCTION("""COMPUTED_VALUE"""),0.0)</f>
        <v>0</v>
      </c>
      <c r="X92" s="3">
        <f>IFERROR(__xludf.DUMMYFUNCTION("""COMPUTED_VALUE"""),0.0)</f>
        <v>0</v>
      </c>
      <c r="Y92" s="3">
        <f>IFERROR(__xludf.DUMMYFUNCTION("""COMPUTED_VALUE"""),0.0)</f>
        <v>0</v>
      </c>
      <c r="Z92" s="3">
        <f>IFERROR(__xludf.DUMMYFUNCTION("""COMPUTED_VALUE"""),0.0)</f>
        <v>0</v>
      </c>
      <c r="AA92" s="3">
        <f>IFERROR(__xludf.DUMMYFUNCTION("""COMPUTED_VALUE"""),0.0)</f>
        <v>0</v>
      </c>
      <c r="AB92" s="3">
        <f>IFERROR(__xludf.DUMMYFUNCTION("""COMPUTED_VALUE"""),0.0)</f>
        <v>0</v>
      </c>
      <c r="AC92" s="3">
        <f>IFERROR(__xludf.DUMMYFUNCTION("""COMPUTED_VALUE"""),0.0)</f>
        <v>0</v>
      </c>
      <c r="AD92" s="3">
        <f>IFERROR(__xludf.DUMMYFUNCTION("""COMPUTED_VALUE"""),0.0)</f>
        <v>0</v>
      </c>
      <c r="AE92" s="3">
        <f>IFERROR(__xludf.DUMMYFUNCTION("""COMPUTED_VALUE"""),0.0)</f>
        <v>0</v>
      </c>
      <c r="AF92" s="3">
        <f>IFERROR(__xludf.DUMMYFUNCTION("""COMPUTED_VALUE"""),0.0)</f>
        <v>0</v>
      </c>
      <c r="AG92" s="3">
        <f>IFERROR(__xludf.DUMMYFUNCTION("""COMPUTED_VALUE"""),0.0)</f>
        <v>0</v>
      </c>
      <c r="AH92" s="3">
        <f>IFERROR(__xludf.DUMMYFUNCTION("""COMPUTED_VALUE"""),0.0)</f>
        <v>0</v>
      </c>
      <c r="AI92" s="3">
        <f>IFERROR(__xludf.DUMMYFUNCTION("""COMPUTED_VALUE"""),0.0)</f>
        <v>0</v>
      </c>
      <c r="AJ92" s="3">
        <f>IFERROR(__xludf.DUMMYFUNCTION("""COMPUTED_VALUE"""),0.0)</f>
        <v>0</v>
      </c>
      <c r="AK92" s="3">
        <f>IFERROR(__xludf.DUMMYFUNCTION("""COMPUTED_VALUE"""),0.0)</f>
        <v>0</v>
      </c>
      <c r="AL92" s="3">
        <f>IFERROR(__xludf.DUMMYFUNCTION("""COMPUTED_VALUE"""),0.0)</f>
        <v>0</v>
      </c>
      <c r="AM92" s="3">
        <f>IFERROR(__xludf.DUMMYFUNCTION("""COMPUTED_VALUE"""),0.0)</f>
        <v>0</v>
      </c>
      <c r="AN92" s="3">
        <f>IFERROR(__xludf.DUMMYFUNCTION("""COMPUTED_VALUE"""),0.0)</f>
        <v>0</v>
      </c>
      <c r="AO92" s="3">
        <f>IFERROR(__xludf.DUMMYFUNCTION("""COMPUTED_VALUE"""),0.0)</f>
        <v>0</v>
      </c>
      <c r="AP92" s="3">
        <f>IFERROR(__xludf.DUMMYFUNCTION("""COMPUTED_VALUE"""),1.0)</f>
        <v>1</v>
      </c>
      <c r="AQ92" s="3">
        <f>IFERROR(__xludf.DUMMYFUNCTION("""COMPUTED_VALUE"""),1.0)</f>
        <v>1</v>
      </c>
      <c r="AR92" s="3">
        <f>IFERROR(__xludf.DUMMYFUNCTION("""COMPUTED_VALUE"""),1.0)</f>
        <v>1</v>
      </c>
      <c r="AS92" s="3">
        <f>IFERROR(__xludf.DUMMYFUNCTION("""COMPUTED_VALUE"""),1.0)</f>
        <v>1</v>
      </c>
      <c r="AT92" s="3">
        <f>IFERROR(__xludf.DUMMYFUNCTION("""COMPUTED_VALUE"""),1.0)</f>
        <v>1</v>
      </c>
      <c r="AU92" s="3">
        <f>IFERROR(__xludf.DUMMYFUNCTION("""COMPUTED_VALUE"""),1.0)</f>
        <v>1</v>
      </c>
      <c r="AV92" s="3">
        <f>IFERROR(__xludf.DUMMYFUNCTION("""COMPUTED_VALUE"""),1.0)</f>
        <v>1</v>
      </c>
      <c r="AW92" s="3">
        <f>IFERROR(__xludf.DUMMYFUNCTION("""COMPUTED_VALUE"""),1.0)</f>
        <v>1</v>
      </c>
      <c r="AX92" s="3">
        <f>IFERROR(__xludf.DUMMYFUNCTION("""COMPUTED_VALUE"""),1.0)</f>
        <v>1</v>
      </c>
      <c r="AY92" s="3">
        <f>IFERROR(__xludf.DUMMYFUNCTION("""COMPUTED_VALUE"""),1.0)</f>
        <v>1</v>
      </c>
      <c r="AZ92" s="3">
        <f>IFERROR(__xludf.DUMMYFUNCTION("""COMPUTED_VALUE"""),1.0)</f>
        <v>1</v>
      </c>
      <c r="BA92" s="3">
        <f>IFERROR(__xludf.DUMMYFUNCTION("""COMPUTED_VALUE"""),1.0)</f>
        <v>1</v>
      </c>
      <c r="BB92" s="3">
        <f>IFERROR(__xludf.DUMMYFUNCTION("""COMPUTED_VALUE"""),27.0)</f>
        <v>27</v>
      </c>
      <c r="BC92" s="3">
        <f>IFERROR(__xludf.DUMMYFUNCTION("""COMPUTED_VALUE"""),27.0)</f>
        <v>27</v>
      </c>
      <c r="BD92" s="3">
        <f>IFERROR(__xludf.DUMMYFUNCTION("""COMPUTED_VALUE"""),27.0)</f>
        <v>27</v>
      </c>
      <c r="BE92" s="3">
        <f>IFERROR(__xludf.DUMMYFUNCTION("""COMPUTED_VALUE"""),27.0)</f>
        <v>27</v>
      </c>
      <c r="BF92" s="3">
        <f>IFERROR(__xludf.DUMMYFUNCTION("""COMPUTED_VALUE"""),21.0)</f>
        <v>21</v>
      </c>
      <c r="BG92" s="3">
        <f>IFERROR(__xludf.DUMMYFUNCTION("""COMPUTED_VALUE"""),27.0)</f>
        <v>27</v>
      </c>
      <c r="BH92" s="3">
        <f>IFERROR(__xludf.DUMMYFUNCTION("""COMPUTED_VALUE"""),32.0)</f>
        <v>32</v>
      </c>
      <c r="BI92" s="3">
        <f>IFERROR(__xludf.DUMMYFUNCTION("""COMPUTED_VALUE"""),32.0)</f>
        <v>32</v>
      </c>
      <c r="BJ92" s="3">
        <f>IFERROR(__xludf.DUMMYFUNCTION("""COMPUTED_VALUE"""),32.0)</f>
        <v>32</v>
      </c>
      <c r="BK92" s="3">
        <f>IFERROR(__xludf.DUMMYFUNCTION("""COMPUTED_VALUE"""),39.0)</f>
        <v>39</v>
      </c>
      <c r="BL92" s="3">
        <f>IFERROR(__xludf.DUMMYFUNCTION("""COMPUTED_VALUE"""),41.0)</f>
        <v>41</v>
      </c>
      <c r="BM92" s="3">
        <f>IFERROR(__xludf.DUMMYFUNCTION("""COMPUTED_VALUE"""),56.0)</f>
        <v>56</v>
      </c>
      <c r="BN92" s="3">
        <f>IFERROR(__xludf.DUMMYFUNCTION("""COMPUTED_VALUE"""),56.0)</f>
        <v>56</v>
      </c>
      <c r="BO92" s="3">
        <f>IFERROR(__xludf.DUMMYFUNCTION("""COMPUTED_VALUE"""),80.0)</f>
        <v>80</v>
      </c>
      <c r="BP92" s="3">
        <f>IFERROR(__xludf.DUMMYFUNCTION("""COMPUTED_VALUE"""),95.0)</f>
        <v>95</v>
      </c>
      <c r="BQ92" s="3">
        <f>IFERROR(__xludf.DUMMYFUNCTION("""COMPUTED_VALUE"""),102.0)</f>
        <v>102</v>
      </c>
      <c r="BR92" s="3">
        <f>IFERROR(__xludf.DUMMYFUNCTION("""COMPUTED_VALUE"""),116.0)</f>
        <v>116</v>
      </c>
      <c r="BS92" s="3">
        <f>IFERROR(__xludf.DUMMYFUNCTION("""COMPUTED_VALUE"""),121.0)</f>
        <v>121</v>
      </c>
      <c r="BT92" s="3">
        <f>IFERROR(__xludf.DUMMYFUNCTION("""COMPUTED_VALUE"""),132.0)</f>
        <v>132</v>
      </c>
      <c r="BU92" s="3">
        <f>IFERROR(__xludf.DUMMYFUNCTION("""COMPUTED_VALUE"""),150.0)</f>
        <v>150</v>
      </c>
      <c r="BV92" s="3">
        <f>IFERROR(__xludf.DUMMYFUNCTION("""COMPUTED_VALUE"""),157.0)</f>
        <v>157</v>
      </c>
      <c r="BW92" s="3">
        <f>IFERROR(__xludf.DUMMYFUNCTION("""COMPUTED_VALUE"""),179.0)</f>
        <v>179</v>
      </c>
      <c r="BX92" s="3">
        <f>IFERROR(__xludf.DUMMYFUNCTION("""COMPUTED_VALUE"""),201.0)</f>
        <v>201</v>
      </c>
      <c r="BY92" s="3">
        <f>IFERROR(__xludf.DUMMYFUNCTION("""COMPUTED_VALUE"""),216.0)</f>
        <v>216</v>
      </c>
      <c r="BZ92" s="3">
        <f>IFERROR(__xludf.DUMMYFUNCTION("""COMPUTED_VALUE"""),241.0)</f>
        <v>241</v>
      </c>
      <c r="CA92" s="3">
        <f>IFERROR(__xludf.DUMMYFUNCTION("""COMPUTED_VALUE"""),247.0)</f>
        <v>247</v>
      </c>
      <c r="CB92" s="3">
        <f>IFERROR(__xludf.DUMMYFUNCTION("""COMPUTED_VALUE"""),259.0)</f>
        <v>259</v>
      </c>
    </row>
    <row r="93">
      <c r="A93" s="3" t="str">
        <f>IFERROR(__xludf.DUMMYFUNCTION("""COMPUTED_VALUE"""),"")</f>
        <v/>
      </c>
      <c r="B93" s="3" t="str">
        <f>IFERROR(__xludf.DUMMYFUNCTION("""COMPUTED_VALUE"""),"El Salvador")</f>
        <v>El Salvador</v>
      </c>
      <c r="C93" s="3">
        <f>IFERROR(__xludf.DUMMYFUNCTION("""COMPUTED_VALUE"""),13.7942)</f>
        <v>13.7942</v>
      </c>
      <c r="D93" s="3">
        <f>IFERROR(__xludf.DUMMYFUNCTION("""COMPUTED_VALUE"""),-88.8965)</f>
        <v>-88.8965</v>
      </c>
      <c r="E93" s="3">
        <f>IFERROR(__xludf.DUMMYFUNCTION("""COMPUTED_VALUE"""),0.0)</f>
        <v>0</v>
      </c>
      <c r="F93" s="3">
        <f>IFERROR(__xludf.DUMMYFUNCTION("""COMPUTED_VALUE"""),0.0)</f>
        <v>0</v>
      </c>
      <c r="G93" s="3">
        <f>IFERROR(__xludf.DUMMYFUNCTION("""COMPUTED_VALUE"""),0.0)</f>
        <v>0</v>
      </c>
      <c r="H93" s="3">
        <f>IFERROR(__xludf.DUMMYFUNCTION("""COMPUTED_VALUE"""),0.0)</f>
        <v>0</v>
      </c>
      <c r="I93" s="3">
        <f>IFERROR(__xludf.DUMMYFUNCTION("""COMPUTED_VALUE"""),0.0)</f>
        <v>0</v>
      </c>
      <c r="J93" s="3">
        <f>IFERROR(__xludf.DUMMYFUNCTION("""COMPUTED_VALUE"""),0.0)</f>
        <v>0</v>
      </c>
      <c r="K93" s="3">
        <f>IFERROR(__xludf.DUMMYFUNCTION("""COMPUTED_VALUE"""),0.0)</f>
        <v>0</v>
      </c>
      <c r="L93" s="3">
        <f>IFERROR(__xludf.DUMMYFUNCTION("""COMPUTED_VALUE"""),0.0)</f>
        <v>0</v>
      </c>
      <c r="M93" s="3">
        <f>IFERROR(__xludf.DUMMYFUNCTION("""COMPUTED_VALUE"""),0.0)</f>
        <v>0</v>
      </c>
      <c r="N93" s="3">
        <f>IFERROR(__xludf.DUMMYFUNCTION("""COMPUTED_VALUE"""),0.0)</f>
        <v>0</v>
      </c>
      <c r="O93" s="3">
        <f>IFERROR(__xludf.DUMMYFUNCTION("""COMPUTED_VALUE"""),0.0)</f>
        <v>0</v>
      </c>
      <c r="P93" s="3">
        <f>IFERROR(__xludf.DUMMYFUNCTION("""COMPUTED_VALUE"""),0.0)</f>
        <v>0</v>
      </c>
      <c r="Q93" s="3">
        <f>IFERROR(__xludf.DUMMYFUNCTION("""COMPUTED_VALUE"""),0.0)</f>
        <v>0</v>
      </c>
      <c r="R93" s="3">
        <f>IFERROR(__xludf.DUMMYFUNCTION("""COMPUTED_VALUE"""),0.0)</f>
        <v>0</v>
      </c>
      <c r="S93" s="3">
        <f>IFERROR(__xludf.DUMMYFUNCTION("""COMPUTED_VALUE"""),0.0)</f>
        <v>0</v>
      </c>
      <c r="T93" s="3">
        <f>IFERROR(__xludf.DUMMYFUNCTION("""COMPUTED_VALUE"""),0.0)</f>
        <v>0</v>
      </c>
      <c r="U93" s="3">
        <f>IFERROR(__xludf.DUMMYFUNCTION("""COMPUTED_VALUE"""),0.0)</f>
        <v>0</v>
      </c>
      <c r="V93" s="3">
        <f>IFERROR(__xludf.DUMMYFUNCTION("""COMPUTED_VALUE"""),0.0)</f>
        <v>0</v>
      </c>
      <c r="W93" s="3">
        <f>IFERROR(__xludf.DUMMYFUNCTION("""COMPUTED_VALUE"""),0.0)</f>
        <v>0</v>
      </c>
      <c r="X93" s="3">
        <f>IFERROR(__xludf.DUMMYFUNCTION("""COMPUTED_VALUE"""),0.0)</f>
        <v>0</v>
      </c>
      <c r="Y93" s="3">
        <f>IFERROR(__xludf.DUMMYFUNCTION("""COMPUTED_VALUE"""),0.0)</f>
        <v>0</v>
      </c>
      <c r="Z93" s="3">
        <f>IFERROR(__xludf.DUMMYFUNCTION("""COMPUTED_VALUE"""),0.0)</f>
        <v>0</v>
      </c>
      <c r="AA93" s="3">
        <f>IFERROR(__xludf.DUMMYFUNCTION("""COMPUTED_VALUE"""),0.0)</f>
        <v>0</v>
      </c>
      <c r="AB93" s="3">
        <f>IFERROR(__xludf.DUMMYFUNCTION("""COMPUTED_VALUE"""),0.0)</f>
        <v>0</v>
      </c>
      <c r="AC93" s="3">
        <f>IFERROR(__xludf.DUMMYFUNCTION("""COMPUTED_VALUE"""),0.0)</f>
        <v>0</v>
      </c>
      <c r="AD93" s="3">
        <f>IFERROR(__xludf.DUMMYFUNCTION("""COMPUTED_VALUE"""),0.0)</f>
        <v>0</v>
      </c>
      <c r="AE93" s="3">
        <f>IFERROR(__xludf.DUMMYFUNCTION("""COMPUTED_VALUE"""),0.0)</f>
        <v>0</v>
      </c>
      <c r="AF93" s="3">
        <f>IFERROR(__xludf.DUMMYFUNCTION("""COMPUTED_VALUE"""),0.0)</f>
        <v>0</v>
      </c>
      <c r="AG93" s="3">
        <f>IFERROR(__xludf.DUMMYFUNCTION("""COMPUTED_VALUE"""),0.0)</f>
        <v>0</v>
      </c>
      <c r="AH93" s="3">
        <f>IFERROR(__xludf.DUMMYFUNCTION("""COMPUTED_VALUE"""),0.0)</f>
        <v>0</v>
      </c>
      <c r="AI93" s="3">
        <f>IFERROR(__xludf.DUMMYFUNCTION("""COMPUTED_VALUE"""),0.0)</f>
        <v>0</v>
      </c>
      <c r="AJ93" s="3">
        <f>IFERROR(__xludf.DUMMYFUNCTION("""COMPUTED_VALUE"""),0.0)</f>
        <v>0</v>
      </c>
      <c r="AK93" s="3">
        <f>IFERROR(__xludf.DUMMYFUNCTION("""COMPUTED_VALUE"""),0.0)</f>
        <v>0</v>
      </c>
      <c r="AL93" s="3">
        <f>IFERROR(__xludf.DUMMYFUNCTION("""COMPUTED_VALUE"""),0.0)</f>
        <v>0</v>
      </c>
      <c r="AM93" s="3">
        <f>IFERROR(__xludf.DUMMYFUNCTION("""COMPUTED_VALUE"""),0.0)</f>
        <v>0</v>
      </c>
      <c r="AN93" s="3">
        <f>IFERROR(__xludf.DUMMYFUNCTION("""COMPUTED_VALUE"""),0.0)</f>
        <v>0</v>
      </c>
      <c r="AO93" s="3">
        <f>IFERROR(__xludf.DUMMYFUNCTION("""COMPUTED_VALUE"""),0.0)</f>
        <v>0</v>
      </c>
      <c r="AP93" s="3">
        <f>IFERROR(__xludf.DUMMYFUNCTION("""COMPUTED_VALUE"""),0.0)</f>
        <v>0</v>
      </c>
      <c r="AQ93" s="3">
        <f>IFERROR(__xludf.DUMMYFUNCTION("""COMPUTED_VALUE"""),0.0)</f>
        <v>0</v>
      </c>
      <c r="AR93" s="3">
        <f>IFERROR(__xludf.DUMMYFUNCTION("""COMPUTED_VALUE"""),0.0)</f>
        <v>0</v>
      </c>
      <c r="AS93" s="3">
        <f>IFERROR(__xludf.DUMMYFUNCTION("""COMPUTED_VALUE"""),0.0)</f>
        <v>0</v>
      </c>
      <c r="AT93" s="3">
        <f>IFERROR(__xludf.DUMMYFUNCTION("""COMPUTED_VALUE"""),0.0)</f>
        <v>0</v>
      </c>
      <c r="AU93" s="3">
        <f>IFERROR(__xludf.DUMMYFUNCTION("""COMPUTED_VALUE"""),0.0)</f>
        <v>0</v>
      </c>
      <c r="AV93" s="3">
        <f>IFERROR(__xludf.DUMMYFUNCTION("""COMPUTED_VALUE"""),0.0)</f>
        <v>0</v>
      </c>
      <c r="AW93" s="3">
        <f>IFERROR(__xludf.DUMMYFUNCTION("""COMPUTED_VALUE"""),0.0)</f>
        <v>0</v>
      </c>
      <c r="AX93" s="3">
        <f>IFERROR(__xludf.DUMMYFUNCTION("""COMPUTED_VALUE"""),0.0)</f>
        <v>0</v>
      </c>
      <c r="AY93" s="3">
        <f>IFERROR(__xludf.DUMMYFUNCTION("""COMPUTED_VALUE"""),0.0)</f>
        <v>0</v>
      </c>
      <c r="AZ93" s="3">
        <f>IFERROR(__xludf.DUMMYFUNCTION("""COMPUTED_VALUE"""),0.0)</f>
        <v>0</v>
      </c>
      <c r="BA93" s="3">
        <f>IFERROR(__xludf.DUMMYFUNCTION("""COMPUTED_VALUE"""),0.0)</f>
        <v>0</v>
      </c>
      <c r="BB93" s="3">
        <f>IFERROR(__xludf.DUMMYFUNCTION("""COMPUTED_VALUE"""),0.0)</f>
        <v>0</v>
      </c>
      <c r="BC93" s="3">
        <f>IFERROR(__xludf.DUMMYFUNCTION("""COMPUTED_VALUE"""),0.0)</f>
        <v>0</v>
      </c>
      <c r="BD93" s="3">
        <f>IFERROR(__xludf.DUMMYFUNCTION("""COMPUTED_VALUE"""),0.0)</f>
        <v>0</v>
      </c>
      <c r="BE93" s="3">
        <f>IFERROR(__xludf.DUMMYFUNCTION("""COMPUTED_VALUE"""),0.0)</f>
        <v>0</v>
      </c>
      <c r="BF93" s="3">
        <f>IFERROR(__xludf.DUMMYFUNCTION("""COMPUTED_VALUE"""),0.0)</f>
        <v>0</v>
      </c>
      <c r="BG93" s="3">
        <f>IFERROR(__xludf.DUMMYFUNCTION("""COMPUTED_VALUE"""),0.0)</f>
        <v>0</v>
      </c>
      <c r="BH93" s="3">
        <f>IFERROR(__xludf.DUMMYFUNCTION("""COMPUTED_VALUE"""),0.0)</f>
        <v>0</v>
      </c>
      <c r="BI93" s="3">
        <f>IFERROR(__xludf.DUMMYFUNCTION("""COMPUTED_VALUE"""),0.0)</f>
        <v>0</v>
      </c>
      <c r="BJ93" s="3">
        <f>IFERROR(__xludf.DUMMYFUNCTION("""COMPUTED_VALUE"""),0.0)</f>
        <v>0</v>
      </c>
      <c r="BK93" s="3">
        <f>IFERROR(__xludf.DUMMYFUNCTION("""COMPUTED_VALUE"""),0.0)</f>
        <v>0</v>
      </c>
      <c r="BL93" s="3">
        <f>IFERROR(__xludf.DUMMYFUNCTION("""COMPUTED_VALUE"""),0.0)</f>
        <v>0</v>
      </c>
      <c r="BM93" s="3">
        <f>IFERROR(__xludf.DUMMYFUNCTION("""COMPUTED_VALUE"""),0.0)</f>
        <v>0</v>
      </c>
      <c r="BN93" s="3">
        <f>IFERROR(__xludf.DUMMYFUNCTION("""COMPUTED_VALUE"""),0.0)</f>
        <v>0</v>
      </c>
      <c r="BO93" s="3">
        <f>IFERROR(__xludf.DUMMYFUNCTION("""COMPUTED_VALUE"""),0.0)</f>
        <v>0</v>
      </c>
      <c r="BP93" s="3">
        <f>IFERROR(__xludf.DUMMYFUNCTION("""COMPUTED_VALUE"""),0.0)</f>
        <v>0</v>
      </c>
      <c r="BQ93" s="3">
        <f>IFERROR(__xludf.DUMMYFUNCTION("""COMPUTED_VALUE"""),0.0)</f>
        <v>0</v>
      </c>
      <c r="BR93" s="3">
        <f>IFERROR(__xludf.DUMMYFUNCTION("""COMPUTED_VALUE"""),0.0)</f>
        <v>0</v>
      </c>
      <c r="BS93" s="3">
        <f>IFERROR(__xludf.DUMMYFUNCTION("""COMPUTED_VALUE"""),0.0)</f>
        <v>0</v>
      </c>
      <c r="BT93" s="3">
        <f>IFERROR(__xludf.DUMMYFUNCTION("""COMPUTED_VALUE"""),0.0)</f>
        <v>0</v>
      </c>
      <c r="BU93" s="3">
        <f>IFERROR(__xludf.DUMMYFUNCTION("""COMPUTED_VALUE"""),0.0)</f>
        <v>0</v>
      </c>
      <c r="BV93" s="3">
        <f>IFERROR(__xludf.DUMMYFUNCTION("""COMPUTED_VALUE"""),0.0)</f>
        <v>0</v>
      </c>
      <c r="BW93" s="3">
        <f>IFERROR(__xludf.DUMMYFUNCTION("""COMPUTED_VALUE"""),0.0)</f>
        <v>0</v>
      </c>
      <c r="BX93" s="3">
        <f>IFERROR(__xludf.DUMMYFUNCTION("""COMPUTED_VALUE"""),0.0)</f>
        <v>0</v>
      </c>
      <c r="BY93" s="3">
        <f>IFERROR(__xludf.DUMMYFUNCTION("""COMPUTED_VALUE"""),0.0)</f>
        <v>0</v>
      </c>
      <c r="BZ93" s="3">
        <f>IFERROR(__xludf.DUMMYFUNCTION("""COMPUTED_VALUE"""),2.0)</f>
        <v>2</v>
      </c>
      <c r="CA93" s="3">
        <f>IFERROR(__xludf.DUMMYFUNCTION("""COMPUTED_VALUE"""),2.0)</f>
        <v>2</v>
      </c>
      <c r="CB93" s="3">
        <f>IFERROR(__xludf.DUMMYFUNCTION("""COMPUTED_VALUE"""),5.0)</f>
        <v>5</v>
      </c>
    </row>
    <row r="94">
      <c r="A94" s="3" t="str">
        <f>IFERROR(__xludf.DUMMYFUNCTION("""COMPUTED_VALUE"""),"")</f>
        <v/>
      </c>
      <c r="B94" s="3" t="str">
        <f>IFERROR(__xludf.DUMMYFUNCTION("""COMPUTED_VALUE"""),"Equatorial Guinea")</f>
        <v>Equatorial Guinea</v>
      </c>
      <c r="C94" s="3">
        <f>IFERROR(__xludf.DUMMYFUNCTION("""COMPUTED_VALUE"""),1.5)</f>
        <v>1.5</v>
      </c>
      <c r="D94" s="3">
        <f>IFERROR(__xludf.DUMMYFUNCTION("""COMPUTED_VALUE"""),10.0)</f>
        <v>10</v>
      </c>
      <c r="E94" s="3">
        <f>IFERROR(__xludf.DUMMYFUNCTION("""COMPUTED_VALUE"""),0.0)</f>
        <v>0</v>
      </c>
      <c r="F94" s="3">
        <f>IFERROR(__xludf.DUMMYFUNCTION("""COMPUTED_VALUE"""),0.0)</f>
        <v>0</v>
      </c>
      <c r="G94" s="3">
        <f>IFERROR(__xludf.DUMMYFUNCTION("""COMPUTED_VALUE"""),0.0)</f>
        <v>0</v>
      </c>
      <c r="H94" s="3">
        <f>IFERROR(__xludf.DUMMYFUNCTION("""COMPUTED_VALUE"""),0.0)</f>
        <v>0</v>
      </c>
      <c r="I94" s="3">
        <f>IFERROR(__xludf.DUMMYFUNCTION("""COMPUTED_VALUE"""),0.0)</f>
        <v>0</v>
      </c>
      <c r="J94" s="3">
        <f>IFERROR(__xludf.DUMMYFUNCTION("""COMPUTED_VALUE"""),0.0)</f>
        <v>0</v>
      </c>
      <c r="K94" s="3">
        <f>IFERROR(__xludf.DUMMYFUNCTION("""COMPUTED_VALUE"""),0.0)</f>
        <v>0</v>
      </c>
      <c r="L94" s="3">
        <f>IFERROR(__xludf.DUMMYFUNCTION("""COMPUTED_VALUE"""),0.0)</f>
        <v>0</v>
      </c>
      <c r="M94" s="3">
        <f>IFERROR(__xludf.DUMMYFUNCTION("""COMPUTED_VALUE"""),0.0)</f>
        <v>0</v>
      </c>
      <c r="N94" s="3">
        <f>IFERROR(__xludf.DUMMYFUNCTION("""COMPUTED_VALUE"""),0.0)</f>
        <v>0</v>
      </c>
      <c r="O94" s="3">
        <f>IFERROR(__xludf.DUMMYFUNCTION("""COMPUTED_VALUE"""),0.0)</f>
        <v>0</v>
      </c>
      <c r="P94" s="3">
        <f>IFERROR(__xludf.DUMMYFUNCTION("""COMPUTED_VALUE"""),0.0)</f>
        <v>0</v>
      </c>
      <c r="Q94" s="3">
        <f>IFERROR(__xludf.DUMMYFUNCTION("""COMPUTED_VALUE"""),0.0)</f>
        <v>0</v>
      </c>
      <c r="R94" s="3">
        <f>IFERROR(__xludf.DUMMYFUNCTION("""COMPUTED_VALUE"""),0.0)</f>
        <v>0</v>
      </c>
      <c r="S94" s="3">
        <f>IFERROR(__xludf.DUMMYFUNCTION("""COMPUTED_VALUE"""),0.0)</f>
        <v>0</v>
      </c>
      <c r="T94" s="3">
        <f>IFERROR(__xludf.DUMMYFUNCTION("""COMPUTED_VALUE"""),0.0)</f>
        <v>0</v>
      </c>
      <c r="U94" s="3">
        <f>IFERROR(__xludf.DUMMYFUNCTION("""COMPUTED_VALUE"""),0.0)</f>
        <v>0</v>
      </c>
      <c r="V94" s="3">
        <f>IFERROR(__xludf.DUMMYFUNCTION("""COMPUTED_VALUE"""),0.0)</f>
        <v>0</v>
      </c>
      <c r="W94" s="3">
        <f>IFERROR(__xludf.DUMMYFUNCTION("""COMPUTED_VALUE"""),0.0)</f>
        <v>0</v>
      </c>
      <c r="X94" s="3">
        <f>IFERROR(__xludf.DUMMYFUNCTION("""COMPUTED_VALUE"""),0.0)</f>
        <v>0</v>
      </c>
      <c r="Y94" s="3">
        <f>IFERROR(__xludf.DUMMYFUNCTION("""COMPUTED_VALUE"""),0.0)</f>
        <v>0</v>
      </c>
      <c r="Z94" s="3">
        <f>IFERROR(__xludf.DUMMYFUNCTION("""COMPUTED_VALUE"""),0.0)</f>
        <v>0</v>
      </c>
      <c r="AA94" s="3">
        <f>IFERROR(__xludf.DUMMYFUNCTION("""COMPUTED_VALUE"""),0.0)</f>
        <v>0</v>
      </c>
      <c r="AB94" s="3">
        <f>IFERROR(__xludf.DUMMYFUNCTION("""COMPUTED_VALUE"""),0.0)</f>
        <v>0</v>
      </c>
      <c r="AC94" s="3">
        <f>IFERROR(__xludf.DUMMYFUNCTION("""COMPUTED_VALUE"""),0.0)</f>
        <v>0</v>
      </c>
      <c r="AD94" s="3">
        <f>IFERROR(__xludf.DUMMYFUNCTION("""COMPUTED_VALUE"""),0.0)</f>
        <v>0</v>
      </c>
      <c r="AE94" s="3">
        <f>IFERROR(__xludf.DUMMYFUNCTION("""COMPUTED_VALUE"""),0.0)</f>
        <v>0</v>
      </c>
      <c r="AF94" s="3">
        <f>IFERROR(__xludf.DUMMYFUNCTION("""COMPUTED_VALUE"""),0.0)</f>
        <v>0</v>
      </c>
      <c r="AG94" s="3">
        <f>IFERROR(__xludf.DUMMYFUNCTION("""COMPUTED_VALUE"""),0.0)</f>
        <v>0</v>
      </c>
      <c r="AH94" s="3">
        <f>IFERROR(__xludf.DUMMYFUNCTION("""COMPUTED_VALUE"""),0.0)</f>
        <v>0</v>
      </c>
      <c r="AI94" s="3">
        <f>IFERROR(__xludf.DUMMYFUNCTION("""COMPUTED_VALUE"""),0.0)</f>
        <v>0</v>
      </c>
      <c r="AJ94" s="3">
        <f>IFERROR(__xludf.DUMMYFUNCTION("""COMPUTED_VALUE"""),0.0)</f>
        <v>0</v>
      </c>
      <c r="AK94" s="3">
        <f>IFERROR(__xludf.DUMMYFUNCTION("""COMPUTED_VALUE"""),0.0)</f>
        <v>0</v>
      </c>
      <c r="AL94" s="3">
        <f>IFERROR(__xludf.DUMMYFUNCTION("""COMPUTED_VALUE"""),0.0)</f>
        <v>0</v>
      </c>
      <c r="AM94" s="3">
        <f>IFERROR(__xludf.DUMMYFUNCTION("""COMPUTED_VALUE"""),0.0)</f>
        <v>0</v>
      </c>
      <c r="AN94" s="3">
        <f>IFERROR(__xludf.DUMMYFUNCTION("""COMPUTED_VALUE"""),0.0)</f>
        <v>0</v>
      </c>
      <c r="AO94" s="3">
        <f>IFERROR(__xludf.DUMMYFUNCTION("""COMPUTED_VALUE"""),0.0)</f>
        <v>0</v>
      </c>
      <c r="AP94" s="3">
        <f>IFERROR(__xludf.DUMMYFUNCTION("""COMPUTED_VALUE"""),0.0)</f>
        <v>0</v>
      </c>
      <c r="AQ94" s="3">
        <f>IFERROR(__xludf.DUMMYFUNCTION("""COMPUTED_VALUE"""),0.0)</f>
        <v>0</v>
      </c>
      <c r="AR94" s="3">
        <f>IFERROR(__xludf.DUMMYFUNCTION("""COMPUTED_VALUE"""),0.0)</f>
        <v>0</v>
      </c>
      <c r="AS94" s="3">
        <f>IFERROR(__xludf.DUMMYFUNCTION("""COMPUTED_VALUE"""),0.0)</f>
        <v>0</v>
      </c>
      <c r="AT94" s="3">
        <f>IFERROR(__xludf.DUMMYFUNCTION("""COMPUTED_VALUE"""),0.0)</f>
        <v>0</v>
      </c>
      <c r="AU94" s="3">
        <f>IFERROR(__xludf.DUMMYFUNCTION("""COMPUTED_VALUE"""),0.0)</f>
        <v>0</v>
      </c>
      <c r="AV94" s="3">
        <f>IFERROR(__xludf.DUMMYFUNCTION("""COMPUTED_VALUE"""),0.0)</f>
        <v>0</v>
      </c>
      <c r="AW94" s="3">
        <f>IFERROR(__xludf.DUMMYFUNCTION("""COMPUTED_VALUE"""),0.0)</f>
        <v>0</v>
      </c>
      <c r="AX94" s="3">
        <f>IFERROR(__xludf.DUMMYFUNCTION("""COMPUTED_VALUE"""),0.0)</f>
        <v>0</v>
      </c>
      <c r="AY94" s="3">
        <f>IFERROR(__xludf.DUMMYFUNCTION("""COMPUTED_VALUE"""),0.0)</f>
        <v>0</v>
      </c>
      <c r="AZ94" s="3">
        <f>IFERROR(__xludf.DUMMYFUNCTION("""COMPUTED_VALUE"""),0.0)</f>
        <v>0</v>
      </c>
      <c r="BA94" s="3">
        <f>IFERROR(__xludf.DUMMYFUNCTION("""COMPUTED_VALUE"""),0.0)</f>
        <v>0</v>
      </c>
      <c r="BB94" s="3">
        <f>IFERROR(__xludf.DUMMYFUNCTION("""COMPUTED_VALUE"""),0.0)</f>
        <v>0</v>
      </c>
      <c r="BC94" s="3">
        <f>IFERROR(__xludf.DUMMYFUNCTION("""COMPUTED_VALUE"""),0.0)</f>
        <v>0</v>
      </c>
      <c r="BD94" s="3">
        <f>IFERROR(__xludf.DUMMYFUNCTION("""COMPUTED_VALUE"""),0.0)</f>
        <v>0</v>
      </c>
      <c r="BE94" s="3">
        <f>IFERROR(__xludf.DUMMYFUNCTION("""COMPUTED_VALUE"""),0.0)</f>
        <v>0</v>
      </c>
      <c r="BF94" s="3">
        <f>IFERROR(__xludf.DUMMYFUNCTION("""COMPUTED_VALUE"""),0.0)</f>
        <v>0</v>
      </c>
      <c r="BG94" s="3">
        <f>IFERROR(__xludf.DUMMYFUNCTION("""COMPUTED_VALUE"""),0.0)</f>
        <v>0</v>
      </c>
      <c r="BH94" s="3">
        <f>IFERROR(__xludf.DUMMYFUNCTION("""COMPUTED_VALUE"""),0.0)</f>
        <v>0</v>
      </c>
      <c r="BI94" s="3">
        <f>IFERROR(__xludf.DUMMYFUNCTION("""COMPUTED_VALUE"""),0.0)</f>
        <v>0</v>
      </c>
      <c r="BJ94" s="3">
        <f>IFERROR(__xludf.DUMMYFUNCTION("""COMPUTED_VALUE"""),0.0)</f>
        <v>0</v>
      </c>
      <c r="BK94" s="3">
        <f>IFERROR(__xludf.DUMMYFUNCTION("""COMPUTED_VALUE"""),0.0)</f>
        <v>0</v>
      </c>
      <c r="BL94" s="3">
        <f>IFERROR(__xludf.DUMMYFUNCTION("""COMPUTED_VALUE"""),0.0)</f>
        <v>0</v>
      </c>
      <c r="BM94" s="3">
        <f>IFERROR(__xludf.DUMMYFUNCTION("""COMPUTED_VALUE"""),0.0)</f>
        <v>0</v>
      </c>
      <c r="BN94" s="3">
        <f>IFERROR(__xludf.DUMMYFUNCTION("""COMPUTED_VALUE"""),0.0)</f>
        <v>0</v>
      </c>
      <c r="BO94" s="3">
        <f>IFERROR(__xludf.DUMMYFUNCTION("""COMPUTED_VALUE"""),0.0)</f>
        <v>0</v>
      </c>
      <c r="BP94" s="3">
        <f>IFERROR(__xludf.DUMMYFUNCTION("""COMPUTED_VALUE"""),0.0)</f>
        <v>0</v>
      </c>
      <c r="BQ94" s="3">
        <f>IFERROR(__xludf.DUMMYFUNCTION("""COMPUTED_VALUE"""),0.0)</f>
        <v>0</v>
      </c>
      <c r="BR94" s="3">
        <f>IFERROR(__xludf.DUMMYFUNCTION("""COMPUTED_VALUE"""),0.0)</f>
        <v>0</v>
      </c>
      <c r="BS94" s="3">
        <f>IFERROR(__xludf.DUMMYFUNCTION("""COMPUTED_VALUE"""),0.0)</f>
        <v>0</v>
      </c>
      <c r="BT94" s="3">
        <f>IFERROR(__xludf.DUMMYFUNCTION("""COMPUTED_VALUE"""),0.0)</f>
        <v>0</v>
      </c>
      <c r="BU94" s="3">
        <f>IFERROR(__xludf.DUMMYFUNCTION("""COMPUTED_VALUE"""),0.0)</f>
        <v>0</v>
      </c>
      <c r="BV94" s="3">
        <f>IFERROR(__xludf.DUMMYFUNCTION("""COMPUTED_VALUE"""),1.0)</f>
        <v>1</v>
      </c>
      <c r="BW94" s="3">
        <f>IFERROR(__xludf.DUMMYFUNCTION("""COMPUTED_VALUE"""),1.0)</f>
        <v>1</v>
      </c>
      <c r="BX94" s="3">
        <f>IFERROR(__xludf.DUMMYFUNCTION("""COMPUTED_VALUE"""),1.0)</f>
        <v>1</v>
      </c>
      <c r="BY94" s="3">
        <f>IFERROR(__xludf.DUMMYFUNCTION("""COMPUTED_VALUE"""),1.0)</f>
        <v>1</v>
      </c>
      <c r="BZ94" s="3">
        <f>IFERROR(__xludf.DUMMYFUNCTION("""COMPUTED_VALUE"""),1.0)</f>
        <v>1</v>
      </c>
      <c r="CA94" s="3">
        <f>IFERROR(__xludf.DUMMYFUNCTION("""COMPUTED_VALUE"""),1.0)</f>
        <v>1</v>
      </c>
      <c r="CB94" s="3">
        <f>IFERROR(__xludf.DUMMYFUNCTION("""COMPUTED_VALUE"""),3.0)</f>
        <v>3</v>
      </c>
    </row>
    <row r="95">
      <c r="A95" s="3" t="str">
        <f>IFERROR(__xludf.DUMMYFUNCTION("""COMPUTED_VALUE"""),"")</f>
        <v/>
      </c>
      <c r="B95" s="3" t="str">
        <f>IFERROR(__xludf.DUMMYFUNCTION("""COMPUTED_VALUE"""),"Eritrea")</f>
        <v>Eritrea</v>
      </c>
      <c r="C95" s="3">
        <f>IFERROR(__xludf.DUMMYFUNCTION("""COMPUTED_VALUE"""),15.1794)</f>
        <v>15.1794</v>
      </c>
      <c r="D95" s="3">
        <f>IFERROR(__xludf.DUMMYFUNCTION("""COMPUTED_VALUE"""),39.7823)</f>
        <v>39.7823</v>
      </c>
      <c r="E95" s="3">
        <f>IFERROR(__xludf.DUMMYFUNCTION("""COMPUTED_VALUE"""),0.0)</f>
        <v>0</v>
      </c>
      <c r="F95" s="3">
        <f>IFERROR(__xludf.DUMMYFUNCTION("""COMPUTED_VALUE"""),0.0)</f>
        <v>0</v>
      </c>
      <c r="G95" s="3">
        <f>IFERROR(__xludf.DUMMYFUNCTION("""COMPUTED_VALUE"""),0.0)</f>
        <v>0</v>
      </c>
      <c r="H95" s="3">
        <f>IFERROR(__xludf.DUMMYFUNCTION("""COMPUTED_VALUE"""),0.0)</f>
        <v>0</v>
      </c>
      <c r="I95" s="3">
        <f>IFERROR(__xludf.DUMMYFUNCTION("""COMPUTED_VALUE"""),0.0)</f>
        <v>0</v>
      </c>
      <c r="J95" s="3">
        <f>IFERROR(__xludf.DUMMYFUNCTION("""COMPUTED_VALUE"""),0.0)</f>
        <v>0</v>
      </c>
      <c r="K95" s="3">
        <f>IFERROR(__xludf.DUMMYFUNCTION("""COMPUTED_VALUE"""),0.0)</f>
        <v>0</v>
      </c>
      <c r="L95" s="3">
        <f>IFERROR(__xludf.DUMMYFUNCTION("""COMPUTED_VALUE"""),0.0)</f>
        <v>0</v>
      </c>
      <c r="M95" s="3">
        <f>IFERROR(__xludf.DUMMYFUNCTION("""COMPUTED_VALUE"""),0.0)</f>
        <v>0</v>
      </c>
      <c r="N95" s="3">
        <f>IFERROR(__xludf.DUMMYFUNCTION("""COMPUTED_VALUE"""),0.0)</f>
        <v>0</v>
      </c>
      <c r="O95" s="3">
        <f>IFERROR(__xludf.DUMMYFUNCTION("""COMPUTED_VALUE"""),0.0)</f>
        <v>0</v>
      </c>
      <c r="P95" s="3">
        <f>IFERROR(__xludf.DUMMYFUNCTION("""COMPUTED_VALUE"""),0.0)</f>
        <v>0</v>
      </c>
      <c r="Q95" s="3">
        <f>IFERROR(__xludf.DUMMYFUNCTION("""COMPUTED_VALUE"""),0.0)</f>
        <v>0</v>
      </c>
      <c r="R95" s="3">
        <f>IFERROR(__xludf.DUMMYFUNCTION("""COMPUTED_VALUE"""),0.0)</f>
        <v>0</v>
      </c>
      <c r="S95" s="3">
        <f>IFERROR(__xludf.DUMMYFUNCTION("""COMPUTED_VALUE"""),0.0)</f>
        <v>0</v>
      </c>
      <c r="T95" s="3">
        <f>IFERROR(__xludf.DUMMYFUNCTION("""COMPUTED_VALUE"""),0.0)</f>
        <v>0</v>
      </c>
      <c r="U95" s="3">
        <f>IFERROR(__xludf.DUMMYFUNCTION("""COMPUTED_VALUE"""),0.0)</f>
        <v>0</v>
      </c>
      <c r="V95" s="3">
        <f>IFERROR(__xludf.DUMMYFUNCTION("""COMPUTED_VALUE"""),0.0)</f>
        <v>0</v>
      </c>
      <c r="W95" s="3">
        <f>IFERROR(__xludf.DUMMYFUNCTION("""COMPUTED_VALUE"""),0.0)</f>
        <v>0</v>
      </c>
      <c r="X95" s="3">
        <f>IFERROR(__xludf.DUMMYFUNCTION("""COMPUTED_VALUE"""),0.0)</f>
        <v>0</v>
      </c>
      <c r="Y95" s="3">
        <f>IFERROR(__xludf.DUMMYFUNCTION("""COMPUTED_VALUE"""),0.0)</f>
        <v>0</v>
      </c>
      <c r="Z95" s="3">
        <f>IFERROR(__xludf.DUMMYFUNCTION("""COMPUTED_VALUE"""),0.0)</f>
        <v>0</v>
      </c>
      <c r="AA95" s="3">
        <f>IFERROR(__xludf.DUMMYFUNCTION("""COMPUTED_VALUE"""),0.0)</f>
        <v>0</v>
      </c>
      <c r="AB95" s="3">
        <f>IFERROR(__xludf.DUMMYFUNCTION("""COMPUTED_VALUE"""),0.0)</f>
        <v>0</v>
      </c>
      <c r="AC95" s="3">
        <f>IFERROR(__xludf.DUMMYFUNCTION("""COMPUTED_VALUE"""),0.0)</f>
        <v>0</v>
      </c>
      <c r="AD95" s="3">
        <f>IFERROR(__xludf.DUMMYFUNCTION("""COMPUTED_VALUE"""),0.0)</f>
        <v>0</v>
      </c>
      <c r="AE95" s="3">
        <f>IFERROR(__xludf.DUMMYFUNCTION("""COMPUTED_VALUE"""),0.0)</f>
        <v>0</v>
      </c>
      <c r="AF95" s="3">
        <f>IFERROR(__xludf.DUMMYFUNCTION("""COMPUTED_VALUE"""),0.0)</f>
        <v>0</v>
      </c>
      <c r="AG95" s="3">
        <f>IFERROR(__xludf.DUMMYFUNCTION("""COMPUTED_VALUE"""),0.0)</f>
        <v>0</v>
      </c>
      <c r="AH95" s="3">
        <f>IFERROR(__xludf.DUMMYFUNCTION("""COMPUTED_VALUE"""),0.0)</f>
        <v>0</v>
      </c>
      <c r="AI95" s="3">
        <f>IFERROR(__xludf.DUMMYFUNCTION("""COMPUTED_VALUE"""),0.0)</f>
        <v>0</v>
      </c>
      <c r="AJ95" s="3">
        <f>IFERROR(__xludf.DUMMYFUNCTION("""COMPUTED_VALUE"""),0.0)</f>
        <v>0</v>
      </c>
      <c r="AK95" s="3">
        <f>IFERROR(__xludf.DUMMYFUNCTION("""COMPUTED_VALUE"""),0.0)</f>
        <v>0</v>
      </c>
      <c r="AL95" s="3">
        <f>IFERROR(__xludf.DUMMYFUNCTION("""COMPUTED_VALUE"""),0.0)</f>
        <v>0</v>
      </c>
      <c r="AM95" s="3">
        <f>IFERROR(__xludf.DUMMYFUNCTION("""COMPUTED_VALUE"""),0.0)</f>
        <v>0</v>
      </c>
      <c r="AN95" s="3">
        <f>IFERROR(__xludf.DUMMYFUNCTION("""COMPUTED_VALUE"""),0.0)</f>
        <v>0</v>
      </c>
      <c r="AO95" s="3">
        <f>IFERROR(__xludf.DUMMYFUNCTION("""COMPUTED_VALUE"""),0.0)</f>
        <v>0</v>
      </c>
      <c r="AP95" s="3">
        <f>IFERROR(__xludf.DUMMYFUNCTION("""COMPUTED_VALUE"""),0.0)</f>
        <v>0</v>
      </c>
      <c r="AQ95" s="3">
        <f>IFERROR(__xludf.DUMMYFUNCTION("""COMPUTED_VALUE"""),0.0)</f>
        <v>0</v>
      </c>
      <c r="AR95" s="3">
        <f>IFERROR(__xludf.DUMMYFUNCTION("""COMPUTED_VALUE"""),0.0)</f>
        <v>0</v>
      </c>
      <c r="AS95" s="3">
        <f>IFERROR(__xludf.DUMMYFUNCTION("""COMPUTED_VALUE"""),0.0)</f>
        <v>0</v>
      </c>
      <c r="AT95" s="3">
        <f>IFERROR(__xludf.DUMMYFUNCTION("""COMPUTED_VALUE"""),0.0)</f>
        <v>0</v>
      </c>
      <c r="AU95" s="3">
        <f>IFERROR(__xludf.DUMMYFUNCTION("""COMPUTED_VALUE"""),0.0)</f>
        <v>0</v>
      </c>
      <c r="AV95" s="3">
        <f>IFERROR(__xludf.DUMMYFUNCTION("""COMPUTED_VALUE"""),0.0)</f>
        <v>0</v>
      </c>
      <c r="AW95" s="3">
        <f>IFERROR(__xludf.DUMMYFUNCTION("""COMPUTED_VALUE"""),0.0)</f>
        <v>0</v>
      </c>
      <c r="AX95" s="3">
        <f>IFERROR(__xludf.DUMMYFUNCTION("""COMPUTED_VALUE"""),0.0)</f>
        <v>0</v>
      </c>
      <c r="AY95" s="3">
        <f>IFERROR(__xludf.DUMMYFUNCTION("""COMPUTED_VALUE"""),0.0)</f>
        <v>0</v>
      </c>
      <c r="AZ95" s="3">
        <f>IFERROR(__xludf.DUMMYFUNCTION("""COMPUTED_VALUE"""),0.0)</f>
        <v>0</v>
      </c>
      <c r="BA95" s="3">
        <f>IFERROR(__xludf.DUMMYFUNCTION("""COMPUTED_VALUE"""),0.0)</f>
        <v>0</v>
      </c>
      <c r="BB95" s="3">
        <f>IFERROR(__xludf.DUMMYFUNCTION("""COMPUTED_VALUE"""),0.0)</f>
        <v>0</v>
      </c>
      <c r="BC95" s="3">
        <f>IFERROR(__xludf.DUMMYFUNCTION("""COMPUTED_VALUE"""),0.0)</f>
        <v>0</v>
      </c>
      <c r="BD95" s="3">
        <f>IFERROR(__xludf.DUMMYFUNCTION("""COMPUTED_VALUE"""),0.0)</f>
        <v>0</v>
      </c>
      <c r="BE95" s="3">
        <f>IFERROR(__xludf.DUMMYFUNCTION("""COMPUTED_VALUE"""),0.0)</f>
        <v>0</v>
      </c>
      <c r="BF95" s="3">
        <f>IFERROR(__xludf.DUMMYFUNCTION("""COMPUTED_VALUE"""),0.0)</f>
        <v>0</v>
      </c>
      <c r="BG95" s="3">
        <f>IFERROR(__xludf.DUMMYFUNCTION("""COMPUTED_VALUE"""),0.0)</f>
        <v>0</v>
      </c>
      <c r="BH95" s="3">
        <f>IFERROR(__xludf.DUMMYFUNCTION("""COMPUTED_VALUE"""),0.0)</f>
        <v>0</v>
      </c>
      <c r="BI95" s="3">
        <f>IFERROR(__xludf.DUMMYFUNCTION("""COMPUTED_VALUE"""),0.0)</f>
        <v>0</v>
      </c>
      <c r="BJ95" s="3">
        <f>IFERROR(__xludf.DUMMYFUNCTION("""COMPUTED_VALUE"""),0.0)</f>
        <v>0</v>
      </c>
      <c r="BK95" s="3">
        <f>IFERROR(__xludf.DUMMYFUNCTION("""COMPUTED_VALUE"""),0.0)</f>
        <v>0</v>
      </c>
      <c r="BL95" s="3">
        <f>IFERROR(__xludf.DUMMYFUNCTION("""COMPUTED_VALUE"""),0.0)</f>
        <v>0</v>
      </c>
      <c r="BM95" s="3">
        <f>IFERROR(__xludf.DUMMYFUNCTION("""COMPUTED_VALUE"""),0.0)</f>
        <v>0</v>
      </c>
      <c r="BN95" s="3">
        <f>IFERROR(__xludf.DUMMYFUNCTION("""COMPUTED_VALUE"""),0.0)</f>
        <v>0</v>
      </c>
      <c r="BO95" s="3">
        <f>IFERROR(__xludf.DUMMYFUNCTION("""COMPUTED_VALUE"""),0.0)</f>
        <v>0</v>
      </c>
      <c r="BP95" s="3">
        <f>IFERROR(__xludf.DUMMYFUNCTION("""COMPUTED_VALUE"""),0.0)</f>
        <v>0</v>
      </c>
      <c r="BQ95" s="3">
        <f>IFERROR(__xludf.DUMMYFUNCTION("""COMPUTED_VALUE"""),0.0)</f>
        <v>0</v>
      </c>
      <c r="BR95" s="3">
        <f>IFERROR(__xludf.DUMMYFUNCTION("""COMPUTED_VALUE"""),0.0)</f>
        <v>0</v>
      </c>
      <c r="BS95" s="3">
        <f>IFERROR(__xludf.DUMMYFUNCTION("""COMPUTED_VALUE"""),0.0)</f>
        <v>0</v>
      </c>
      <c r="BT95" s="3">
        <f>IFERROR(__xludf.DUMMYFUNCTION("""COMPUTED_VALUE"""),0.0)</f>
        <v>0</v>
      </c>
      <c r="BU95" s="3">
        <f>IFERROR(__xludf.DUMMYFUNCTION("""COMPUTED_VALUE"""),0.0)</f>
        <v>0</v>
      </c>
      <c r="BV95" s="3">
        <f>IFERROR(__xludf.DUMMYFUNCTION("""COMPUTED_VALUE"""),0.0)</f>
        <v>0</v>
      </c>
      <c r="BW95" s="3">
        <f>IFERROR(__xludf.DUMMYFUNCTION("""COMPUTED_VALUE"""),0.0)</f>
        <v>0</v>
      </c>
      <c r="BX95" s="3">
        <f>IFERROR(__xludf.DUMMYFUNCTION("""COMPUTED_VALUE"""),0.0)</f>
        <v>0</v>
      </c>
      <c r="BY95" s="3">
        <f>IFERROR(__xludf.DUMMYFUNCTION("""COMPUTED_VALUE"""),0.0)</f>
        <v>0</v>
      </c>
      <c r="BZ95" s="3">
        <f>IFERROR(__xludf.DUMMYFUNCTION("""COMPUTED_VALUE"""),0.0)</f>
        <v>0</v>
      </c>
      <c r="CA95" s="3">
        <f>IFERROR(__xludf.DUMMYFUNCTION("""COMPUTED_VALUE"""),0.0)</f>
        <v>0</v>
      </c>
      <c r="CB95" s="3">
        <f>IFERROR(__xludf.DUMMYFUNCTION("""COMPUTED_VALUE"""),0.0)</f>
        <v>0</v>
      </c>
    </row>
    <row r="96">
      <c r="A96" s="3" t="str">
        <f>IFERROR(__xludf.DUMMYFUNCTION("""COMPUTED_VALUE"""),"")</f>
        <v/>
      </c>
      <c r="B96" s="3" t="str">
        <f>IFERROR(__xludf.DUMMYFUNCTION("""COMPUTED_VALUE"""),"Estonia")</f>
        <v>Estonia</v>
      </c>
      <c r="C96" s="3">
        <f>IFERROR(__xludf.DUMMYFUNCTION("""COMPUTED_VALUE"""),58.5953)</f>
        <v>58.5953</v>
      </c>
      <c r="D96" s="3">
        <f>IFERROR(__xludf.DUMMYFUNCTION("""COMPUTED_VALUE"""),25.0136)</f>
        <v>25.0136</v>
      </c>
      <c r="E96" s="3">
        <f>IFERROR(__xludf.DUMMYFUNCTION("""COMPUTED_VALUE"""),0.0)</f>
        <v>0</v>
      </c>
      <c r="F96" s="3">
        <f>IFERROR(__xludf.DUMMYFUNCTION("""COMPUTED_VALUE"""),0.0)</f>
        <v>0</v>
      </c>
      <c r="G96" s="3">
        <f>IFERROR(__xludf.DUMMYFUNCTION("""COMPUTED_VALUE"""),0.0)</f>
        <v>0</v>
      </c>
      <c r="H96" s="3">
        <f>IFERROR(__xludf.DUMMYFUNCTION("""COMPUTED_VALUE"""),0.0)</f>
        <v>0</v>
      </c>
      <c r="I96" s="3">
        <f>IFERROR(__xludf.DUMMYFUNCTION("""COMPUTED_VALUE"""),0.0)</f>
        <v>0</v>
      </c>
      <c r="J96" s="3">
        <f>IFERROR(__xludf.DUMMYFUNCTION("""COMPUTED_VALUE"""),0.0)</f>
        <v>0</v>
      </c>
      <c r="K96" s="3">
        <f>IFERROR(__xludf.DUMMYFUNCTION("""COMPUTED_VALUE"""),0.0)</f>
        <v>0</v>
      </c>
      <c r="L96" s="3">
        <f>IFERROR(__xludf.DUMMYFUNCTION("""COMPUTED_VALUE"""),0.0)</f>
        <v>0</v>
      </c>
      <c r="M96" s="3">
        <f>IFERROR(__xludf.DUMMYFUNCTION("""COMPUTED_VALUE"""),0.0)</f>
        <v>0</v>
      </c>
      <c r="N96" s="3">
        <f>IFERROR(__xludf.DUMMYFUNCTION("""COMPUTED_VALUE"""),0.0)</f>
        <v>0</v>
      </c>
      <c r="O96" s="3">
        <f>IFERROR(__xludf.DUMMYFUNCTION("""COMPUTED_VALUE"""),0.0)</f>
        <v>0</v>
      </c>
      <c r="P96" s="3">
        <f>IFERROR(__xludf.DUMMYFUNCTION("""COMPUTED_VALUE"""),0.0)</f>
        <v>0</v>
      </c>
      <c r="Q96" s="3">
        <f>IFERROR(__xludf.DUMMYFUNCTION("""COMPUTED_VALUE"""),0.0)</f>
        <v>0</v>
      </c>
      <c r="R96" s="3">
        <f>IFERROR(__xludf.DUMMYFUNCTION("""COMPUTED_VALUE"""),0.0)</f>
        <v>0</v>
      </c>
      <c r="S96" s="3">
        <f>IFERROR(__xludf.DUMMYFUNCTION("""COMPUTED_VALUE"""),0.0)</f>
        <v>0</v>
      </c>
      <c r="T96" s="3">
        <f>IFERROR(__xludf.DUMMYFUNCTION("""COMPUTED_VALUE"""),0.0)</f>
        <v>0</v>
      </c>
      <c r="U96" s="3">
        <f>IFERROR(__xludf.DUMMYFUNCTION("""COMPUTED_VALUE"""),0.0)</f>
        <v>0</v>
      </c>
      <c r="V96" s="3">
        <f>IFERROR(__xludf.DUMMYFUNCTION("""COMPUTED_VALUE"""),0.0)</f>
        <v>0</v>
      </c>
      <c r="W96" s="3">
        <f>IFERROR(__xludf.DUMMYFUNCTION("""COMPUTED_VALUE"""),0.0)</f>
        <v>0</v>
      </c>
      <c r="X96" s="3">
        <f>IFERROR(__xludf.DUMMYFUNCTION("""COMPUTED_VALUE"""),0.0)</f>
        <v>0</v>
      </c>
      <c r="Y96" s="3">
        <f>IFERROR(__xludf.DUMMYFUNCTION("""COMPUTED_VALUE"""),0.0)</f>
        <v>0</v>
      </c>
      <c r="Z96" s="3">
        <f>IFERROR(__xludf.DUMMYFUNCTION("""COMPUTED_VALUE"""),0.0)</f>
        <v>0</v>
      </c>
      <c r="AA96" s="3">
        <f>IFERROR(__xludf.DUMMYFUNCTION("""COMPUTED_VALUE"""),0.0)</f>
        <v>0</v>
      </c>
      <c r="AB96" s="3">
        <f>IFERROR(__xludf.DUMMYFUNCTION("""COMPUTED_VALUE"""),0.0)</f>
        <v>0</v>
      </c>
      <c r="AC96" s="3">
        <f>IFERROR(__xludf.DUMMYFUNCTION("""COMPUTED_VALUE"""),0.0)</f>
        <v>0</v>
      </c>
      <c r="AD96" s="3">
        <f>IFERROR(__xludf.DUMMYFUNCTION("""COMPUTED_VALUE"""),0.0)</f>
        <v>0</v>
      </c>
      <c r="AE96" s="3">
        <f>IFERROR(__xludf.DUMMYFUNCTION("""COMPUTED_VALUE"""),0.0)</f>
        <v>0</v>
      </c>
      <c r="AF96" s="3">
        <f>IFERROR(__xludf.DUMMYFUNCTION("""COMPUTED_VALUE"""),0.0)</f>
        <v>0</v>
      </c>
      <c r="AG96" s="3">
        <f>IFERROR(__xludf.DUMMYFUNCTION("""COMPUTED_VALUE"""),0.0)</f>
        <v>0</v>
      </c>
      <c r="AH96" s="3">
        <f>IFERROR(__xludf.DUMMYFUNCTION("""COMPUTED_VALUE"""),0.0)</f>
        <v>0</v>
      </c>
      <c r="AI96" s="3">
        <f>IFERROR(__xludf.DUMMYFUNCTION("""COMPUTED_VALUE"""),0.0)</f>
        <v>0</v>
      </c>
      <c r="AJ96" s="3">
        <f>IFERROR(__xludf.DUMMYFUNCTION("""COMPUTED_VALUE"""),0.0)</f>
        <v>0</v>
      </c>
      <c r="AK96" s="3">
        <f>IFERROR(__xludf.DUMMYFUNCTION("""COMPUTED_VALUE"""),0.0)</f>
        <v>0</v>
      </c>
      <c r="AL96" s="3">
        <f>IFERROR(__xludf.DUMMYFUNCTION("""COMPUTED_VALUE"""),0.0)</f>
        <v>0</v>
      </c>
      <c r="AM96" s="3">
        <f>IFERROR(__xludf.DUMMYFUNCTION("""COMPUTED_VALUE"""),0.0)</f>
        <v>0</v>
      </c>
      <c r="AN96" s="3">
        <f>IFERROR(__xludf.DUMMYFUNCTION("""COMPUTED_VALUE"""),0.0)</f>
        <v>0</v>
      </c>
      <c r="AO96" s="3">
        <f>IFERROR(__xludf.DUMMYFUNCTION("""COMPUTED_VALUE"""),0.0)</f>
        <v>0</v>
      </c>
      <c r="AP96" s="3">
        <f>IFERROR(__xludf.DUMMYFUNCTION("""COMPUTED_VALUE"""),0.0)</f>
        <v>0</v>
      </c>
      <c r="AQ96" s="3">
        <f>IFERROR(__xludf.DUMMYFUNCTION("""COMPUTED_VALUE"""),0.0)</f>
        <v>0</v>
      </c>
      <c r="AR96" s="3">
        <f>IFERROR(__xludf.DUMMYFUNCTION("""COMPUTED_VALUE"""),0.0)</f>
        <v>0</v>
      </c>
      <c r="AS96" s="3">
        <f>IFERROR(__xludf.DUMMYFUNCTION("""COMPUTED_VALUE"""),0.0)</f>
        <v>0</v>
      </c>
      <c r="AT96" s="3">
        <f>IFERROR(__xludf.DUMMYFUNCTION("""COMPUTED_VALUE"""),0.0)</f>
        <v>0</v>
      </c>
      <c r="AU96" s="3">
        <f>IFERROR(__xludf.DUMMYFUNCTION("""COMPUTED_VALUE"""),0.0)</f>
        <v>0</v>
      </c>
      <c r="AV96" s="3">
        <f>IFERROR(__xludf.DUMMYFUNCTION("""COMPUTED_VALUE"""),0.0)</f>
        <v>0</v>
      </c>
      <c r="AW96" s="3">
        <f>IFERROR(__xludf.DUMMYFUNCTION("""COMPUTED_VALUE"""),0.0)</f>
        <v>0</v>
      </c>
      <c r="AX96" s="3">
        <f>IFERROR(__xludf.DUMMYFUNCTION("""COMPUTED_VALUE"""),0.0)</f>
        <v>0</v>
      </c>
      <c r="AY96" s="3">
        <f>IFERROR(__xludf.DUMMYFUNCTION("""COMPUTED_VALUE"""),0.0)</f>
        <v>0</v>
      </c>
      <c r="AZ96" s="3">
        <f>IFERROR(__xludf.DUMMYFUNCTION("""COMPUTED_VALUE"""),0.0)</f>
        <v>0</v>
      </c>
      <c r="BA96" s="3">
        <f>IFERROR(__xludf.DUMMYFUNCTION("""COMPUTED_VALUE"""),0.0)</f>
        <v>0</v>
      </c>
      <c r="BB96" s="3">
        <f>IFERROR(__xludf.DUMMYFUNCTION("""COMPUTED_VALUE"""),0.0)</f>
        <v>0</v>
      </c>
      <c r="BC96" s="3">
        <f>IFERROR(__xludf.DUMMYFUNCTION("""COMPUTED_VALUE"""),0.0)</f>
        <v>0</v>
      </c>
      <c r="BD96" s="3">
        <f>IFERROR(__xludf.DUMMYFUNCTION("""COMPUTED_VALUE"""),0.0)</f>
        <v>0</v>
      </c>
      <c r="BE96" s="3">
        <f>IFERROR(__xludf.DUMMYFUNCTION("""COMPUTED_VALUE"""),0.0)</f>
        <v>0</v>
      </c>
      <c r="BF96" s="3">
        <f>IFERROR(__xludf.DUMMYFUNCTION("""COMPUTED_VALUE"""),1.0)</f>
        <v>1</v>
      </c>
      <c r="BG96" s="3">
        <f>IFERROR(__xludf.DUMMYFUNCTION("""COMPUTED_VALUE"""),1.0)</f>
        <v>1</v>
      </c>
      <c r="BH96" s="3">
        <f>IFERROR(__xludf.DUMMYFUNCTION("""COMPUTED_VALUE"""),1.0)</f>
        <v>1</v>
      </c>
      <c r="BI96" s="3">
        <f>IFERROR(__xludf.DUMMYFUNCTION("""COMPUTED_VALUE"""),1.0)</f>
        <v>1</v>
      </c>
      <c r="BJ96" s="3">
        <f>IFERROR(__xludf.DUMMYFUNCTION("""COMPUTED_VALUE"""),1.0)</f>
        <v>1</v>
      </c>
      <c r="BK96" s="3">
        <f>IFERROR(__xludf.DUMMYFUNCTION("""COMPUTED_VALUE"""),1.0)</f>
        <v>1</v>
      </c>
      <c r="BL96" s="3">
        <f>IFERROR(__xludf.DUMMYFUNCTION("""COMPUTED_VALUE"""),1.0)</f>
        <v>1</v>
      </c>
      <c r="BM96" s="3">
        <f>IFERROR(__xludf.DUMMYFUNCTION("""COMPUTED_VALUE"""),2.0)</f>
        <v>2</v>
      </c>
      <c r="BN96" s="3">
        <f>IFERROR(__xludf.DUMMYFUNCTION("""COMPUTED_VALUE"""),2.0)</f>
        <v>2</v>
      </c>
      <c r="BO96" s="3">
        <f>IFERROR(__xludf.DUMMYFUNCTION("""COMPUTED_VALUE"""),7.0)</f>
        <v>7</v>
      </c>
      <c r="BP96" s="3">
        <f>IFERROR(__xludf.DUMMYFUNCTION("""COMPUTED_VALUE"""),8.0)</f>
        <v>8</v>
      </c>
      <c r="BQ96" s="3">
        <f>IFERROR(__xludf.DUMMYFUNCTION("""COMPUTED_VALUE"""),8.0)</f>
        <v>8</v>
      </c>
      <c r="BR96" s="3">
        <f>IFERROR(__xludf.DUMMYFUNCTION("""COMPUTED_VALUE"""),11.0)</f>
        <v>11</v>
      </c>
      <c r="BS96" s="3">
        <f>IFERROR(__xludf.DUMMYFUNCTION("""COMPUTED_VALUE"""),20.0)</f>
        <v>20</v>
      </c>
      <c r="BT96" s="3">
        <f>IFERROR(__xludf.DUMMYFUNCTION("""COMPUTED_VALUE"""),20.0)</f>
        <v>20</v>
      </c>
      <c r="BU96" s="3">
        <f>IFERROR(__xludf.DUMMYFUNCTION("""COMPUTED_VALUE"""),20.0)</f>
        <v>20</v>
      </c>
      <c r="BV96" s="3">
        <f>IFERROR(__xludf.DUMMYFUNCTION("""COMPUTED_VALUE"""),26.0)</f>
        <v>26</v>
      </c>
      <c r="BW96" s="3">
        <f>IFERROR(__xludf.DUMMYFUNCTION("""COMPUTED_VALUE"""),33.0)</f>
        <v>33</v>
      </c>
      <c r="BX96" s="3">
        <f>IFERROR(__xludf.DUMMYFUNCTION("""COMPUTED_VALUE"""),45.0)</f>
        <v>45</v>
      </c>
      <c r="BY96" s="3">
        <f>IFERROR(__xludf.DUMMYFUNCTION("""COMPUTED_VALUE"""),48.0)</f>
        <v>48</v>
      </c>
      <c r="BZ96" s="3">
        <f>IFERROR(__xludf.DUMMYFUNCTION("""COMPUTED_VALUE"""),59.0)</f>
        <v>59</v>
      </c>
      <c r="CA96" s="3">
        <f>IFERROR(__xludf.DUMMYFUNCTION("""COMPUTED_VALUE"""),62.0)</f>
        <v>62</v>
      </c>
      <c r="CB96" s="3">
        <f>IFERROR(__xludf.DUMMYFUNCTION("""COMPUTED_VALUE"""),62.0)</f>
        <v>62</v>
      </c>
    </row>
    <row r="97">
      <c r="A97" s="3" t="str">
        <f>IFERROR(__xludf.DUMMYFUNCTION("""COMPUTED_VALUE"""),"")</f>
        <v/>
      </c>
      <c r="B97" s="3" t="str">
        <f>IFERROR(__xludf.DUMMYFUNCTION("""COMPUTED_VALUE"""),"Eswatini")</f>
        <v>Eswatini</v>
      </c>
      <c r="C97" s="3">
        <f>IFERROR(__xludf.DUMMYFUNCTION("""COMPUTED_VALUE"""),-26.5225)</f>
        <v>-26.5225</v>
      </c>
      <c r="D97" s="3">
        <f>IFERROR(__xludf.DUMMYFUNCTION("""COMPUTED_VALUE"""),31.4659)</f>
        <v>31.4659</v>
      </c>
      <c r="E97" s="3">
        <f>IFERROR(__xludf.DUMMYFUNCTION("""COMPUTED_VALUE"""),0.0)</f>
        <v>0</v>
      </c>
      <c r="F97" s="3">
        <f>IFERROR(__xludf.DUMMYFUNCTION("""COMPUTED_VALUE"""),0.0)</f>
        <v>0</v>
      </c>
      <c r="G97" s="3">
        <f>IFERROR(__xludf.DUMMYFUNCTION("""COMPUTED_VALUE"""),0.0)</f>
        <v>0</v>
      </c>
      <c r="H97" s="3">
        <f>IFERROR(__xludf.DUMMYFUNCTION("""COMPUTED_VALUE"""),0.0)</f>
        <v>0</v>
      </c>
      <c r="I97" s="3">
        <f>IFERROR(__xludf.DUMMYFUNCTION("""COMPUTED_VALUE"""),0.0)</f>
        <v>0</v>
      </c>
      <c r="J97" s="3">
        <f>IFERROR(__xludf.DUMMYFUNCTION("""COMPUTED_VALUE"""),0.0)</f>
        <v>0</v>
      </c>
      <c r="K97" s="3">
        <f>IFERROR(__xludf.DUMMYFUNCTION("""COMPUTED_VALUE"""),0.0)</f>
        <v>0</v>
      </c>
      <c r="L97" s="3">
        <f>IFERROR(__xludf.DUMMYFUNCTION("""COMPUTED_VALUE"""),0.0)</f>
        <v>0</v>
      </c>
      <c r="M97" s="3">
        <f>IFERROR(__xludf.DUMMYFUNCTION("""COMPUTED_VALUE"""),0.0)</f>
        <v>0</v>
      </c>
      <c r="N97" s="3">
        <f>IFERROR(__xludf.DUMMYFUNCTION("""COMPUTED_VALUE"""),0.0)</f>
        <v>0</v>
      </c>
      <c r="O97" s="3">
        <f>IFERROR(__xludf.DUMMYFUNCTION("""COMPUTED_VALUE"""),0.0)</f>
        <v>0</v>
      </c>
      <c r="P97" s="3">
        <f>IFERROR(__xludf.DUMMYFUNCTION("""COMPUTED_VALUE"""),0.0)</f>
        <v>0</v>
      </c>
      <c r="Q97" s="3">
        <f>IFERROR(__xludf.DUMMYFUNCTION("""COMPUTED_VALUE"""),0.0)</f>
        <v>0</v>
      </c>
      <c r="R97" s="3">
        <f>IFERROR(__xludf.DUMMYFUNCTION("""COMPUTED_VALUE"""),0.0)</f>
        <v>0</v>
      </c>
      <c r="S97" s="3">
        <f>IFERROR(__xludf.DUMMYFUNCTION("""COMPUTED_VALUE"""),0.0)</f>
        <v>0</v>
      </c>
      <c r="T97" s="3">
        <f>IFERROR(__xludf.DUMMYFUNCTION("""COMPUTED_VALUE"""),0.0)</f>
        <v>0</v>
      </c>
      <c r="U97" s="3">
        <f>IFERROR(__xludf.DUMMYFUNCTION("""COMPUTED_VALUE"""),0.0)</f>
        <v>0</v>
      </c>
      <c r="V97" s="3">
        <f>IFERROR(__xludf.DUMMYFUNCTION("""COMPUTED_VALUE"""),0.0)</f>
        <v>0</v>
      </c>
      <c r="W97" s="3">
        <f>IFERROR(__xludf.DUMMYFUNCTION("""COMPUTED_VALUE"""),0.0)</f>
        <v>0</v>
      </c>
      <c r="X97" s="3">
        <f>IFERROR(__xludf.DUMMYFUNCTION("""COMPUTED_VALUE"""),0.0)</f>
        <v>0</v>
      </c>
      <c r="Y97" s="3">
        <f>IFERROR(__xludf.DUMMYFUNCTION("""COMPUTED_VALUE"""),0.0)</f>
        <v>0</v>
      </c>
      <c r="Z97" s="3">
        <f>IFERROR(__xludf.DUMMYFUNCTION("""COMPUTED_VALUE"""),0.0)</f>
        <v>0</v>
      </c>
      <c r="AA97" s="3">
        <f>IFERROR(__xludf.DUMMYFUNCTION("""COMPUTED_VALUE"""),0.0)</f>
        <v>0</v>
      </c>
      <c r="AB97" s="3">
        <f>IFERROR(__xludf.DUMMYFUNCTION("""COMPUTED_VALUE"""),0.0)</f>
        <v>0</v>
      </c>
      <c r="AC97" s="3">
        <f>IFERROR(__xludf.DUMMYFUNCTION("""COMPUTED_VALUE"""),0.0)</f>
        <v>0</v>
      </c>
      <c r="AD97" s="3">
        <f>IFERROR(__xludf.DUMMYFUNCTION("""COMPUTED_VALUE"""),0.0)</f>
        <v>0</v>
      </c>
      <c r="AE97" s="3">
        <f>IFERROR(__xludf.DUMMYFUNCTION("""COMPUTED_VALUE"""),0.0)</f>
        <v>0</v>
      </c>
      <c r="AF97" s="3">
        <f>IFERROR(__xludf.DUMMYFUNCTION("""COMPUTED_VALUE"""),0.0)</f>
        <v>0</v>
      </c>
      <c r="AG97" s="3">
        <f>IFERROR(__xludf.DUMMYFUNCTION("""COMPUTED_VALUE"""),0.0)</f>
        <v>0</v>
      </c>
      <c r="AH97" s="3">
        <f>IFERROR(__xludf.DUMMYFUNCTION("""COMPUTED_VALUE"""),0.0)</f>
        <v>0</v>
      </c>
      <c r="AI97" s="3">
        <f>IFERROR(__xludf.DUMMYFUNCTION("""COMPUTED_VALUE"""),0.0)</f>
        <v>0</v>
      </c>
      <c r="AJ97" s="3">
        <f>IFERROR(__xludf.DUMMYFUNCTION("""COMPUTED_VALUE"""),0.0)</f>
        <v>0</v>
      </c>
      <c r="AK97" s="3">
        <f>IFERROR(__xludf.DUMMYFUNCTION("""COMPUTED_VALUE"""),0.0)</f>
        <v>0</v>
      </c>
      <c r="AL97" s="3">
        <f>IFERROR(__xludf.DUMMYFUNCTION("""COMPUTED_VALUE"""),0.0)</f>
        <v>0</v>
      </c>
      <c r="AM97" s="3">
        <f>IFERROR(__xludf.DUMMYFUNCTION("""COMPUTED_VALUE"""),0.0)</f>
        <v>0</v>
      </c>
      <c r="AN97" s="3">
        <f>IFERROR(__xludf.DUMMYFUNCTION("""COMPUTED_VALUE"""),0.0)</f>
        <v>0</v>
      </c>
      <c r="AO97" s="3">
        <f>IFERROR(__xludf.DUMMYFUNCTION("""COMPUTED_VALUE"""),0.0)</f>
        <v>0</v>
      </c>
      <c r="AP97" s="3">
        <f>IFERROR(__xludf.DUMMYFUNCTION("""COMPUTED_VALUE"""),0.0)</f>
        <v>0</v>
      </c>
      <c r="AQ97" s="3">
        <f>IFERROR(__xludf.DUMMYFUNCTION("""COMPUTED_VALUE"""),0.0)</f>
        <v>0</v>
      </c>
      <c r="AR97" s="3">
        <f>IFERROR(__xludf.DUMMYFUNCTION("""COMPUTED_VALUE"""),0.0)</f>
        <v>0</v>
      </c>
      <c r="AS97" s="3">
        <f>IFERROR(__xludf.DUMMYFUNCTION("""COMPUTED_VALUE"""),0.0)</f>
        <v>0</v>
      </c>
      <c r="AT97" s="3">
        <f>IFERROR(__xludf.DUMMYFUNCTION("""COMPUTED_VALUE"""),0.0)</f>
        <v>0</v>
      </c>
      <c r="AU97" s="3">
        <f>IFERROR(__xludf.DUMMYFUNCTION("""COMPUTED_VALUE"""),0.0)</f>
        <v>0</v>
      </c>
      <c r="AV97" s="3">
        <f>IFERROR(__xludf.DUMMYFUNCTION("""COMPUTED_VALUE"""),0.0)</f>
        <v>0</v>
      </c>
      <c r="AW97" s="3">
        <f>IFERROR(__xludf.DUMMYFUNCTION("""COMPUTED_VALUE"""),0.0)</f>
        <v>0</v>
      </c>
      <c r="AX97" s="3">
        <f>IFERROR(__xludf.DUMMYFUNCTION("""COMPUTED_VALUE"""),0.0)</f>
        <v>0</v>
      </c>
      <c r="AY97" s="3">
        <f>IFERROR(__xludf.DUMMYFUNCTION("""COMPUTED_VALUE"""),0.0)</f>
        <v>0</v>
      </c>
      <c r="AZ97" s="3">
        <f>IFERROR(__xludf.DUMMYFUNCTION("""COMPUTED_VALUE"""),0.0)</f>
        <v>0</v>
      </c>
      <c r="BA97" s="3">
        <f>IFERROR(__xludf.DUMMYFUNCTION("""COMPUTED_VALUE"""),0.0)</f>
        <v>0</v>
      </c>
      <c r="BB97" s="3">
        <f>IFERROR(__xludf.DUMMYFUNCTION("""COMPUTED_VALUE"""),0.0)</f>
        <v>0</v>
      </c>
      <c r="BC97" s="3">
        <f>IFERROR(__xludf.DUMMYFUNCTION("""COMPUTED_VALUE"""),0.0)</f>
        <v>0</v>
      </c>
      <c r="BD97" s="3">
        <f>IFERROR(__xludf.DUMMYFUNCTION("""COMPUTED_VALUE"""),0.0)</f>
        <v>0</v>
      </c>
      <c r="BE97" s="3">
        <f>IFERROR(__xludf.DUMMYFUNCTION("""COMPUTED_VALUE"""),0.0)</f>
        <v>0</v>
      </c>
      <c r="BF97" s="3">
        <f>IFERROR(__xludf.DUMMYFUNCTION("""COMPUTED_VALUE"""),0.0)</f>
        <v>0</v>
      </c>
      <c r="BG97" s="3">
        <f>IFERROR(__xludf.DUMMYFUNCTION("""COMPUTED_VALUE"""),0.0)</f>
        <v>0</v>
      </c>
      <c r="BH97" s="3">
        <f>IFERROR(__xludf.DUMMYFUNCTION("""COMPUTED_VALUE"""),0.0)</f>
        <v>0</v>
      </c>
      <c r="BI97" s="3">
        <f>IFERROR(__xludf.DUMMYFUNCTION("""COMPUTED_VALUE"""),0.0)</f>
        <v>0</v>
      </c>
      <c r="BJ97" s="3">
        <f>IFERROR(__xludf.DUMMYFUNCTION("""COMPUTED_VALUE"""),0.0)</f>
        <v>0</v>
      </c>
      <c r="BK97" s="3">
        <f>IFERROR(__xludf.DUMMYFUNCTION("""COMPUTED_VALUE"""),0.0)</f>
        <v>0</v>
      </c>
      <c r="BL97" s="3">
        <f>IFERROR(__xludf.DUMMYFUNCTION("""COMPUTED_VALUE"""),0.0)</f>
        <v>0</v>
      </c>
      <c r="BM97" s="3">
        <f>IFERROR(__xludf.DUMMYFUNCTION("""COMPUTED_VALUE"""),0.0)</f>
        <v>0</v>
      </c>
      <c r="BN97" s="3">
        <f>IFERROR(__xludf.DUMMYFUNCTION("""COMPUTED_VALUE"""),0.0)</f>
        <v>0</v>
      </c>
      <c r="BO97" s="3">
        <f>IFERROR(__xludf.DUMMYFUNCTION("""COMPUTED_VALUE"""),0.0)</f>
        <v>0</v>
      </c>
      <c r="BP97" s="3">
        <f>IFERROR(__xludf.DUMMYFUNCTION("""COMPUTED_VALUE"""),0.0)</f>
        <v>0</v>
      </c>
      <c r="BQ97" s="3">
        <f>IFERROR(__xludf.DUMMYFUNCTION("""COMPUTED_VALUE"""),0.0)</f>
        <v>0</v>
      </c>
      <c r="BR97" s="3">
        <f>IFERROR(__xludf.DUMMYFUNCTION("""COMPUTED_VALUE"""),0.0)</f>
        <v>0</v>
      </c>
      <c r="BS97" s="3">
        <f>IFERROR(__xludf.DUMMYFUNCTION("""COMPUTED_VALUE"""),0.0)</f>
        <v>0</v>
      </c>
      <c r="BT97" s="3">
        <f>IFERROR(__xludf.DUMMYFUNCTION("""COMPUTED_VALUE"""),0.0)</f>
        <v>0</v>
      </c>
      <c r="BU97" s="3">
        <f>IFERROR(__xludf.DUMMYFUNCTION("""COMPUTED_VALUE"""),0.0)</f>
        <v>0</v>
      </c>
      <c r="BV97" s="3">
        <f>IFERROR(__xludf.DUMMYFUNCTION("""COMPUTED_VALUE"""),0.0)</f>
        <v>0</v>
      </c>
      <c r="BW97" s="3">
        <f>IFERROR(__xludf.DUMMYFUNCTION("""COMPUTED_VALUE"""),0.0)</f>
        <v>0</v>
      </c>
      <c r="BX97" s="3">
        <f>IFERROR(__xludf.DUMMYFUNCTION("""COMPUTED_VALUE"""),0.0)</f>
        <v>0</v>
      </c>
      <c r="BY97" s="3">
        <f>IFERROR(__xludf.DUMMYFUNCTION("""COMPUTED_VALUE"""),0.0)</f>
        <v>0</v>
      </c>
      <c r="BZ97" s="3">
        <f>IFERROR(__xludf.DUMMYFUNCTION("""COMPUTED_VALUE"""),0.0)</f>
        <v>0</v>
      </c>
      <c r="CA97" s="3">
        <f>IFERROR(__xludf.DUMMYFUNCTION("""COMPUTED_VALUE"""),0.0)</f>
        <v>0</v>
      </c>
      <c r="CB97" s="3">
        <f>IFERROR(__xludf.DUMMYFUNCTION("""COMPUTED_VALUE"""),4.0)</f>
        <v>4</v>
      </c>
    </row>
    <row r="98">
      <c r="A98" s="3" t="str">
        <f>IFERROR(__xludf.DUMMYFUNCTION("""COMPUTED_VALUE"""),"")</f>
        <v/>
      </c>
      <c r="B98" s="3" t="str">
        <f>IFERROR(__xludf.DUMMYFUNCTION("""COMPUTED_VALUE"""),"Ethiopia")</f>
        <v>Ethiopia</v>
      </c>
      <c r="C98" s="3">
        <f>IFERROR(__xludf.DUMMYFUNCTION("""COMPUTED_VALUE"""),9.145)</f>
        <v>9.145</v>
      </c>
      <c r="D98" s="3">
        <f>IFERROR(__xludf.DUMMYFUNCTION("""COMPUTED_VALUE"""),40.4897)</f>
        <v>40.4897</v>
      </c>
      <c r="E98" s="3">
        <f>IFERROR(__xludf.DUMMYFUNCTION("""COMPUTED_VALUE"""),0.0)</f>
        <v>0</v>
      </c>
      <c r="F98" s="3">
        <f>IFERROR(__xludf.DUMMYFUNCTION("""COMPUTED_VALUE"""),0.0)</f>
        <v>0</v>
      </c>
      <c r="G98" s="3">
        <f>IFERROR(__xludf.DUMMYFUNCTION("""COMPUTED_VALUE"""),0.0)</f>
        <v>0</v>
      </c>
      <c r="H98" s="3">
        <f>IFERROR(__xludf.DUMMYFUNCTION("""COMPUTED_VALUE"""),0.0)</f>
        <v>0</v>
      </c>
      <c r="I98" s="3">
        <f>IFERROR(__xludf.DUMMYFUNCTION("""COMPUTED_VALUE"""),0.0)</f>
        <v>0</v>
      </c>
      <c r="J98" s="3">
        <f>IFERROR(__xludf.DUMMYFUNCTION("""COMPUTED_VALUE"""),0.0)</f>
        <v>0</v>
      </c>
      <c r="K98" s="3">
        <f>IFERROR(__xludf.DUMMYFUNCTION("""COMPUTED_VALUE"""),0.0)</f>
        <v>0</v>
      </c>
      <c r="L98" s="3">
        <f>IFERROR(__xludf.DUMMYFUNCTION("""COMPUTED_VALUE"""),0.0)</f>
        <v>0</v>
      </c>
      <c r="M98" s="3">
        <f>IFERROR(__xludf.DUMMYFUNCTION("""COMPUTED_VALUE"""),0.0)</f>
        <v>0</v>
      </c>
      <c r="N98" s="3">
        <f>IFERROR(__xludf.DUMMYFUNCTION("""COMPUTED_VALUE"""),0.0)</f>
        <v>0</v>
      </c>
      <c r="O98" s="3">
        <f>IFERROR(__xludf.DUMMYFUNCTION("""COMPUTED_VALUE"""),0.0)</f>
        <v>0</v>
      </c>
      <c r="P98" s="3">
        <f>IFERROR(__xludf.DUMMYFUNCTION("""COMPUTED_VALUE"""),0.0)</f>
        <v>0</v>
      </c>
      <c r="Q98" s="3">
        <f>IFERROR(__xludf.DUMMYFUNCTION("""COMPUTED_VALUE"""),0.0)</f>
        <v>0</v>
      </c>
      <c r="R98" s="3">
        <f>IFERROR(__xludf.DUMMYFUNCTION("""COMPUTED_VALUE"""),0.0)</f>
        <v>0</v>
      </c>
      <c r="S98" s="3">
        <f>IFERROR(__xludf.DUMMYFUNCTION("""COMPUTED_VALUE"""),0.0)</f>
        <v>0</v>
      </c>
      <c r="T98" s="3">
        <f>IFERROR(__xludf.DUMMYFUNCTION("""COMPUTED_VALUE"""),0.0)</f>
        <v>0</v>
      </c>
      <c r="U98" s="3">
        <f>IFERROR(__xludf.DUMMYFUNCTION("""COMPUTED_VALUE"""),0.0)</f>
        <v>0</v>
      </c>
      <c r="V98" s="3">
        <f>IFERROR(__xludf.DUMMYFUNCTION("""COMPUTED_VALUE"""),0.0)</f>
        <v>0</v>
      </c>
      <c r="W98" s="3">
        <f>IFERROR(__xludf.DUMMYFUNCTION("""COMPUTED_VALUE"""),0.0)</f>
        <v>0</v>
      </c>
      <c r="X98" s="3">
        <f>IFERROR(__xludf.DUMMYFUNCTION("""COMPUTED_VALUE"""),0.0)</f>
        <v>0</v>
      </c>
      <c r="Y98" s="3">
        <f>IFERROR(__xludf.DUMMYFUNCTION("""COMPUTED_VALUE"""),0.0)</f>
        <v>0</v>
      </c>
      <c r="Z98" s="3">
        <f>IFERROR(__xludf.DUMMYFUNCTION("""COMPUTED_VALUE"""),0.0)</f>
        <v>0</v>
      </c>
      <c r="AA98" s="3">
        <f>IFERROR(__xludf.DUMMYFUNCTION("""COMPUTED_VALUE"""),0.0)</f>
        <v>0</v>
      </c>
      <c r="AB98" s="3">
        <f>IFERROR(__xludf.DUMMYFUNCTION("""COMPUTED_VALUE"""),0.0)</f>
        <v>0</v>
      </c>
      <c r="AC98" s="3">
        <f>IFERROR(__xludf.DUMMYFUNCTION("""COMPUTED_VALUE"""),0.0)</f>
        <v>0</v>
      </c>
      <c r="AD98" s="3">
        <f>IFERROR(__xludf.DUMMYFUNCTION("""COMPUTED_VALUE"""),0.0)</f>
        <v>0</v>
      </c>
      <c r="AE98" s="3">
        <f>IFERROR(__xludf.DUMMYFUNCTION("""COMPUTED_VALUE"""),0.0)</f>
        <v>0</v>
      </c>
      <c r="AF98" s="3">
        <f>IFERROR(__xludf.DUMMYFUNCTION("""COMPUTED_VALUE"""),0.0)</f>
        <v>0</v>
      </c>
      <c r="AG98" s="3">
        <f>IFERROR(__xludf.DUMMYFUNCTION("""COMPUTED_VALUE"""),0.0)</f>
        <v>0</v>
      </c>
      <c r="AH98" s="3">
        <f>IFERROR(__xludf.DUMMYFUNCTION("""COMPUTED_VALUE"""),0.0)</f>
        <v>0</v>
      </c>
      <c r="AI98" s="3">
        <f>IFERROR(__xludf.DUMMYFUNCTION("""COMPUTED_VALUE"""),0.0)</f>
        <v>0</v>
      </c>
      <c r="AJ98" s="3">
        <f>IFERROR(__xludf.DUMMYFUNCTION("""COMPUTED_VALUE"""),0.0)</f>
        <v>0</v>
      </c>
      <c r="AK98" s="3">
        <f>IFERROR(__xludf.DUMMYFUNCTION("""COMPUTED_VALUE"""),0.0)</f>
        <v>0</v>
      </c>
      <c r="AL98" s="3">
        <f>IFERROR(__xludf.DUMMYFUNCTION("""COMPUTED_VALUE"""),0.0)</f>
        <v>0</v>
      </c>
      <c r="AM98" s="3">
        <f>IFERROR(__xludf.DUMMYFUNCTION("""COMPUTED_VALUE"""),0.0)</f>
        <v>0</v>
      </c>
      <c r="AN98" s="3">
        <f>IFERROR(__xludf.DUMMYFUNCTION("""COMPUTED_VALUE"""),0.0)</f>
        <v>0</v>
      </c>
      <c r="AO98" s="3">
        <f>IFERROR(__xludf.DUMMYFUNCTION("""COMPUTED_VALUE"""),0.0)</f>
        <v>0</v>
      </c>
      <c r="AP98" s="3">
        <f>IFERROR(__xludf.DUMMYFUNCTION("""COMPUTED_VALUE"""),0.0)</f>
        <v>0</v>
      </c>
      <c r="AQ98" s="3">
        <f>IFERROR(__xludf.DUMMYFUNCTION("""COMPUTED_VALUE"""),0.0)</f>
        <v>0</v>
      </c>
      <c r="AR98" s="3">
        <f>IFERROR(__xludf.DUMMYFUNCTION("""COMPUTED_VALUE"""),0.0)</f>
        <v>0</v>
      </c>
      <c r="AS98" s="3">
        <f>IFERROR(__xludf.DUMMYFUNCTION("""COMPUTED_VALUE"""),0.0)</f>
        <v>0</v>
      </c>
      <c r="AT98" s="3">
        <f>IFERROR(__xludf.DUMMYFUNCTION("""COMPUTED_VALUE"""),0.0)</f>
        <v>0</v>
      </c>
      <c r="AU98" s="3">
        <f>IFERROR(__xludf.DUMMYFUNCTION("""COMPUTED_VALUE"""),0.0)</f>
        <v>0</v>
      </c>
      <c r="AV98" s="3">
        <f>IFERROR(__xludf.DUMMYFUNCTION("""COMPUTED_VALUE"""),0.0)</f>
        <v>0</v>
      </c>
      <c r="AW98" s="3">
        <f>IFERROR(__xludf.DUMMYFUNCTION("""COMPUTED_VALUE"""),0.0)</f>
        <v>0</v>
      </c>
      <c r="AX98" s="3">
        <f>IFERROR(__xludf.DUMMYFUNCTION("""COMPUTED_VALUE"""),0.0)</f>
        <v>0</v>
      </c>
      <c r="AY98" s="3">
        <f>IFERROR(__xludf.DUMMYFUNCTION("""COMPUTED_VALUE"""),0.0)</f>
        <v>0</v>
      </c>
      <c r="AZ98" s="3">
        <f>IFERROR(__xludf.DUMMYFUNCTION("""COMPUTED_VALUE"""),0.0)</f>
        <v>0</v>
      </c>
      <c r="BA98" s="3">
        <f>IFERROR(__xludf.DUMMYFUNCTION("""COMPUTED_VALUE"""),0.0)</f>
        <v>0</v>
      </c>
      <c r="BB98" s="3">
        <f>IFERROR(__xludf.DUMMYFUNCTION("""COMPUTED_VALUE"""),0.0)</f>
        <v>0</v>
      </c>
      <c r="BC98" s="3">
        <f>IFERROR(__xludf.DUMMYFUNCTION("""COMPUTED_VALUE"""),0.0)</f>
        <v>0</v>
      </c>
      <c r="BD98" s="3">
        <f>IFERROR(__xludf.DUMMYFUNCTION("""COMPUTED_VALUE"""),0.0)</f>
        <v>0</v>
      </c>
      <c r="BE98" s="3">
        <f>IFERROR(__xludf.DUMMYFUNCTION("""COMPUTED_VALUE"""),0.0)</f>
        <v>0</v>
      </c>
      <c r="BF98" s="3">
        <f>IFERROR(__xludf.DUMMYFUNCTION("""COMPUTED_VALUE"""),0.0)</f>
        <v>0</v>
      </c>
      <c r="BG98" s="3">
        <f>IFERROR(__xludf.DUMMYFUNCTION("""COMPUTED_VALUE"""),0.0)</f>
        <v>0</v>
      </c>
      <c r="BH98" s="3">
        <f>IFERROR(__xludf.DUMMYFUNCTION("""COMPUTED_VALUE"""),0.0)</f>
        <v>0</v>
      </c>
      <c r="BI98" s="3">
        <f>IFERROR(__xludf.DUMMYFUNCTION("""COMPUTED_VALUE"""),0.0)</f>
        <v>0</v>
      </c>
      <c r="BJ98" s="3">
        <f>IFERROR(__xludf.DUMMYFUNCTION("""COMPUTED_VALUE"""),0.0)</f>
        <v>0</v>
      </c>
      <c r="BK98" s="3">
        <f>IFERROR(__xludf.DUMMYFUNCTION("""COMPUTED_VALUE"""),0.0)</f>
        <v>0</v>
      </c>
      <c r="BL98" s="3">
        <f>IFERROR(__xludf.DUMMYFUNCTION("""COMPUTED_VALUE"""),0.0)</f>
        <v>0</v>
      </c>
      <c r="BM98" s="3">
        <f>IFERROR(__xludf.DUMMYFUNCTION("""COMPUTED_VALUE"""),4.0)</f>
        <v>4</v>
      </c>
      <c r="BN98" s="3">
        <f>IFERROR(__xludf.DUMMYFUNCTION("""COMPUTED_VALUE"""),4.0)</f>
        <v>4</v>
      </c>
      <c r="BO98" s="3">
        <f>IFERROR(__xludf.DUMMYFUNCTION("""COMPUTED_VALUE"""),0.0)</f>
        <v>0</v>
      </c>
      <c r="BP98" s="3">
        <f>IFERROR(__xludf.DUMMYFUNCTION("""COMPUTED_VALUE"""),0.0)</f>
        <v>0</v>
      </c>
      <c r="BQ98" s="3">
        <f>IFERROR(__xludf.DUMMYFUNCTION("""COMPUTED_VALUE"""),0.0)</f>
        <v>0</v>
      </c>
      <c r="BR98" s="3">
        <f>IFERROR(__xludf.DUMMYFUNCTION("""COMPUTED_VALUE"""),0.0)</f>
        <v>0</v>
      </c>
      <c r="BS98" s="3">
        <f>IFERROR(__xludf.DUMMYFUNCTION("""COMPUTED_VALUE"""),1.0)</f>
        <v>1</v>
      </c>
      <c r="BT98" s="3">
        <f>IFERROR(__xludf.DUMMYFUNCTION("""COMPUTED_VALUE"""),1.0)</f>
        <v>1</v>
      </c>
      <c r="BU98" s="3">
        <f>IFERROR(__xludf.DUMMYFUNCTION("""COMPUTED_VALUE"""),4.0)</f>
        <v>4</v>
      </c>
      <c r="BV98" s="3">
        <f>IFERROR(__xludf.DUMMYFUNCTION("""COMPUTED_VALUE"""),2.0)</f>
        <v>2</v>
      </c>
      <c r="BW98" s="3">
        <f>IFERROR(__xludf.DUMMYFUNCTION("""COMPUTED_VALUE"""),2.0)</f>
        <v>2</v>
      </c>
      <c r="BX98" s="3">
        <f>IFERROR(__xludf.DUMMYFUNCTION("""COMPUTED_VALUE"""),3.0)</f>
        <v>3</v>
      </c>
      <c r="BY98" s="3">
        <f>IFERROR(__xludf.DUMMYFUNCTION("""COMPUTED_VALUE"""),3.0)</f>
        <v>3</v>
      </c>
      <c r="BZ98" s="3">
        <f>IFERROR(__xludf.DUMMYFUNCTION("""COMPUTED_VALUE"""),4.0)</f>
        <v>4</v>
      </c>
      <c r="CA98" s="3">
        <f>IFERROR(__xludf.DUMMYFUNCTION("""COMPUTED_VALUE"""),4.0)</f>
        <v>4</v>
      </c>
      <c r="CB98" s="3">
        <f>IFERROR(__xludf.DUMMYFUNCTION("""COMPUTED_VALUE"""),4.0)</f>
        <v>4</v>
      </c>
    </row>
    <row r="99">
      <c r="A99" s="3" t="str">
        <f>IFERROR(__xludf.DUMMYFUNCTION("""COMPUTED_VALUE"""),"")</f>
        <v/>
      </c>
      <c r="B99" s="3" t="str">
        <f>IFERROR(__xludf.DUMMYFUNCTION("""COMPUTED_VALUE"""),"Fiji")</f>
        <v>Fiji</v>
      </c>
      <c r="C99" s="3">
        <f>IFERROR(__xludf.DUMMYFUNCTION("""COMPUTED_VALUE"""),-17.7134)</f>
        <v>-17.7134</v>
      </c>
      <c r="D99" s="3">
        <f>IFERROR(__xludf.DUMMYFUNCTION("""COMPUTED_VALUE"""),178.065)</f>
        <v>178.065</v>
      </c>
      <c r="E99" s="3">
        <f>IFERROR(__xludf.DUMMYFUNCTION("""COMPUTED_VALUE"""),0.0)</f>
        <v>0</v>
      </c>
      <c r="F99" s="3">
        <f>IFERROR(__xludf.DUMMYFUNCTION("""COMPUTED_VALUE"""),0.0)</f>
        <v>0</v>
      </c>
      <c r="G99" s="3">
        <f>IFERROR(__xludf.DUMMYFUNCTION("""COMPUTED_VALUE"""),0.0)</f>
        <v>0</v>
      </c>
      <c r="H99" s="3">
        <f>IFERROR(__xludf.DUMMYFUNCTION("""COMPUTED_VALUE"""),0.0)</f>
        <v>0</v>
      </c>
      <c r="I99" s="3">
        <f>IFERROR(__xludf.DUMMYFUNCTION("""COMPUTED_VALUE"""),0.0)</f>
        <v>0</v>
      </c>
      <c r="J99" s="3">
        <f>IFERROR(__xludf.DUMMYFUNCTION("""COMPUTED_VALUE"""),0.0)</f>
        <v>0</v>
      </c>
      <c r="K99" s="3">
        <f>IFERROR(__xludf.DUMMYFUNCTION("""COMPUTED_VALUE"""),0.0)</f>
        <v>0</v>
      </c>
      <c r="L99" s="3">
        <f>IFERROR(__xludf.DUMMYFUNCTION("""COMPUTED_VALUE"""),0.0)</f>
        <v>0</v>
      </c>
      <c r="M99" s="3">
        <f>IFERROR(__xludf.DUMMYFUNCTION("""COMPUTED_VALUE"""),0.0)</f>
        <v>0</v>
      </c>
      <c r="N99" s="3">
        <f>IFERROR(__xludf.DUMMYFUNCTION("""COMPUTED_VALUE"""),0.0)</f>
        <v>0</v>
      </c>
      <c r="O99" s="3">
        <f>IFERROR(__xludf.DUMMYFUNCTION("""COMPUTED_VALUE"""),0.0)</f>
        <v>0</v>
      </c>
      <c r="P99" s="3">
        <f>IFERROR(__xludf.DUMMYFUNCTION("""COMPUTED_VALUE"""),0.0)</f>
        <v>0</v>
      </c>
      <c r="Q99" s="3">
        <f>IFERROR(__xludf.DUMMYFUNCTION("""COMPUTED_VALUE"""),0.0)</f>
        <v>0</v>
      </c>
      <c r="R99" s="3">
        <f>IFERROR(__xludf.DUMMYFUNCTION("""COMPUTED_VALUE"""),0.0)</f>
        <v>0</v>
      </c>
      <c r="S99" s="3">
        <f>IFERROR(__xludf.DUMMYFUNCTION("""COMPUTED_VALUE"""),0.0)</f>
        <v>0</v>
      </c>
      <c r="T99" s="3">
        <f>IFERROR(__xludf.DUMMYFUNCTION("""COMPUTED_VALUE"""),0.0)</f>
        <v>0</v>
      </c>
      <c r="U99" s="3">
        <f>IFERROR(__xludf.DUMMYFUNCTION("""COMPUTED_VALUE"""),0.0)</f>
        <v>0</v>
      </c>
      <c r="V99" s="3">
        <f>IFERROR(__xludf.DUMMYFUNCTION("""COMPUTED_VALUE"""),0.0)</f>
        <v>0</v>
      </c>
      <c r="W99" s="3">
        <f>IFERROR(__xludf.DUMMYFUNCTION("""COMPUTED_VALUE"""),0.0)</f>
        <v>0</v>
      </c>
      <c r="X99" s="3">
        <f>IFERROR(__xludf.DUMMYFUNCTION("""COMPUTED_VALUE"""),0.0)</f>
        <v>0</v>
      </c>
      <c r="Y99" s="3">
        <f>IFERROR(__xludf.DUMMYFUNCTION("""COMPUTED_VALUE"""),0.0)</f>
        <v>0</v>
      </c>
      <c r="Z99" s="3">
        <f>IFERROR(__xludf.DUMMYFUNCTION("""COMPUTED_VALUE"""),0.0)</f>
        <v>0</v>
      </c>
      <c r="AA99" s="3">
        <f>IFERROR(__xludf.DUMMYFUNCTION("""COMPUTED_VALUE"""),0.0)</f>
        <v>0</v>
      </c>
      <c r="AB99" s="3">
        <f>IFERROR(__xludf.DUMMYFUNCTION("""COMPUTED_VALUE"""),0.0)</f>
        <v>0</v>
      </c>
      <c r="AC99" s="3">
        <f>IFERROR(__xludf.DUMMYFUNCTION("""COMPUTED_VALUE"""),0.0)</f>
        <v>0</v>
      </c>
      <c r="AD99" s="3">
        <f>IFERROR(__xludf.DUMMYFUNCTION("""COMPUTED_VALUE"""),0.0)</f>
        <v>0</v>
      </c>
      <c r="AE99" s="3">
        <f>IFERROR(__xludf.DUMMYFUNCTION("""COMPUTED_VALUE"""),0.0)</f>
        <v>0</v>
      </c>
      <c r="AF99" s="3">
        <f>IFERROR(__xludf.DUMMYFUNCTION("""COMPUTED_VALUE"""),0.0)</f>
        <v>0</v>
      </c>
      <c r="AG99" s="3">
        <f>IFERROR(__xludf.DUMMYFUNCTION("""COMPUTED_VALUE"""),0.0)</f>
        <v>0</v>
      </c>
      <c r="AH99" s="3">
        <f>IFERROR(__xludf.DUMMYFUNCTION("""COMPUTED_VALUE"""),0.0)</f>
        <v>0</v>
      </c>
      <c r="AI99" s="3">
        <f>IFERROR(__xludf.DUMMYFUNCTION("""COMPUTED_VALUE"""),0.0)</f>
        <v>0</v>
      </c>
      <c r="AJ99" s="3">
        <f>IFERROR(__xludf.DUMMYFUNCTION("""COMPUTED_VALUE"""),0.0)</f>
        <v>0</v>
      </c>
      <c r="AK99" s="3">
        <f>IFERROR(__xludf.DUMMYFUNCTION("""COMPUTED_VALUE"""),0.0)</f>
        <v>0</v>
      </c>
      <c r="AL99" s="3">
        <f>IFERROR(__xludf.DUMMYFUNCTION("""COMPUTED_VALUE"""),0.0)</f>
        <v>0</v>
      </c>
      <c r="AM99" s="3">
        <f>IFERROR(__xludf.DUMMYFUNCTION("""COMPUTED_VALUE"""),0.0)</f>
        <v>0</v>
      </c>
      <c r="AN99" s="3">
        <f>IFERROR(__xludf.DUMMYFUNCTION("""COMPUTED_VALUE"""),0.0)</f>
        <v>0</v>
      </c>
      <c r="AO99" s="3">
        <f>IFERROR(__xludf.DUMMYFUNCTION("""COMPUTED_VALUE"""),0.0)</f>
        <v>0</v>
      </c>
      <c r="AP99" s="3">
        <f>IFERROR(__xludf.DUMMYFUNCTION("""COMPUTED_VALUE"""),0.0)</f>
        <v>0</v>
      </c>
      <c r="AQ99" s="3">
        <f>IFERROR(__xludf.DUMMYFUNCTION("""COMPUTED_VALUE"""),0.0)</f>
        <v>0</v>
      </c>
      <c r="AR99" s="3">
        <f>IFERROR(__xludf.DUMMYFUNCTION("""COMPUTED_VALUE"""),0.0)</f>
        <v>0</v>
      </c>
      <c r="AS99" s="3">
        <f>IFERROR(__xludf.DUMMYFUNCTION("""COMPUTED_VALUE"""),0.0)</f>
        <v>0</v>
      </c>
      <c r="AT99" s="3">
        <f>IFERROR(__xludf.DUMMYFUNCTION("""COMPUTED_VALUE"""),0.0)</f>
        <v>0</v>
      </c>
      <c r="AU99" s="3">
        <f>IFERROR(__xludf.DUMMYFUNCTION("""COMPUTED_VALUE"""),0.0)</f>
        <v>0</v>
      </c>
      <c r="AV99" s="3">
        <f>IFERROR(__xludf.DUMMYFUNCTION("""COMPUTED_VALUE"""),0.0)</f>
        <v>0</v>
      </c>
      <c r="AW99" s="3">
        <f>IFERROR(__xludf.DUMMYFUNCTION("""COMPUTED_VALUE"""),0.0)</f>
        <v>0</v>
      </c>
      <c r="AX99" s="3">
        <f>IFERROR(__xludf.DUMMYFUNCTION("""COMPUTED_VALUE"""),0.0)</f>
        <v>0</v>
      </c>
      <c r="AY99" s="3">
        <f>IFERROR(__xludf.DUMMYFUNCTION("""COMPUTED_VALUE"""),0.0)</f>
        <v>0</v>
      </c>
      <c r="AZ99" s="3">
        <f>IFERROR(__xludf.DUMMYFUNCTION("""COMPUTED_VALUE"""),0.0)</f>
        <v>0</v>
      </c>
      <c r="BA99" s="3">
        <f>IFERROR(__xludf.DUMMYFUNCTION("""COMPUTED_VALUE"""),0.0)</f>
        <v>0</v>
      </c>
      <c r="BB99" s="3">
        <f>IFERROR(__xludf.DUMMYFUNCTION("""COMPUTED_VALUE"""),0.0)</f>
        <v>0</v>
      </c>
      <c r="BC99" s="3">
        <f>IFERROR(__xludf.DUMMYFUNCTION("""COMPUTED_VALUE"""),0.0)</f>
        <v>0</v>
      </c>
      <c r="BD99" s="3">
        <f>IFERROR(__xludf.DUMMYFUNCTION("""COMPUTED_VALUE"""),0.0)</f>
        <v>0</v>
      </c>
      <c r="BE99" s="3">
        <f>IFERROR(__xludf.DUMMYFUNCTION("""COMPUTED_VALUE"""),0.0)</f>
        <v>0</v>
      </c>
      <c r="BF99" s="3">
        <f>IFERROR(__xludf.DUMMYFUNCTION("""COMPUTED_VALUE"""),0.0)</f>
        <v>0</v>
      </c>
      <c r="BG99" s="3">
        <f>IFERROR(__xludf.DUMMYFUNCTION("""COMPUTED_VALUE"""),0.0)</f>
        <v>0</v>
      </c>
      <c r="BH99" s="3">
        <f>IFERROR(__xludf.DUMMYFUNCTION("""COMPUTED_VALUE"""),0.0)</f>
        <v>0</v>
      </c>
      <c r="BI99" s="3">
        <f>IFERROR(__xludf.DUMMYFUNCTION("""COMPUTED_VALUE"""),0.0)</f>
        <v>0</v>
      </c>
      <c r="BJ99" s="3">
        <f>IFERROR(__xludf.DUMMYFUNCTION("""COMPUTED_VALUE"""),0.0)</f>
        <v>0</v>
      </c>
      <c r="BK99" s="3">
        <f>IFERROR(__xludf.DUMMYFUNCTION("""COMPUTED_VALUE"""),0.0)</f>
        <v>0</v>
      </c>
      <c r="BL99" s="3">
        <f>IFERROR(__xludf.DUMMYFUNCTION("""COMPUTED_VALUE"""),0.0)</f>
        <v>0</v>
      </c>
      <c r="BM99" s="3">
        <f>IFERROR(__xludf.DUMMYFUNCTION("""COMPUTED_VALUE"""),0.0)</f>
        <v>0</v>
      </c>
      <c r="BN99" s="3">
        <f>IFERROR(__xludf.DUMMYFUNCTION("""COMPUTED_VALUE"""),0.0)</f>
        <v>0</v>
      </c>
      <c r="BO99" s="3">
        <f>IFERROR(__xludf.DUMMYFUNCTION("""COMPUTED_VALUE"""),0.0)</f>
        <v>0</v>
      </c>
      <c r="BP99" s="3">
        <f>IFERROR(__xludf.DUMMYFUNCTION("""COMPUTED_VALUE"""),0.0)</f>
        <v>0</v>
      </c>
      <c r="BQ99" s="3">
        <f>IFERROR(__xludf.DUMMYFUNCTION("""COMPUTED_VALUE"""),0.0)</f>
        <v>0</v>
      </c>
      <c r="BR99" s="3">
        <f>IFERROR(__xludf.DUMMYFUNCTION("""COMPUTED_VALUE"""),0.0)</f>
        <v>0</v>
      </c>
      <c r="BS99" s="3">
        <f>IFERROR(__xludf.DUMMYFUNCTION("""COMPUTED_VALUE"""),0.0)</f>
        <v>0</v>
      </c>
      <c r="BT99" s="3">
        <f>IFERROR(__xludf.DUMMYFUNCTION("""COMPUTED_VALUE"""),0.0)</f>
        <v>0</v>
      </c>
      <c r="BU99" s="3">
        <f>IFERROR(__xludf.DUMMYFUNCTION("""COMPUTED_VALUE"""),0.0)</f>
        <v>0</v>
      </c>
      <c r="BV99" s="3">
        <f>IFERROR(__xludf.DUMMYFUNCTION("""COMPUTED_VALUE"""),0.0)</f>
        <v>0</v>
      </c>
      <c r="BW99" s="3">
        <f>IFERROR(__xludf.DUMMYFUNCTION("""COMPUTED_VALUE"""),0.0)</f>
        <v>0</v>
      </c>
      <c r="BX99" s="3">
        <f>IFERROR(__xludf.DUMMYFUNCTION("""COMPUTED_VALUE"""),0.0)</f>
        <v>0</v>
      </c>
      <c r="BY99" s="3">
        <f>IFERROR(__xludf.DUMMYFUNCTION("""COMPUTED_VALUE"""),0.0)</f>
        <v>0</v>
      </c>
      <c r="BZ99" s="3">
        <f>IFERROR(__xludf.DUMMYFUNCTION("""COMPUTED_VALUE"""),0.0)</f>
        <v>0</v>
      </c>
      <c r="CA99" s="3">
        <f>IFERROR(__xludf.DUMMYFUNCTION("""COMPUTED_VALUE"""),0.0)</f>
        <v>0</v>
      </c>
      <c r="CB99" s="3">
        <f>IFERROR(__xludf.DUMMYFUNCTION("""COMPUTED_VALUE"""),0.0)</f>
        <v>0</v>
      </c>
    </row>
    <row r="100">
      <c r="A100" s="3" t="str">
        <f>IFERROR(__xludf.DUMMYFUNCTION("""COMPUTED_VALUE"""),"")</f>
        <v/>
      </c>
      <c r="B100" s="3" t="str">
        <f>IFERROR(__xludf.DUMMYFUNCTION("""COMPUTED_VALUE"""),"Finland")</f>
        <v>Finland</v>
      </c>
      <c r="C100" s="3">
        <f>IFERROR(__xludf.DUMMYFUNCTION("""COMPUTED_VALUE"""),64.0)</f>
        <v>64</v>
      </c>
      <c r="D100" s="3">
        <f>IFERROR(__xludf.DUMMYFUNCTION("""COMPUTED_VALUE"""),26.0)</f>
        <v>26</v>
      </c>
      <c r="E100" s="3">
        <f>IFERROR(__xludf.DUMMYFUNCTION("""COMPUTED_VALUE"""),0.0)</f>
        <v>0</v>
      </c>
      <c r="F100" s="3">
        <f>IFERROR(__xludf.DUMMYFUNCTION("""COMPUTED_VALUE"""),0.0)</f>
        <v>0</v>
      </c>
      <c r="G100" s="3">
        <f>IFERROR(__xludf.DUMMYFUNCTION("""COMPUTED_VALUE"""),0.0)</f>
        <v>0</v>
      </c>
      <c r="H100" s="3">
        <f>IFERROR(__xludf.DUMMYFUNCTION("""COMPUTED_VALUE"""),0.0)</f>
        <v>0</v>
      </c>
      <c r="I100" s="3">
        <f>IFERROR(__xludf.DUMMYFUNCTION("""COMPUTED_VALUE"""),0.0)</f>
        <v>0</v>
      </c>
      <c r="J100" s="3">
        <f>IFERROR(__xludf.DUMMYFUNCTION("""COMPUTED_VALUE"""),0.0)</f>
        <v>0</v>
      </c>
      <c r="K100" s="3">
        <f>IFERROR(__xludf.DUMMYFUNCTION("""COMPUTED_VALUE"""),0.0)</f>
        <v>0</v>
      </c>
      <c r="L100" s="3">
        <f>IFERROR(__xludf.DUMMYFUNCTION("""COMPUTED_VALUE"""),0.0)</f>
        <v>0</v>
      </c>
      <c r="M100" s="3">
        <f>IFERROR(__xludf.DUMMYFUNCTION("""COMPUTED_VALUE"""),0.0)</f>
        <v>0</v>
      </c>
      <c r="N100" s="3">
        <f>IFERROR(__xludf.DUMMYFUNCTION("""COMPUTED_VALUE"""),0.0)</f>
        <v>0</v>
      </c>
      <c r="O100" s="3">
        <f>IFERROR(__xludf.DUMMYFUNCTION("""COMPUTED_VALUE"""),0.0)</f>
        <v>0</v>
      </c>
      <c r="P100" s="3">
        <f>IFERROR(__xludf.DUMMYFUNCTION("""COMPUTED_VALUE"""),0.0)</f>
        <v>0</v>
      </c>
      <c r="Q100" s="3">
        <f>IFERROR(__xludf.DUMMYFUNCTION("""COMPUTED_VALUE"""),0.0)</f>
        <v>0</v>
      </c>
      <c r="R100" s="3">
        <f>IFERROR(__xludf.DUMMYFUNCTION("""COMPUTED_VALUE"""),0.0)</f>
        <v>0</v>
      </c>
      <c r="S100" s="3">
        <f>IFERROR(__xludf.DUMMYFUNCTION("""COMPUTED_VALUE"""),0.0)</f>
        <v>0</v>
      </c>
      <c r="T100" s="3">
        <f>IFERROR(__xludf.DUMMYFUNCTION("""COMPUTED_VALUE"""),0.0)</f>
        <v>0</v>
      </c>
      <c r="U100" s="3">
        <f>IFERROR(__xludf.DUMMYFUNCTION("""COMPUTED_VALUE"""),0.0)</f>
        <v>0</v>
      </c>
      <c r="V100" s="3">
        <f>IFERROR(__xludf.DUMMYFUNCTION("""COMPUTED_VALUE"""),0.0)</f>
        <v>0</v>
      </c>
      <c r="W100" s="3">
        <f>IFERROR(__xludf.DUMMYFUNCTION("""COMPUTED_VALUE"""),0.0)</f>
        <v>0</v>
      </c>
      <c r="X100" s="3">
        <f>IFERROR(__xludf.DUMMYFUNCTION("""COMPUTED_VALUE"""),0.0)</f>
        <v>0</v>
      </c>
      <c r="Y100" s="3">
        <f>IFERROR(__xludf.DUMMYFUNCTION("""COMPUTED_VALUE"""),0.0)</f>
        <v>0</v>
      </c>
      <c r="Z100" s="3">
        <f>IFERROR(__xludf.DUMMYFUNCTION("""COMPUTED_VALUE"""),1.0)</f>
        <v>1</v>
      </c>
      <c r="AA100" s="3">
        <f>IFERROR(__xludf.DUMMYFUNCTION("""COMPUTED_VALUE"""),1.0)</f>
        <v>1</v>
      </c>
      <c r="AB100" s="3">
        <f>IFERROR(__xludf.DUMMYFUNCTION("""COMPUTED_VALUE"""),1.0)</f>
        <v>1</v>
      </c>
      <c r="AC100" s="3">
        <f>IFERROR(__xludf.DUMMYFUNCTION("""COMPUTED_VALUE"""),1.0)</f>
        <v>1</v>
      </c>
      <c r="AD100" s="3">
        <f>IFERROR(__xludf.DUMMYFUNCTION("""COMPUTED_VALUE"""),1.0)</f>
        <v>1</v>
      </c>
      <c r="AE100" s="3">
        <f>IFERROR(__xludf.DUMMYFUNCTION("""COMPUTED_VALUE"""),1.0)</f>
        <v>1</v>
      </c>
      <c r="AF100" s="3">
        <f>IFERROR(__xludf.DUMMYFUNCTION("""COMPUTED_VALUE"""),1.0)</f>
        <v>1</v>
      </c>
      <c r="AG100" s="3">
        <f>IFERROR(__xludf.DUMMYFUNCTION("""COMPUTED_VALUE"""),1.0)</f>
        <v>1</v>
      </c>
      <c r="AH100" s="3">
        <f>IFERROR(__xludf.DUMMYFUNCTION("""COMPUTED_VALUE"""),1.0)</f>
        <v>1</v>
      </c>
      <c r="AI100" s="3">
        <f>IFERROR(__xludf.DUMMYFUNCTION("""COMPUTED_VALUE"""),1.0)</f>
        <v>1</v>
      </c>
      <c r="AJ100" s="3">
        <f>IFERROR(__xludf.DUMMYFUNCTION("""COMPUTED_VALUE"""),1.0)</f>
        <v>1</v>
      </c>
      <c r="AK100" s="3">
        <f>IFERROR(__xludf.DUMMYFUNCTION("""COMPUTED_VALUE"""),1.0)</f>
        <v>1</v>
      </c>
      <c r="AL100" s="3">
        <f>IFERROR(__xludf.DUMMYFUNCTION("""COMPUTED_VALUE"""),1.0)</f>
        <v>1</v>
      </c>
      <c r="AM100" s="3">
        <f>IFERROR(__xludf.DUMMYFUNCTION("""COMPUTED_VALUE"""),1.0)</f>
        <v>1</v>
      </c>
      <c r="AN100" s="3">
        <f>IFERROR(__xludf.DUMMYFUNCTION("""COMPUTED_VALUE"""),1.0)</f>
        <v>1</v>
      </c>
      <c r="AO100" s="3">
        <f>IFERROR(__xludf.DUMMYFUNCTION("""COMPUTED_VALUE"""),1.0)</f>
        <v>1</v>
      </c>
      <c r="AP100" s="3">
        <f>IFERROR(__xludf.DUMMYFUNCTION("""COMPUTED_VALUE"""),1.0)</f>
        <v>1</v>
      </c>
      <c r="AQ100" s="3">
        <f>IFERROR(__xludf.DUMMYFUNCTION("""COMPUTED_VALUE"""),1.0)</f>
        <v>1</v>
      </c>
      <c r="AR100" s="3">
        <f>IFERROR(__xludf.DUMMYFUNCTION("""COMPUTED_VALUE"""),1.0)</f>
        <v>1</v>
      </c>
      <c r="AS100" s="3">
        <f>IFERROR(__xludf.DUMMYFUNCTION("""COMPUTED_VALUE"""),1.0)</f>
        <v>1</v>
      </c>
      <c r="AT100" s="3">
        <f>IFERROR(__xludf.DUMMYFUNCTION("""COMPUTED_VALUE"""),1.0)</f>
        <v>1</v>
      </c>
      <c r="AU100" s="3">
        <f>IFERROR(__xludf.DUMMYFUNCTION("""COMPUTED_VALUE"""),1.0)</f>
        <v>1</v>
      </c>
      <c r="AV100" s="3">
        <f>IFERROR(__xludf.DUMMYFUNCTION("""COMPUTED_VALUE"""),1.0)</f>
        <v>1</v>
      </c>
      <c r="AW100" s="3">
        <f>IFERROR(__xludf.DUMMYFUNCTION("""COMPUTED_VALUE"""),1.0)</f>
        <v>1</v>
      </c>
      <c r="AX100" s="3">
        <f>IFERROR(__xludf.DUMMYFUNCTION("""COMPUTED_VALUE"""),1.0)</f>
        <v>1</v>
      </c>
      <c r="AY100" s="3">
        <f>IFERROR(__xludf.DUMMYFUNCTION("""COMPUTED_VALUE"""),1.0)</f>
        <v>1</v>
      </c>
      <c r="AZ100" s="3">
        <f>IFERROR(__xludf.DUMMYFUNCTION("""COMPUTED_VALUE"""),1.0)</f>
        <v>1</v>
      </c>
      <c r="BA100" s="3">
        <f>IFERROR(__xludf.DUMMYFUNCTION("""COMPUTED_VALUE"""),1.0)</f>
        <v>1</v>
      </c>
      <c r="BB100" s="3">
        <f>IFERROR(__xludf.DUMMYFUNCTION("""COMPUTED_VALUE"""),1.0)</f>
        <v>1</v>
      </c>
      <c r="BC100" s="3">
        <f>IFERROR(__xludf.DUMMYFUNCTION("""COMPUTED_VALUE"""),1.0)</f>
        <v>1</v>
      </c>
      <c r="BD100" s="3">
        <f>IFERROR(__xludf.DUMMYFUNCTION("""COMPUTED_VALUE"""),1.0)</f>
        <v>1</v>
      </c>
      <c r="BE100" s="3">
        <f>IFERROR(__xludf.DUMMYFUNCTION("""COMPUTED_VALUE"""),1.0)</f>
        <v>1</v>
      </c>
      <c r="BF100" s="3">
        <f>IFERROR(__xludf.DUMMYFUNCTION("""COMPUTED_VALUE"""),10.0)</f>
        <v>10</v>
      </c>
      <c r="BG100" s="3">
        <f>IFERROR(__xludf.DUMMYFUNCTION("""COMPUTED_VALUE"""),10.0)</f>
        <v>10</v>
      </c>
      <c r="BH100" s="3">
        <f>IFERROR(__xludf.DUMMYFUNCTION("""COMPUTED_VALUE"""),10.0)</f>
        <v>10</v>
      </c>
      <c r="BI100" s="3">
        <f>IFERROR(__xludf.DUMMYFUNCTION("""COMPUTED_VALUE"""),10.0)</f>
        <v>10</v>
      </c>
      <c r="BJ100" s="3">
        <f>IFERROR(__xludf.DUMMYFUNCTION("""COMPUTED_VALUE"""),10.0)</f>
        <v>10</v>
      </c>
      <c r="BK100" s="3">
        <f>IFERROR(__xludf.DUMMYFUNCTION("""COMPUTED_VALUE"""),10.0)</f>
        <v>10</v>
      </c>
      <c r="BL100" s="3">
        <f>IFERROR(__xludf.DUMMYFUNCTION("""COMPUTED_VALUE"""),10.0)</f>
        <v>10</v>
      </c>
      <c r="BM100" s="3">
        <f>IFERROR(__xludf.DUMMYFUNCTION("""COMPUTED_VALUE"""),10.0)</f>
        <v>10</v>
      </c>
      <c r="BN100" s="3">
        <f>IFERROR(__xludf.DUMMYFUNCTION("""COMPUTED_VALUE"""),10.0)</f>
        <v>10</v>
      </c>
      <c r="BO100" s="3">
        <f>IFERROR(__xludf.DUMMYFUNCTION("""COMPUTED_VALUE"""),10.0)</f>
        <v>10</v>
      </c>
      <c r="BP100" s="3">
        <f>IFERROR(__xludf.DUMMYFUNCTION("""COMPUTED_VALUE"""),10.0)</f>
        <v>10</v>
      </c>
      <c r="BQ100" s="3">
        <f>IFERROR(__xludf.DUMMYFUNCTION("""COMPUTED_VALUE"""),10.0)</f>
        <v>10</v>
      </c>
      <c r="BR100" s="3">
        <f>IFERROR(__xludf.DUMMYFUNCTION("""COMPUTED_VALUE"""),10.0)</f>
        <v>10</v>
      </c>
      <c r="BS100" s="3">
        <f>IFERROR(__xludf.DUMMYFUNCTION("""COMPUTED_VALUE"""),10.0)</f>
        <v>10</v>
      </c>
      <c r="BT100" s="3">
        <f>IFERROR(__xludf.DUMMYFUNCTION("""COMPUTED_VALUE"""),10.0)</f>
        <v>10</v>
      </c>
      <c r="BU100" s="3">
        <f>IFERROR(__xludf.DUMMYFUNCTION("""COMPUTED_VALUE"""),10.0)</f>
        <v>10</v>
      </c>
      <c r="BV100" s="3">
        <f>IFERROR(__xludf.DUMMYFUNCTION("""COMPUTED_VALUE"""),10.0)</f>
        <v>10</v>
      </c>
      <c r="BW100" s="3">
        <f>IFERROR(__xludf.DUMMYFUNCTION("""COMPUTED_VALUE"""),10.0)</f>
        <v>10</v>
      </c>
      <c r="BX100" s="3">
        <f>IFERROR(__xludf.DUMMYFUNCTION("""COMPUTED_VALUE"""),300.0)</f>
        <v>300</v>
      </c>
      <c r="BY100" s="3">
        <f>IFERROR(__xludf.DUMMYFUNCTION("""COMPUTED_VALUE"""),300.0)</f>
        <v>300</v>
      </c>
      <c r="BZ100" s="3">
        <f>IFERROR(__xludf.DUMMYFUNCTION("""COMPUTED_VALUE"""),300.0)</f>
        <v>300</v>
      </c>
      <c r="CA100" s="3">
        <f>IFERROR(__xludf.DUMMYFUNCTION("""COMPUTED_VALUE"""),300.0)</f>
        <v>300</v>
      </c>
      <c r="CB100" s="3">
        <f>IFERROR(__xludf.DUMMYFUNCTION("""COMPUTED_VALUE"""),300.0)</f>
        <v>300</v>
      </c>
    </row>
    <row r="101">
      <c r="A101" s="3" t="str">
        <f>IFERROR(__xludf.DUMMYFUNCTION("""COMPUTED_VALUE"""),"French Guiana")</f>
        <v>French Guiana</v>
      </c>
      <c r="B101" s="3" t="str">
        <f>IFERROR(__xludf.DUMMYFUNCTION("""COMPUTED_VALUE"""),"France")</f>
        <v>France</v>
      </c>
      <c r="C101" s="3">
        <f>IFERROR(__xludf.DUMMYFUNCTION("""COMPUTED_VALUE"""),3.9339)</f>
        <v>3.9339</v>
      </c>
      <c r="D101" s="3">
        <f>IFERROR(__xludf.DUMMYFUNCTION("""COMPUTED_VALUE"""),-53.1258)</f>
        <v>-53.1258</v>
      </c>
      <c r="E101" s="3">
        <f>IFERROR(__xludf.DUMMYFUNCTION("""COMPUTED_VALUE"""),0.0)</f>
        <v>0</v>
      </c>
      <c r="F101" s="3">
        <f>IFERROR(__xludf.DUMMYFUNCTION("""COMPUTED_VALUE"""),0.0)</f>
        <v>0</v>
      </c>
      <c r="G101" s="3">
        <f>IFERROR(__xludf.DUMMYFUNCTION("""COMPUTED_VALUE"""),0.0)</f>
        <v>0</v>
      </c>
      <c r="H101" s="3">
        <f>IFERROR(__xludf.DUMMYFUNCTION("""COMPUTED_VALUE"""),0.0)</f>
        <v>0</v>
      </c>
      <c r="I101" s="3">
        <f>IFERROR(__xludf.DUMMYFUNCTION("""COMPUTED_VALUE"""),0.0)</f>
        <v>0</v>
      </c>
      <c r="J101" s="3">
        <f>IFERROR(__xludf.DUMMYFUNCTION("""COMPUTED_VALUE"""),0.0)</f>
        <v>0</v>
      </c>
      <c r="K101" s="3">
        <f>IFERROR(__xludf.DUMMYFUNCTION("""COMPUTED_VALUE"""),0.0)</f>
        <v>0</v>
      </c>
      <c r="L101" s="3">
        <f>IFERROR(__xludf.DUMMYFUNCTION("""COMPUTED_VALUE"""),0.0)</f>
        <v>0</v>
      </c>
      <c r="M101" s="3">
        <f>IFERROR(__xludf.DUMMYFUNCTION("""COMPUTED_VALUE"""),0.0)</f>
        <v>0</v>
      </c>
      <c r="N101" s="3">
        <f>IFERROR(__xludf.DUMMYFUNCTION("""COMPUTED_VALUE"""),0.0)</f>
        <v>0</v>
      </c>
      <c r="O101" s="3">
        <f>IFERROR(__xludf.DUMMYFUNCTION("""COMPUTED_VALUE"""),0.0)</f>
        <v>0</v>
      </c>
      <c r="P101" s="3">
        <f>IFERROR(__xludf.DUMMYFUNCTION("""COMPUTED_VALUE"""),0.0)</f>
        <v>0</v>
      </c>
      <c r="Q101" s="3">
        <f>IFERROR(__xludf.DUMMYFUNCTION("""COMPUTED_VALUE"""),0.0)</f>
        <v>0</v>
      </c>
      <c r="R101" s="3">
        <f>IFERROR(__xludf.DUMMYFUNCTION("""COMPUTED_VALUE"""),0.0)</f>
        <v>0</v>
      </c>
      <c r="S101" s="3">
        <f>IFERROR(__xludf.DUMMYFUNCTION("""COMPUTED_VALUE"""),0.0)</f>
        <v>0</v>
      </c>
      <c r="T101" s="3">
        <f>IFERROR(__xludf.DUMMYFUNCTION("""COMPUTED_VALUE"""),0.0)</f>
        <v>0</v>
      </c>
      <c r="U101" s="3">
        <f>IFERROR(__xludf.DUMMYFUNCTION("""COMPUTED_VALUE"""),0.0)</f>
        <v>0</v>
      </c>
      <c r="V101" s="3">
        <f>IFERROR(__xludf.DUMMYFUNCTION("""COMPUTED_VALUE"""),0.0)</f>
        <v>0</v>
      </c>
      <c r="W101" s="3">
        <f>IFERROR(__xludf.DUMMYFUNCTION("""COMPUTED_VALUE"""),0.0)</f>
        <v>0</v>
      </c>
      <c r="X101" s="3">
        <f>IFERROR(__xludf.DUMMYFUNCTION("""COMPUTED_VALUE"""),0.0)</f>
        <v>0</v>
      </c>
      <c r="Y101" s="3">
        <f>IFERROR(__xludf.DUMMYFUNCTION("""COMPUTED_VALUE"""),0.0)</f>
        <v>0</v>
      </c>
      <c r="Z101" s="3">
        <f>IFERROR(__xludf.DUMMYFUNCTION("""COMPUTED_VALUE"""),0.0)</f>
        <v>0</v>
      </c>
      <c r="AA101" s="3">
        <f>IFERROR(__xludf.DUMMYFUNCTION("""COMPUTED_VALUE"""),0.0)</f>
        <v>0</v>
      </c>
      <c r="AB101" s="3">
        <f>IFERROR(__xludf.DUMMYFUNCTION("""COMPUTED_VALUE"""),0.0)</f>
        <v>0</v>
      </c>
      <c r="AC101" s="3">
        <f>IFERROR(__xludf.DUMMYFUNCTION("""COMPUTED_VALUE"""),0.0)</f>
        <v>0</v>
      </c>
      <c r="AD101" s="3">
        <f>IFERROR(__xludf.DUMMYFUNCTION("""COMPUTED_VALUE"""),0.0)</f>
        <v>0</v>
      </c>
      <c r="AE101" s="3">
        <f>IFERROR(__xludf.DUMMYFUNCTION("""COMPUTED_VALUE"""),0.0)</f>
        <v>0</v>
      </c>
      <c r="AF101" s="3">
        <f>IFERROR(__xludf.DUMMYFUNCTION("""COMPUTED_VALUE"""),0.0)</f>
        <v>0</v>
      </c>
      <c r="AG101" s="3">
        <f>IFERROR(__xludf.DUMMYFUNCTION("""COMPUTED_VALUE"""),0.0)</f>
        <v>0</v>
      </c>
      <c r="AH101" s="3">
        <f>IFERROR(__xludf.DUMMYFUNCTION("""COMPUTED_VALUE"""),0.0)</f>
        <v>0</v>
      </c>
      <c r="AI101" s="3">
        <f>IFERROR(__xludf.DUMMYFUNCTION("""COMPUTED_VALUE"""),0.0)</f>
        <v>0</v>
      </c>
      <c r="AJ101" s="3">
        <f>IFERROR(__xludf.DUMMYFUNCTION("""COMPUTED_VALUE"""),0.0)</f>
        <v>0</v>
      </c>
      <c r="AK101" s="3">
        <f>IFERROR(__xludf.DUMMYFUNCTION("""COMPUTED_VALUE"""),0.0)</f>
        <v>0</v>
      </c>
      <c r="AL101" s="3">
        <f>IFERROR(__xludf.DUMMYFUNCTION("""COMPUTED_VALUE"""),0.0)</f>
        <v>0</v>
      </c>
      <c r="AM101" s="3">
        <f>IFERROR(__xludf.DUMMYFUNCTION("""COMPUTED_VALUE"""),0.0)</f>
        <v>0</v>
      </c>
      <c r="AN101" s="3">
        <f>IFERROR(__xludf.DUMMYFUNCTION("""COMPUTED_VALUE"""),0.0)</f>
        <v>0</v>
      </c>
      <c r="AO101" s="3">
        <f>IFERROR(__xludf.DUMMYFUNCTION("""COMPUTED_VALUE"""),0.0)</f>
        <v>0</v>
      </c>
      <c r="AP101" s="3">
        <f>IFERROR(__xludf.DUMMYFUNCTION("""COMPUTED_VALUE"""),0.0)</f>
        <v>0</v>
      </c>
      <c r="AQ101" s="3">
        <f>IFERROR(__xludf.DUMMYFUNCTION("""COMPUTED_VALUE"""),0.0)</f>
        <v>0</v>
      </c>
      <c r="AR101" s="3">
        <f>IFERROR(__xludf.DUMMYFUNCTION("""COMPUTED_VALUE"""),0.0)</f>
        <v>0</v>
      </c>
      <c r="AS101" s="3">
        <f>IFERROR(__xludf.DUMMYFUNCTION("""COMPUTED_VALUE"""),0.0)</f>
        <v>0</v>
      </c>
      <c r="AT101" s="3">
        <f>IFERROR(__xludf.DUMMYFUNCTION("""COMPUTED_VALUE"""),0.0)</f>
        <v>0</v>
      </c>
      <c r="AU101" s="3">
        <f>IFERROR(__xludf.DUMMYFUNCTION("""COMPUTED_VALUE"""),0.0)</f>
        <v>0</v>
      </c>
      <c r="AV101" s="3">
        <f>IFERROR(__xludf.DUMMYFUNCTION("""COMPUTED_VALUE"""),0.0)</f>
        <v>0</v>
      </c>
      <c r="AW101" s="3">
        <f>IFERROR(__xludf.DUMMYFUNCTION("""COMPUTED_VALUE"""),0.0)</f>
        <v>0</v>
      </c>
      <c r="AX101" s="3">
        <f>IFERROR(__xludf.DUMMYFUNCTION("""COMPUTED_VALUE"""),0.0)</f>
        <v>0</v>
      </c>
      <c r="AY101" s="3">
        <f>IFERROR(__xludf.DUMMYFUNCTION("""COMPUTED_VALUE"""),0.0)</f>
        <v>0</v>
      </c>
      <c r="AZ101" s="3">
        <f>IFERROR(__xludf.DUMMYFUNCTION("""COMPUTED_VALUE"""),0.0)</f>
        <v>0</v>
      </c>
      <c r="BA101" s="3">
        <f>IFERROR(__xludf.DUMMYFUNCTION("""COMPUTED_VALUE"""),0.0)</f>
        <v>0</v>
      </c>
      <c r="BB101" s="3">
        <f>IFERROR(__xludf.DUMMYFUNCTION("""COMPUTED_VALUE"""),0.0)</f>
        <v>0</v>
      </c>
      <c r="BC101" s="3">
        <f>IFERROR(__xludf.DUMMYFUNCTION("""COMPUTED_VALUE"""),0.0)</f>
        <v>0</v>
      </c>
      <c r="BD101" s="3">
        <f>IFERROR(__xludf.DUMMYFUNCTION("""COMPUTED_VALUE"""),0.0)</f>
        <v>0</v>
      </c>
      <c r="BE101" s="3">
        <f>IFERROR(__xludf.DUMMYFUNCTION("""COMPUTED_VALUE"""),0.0)</f>
        <v>0</v>
      </c>
      <c r="BF101" s="3">
        <f>IFERROR(__xludf.DUMMYFUNCTION("""COMPUTED_VALUE"""),0.0)</f>
        <v>0</v>
      </c>
      <c r="BG101" s="3">
        <f>IFERROR(__xludf.DUMMYFUNCTION("""COMPUTED_VALUE"""),0.0)</f>
        <v>0</v>
      </c>
      <c r="BH101" s="3">
        <f>IFERROR(__xludf.DUMMYFUNCTION("""COMPUTED_VALUE"""),0.0)</f>
        <v>0</v>
      </c>
      <c r="BI101" s="3">
        <f>IFERROR(__xludf.DUMMYFUNCTION("""COMPUTED_VALUE"""),0.0)</f>
        <v>0</v>
      </c>
      <c r="BJ101" s="3">
        <f>IFERROR(__xludf.DUMMYFUNCTION("""COMPUTED_VALUE"""),0.0)</f>
        <v>0</v>
      </c>
      <c r="BK101" s="3">
        <f>IFERROR(__xludf.DUMMYFUNCTION("""COMPUTED_VALUE"""),0.0)</f>
        <v>0</v>
      </c>
      <c r="BL101" s="3">
        <f>IFERROR(__xludf.DUMMYFUNCTION("""COMPUTED_VALUE"""),0.0)</f>
        <v>0</v>
      </c>
      <c r="BM101" s="3">
        <f>IFERROR(__xludf.DUMMYFUNCTION("""COMPUTED_VALUE"""),6.0)</f>
        <v>6</v>
      </c>
      <c r="BN101" s="3">
        <f>IFERROR(__xludf.DUMMYFUNCTION("""COMPUTED_VALUE"""),6.0)</f>
        <v>6</v>
      </c>
      <c r="BO101" s="3">
        <f>IFERROR(__xludf.DUMMYFUNCTION("""COMPUTED_VALUE"""),6.0)</f>
        <v>6</v>
      </c>
      <c r="BP101" s="3">
        <f>IFERROR(__xludf.DUMMYFUNCTION("""COMPUTED_VALUE"""),6.0)</f>
        <v>6</v>
      </c>
      <c r="BQ101" s="3">
        <f>IFERROR(__xludf.DUMMYFUNCTION("""COMPUTED_VALUE"""),6.0)</f>
        <v>6</v>
      </c>
      <c r="BR101" s="3">
        <f>IFERROR(__xludf.DUMMYFUNCTION("""COMPUTED_VALUE"""),6.0)</f>
        <v>6</v>
      </c>
      <c r="BS101" s="3">
        <f>IFERROR(__xludf.DUMMYFUNCTION("""COMPUTED_VALUE"""),6.0)</f>
        <v>6</v>
      </c>
      <c r="BT101" s="3">
        <f>IFERROR(__xludf.DUMMYFUNCTION("""COMPUTED_VALUE"""),6.0)</f>
        <v>6</v>
      </c>
      <c r="BU101" s="3">
        <f>IFERROR(__xludf.DUMMYFUNCTION("""COMPUTED_VALUE"""),6.0)</f>
        <v>6</v>
      </c>
      <c r="BV101" s="3">
        <f>IFERROR(__xludf.DUMMYFUNCTION("""COMPUTED_VALUE"""),6.0)</f>
        <v>6</v>
      </c>
      <c r="BW101" s="3">
        <f>IFERROR(__xludf.DUMMYFUNCTION("""COMPUTED_VALUE"""),15.0)</f>
        <v>15</v>
      </c>
      <c r="BX101" s="3">
        <f>IFERROR(__xludf.DUMMYFUNCTION("""COMPUTED_VALUE"""),15.0)</f>
        <v>15</v>
      </c>
      <c r="BY101" s="3">
        <f>IFERROR(__xludf.DUMMYFUNCTION("""COMPUTED_VALUE"""),22.0)</f>
        <v>22</v>
      </c>
      <c r="BZ101" s="3">
        <f>IFERROR(__xludf.DUMMYFUNCTION("""COMPUTED_VALUE"""),22.0)</f>
        <v>22</v>
      </c>
      <c r="CA101" s="3">
        <f>IFERROR(__xludf.DUMMYFUNCTION("""COMPUTED_VALUE"""),22.0)</f>
        <v>22</v>
      </c>
      <c r="CB101" s="3">
        <f>IFERROR(__xludf.DUMMYFUNCTION("""COMPUTED_VALUE"""),34.0)</f>
        <v>34</v>
      </c>
    </row>
    <row r="102">
      <c r="A102" s="3" t="str">
        <f>IFERROR(__xludf.DUMMYFUNCTION("""COMPUTED_VALUE"""),"French Polynesia")</f>
        <v>French Polynesia</v>
      </c>
      <c r="B102" s="3" t="str">
        <f>IFERROR(__xludf.DUMMYFUNCTION("""COMPUTED_VALUE"""),"France")</f>
        <v>France</v>
      </c>
      <c r="C102" s="3">
        <f>IFERROR(__xludf.DUMMYFUNCTION("""COMPUTED_VALUE"""),-17.6797)</f>
        <v>-17.6797</v>
      </c>
      <c r="D102" s="3">
        <f>IFERROR(__xludf.DUMMYFUNCTION("""COMPUTED_VALUE"""),149.4068)</f>
        <v>149.4068</v>
      </c>
      <c r="E102" s="3">
        <f>IFERROR(__xludf.DUMMYFUNCTION("""COMPUTED_VALUE"""),0.0)</f>
        <v>0</v>
      </c>
      <c r="F102" s="3">
        <f>IFERROR(__xludf.DUMMYFUNCTION("""COMPUTED_VALUE"""),0.0)</f>
        <v>0</v>
      </c>
      <c r="G102" s="3">
        <f>IFERROR(__xludf.DUMMYFUNCTION("""COMPUTED_VALUE"""),0.0)</f>
        <v>0</v>
      </c>
      <c r="H102" s="3">
        <f>IFERROR(__xludf.DUMMYFUNCTION("""COMPUTED_VALUE"""),0.0)</f>
        <v>0</v>
      </c>
      <c r="I102" s="3">
        <f>IFERROR(__xludf.DUMMYFUNCTION("""COMPUTED_VALUE"""),0.0)</f>
        <v>0</v>
      </c>
      <c r="J102" s="3">
        <f>IFERROR(__xludf.DUMMYFUNCTION("""COMPUTED_VALUE"""),0.0)</f>
        <v>0</v>
      </c>
      <c r="K102" s="3">
        <f>IFERROR(__xludf.DUMMYFUNCTION("""COMPUTED_VALUE"""),0.0)</f>
        <v>0</v>
      </c>
      <c r="L102" s="3">
        <f>IFERROR(__xludf.DUMMYFUNCTION("""COMPUTED_VALUE"""),0.0)</f>
        <v>0</v>
      </c>
      <c r="M102" s="3">
        <f>IFERROR(__xludf.DUMMYFUNCTION("""COMPUTED_VALUE"""),0.0)</f>
        <v>0</v>
      </c>
      <c r="N102" s="3">
        <f>IFERROR(__xludf.DUMMYFUNCTION("""COMPUTED_VALUE"""),0.0)</f>
        <v>0</v>
      </c>
      <c r="O102" s="3">
        <f>IFERROR(__xludf.DUMMYFUNCTION("""COMPUTED_VALUE"""),0.0)</f>
        <v>0</v>
      </c>
      <c r="P102" s="3">
        <f>IFERROR(__xludf.DUMMYFUNCTION("""COMPUTED_VALUE"""),0.0)</f>
        <v>0</v>
      </c>
      <c r="Q102" s="3">
        <f>IFERROR(__xludf.DUMMYFUNCTION("""COMPUTED_VALUE"""),0.0)</f>
        <v>0</v>
      </c>
      <c r="R102" s="3">
        <f>IFERROR(__xludf.DUMMYFUNCTION("""COMPUTED_VALUE"""),0.0)</f>
        <v>0</v>
      </c>
      <c r="S102" s="3">
        <f>IFERROR(__xludf.DUMMYFUNCTION("""COMPUTED_VALUE"""),0.0)</f>
        <v>0</v>
      </c>
      <c r="T102" s="3">
        <f>IFERROR(__xludf.DUMMYFUNCTION("""COMPUTED_VALUE"""),0.0)</f>
        <v>0</v>
      </c>
      <c r="U102" s="3">
        <f>IFERROR(__xludf.DUMMYFUNCTION("""COMPUTED_VALUE"""),0.0)</f>
        <v>0</v>
      </c>
      <c r="V102" s="3">
        <f>IFERROR(__xludf.DUMMYFUNCTION("""COMPUTED_VALUE"""),0.0)</f>
        <v>0</v>
      </c>
      <c r="W102" s="3">
        <f>IFERROR(__xludf.DUMMYFUNCTION("""COMPUTED_VALUE"""),0.0)</f>
        <v>0</v>
      </c>
      <c r="X102" s="3">
        <f>IFERROR(__xludf.DUMMYFUNCTION("""COMPUTED_VALUE"""),0.0)</f>
        <v>0</v>
      </c>
      <c r="Y102" s="3">
        <f>IFERROR(__xludf.DUMMYFUNCTION("""COMPUTED_VALUE"""),0.0)</f>
        <v>0</v>
      </c>
      <c r="Z102" s="3">
        <f>IFERROR(__xludf.DUMMYFUNCTION("""COMPUTED_VALUE"""),0.0)</f>
        <v>0</v>
      </c>
      <c r="AA102" s="3">
        <f>IFERROR(__xludf.DUMMYFUNCTION("""COMPUTED_VALUE"""),0.0)</f>
        <v>0</v>
      </c>
      <c r="AB102" s="3">
        <f>IFERROR(__xludf.DUMMYFUNCTION("""COMPUTED_VALUE"""),0.0)</f>
        <v>0</v>
      </c>
      <c r="AC102" s="3">
        <f>IFERROR(__xludf.DUMMYFUNCTION("""COMPUTED_VALUE"""),0.0)</f>
        <v>0</v>
      </c>
      <c r="AD102" s="3">
        <f>IFERROR(__xludf.DUMMYFUNCTION("""COMPUTED_VALUE"""),0.0)</f>
        <v>0</v>
      </c>
      <c r="AE102" s="3">
        <f>IFERROR(__xludf.DUMMYFUNCTION("""COMPUTED_VALUE"""),0.0)</f>
        <v>0</v>
      </c>
      <c r="AF102" s="3">
        <f>IFERROR(__xludf.DUMMYFUNCTION("""COMPUTED_VALUE"""),0.0)</f>
        <v>0</v>
      </c>
      <c r="AG102" s="3">
        <f>IFERROR(__xludf.DUMMYFUNCTION("""COMPUTED_VALUE"""),0.0)</f>
        <v>0</v>
      </c>
      <c r="AH102" s="3">
        <f>IFERROR(__xludf.DUMMYFUNCTION("""COMPUTED_VALUE"""),0.0)</f>
        <v>0</v>
      </c>
      <c r="AI102" s="3">
        <f>IFERROR(__xludf.DUMMYFUNCTION("""COMPUTED_VALUE"""),0.0)</f>
        <v>0</v>
      </c>
      <c r="AJ102" s="3">
        <f>IFERROR(__xludf.DUMMYFUNCTION("""COMPUTED_VALUE"""),0.0)</f>
        <v>0</v>
      </c>
      <c r="AK102" s="3">
        <f>IFERROR(__xludf.DUMMYFUNCTION("""COMPUTED_VALUE"""),0.0)</f>
        <v>0</v>
      </c>
      <c r="AL102" s="3">
        <f>IFERROR(__xludf.DUMMYFUNCTION("""COMPUTED_VALUE"""),0.0)</f>
        <v>0</v>
      </c>
      <c r="AM102" s="3">
        <f>IFERROR(__xludf.DUMMYFUNCTION("""COMPUTED_VALUE"""),0.0)</f>
        <v>0</v>
      </c>
      <c r="AN102" s="3">
        <f>IFERROR(__xludf.DUMMYFUNCTION("""COMPUTED_VALUE"""),0.0)</f>
        <v>0</v>
      </c>
      <c r="AO102" s="3">
        <f>IFERROR(__xludf.DUMMYFUNCTION("""COMPUTED_VALUE"""),0.0)</f>
        <v>0</v>
      </c>
      <c r="AP102" s="3">
        <f>IFERROR(__xludf.DUMMYFUNCTION("""COMPUTED_VALUE"""),0.0)</f>
        <v>0</v>
      </c>
      <c r="AQ102" s="3">
        <f>IFERROR(__xludf.DUMMYFUNCTION("""COMPUTED_VALUE"""),0.0)</f>
        <v>0</v>
      </c>
      <c r="AR102" s="3">
        <f>IFERROR(__xludf.DUMMYFUNCTION("""COMPUTED_VALUE"""),0.0)</f>
        <v>0</v>
      </c>
      <c r="AS102" s="3">
        <f>IFERROR(__xludf.DUMMYFUNCTION("""COMPUTED_VALUE"""),0.0)</f>
        <v>0</v>
      </c>
      <c r="AT102" s="3">
        <f>IFERROR(__xludf.DUMMYFUNCTION("""COMPUTED_VALUE"""),0.0)</f>
        <v>0</v>
      </c>
      <c r="AU102" s="3">
        <f>IFERROR(__xludf.DUMMYFUNCTION("""COMPUTED_VALUE"""),0.0)</f>
        <v>0</v>
      </c>
      <c r="AV102" s="3">
        <f>IFERROR(__xludf.DUMMYFUNCTION("""COMPUTED_VALUE"""),0.0)</f>
        <v>0</v>
      </c>
      <c r="AW102" s="3">
        <f>IFERROR(__xludf.DUMMYFUNCTION("""COMPUTED_VALUE"""),0.0)</f>
        <v>0</v>
      </c>
      <c r="AX102" s="3">
        <f>IFERROR(__xludf.DUMMYFUNCTION("""COMPUTED_VALUE"""),0.0)</f>
        <v>0</v>
      </c>
      <c r="AY102" s="3">
        <f>IFERROR(__xludf.DUMMYFUNCTION("""COMPUTED_VALUE"""),0.0)</f>
        <v>0</v>
      </c>
      <c r="AZ102" s="3">
        <f>IFERROR(__xludf.DUMMYFUNCTION("""COMPUTED_VALUE"""),0.0)</f>
        <v>0</v>
      </c>
      <c r="BA102" s="3">
        <f>IFERROR(__xludf.DUMMYFUNCTION("""COMPUTED_VALUE"""),0.0)</f>
        <v>0</v>
      </c>
      <c r="BB102" s="3">
        <f>IFERROR(__xludf.DUMMYFUNCTION("""COMPUTED_VALUE"""),0.0)</f>
        <v>0</v>
      </c>
      <c r="BC102" s="3">
        <f>IFERROR(__xludf.DUMMYFUNCTION("""COMPUTED_VALUE"""),0.0)</f>
        <v>0</v>
      </c>
      <c r="BD102" s="3">
        <f>IFERROR(__xludf.DUMMYFUNCTION("""COMPUTED_VALUE"""),0.0)</f>
        <v>0</v>
      </c>
      <c r="BE102" s="3">
        <f>IFERROR(__xludf.DUMMYFUNCTION("""COMPUTED_VALUE"""),0.0)</f>
        <v>0</v>
      </c>
      <c r="BF102" s="3">
        <f>IFERROR(__xludf.DUMMYFUNCTION("""COMPUTED_VALUE"""),0.0)</f>
        <v>0</v>
      </c>
      <c r="BG102" s="3">
        <f>IFERROR(__xludf.DUMMYFUNCTION("""COMPUTED_VALUE"""),0.0)</f>
        <v>0</v>
      </c>
      <c r="BH102" s="3">
        <f>IFERROR(__xludf.DUMMYFUNCTION("""COMPUTED_VALUE"""),0.0)</f>
        <v>0</v>
      </c>
      <c r="BI102" s="3">
        <f>IFERROR(__xludf.DUMMYFUNCTION("""COMPUTED_VALUE"""),0.0)</f>
        <v>0</v>
      </c>
      <c r="BJ102" s="3">
        <f>IFERROR(__xludf.DUMMYFUNCTION("""COMPUTED_VALUE"""),0.0)</f>
        <v>0</v>
      </c>
      <c r="BK102" s="3">
        <f>IFERROR(__xludf.DUMMYFUNCTION("""COMPUTED_VALUE"""),0.0)</f>
        <v>0</v>
      </c>
      <c r="BL102" s="3">
        <f>IFERROR(__xludf.DUMMYFUNCTION("""COMPUTED_VALUE"""),0.0)</f>
        <v>0</v>
      </c>
      <c r="BM102" s="3">
        <f>IFERROR(__xludf.DUMMYFUNCTION("""COMPUTED_VALUE"""),0.0)</f>
        <v>0</v>
      </c>
      <c r="BN102" s="3">
        <f>IFERROR(__xludf.DUMMYFUNCTION("""COMPUTED_VALUE"""),0.0)</f>
        <v>0</v>
      </c>
      <c r="BO102" s="3">
        <f>IFERROR(__xludf.DUMMYFUNCTION("""COMPUTED_VALUE"""),0.0)</f>
        <v>0</v>
      </c>
      <c r="BP102" s="3">
        <f>IFERROR(__xludf.DUMMYFUNCTION("""COMPUTED_VALUE"""),0.0)</f>
        <v>0</v>
      </c>
      <c r="BQ102" s="3">
        <f>IFERROR(__xludf.DUMMYFUNCTION("""COMPUTED_VALUE"""),0.0)</f>
        <v>0</v>
      </c>
      <c r="BR102" s="3">
        <f>IFERROR(__xludf.DUMMYFUNCTION("""COMPUTED_VALUE"""),0.0)</f>
        <v>0</v>
      </c>
      <c r="BS102" s="3">
        <f>IFERROR(__xludf.DUMMYFUNCTION("""COMPUTED_VALUE"""),0.0)</f>
        <v>0</v>
      </c>
      <c r="BT102" s="3">
        <f>IFERROR(__xludf.DUMMYFUNCTION("""COMPUTED_VALUE"""),0.0)</f>
        <v>0</v>
      </c>
      <c r="BU102" s="3">
        <f>IFERROR(__xludf.DUMMYFUNCTION("""COMPUTED_VALUE"""),0.0)</f>
        <v>0</v>
      </c>
      <c r="BV102" s="3">
        <f>IFERROR(__xludf.DUMMYFUNCTION("""COMPUTED_VALUE"""),0.0)</f>
        <v>0</v>
      </c>
      <c r="BW102" s="3">
        <f>IFERROR(__xludf.DUMMYFUNCTION("""COMPUTED_VALUE"""),0.0)</f>
        <v>0</v>
      </c>
      <c r="BX102" s="3">
        <f>IFERROR(__xludf.DUMMYFUNCTION("""COMPUTED_VALUE"""),0.0)</f>
        <v>0</v>
      </c>
      <c r="BY102" s="3">
        <f>IFERROR(__xludf.DUMMYFUNCTION("""COMPUTED_VALUE"""),0.0)</f>
        <v>0</v>
      </c>
      <c r="BZ102" s="3">
        <f>IFERROR(__xludf.DUMMYFUNCTION("""COMPUTED_VALUE"""),0.0)</f>
        <v>0</v>
      </c>
      <c r="CA102" s="3">
        <f>IFERROR(__xludf.DUMMYFUNCTION("""COMPUTED_VALUE"""),0.0)</f>
        <v>0</v>
      </c>
      <c r="CB102" s="3">
        <f>IFERROR(__xludf.DUMMYFUNCTION("""COMPUTED_VALUE"""),0.0)</f>
        <v>0</v>
      </c>
    </row>
    <row r="103">
      <c r="A103" s="3" t="str">
        <f>IFERROR(__xludf.DUMMYFUNCTION("""COMPUTED_VALUE"""),"Guadeloupe")</f>
        <v>Guadeloupe</v>
      </c>
      <c r="B103" s="3" t="str">
        <f>IFERROR(__xludf.DUMMYFUNCTION("""COMPUTED_VALUE"""),"France")</f>
        <v>France</v>
      </c>
      <c r="C103" s="3">
        <f>IFERROR(__xludf.DUMMYFUNCTION("""COMPUTED_VALUE"""),16.25)</f>
        <v>16.25</v>
      </c>
      <c r="D103" s="3">
        <f>IFERROR(__xludf.DUMMYFUNCTION("""COMPUTED_VALUE"""),-61.5833)</f>
        <v>-61.5833</v>
      </c>
      <c r="E103" s="3">
        <f>IFERROR(__xludf.DUMMYFUNCTION("""COMPUTED_VALUE"""),0.0)</f>
        <v>0</v>
      </c>
      <c r="F103" s="3">
        <f>IFERROR(__xludf.DUMMYFUNCTION("""COMPUTED_VALUE"""),0.0)</f>
        <v>0</v>
      </c>
      <c r="G103" s="3">
        <f>IFERROR(__xludf.DUMMYFUNCTION("""COMPUTED_VALUE"""),0.0)</f>
        <v>0</v>
      </c>
      <c r="H103" s="3">
        <f>IFERROR(__xludf.DUMMYFUNCTION("""COMPUTED_VALUE"""),0.0)</f>
        <v>0</v>
      </c>
      <c r="I103" s="3">
        <f>IFERROR(__xludf.DUMMYFUNCTION("""COMPUTED_VALUE"""),0.0)</f>
        <v>0</v>
      </c>
      <c r="J103" s="3">
        <f>IFERROR(__xludf.DUMMYFUNCTION("""COMPUTED_VALUE"""),0.0)</f>
        <v>0</v>
      </c>
      <c r="K103" s="3">
        <f>IFERROR(__xludf.DUMMYFUNCTION("""COMPUTED_VALUE"""),0.0)</f>
        <v>0</v>
      </c>
      <c r="L103" s="3">
        <f>IFERROR(__xludf.DUMMYFUNCTION("""COMPUTED_VALUE"""),0.0)</f>
        <v>0</v>
      </c>
      <c r="M103" s="3">
        <f>IFERROR(__xludf.DUMMYFUNCTION("""COMPUTED_VALUE"""),0.0)</f>
        <v>0</v>
      </c>
      <c r="N103" s="3">
        <f>IFERROR(__xludf.DUMMYFUNCTION("""COMPUTED_VALUE"""),0.0)</f>
        <v>0</v>
      </c>
      <c r="O103" s="3">
        <f>IFERROR(__xludf.DUMMYFUNCTION("""COMPUTED_VALUE"""),0.0)</f>
        <v>0</v>
      </c>
      <c r="P103" s="3">
        <f>IFERROR(__xludf.DUMMYFUNCTION("""COMPUTED_VALUE"""),0.0)</f>
        <v>0</v>
      </c>
      <c r="Q103" s="3">
        <f>IFERROR(__xludf.DUMMYFUNCTION("""COMPUTED_VALUE"""),0.0)</f>
        <v>0</v>
      </c>
      <c r="R103" s="3">
        <f>IFERROR(__xludf.DUMMYFUNCTION("""COMPUTED_VALUE"""),0.0)</f>
        <v>0</v>
      </c>
      <c r="S103" s="3">
        <f>IFERROR(__xludf.DUMMYFUNCTION("""COMPUTED_VALUE"""),0.0)</f>
        <v>0</v>
      </c>
      <c r="T103" s="3">
        <f>IFERROR(__xludf.DUMMYFUNCTION("""COMPUTED_VALUE"""),0.0)</f>
        <v>0</v>
      </c>
      <c r="U103" s="3">
        <f>IFERROR(__xludf.DUMMYFUNCTION("""COMPUTED_VALUE"""),0.0)</f>
        <v>0</v>
      </c>
      <c r="V103" s="3">
        <f>IFERROR(__xludf.DUMMYFUNCTION("""COMPUTED_VALUE"""),0.0)</f>
        <v>0</v>
      </c>
      <c r="W103" s="3">
        <f>IFERROR(__xludf.DUMMYFUNCTION("""COMPUTED_VALUE"""),0.0)</f>
        <v>0</v>
      </c>
      <c r="X103" s="3">
        <f>IFERROR(__xludf.DUMMYFUNCTION("""COMPUTED_VALUE"""),0.0)</f>
        <v>0</v>
      </c>
      <c r="Y103" s="3">
        <f>IFERROR(__xludf.DUMMYFUNCTION("""COMPUTED_VALUE"""),0.0)</f>
        <v>0</v>
      </c>
      <c r="Z103" s="3">
        <f>IFERROR(__xludf.DUMMYFUNCTION("""COMPUTED_VALUE"""),0.0)</f>
        <v>0</v>
      </c>
      <c r="AA103" s="3">
        <f>IFERROR(__xludf.DUMMYFUNCTION("""COMPUTED_VALUE"""),0.0)</f>
        <v>0</v>
      </c>
      <c r="AB103" s="3">
        <f>IFERROR(__xludf.DUMMYFUNCTION("""COMPUTED_VALUE"""),0.0)</f>
        <v>0</v>
      </c>
      <c r="AC103" s="3">
        <f>IFERROR(__xludf.DUMMYFUNCTION("""COMPUTED_VALUE"""),0.0)</f>
        <v>0</v>
      </c>
      <c r="AD103" s="3">
        <f>IFERROR(__xludf.DUMMYFUNCTION("""COMPUTED_VALUE"""),0.0)</f>
        <v>0</v>
      </c>
      <c r="AE103" s="3">
        <f>IFERROR(__xludf.DUMMYFUNCTION("""COMPUTED_VALUE"""),0.0)</f>
        <v>0</v>
      </c>
      <c r="AF103" s="3">
        <f>IFERROR(__xludf.DUMMYFUNCTION("""COMPUTED_VALUE"""),0.0)</f>
        <v>0</v>
      </c>
      <c r="AG103" s="3">
        <f>IFERROR(__xludf.DUMMYFUNCTION("""COMPUTED_VALUE"""),0.0)</f>
        <v>0</v>
      </c>
      <c r="AH103" s="3">
        <f>IFERROR(__xludf.DUMMYFUNCTION("""COMPUTED_VALUE"""),0.0)</f>
        <v>0</v>
      </c>
      <c r="AI103" s="3">
        <f>IFERROR(__xludf.DUMMYFUNCTION("""COMPUTED_VALUE"""),0.0)</f>
        <v>0</v>
      </c>
      <c r="AJ103" s="3">
        <f>IFERROR(__xludf.DUMMYFUNCTION("""COMPUTED_VALUE"""),0.0)</f>
        <v>0</v>
      </c>
      <c r="AK103" s="3">
        <f>IFERROR(__xludf.DUMMYFUNCTION("""COMPUTED_VALUE"""),0.0)</f>
        <v>0</v>
      </c>
      <c r="AL103" s="3">
        <f>IFERROR(__xludf.DUMMYFUNCTION("""COMPUTED_VALUE"""),0.0)</f>
        <v>0</v>
      </c>
      <c r="AM103" s="3">
        <f>IFERROR(__xludf.DUMMYFUNCTION("""COMPUTED_VALUE"""),0.0)</f>
        <v>0</v>
      </c>
      <c r="AN103" s="3">
        <f>IFERROR(__xludf.DUMMYFUNCTION("""COMPUTED_VALUE"""),0.0)</f>
        <v>0</v>
      </c>
      <c r="AO103" s="3">
        <f>IFERROR(__xludf.DUMMYFUNCTION("""COMPUTED_VALUE"""),0.0)</f>
        <v>0</v>
      </c>
      <c r="AP103" s="3">
        <f>IFERROR(__xludf.DUMMYFUNCTION("""COMPUTED_VALUE"""),0.0)</f>
        <v>0</v>
      </c>
      <c r="AQ103" s="3">
        <f>IFERROR(__xludf.DUMMYFUNCTION("""COMPUTED_VALUE"""),0.0)</f>
        <v>0</v>
      </c>
      <c r="AR103" s="3">
        <f>IFERROR(__xludf.DUMMYFUNCTION("""COMPUTED_VALUE"""),0.0)</f>
        <v>0</v>
      </c>
      <c r="AS103" s="3">
        <f>IFERROR(__xludf.DUMMYFUNCTION("""COMPUTED_VALUE"""),0.0)</f>
        <v>0</v>
      </c>
      <c r="AT103" s="3">
        <f>IFERROR(__xludf.DUMMYFUNCTION("""COMPUTED_VALUE"""),0.0)</f>
        <v>0</v>
      </c>
      <c r="AU103" s="3">
        <f>IFERROR(__xludf.DUMMYFUNCTION("""COMPUTED_VALUE"""),0.0)</f>
        <v>0</v>
      </c>
      <c r="AV103" s="3">
        <f>IFERROR(__xludf.DUMMYFUNCTION("""COMPUTED_VALUE"""),0.0)</f>
        <v>0</v>
      </c>
      <c r="AW103" s="3">
        <f>IFERROR(__xludf.DUMMYFUNCTION("""COMPUTED_VALUE"""),0.0)</f>
        <v>0</v>
      </c>
      <c r="AX103" s="3">
        <f>IFERROR(__xludf.DUMMYFUNCTION("""COMPUTED_VALUE"""),0.0)</f>
        <v>0</v>
      </c>
      <c r="AY103" s="3">
        <f>IFERROR(__xludf.DUMMYFUNCTION("""COMPUTED_VALUE"""),0.0)</f>
        <v>0</v>
      </c>
      <c r="AZ103" s="3">
        <f>IFERROR(__xludf.DUMMYFUNCTION("""COMPUTED_VALUE"""),0.0)</f>
        <v>0</v>
      </c>
      <c r="BA103" s="3">
        <f>IFERROR(__xludf.DUMMYFUNCTION("""COMPUTED_VALUE"""),0.0)</f>
        <v>0</v>
      </c>
      <c r="BB103" s="3">
        <f>IFERROR(__xludf.DUMMYFUNCTION("""COMPUTED_VALUE"""),0.0)</f>
        <v>0</v>
      </c>
      <c r="BC103" s="3">
        <f>IFERROR(__xludf.DUMMYFUNCTION("""COMPUTED_VALUE"""),0.0)</f>
        <v>0</v>
      </c>
      <c r="BD103" s="3">
        <f>IFERROR(__xludf.DUMMYFUNCTION("""COMPUTED_VALUE"""),0.0)</f>
        <v>0</v>
      </c>
      <c r="BE103" s="3">
        <f>IFERROR(__xludf.DUMMYFUNCTION("""COMPUTED_VALUE"""),0.0)</f>
        <v>0</v>
      </c>
      <c r="BF103" s="3">
        <f>IFERROR(__xludf.DUMMYFUNCTION("""COMPUTED_VALUE"""),0.0)</f>
        <v>0</v>
      </c>
      <c r="BG103" s="3">
        <f>IFERROR(__xludf.DUMMYFUNCTION("""COMPUTED_VALUE"""),0.0)</f>
        <v>0</v>
      </c>
      <c r="BH103" s="3">
        <f>IFERROR(__xludf.DUMMYFUNCTION("""COMPUTED_VALUE"""),0.0)</f>
        <v>0</v>
      </c>
      <c r="BI103" s="3">
        <f>IFERROR(__xludf.DUMMYFUNCTION("""COMPUTED_VALUE"""),0.0)</f>
        <v>0</v>
      </c>
      <c r="BJ103" s="3">
        <f>IFERROR(__xludf.DUMMYFUNCTION("""COMPUTED_VALUE"""),0.0)</f>
        <v>0</v>
      </c>
      <c r="BK103" s="3">
        <f>IFERROR(__xludf.DUMMYFUNCTION("""COMPUTED_VALUE"""),0.0)</f>
        <v>0</v>
      </c>
      <c r="BL103" s="3">
        <f>IFERROR(__xludf.DUMMYFUNCTION("""COMPUTED_VALUE"""),0.0)</f>
        <v>0</v>
      </c>
      <c r="BM103" s="3">
        <f>IFERROR(__xludf.DUMMYFUNCTION("""COMPUTED_VALUE"""),0.0)</f>
        <v>0</v>
      </c>
      <c r="BN103" s="3">
        <f>IFERROR(__xludf.DUMMYFUNCTION("""COMPUTED_VALUE"""),0.0)</f>
        <v>0</v>
      </c>
      <c r="BO103" s="3">
        <f>IFERROR(__xludf.DUMMYFUNCTION("""COMPUTED_VALUE"""),0.0)</f>
        <v>0</v>
      </c>
      <c r="BP103" s="3">
        <f>IFERROR(__xludf.DUMMYFUNCTION("""COMPUTED_VALUE"""),0.0)</f>
        <v>0</v>
      </c>
      <c r="BQ103" s="3">
        <f>IFERROR(__xludf.DUMMYFUNCTION("""COMPUTED_VALUE"""),0.0)</f>
        <v>0</v>
      </c>
      <c r="BR103" s="3">
        <f>IFERROR(__xludf.DUMMYFUNCTION("""COMPUTED_VALUE"""),0.0)</f>
        <v>0</v>
      </c>
      <c r="BS103" s="3">
        <f>IFERROR(__xludf.DUMMYFUNCTION("""COMPUTED_VALUE"""),17.0)</f>
        <v>17</v>
      </c>
      <c r="BT103" s="3">
        <f>IFERROR(__xludf.DUMMYFUNCTION("""COMPUTED_VALUE"""),17.0)</f>
        <v>17</v>
      </c>
      <c r="BU103" s="3">
        <f>IFERROR(__xludf.DUMMYFUNCTION("""COMPUTED_VALUE"""),17.0)</f>
        <v>17</v>
      </c>
      <c r="BV103" s="3">
        <f>IFERROR(__xludf.DUMMYFUNCTION("""COMPUTED_VALUE"""),22.0)</f>
        <v>22</v>
      </c>
      <c r="BW103" s="3">
        <f>IFERROR(__xludf.DUMMYFUNCTION("""COMPUTED_VALUE"""),24.0)</f>
        <v>24</v>
      </c>
      <c r="BX103" s="3">
        <f>IFERROR(__xludf.DUMMYFUNCTION("""COMPUTED_VALUE"""),24.0)</f>
        <v>24</v>
      </c>
      <c r="BY103" s="3">
        <f>IFERROR(__xludf.DUMMYFUNCTION("""COMPUTED_VALUE"""),24.0)</f>
        <v>24</v>
      </c>
      <c r="BZ103" s="3">
        <f>IFERROR(__xludf.DUMMYFUNCTION("""COMPUTED_VALUE"""),24.0)</f>
        <v>24</v>
      </c>
      <c r="CA103" s="3">
        <f>IFERROR(__xludf.DUMMYFUNCTION("""COMPUTED_VALUE"""),31.0)</f>
        <v>31</v>
      </c>
      <c r="CB103" s="3">
        <f>IFERROR(__xludf.DUMMYFUNCTION("""COMPUTED_VALUE"""),31.0)</f>
        <v>31</v>
      </c>
    </row>
    <row r="104">
      <c r="A104" s="3" t="str">
        <f>IFERROR(__xludf.DUMMYFUNCTION("""COMPUTED_VALUE"""),"Martinique")</f>
        <v>Martinique</v>
      </c>
      <c r="B104" s="3" t="str">
        <f>IFERROR(__xludf.DUMMYFUNCTION("""COMPUTED_VALUE"""),"France")</f>
        <v>France</v>
      </c>
      <c r="C104" s="3">
        <f>IFERROR(__xludf.DUMMYFUNCTION("""COMPUTED_VALUE"""),14.6415)</f>
        <v>14.6415</v>
      </c>
      <c r="D104" s="3">
        <f>IFERROR(__xludf.DUMMYFUNCTION("""COMPUTED_VALUE"""),-61.0242)</f>
        <v>-61.0242</v>
      </c>
      <c r="E104" s="3">
        <f>IFERROR(__xludf.DUMMYFUNCTION("""COMPUTED_VALUE"""),0.0)</f>
        <v>0</v>
      </c>
      <c r="F104" s="3">
        <f>IFERROR(__xludf.DUMMYFUNCTION("""COMPUTED_VALUE"""),0.0)</f>
        <v>0</v>
      </c>
      <c r="G104" s="3">
        <f>IFERROR(__xludf.DUMMYFUNCTION("""COMPUTED_VALUE"""),0.0)</f>
        <v>0</v>
      </c>
      <c r="H104" s="3">
        <f>IFERROR(__xludf.DUMMYFUNCTION("""COMPUTED_VALUE"""),0.0)</f>
        <v>0</v>
      </c>
      <c r="I104" s="3">
        <f>IFERROR(__xludf.DUMMYFUNCTION("""COMPUTED_VALUE"""),0.0)</f>
        <v>0</v>
      </c>
      <c r="J104" s="3">
        <f>IFERROR(__xludf.DUMMYFUNCTION("""COMPUTED_VALUE"""),0.0)</f>
        <v>0</v>
      </c>
      <c r="K104" s="3">
        <f>IFERROR(__xludf.DUMMYFUNCTION("""COMPUTED_VALUE"""),0.0)</f>
        <v>0</v>
      </c>
      <c r="L104" s="3">
        <f>IFERROR(__xludf.DUMMYFUNCTION("""COMPUTED_VALUE"""),0.0)</f>
        <v>0</v>
      </c>
      <c r="M104" s="3">
        <f>IFERROR(__xludf.DUMMYFUNCTION("""COMPUTED_VALUE"""),0.0)</f>
        <v>0</v>
      </c>
      <c r="N104" s="3">
        <f>IFERROR(__xludf.DUMMYFUNCTION("""COMPUTED_VALUE"""),0.0)</f>
        <v>0</v>
      </c>
      <c r="O104" s="3">
        <f>IFERROR(__xludf.DUMMYFUNCTION("""COMPUTED_VALUE"""),0.0)</f>
        <v>0</v>
      </c>
      <c r="P104" s="3">
        <f>IFERROR(__xludf.DUMMYFUNCTION("""COMPUTED_VALUE"""),0.0)</f>
        <v>0</v>
      </c>
      <c r="Q104" s="3">
        <f>IFERROR(__xludf.DUMMYFUNCTION("""COMPUTED_VALUE"""),0.0)</f>
        <v>0</v>
      </c>
      <c r="R104" s="3">
        <f>IFERROR(__xludf.DUMMYFUNCTION("""COMPUTED_VALUE"""),0.0)</f>
        <v>0</v>
      </c>
      <c r="S104" s="3">
        <f>IFERROR(__xludf.DUMMYFUNCTION("""COMPUTED_VALUE"""),0.0)</f>
        <v>0</v>
      </c>
      <c r="T104" s="3">
        <f>IFERROR(__xludf.DUMMYFUNCTION("""COMPUTED_VALUE"""),0.0)</f>
        <v>0</v>
      </c>
      <c r="U104" s="3">
        <f>IFERROR(__xludf.DUMMYFUNCTION("""COMPUTED_VALUE"""),0.0)</f>
        <v>0</v>
      </c>
      <c r="V104" s="3">
        <f>IFERROR(__xludf.DUMMYFUNCTION("""COMPUTED_VALUE"""),0.0)</f>
        <v>0</v>
      </c>
      <c r="W104" s="3">
        <f>IFERROR(__xludf.DUMMYFUNCTION("""COMPUTED_VALUE"""),0.0)</f>
        <v>0</v>
      </c>
      <c r="X104" s="3">
        <f>IFERROR(__xludf.DUMMYFUNCTION("""COMPUTED_VALUE"""),0.0)</f>
        <v>0</v>
      </c>
      <c r="Y104" s="3">
        <f>IFERROR(__xludf.DUMMYFUNCTION("""COMPUTED_VALUE"""),0.0)</f>
        <v>0</v>
      </c>
      <c r="Z104" s="3">
        <f>IFERROR(__xludf.DUMMYFUNCTION("""COMPUTED_VALUE"""),0.0)</f>
        <v>0</v>
      </c>
      <c r="AA104" s="3">
        <f>IFERROR(__xludf.DUMMYFUNCTION("""COMPUTED_VALUE"""),0.0)</f>
        <v>0</v>
      </c>
      <c r="AB104" s="3">
        <f>IFERROR(__xludf.DUMMYFUNCTION("""COMPUTED_VALUE"""),0.0)</f>
        <v>0</v>
      </c>
      <c r="AC104" s="3">
        <f>IFERROR(__xludf.DUMMYFUNCTION("""COMPUTED_VALUE"""),0.0)</f>
        <v>0</v>
      </c>
      <c r="AD104" s="3">
        <f>IFERROR(__xludf.DUMMYFUNCTION("""COMPUTED_VALUE"""),0.0)</f>
        <v>0</v>
      </c>
      <c r="AE104" s="3">
        <f>IFERROR(__xludf.DUMMYFUNCTION("""COMPUTED_VALUE"""),0.0)</f>
        <v>0</v>
      </c>
      <c r="AF104" s="3">
        <f>IFERROR(__xludf.DUMMYFUNCTION("""COMPUTED_VALUE"""),0.0)</f>
        <v>0</v>
      </c>
      <c r="AG104" s="3">
        <f>IFERROR(__xludf.DUMMYFUNCTION("""COMPUTED_VALUE"""),0.0)</f>
        <v>0</v>
      </c>
      <c r="AH104" s="3">
        <f>IFERROR(__xludf.DUMMYFUNCTION("""COMPUTED_VALUE"""),0.0)</f>
        <v>0</v>
      </c>
      <c r="AI104" s="3">
        <f>IFERROR(__xludf.DUMMYFUNCTION("""COMPUTED_VALUE"""),0.0)</f>
        <v>0</v>
      </c>
      <c r="AJ104" s="3">
        <f>IFERROR(__xludf.DUMMYFUNCTION("""COMPUTED_VALUE"""),0.0)</f>
        <v>0</v>
      </c>
      <c r="AK104" s="3">
        <f>IFERROR(__xludf.DUMMYFUNCTION("""COMPUTED_VALUE"""),0.0)</f>
        <v>0</v>
      </c>
      <c r="AL104" s="3">
        <f>IFERROR(__xludf.DUMMYFUNCTION("""COMPUTED_VALUE"""),0.0)</f>
        <v>0</v>
      </c>
      <c r="AM104" s="3">
        <f>IFERROR(__xludf.DUMMYFUNCTION("""COMPUTED_VALUE"""),0.0)</f>
        <v>0</v>
      </c>
      <c r="AN104" s="3">
        <f>IFERROR(__xludf.DUMMYFUNCTION("""COMPUTED_VALUE"""),0.0)</f>
        <v>0</v>
      </c>
      <c r="AO104" s="3">
        <f>IFERROR(__xludf.DUMMYFUNCTION("""COMPUTED_VALUE"""),0.0)</f>
        <v>0</v>
      </c>
      <c r="AP104" s="3">
        <f>IFERROR(__xludf.DUMMYFUNCTION("""COMPUTED_VALUE"""),0.0)</f>
        <v>0</v>
      </c>
      <c r="AQ104" s="3">
        <f>IFERROR(__xludf.DUMMYFUNCTION("""COMPUTED_VALUE"""),0.0)</f>
        <v>0</v>
      </c>
      <c r="AR104" s="3">
        <f>IFERROR(__xludf.DUMMYFUNCTION("""COMPUTED_VALUE"""),0.0)</f>
        <v>0</v>
      </c>
      <c r="AS104" s="3">
        <f>IFERROR(__xludf.DUMMYFUNCTION("""COMPUTED_VALUE"""),0.0)</f>
        <v>0</v>
      </c>
      <c r="AT104" s="3">
        <f>IFERROR(__xludf.DUMMYFUNCTION("""COMPUTED_VALUE"""),0.0)</f>
        <v>0</v>
      </c>
      <c r="AU104" s="3">
        <f>IFERROR(__xludf.DUMMYFUNCTION("""COMPUTED_VALUE"""),0.0)</f>
        <v>0</v>
      </c>
      <c r="AV104" s="3">
        <f>IFERROR(__xludf.DUMMYFUNCTION("""COMPUTED_VALUE"""),0.0)</f>
        <v>0</v>
      </c>
      <c r="AW104" s="3">
        <f>IFERROR(__xludf.DUMMYFUNCTION("""COMPUTED_VALUE"""),0.0)</f>
        <v>0</v>
      </c>
      <c r="AX104" s="3">
        <f>IFERROR(__xludf.DUMMYFUNCTION("""COMPUTED_VALUE"""),0.0)</f>
        <v>0</v>
      </c>
      <c r="AY104" s="3">
        <f>IFERROR(__xludf.DUMMYFUNCTION("""COMPUTED_VALUE"""),0.0)</f>
        <v>0</v>
      </c>
      <c r="AZ104" s="3">
        <f>IFERROR(__xludf.DUMMYFUNCTION("""COMPUTED_VALUE"""),0.0)</f>
        <v>0</v>
      </c>
      <c r="BA104" s="3">
        <f>IFERROR(__xludf.DUMMYFUNCTION("""COMPUTED_VALUE"""),0.0)</f>
        <v>0</v>
      </c>
      <c r="BB104" s="3">
        <f>IFERROR(__xludf.DUMMYFUNCTION("""COMPUTED_VALUE"""),0.0)</f>
        <v>0</v>
      </c>
      <c r="BC104" s="3">
        <f>IFERROR(__xludf.DUMMYFUNCTION("""COMPUTED_VALUE"""),0.0)</f>
        <v>0</v>
      </c>
      <c r="BD104" s="3">
        <f>IFERROR(__xludf.DUMMYFUNCTION("""COMPUTED_VALUE"""),0.0)</f>
        <v>0</v>
      </c>
      <c r="BE104" s="3">
        <f>IFERROR(__xludf.DUMMYFUNCTION("""COMPUTED_VALUE"""),0.0)</f>
        <v>0</v>
      </c>
      <c r="BF104" s="3">
        <f>IFERROR(__xludf.DUMMYFUNCTION("""COMPUTED_VALUE"""),0.0)</f>
        <v>0</v>
      </c>
      <c r="BG104" s="3">
        <f>IFERROR(__xludf.DUMMYFUNCTION("""COMPUTED_VALUE"""),0.0)</f>
        <v>0</v>
      </c>
      <c r="BH104" s="3">
        <f>IFERROR(__xludf.DUMMYFUNCTION("""COMPUTED_VALUE"""),0.0)</f>
        <v>0</v>
      </c>
      <c r="BI104" s="3">
        <f>IFERROR(__xludf.DUMMYFUNCTION("""COMPUTED_VALUE"""),0.0)</f>
        <v>0</v>
      </c>
      <c r="BJ104" s="3">
        <f>IFERROR(__xludf.DUMMYFUNCTION("""COMPUTED_VALUE"""),0.0)</f>
        <v>0</v>
      </c>
      <c r="BK104" s="3">
        <f>IFERROR(__xludf.DUMMYFUNCTION("""COMPUTED_VALUE"""),0.0)</f>
        <v>0</v>
      </c>
      <c r="BL104" s="3">
        <f>IFERROR(__xludf.DUMMYFUNCTION("""COMPUTED_VALUE"""),0.0)</f>
        <v>0</v>
      </c>
      <c r="BM104" s="3">
        <f>IFERROR(__xludf.DUMMYFUNCTION("""COMPUTED_VALUE"""),0.0)</f>
        <v>0</v>
      </c>
      <c r="BN104" s="3">
        <f>IFERROR(__xludf.DUMMYFUNCTION("""COMPUTED_VALUE"""),0.0)</f>
        <v>0</v>
      </c>
      <c r="BO104" s="3">
        <f>IFERROR(__xludf.DUMMYFUNCTION("""COMPUTED_VALUE"""),0.0)</f>
        <v>0</v>
      </c>
      <c r="BP104" s="3">
        <f>IFERROR(__xludf.DUMMYFUNCTION("""COMPUTED_VALUE"""),0.0)</f>
        <v>0</v>
      </c>
      <c r="BQ104" s="3">
        <f>IFERROR(__xludf.DUMMYFUNCTION("""COMPUTED_VALUE"""),0.0)</f>
        <v>0</v>
      </c>
      <c r="BR104" s="3">
        <f>IFERROR(__xludf.DUMMYFUNCTION("""COMPUTED_VALUE"""),0.0)</f>
        <v>0</v>
      </c>
      <c r="BS104" s="3">
        <f>IFERROR(__xludf.DUMMYFUNCTION("""COMPUTED_VALUE"""),0.0)</f>
        <v>0</v>
      </c>
      <c r="BT104" s="3">
        <f>IFERROR(__xludf.DUMMYFUNCTION("""COMPUTED_VALUE"""),0.0)</f>
        <v>0</v>
      </c>
      <c r="BU104" s="3">
        <f>IFERROR(__xludf.DUMMYFUNCTION("""COMPUTED_VALUE"""),0.0)</f>
        <v>0</v>
      </c>
      <c r="BV104" s="3">
        <f>IFERROR(__xludf.DUMMYFUNCTION("""COMPUTED_VALUE"""),27.0)</f>
        <v>27</v>
      </c>
      <c r="BW104" s="3">
        <f>IFERROR(__xludf.DUMMYFUNCTION("""COMPUTED_VALUE"""),27.0)</f>
        <v>27</v>
      </c>
      <c r="BX104" s="3">
        <f>IFERROR(__xludf.DUMMYFUNCTION("""COMPUTED_VALUE"""),27.0)</f>
        <v>27</v>
      </c>
      <c r="BY104" s="3">
        <f>IFERROR(__xludf.DUMMYFUNCTION("""COMPUTED_VALUE"""),27.0)</f>
        <v>27</v>
      </c>
      <c r="BZ104" s="3">
        <f>IFERROR(__xludf.DUMMYFUNCTION("""COMPUTED_VALUE"""),27.0)</f>
        <v>27</v>
      </c>
      <c r="CA104" s="3">
        <f>IFERROR(__xludf.DUMMYFUNCTION("""COMPUTED_VALUE"""),50.0)</f>
        <v>50</v>
      </c>
      <c r="CB104" s="3">
        <f>IFERROR(__xludf.DUMMYFUNCTION("""COMPUTED_VALUE"""),50.0)</f>
        <v>50</v>
      </c>
    </row>
    <row r="105">
      <c r="A105" s="3" t="str">
        <f>IFERROR(__xludf.DUMMYFUNCTION("""COMPUTED_VALUE"""),"Mayotte")</f>
        <v>Mayotte</v>
      </c>
      <c r="B105" s="3" t="str">
        <f>IFERROR(__xludf.DUMMYFUNCTION("""COMPUTED_VALUE"""),"France")</f>
        <v>France</v>
      </c>
      <c r="C105" s="3">
        <f>IFERROR(__xludf.DUMMYFUNCTION("""COMPUTED_VALUE"""),-12.8275)</f>
        <v>-12.8275</v>
      </c>
      <c r="D105" s="3">
        <f>IFERROR(__xludf.DUMMYFUNCTION("""COMPUTED_VALUE"""),45.1662)</f>
        <v>45.1662</v>
      </c>
      <c r="E105" s="3">
        <f>IFERROR(__xludf.DUMMYFUNCTION("""COMPUTED_VALUE"""),0.0)</f>
        <v>0</v>
      </c>
      <c r="F105" s="3">
        <f>IFERROR(__xludf.DUMMYFUNCTION("""COMPUTED_VALUE"""),0.0)</f>
        <v>0</v>
      </c>
      <c r="G105" s="3">
        <f>IFERROR(__xludf.DUMMYFUNCTION("""COMPUTED_VALUE"""),0.0)</f>
        <v>0</v>
      </c>
      <c r="H105" s="3">
        <f>IFERROR(__xludf.DUMMYFUNCTION("""COMPUTED_VALUE"""),0.0)</f>
        <v>0</v>
      </c>
      <c r="I105" s="3">
        <f>IFERROR(__xludf.DUMMYFUNCTION("""COMPUTED_VALUE"""),0.0)</f>
        <v>0</v>
      </c>
      <c r="J105" s="3">
        <f>IFERROR(__xludf.DUMMYFUNCTION("""COMPUTED_VALUE"""),0.0)</f>
        <v>0</v>
      </c>
      <c r="K105" s="3">
        <f>IFERROR(__xludf.DUMMYFUNCTION("""COMPUTED_VALUE"""),0.0)</f>
        <v>0</v>
      </c>
      <c r="L105" s="3">
        <f>IFERROR(__xludf.DUMMYFUNCTION("""COMPUTED_VALUE"""),0.0)</f>
        <v>0</v>
      </c>
      <c r="M105" s="3">
        <f>IFERROR(__xludf.DUMMYFUNCTION("""COMPUTED_VALUE"""),0.0)</f>
        <v>0</v>
      </c>
      <c r="N105" s="3">
        <f>IFERROR(__xludf.DUMMYFUNCTION("""COMPUTED_VALUE"""),0.0)</f>
        <v>0</v>
      </c>
      <c r="O105" s="3">
        <f>IFERROR(__xludf.DUMMYFUNCTION("""COMPUTED_VALUE"""),0.0)</f>
        <v>0</v>
      </c>
      <c r="P105" s="3">
        <f>IFERROR(__xludf.DUMMYFUNCTION("""COMPUTED_VALUE"""),0.0)</f>
        <v>0</v>
      </c>
      <c r="Q105" s="3">
        <f>IFERROR(__xludf.DUMMYFUNCTION("""COMPUTED_VALUE"""),0.0)</f>
        <v>0</v>
      </c>
      <c r="R105" s="3">
        <f>IFERROR(__xludf.DUMMYFUNCTION("""COMPUTED_VALUE"""),0.0)</f>
        <v>0</v>
      </c>
      <c r="S105" s="3">
        <f>IFERROR(__xludf.DUMMYFUNCTION("""COMPUTED_VALUE"""),0.0)</f>
        <v>0</v>
      </c>
      <c r="T105" s="3">
        <f>IFERROR(__xludf.DUMMYFUNCTION("""COMPUTED_VALUE"""),0.0)</f>
        <v>0</v>
      </c>
      <c r="U105" s="3">
        <f>IFERROR(__xludf.DUMMYFUNCTION("""COMPUTED_VALUE"""),0.0)</f>
        <v>0</v>
      </c>
      <c r="V105" s="3">
        <f>IFERROR(__xludf.DUMMYFUNCTION("""COMPUTED_VALUE"""),0.0)</f>
        <v>0</v>
      </c>
      <c r="W105" s="3">
        <f>IFERROR(__xludf.DUMMYFUNCTION("""COMPUTED_VALUE"""),0.0)</f>
        <v>0</v>
      </c>
      <c r="X105" s="3">
        <f>IFERROR(__xludf.DUMMYFUNCTION("""COMPUTED_VALUE"""),0.0)</f>
        <v>0</v>
      </c>
      <c r="Y105" s="3">
        <f>IFERROR(__xludf.DUMMYFUNCTION("""COMPUTED_VALUE"""),0.0)</f>
        <v>0</v>
      </c>
      <c r="Z105" s="3">
        <f>IFERROR(__xludf.DUMMYFUNCTION("""COMPUTED_VALUE"""),0.0)</f>
        <v>0</v>
      </c>
      <c r="AA105" s="3">
        <f>IFERROR(__xludf.DUMMYFUNCTION("""COMPUTED_VALUE"""),0.0)</f>
        <v>0</v>
      </c>
      <c r="AB105" s="3">
        <f>IFERROR(__xludf.DUMMYFUNCTION("""COMPUTED_VALUE"""),0.0)</f>
        <v>0</v>
      </c>
      <c r="AC105" s="3">
        <f>IFERROR(__xludf.DUMMYFUNCTION("""COMPUTED_VALUE"""),0.0)</f>
        <v>0</v>
      </c>
      <c r="AD105" s="3">
        <f>IFERROR(__xludf.DUMMYFUNCTION("""COMPUTED_VALUE"""),0.0)</f>
        <v>0</v>
      </c>
      <c r="AE105" s="3">
        <f>IFERROR(__xludf.DUMMYFUNCTION("""COMPUTED_VALUE"""),0.0)</f>
        <v>0</v>
      </c>
      <c r="AF105" s="3">
        <f>IFERROR(__xludf.DUMMYFUNCTION("""COMPUTED_VALUE"""),0.0)</f>
        <v>0</v>
      </c>
      <c r="AG105" s="3">
        <f>IFERROR(__xludf.DUMMYFUNCTION("""COMPUTED_VALUE"""),0.0)</f>
        <v>0</v>
      </c>
      <c r="AH105" s="3">
        <f>IFERROR(__xludf.DUMMYFUNCTION("""COMPUTED_VALUE"""),0.0)</f>
        <v>0</v>
      </c>
      <c r="AI105" s="3">
        <f>IFERROR(__xludf.DUMMYFUNCTION("""COMPUTED_VALUE"""),0.0)</f>
        <v>0</v>
      </c>
      <c r="AJ105" s="3">
        <f>IFERROR(__xludf.DUMMYFUNCTION("""COMPUTED_VALUE"""),0.0)</f>
        <v>0</v>
      </c>
      <c r="AK105" s="3">
        <f>IFERROR(__xludf.DUMMYFUNCTION("""COMPUTED_VALUE"""),0.0)</f>
        <v>0</v>
      </c>
      <c r="AL105" s="3">
        <f>IFERROR(__xludf.DUMMYFUNCTION("""COMPUTED_VALUE"""),0.0)</f>
        <v>0</v>
      </c>
      <c r="AM105" s="3">
        <f>IFERROR(__xludf.DUMMYFUNCTION("""COMPUTED_VALUE"""),0.0)</f>
        <v>0</v>
      </c>
      <c r="AN105" s="3">
        <f>IFERROR(__xludf.DUMMYFUNCTION("""COMPUTED_VALUE"""),0.0)</f>
        <v>0</v>
      </c>
      <c r="AO105" s="3">
        <f>IFERROR(__xludf.DUMMYFUNCTION("""COMPUTED_VALUE"""),0.0)</f>
        <v>0</v>
      </c>
      <c r="AP105" s="3">
        <f>IFERROR(__xludf.DUMMYFUNCTION("""COMPUTED_VALUE"""),0.0)</f>
        <v>0</v>
      </c>
      <c r="AQ105" s="3">
        <f>IFERROR(__xludf.DUMMYFUNCTION("""COMPUTED_VALUE"""),0.0)</f>
        <v>0</v>
      </c>
      <c r="AR105" s="3">
        <f>IFERROR(__xludf.DUMMYFUNCTION("""COMPUTED_VALUE"""),0.0)</f>
        <v>0</v>
      </c>
      <c r="AS105" s="3">
        <f>IFERROR(__xludf.DUMMYFUNCTION("""COMPUTED_VALUE"""),0.0)</f>
        <v>0</v>
      </c>
      <c r="AT105" s="3">
        <f>IFERROR(__xludf.DUMMYFUNCTION("""COMPUTED_VALUE"""),0.0)</f>
        <v>0</v>
      </c>
      <c r="AU105" s="3">
        <f>IFERROR(__xludf.DUMMYFUNCTION("""COMPUTED_VALUE"""),0.0)</f>
        <v>0</v>
      </c>
      <c r="AV105" s="3">
        <f>IFERROR(__xludf.DUMMYFUNCTION("""COMPUTED_VALUE"""),0.0)</f>
        <v>0</v>
      </c>
      <c r="AW105" s="3">
        <f>IFERROR(__xludf.DUMMYFUNCTION("""COMPUTED_VALUE"""),0.0)</f>
        <v>0</v>
      </c>
      <c r="AX105" s="3">
        <f>IFERROR(__xludf.DUMMYFUNCTION("""COMPUTED_VALUE"""),0.0)</f>
        <v>0</v>
      </c>
      <c r="AY105" s="3">
        <f>IFERROR(__xludf.DUMMYFUNCTION("""COMPUTED_VALUE"""),0.0)</f>
        <v>0</v>
      </c>
      <c r="AZ105" s="3">
        <f>IFERROR(__xludf.DUMMYFUNCTION("""COMPUTED_VALUE"""),0.0)</f>
        <v>0</v>
      </c>
      <c r="BA105" s="3">
        <f>IFERROR(__xludf.DUMMYFUNCTION("""COMPUTED_VALUE"""),0.0)</f>
        <v>0</v>
      </c>
      <c r="BB105" s="3">
        <f>IFERROR(__xludf.DUMMYFUNCTION("""COMPUTED_VALUE"""),0.0)</f>
        <v>0</v>
      </c>
      <c r="BC105" s="3">
        <f>IFERROR(__xludf.DUMMYFUNCTION("""COMPUTED_VALUE"""),0.0)</f>
        <v>0</v>
      </c>
      <c r="BD105" s="3">
        <f>IFERROR(__xludf.DUMMYFUNCTION("""COMPUTED_VALUE"""),0.0)</f>
        <v>0</v>
      </c>
      <c r="BE105" s="3">
        <f>IFERROR(__xludf.DUMMYFUNCTION("""COMPUTED_VALUE"""),0.0)</f>
        <v>0</v>
      </c>
      <c r="BF105" s="3">
        <f>IFERROR(__xludf.DUMMYFUNCTION("""COMPUTED_VALUE"""),0.0)</f>
        <v>0</v>
      </c>
      <c r="BG105" s="3">
        <f>IFERROR(__xludf.DUMMYFUNCTION("""COMPUTED_VALUE"""),0.0)</f>
        <v>0</v>
      </c>
      <c r="BH105" s="3">
        <f>IFERROR(__xludf.DUMMYFUNCTION("""COMPUTED_VALUE"""),0.0)</f>
        <v>0</v>
      </c>
      <c r="BI105" s="3">
        <f>IFERROR(__xludf.DUMMYFUNCTION("""COMPUTED_VALUE"""),0.0)</f>
        <v>0</v>
      </c>
      <c r="BJ105" s="3">
        <f>IFERROR(__xludf.DUMMYFUNCTION("""COMPUTED_VALUE"""),0.0)</f>
        <v>0</v>
      </c>
      <c r="BK105" s="3">
        <f>IFERROR(__xludf.DUMMYFUNCTION("""COMPUTED_VALUE"""),0.0)</f>
        <v>0</v>
      </c>
      <c r="BL105" s="3">
        <f>IFERROR(__xludf.DUMMYFUNCTION("""COMPUTED_VALUE"""),0.0)</f>
        <v>0</v>
      </c>
      <c r="BM105" s="3">
        <f>IFERROR(__xludf.DUMMYFUNCTION("""COMPUTED_VALUE"""),0.0)</f>
        <v>0</v>
      </c>
      <c r="BN105" s="3">
        <f>IFERROR(__xludf.DUMMYFUNCTION("""COMPUTED_VALUE"""),0.0)</f>
        <v>0</v>
      </c>
      <c r="BO105" s="3">
        <f>IFERROR(__xludf.DUMMYFUNCTION("""COMPUTED_VALUE"""),0.0)</f>
        <v>0</v>
      </c>
      <c r="BP105" s="3">
        <f>IFERROR(__xludf.DUMMYFUNCTION("""COMPUTED_VALUE"""),0.0)</f>
        <v>0</v>
      </c>
      <c r="BQ105" s="3">
        <f>IFERROR(__xludf.DUMMYFUNCTION("""COMPUTED_VALUE"""),0.0)</f>
        <v>0</v>
      </c>
      <c r="BR105" s="3">
        <f>IFERROR(__xludf.DUMMYFUNCTION("""COMPUTED_VALUE"""),0.0)</f>
        <v>0</v>
      </c>
      <c r="BS105" s="3">
        <f>IFERROR(__xludf.DUMMYFUNCTION("""COMPUTED_VALUE"""),0.0)</f>
        <v>0</v>
      </c>
      <c r="BT105" s="3">
        <f>IFERROR(__xludf.DUMMYFUNCTION("""COMPUTED_VALUE"""),0.0)</f>
        <v>0</v>
      </c>
      <c r="BU105" s="3">
        <f>IFERROR(__xludf.DUMMYFUNCTION("""COMPUTED_VALUE"""),10.0)</f>
        <v>10</v>
      </c>
      <c r="BV105" s="3">
        <f>IFERROR(__xludf.DUMMYFUNCTION("""COMPUTED_VALUE"""),10.0)</f>
        <v>10</v>
      </c>
      <c r="BW105" s="3">
        <f>IFERROR(__xludf.DUMMYFUNCTION("""COMPUTED_VALUE"""),10.0)</f>
        <v>10</v>
      </c>
      <c r="BX105" s="3">
        <f>IFERROR(__xludf.DUMMYFUNCTION("""COMPUTED_VALUE"""),10.0)</f>
        <v>10</v>
      </c>
      <c r="BY105" s="3">
        <f>IFERROR(__xludf.DUMMYFUNCTION("""COMPUTED_VALUE"""),10.0)</f>
        <v>10</v>
      </c>
      <c r="BZ105" s="3">
        <f>IFERROR(__xludf.DUMMYFUNCTION("""COMPUTED_VALUE"""),14.0)</f>
        <v>14</v>
      </c>
      <c r="CA105" s="3">
        <f>IFERROR(__xludf.DUMMYFUNCTION("""COMPUTED_VALUE"""),14.0)</f>
        <v>14</v>
      </c>
      <c r="CB105" s="3">
        <f>IFERROR(__xludf.DUMMYFUNCTION("""COMPUTED_VALUE"""),14.0)</f>
        <v>14</v>
      </c>
    </row>
    <row r="106">
      <c r="A106" s="3" t="str">
        <f>IFERROR(__xludf.DUMMYFUNCTION("""COMPUTED_VALUE"""),"New Caledonia")</f>
        <v>New Caledonia</v>
      </c>
      <c r="B106" s="3" t="str">
        <f>IFERROR(__xludf.DUMMYFUNCTION("""COMPUTED_VALUE"""),"France")</f>
        <v>France</v>
      </c>
      <c r="C106" s="3">
        <f>IFERROR(__xludf.DUMMYFUNCTION("""COMPUTED_VALUE"""),-20.9043)</f>
        <v>-20.9043</v>
      </c>
      <c r="D106" s="3">
        <f>IFERROR(__xludf.DUMMYFUNCTION("""COMPUTED_VALUE"""),165.618)</f>
        <v>165.618</v>
      </c>
      <c r="E106" s="3">
        <f>IFERROR(__xludf.DUMMYFUNCTION("""COMPUTED_VALUE"""),0.0)</f>
        <v>0</v>
      </c>
      <c r="F106" s="3">
        <f>IFERROR(__xludf.DUMMYFUNCTION("""COMPUTED_VALUE"""),0.0)</f>
        <v>0</v>
      </c>
      <c r="G106" s="3">
        <f>IFERROR(__xludf.DUMMYFUNCTION("""COMPUTED_VALUE"""),0.0)</f>
        <v>0</v>
      </c>
      <c r="H106" s="3">
        <f>IFERROR(__xludf.DUMMYFUNCTION("""COMPUTED_VALUE"""),0.0)</f>
        <v>0</v>
      </c>
      <c r="I106" s="3">
        <f>IFERROR(__xludf.DUMMYFUNCTION("""COMPUTED_VALUE"""),0.0)</f>
        <v>0</v>
      </c>
      <c r="J106" s="3">
        <f>IFERROR(__xludf.DUMMYFUNCTION("""COMPUTED_VALUE"""),0.0)</f>
        <v>0</v>
      </c>
      <c r="K106" s="3">
        <f>IFERROR(__xludf.DUMMYFUNCTION("""COMPUTED_VALUE"""),0.0)</f>
        <v>0</v>
      </c>
      <c r="L106" s="3">
        <f>IFERROR(__xludf.DUMMYFUNCTION("""COMPUTED_VALUE"""),0.0)</f>
        <v>0</v>
      </c>
      <c r="M106" s="3">
        <f>IFERROR(__xludf.DUMMYFUNCTION("""COMPUTED_VALUE"""),0.0)</f>
        <v>0</v>
      </c>
      <c r="N106" s="3">
        <f>IFERROR(__xludf.DUMMYFUNCTION("""COMPUTED_VALUE"""),0.0)</f>
        <v>0</v>
      </c>
      <c r="O106" s="3">
        <f>IFERROR(__xludf.DUMMYFUNCTION("""COMPUTED_VALUE"""),0.0)</f>
        <v>0</v>
      </c>
      <c r="P106" s="3">
        <f>IFERROR(__xludf.DUMMYFUNCTION("""COMPUTED_VALUE"""),0.0)</f>
        <v>0</v>
      </c>
      <c r="Q106" s="3">
        <f>IFERROR(__xludf.DUMMYFUNCTION("""COMPUTED_VALUE"""),0.0)</f>
        <v>0</v>
      </c>
      <c r="R106" s="3">
        <f>IFERROR(__xludf.DUMMYFUNCTION("""COMPUTED_VALUE"""),0.0)</f>
        <v>0</v>
      </c>
      <c r="S106" s="3">
        <f>IFERROR(__xludf.DUMMYFUNCTION("""COMPUTED_VALUE"""),0.0)</f>
        <v>0</v>
      </c>
      <c r="T106" s="3">
        <f>IFERROR(__xludf.DUMMYFUNCTION("""COMPUTED_VALUE"""),0.0)</f>
        <v>0</v>
      </c>
      <c r="U106" s="3">
        <f>IFERROR(__xludf.DUMMYFUNCTION("""COMPUTED_VALUE"""),0.0)</f>
        <v>0</v>
      </c>
      <c r="V106" s="3">
        <f>IFERROR(__xludf.DUMMYFUNCTION("""COMPUTED_VALUE"""),0.0)</f>
        <v>0</v>
      </c>
      <c r="W106" s="3">
        <f>IFERROR(__xludf.DUMMYFUNCTION("""COMPUTED_VALUE"""),0.0)</f>
        <v>0</v>
      </c>
      <c r="X106" s="3">
        <f>IFERROR(__xludf.DUMMYFUNCTION("""COMPUTED_VALUE"""),0.0)</f>
        <v>0</v>
      </c>
      <c r="Y106" s="3">
        <f>IFERROR(__xludf.DUMMYFUNCTION("""COMPUTED_VALUE"""),0.0)</f>
        <v>0</v>
      </c>
      <c r="Z106" s="3">
        <f>IFERROR(__xludf.DUMMYFUNCTION("""COMPUTED_VALUE"""),0.0)</f>
        <v>0</v>
      </c>
      <c r="AA106" s="3">
        <f>IFERROR(__xludf.DUMMYFUNCTION("""COMPUTED_VALUE"""),0.0)</f>
        <v>0</v>
      </c>
      <c r="AB106" s="3">
        <f>IFERROR(__xludf.DUMMYFUNCTION("""COMPUTED_VALUE"""),0.0)</f>
        <v>0</v>
      </c>
      <c r="AC106" s="3">
        <f>IFERROR(__xludf.DUMMYFUNCTION("""COMPUTED_VALUE"""),0.0)</f>
        <v>0</v>
      </c>
      <c r="AD106" s="3">
        <f>IFERROR(__xludf.DUMMYFUNCTION("""COMPUTED_VALUE"""),0.0)</f>
        <v>0</v>
      </c>
      <c r="AE106" s="3">
        <f>IFERROR(__xludf.DUMMYFUNCTION("""COMPUTED_VALUE"""),0.0)</f>
        <v>0</v>
      </c>
      <c r="AF106" s="3">
        <f>IFERROR(__xludf.DUMMYFUNCTION("""COMPUTED_VALUE"""),0.0)</f>
        <v>0</v>
      </c>
      <c r="AG106" s="3">
        <f>IFERROR(__xludf.DUMMYFUNCTION("""COMPUTED_VALUE"""),0.0)</f>
        <v>0</v>
      </c>
      <c r="AH106" s="3">
        <f>IFERROR(__xludf.DUMMYFUNCTION("""COMPUTED_VALUE"""),0.0)</f>
        <v>0</v>
      </c>
      <c r="AI106" s="3">
        <f>IFERROR(__xludf.DUMMYFUNCTION("""COMPUTED_VALUE"""),0.0)</f>
        <v>0</v>
      </c>
      <c r="AJ106" s="3">
        <f>IFERROR(__xludf.DUMMYFUNCTION("""COMPUTED_VALUE"""),0.0)</f>
        <v>0</v>
      </c>
      <c r="AK106" s="3">
        <f>IFERROR(__xludf.DUMMYFUNCTION("""COMPUTED_VALUE"""),0.0)</f>
        <v>0</v>
      </c>
      <c r="AL106" s="3">
        <f>IFERROR(__xludf.DUMMYFUNCTION("""COMPUTED_VALUE"""),0.0)</f>
        <v>0</v>
      </c>
      <c r="AM106" s="3">
        <f>IFERROR(__xludf.DUMMYFUNCTION("""COMPUTED_VALUE"""),0.0)</f>
        <v>0</v>
      </c>
      <c r="AN106" s="3">
        <f>IFERROR(__xludf.DUMMYFUNCTION("""COMPUTED_VALUE"""),0.0)</f>
        <v>0</v>
      </c>
      <c r="AO106" s="3">
        <f>IFERROR(__xludf.DUMMYFUNCTION("""COMPUTED_VALUE"""),0.0)</f>
        <v>0</v>
      </c>
      <c r="AP106" s="3">
        <f>IFERROR(__xludf.DUMMYFUNCTION("""COMPUTED_VALUE"""),0.0)</f>
        <v>0</v>
      </c>
      <c r="AQ106" s="3">
        <f>IFERROR(__xludf.DUMMYFUNCTION("""COMPUTED_VALUE"""),0.0)</f>
        <v>0</v>
      </c>
      <c r="AR106" s="3">
        <f>IFERROR(__xludf.DUMMYFUNCTION("""COMPUTED_VALUE"""),0.0)</f>
        <v>0</v>
      </c>
      <c r="AS106" s="3">
        <f>IFERROR(__xludf.DUMMYFUNCTION("""COMPUTED_VALUE"""),0.0)</f>
        <v>0</v>
      </c>
      <c r="AT106" s="3">
        <f>IFERROR(__xludf.DUMMYFUNCTION("""COMPUTED_VALUE"""),0.0)</f>
        <v>0</v>
      </c>
      <c r="AU106" s="3">
        <f>IFERROR(__xludf.DUMMYFUNCTION("""COMPUTED_VALUE"""),0.0)</f>
        <v>0</v>
      </c>
      <c r="AV106" s="3">
        <f>IFERROR(__xludf.DUMMYFUNCTION("""COMPUTED_VALUE"""),0.0)</f>
        <v>0</v>
      </c>
      <c r="AW106" s="3">
        <f>IFERROR(__xludf.DUMMYFUNCTION("""COMPUTED_VALUE"""),0.0)</f>
        <v>0</v>
      </c>
      <c r="AX106" s="3">
        <f>IFERROR(__xludf.DUMMYFUNCTION("""COMPUTED_VALUE"""),0.0)</f>
        <v>0</v>
      </c>
      <c r="AY106" s="3">
        <f>IFERROR(__xludf.DUMMYFUNCTION("""COMPUTED_VALUE"""),0.0)</f>
        <v>0</v>
      </c>
      <c r="AZ106" s="3">
        <f>IFERROR(__xludf.DUMMYFUNCTION("""COMPUTED_VALUE"""),0.0)</f>
        <v>0</v>
      </c>
      <c r="BA106" s="3">
        <f>IFERROR(__xludf.DUMMYFUNCTION("""COMPUTED_VALUE"""),0.0)</f>
        <v>0</v>
      </c>
      <c r="BB106" s="3">
        <f>IFERROR(__xludf.DUMMYFUNCTION("""COMPUTED_VALUE"""),0.0)</f>
        <v>0</v>
      </c>
      <c r="BC106" s="3">
        <f>IFERROR(__xludf.DUMMYFUNCTION("""COMPUTED_VALUE"""),0.0)</f>
        <v>0</v>
      </c>
      <c r="BD106" s="3">
        <f>IFERROR(__xludf.DUMMYFUNCTION("""COMPUTED_VALUE"""),0.0)</f>
        <v>0</v>
      </c>
      <c r="BE106" s="3">
        <f>IFERROR(__xludf.DUMMYFUNCTION("""COMPUTED_VALUE"""),0.0)</f>
        <v>0</v>
      </c>
      <c r="BF106" s="3">
        <f>IFERROR(__xludf.DUMMYFUNCTION("""COMPUTED_VALUE"""),0.0)</f>
        <v>0</v>
      </c>
      <c r="BG106" s="3">
        <f>IFERROR(__xludf.DUMMYFUNCTION("""COMPUTED_VALUE"""),0.0)</f>
        <v>0</v>
      </c>
      <c r="BH106" s="3">
        <f>IFERROR(__xludf.DUMMYFUNCTION("""COMPUTED_VALUE"""),0.0)</f>
        <v>0</v>
      </c>
      <c r="BI106" s="3">
        <f>IFERROR(__xludf.DUMMYFUNCTION("""COMPUTED_VALUE"""),0.0)</f>
        <v>0</v>
      </c>
      <c r="BJ106" s="3">
        <f>IFERROR(__xludf.DUMMYFUNCTION("""COMPUTED_VALUE"""),0.0)</f>
        <v>0</v>
      </c>
      <c r="BK106" s="3">
        <f>IFERROR(__xludf.DUMMYFUNCTION("""COMPUTED_VALUE"""),0.0)</f>
        <v>0</v>
      </c>
      <c r="BL106" s="3">
        <f>IFERROR(__xludf.DUMMYFUNCTION("""COMPUTED_VALUE"""),0.0)</f>
        <v>0</v>
      </c>
      <c r="BM106" s="3">
        <f>IFERROR(__xludf.DUMMYFUNCTION("""COMPUTED_VALUE"""),0.0)</f>
        <v>0</v>
      </c>
      <c r="BN106" s="3">
        <f>IFERROR(__xludf.DUMMYFUNCTION("""COMPUTED_VALUE"""),0.0)</f>
        <v>0</v>
      </c>
      <c r="BO106" s="3">
        <f>IFERROR(__xludf.DUMMYFUNCTION("""COMPUTED_VALUE"""),0.0)</f>
        <v>0</v>
      </c>
      <c r="BP106" s="3">
        <f>IFERROR(__xludf.DUMMYFUNCTION("""COMPUTED_VALUE"""),0.0)</f>
        <v>0</v>
      </c>
      <c r="BQ106" s="3">
        <f>IFERROR(__xludf.DUMMYFUNCTION("""COMPUTED_VALUE"""),0.0)</f>
        <v>0</v>
      </c>
      <c r="BR106" s="3">
        <f>IFERROR(__xludf.DUMMYFUNCTION("""COMPUTED_VALUE"""),0.0)</f>
        <v>0</v>
      </c>
      <c r="BS106" s="3">
        <f>IFERROR(__xludf.DUMMYFUNCTION("""COMPUTED_VALUE"""),0.0)</f>
        <v>0</v>
      </c>
      <c r="BT106" s="3">
        <f>IFERROR(__xludf.DUMMYFUNCTION("""COMPUTED_VALUE"""),0.0)</f>
        <v>0</v>
      </c>
      <c r="BU106" s="3">
        <f>IFERROR(__xludf.DUMMYFUNCTION("""COMPUTED_VALUE"""),0.0)</f>
        <v>0</v>
      </c>
      <c r="BV106" s="3">
        <f>IFERROR(__xludf.DUMMYFUNCTION("""COMPUTED_VALUE"""),0.0)</f>
        <v>0</v>
      </c>
      <c r="BW106" s="3">
        <f>IFERROR(__xludf.DUMMYFUNCTION("""COMPUTED_VALUE"""),0.0)</f>
        <v>0</v>
      </c>
      <c r="BX106" s="3">
        <f>IFERROR(__xludf.DUMMYFUNCTION("""COMPUTED_VALUE"""),1.0)</f>
        <v>1</v>
      </c>
      <c r="BY106" s="3">
        <f>IFERROR(__xludf.DUMMYFUNCTION("""COMPUTED_VALUE"""),1.0)</f>
        <v>1</v>
      </c>
      <c r="BZ106" s="3">
        <f>IFERROR(__xludf.DUMMYFUNCTION("""COMPUTED_VALUE"""),1.0)</f>
        <v>1</v>
      </c>
      <c r="CA106" s="3">
        <f>IFERROR(__xludf.DUMMYFUNCTION("""COMPUTED_VALUE"""),1.0)</f>
        <v>1</v>
      </c>
      <c r="CB106" s="3">
        <f>IFERROR(__xludf.DUMMYFUNCTION("""COMPUTED_VALUE"""),1.0)</f>
        <v>1</v>
      </c>
    </row>
    <row r="107">
      <c r="A107" s="3" t="str">
        <f>IFERROR(__xludf.DUMMYFUNCTION("""COMPUTED_VALUE"""),"Reunion")</f>
        <v>Reunion</v>
      </c>
      <c r="B107" s="3" t="str">
        <f>IFERROR(__xludf.DUMMYFUNCTION("""COMPUTED_VALUE"""),"France")</f>
        <v>France</v>
      </c>
      <c r="C107" s="3">
        <f>IFERROR(__xludf.DUMMYFUNCTION("""COMPUTED_VALUE"""),-21.1351)</f>
        <v>-21.1351</v>
      </c>
      <c r="D107" s="3">
        <f>IFERROR(__xludf.DUMMYFUNCTION("""COMPUTED_VALUE"""),55.2471)</f>
        <v>55.2471</v>
      </c>
      <c r="E107" s="3">
        <f>IFERROR(__xludf.DUMMYFUNCTION("""COMPUTED_VALUE"""),0.0)</f>
        <v>0</v>
      </c>
      <c r="F107" s="3">
        <f>IFERROR(__xludf.DUMMYFUNCTION("""COMPUTED_VALUE"""),0.0)</f>
        <v>0</v>
      </c>
      <c r="G107" s="3">
        <f>IFERROR(__xludf.DUMMYFUNCTION("""COMPUTED_VALUE"""),0.0)</f>
        <v>0</v>
      </c>
      <c r="H107" s="3">
        <f>IFERROR(__xludf.DUMMYFUNCTION("""COMPUTED_VALUE"""),0.0)</f>
        <v>0</v>
      </c>
      <c r="I107" s="3">
        <f>IFERROR(__xludf.DUMMYFUNCTION("""COMPUTED_VALUE"""),0.0)</f>
        <v>0</v>
      </c>
      <c r="J107" s="3">
        <f>IFERROR(__xludf.DUMMYFUNCTION("""COMPUTED_VALUE"""),0.0)</f>
        <v>0</v>
      </c>
      <c r="K107" s="3">
        <f>IFERROR(__xludf.DUMMYFUNCTION("""COMPUTED_VALUE"""),0.0)</f>
        <v>0</v>
      </c>
      <c r="L107" s="3">
        <f>IFERROR(__xludf.DUMMYFUNCTION("""COMPUTED_VALUE"""),0.0)</f>
        <v>0</v>
      </c>
      <c r="M107" s="3">
        <f>IFERROR(__xludf.DUMMYFUNCTION("""COMPUTED_VALUE"""),0.0)</f>
        <v>0</v>
      </c>
      <c r="N107" s="3">
        <f>IFERROR(__xludf.DUMMYFUNCTION("""COMPUTED_VALUE"""),0.0)</f>
        <v>0</v>
      </c>
      <c r="O107" s="3">
        <f>IFERROR(__xludf.DUMMYFUNCTION("""COMPUTED_VALUE"""),0.0)</f>
        <v>0</v>
      </c>
      <c r="P107" s="3">
        <f>IFERROR(__xludf.DUMMYFUNCTION("""COMPUTED_VALUE"""),0.0)</f>
        <v>0</v>
      </c>
      <c r="Q107" s="3">
        <f>IFERROR(__xludf.DUMMYFUNCTION("""COMPUTED_VALUE"""),0.0)</f>
        <v>0</v>
      </c>
      <c r="R107" s="3">
        <f>IFERROR(__xludf.DUMMYFUNCTION("""COMPUTED_VALUE"""),0.0)</f>
        <v>0</v>
      </c>
      <c r="S107" s="3">
        <f>IFERROR(__xludf.DUMMYFUNCTION("""COMPUTED_VALUE"""),0.0)</f>
        <v>0</v>
      </c>
      <c r="T107" s="3">
        <f>IFERROR(__xludf.DUMMYFUNCTION("""COMPUTED_VALUE"""),0.0)</f>
        <v>0</v>
      </c>
      <c r="U107" s="3">
        <f>IFERROR(__xludf.DUMMYFUNCTION("""COMPUTED_VALUE"""),0.0)</f>
        <v>0</v>
      </c>
      <c r="V107" s="3">
        <f>IFERROR(__xludf.DUMMYFUNCTION("""COMPUTED_VALUE"""),0.0)</f>
        <v>0</v>
      </c>
      <c r="W107" s="3">
        <f>IFERROR(__xludf.DUMMYFUNCTION("""COMPUTED_VALUE"""),0.0)</f>
        <v>0</v>
      </c>
      <c r="X107" s="3">
        <f>IFERROR(__xludf.DUMMYFUNCTION("""COMPUTED_VALUE"""),0.0)</f>
        <v>0</v>
      </c>
      <c r="Y107" s="3">
        <f>IFERROR(__xludf.DUMMYFUNCTION("""COMPUTED_VALUE"""),0.0)</f>
        <v>0</v>
      </c>
      <c r="Z107" s="3">
        <f>IFERROR(__xludf.DUMMYFUNCTION("""COMPUTED_VALUE"""),0.0)</f>
        <v>0</v>
      </c>
      <c r="AA107" s="3">
        <f>IFERROR(__xludf.DUMMYFUNCTION("""COMPUTED_VALUE"""),0.0)</f>
        <v>0</v>
      </c>
      <c r="AB107" s="3">
        <f>IFERROR(__xludf.DUMMYFUNCTION("""COMPUTED_VALUE"""),0.0)</f>
        <v>0</v>
      </c>
      <c r="AC107" s="3">
        <f>IFERROR(__xludf.DUMMYFUNCTION("""COMPUTED_VALUE"""),0.0)</f>
        <v>0</v>
      </c>
      <c r="AD107" s="3">
        <f>IFERROR(__xludf.DUMMYFUNCTION("""COMPUTED_VALUE"""),0.0)</f>
        <v>0</v>
      </c>
      <c r="AE107" s="3">
        <f>IFERROR(__xludf.DUMMYFUNCTION("""COMPUTED_VALUE"""),0.0)</f>
        <v>0</v>
      </c>
      <c r="AF107" s="3">
        <f>IFERROR(__xludf.DUMMYFUNCTION("""COMPUTED_VALUE"""),0.0)</f>
        <v>0</v>
      </c>
      <c r="AG107" s="3">
        <f>IFERROR(__xludf.DUMMYFUNCTION("""COMPUTED_VALUE"""),0.0)</f>
        <v>0</v>
      </c>
      <c r="AH107" s="3">
        <f>IFERROR(__xludf.DUMMYFUNCTION("""COMPUTED_VALUE"""),0.0)</f>
        <v>0</v>
      </c>
      <c r="AI107" s="3">
        <f>IFERROR(__xludf.DUMMYFUNCTION("""COMPUTED_VALUE"""),0.0)</f>
        <v>0</v>
      </c>
      <c r="AJ107" s="3">
        <f>IFERROR(__xludf.DUMMYFUNCTION("""COMPUTED_VALUE"""),0.0)</f>
        <v>0</v>
      </c>
      <c r="AK107" s="3">
        <f>IFERROR(__xludf.DUMMYFUNCTION("""COMPUTED_VALUE"""),0.0)</f>
        <v>0</v>
      </c>
      <c r="AL107" s="3">
        <f>IFERROR(__xludf.DUMMYFUNCTION("""COMPUTED_VALUE"""),0.0)</f>
        <v>0</v>
      </c>
      <c r="AM107" s="3">
        <f>IFERROR(__xludf.DUMMYFUNCTION("""COMPUTED_VALUE"""),0.0)</f>
        <v>0</v>
      </c>
      <c r="AN107" s="3">
        <f>IFERROR(__xludf.DUMMYFUNCTION("""COMPUTED_VALUE"""),0.0)</f>
        <v>0</v>
      </c>
      <c r="AO107" s="3">
        <f>IFERROR(__xludf.DUMMYFUNCTION("""COMPUTED_VALUE"""),0.0)</f>
        <v>0</v>
      </c>
      <c r="AP107" s="3">
        <f>IFERROR(__xludf.DUMMYFUNCTION("""COMPUTED_VALUE"""),0.0)</f>
        <v>0</v>
      </c>
      <c r="AQ107" s="3">
        <f>IFERROR(__xludf.DUMMYFUNCTION("""COMPUTED_VALUE"""),0.0)</f>
        <v>0</v>
      </c>
      <c r="AR107" s="3">
        <f>IFERROR(__xludf.DUMMYFUNCTION("""COMPUTED_VALUE"""),0.0)</f>
        <v>0</v>
      </c>
      <c r="AS107" s="3">
        <f>IFERROR(__xludf.DUMMYFUNCTION("""COMPUTED_VALUE"""),0.0)</f>
        <v>0</v>
      </c>
      <c r="AT107" s="3">
        <f>IFERROR(__xludf.DUMMYFUNCTION("""COMPUTED_VALUE"""),0.0)</f>
        <v>0</v>
      </c>
      <c r="AU107" s="3">
        <f>IFERROR(__xludf.DUMMYFUNCTION("""COMPUTED_VALUE"""),0.0)</f>
        <v>0</v>
      </c>
      <c r="AV107" s="3">
        <f>IFERROR(__xludf.DUMMYFUNCTION("""COMPUTED_VALUE"""),0.0)</f>
        <v>0</v>
      </c>
      <c r="AW107" s="3">
        <f>IFERROR(__xludf.DUMMYFUNCTION("""COMPUTED_VALUE"""),0.0)</f>
        <v>0</v>
      </c>
      <c r="AX107" s="3">
        <f>IFERROR(__xludf.DUMMYFUNCTION("""COMPUTED_VALUE"""),0.0)</f>
        <v>0</v>
      </c>
      <c r="AY107" s="3">
        <f>IFERROR(__xludf.DUMMYFUNCTION("""COMPUTED_VALUE"""),0.0)</f>
        <v>0</v>
      </c>
      <c r="AZ107" s="3">
        <f>IFERROR(__xludf.DUMMYFUNCTION("""COMPUTED_VALUE"""),0.0)</f>
        <v>0</v>
      </c>
      <c r="BA107" s="3">
        <f>IFERROR(__xludf.DUMMYFUNCTION("""COMPUTED_VALUE"""),0.0)</f>
        <v>0</v>
      </c>
      <c r="BB107" s="3">
        <f>IFERROR(__xludf.DUMMYFUNCTION("""COMPUTED_VALUE"""),0.0)</f>
        <v>0</v>
      </c>
      <c r="BC107" s="3">
        <f>IFERROR(__xludf.DUMMYFUNCTION("""COMPUTED_VALUE"""),0.0)</f>
        <v>0</v>
      </c>
      <c r="BD107" s="3">
        <f>IFERROR(__xludf.DUMMYFUNCTION("""COMPUTED_VALUE"""),0.0)</f>
        <v>0</v>
      </c>
      <c r="BE107" s="3">
        <f>IFERROR(__xludf.DUMMYFUNCTION("""COMPUTED_VALUE"""),0.0)</f>
        <v>0</v>
      </c>
      <c r="BF107" s="3">
        <f>IFERROR(__xludf.DUMMYFUNCTION("""COMPUTED_VALUE"""),0.0)</f>
        <v>0</v>
      </c>
      <c r="BG107" s="3">
        <f>IFERROR(__xludf.DUMMYFUNCTION("""COMPUTED_VALUE"""),0.0)</f>
        <v>0</v>
      </c>
      <c r="BH107" s="3">
        <f>IFERROR(__xludf.DUMMYFUNCTION("""COMPUTED_VALUE"""),0.0)</f>
        <v>0</v>
      </c>
      <c r="BI107" s="3">
        <f>IFERROR(__xludf.DUMMYFUNCTION("""COMPUTED_VALUE"""),0.0)</f>
        <v>0</v>
      </c>
      <c r="BJ107" s="3">
        <f>IFERROR(__xludf.DUMMYFUNCTION("""COMPUTED_VALUE"""),0.0)</f>
        <v>0</v>
      </c>
      <c r="BK107" s="3">
        <f>IFERROR(__xludf.DUMMYFUNCTION("""COMPUTED_VALUE"""),0.0)</f>
        <v>0</v>
      </c>
      <c r="BL107" s="3">
        <f>IFERROR(__xludf.DUMMYFUNCTION("""COMPUTED_VALUE"""),0.0)</f>
        <v>0</v>
      </c>
      <c r="BM107" s="3">
        <f>IFERROR(__xludf.DUMMYFUNCTION("""COMPUTED_VALUE"""),0.0)</f>
        <v>0</v>
      </c>
      <c r="BN107" s="3">
        <f>IFERROR(__xludf.DUMMYFUNCTION("""COMPUTED_VALUE"""),0.0)</f>
        <v>0</v>
      </c>
      <c r="BO107" s="3">
        <f>IFERROR(__xludf.DUMMYFUNCTION("""COMPUTED_VALUE"""),1.0)</f>
        <v>1</v>
      </c>
      <c r="BP107" s="3">
        <f>IFERROR(__xludf.DUMMYFUNCTION("""COMPUTED_VALUE"""),1.0)</f>
        <v>1</v>
      </c>
      <c r="BQ107" s="3">
        <f>IFERROR(__xludf.DUMMYFUNCTION("""COMPUTED_VALUE"""),1.0)</f>
        <v>1</v>
      </c>
      <c r="BR107" s="3">
        <f>IFERROR(__xludf.DUMMYFUNCTION("""COMPUTED_VALUE"""),1.0)</f>
        <v>1</v>
      </c>
      <c r="BS107" s="3">
        <f>IFERROR(__xludf.DUMMYFUNCTION("""COMPUTED_VALUE"""),1.0)</f>
        <v>1</v>
      </c>
      <c r="BT107" s="3">
        <f>IFERROR(__xludf.DUMMYFUNCTION("""COMPUTED_VALUE"""),1.0)</f>
        <v>1</v>
      </c>
      <c r="BU107" s="3">
        <f>IFERROR(__xludf.DUMMYFUNCTION("""COMPUTED_VALUE"""),1.0)</f>
        <v>1</v>
      </c>
      <c r="BV107" s="3">
        <f>IFERROR(__xludf.DUMMYFUNCTION("""COMPUTED_VALUE"""),1.0)</f>
        <v>1</v>
      </c>
      <c r="BW107" s="3">
        <f>IFERROR(__xludf.DUMMYFUNCTION("""COMPUTED_VALUE"""),40.0)</f>
        <v>40</v>
      </c>
      <c r="BX107" s="3">
        <f>IFERROR(__xludf.DUMMYFUNCTION("""COMPUTED_VALUE"""),40.0)</f>
        <v>40</v>
      </c>
      <c r="BY107" s="3">
        <f>IFERROR(__xludf.DUMMYFUNCTION("""COMPUTED_VALUE"""),40.0)</f>
        <v>40</v>
      </c>
      <c r="BZ107" s="3">
        <f>IFERROR(__xludf.DUMMYFUNCTION("""COMPUTED_VALUE"""),40.0)</f>
        <v>40</v>
      </c>
      <c r="CA107" s="3">
        <f>IFERROR(__xludf.DUMMYFUNCTION("""COMPUTED_VALUE"""),40.0)</f>
        <v>40</v>
      </c>
      <c r="CB107" s="3">
        <f>IFERROR(__xludf.DUMMYFUNCTION("""COMPUTED_VALUE"""),40.0)</f>
        <v>40</v>
      </c>
    </row>
    <row r="108">
      <c r="A108" s="3" t="str">
        <f>IFERROR(__xludf.DUMMYFUNCTION("""COMPUTED_VALUE"""),"Saint Barthelemy")</f>
        <v>Saint Barthelemy</v>
      </c>
      <c r="B108" s="3" t="str">
        <f>IFERROR(__xludf.DUMMYFUNCTION("""COMPUTED_VALUE"""),"France")</f>
        <v>France</v>
      </c>
      <c r="C108" s="3">
        <f>IFERROR(__xludf.DUMMYFUNCTION("""COMPUTED_VALUE"""),17.9)</f>
        <v>17.9</v>
      </c>
      <c r="D108" s="3">
        <f>IFERROR(__xludf.DUMMYFUNCTION("""COMPUTED_VALUE"""),-62.8333)</f>
        <v>-62.8333</v>
      </c>
      <c r="E108" s="3">
        <f>IFERROR(__xludf.DUMMYFUNCTION("""COMPUTED_VALUE"""),0.0)</f>
        <v>0</v>
      </c>
      <c r="F108" s="3">
        <f>IFERROR(__xludf.DUMMYFUNCTION("""COMPUTED_VALUE"""),0.0)</f>
        <v>0</v>
      </c>
      <c r="G108" s="3">
        <f>IFERROR(__xludf.DUMMYFUNCTION("""COMPUTED_VALUE"""),0.0)</f>
        <v>0</v>
      </c>
      <c r="H108" s="3">
        <f>IFERROR(__xludf.DUMMYFUNCTION("""COMPUTED_VALUE"""),0.0)</f>
        <v>0</v>
      </c>
      <c r="I108" s="3">
        <f>IFERROR(__xludf.DUMMYFUNCTION("""COMPUTED_VALUE"""),0.0)</f>
        <v>0</v>
      </c>
      <c r="J108" s="3">
        <f>IFERROR(__xludf.DUMMYFUNCTION("""COMPUTED_VALUE"""),0.0)</f>
        <v>0</v>
      </c>
      <c r="K108" s="3">
        <f>IFERROR(__xludf.DUMMYFUNCTION("""COMPUTED_VALUE"""),0.0)</f>
        <v>0</v>
      </c>
      <c r="L108" s="3">
        <f>IFERROR(__xludf.DUMMYFUNCTION("""COMPUTED_VALUE"""),0.0)</f>
        <v>0</v>
      </c>
      <c r="M108" s="3">
        <f>IFERROR(__xludf.DUMMYFUNCTION("""COMPUTED_VALUE"""),0.0)</f>
        <v>0</v>
      </c>
      <c r="N108" s="3">
        <f>IFERROR(__xludf.DUMMYFUNCTION("""COMPUTED_VALUE"""),0.0)</f>
        <v>0</v>
      </c>
      <c r="O108" s="3">
        <f>IFERROR(__xludf.DUMMYFUNCTION("""COMPUTED_VALUE"""),0.0)</f>
        <v>0</v>
      </c>
      <c r="P108" s="3">
        <f>IFERROR(__xludf.DUMMYFUNCTION("""COMPUTED_VALUE"""),0.0)</f>
        <v>0</v>
      </c>
      <c r="Q108" s="3">
        <f>IFERROR(__xludf.DUMMYFUNCTION("""COMPUTED_VALUE"""),0.0)</f>
        <v>0</v>
      </c>
      <c r="R108" s="3">
        <f>IFERROR(__xludf.DUMMYFUNCTION("""COMPUTED_VALUE"""),0.0)</f>
        <v>0</v>
      </c>
      <c r="S108" s="3">
        <f>IFERROR(__xludf.DUMMYFUNCTION("""COMPUTED_VALUE"""),0.0)</f>
        <v>0</v>
      </c>
      <c r="T108" s="3">
        <f>IFERROR(__xludf.DUMMYFUNCTION("""COMPUTED_VALUE"""),0.0)</f>
        <v>0</v>
      </c>
      <c r="U108" s="3">
        <f>IFERROR(__xludf.DUMMYFUNCTION("""COMPUTED_VALUE"""),0.0)</f>
        <v>0</v>
      </c>
      <c r="V108" s="3">
        <f>IFERROR(__xludf.DUMMYFUNCTION("""COMPUTED_VALUE"""),0.0)</f>
        <v>0</v>
      </c>
      <c r="W108" s="3">
        <f>IFERROR(__xludf.DUMMYFUNCTION("""COMPUTED_VALUE"""),0.0)</f>
        <v>0</v>
      </c>
      <c r="X108" s="3">
        <f>IFERROR(__xludf.DUMMYFUNCTION("""COMPUTED_VALUE"""),0.0)</f>
        <v>0</v>
      </c>
      <c r="Y108" s="3">
        <f>IFERROR(__xludf.DUMMYFUNCTION("""COMPUTED_VALUE"""),0.0)</f>
        <v>0</v>
      </c>
      <c r="Z108" s="3">
        <f>IFERROR(__xludf.DUMMYFUNCTION("""COMPUTED_VALUE"""),0.0)</f>
        <v>0</v>
      </c>
      <c r="AA108" s="3">
        <f>IFERROR(__xludf.DUMMYFUNCTION("""COMPUTED_VALUE"""),0.0)</f>
        <v>0</v>
      </c>
      <c r="AB108" s="3">
        <f>IFERROR(__xludf.DUMMYFUNCTION("""COMPUTED_VALUE"""),0.0)</f>
        <v>0</v>
      </c>
      <c r="AC108" s="3">
        <f>IFERROR(__xludf.DUMMYFUNCTION("""COMPUTED_VALUE"""),0.0)</f>
        <v>0</v>
      </c>
      <c r="AD108" s="3">
        <f>IFERROR(__xludf.DUMMYFUNCTION("""COMPUTED_VALUE"""),0.0)</f>
        <v>0</v>
      </c>
      <c r="AE108" s="3">
        <f>IFERROR(__xludf.DUMMYFUNCTION("""COMPUTED_VALUE"""),0.0)</f>
        <v>0</v>
      </c>
      <c r="AF108" s="3">
        <f>IFERROR(__xludf.DUMMYFUNCTION("""COMPUTED_VALUE"""),0.0)</f>
        <v>0</v>
      </c>
      <c r="AG108" s="3">
        <f>IFERROR(__xludf.DUMMYFUNCTION("""COMPUTED_VALUE"""),0.0)</f>
        <v>0</v>
      </c>
      <c r="AH108" s="3">
        <f>IFERROR(__xludf.DUMMYFUNCTION("""COMPUTED_VALUE"""),0.0)</f>
        <v>0</v>
      </c>
      <c r="AI108" s="3">
        <f>IFERROR(__xludf.DUMMYFUNCTION("""COMPUTED_VALUE"""),0.0)</f>
        <v>0</v>
      </c>
      <c r="AJ108" s="3">
        <f>IFERROR(__xludf.DUMMYFUNCTION("""COMPUTED_VALUE"""),0.0)</f>
        <v>0</v>
      </c>
      <c r="AK108" s="3">
        <f>IFERROR(__xludf.DUMMYFUNCTION("""COMPUTED_VALUE"""),0.0)</f>
        <v>0</v>
      </c>
      <c r="AL108" s="3">
        <f>IFERROR(__xludf.DUMMYFUNCTION("""COMPUTED_VALUE"""),0.0)</f>
        <v>0</v>
      </c>
      <c r="AM108" s="3">
        <f>IFERROR(__xludf.DUMMYFUNCTION("""COMPUTED_VALUE"""),0.0)</f>
        <v>0</v>
      </c>
      <c r="AN108" s="3">
        <f>IFERROR(__xludf.DUMMYFUNCTION("""COMPUTED_VALUE"""),0.0)</f>
        <v>0</v>
      </c>
      <c r="AO108" s="3">
        <f>IFERROR(__xludf.DUMMYFUNCTION("""COMPUTED_VALUE"""),0.0)</f>
        <v>0</v>
      </c>
      <c r="AP108" s="3">
        <f>IFERROR(__xludf.DUMMYFUNCTION("""COMPUTED_VALUE"""),0.0)</f>
        <v>0</v>
      </c>
      <c r="AQ108" s="3">
        <f>IFERROR(__xludf.DUMMYFUNCTION("""COMPUTED_VALUE"""),0.0)</f>
        <v>0</v>
      </c>
      <c r="AR108" s="3">
        <f>IFERROR(__xludf.DUMMYFUNCTION("""COMPUTED_VALUE"""),0.0)</f>
        <v>0</v>
      </c>
      <c r="AS108" s="3">
        <f>IFERROR(__xludf.DUMMYFUNCTION("""COMPUTED_VALUE"""),0.0)</f>
        <v>0</v>
      </c>
      <c r="AT108" s="3">
        <f>IFERROR(__xludf.DUMMYFUNCTION("""COMPUTED_VALUE"""),0.0)</f>
        <v>0</v>
      </c>
      <c r="AU108" s="3">
        <f>IFERROR(__xludf.DUMMYFUNCTION("""COMPUTED_VALUE"""),0.0)</f>
        <v>0</v>
      </c>
      <c r="AV108" s="3">
        <f>IFERROR(__xludf.DUMMYFUNCTION("""COMPUTED_VALUE"""),0.0)</f>
        <v>0</v>
      </c>
      <c r="AW108" s="3">
        <f>IFERROR(__xludf.DUMMYFUNCTION("""COMPUTED_VALUE"""),0.0)</f>
        <v>0</v>
      </c>
      <c r="AX108" s="3">
        <f>IFERROR(__xludf.DUMMYFUNCTION("""COMPUTED_VALUE"""),0.0)</f>
        <v>0</v>
      </c>
      <c r="AY108" s="3">
        <f>IFERROR(__xludf.DUMMYFUNCTION("""COMPUTED_VALUE"""),0.0)</f>
        <v>0</v>
      </c>
      <c r="AZ108" s="3">
        <f>IFERROR(__xludf.DUMMYFUNCTION("""COMPUTED_VALUE"""),0.0)</f>
        <v>0</v>
      </c>
      <c r="BA108" s="3">
        <f>IFERROR(__xludf.DUMMYFUNCTION("""COMPUTED_VALUE"""),0.0)</f>
        <v>0</v>
      </c>
      <c r="BB108" s="3">
        <f>IFERROR(__xludf.DUMMYFUNCTION("""COMPUTED_VALUE"""),0.0)</f>
        <v>0</v>
      </c>
      <c r="BC108" s="3">
        <f>IFERROR(__xludf.DUMMYFUNCTION("""COMPUTED_VALUE"""),0.0)</f>
        <v>0</v>
      </c>
      <c r="BD108" s="3">
        <f>IFERROR(__xludf.DUMMYFUNCTION("""COMPUTED_VALUE"""),0.0)</f>
        <v>0</v>
      </c>
      <c r="BE108" s="3">
        <f>IFERROR(__xludf.DUMMYFUNCTION("""COMPUTED_VALUE"""),0.0)</f>
        <v>0</v>
      </c>
      <c r="BF108" s="3">
        <f>IFERROR(__xludf.DUMMYFUNCTION("""COMPUTED_VALUE"""),0.0)</f>
        <v>0</v>
      </c>
      <c r="BG108" s="3">
        <f>IFERROR(__xludf.DUMMYFUNCTION("""COMPUTED_VALUE"""),0.0)</f>
        <v>0</v>
      </c>
      <c r="BH108" s="3">
        <f>IFERROR(__xludf.DUMMYFUNCTION("""COMPUTED_VALUE"""),0.0)</f>
        <v>0</v>
      </c>
      <c r="BI108" s="3">
        <f>IFERROR(__xludf.DUMMYFUNCTION("""COMPUTED_VALUE"""),0.0)</f>
        <v>0</v>
      </c>
      <c r="BJ108" s="3">
        <f>IFERROR(__xludf.DUMMYFUNCTION("""COMPUTED_VALUE"""),0.0)</f>
        <v>0</v>
      </c>
      <c r="BK108" s="3">
        <f>IFERROR(__xludf.DUMMYFUNCTION("""COMPUTED_VALUE"""),0.0)</f>
        <v>0</v>
      </c>
      <c r="BL108" s="3">
        <f>IFERROR(__xludf.DUMMYFUNCTION("""COMPUTED_VALUE"""),0.0)</f>
        <v>0</v>
      </c>
      <c r="BM108" s="3">
        <f>IFERROR(__xludf.DUMMYFUNCTION("""COMPUTED_VALUE"""),0.0)</f>
        <v>0</v>
      </c>
      <c r="BN108" s="3">
        <f>IFERROR(__xludf.DUMMYFUNCTION("""COMPUTED_VALUE"""),0.0)</f>
        <v>0</v>
      </c>
      <c r="BO108" s="3">
        <f>IFERROR(__xludf.DUMMYFUNCTION("""COMPUTED_VALUE"""),0.0)</f>
        <v>0</v>
      </c>
      <c r="BP108" s="3">
        <f>IFERROR(__xludf.DUMMYFUNCTION("""COMPUTED_VALUE"""),0.0)</f>
        <v>0</v>
      </c>
      <c r="BQ108" s="3">
        <f>IFERROR(__xludf.DUMMYFUNCTION("""COMPUTED_VALUE"""),0.0)</f>
        <v>0</v>
      </c>
      <c r="BR108" s="3">
        <f>IFERROR(__xludf.DUMMYFUNCTION("""COMPUTED_VALUE"""),0.0)</f>
        <v>0</v>
      </c>
      <c r="BS108" s="3">
        <f>IFERROR(__xludf.DUMMYFUNCTION("""COMPUTED_VALUE"""),0.0)</f>
        <v>0</v>
      </c>
      <c r="BT108" s="3">
        <f>IFERROR(__xludf.DUMMYFUNCTION("""COMPUTED_VALUE"""),0.0)</f>
        <v>0</v>
      </c>
      <c r="BU108" s="3">
        <f>IFERROR(__xludf.DUMMYFUNCTION("""COMPUTED_VALUE"""),1.0)</f>
        <v>1</v>
      </c>
      <c r="BV108" s="3">
        <f>IFERROR(__xludf.DUMMYFUNCTION("""COMPUTED_VALUE"""),1.0)</f>
        <v>1</v>
      </c>
      <c r="BW108" s="3">
        <f>IFERROR(__xludf.DUMMYFUNCTION("""COMPUTED_VALUE"""),1.0)</f>
        <v>1</v>
      </c>
      <c r="BX108" s="3">
        <f>IFERROR(__xludf.DUMMYFUNCTION("""COMPUTED_VALUE"""),1.0)</f>
        <v>1</v>
      </c>
      <c r="BY108" s="3">
        <f>IFERROR(__xludf.DUMMYFUNCTION("""COMPUTED_VALUE"""),1.0)</f>
        <v>1</v>
      </c>
      <c r="BZ108" s="3">
        <f>IFERROR(__xludf.DUMMYFUNCTION("""COMPUTED_VALUE"""),1.0)</f>
        <v>1</v>
      </c>
      <c r="CA108" s="3">
        <f>IFERROR(__xludf.DUMMYFUNCTION("""COMPUTED_VALUE"""),1.0)</f>
        <v>1</v>
      </c>
      <c r="CB108" s="3">
        <f>IFERROR(__xludf.DUMMYFUNCTION("""COMPUTED_VALUE"""),1.0)</f>
        <v>1</v>
      </c>
    </row>
    <row r="109">
      <c r="A109" s="3" t="str">
        <f>IFERROR(__xludf.DUMMYFUNCTION("""COMPUTED_VALUE"""),"St Martin")</f>
        <v>St Martin</v>
      </c>
      <c r="B109" s="3" t="str">
        <f>IFERROR(__xludf.DUMMYFUNCTION("""COMPUTED_VALUE"""),"France")</f>
        <v>France</v>
      </c>
      <c r="C109" s="3">
        <f>IFERROR(__xludf.DUMMYFUNCTION("""COMPUTED_VALUE"""),18.0708)</f>
        <v>18.0708</v>
      </c>
      <c r="D109" s="3">
        <f>IFERROR(__xludf.DUMMYFUNCTION("""COMPUTED_VALUE"""),-63.0501)</f>
        <v>-63.0501</v>
      </c>
      <c r="E109" s="3">
        <f>IFERROR(__xludf.DUMMYFUNCTION("""COMPUTED_VALUE"""),0.0)</f>
        <v>0</v>
      </c>
      <c r="F109" s="3">
        <f>IFERROR(__xludf.DUMMYFUNCTION("""COMPUTED_VALUE"""),0.0)</f>
        <v>0</v>
      </c>
      <c r="G109" s="3">
        <f>IFERROR(__xludf.DUMMYFUNCTION("""COMPUTED_VALUE"""),0.0)</f>
        <v>0</v>
      </c>
      <c r="H109" s="3">
        <f>IFERROR(__xludf.DUMMYFUNCTION("""COMPUTED_VALUE"""),0.0)</f>
        <v>0</v>
      </c>
      <c r="I109" s="3">
        <f>IFERROR(__xludf.DUMMYFUNCTION("""COMPUTED_VALUE"""),0.0)</f>
        <v>0</v>
      </c>
      <c r="J109" s="3">
        <f>IFERROR(__xludf.DUMMYFUNCTION("""COMPUTED_VALUE"""),0.0)</f>
        <v>0</v>
      </c>
      <c r="K109" s="3">
        <f>IFERROR(__xludf.DUMMYFUNCTION("""COMPUTED_VALUE"""),0.0)</f>
        <v>0</v>
      </c>
      <c r="L109" s="3">
        <f>IFERROR(__xludf.DUMMYFUNCTION("""COMPUTED_VALUE"""),0.0)</f>
        <v>0</v>
      </c>
      <c r="M109" s="3">
        <f>IFERROR(__xludf.DUMMYFUNCTION("""COMPUTED_VALUE"""),0.0)</f>
        <v>0</v>
      </c>
      <c r="N109" s="3">
        <f>IFERROR(__xludf.DUMMYFUNCTION("""COMPUTED_VALUE"""),0.0)</f>
        <v>0</v>
      </c>
      <c r="O109" s="3">
        <f>IFERROR(__xludf.DUMMYFUNCTION("""COMPUTED_VALUE"""),0.0)</f>
        <v>0</v>
      </c>
      <c r="P109" s="3">
        <f>IFERROR(__xludf.DUMMYFUNCTION("""COMPUTED_VALUE"""),0.0)</f>
        <v>0</v>
      </c>
      <c r="Q109" s="3">
        <f>IFERROR(__xludf.DUMMYFUNCTION("""COMPUTED_VALUE"""),0.0)</f>
        <v>0</v>
      </c>
      <c r="R109" s="3">
        <f>IFERROR(__xludf.DUMMYFUNCTION("""COMPUTED_VALUE"""),0.0)</f>
        <v>0</v>
      </c>
      <c r="S109" s="3">
        <f>IFERROR(__xludf.DUMMYFUNCTION("""COMPUTED_VALUE"""),0.0)</f>
        <v>0</v>
      </c>
      <c r="T109" s="3">
        <f>IFERROR(__xludf.DUMMYFUNCTION("""COMPUTED_VALUE"""),0.0)</f>
        <v>0</v>
      </c>
      <c r="U109" s="3">
        <f>IFERROR(__xludf.DUMMYFUNCTION("""COMPUTED_VALUE"""),0.0)</f>
        <v>0</v>
      </c>
      <c r="V109" s="3">
        <f>IFERROR(__xludf.DUMMYFUNCTION("""COMPUTED_VALUE"""),0.0)</f>
        <v>0</v>
      </c>
      <c r="W109" s="3">
        <f>IFERROR(__xludf.DUMMYFUNCTION("""COMPUTED_VALUE"""),0.0)</f>
        <v>0</v>
      </c>
      <c r="X109" s="3">
        <f>IFERROR(__xludf.DUMMYFUNCTION("""COMPUTED_VALUE"""),0.0)</f>
        <v>0</v>
      </c>
      <c r="Y109" s="3">
        <f>IFERROR(__xludf.DUMMYFUNCTION("""COMPUTED_VALUE"""),0.0)</f>
        <v>0</v>
      </c>
      <c r="Z109" s="3">
        <f>IFERROR(__xludf.DUMMYFUNCTION("""COMPUTED_VALUE"""),0.0)</f>
        <v>0</v>
      </c>
      <c r="AA109" s="3">
        <f>IFERROR(__xludf.DUMMYFUNCTION("""COMPUTED_VALUE"""),0.0)</f>
        <v>0</v>
      </c>
      <c r="AB109" s="3">
        <f>IFERROR(__xludf.DUMMYFUNCTION("""COMPUTED_VALUE"""),0.0)</f>
        <v>0</v>
      </c>
      <c r="AC109" s="3">
        <f>IFERROR(__xludf.DUMMYFUNCTION("""COMPUTED_VALUE"""),0.0)</f>
        <v>0</v>
      </c>
      <c r="AD109" s="3">
        <f>IFERROR(__xludf.DUMMYFUNCTION("""COMPUTED_VALUE"""),0.0)</f>
        <v>0</v>
      </c>
      <c r="AE109" s="3">
        <f>IFERROR(__xludf.DUMMYFUNCTION("""COMPUTED_VALUE"""),0.0)</f>
        <v>0</v>
      </c>
      <c r="AF109" s="3">
        <f>IFERROR(__xludf.DUMMYFUNCTION("""COMPUTED_VALUE"""),0.0)</f>
        <v>0</v>
      </c>
      <c r="AG109" s="3">
        <f>IFERROR(__xludf.DUMMYFUNCTION("""COMPUTED_VALUE"""),0.0)</f>
        <v>0</v>
      </c>
      <c r="AH109" s="3">
        <f>IFERROR(__xludf.DUMMYFUNCTION("""COMPUTED_VALUE"""),0.0)</f>
        <v>0</v>
      </c>
      <c r="AI109" s="3">
        <f>IFERROR(__xludf.DUMMYFUNCTION("""COMPUTED_VALUE"""),0.0)</f>
        <v>0</v>
      </c>
      <c r="AJ109" s="3">
        <f>IFERROR(__xludf.DUMMYFUNCTION("""COMPUTED_VALUE"""),0.0)</f>
        <v>0</v>
      </c>
      <c r="AK109" s="3">
        <f>IFERROR(__xludf.DUMMYFUNCTION("""COMPUTED_VALUE"""),0.0)</f>
        <v>0</v>
      </c>
      <c r="AL109" s="3">
        <f>IFERROR(__xludf.DUMMYFUNCTION("""COMPUTED_VALUE"""),0.0)</f>
        <v>0</v>
      </c>
      <c r="AM109" s="3">
        <f>IFERROR(__xludf.DUMMYFUNCTION("""COMPUTED_VALUE"""),0.0)</f>
        <v>0</v>
      </c>
      <c r="AN109" s="3">
        <f>IFERROR(__xludf.DUMMYFUNCTION("""COMPUTED_VALUE"""),0.0)</f>
        <v>0</v>
      </c>
      <c r="AO109" s="3">
        <f>IFERROR(__xludf.DUMMYFUNCTION("""COMPUTED_VALUE"""),0.0)</f>
        <v>0</v>
      </c>
      <c r="AP109" s="3">
        <f>IFERROR(__xludf.DUMMYFUNCTION("""COMPUTED_VALUE"""),0.0)</f>
        <v>0</v>
      </c>
      <c r="AQ109" s="3">
        <f>IFERROR(__xludf.DUMMYFUNCTION("""COMPUTED_VALUE"""),0.0)</f>
        <v>0</v>
      </c>
      <c r="AR109" s="3">
        <f>IFERROR(__xludf.DUMMYFUNCTION("""COMPUTED_VALUE"""),0.0)</f>
        <v>0</v>
      </c>
      <c r="AS109" s="3">
        <f>IFERROR(__xludf.DUMMYFUNCTION("""COMPUTED_VALUE"""),0.0)</f>
        <v>0</v>
      </c>
      <c r="AT109" s="3">
        <f>IFERROR(__xludf.DUMMYFUNCTION("""COMPUTED_VALUE"""),0.0)</f>
        <v>0</v>
      </c>
      <c r="AU109" s="3">
        <f>IFERROR(__xludf.DUMMYFUNCTION("""COMPUTED_VALUE"""),0.0)</f>
        <v>0</v>
      </c>
      <c r="AV109" s="3">
        <f>IFERROR(__xludf.DUMMYFUNCTION("""COMPUTED_VALUE"""),0.0)</f>
        <v>0</v>
      </c>
      <c r="AW109" s="3">
        <f>IFERROR(__xludf.DUMMYFUNCTION("""COMPUTED_VALUE"""),0.0)</f>
        <v>0</v>
      </c>
      <c r="AX109" s="3">
        <f>IFERROR(__xludf.DUMMYFUNCTION("""COMPUTED_VALUE"""),0.0)</f>
        <v>0</v>
      </c>
      <c r="AY109" s="3">
        <f>IFERROR(__xludf.DUMMYFUNCTION("""COMPUTED_VALUE"""),0.0)</f>
        <v>0</v>
      </c>
      <c r="AZ109" s="3">
        <f>IFERROR(__xludf.DUMMYFUNCTION("""COMPUTED_VALUE"""),0.0)</f>
        <v>0</v>
      </c>
      <c r="BA109" s="3">
        <f>IFERROR(__xludf.DUMMYFUNCTION("""COMPUTED_VALUE"""),0.0)</f>
        <v>0</v>
      </c>
      <c r="BB109" s="3">
        <f>IFERROR(__xludf.DUMMYFUNCTION("""COMPUTED_VALUE"""),0.0)</f>
        <v>0</v>
      </c>
      <c r="BC109" s="3">
        <f>IFERROR(__xludf.DUMMYFUNCTION("""COMPUTED_VALUE"""),0.0)</f>
        <v>0</v>
      </c>
      <c r="BD109" s="3">
        <f>IFERROR(__xludf.DUMMYFUNCTION("""COMPUTED_VALUE"""),0.0)</f>
        <v>0</v>
      </c>
      <c r="BE109" s="3">
        <f>IFERROR(__xludf.DUMMYFUNCTION("""COMPUTED_VALUE"""),0.0)</f>
        <v>0</v>
      </c>
      <c r="BF109" s="3">
        <f>IFERROR(__xludf.DUMMYFUNCTION("""COMPUTED_VALUE"""),0.0)</f>
        <v>0</v>
      </c>
      <c r="BG109" s="3">
        <f>IFERROR(__xludf.DUMMYFUNCTION("""COMPUTED_VALUE"""),0.0)</f>
        <v>0</v>
      </c>
      <c r="BH109" s="3">
        <f>IFERROR(__xludf.DUMMYFUNCTION("""COMPUTED_VALUE"""),0.0)</f>
        <v>0</v>
      </c>
      <c r="BI109" s="3">
        <f>IFERROR(__xludf.DUMMYFUNCTION("""COMPUTED_VALUE"""),0.0)</f>
        <v>0</v>
      </c>
      <c r="BJ109" s="3">
        <f>IFERROR(__xludf.DUMMYFUNCTION("""COMPUTED_VALUE"""),0.0)</f>
        <v>0</v>
      </c>
      <c r="BK109" s="3">
        <f>IFERROR(__xludf.DUMMYFUNCTION("""COMPUTED_VALUE"""),0.0)</f>
        <v>0</v>
      </c>
      <c r="BL109" s="3">
        <f>IFERROR(__xludf.DUMMYFUNCTION("""COMPUTED_VALUE"""),0.0)</f>
        <v>0</v>
      </c>
      <c r="BM109" s="3">
        <f>IFERROR(__xludf.DUMMYFUNCTION("""COMPUTED_VALUE"""),0.0)</f>
        <v>0</v>
      </c>
      <c r="BN109" s="3">
        <f>IFERROR(__xludf.DUMMYFUNCTION("""COMPUTED_VALUE"""),0.0)</f>
        <v>0</v>
      </c>
      <c r="BO109" s="3">
        <f>IFERROR(__xludf.DUMMYFUNCTION("""COMPUTED_VALUE"""),0.0)</f>
        <v>0</v>
      </c>
      <c r="BP109" s="3">
        <f>IFERROR(__xludf.DUMMYFUNCTION("""COMPUTED_VALUE"""),0.0)</f>
        <v>0</v>
      </c>
      <c r="BQ109" s="3">
        <f>IFERROR(__xludf.DUMMYFUNCTION("""COMPUTED_VALUE"""),0.0)</f>
        <v>0</v>
      </c>
      <c r="BR109" s="3">
        <f>IFERROR(__xludf.DUMMYFUNCTION("""COMPUTED_VALUE"""),0.0)</f>
        <v>0</v>
      </c>
      <c r="BS109" s="3">
        <f>IFERROR(__xludf.DUMMYFUNCTION("""COMPUTED_VALUE"""),0.0)</f>
        <v>0</v>
      </c>
      <c r="BT109" s="3">
        <f>IFERROR(__xludf.DUMMYFUNCTION("""COMPUTED_VALUE"""),0.0)</f>
        <v>0</v>
      </c>
      <c r="BU109" s="3">
        <f>IFERROR(__xludf.DUMMYFUNCTION("""COMPUTED_VALUE"""),2.0)</f>
        <v>2</v>
      </c>
      <c r="BV109" s="3">
        <f>IFERROR(__xludf.DUMMYFUNCTION("""COMPUTED_VALUE"""),2.0)</f>
        <v>2</v>
      </c>
      <c r="BW109" s="3">
        <f>IFERROR(__xludf.DUMMYFUNCTION("""COMPUTED_VALUE"""),2.0)</f>
        <v>2</v>
      </c>
      <c r="BX109" s="3">
        <f>IFERROR(__xludf.DUMMYFUNCTION("""COMPUTED_VALUE"""),2.0)</f>
        <v>2</v>
      </c>
      <c r="BY109" s="3">
        <f>IFERROR(__xludf.DUMMYFUNCTION("""COMPUTED_VALUE"""),2.0)</f>
        <v>2</v>
      </c>
      <c r="BZ109" s="3">
        <f>IFERROR(__xludf.DUMMYFUNCTION("""COMPUTED_VALUE"""),5.0)</f>
        <v>5</v>
      </c>
      <c r="CA109" s="3">
        <f>IFERROR(__xludf.DUMMYFUNCTION("""COMPUTED_VALUE"""),7.0)</f>
        <v>7</v>
      </c>
      <c r="CB109" s="3">
        <f>IFERROR(__xludf.DUMMYFUNCTION("""COMPUTED_VALUE"""),7.0)</f>
        <v>7</v>
      </c>
    </row>
    <row r="110">
      <c r="A110" s="3" t="str">
        <f>IFERROR(__xludf.DUMMYFUNCTION("""COMPUTED_VALUE"""),"")</f>
        <v/>
      </c>
      <c r="B110" s="3" t="str">
        <f>IFERROR(__xludf.DUMMYFUNCTION("""COMPUTED_VALUE"""),"France")</f>
        <v>France</v>
      </c>
      <c r="C110" s="3">
        <f>IFERROR(__xludf.DUMMYFUNCTION("""COMPUTED_VALUE"""),46.2276)</f>
        <v>46.2276</v>
      </c>
      <c r="D110" s="3">
        <f>IFERROR(__xludf.DUMMYFUNCTION("""COMPUTED_VALUE"""),2.2137)</f>
        <v>2.2137</v>
      </c>
      <c r="E110" s="3">
        <f>IFERROR(__xludf.DUMMYFUNCTION("""COMPUTED_VALUE"""),0.0)</f>
        <v>0</v>
      </c>
      <c r="F110" s="3">
        <f>IFERROR(__xludf.DUMMYFUNCTION("""COMPUTED_VALUE"""),0.0)</f>
        <v>0</v>
      </c>
      <c r="G110" s="3">
        <f>IFERROR(__xludf.DUMMYFUNCTION("""COMPUTED_VALUE"""),0.0)</f>
        <v>0</v>
      </c>
      <c r="H110" s="3">
        <f>IFERROR(__xludf.DUMMYFUNCTION("""COMPUTED_VALUE"""),0.0)</f>
        <v>0</v>
      </c>
      <c r="I110" s="3">
        <f>IFERROR(__xludf.DUMMYFUNCTION("""COMPUTED_VALUE"""),0.0)</f>
        <v>0</v>
      </c>
      <c r="J110" s="3">
        <f>IFERROR(__xludf.DUMMYFUNCTION("""COMPUTED_VALUE"""),0.0)</f>
        <v>0</v>
      </c>
      <c r="K110" s="3">
        <f>IFERROR(__xludf.DUMMYFUNCTION("""COMPUTED_VALUE"""),0.0)</f>
        <v>0</v>
      </c>
      <c r="L110" s="3">
        <f>IFERROR(__xludf.DUMMYFUNCTION("""COMPUTED_VALUE"""),0.0)</f>
        <v>0</v>
      </c>
      <c r="M110" s="3">
        <f>IFERROR(__xludf.DUMMYFUNCTION("""COMPUTED_VALUE"""),0.0)</f>
        <v>0</v>
      </c>
      <c r="N110" s="3">
        <f>IFERROR(__xludf.DUMMYFUNCTION("""COMPUTED_VALUE"""),0.0)</f>
        <v>0</v>
      </c>
      <c r="O110" s="3">
        <f>IFERROR(__xludf.DUMMYFUNCTION("""COMPUTED_VALUE"""),0.0)</f>
        <v>0</v>
      </c>
      <c r="P110" s="3">
        <f>IFERROR(__xludf.DUMMYFUNCTION("""COMPUTED_VALUE"""),0.0)</f>
        <v>0</v>
      </c>
      <c r="Q110" s="3">
        <f>IFERROR(__xludf.DUMMYFUNCTION("""COMPUTED_VALUE"""),0.0)</f>
        <v>0</v>
      </c>
      <c r="R110" s="3">
        <f>IFERROR(__xludf.DUMMYFUNCTION("""COMPUTED_VALUE"""),0.0)</f>
        <v>0</v>
      </c>
      <c r="S110" s="3">
        <f>IFERROR(__xludf.DUMMYFUNCTION("""COMPUTED_VALUE"""),0.0)</f>
        <v>0</v>
      </c>
      <c r="T110" s="3">
        <f>IFERROR(__xludf.DUMMYFUNCTION("""COMPUTED_VALUE"""),0.0)</f>
        <v>0</v>
      </c>
      <c r="U110" s="3">
        <f>IFERROR(__xludf.DUMMYFUNCTION("""COMPUTED_VALUE"""),0.0)</f>
        <v>0</v>
      </c>
      <c r="V110" s="3">
        <f>IFERROR(__xludf.DUMMYFUNCTION("""COMPUTED_VALUE"""),0.0)</f>
        <v>0</v>
      </c>
      <c r="W110" s="3">
        <f>IFERROR(__xludf.DUMMYFUNCTION("""COMPUTED_VALUE"""),0.0)</f>
        <v>0</v>
      </c>
      <c r="X110" s="3">
        <f>IFERROR(__xludf.DUMMYFUNCTION("""COMPUTED_VALUE"""),0.0)</f>
        <v>0</v>
      </c>
      <c r="Y110" s="3">
        <f>IFERROR(__xludf.DUMMYFUNCTION("""COMPUTED_VALUE"""),0.0)</f>
        <v>0</v>
      </c>
      <c r="Z110" s="3">
        <f>IFERROR(__xludf.DUMMYFUNCTION("""COMPUTED_VALUE"""),2.0)</f>
        <v>2</v>
      </c>
      <c r="AA110" s="3">
        <f>IFERROR(__xludf.DUMMYFUNCTION("""COMPUTED_VALUE"""),2.0)</f>
        <v>2</v>
      </c>
      <c r="AB110" s="3">
        <f>IFERROR(__xludf.DUMMYFUNCTION("""COMPUTED_VALUE"""),2.0)</f>
        <v>2</v>
      </c>
      <c r="AC110" s="3">
        <f>IFERROR(__xludf.DUMMYFUNCTION("""COMPUTED_VALUE"""),4.0)</f>
        <v>4</v>
      </c>
      <c r="AD110" s="3">
        <f>IFERROR(__xludf.DUMMYFUNCTION("""COMPUTED_VALUE"""),4.0)</f>
        <v>4</v>
      </c>
      <c r="AE110" s="3">
        <f>IFERROR(__xludf.DUMMYFUNCTION("""COMPUTED_VALUE"""),4.0)</f>
        <v>4</v>
      </c>
      <c r="AF110" s="3">
        <f>IFERROR(__xludf.DUMMYFUNCTION("""COMPUTED_VALUE"""),4.0)</f>
        <v>4</v>
      </c>
      <c r="AG110" s="3">
        <f>IFERROR(__xludf.DUMMYFUNCTION("""COMPUTED_VALUE"""),4.0)</f>
        <v>4</v>
      </c>
      <c r="AH110" s="3">
        <f>IFERROR(__xludf.DUMMYFUNCTION("""COMPUTED_VALUE"""),4.0)</f>
        <v>4</v>
      </c>
      <c r="AI110" s="3">
        <f>IFERROR(__xludf.DUMMYFUNCTION("""COMPUTED_VALUE"""),4.0)</f>
        <v>4</v>
      </c>
      <c r="AJ110" s="3">
        <f>IFERROR(__xludf.DUMMYFUNCTION("""COMPUTED_VALUE"""),4.0)</f>
        <v>4</v>
      </c>
      <c r="AK110" s="3">
        <f>IFERROR(__xludf.DUMMYFUNCTION("""COMPUTED_VALUE"""),4.0)</f>
        <v>4</v>
      </c>
      <c r="AL110" s="3">
        <f>IFERROR(__xludf.DUMMYFUNCTION("""COMPUTED_VALUE"""),4.0)</f>
        <v>4</v>
      </c>
      <c r="AM110" s="3">
        <f>IFERROR(__xludf.DUMMYFUNCTION("""COMPUTED_VALUE"""),11.0)</f>
        <v>11</v>
      </c>
      <c r="AN110" s="3">
        <f>IFERROR(__xludf.DUMMYFUNCTION("""COMPUTED_VALUE"""),11.0)</f>
        <v>11</v>
      </c>
      <c r="AO110" s="3">
        <f>IFERROR(__xludf.DUMMYFUNCTION("""COMPUTED_VALUE"""),11.0)</f>
        <v>11</v>
      </c>
      <c r="AP110" s="3">
        <f>IFERROR(__xludf.DUMMYFUNCTION("""COMPUTED_VALUE"""),11.0)</f>
        <v>11</v>
      </c>
      <c r="AQ110" s="3">
        <f>IFERROR(__xludf.DUMMYFUNCTION("""COMPUTED_VALUE"""),12.0)</f>
        <v>12</v>
      </c>
      <c r="AR110" s="3">
        <f>IFERROR(__xludf.DUMMYFUNCTION("""COMPUTED_VALUE"""),12.0)</f>
        <v>12</v>
      </c>
      <c r="AS110" s="3">
        <f>IFERROR(__xludf.DUMMYFUNCTION("""COMPUTED_VALUE"""),12.0)</f>
        <v>12</v>
      </c>
      <c r="AT110" s="3">
        <f>IFERROR(__xludf.DUMMYFUNCTION("""COMPUTED_VALUE"""),12.0)</f>
        <v>12</v>
      </c>
      <c r="AU110" s="3">
        <f>IFERROR(__xludf.DUMMYFUNCTION("""COMPUTED_VALUE"""),12.0)</f>
        <v>12</v>
      </c>
      <c r="AV110" s="3">
        <f>IFERROR(__xludf.DUMMYFUNCTION("""COMPUTED_VALUE"""),12.0)</f>
        <v>12</v>
      </c>
      <c r="AW110" s="3">
        <f>IFERROR(__xludf.DUMMYFUNCTION("""COMPUTED_VALUE"""),12.0)</f>
        <v>12</v>
      </c>
      <c r="AX110" s="3">
        <f>IFERROR(__xludf.DUMMYFUNCTION("""COMPUTED_VALUE"""),12.0)</f>
        <v>12</v>
      </c>
      <c r="AY110" s="3">
        <f>IFERROR(__xludf.DUMMYFUNCTION("""COMPUTED_VALUE"""),12.0)</f>
        <v>12</v>
      </c>
      <c r="AZ110" s="3">
        <f>IFERROR(__xludf.DUMMYFUNCTION("""COMPUTED_VALUE"""),12.0)</f>
        <v>12</v>
      </c>
      <c r="BA110" s="3">
        <f>IFERROR(__xludf.DUMMYFUNCTION("""COMPUTED_VALUE"""),12.0)</f>
        <v>12</v>
      </c>
      <c r="BB110" s="3">
        <f>IFERROR(__xludf.DUMMYFUNCTION("""COMPUTED_VALUE"""),12.0)</f>
        <v>12</v>
      </c>
      <c r="BC110" s="3">
        <f>IFERROR(__xludf.DUMMYFUNCTION("""COMPUTED_VALUE"""),12.0)</f>
        <v>12</v>
      </c>
      <c r="BD110" s="3">
        <f>IFERROR(__xludf.DUMMYFUNCTION("""COMPUTED_VALUE"""),12.0)</f>
        <v>12</v>
      </c>
      <c r="BE110" s="3">
        <f>IFERROR(__xludf.DUMMYFUNCTION("""COMPUTED_VALUE"""),12.0)</f>
        <v>12</v>
      </c>
      <c r="BF110" s="3">
        <f>IFERROR(__xludf.DUMMYFUNCTION("""COMPUTED_VALUE"""),12.0)</f>
        <v>12</v>
      </c>
      <c r="BG110" s="3">
        <f>IFERROR(__xludf.DUMMYFUNCTION("""COMPUTED_VALUE"""),12.0)</f>
        <v>12</v>
      </c>
      <c r="BH110" s="3">
        <f>IFERROR(__xludf.DUMMYFUNCTION("""COMPUTED_VALUE"""),12.0)</f>
        <v>12</v>
      </c>
      <c r="BI110" s="3">
        <f>IFERROR(__xludf.DUMMYFUNCTION("""COMPUTED_VALUE"""),12.0)</f>
        <v>12</v>
      </c>
      <c r="BJ110" s="3">
        <f>IFERROR(__xludf.DUMMYFUNCTION("""COMPUTED_VALUE"""),12.0)</f>
        <v>12</v>
      </c>
      <c r="BK110" s="3">
        <f>IFERROR(__xludf.DUMMYFUNCTION("""COMPUTED_VALUE"""),12.0)</f>
        <v>12</v>
      </c>
      <c r="BL110" s="3">
        <f>IFERROR(__xludf.DUMMYFUNCTION("""COMPUTED_VALUE"""),12.0)</f>
        <v>12</v>
      </c>
      <c r="BM110" s="3">
        <f>IFERROR(__xludf.DUMMYFUNCTION("""COMPUTED_VALUE"""),2200.0)</f>
        <v>2200</v>
      </c>
      <c r="BN110" s="3">
        <f>IFERROR(__xludf.DUMMYFUNCTION("""COMPUTED_VALUE"""),2200.0)</f>
        <v>2200</v>
      </c>
      <c r="BO110" s="3">
        <f>IFERROR(__xludf.DUMMYFUNCTION("""COMPUTED_VALUE"""),3243.0)</f>
        <v>3243</v>
      </c>
      <c r="BP110" s="3">
        <f>IFERROR(__xludf.DUMMYFUNCTION("""COMPUTED_VALUE"""),3900.0)</f>
        <v>3900</v>
      </c>
      <c r="BQ110" s="3">
        <f>IFERROR(__xludf.DUMMYFUNCTION("""COMPUTED_VALUE"""),4948.0)</f>
        <v>4948</v>
      </c>
      <c r="BR110" s="3">
        <f>IFERROR(__xludf.DUMMYFUNCTION("""COMPUTED_VALUE"""),5700.0)</f>
        <v>5700</v>
      </c>
      <c r="BS110" s="3">
        <f>IFERROR(__xludf.DUMMYFUNCTION("""COMPUTED_VALUE"""),5700.0)</f>
        <v>5700</v>
      </c>
      <c r="BT110" s="3">
        <f>IFERROR(__xludf.DUMMYFUNCTION("""COMPUTED_VALUE"""),7202.0)</f>
        <v>7202</v>
      </c>
      <c r="BU110" s="3">
        <f>IFERROR(__xludf.DUMMYFUNCTION("""COMPUTED_VALUE"""),7927.0)</f>
        <v>7927</v>
      </c>
      <c r="BV110" s="3">
        <f>IFERROR(__xludf.DUMMYFUNCTION("""COMPUTED_VALUE"""),9444.0)</f>
        <v>9444</v>
      </c>
      <c r="BW110" s="3">
        <f>IFERROR(__xludf.DUMMYFUNCTION("""COMPUTED_VALUE"""),10934.0)</f>
        <v>10934</v>
      </c>
      <c r="BX110" s="3">
        <f>IFERROR(__xludf.DUMMYFUNCTION("""COMPUTED_VALUE"""),12428.0)</f>
        <v>12428</v>
      </c>
      <c r="BY110" s="3">
        <f>IFERROR(__xludf.DUMMYFUNCTION("""COMPUTED_VALUE"""),14008.0)</f>
        <v>14008</v>
      </c>
      <c r="BZ110" s="3">
        <f>IFERROR(__xludf.DUMMYFUNCTION("""COMPUTED_VALUE"""),15438.0)</f>
        <v>15438</v>
      </c>
      <c r="CA110" s="3">
        <f>IFERROR(__xludf.DUMMYFUNCTION("""COMPUTED_VALUE"""),16183.0)</f>
        <v>16183</v>
      </c>
      <c r="CB110" s="3">
        <f>IFERROR(__xludf.DUMMYFUNCTION("""COMPUTED_VALUE"""),17250.0)</f>
        <v>17250</v>
      </c>
    </row>
    <row r="111">
      <c r="A111" s="3" t="str">
        <f>IFERROR(__xludf.DUMMYFUNCTION("""COMPUTED_VALUE"""),"")</f>
        <v/>
      </c>
      <c r="B111" s="3" t="str">
        <f>IFERROR(__xludf.DUMMYFUNCTION("""COMPUTED_VALUE"""),"Gabon")</f>
        <v>Gabon</v>
      </c>
      <c r="C111" s="3">
        <f>IFERROR(__xludf.DUMMYFUNCTION("""COMPUTED_VALUE"""),-0.8037)</f>
        <v>-0.8037</v>
      </c>
      <c r="D111" s="3">
        <f>IFERROR(__xludf.DUMMYFUNCTION("""COMPUTED_VALUE"""),11.6094)</f>
        <v>11.6094</v>
      </c>
      <c r="E111" s="3">
        <f>IFERROR(__xludf.DUMMYFUNCTION("""COMPUTED_VALUE"""),0.0)</f>
        <v>0</v>
      </c>
      <c r="F111" s="3">
        <f>IFERROR(__xludf.DUMMYFUNCTION("""COMPUTED_VALUE"""),0.0)</f>
        <v>0</v>
      </c>
      <c r="G111" s="3">
        <f>IFERROR(__xludf.DUMMYFUNCTION("""COMPUTED_VALUE"""),0.0)</f>
        <v>0</v>
      </c>
      <c r="H111" s="3">
        <f>IFERROR(__xludf.DUMMYFUNCTION("""COMPUTED_VALUE"""),0.0)</f>
        <v>0</v>
      </c>
      <c r="I111" s="3">
        <f>IFERROR(__xludf.DUMMYFUNCTION("""COMPUTED_VALUE"""),0.0)</f>
        <v>0</v>
      </c>
      <c r="J111" s="3">
        <f>IFERROR(__xludf.DUMMYFUNCTION("""COMPUTED_VALUE"""),0.0)</f>
        <v>0</v>
      </c>
      <c r="K111" s="3">
        <f>IFERROR(__xludf.DUMMYFUNCTION("""COMPUTED_VALUE"""),0.0)</f>
        <v>0</v>
      </c>
      <c r="L111" s="3">
        <f>IFERROR(__xludf.DUMMYFUNCTION("""COMPUTED_VALUE"""),0.0)</f>
        <v>0</v>
      </c>
      <c r="M111" s="3">
        <f>IFERROR(__xludf.DUMMYFUNCTION("""COMPUTED_VALUE"""),0.0)</f>
        <v>0</v>
      </c>
      <c r="N111" s="3">
        <f>IFERROR(__xludf.DUMMYFUNCTION("""COMPUTED_VALUE"""),0.0)</f>
        <v>0</v>
      </c>
      <c r="O111" s="3">
        <f>IFERROR(__xludf.DUMMYFUNCTION("""COMPUTED_VALUE"""),0.0)</f>
        <v>0</v>
      </c>
      <c r="P111" s="3">
        <f>IFERROR(__xludf.DUMMYFUNCTION("""COMPUTED_VALUE"""),0.0)</f>
        <v>0</v>
      </c>
      <c r="Q111" s="3">
        <f>IFERROR(__xludf.DUMMYFUNCTION("""COMPUTED_VALUE"""),0.0)</f>
        <v>0</v>
      </c>
      <c r="R111" s="3">
        <f>IFERROR(__xludf.DUMMYFUNCTION("""COMPUTED_VALUE"""),0.0)</f>
        <v>0</v>
      </c>
      <c r="S111" s="3">
        <f>IFERROR(__xludf.DUMMYFUNCTION("""COMPUTED_VALUE"""),0.0)</f>
        <v>0</v>
      </c>
      <c r="T111" s="3">
        <f>IFERROR(__xludf.DUMMYFUNCTION("""COMPUTED_VALUE"""),0.0)</f>
        <v>0</v>
      </c>
      <c r="U111" s="3">
        <f>IFERROR(__xludf.DUMMYFUNCTION("""COMPUTED_VALUE"""),0.0)</f>
        <v>0</v>
      </c>
      <c r="V111" s="3">
        <f>IFERROR(__xludf.DUMMYFUNCTION("""COMPUTED_VALUE"""),0.0)</f>
        <v>0</v>
      </c>
      <c r="W111" s="3">
        <f>IFERROR(__xludf.DUMMYFUNCTION("""COMPUTED_VALUE"""),0.0)</f>
        <v>0</v>
      </c>
      <c r="X111" s="3">
        <f>IFERROR(__xludf.DUMMYFUNCTION("""COMPUTED_VALUE"""),0.0)</f>
        <v>0</v>
      </c>
      <c r="Y111" s="3">
        <f>IFERROR(__xludf.DUMMYFUNCTION("""COMPUTED_VALUE"""),0.0)</f>
        <v>0</v>
      </c>
      <c r="Z111" s="3">
        <f>IFERROR(__xludf.DUMMYFUNCTION("""COMPUTED_VALUE"""),0.0)</f>
        <v>0</v>
      </c>
      <c r="AA111" s="3">
        <f>IFERROR(__xludf.DUMMYFUNCTION("""COMPUTED_VALUE"""),0.0)</f>
        <v>0</v>
      </c>
      <c r="AB111" s="3">
        <f>IFERROR(__xludf.DUMMYFUNCTION("""COMPUTED_VALUE"""),0.0)</f>
        <v>0</v>
      </c>
      <c r="AC111" s="3">
        <f>IFERROR(__xludf.DUMMYFUNCTION("""COMPUTED_VALUE"""),0.0)</f>
        <v>0</v>
      </c>
      <c r="AD111" s="3">
        <f>IFERROR(__xludf.DUMMYFUNCTION("""COMPUTED_VALUE"""),0.0)</f>
        <v>0</v>
      </c>
      <c r="AE111" s="3">
        <f>IFERROR(__xludf.DUMMYFUNCTION("""COMPUTED_VALUE"""),0.0)</f>
        <v>0</v>
      </c>
      <c r="AF111" s="3">
        <f>IFERROR(__xludf.DUMMYFUNCTION("""COMPUTED_VALUE"""),0.0)</f>
        <v>0</v>
      </c>
      <c r="AG111" s="3">
        <f>IFERROR(__xludf.DUMMYFUNCTION("""COMPUTED_VALUE"""),0.0)</f>
        <v>0</v>
      </c>
      <c r="AH111" s="3">
        <f>IFERROR(__xludf.DUMMYFUNCTION("""COMPUTED_VALUE"""),0.0)</f>
        <v>0</v>
      </c>
      <c r="AI111" s="3">
        <f>IFERROR(__xludf.DUMMYFUNCTION("""COMPUTED_VALUE"""),0.0)</f>
        <v>0</v>
      </c>
      <c r="AJ111" s="3">
        <f>IFERROR(__xludf.DUMMYFUNCTION("""COMPUTED_VALUE"""),0.0)</f>
        <v>0</v>
      </c>
      <c r="AK111" s="3">
        <f>IFERROR(__xludf.DUMMYFUNCTION("""COMPUTED_VALUE"""),0.0)</f>
        <v>0</v>
      </c>
      <c r="AL111" s="3">
        <f>IFERROR(__xludf.DUMMYFUNCTION("""COMPUTED_VALUE"""),0.0)</f>
        <v>0</v>
      </c>
      <c r="AM111" s="3">
        <f>IFERROR(__xludf.DUMMYFUNCTION("""COMPUTED_VALUE"""),0.0)</f>
        <v>0</v>
      </c>
      <c r="AN111" s="3">
        <f>IFERROR(__xludf.DUMMYFUNCTION("""COMPUTED_VALUE"""),0.0)</f>
        <v>0</v>
      </c>
      <c r="AO111" s="3">
        <f>IFERROR(__xludf.DUMMYFUNCTION("""COMPUTED_VALUE"""),0.0)</f>
        <v>0</v>
      </c>
      <c r="AP111" s="3">
        <f>IFERROR(__xludf.DUMMYFUNCTION("""COMPUTED_VALUE"""),0.0)</f>
        <v>0</v>
      </c>
      <c r="AQ111" s="3">
        <f>IFERROR(__xludf.DUMMYFUNCTION("""COMPUTED_VALUE"""),0.0)</f>
        <v>0</v>
      </c>
      <c r="AR111" s="3">
        <f>IFERROR(__xludf.DUMMYFUNCTION("""COMPUTED_VALUE"""),0.0)</f>
        <v>0</v>
      </c>
      <c r="AS111" s="3">
        <f>IFERROR(__xludf.DUMMYFUNCTION("""COMPUTED_VALUE"""),0.0)</f>
        <v>0</v>
      </c>
      <c r="AT111" s="3">
        <f>IFERROR(__xludf.DUMMYFUNCTION("""COMPUTED_VALUE"""),0.0)</f>
        <v>0</v>
      </c>
      <c r="AU111" s="3">
        <f>IFERROR(__xludf.DUMMYFUNCTION("""COMPUTED_VALUE"""),0.0)</f>
        <v>0</v>
      </c>
      <c r="AV111" s="3">
        <f>IFERROR(__xludf.DUMMYFUNCTION("""COMPUTED_VALUE"""),0.0)</f>
        <v>0</v>
      </c>
      <c r="AW111" s="3">
        <f>IFERROR(__xludf.DUMMYFUNCTION("""COMPUTED_VALUE"""),0.0)</f>
        <v>0</v>
      </c>
      <c r="AX111" s="3">
        <f>IFERROR(__xludf.DUMMYFUNCTION("""COMPUTED_VALUE"""),0.0)</f>
        <v>0</v>
      </c>
      <c r="AY111" s="3">
        <f>IFERROR(__xludf.DUMMYFUNCTION("""COMPUTED_VALUE"""),0.0)</f>
        <v>0</v>
      </c>
      <c r="AZ111" s="3">
        <f>IFERROR(__xludf.DUMMYFUNCTION("""COMPUTED_VALUE"""),0.0)</f>
        <v>0</v>
      </c>
      <c r="BA111" s="3">
        <f>IFERROR(__xludf.DUMMYFUNCTION("""COMPUTED_VALUE"""),0.0)</f>
        <v>0</v>
      </c>
      <c r="BB111" s="3">
        <f>IFERROR(__xludf.DUMMYFUNCTION("""COMPUTED_VALUE"""),0.0)</f>
        <v>0</v>
      </c>
      <c r="BC111" s="3">
        <f>IFERROR(__xludf.DUMMYFUNCTION("""COMPUTED_VALUE"""),0.0)</f>
        <v>0</v>
      </c>
      <c r="BD111" s="3">
        <f>IFERROR(__xludf.DUMMYFUNCTION("""COMPUTED_VALUE"""),0.0)</f>
        <v>0</v>
      </c>
      <c r="BE111" s="3">
        <f>IFERROR(__xludf.DUMMYFUNCTION("""COMPUTED_VALUE"""),0.0)</f>
        <v>0</v>
      </c>
      <c r="BF111" s="3">
        <f>IFERROR(__xludf.DUMMYFUNCTION("""COMPUTED_VALUE"""),0.0)</f>
        <v>0</v>
      </c>
      <c r="BG111" s="3">
        <f>IFERROR(__xludf.DUMMYFUNCTION("""COMPUTED_VALUE"""),0.0)</f>
        <v>0</v>
      </c>
      <c r="BH111" s="3">
        <f>IFERROR(__xludf.DUMMYFUNCTION("""COMPUTED_VALUE"""),0.0)</f>
        <v>0</v>
      </c>
      <c r="BI111" s="3">
        <f>IFERROR(__xludf.DUMMYFUNCTION("""COMPUTED_VALUE"""),0.0)</f>
        <v>0</v>
      </c>
      <c r="BJ111" s="3">
        <f>IFERROR(__xludf.DUMMYFUNCTION("""COMPUTED_VALUE"""),0.0)</f>
        <v>0</v>
      </c>
      <c r="BK111" s="3">
        <f>IFERROR(__xludf.DUMMYFUNCTION("""COMPUTED_VALUE"""),0.0)</f>
        <v>0</v>
      </c>
      <c r="BL111" s="3">
        <f>IFERROR(__xludf.DUMMYFUNCTION("""COMPUTED_VALUE"""),0.0)</f>
        <v>0</v>
      </c>
      <c r="BM111" s="3">
        <f>IFERROR(__xludf.DUMMYFUNCTION("""COMPUTED_VALUE"""),0.0)</f>
        <v>0</v>
      </c>
      <c r="BN111" s="3">
        <f>IFERROR(__xludf.DUMMYFUNCTION("""COMPUTED_VALUE"""),0.0)</f>
        <v>0</v>
      </c>
      <c r="BO111" s="3">
        <f>IFERROR(__xludf.DUMMYFUNCTION("""COMPUTED_VALUE"""),0.0)</f>
        <v>0</v>
      </c>
      <c r="BP111" s="3">
        <f>IFERROR(__xludf.DUMMYFUNCTION("""COMPUTED_VALUE"""),0.0)</f>
        <v>0</v>
      </c>
      <c r="BQ111" s="3">
        <f>IFERROR(__xludf.DUMMYFUNCTION("""COMPUTED_VALUE"""),0.0)</f>
        <v>0</v>
      </c>
      <c r="BR111" s="3">
        <f>IFERROR(__xludf.DUMMYFUNCTION("""COMPUTED_VALUE"""),0.0)</f>
        <v>0</v>
      </c>
      <c r="BS111" s="3">
        <f>IFERROR(__xludf.DUMMYFUNCTION("""COMPUTED_VALUE"""),0.0)</f>
        <v>0</v>
      </c>
      <c r="BT111" s="3">
        <f>IFERROR(__xludf.DUMMYFUNCTION("""COMPUTED_VALUE"""),0.0)</f>
        <v>0</v>
      </c>
      <c r="BU111" s="3">
        <f>IFERROR(__xludf.DUMMYFUNCTION("""COMPUTED_VALUE"""),0.0)</f>
        <v>0</v>
      </c>
      <c r="BV111" s="3">
        <f>IFERROR(__xludf.DUMMYFUNCTION("""COMPUTED_VALUE"""),0.0)</f>
        <v>0</v>
      </c>
      <c r="BW111" s="3">
        <f>IFERROR(__xludf.DUMMYFUNCTION("""COMPUTED_VALUE"""),0.0)</f>
        <v>0</v>
      </c>
      <c r="BX111" s="3">
        <f>IFERROR(__xludf.DUMMYFUNCTION("""COMPUTED_VALUE"""),0.0)</f>
        <v>0</v>
      </c>
      <c r="BY111" s="3">
        <f>IFERROR(__xludf.DUMMYFUNCTION("""COMPUTED_VALUE"""),1.0)</f>
        <v>1</v>
      </c>
      <c r="BZ111" s="3">
        <f>IFERROR(__xludf.DUMMYFUNCTION("""COMPUTED_VALUE"""),1.0)</f>
        <v>1</v>
      </c>
      <c r="CA111" s="3">
        <f>IFERROR(__xludf.DUMMYFUNCTION("""COMPUTED_VALUE"""),1.0)</f>
        <v>1</v>
      </c>
      <c r="CB111" s="3">
        <f>IFERROR(__xludf.DUMMYFUNCTION("""COMPUTED_VALUE"""),1.0)</f>
        <v>1</v>
      </c>
    </row>
    <row r="112">
      <c r="A112" s="3" t="str">
        <f>IFERROR(__xludf.DUMMYFUNCTION("""COMPUTED_VALUE"""),"")</f>
        <v/>
      </c>
      <c r="B112" s="3" t="str">
        <f>IFERROR(__xludf.DUMMYFUNCTION("""COMPUTED_VALUE"""),"Gambia")</f>
        <v>Gambia</v>
      </c>
      <c r="C112" s="3">
        <f>IFERROR(__xludf.DUMMYFUNCTION("""COMPUTED_VALUE"""),13.4432)</f>
        <v>13.4432</v>
      </c>
      <c r="D112" s="3">
        <f>IFERROR(__xludf.DUMMYFUNCTION("""COMPUTED_VALUE"""),-15.3101)</f>
        <v>-15.3101</v>
      </c>
      <c r="E112" s="3">
        <f>IFERROR(__xludf.DUMMYFUNCTION("""COMPUTED_VALUE"""),0.0)</f>
        <v>0</v>
      </c>
      <c r="F112" s="3">
        <f>IFERROR(__xludf.DUMMYFUNCTION("""COMPUTED_VALUE"""),0.0)</f>
        <v>0</v>
      </c>
      <c r="G112" s="3">
        <f>IFERROR(__xludf.DUMMYFUNCTION("""COMPUTED_VALUE"""),0.0)</f>
        <v>0</v>
      </c>
      <c r="H112" s="3">
        <f>IFERROR(__xludf.DUMMYFUNCTION("""COMPUTED_VALUE"""),0.0)</f>
        <v>0</v>
      </c>
      <c r="I112" s="3">
        <f>IFERROR(__xludf.DUMMYFUNCTION("""COMPUTED_VALUE"""),0.0)</f>
        <v>0</v>
      </c>
      <c r="J112" s="3">
        <f>IFERROR(__xludf.DUMMYFUNCTION("""COMPUTED_VALUE"""),0.0)</f>
        <v>0</v>
      </c>
      <c r="K112" s="3">
        <f>IFERROR(__xludf.DUMMYFUNCTION("""COMPUTED_VALUE"""),0.0)</f>
        <v>0</v>
      </c>
      <c r="L112" s="3">
        <f>IFERROR(__xludf.DUMMYFUNCTION("""COMPUTED_VALUE"""),0.0)</f>
        <v>0</v>
      </c>
      <c r="M112" s="3">
        <f>IFERROR(__xludf.DUMMYFUNCTION("""COMPUTED_VALUE"""),0.0)</f>
        <v>0</v>
      </c>
      <c r="N112" s="3">
        <f>IFERROR(__xludf.DUMMYFUNCTION("""COMPUTED_VALUE"""),0.0)</f>
        <v>0</v>
      </c>
      <c r="O112" s="3">
        <f>IFERROR(__xludf.DUMMYFUNCTION("""COMPUTED_VALUE"""),0.0)</f>
        <v>0</v>
      </c>
      <c r="P112" s="3">
        <f>IFERROR(__xludf.DUMMYFUNCTION("""COMPUTED_VALUE"""),0.0)</f>
        <v>0</v>
      </c>
      <c r="Q112" s="3">
        <f>IFERROR(__xludf.DUMMYFUNCTION("""COMPUTED_VALUE"""),0.0)</f>
        <v>0</v>
      </c>
      <c r="R112" s="3">
        <f>IFERROR(__xludf.DUMMYFUNCTION("""COMPUTED_VALUE"""),0.0)</f>
        <v>0</v>
      </c>
      <c r="S112" s="3">
        <f>IFERROR(__xludf.DUMMYFUNCTION("""COMPUTED_VALUE"""),0.0)</f>
        <v>0</v>
      </c>
      <c r="T112" s="3">
        <f>IFERROR(__xludf.DUMMYFUNCTION("""COMPUTED_VALUE"""),0.0)</f>
        <v>0</v>
      </c>
      <c r="U112" s="3">
        <f>IFERROR(__xludf.DUMMYFUNCTION("""COMPUTED_VALUE"""),0.0)</f>
        <v>0</v>
      </c>
      <c r="V112" s="3">
        <f>IFERROR(__xludf.DUMMYFUNCTION("""COMPUTED_VALUE"""),0.0)</f>
        <v>0</v>
      </c>
      <c r="W112" s="3">
        <f>IFERROR(__xludf.DUMMYFUNCTION("""COMPUTED_VALUE"""),0.0)</f>
        <v>0</v>
      </c>
      <c r="X112" s="3">
        <f>IFERROR(__xludf.DUMMYFUNCTION("""COMPUTED_VALUE"""),0.0)</f>
        <v>0</v>
      </c>
      <c r="Y112" s="3">
        <f>IFERROR(__xludf.DUMMYFUNCTION("""COMPUTED_VALUE"""),0.0)</f>
        <v>0</v>
      </c>
      <c r="Z112" s="3">
        <f>IFERROR(__xludf.DUMMYFUNCTION("""COMPUTED_VALUE"""),0.0)</f>
        <v>0</v>
      </c>
      <c r="AA112" s="3">
        <f>IFERROR(__xludf.DUMMYFUNCTION("""COMPUTED_VALUE"""),0.0)</f>
        <v>0</v>
      </c>
      <c r="AB112" s="3">
        <f>IFERROR(__xludf.DUMMYFUNCTION("""COMPUTED_VALUE"""),0.0)</f>
        <v>0</v>
      </c>
      <c r="AC112" s="3">
        <f>IFERROR(__xludf.DUMMYFUNCTION("""COMPUTED_VALUE"""),0.0)</f>
        <v>0</v>
      </c>
      <c r="AD112" s="3">
        <f>IFERROR(__xludf.DUMMYFUNCTION("""COMPUTED_VALUE"""),0.0)</f>
        <v>0</v>
      </c>
      <c r="AE112" s="3">
        <f>IFERROR(__xludf.DUMMYFUNCTION("""COMPUTED_VALUE"""),0.0)</f>
        <v>0</v>
      </c>
      <c r="AF112" s="3">
        <f>IFERROR(__xludf.DUMMYFUNCTION("""COMPUTED_VALUE"""),0.0)</f>
        <v>0</v>
      </c>
      <c r="AG112" s="3">
        <f>IFERROR(__xludf.DUMMYFUNCTION("""COMPUTED_VALUE"""),0.0)</f>
        <v>0</v>
      </c>
      <c r="AH112" s="3">
        <f>IFERROR(__xludf.DUMMYFUNCTION("""COMPUTED_VALUE"""),0.0)</f>
        <v>0</v>
      </c>
      <c r="AI112" s="3">
        <f>IFERROR(__xludf.DUMMYFUNCTION("""COMPUTED_VALUE"""),0.0)</f>
        <v>0</v>
      </c>
      <c r="AJ112" s="3">
        <f>IFERROR(__xludf.DUMMYFUNCTION("""COMPUTED_VALUE"""),0.0)</f>
        <v>0</v>
      </c>
      <c r="AK112" s="3">
        <f>IFERROR(__xludf.DUMMYFUNCTION("""COMPUTED_VALUE"""),0.0)</f>
        <v>0</v>
      </c>
      <c r="AL112" s="3">
        <f>IFERROR(__xludf.DUMMYFUNCTION("""COMPUTED_VALUE"""),0.0)</f>
        <v>0</v>
      </c>
      <c r="AM112" s="3">
        <f>IFERROR(__xludf.DUMMYFUNCTION("""COMPUTED_VALUE"""),0.0)</f>
        <v>0</v>
      </c>
      <c r="AN112" s="3">
        <f>IFERROR(__xludf.DUMMYFUNCTION("""COMPUTED_VALUE"""),0.0)</f>
        <v>0</v>
      </c>
      <c r="AO112" s="3">
        <f>IFERROR(__xludf.DUMMYFUNCTION("""COMPUTED_VALUE"""),0.0)</f>
        <v>0</v>
      </c>
      <c r="AP112" s="3">
        <f>IFERROR(__xludf.DUMMYFUNCTION("""COMPUTED_VALUE"""),0.0)</f>
        <v>0</v>
      </c>
      <c r="AQ112" s="3">
        <f>IFERROR(__xludf.DUMMYFUNCTION("""COMPUTED_VALUE"""),0.0)</f>
        <v>0</v>
      </c>
      <c r="AR112" s="3">
        <f>IFERROR(__xludf.DUMMYFUNCTION("""COMPUTED_VALUE"""),0.0)</f>
        <v>0</v>
      </c>
      <c r="AS112" s="3">
        <f>IFERROR(__xludf.DUMMYFUNCTION("""COMPUTED_VALUE"""),0.0)</f>
        <v>0</v>
      </c>
      <c r="AT112" s="3">
        <f>IFERROR(__xludf.DUMMYFUNCTION("""COMPUTED_VALUE"""),0.0)</f>
        <v>0</v>
      </c>
      <c r="AU112" s="3">
        <f>IFERROR(__xludf.DUMMYFUNCTION("""COMPUTED_VALUE"""),0.0)</f>
        <v>0</v>
      </c>
      <c r="AV112" s="3">
        <f>IFERROR(__xludf.DUMMYFUNCTION("""COMPUTED_VALUE"""),0.0)</f>
        <v>0</v>
      </c>
      <c r="AW112" s="3">
        <f>IFERROR(__xludf.DUMMYFUNCTION("""COMPUTED_VALUE"""),0.0)</f>
        <v>0</v>
      </c>
      <c r="AX112" s="3">
        <f>IFERROR(__xludf.DUMMYFUNCTION("""COMPUTED_VALUE"""),0.0)</f>
        <v>0</v>
      </c>
      <c r="AY112" s="3">
        <f>IFERROR(__xludf.DUMMYFUNCTION("""COMPUTED_VALUE"""),0.0)</f>
        <v>0</v>
      </c>
      <c r="AZ112" s="3">
        <f>IFERROR(__xludf.DUMMYFUNCTION("""COMPUTED_VALUE"""),0.0)</f>
        <v>0</v>
      </c>
      <c r="BA112" s="3">
        <f>IFERROR(__xludf.DUMMYFUNCTION("""COMPUTED_VALUE"""),0.0)</f>
        <v>0</v>
      </c>
      <c r="BB112" s="3">
        <f>IFERROR(__xludf.DUMMYFUNCTION("""COMPUTED_VALUE"""),0.0)</f>
        <v>0</v>
      </c>
      <c r="BC112" s="3">
        <f>IFERROR(__xludf.DUMMYFUNCTION("""COMPUTED_VALUE"""),0.0)</f>
        <v>0</v>
      </c>
      <c r="BD112" s="3">
        <f>IFERROR(__xludf.DUMMYFUNCTION("""COMPUTED_VALUE"""),0.0)</f>
        <v>0</v>
      </c>
      <c r="BE112" s="3">
        <f>IFERROR(__xludf.DUMMYFUNCTION("""COMPUTED_VALUE"""),0.0)</f>
        <v>0</v>
      </c>
      <c r="BF112" s="3">
        <f>IFERROR(__xludf.DUMMYFUNCTION("""COMPUTED_VALUE"""),0.0)</f>
        <v>0</v>
      </c>
      <c r="BG112" s="3">
        <f>IFERROR(__xludf.DUMMYFUNCTION("""COMPUTED_VALUE"""),0.0)</f>
        <v>0</v>
      </c>
      <c r="BH112" s="3">
        <f>IFERROR(__xludf.DUMMYFUNCTION("""COMPUTED_VALUE"""),0.0)</f>
        <v>0</v>
      </c>
      <c r="BI112" s="3">
        <f>IFERROR(__xludf.DUMMYFUNCTION("""COMPUTED_VALUE"""),0.0)</f>
        <v>0</v>
      </c>
      <c r="BJ112" s="3">
        <f>IFERROR(__xludf.DUMMYFUNCTION("""COMPUTED_VALUE"""),0.0)</f>
        <v>0</v>
      </c>
      <c r="BK112" s="3">
        <f>IFERROR(__xludf.DUMMYFUNCTION("""COMPUTED_VALUE"""),0.0)</f>
        <v>0</v>
      </c>
      <c r="BL112" s="3">
        <f>IFERROR(__xludf.DUMMYFUNCTION("""COMPUTED_VALUE"""),0.0)</f>
        <v>0</v>
      </c>
      <c r="BM112" s="3">
        <f>IFERROR(__xludf.DUMMYFUNCTION("""COMPUTED_VALUE"""),0.0)</f>
        <v>0</v>
      </c>
      <c r="BN112" s="3">
        <f>IFERROR(__xludf.DUMMYFUNCTION("""COMPUTED_VALUE"""),0.0)</f>
        <v>0</v>
      </c>
      <c r="BO112" s="3">
        <f>IFERROR(__xludf.DUMMYFUNCTION("""COMPUTED_VALUE"""),0.0)</f>
        <v>0</v>
      </c>
      <c r="BP112" s="3">
        <f>IFERROR(__xludf.DUMMYFUNCTION("""COMPUTED_VALUE"""),0.0)</f>
        <v>0</v>
      </c>
      <c r="BQ112" s="3">
        <f>IFERROR(__xludf.DUMMYFUNCTION("""COMPUTED_VALUE"""),0.0)</f>
        <v>0</v>
      </c>
      <c r="BR112" s="3">
        <f>IFERROR(__xludf.DUMMYFUNCTION("""COMPUTED_VALUE"""),0.0)</f>
        <v>0</v>
      </c>
      <c r="BS112" s="3">
        <f>IFERROR(__xludf.DUMMYFUNCTION("""COMPUTED_VALUE"""),0.0)</f>
        <v>0</v>
      </c>
      <c r="BT112" s="3">
        <f>IFERROR(__xludf.DUMMYFUNCTION("""COMPUTED_VALUE"""),0.0)</f>
        <v>0</v>
      </c>
      <c r="BU112" s="3">
        <f>IFERROR(__xludf.DUMMYFUNCTION("""COMPUTED_VALUE"""),0.0)</f>
        <v>0</v>
      </c>
      <c r="BV112" s="3">
        <f>IFERROR(__xludf.DUMMYFUNCTION("""COMPUTED_VALUE"""),0.0)</f>
        <v>0</v>
      </c>
      <c r="BW112" s="3">
        <f>IFERROR(__xludf.DUMMYFUNCTION("""COMPUTED_VALUE"""),2.0)</f>
        <v>2</v>
      </c>
      <c r="BX112" s="3">
        <f>IFERROR(__xludf.DUMMYFUNCTION("""COMPUTED_VALUE"""),2.0)</f>
        <v>2</v>
      </c>
      <c r="BY112" s="3">
        <f>IFERROR(__xludf.DUMMYFUNCTION("""COMPUTED_VALUE"""),2.0)</f>
        <v>2</v>
      </c>
      <c r="BZ112" s="3">
        <f>IFERROR(__xludf.DUMMYFUNCTION("""COMPUTED_VALUE"""),2.0)</f>
        <v>2</v>
      </c>
      <c r="CA112" s="3">
        <f>IFERROR(__xludf.DUMMYFUNCTION("""COMPUTED_VALUE"""),2.0)</f>
        <v>2</v>
      </c>
      <c r="CB112" s="3">
        <f>IFERROR(__xludf.DUMMYFUNCTION("""COMPUTED_VALUE"""),2.0)</f>
        <v>2</v>
      </c>
    </row>
    <row r="113">
      <c r="A113" s="3" t="str">
        <f>IFERROR(__xludf.DUMMYFUNCTION("""COMPUTED_VALUE"""),"")</f>
        <v/>
      </c>
      <c r="B113" s="3" t="str">
        <f>IFERROR(__xludf.DUMMYFUNCTION("""COMPUTED_VALUE"""),"Georgia")</f>
        <v>Georgia</v>
      </c>
      <c r="C113" s="3">
        <f>IFERROR(__xludf.DUMMYFUNCTION("""COMPUTED_VALUE"""),42.3154)</f>
        <v>42.3154</v>
      </c>
      <c r="D113" s="3">
        <f>IFERROR(__xludf.DUMMYFUNCTION("""COMPUTED_VALUE"""),43.3569)</f>
        <v>43.3569</v>
      </c>
      <c r="E113" s="3">
        <f>IFERROR(__xludf.DUMMYFUNCTION("""COMPUTED_VALUE"""),0.0)</f>
        <v>0</v>
      </c>
      <c r="F113" s="3">
        <f>IFERROR(__xludf.DUMMYFUNCTION("""COMPUTED_VALUE"""),0.0)</f>
        <v>0</v>
      </c>
      <c r="G113" s="3">
        <f>IFERROR(__xludf.DUMMYFUNCTION("""COMPUTED_VALUE"""),0.0)</f>
        <v>0</v>
      </c>
      <c r="H113" s="3">
        <f>IFERROR(__xludf.DUMMYFUNCTION("""COMPUTED_VALUE"""),0.0)</f>
        <v>0</v>
      </c>
      <c r="I113" s="3">
        <f>IFERROR(__xludf.DUMMYFUNCTION("""COMPUTED_VALUE"""),0.0)</f>
        <v>0</v>
      </c>
      <c r="J113" s="3">
        <f>IFERROR(__xludf.DUMMYFUNCTION("""COMPUTED_VALUE"""),0.0)</f>
        <v>0</v>
      </c>
      <c r="K113" s="3">
        <f>IFERROR(__xludf.DUMMYFUNCTION("""COMPUTED_VALUE"""),0.0)</f>
        <v>0</v>
      </c>
      <c r="L113" s="3">
        <f>IFERROR(__xludf.DUMMYFUNCTION("""COMPUTED_VALUE"""),0.0)</f>
        <v>0</v>
      </c>
      <c r="M113" s="3">
        <f>IFERROR(__xludf.DUMMYFUNCTION("""COMPUTED_VALUE"""),0.0)</f>
        <v>0</v>
      </c>
      <c r="N113" s="3">
        <f>IFERROR(__xludf.DUMMYFUNCTION("""COMPUTED_VALUE"""),0.0)</f>
        <v>0</v>
      </c>
      <c r="O113" s="3">
        <f>IFERROR(__xludf.DUMMYFUNCTION("""COMPUTED_VALUE"""),0.0)</f>
        <v>0</v>
      </c>
      <c r="P113" s="3">
        <f>IFERROR(__xludf.DUMMYFUNCTION("""COMPUTED_VALUE"""),0.0)</f>
        <v>0</v>
      </c>
      <c r="Q113" s="3">
        <f>IFERROR(__xludf.DUMMYFUNCTION("""COMPUTED_VALUE"""),0.0)</f>
        <v>0</v>
      </c>
      <c r="R113" s="3">
        <f>IFERROR(__xludf.DUMMYFUNCTION("""COMPUTED_VALUE"""),0.0)</f>
        <v>0</v>
      </c>
      <c r="S113" s="3">
        <f>IFERROR(__xludf.DUMMYFUNCTION("""COMPUTED_VALUE"""),0.0)</f>
        <v>0</v>
      </c>
      <c r="T113" s="3">
        <f>IFERROR(__xludf.DUMMYFUNCTION("""COMPUTED_VALUE"""),0.0)</f>
        <v>0</v>
      </c>
      <c r="U113" s="3">
        <f>IFERROR(__xludf.DUMMYFUNCTION("""COMPUTED_VALUE"""),0.0)</f>
        <v>0</v>
      </c>
      <c r="V113" s="3">
        <f>IFERROR(__xludf.DUMMYFUNCTION("""COMPUTED_VALUE"""),0.0)</f>
        <v>0</v>
      </c>
      <c r="W113" s="3">
        <f>IFERROR(__xludf.DUMMYFUNCTION("""COMPUTED_VALUE"""),0.0)</f>
        <v>0</v>
      </c>
      <c r="X113" s="3">
        <f>IFERROR(__xludf.DUMMYFUNCTION("""COMPUTED_VALUE"""),0.0)</f>
        <v>0</v>
      </c>
      <c r="Y113" s="3">
        <f>IFERROR(__xludf.DUMMYFUNCTION("""COMPUTED_VALUE"""),0.0)</f>
        <v>0</v>
      </c>
      <c r="Z113" s="3">
        <f>IFERROR(__xludf.DUMMYFUNCTION("""COMPUTED_VALUE"""),0.0)</f>
        <v>0</v>
      </c>
      <c r="AA113" s="3">
        <f>IFERROR(__xludf.DUMMYFUNCTION("""COMPUTED_VALUE"""),0.0)</f>
        <v>0</v>
      </c>
      <c r="AB113" s="3">
        <f>IFERROR(__xludf.DUMMYFUNCTION("""COMPUTED_VALUE"""),0.0)</f>
        <v>0</v>
      </c>
      <c r="AC113" s="3">
        <f>IFERROR(__xludf.DUMMYFUNCTION("""COMPUTED_VALUE"""),0.0)</f>
        <v>0</v>
      </c>
      <c r="AD113" s="3">
        <f>IFERROR(__xludf.DUMMYFUNCTION("""COMPUTED_VALUE"""),0.0)</f>
        <v>0</v>
      </c>
      <c r="AE113" s="3">
        <f>IFERROR(__xludf.DUMMYFUNCTION("""COMPUTED_VALUE"""),0.0)</f>
        <v>0</v>
      </c>
      <c r="AF113" s="3">
        <f>IFERROR(__xludf.DUMMYFUNCTION("""COMPUTED_VALUE"""),0.0)</f>
        <v>0</v>
      </c>
      <c r="AG113" s="3">
        <f>IFERROR(__xludf.DUMMYFUNCTION("""COMPUTED_VALUE"""),0.0)</f>
        <v>0</v>
      </c>
      <c r="AH113" s="3">
        <f>IFERROR(__xludf.DUMMYFUNCTION("""COMPUTED_VALUE"""),0.0)</f>
        <v>0</v>
      </c>
      <c r="AI113" s="3">
        <f>IFERROR(__xludf.DUMMYFUNCTION("""COMPUTED_VALUE"""),0.0)</f>
        <v>0</v>
      </c>
      <c r="AJ113" s="3">
        <f>IFERROR(__xludf.DUMMYFUNCTION("""COMPUTED_VALUE"""),0.0)</f>
        <v>0</v>
      </c>
      <c r="AK113" s="3">
        <f>IFERROR(__xludf.DUMMYFUNCTION("""COMPUTED_VALUE"""),0.0)</f>
        <v>0</v>
      </c>
      <c r="AL113" s="3">
        <f>IFERROR(__xludf.DUMMYFUNCTION("""COMPUTED_VALUE"""),0.0)</f>
        <v>0</v>
      </c>
      <c r="AM113" s="3">
        <f>IFERROR(__xludf.DUMMYFUNCTION("""COMPUTED_VALUE"""),0.0)</f>
        <v>0</v>
      </c>
      <c r="AN113" s="3">
        <f>IFERROR(__xludf.DUMMYFUNCTION("""COMPUTED_VALUE"""),0.0)</f>
        <v>0</v>
      </c>
      <c r="AO113" s="3">
        <f>IFERROR(__xludf.DUMMYFUNCTION("""COMPUTED_VALUE"""),0.0)</f>
        <v>0</v>
      </c>
      <c r="AP113" s="3">
        <f>IFERROR(__xludf.DUMMYFUNCTION("""COMPUTED_VALUE"""),0.0)</f>
        <v>0</v>
      </c>
      <c r="AQ113" s="3">
        <f>IFERROR(__xludf.DUMMYFUNCTION("""COMPUTED_VALUE"""),0.0)</f>
        <v>0</v>
      </c>
      <c r="AR113" s="3">
        <f>IFERROR(__xludf.DUMMYFUNCTION("""COMPUTED_VALUE"""),0.0)</f>
        <v>0</v>
      </c>
      <c r="AS113" s="3">
        <f>IFERROR(__xludf.DUMMYFUNCTION("""COMPUTED_VALUE"""),0.0)</f>
        <v>0</v>
      </c>
      <c r="AT113" s="3">
        <f>IFERROR(__xludf.DUMMYFUNCTION("""COMPUTED_VALUE"""),0.0)</f>
        <v>0</v>
      </c>
      <c r="AU113" s="3">
        <f>IFERROR(__xludf.DUMMYFUNCTION("""COMPUTED_VALUE"""),0.0)</f>
        <v>0</v>
      </c>
      <c r="AV113" s="3">
        <f>IFERROR(__xludf.DUMMYFUNCTION("""COMPUTED_VALUE"""),0.0)</f>
        <v>0</v>
      </c>
      <c r="AW113" s="3">
        <f>IFERROR(__xludf.DUMMYFUNCTION("""COMPUTED_VALUE"""),0.0)</f>
        <v>0</v>
      </c>
      <c r="AX113" s="3">
        <f>IFERROR(__xludf.DUMMYFUNCTION("""COMPUTED_VALUE"""),0.0)</f>
        <v>0</v>
      </c>
      <c r="AY113" s="3">
        <f>IFERROR(__xludf.DUMMYFUNCTION("""COMPUTED_VALUE"""),0.0)</f>
        <v>0</v>
      </c>
      <c r="AZ113" s="3">
        <f>IFERROR(__xludf.DUMMYFUNCTION("""COMPUTED_VALUE"""),0.0)</f>
        <v>0</v>
      </c>
      <c r="BA113" s="3">
        <f>IFERROR(__xludf.DUMMYFUNCTION("""COMPUTED_VALUE"""),0.0)</f>
        <v>0</v>
      </c>
      <c r="BB113" s="3">
        <f>IFERROR(__xludf.DUMMYFUNCTION("""COMPUTED_VALUE"""),0.0)</f>
        <v>0</v>
      </c>
      <c r="BC113" s="3">
        <f>IFERROR(__xludf.DUMMYFUNCTION("""COMPUTED_VALUE"""),0.0)</f>
        <v>0</v>
      </c>
      <c r="BD113" s="3">
        <f>IFERROR(__xludf.DUMMYFUNCTION("""COMPUTED_VALUE"""),0.0)</f>
        <v>0</v>
      </c>
      <c r="BE113" s="3">
        <f>IFERROR(__xludf.DUMMYFUNCTION("""COMPUTED_VALUE"""),0.0)</f>
        <v>0</v>
      </c>
      <c r="BF113" s="3">
        <f>IFERROR(__xludf.DUMMYFUNCTION("""COMPUTED_VALUE"""),0.0)</f>
        <v>0</v>
      </c>
      <c r="BG113" s="3">
        <f>IFERROR(__xludf.DUMMYFUNCTION("""COMPUTED_VALUE"""),1.0)</f>
        <v>1</v>
      </c>
      <c r="BH113" s="3">
        <f>IFERROR(__xludf.DUMMYFUNCTION("""COMPUTED_VALUE"""),1.0)</f>
        <v>1</v>
      </c>
      <c r="BI113" s="3">
        <f>IFERROR(__xludf.DUMMYFUNCTION("""COMPUTED_VALUE"""),1.0)</f>
        <v>1</v>
      </c>
      <c r="BJ113" s="3">
        <f>IFERROR(__xludf.DUMMYFUNCTION("""COMPUTED_VALUE"""),1.0)</f>
        <v>1</v>
      </c>
      <c r="BK113" s="3">
        <f>IFERROR(__xludf.DUMMYFUNCTION("""COMPUTED_VALUE"""),1.0)</f>
        <v>1</v>
      </c>
      <c r="BL113" s="3">
        <f>IFERROR(__xludf.DUMMYFUNCTION("""COMPUTED_VALUE"""),1.0)</f>
        <v>1</v>
      </c>
      <c r="BM113" s="3">
        <f>IFERROR(__xludf.DUMMYFUNCTION("""COMPUTED_VALUE"""),3.0)</f>
        <v>3</v>
      </c>
      <c r="BN113" s="3">
        <f>IFERROR(__xludf.DUMMYFUNCTION("""COMPUTED_VALUE"""),3.0)</f>
        <v>3</v>
      </c>
      <c r="BO113" s="3">
        <f>IFERROR(__xludf.DUMMYFUNCTION("""COMPUTED_VALUE"""),9.0)</f>
        <v>9</v>
      </c>
      <c r="BP113" s="3">
        <f>IFERROR(__xludf.DUMMYFUNCTION("""COMPUTED_VALUE"""),10.0)</f>
        <v>10</v>
      </c>
      <c r="BQ113" s="3">
        <f>IFERROR(__xludf.DUMMYFUNCTION("""COMPUTED_VALUE"""),11.0)</f>
        <v>11</v>
      </c>
      <c r="BR113" s="3">
        <f>IFERROR(__xludf.DUMMYFUNCTION("""COMPUTED_VALUE"""),14.0)</f>
        <v>14</v>
      </c>
      <c r="BS113" s="3">
        <f>IFERROR(__xludf.DUMMYFUNCTION("""COMPUTED_VALUE"""),14.0)</f>
        <v>14</v>
      </c>
      <c r="BT113" s="3">
        <f>IFERROR(__xludf.DUMMYFUNCTION("""COMPUTED_VALUE"""),18.0)</f>
        <v>18</v>
      </c>
      <c r="BU113" s="3">
        <f>IFERROR(__xludf.DUMMYFUNCTION("""COMPUTED_VALUE"""),20.0)</f>
        <v>20</v>
      </c>
      <c r="BV113" s="3">
        <f>IFERROR(__xludf.DUMMYFUNCTION("""COMPUTED_VALUE"""),21.0)</f>
        <v>21</v>
      </c>
      <c r="BW113" s="3">
        <f>IFERROR(__xludf.DUMMYFUNCTION("""COMPUTED_VALUE"""),23.0)</f>
        <v>23</v>
      </c>
      <c r="BX113" s="3">
        <f>IFERROR(__xludf.DUMMYFUNCTION("""COMPUTED_VALUE"""),26.0)</f>
        <v>26</v>
      </c>
      <c r="BY113" s="3">
        <f>IFERROR(__xludf.DUMMYFUNCTION("""COMPUTED_VALUE"""),28.0)</f>
        <v>28</v>
      </c>
      <c r="BZ113" s="3">
        <f>IFERROR(__xludf.DUMMYFUNCTION("""COMPUTED_VALUE"""),36.0)</f>
        <v>36</v>
      </c>
      <c r="CA113" s="3">
        <f>IFERROR(__xludf.DUMMYFUNCTION("""COMPUTED_VALUE"""),36.0)</f>
        <v>36</v>
      </c>
      <c r="CB113" s="3">
        <f>IFERROR(__xludf.DUMMYFUNCTION("""COMPUTED_VALUE"""),39.0)</f>
        <v>39</v>
      </c>
    </row>
    <row r="114">
      <c r="A114" s="3" t="str">
        <f>IFERROR(__xludf.DUMMYFUNCTION("""COMPUTED_VALUE"""),"")</f>
        <v/>
      </c>
      <c r="B114" s="3" t="str">
        <f>IFERROR(__xludf.DUMMYFUNCTION("""COMPUTED_VALUE"""),"Germany")</f>
        <v>Germany</v>
      </c>
      <c r="C114" s="3">
        <f>IFERROR(__xludf.DUMMYFUNCTION("""COMPUTED_VALUE"""),51.0)</f>
        <v>51</v>
      </c>
      <c r="D114" s="3">
        <f>IFERROR(__xludf.DUMMYFUNCTION("""COMPUTED_VALUE"""),9.0)</f>
        <v>9</v>
      </c>
      <c r="E114" s="3">
        <f>IFERROR(__xludf.DUMMYFUNCTION("""COMPUTED_VALUE"""),0.0)</f>
        <v>0</v>
      </c>
      <c r="F114" s="3">
        <f>IFERROR(__xludf.DUMMYFUNCTION("""COMPUTED_VALUE"""),0.0)</f>
        <v>0</v>
      </c>
      <c r="G114" s="3">
        <f>IFERROR(__xludf.DUMMYFUNCTION("""COMPUTED_VALUE"""),0.0)</f>
        <v>0</v>
      </c>
      <c r="H114" s="3">
        <f>IFERROR(__xludf.DUMMYFUNCTION("""COMPUTED_VALUE"""),0.0)</f>
        <v>0</v>
      </c>
      <c r="I114" s="3">
        <f>IFERROR(__xludf.DUMMYFUNCTION("""COMPUTED_VALUE"""),0.0)</f>
        <v>0</v>
      </c>
      <c r="J114" s="3">
        <f>IFERROR(__xludf.DUMMYFUNCTION("""COMPUTED_VALUE"""),0.0)</f>
        <v>0</v>
      </c>
      <c r="K114" s="3">
        <f>IFERROR(__xludf.DUMMYFUNCTION("""COMPUTED_VALUE"""),0.0)</f>
        <v>0</v>
      </c>
      <c r="L114" s="3">
        <f>IFERROR(__xludf.DUMMYFUNCTION("""COMPUTED_VALUE"""),0.0)</f>
        <v>0</v>
      </c>
      <c r="M114" s="3">
        <f>IFERROR(__xludf.DUMMYFUNCTION("""COMPUTED_VALUE"""),0.0)</f>
        <v>0</v>
      </c>
      <c r="N114" s="3">
        <f>IFERROR(__xludf.DUMMYFUNCTION("""COMPUTED_VALUE"""),0.0)</f>
        <v>0</v>
      </c>
      <c r="O114" s="3">
        <f>IFERROR(__xludf.DUMMYFUNCTION("""COMPUTED_VALUE"""),0.0)</f>
        <v>0</v>
      </c>
      <c r="P114" s="3">
        <f>IFERROR(__xludf.DUMMYFUNCTION("""COMPUTED_VALUE"""),0.0)</f>
        <v>0</v>
      </c>
      <c r="Q114" s="3">
        <f>IFERROR(__xludf.DUMMYFUNCTION("""COMPUTED_VALUE"""),0.0)</f>
        <v>0</v>
      </c>
      <c r="R114" s="3">
        <f>IFERROR(__xludf.DUMMYFUNCTION("""COMPUTED_VALUE"""),0.0)</f>
        <v>0</v>
      </c>
      <c r="S114" s="3">
        <f>IFERROR(__xludf.DUMMYFUNCTION("""COMPUTED_VALUE"""),0.0)</f>
        <v>0</v>
      </c>
      <c r="T114" s="3">
        <f>IFERROR(__xludf.DUMMYFUNCTION("""COMPUTED_VALUE"""),0.0)</f>
        <v>0</v>
      </c>
      <c r="U114" s="3">
        <f>IFERROR(__xludf.DUMMYFUNCTION("""COMPUTED_VALUE"""),0.0)</f>
        <v>0</v>
      </c>
      <c r="V114" s="3">
        <f>IFERROR(__xludf.DUMMYFUNCTION("""COMPUTED_VALUE"""),0.0)</f>
        <v>0</v>
      </c>
      <c r="W114" s="3">
        <f>IFERROR(__xludf.DUMMYFUNCTION("""COMPUTED_VALUE"""),0.0)</f>
        <v>0</v>
      </c>
      <c r="X114" s="3">
        <f>IFERROR(__xludf.DUMMYFUNCTION("""COMPUTED_VALUE"""),0.0)</f>
        <v>0</v>
      </c>
      <c r="Y114" s="3">
        <f>IFERROR(__xludf.DUMMYFUNCTION("""COMPUTED_VALUE"""),0.0)</f>
        <v>0</v>
      </c>
      <c r="Z114" s="3">
        <f>IFERROR(__xludf.DUMMYFUNCTION("""COMPUTED_VALUE"""),0.0)</f>
        <v>0</v>
      </c>
      <c r="AA114" s="3">
        <f>IFERROR(__xludf.DUMMYFUNCTION("""COMPUTED_VALUE"""),1.0)</f>
        <v>1</v>
      </c>
      <c r="AB114" s="3">
        <f>IFERROR(__xludf.DUMMYFUNCTION("""COMPUTED_VALUE"""),1.0)</f>
        <v>1</v>
      </c>
      <c r="AC114" s="3">
        <f>IFERROR(__xludf.DUMMYFUNCTION("""COMPUTED_VALUE"""),1.0)</f>
        <v>1</v>
      </c>
      <c r="AD114" s="3">
        <f>IFERROR(__xludf.DUMMYFUNCTION("""COMPUTED_VALUE"""),1.0)</f>
        <v>1</v>
      </c>
      <c r="AE114" s="3">
        <f>IFERROR(__xludf.DUMMYFUNCTION("""COMPUTED_VALUE"""),1.0)</f>
        <v>1</v>
      </c>
      <c r="AF114" s="3">
        <f>IFERROR(__xludf.DUMMYFUNCTION("""COMPUTED_VALUE"""),12.0)</f>
        <v>12</v>
      </c>
      <c r="AG114" s="3">
        <f>IFERROR(__xludf.DUMMYFUNCTION("""COMPUTED_VALUE"""),12.0)</f>
        <v>12</v>
      </c>
      <c r="AH114" s="3">
        <f>IFERROR(__xludf.DUMMYFUNCTION("""COMPUTED_VALUE"""),12.0)</f>
        <v>12</v>
      </c>
      <c r="AI114" s="3">
        <f>IFERROR(__xludf.DUMMYFUNCTION("""COMPUTED_VALUE"""),14.0)</f>
        <v>14</v>
      </c>
      <c r="AJ114" s="3">
        <f>IFERROR(__xludf.DUMMYFUNCTION("""COMPUTED_VALUE"""),14.0)</f>
        <v>14</v>
      </c>
      <c r="AK114" s="3">
        <f>IFERROR(__xludf.DUMMYFUNCTION("""COMPUTED_VALUE"""),14.0)</f>
        <v>14</v>
      </c>
      <c r="AL114" s="3">
        <f>IFERROR(__xludf.DUMMYFUNCTION("""COMPUTED_VALUE"""),14.0)</f>
        <v>14</v>
      </c>
      <c r="AM114" s="3">
        <f>IFERROR(__xludf.DUMMYFUNCTION("""COMPUTED_VALUE"""),14.0)</f>
        <v>14</v>
      </c>
      <c r="AN114" s="3">
        <f>IFERROR(__xludf.DUMMYFUNCTION("""COMPUTED_VALUE"""),15.0)</f>
        <v>15</v>
      </c>
      <c r="AO114" s="3">
        <f>IFERROR(__xludf.DUMMYFUNCTION("""COMPUTED_VALUE"""),16.0)</f>
        <v>16</v>
      </c>
      <c r="AP114" s="3">
        <f>IFERROR(__xludf.DUMMYFUNCTION("""COMPUTED_VALUE"""),16.0)</f>
        <v>16</v>
      </c>
      <c r="AQ114" s="3">
        <f>IFERROR(__xludf.DUMMYFUNCTION("""COMPUTED_VALUE"""),16.0)</f>
        <v>16</v>
      </c>
      <c r="AR114" s="3">
        <f>IFERROR(__xludf.DUMMYFUNCTION("""COMPUTED_VALUE"""),16.0)</f>
        <v>16</v>
      </c>
      <c r="AS114" s="3">
        <f>IFERROR(__xludf.DUMMYFUNCTION("""COMPUTED_VALUE"""),16.0)</f>
        <v>16</v>
      </c>
      <c r="AT114" s="3">
        <f>IFERROR(__xludf.DUMMYFUNCTION("""COMPUTED_VALUE"""),16.0)</f>
        <v>16</v>
      </c>
      <c r="AU114" s="3">
        <f>IFERROR(__xludf.DUMMYFUNCTION("""COMPUTED_VALUE"""),16.0)</f>
        <v>16</v>
      </c>
      <c r="AV114" s="3">
        <f>IFERROR(__xludf.DUMMYFUNCTION("""COMPUTED_VALUE"""),16.0)</f>
        <v>16</v>
      </c>
      <c r="AW114" s="3">
        <f>IFERROR(__xludf.DUMMYFUNCTION("""COMPUTED_VALUE"""),17.0)</f>
        <v>17</v>
      </c>
      <c r="AX114" s="3">
        <f>IFERROR(__xludf.DUMMYFUNCTION("""COMPUTED_VALUE"""),18.0)</f>
        <v>18</v>
      </c>
      <c r="AY114" s="3">
        <f>IFERROR(__xludf.DUMMYFUNCTION("""COMPUTED_VALUE"""),18.0)</f>
        <v>18</v>
      </c>
      <c r="AZ114" s="3">
        <f>IFERROR(__xludf.DUMMYFUNCTION("""COMPUTED_VALUE"""),18.0)</f>
        <v>18</v>
      </c>
      <c r="BA114" s="3">
        <f>IFERROR(__xludf.DUMMYFUNCTION("""COMPUTED_VALUE"""),18.0)</f>
        <v>18</v>
      </c>
      <c r="BB114" s="3">
        <f>IFERROR(__xludf.DUMMYFUNCTION("""COMPUTED_VALUE"""),25.0)</f>
        <v>25</v>
      </c>
      <c r="BC114" s="3">
        <f>IFERROR(__xludf.DUMMYFUNCTION("""COMPUTED_VALUE"""),25.0)</f>
        <v>25</v>
      </c>
      <c r="BD114" s="3">
        <f>IFERROR(__xludf.DUMMYFUNCTION("""COMPUTED_VALUE"""),46.0)</f>
        <v>46</v>
      </c>
      <c r="BE114" s="3">
        <f>IFERROR(__xludf.DUMMYFUNCTION("""COMPUTED_VALUE"""),46.0)</f>
        <v>46</v>
      </c>
      <c r="BF114" s="3">
        <f>IFERROR(__xludf.DUMMYFUNCTION("""COMPUTED_VALUE"""),46.0)</f>
        <v>46</v>
      </c>
      <c r="BG114" s="3">
        <f>IFERROR(__xludf.DUMMYFUNCTION("""COMPUTED_VALUE"""),67.0)</f>
        <v>67</v>
      </c>
      <c r="BH114" s="3">
        <f>IFERROR(__xludf.DUMMYFUNCTION("""COMPUTED_VALUE"""),67.0)</f>
        <v>67</v>
      </c>
      <c r="BI114" s="3">
        <f>IFERROR(__xludf.DUMMYFUNCTION("""COMPUTED_VALUE"""),105.0)</f>
        <v>105</v>
      </c>
      <c r="BJ114" s="3">
        <f>IFERROR(__xludf.DUMMYFUNCTION("""COMPUTED_VALUE"""),113.0)</f>
        <v>113</v>
      </c>
      <c r="BK114" s="3">
        <f>IFERROR(__xludf.DUMMYFUNCTION("""COMPUTED_VALUE"""),180.0)</f>
        <v>180</v>
      </c>
      <c r="BL114" s="3">
        <f>IFERROR(__xludf.DUMMYFUNCTION("""COMPUTED_VALUE"""),233.0)</f>
        <v>233</v>
      </c>
      <c r="BM114" s="3">
        <f>IFERROR(__xludf.DUMMYFUNCTION("""COMPUTED_VALUE"""),266.0)</f>
        <v>266</v>
      </c>
      <c r="BN114" s="3">
        <f>IFERROR(__xludf.DUMMYFUNCTION("""COMPUTED_VALUE"""),266.0)</f>
        <v>266</v>
      </c>
      <c r="BO114" s="3">
        <f>IFERROR(__xludf.DUMMYFUNCTION("""COMPUTED_VALUE"""),3243.0)</f>
        <v>3243</v>
      </c>
      <c r="BP114" s="3">
        <f>IFERROR(__xludf.DUMMYFUNCTION("""COMPUTED_VALUE"""),3547.0)</f>
        <v>3547</v>
      </c>
      <c r="BQ114" s="3">
        <f>IFERROR(__xludf.DUMMYFUNCTION("""COMPUTED_VALUE"""),5673.0)</f>
        <v>5673</v>
      </c>
      <c r="BR114" s="3">
        <f>IFERROR(__xludf.DUMMYFUNCTION("""COMPUTED_VALUE"""),6658.0)</f>
        <v>6658</v>
      </c>
      <c r="BS114" s="3">
        <f>IFERROR(__xludf.DUMMYFUNCTION("""COMPUTED_VALUE"""),8481.0)</f>
        <v>8481</v>
      </c>
      <c r="BT114" s="3">
        <f>IFERROR(__xludf.DUMMYFUNCTION("""COMPUTED_VALUE"""),9211.0)</f>
        <v>9211</v>
      </c>
      <c r="BU114" s="3">
        <f>IFERROR(__xludf.DUMMYFUNCTION("""COMPUTED_VALUE"""),13500.0)</f>
        <v>13500</v>
      </c>
      <c r="BV114" s="3">
        <f>IFERROR(__xludf.DUMMYFUNCTION("""COMPUTED_VALUE"""),16100.0)</f>
        <v>16100</v>
      </c>
      <c r="BW114" s="3">
        <f>IFERROR(__xludf.DUMMYFUNCTION("""COMPUTED_VALUE"""),18700.0)</f>
        <v>18700</v>
      </c>
      <c r="BX114" s="3">
        <f>IFERROR(__xludf.DUMMYFUNCTION("""COMPUTED_VALUE"""),22440.0)</f>
        <v>22440</v>
      </c>
      <c r="BY114" s="3">
        <f>IFERROR(__xludf.DUMMYFUNCTION("""COMPUTED_VALUE"""),24575.0)</f>
        <v>24575</v>
      </c>
      <c r="BZ114" s="3">
        <f>IFERROR(__xludf.DUMMYFUNCTION("""COMPUTED_VALUE"""),26400.0)</f>
        <v>26400</v>
      </c>
      <c r="CA114" s="3">
        <f>IFERROR(__xludf.DUMMYFUNCTION("""COMPUTED_VALUE"""),28700.0)</f>
        <v>28700</v>
      </c>
      <c r="CB114" s="3">
        <f>IFERROR(__xludf.DUMMYFUNCTION("""COMPUTED_VALUE"""),28700.0)</f>
        <v>28700</v>
      </c>
    </row>
    <row r="115">
      <c r="A115" s="3" t="str">
        <f>IFERROR(__xludf.DUMMYFUNCTION("""COMPUTED_VALUE"""),"")</f>
        <v/>
      </c>
      <c r="B115" s="3" t="str">
        <f>IFERROR(__xludf.DUMMYFUNCTION("""COMPUTED_VALUE"""),"Ghana")</f>
        <v>Ghana</v>
      </c>
      <c r="C115" s="3">
        <f>IFERROR(__xludf.DUMMYFUNCTION("""COMPUTED_VALUE"""),7.9465)</f>
        <v>7.9465</v>
      </c>
      <c r="D115" s="3">
        <f>IFERROR(__xludf.DUMMYFUNCTION("""COMPUTED_VALUE"""),-1.0232)</f>
        <v>-1.0232</v>
      </c>
      <c r="E115" s="3">
        <f>IFERROR(__xludf.DUMMYFUNCTION("""COMPUTED_VALUE"""),0.0)</f>
        <v>0</v>
      </c>
      <c r="F115" s="3">
        <f>IFERROR(__xludf.DUMMYFUNCTION("""COMPUTED_VALUE"""),0.0)</f>
        <v>0</v>
      </c>
      <c r="G115" s="3">
        <f>IFERROR(__xludf.DUMMYFUNCTION("""COMPUTED_VALUE"""),0.0)</f>
        <v>0</v>
      </c>
      <c r="H115" s="3">
        <f>IFERROR(__xludf.DUMMYFUNCTION("""COMPUTED_VALUE"""),0.0)</f>
        <v>0</v>
      </c>
      <c r="I115" s="3">
        <f>IFERROR(__xludf.DUMMYFUNCTION("""COMPUTED_VALUE"""),0.0)</f>
        <v>0</v>
      </c>
      <c r="J115" s="3">
        <f>IFERROR(__xludf.DUMMYFUNCTION("""COMPUTED_VALUE"""),0.0)</f>
        <v>0</v>
      </c>
      <c r="K115" s="3">
        <f>IFERROR(__xludf.DUMMYFUNCTION("""COMPUTED_VALUE"""),0.0)</f>
        <v>0</v>
      </c>
      <c r="L115" s="3">
        <f>IFERROR(__xludf.DUMMYFUNCTION("""COMPUTED_VALUE"""),0.0)</f>
        <v>0</v>
      </c>
      <c r="M115" s="3">
        <f>IFERROR(__xludf.DUMMYFUNCTION("""COMPUTED_VALUE"""),0.0)</f>
        <v>0</v>
      </c>
      <c r="N115" s="3">
        <f>IFERROR(__xludf.DUMMYFUNCTION("""COMPUTED_VALUE"""),0.0)</f>
        <v>0</v>
      </c>
      <c r="O115" s="3">
        <f>IFERROR(__xludf.DUMMYFUNCTION("""COMPUTED_VALUE"""),0.0)</f>
        <v>0</v>
      </c>
      <c r="P115" s="3">
        <f>IFERROR(__xludf.DUMMYFUNCTION("""COMPUTED_VALUE"""),0.0)</f>
        <v>0</v>
      </c>
      <c r="Q115" s="3">
        <f>IFERROR(__xludf.DUMMYFUNCTION("""COMPUTED_VALUE"""),0.0)</f>
        <v>0</v>
      </c>
      <c r="R115" s="3">
        <f>IFERROR(__xludf.DUMMYFUNCTION("""COMPUTED_VALUE"""),0.0)</f>
        <v>0</v>
      </c>
      <c r="S115" s="3">
        <f>IFERROR(__xludf.DUMMYFUNCTION("""COMPUTED_VALUE"""),0.0)</f>
        <v>0</v>
      </c>
      <c r="T115" s="3">
        <f>IFERROR(__xludf.DUMMYFUNCTION("""COMPUTED_VALUE"""),0.0)</f>
        <v>0</v>
      </c>
      <c r="U115" s="3">
        <f>IFERROR(__xludf.DUMMYFUNCTION("""COMPUTED_VALUE"""),0.0)</f>
        <v>0</v>
      </c>
      <c r="V115" s="3">
        <f>IFERROR(__xludf.DUMMYFUNCTION("""COMPUTED_VALUE"""),0.0)</f>
        <v>0</v>
      </c>
      <c r="W115" s="3">
        <f>IFERROR(__xludf.DUMMYFUNCTION("""COMPUTED_VALUE"""),0.0)</f>
        <v>0</v>
      </c>
      <c r="X115" s="3">
        <f>IFERROR(__xludf.DUMMYFUNCTION("""COMPUTED_VALUE"""),0.0)</f>
        <v>0</v>
      </c>
      <c r="Y115" s="3">
        <f>IFERROR(__xludf.DUMMYFUNCTION("""COMPUTED_VALUE"""),0.0)</f>
        <v>0</v>
      </c>
      <c r="Z115" s="3">
        <f>IFERROR(__xludf.DUMMYFUNCTION("""COMPUTED_VALUE"""),0.0)</f>
        <v>0</v>
      </c>
      <c r="AA115" s="3">
        <f>IFERROR(__xludf.DUMMYFUNCTION("""COMPUTED_VALUE"""),0.0)</f>
        <v>0</v>
      </c>
      <c r="AB115" s="3">
        <f>IFERROR(__xludf.DUMMYFUNCTION("""COMPUTED_VALUE"""),0.0)</f>
        <v>0</v>
      </c>
      <c r="AC115" s="3">
        <f>IFERROR(__xludf.DUMMYFUNCTION("""COMPUTED_VALUE"""),0.0)</f>
        <v>0</v>
      </c>
      <c r="AD115" s="3">
        <f>IFERROR(__xludf.DUMMYFUNCTION("""COMPUTED_VALUE"""),0.0)</f>
        <v>0</v>
      </c>
      <c r="AE115" s="3">
        <f>IFERROR(__xludf.DUMMYFUNCTION("""COMPUTED_VALUE"""),0.0)</f>
        <v>0</v>
      </c>
      <c r="AF115" s="3">
        <f>IFERROR(__xludf.DUMMYFUNCTION("""COMPUTED_VALUE"""),0.0)</f>
        <v>0</v>
      </c>
      <c r="AG115" s="3">
        <f>IFERROR(__xludf.DUMMYFUNCTION("""COMPUTED_VALUE"""),0.0)</f>
        <v>0</v>
      </c>
      <c r="AH115" s="3">
        <f>IFERROR(__xludf.DUMMYFUNCTION("""COMPUTED_VALUE"""),0.0)</f>
        <v>0</v>
      </c>
      <c r="AI115" s="3">
        <f>IFERROR(__xludf.DUMMYFUNCTION("""COMPUTED_VALUE"""),0.0)</f>
        <v>0</v>
      </c>
      <c r="AJ115" s="3">
        <f>IFERROR(__xludf.DUMMYFUNCTION("""COMPUTED_VALUE"""),0.0)</f>
        <v>0</v>
      </c>
      <c r="AK115" s="3">
        <f>IFERROR(__xludf.DUMMYFUNCTION("""COMPUTED_VALUE"""),0.0)</f>
        <v>0</v>
      </c>
      <c r="AL115" s="3">
        <f>IFERROR(__xludf.DUMMYFUNCTION("""COMPUTED_VALUE"""),0.0)</f>
        <v>0</v>
      </c>
      <c r="AM115" s="3">
        <f>IFERROR(__xludf.DUMMYFUNCTION("""COMPUTED_VALUE"""),0.0)</f>
        <v>0</v>
      </c>
      <c r="AN115" s="3">
        <f>IFERROR(__xludf.DUMMYFUNCTION("""COMPUTED_VALUE"""),0.0)</f>
        <v>0</v>
      </c>
      <c r="AO115" s="3">
        <f>IFERROR(__xludf.DUMMYFUNCTION("""COMPUTED_VALUE"""),0.0)</f>
        <v>0</v>
      </c>
      <c r="AP115" s="3">
        <f>IFERROR(__xludf.DUMMYFUNCTION("""COMPUTED_VALUE"""),0.0)</f>
        <v>0</v>
      </c>
      <c r="AQ115" s="3">
        <f>IFERROR(__xludf.DUMMYFUNCTION("""COMPUTED_VALUE"""),0.0)</f>
        <v>0</v>
      </c>
      <c r="AR115" s="3">
        <f>IFERROR(__xludf.DUMMYFUNCTION("""COMPUTED_VALUE"""),0.0)</f>
        <v>0</v>
      </c>
      <c r="AS115" s="3">
        <f>IFERROR(__xludf.DUMMYFUNCTION("""COMPUTED_VALUE"""),0.0)</f>
        <v>0</v>
      </c>
      <c r="AT115" s="3">
        <f>IFERROR(__xludf.DUMMYFUNCTION("""COMPUTED_VALUE"""),0.0)</f>
        <v>0</v>
      </c>
      <c r="AU115" s="3">
        <f>IFERROR(__xludf.DUMMYFUNCTION("""COMPUTED_VALUE"""),0.0)</f>
        <v>0</v>
      </c>
      <c r="AV115" s="3">
        <f>IFERROR(__xludf.DUMMYFUNCTION("""COMPUTED_VALUE"""),0.0)</f>
        <v>0</v>
      </c>
      <c r="AW115" s="3">
        <f>IFERROR(__xludf.DUMMYFUNCTION("""COMPUTED_VALUE"""),0.0)</f>
        <v>0</v>
      </c>
      <c r="AX115" s="3">
        <f>IFERROR(__xludf.DUMMYFUNCTION("""COMPUTED_VALUE"""),0.0)</f>
        <v>0</v>
      </c>
      <c r="AY115" s="3">
        <f>IFERROR(__xludf.DUMMYFUNCTION("""COMPUTED_VALUE"""),0.0)</f>
        <v>0</v>
      </c>
      <c r="AZ115" s="3">
        <f>IFERROR(__xludf.DUMMYFUNCTION("""COMPUTED_VALUE"""),0.0)</f>
        <v>0</v>
      </c>
      <c r="BA115" s="3">
        <f>IFERROR(__xludf.DUMMYFUNCTION("""COMPUTED_VALUE"""),0.0)</f>
        <v>0</v>
      </c>
      <c r="BB115" s="3">
        <f>IFERROR(__xludf.DUMMYFUNCTION("""COMPUTED_VALUE"""),0.0)</f>
        <v>0</v>
      </c>
      <c r="BC115" s="3">
        <f>IFERROR(__xludf.DUMMYFUNCTION("""COMPUTED_VALUE"""),0.0)</f>
        <v>0</v>
      </c>
      <c r="BD115" s="3">
        <f>IFERROR(__xludf.DUMMYFUNCTION("""COMPUTED_VALUE"""),0.0)</f>
        <v>0</v>
      </c>
      <c r="BE115" s="3">
        <f>IFERROR(__xludf.DUMMYFUNCTION("""COMPUTED_VALUE"""),0.0)</f>
        <v>0</v>
      </c>
      <c r="BF115" s="3">
        <f>IFERROR(__xludf.DUMMYFUNCTION("""COMPUTED_VALUE"""),0.0)</f>
        <v>0</v>
      </c>
      <c r="BG115" s="3">
        <f>IFERROR(__xludf.DUMMYFUNCTION("""COMPUTED_VALUE"""),0.0)</f>
        <v>0</v>
      </c>
      <c r="BH115" s="3">
        <f>IFERROR(__xludf.DUMMYFUNCTION("""COMPUTED_VALUE"""),0.0)</f>
        <v>0</v>
      </c>
      <c r="BI115" s="3">
        <f>IFERROR(__xludf.DUMMYFUNCTION("""COMPUTED_VALUE"""),0.0)</f>
        <v>0</v>
      </c>
      <c r="BJ115" s="3">
        <f>IFERROR(__xludf.DUMMYFUNCTION("""COMPUTED_VALUE"""),0.0)</f>
        <v>0</v>
      </c>
      <c r="BK115" s="3">
        <f>IFERROR(__xludf.DUMMYFUNCTION("""COMPUTED_VALUE"""),0.0)</f>
        <v>0</v>
      </c>
      <c r="BL115" s="3">
        <f>IFERROR(__xludf.DUMMYFUNCTION("""COMPUTED_VALUE"""),0.0)</f>
        <v>0</v>
      </c>
      <c r="BM115" s="3">
        <f>IFERROR(__xludf.DUMMYFUNCTION("""COMPUTED_VALUE"""),0.0)</f>
        <v>0</v>
      </c>
      <c r="BN115" s="3">
        <f>IFERROR(__xludf.DUMMYFUNCTION("""COMPUTED_VALUE"""),0.0)</f>
        <v>0</v>
      </c>
      <c r="BO115" s="3">
        <f>IFERROR(__xludf.DUMMYFUNCTION("""COMPUTED_VALUE"""),0.0)</f>
        <v>0</v>
      </c>
      <c r="BP115" s="3">
        <f>IFERROR(__xludf.DUMMYFUNCTION("""COMPUTED_VALUE"""),0.0)</f>
        <v>0</v>
      </c>
      <c r="BQ115" s="3">
        <f>IFERROR(__xludf.DUMMYFUNCTION("""COMPUTED_VALUE"""),1.0)</f>
        <v>1</v>
      </c>
      <c r="BR115" s="3">
        <f>IFERROR(__xludf.DUMMYFUNCTION("""COMPUTED_VALUE"""),2.0)</f>
        <v>2</v>
      </c>
      <c r="BS115" s="3">
        <f>IFERROR(__xludf.DUMMYFUNCTION("""COMPUTED_VALUE"""),2.0)</f>
        <v>2</v>
      </c>
      <c r="BT115" s="3">
        <f>IFERROR(__xludf.DUMMYFUNCTION("""COMPUTED_VALUE"""),2.0)</f>
        <v>2</v>
      </c>
      <c r="BU115" s="3">
        <f>IFERROR(__xludf.DUMMYFUNCTION("""COMPUTED_VALUE"""),2.0)</f>
        <v>2</v>
      </c>
      <c r="BV115" s="3">
        <f>IFERROR(__xludf.DUMMYFUNCTION("""COMPUTED_VALUE"""),31.0)</f>
        <v>31</v>
      </c>
      <c r="BW115" s="3">
        <f>IFERROR(__xludf.DUMMYFUNCTION("""COMPUTED_VALUE"""),31.0)</f>
        <v>31</v>
      </c>
      <c r="BX115" s="3">
        <f>IFERROR(__xludf.DUMMYFUNCTION("""COMPUTED_VALUE"""),31.0)</f>
        <v>31</v>
      </c>
      <c r="BY115" s="3">
        <f>IFERROR(__xludf.DUMMYFUNCTION("""COMPUTED_VALUE"""),31.0)</f>
        <v>31</v>
      </c>
      <c r="BZ115" s="3">
        <f>IFERROR(__xludf.DUMMYFUNCTION("""COMPUTED_VALUE"""),31.0)</f>
        <v>31</v>
      </c>
      <c r="CA115" s="3">
        <f>IFERROR(__xludf.DUMMYFUNCTION("""COMPUTED_VALUE"""),31.0)</f>
        <v>31</v>
      </c>
      <c r="CB115" s="3">
        <f>IFERROR(__xludf.DUMMYFUNCTION("""COMPUTED_VALUE"""),31.0)</f>
        <v>31</v>
      </c>
    </row>
    <row r="116">
      <c r="A116" s="3" t="str">
        <f>IFERROR(__xludf.DUMMYFUNCTION("""COMPUTED_VALUE"""),"")</f>
        <v/>
      </c>
      <c r="B116" s="3" t="str">
        <f>IFERROR(__xludf.DUMMYFUNCTION("""COMPUTED_VALUE"""),"Grenada")</f>
        <v>Grenada</v>
      </c>
      <c r="C116" s="3">
        <f>IFERROR(__xludf.DUMMYFUNCTION("""COMPUTED_VALUE"""),12.1165)</f>
        <v>12.1165</v>
      </c>
      <c r="D116" s="3">
        <f>IFERROR(__xludf.DUMMYFUNCTION("""COMPUTED_VALUE"""),-61.679)</f>
        <v>-61.679</v>
      </c>
      <c r="E116" s="3">
        <f>IFERROR(__xludf.DUMMYFUNCTION("""COMPUTED_VALUE"""),0.0)</f>
        <v>0</v>
      </c>
      <c r="F116" s="3">
        <f>IFERROR(__xludf.DUMMYFUNCTION("""COMPUTED_VALUE"""),0.0)</f>
        <v>0</v>
      </c>
      <c r="G116" s="3">
        <f>IFERROR(__xludf.DUMMYFUNCTION("""COMPUTED_VALUE"""),0.0)</f>
        <v>0</v>
      </c>
      <c r="H116" s="3">
        <f>IFERROR(__xludf.DUMMYFUNCTION("""COMPUTED_VALUE"""),0.0)</f>
        <v>0</v>
      </c>
      <c r="I116" s="3">
        <f>IFERROR(__xludf.DUMMYFUNCTION("""COMPUTED_VALUE"""),0.0)</f>
        <v>0</v>
      </c>
      <c r="J116" s="3">
        <f>IFERROR(__xludf.DUMMYFUNCTION("""COMPUTED_VALUE"""),0.0)</f>
        <v>0</v>
      </c>
      <c r="K116" s="3">
        <f>IFERROR(__xludf.DUMMYFUNCTION("""COMPUTED_VALUE"""),0.0)</f>
        <v>0</v>
      </c>
      <c r="L116" s="3">
        <f>IFERROR(__xludf.DUMMYFUNCTION("""COMPUTED_VALUE"""),0.0)</f>
        <v>0</v>
      </c>
      <c r="M116" s="3">
        <f>IFERROR(__xludf.DUMMYFUNCTION("""COMPUTED_VALUE"""),0.0)</f>
        <v>0</v>
      </c>
      <c r="N116" s="3">
        <f>IFERROR(__xludf.DUMMYFUNCTION("""COMPUTED_VALUE"""),0.0)</f>
        <v>0</v>
      </c>
      <c r="O116" s="3">
        <f>IFERROR(__xludf.DUMMYFUNCTION("""COMPUTED_VALUE"""),0.0)</f>
        <v>0</v>
      </c>
      <c r="P116" s="3">
        <f>IFERROR(__xludf.DUMMYFUNCTION("""COMPUTED_VALUE"""),0.0)</f>
        <v>0</v>
      </c>
      <c r="Q116" s="3">
        <f>IFERROR(__xludf.DUMMYFUNCTION("""COMPUTED_VALUE"""),0.0)</f>
        <v>0</v>
      </c>
      <c r="R116" s="3">
        <f>IFERROR(__xludf.DUMMYFUNCTION("""COMPUTED_VALUE"""),0.0)</f>
        <v>0</v>
      </c>
      <c r="S116" s="3">
        <f>IFERROR(__xludf.DUMMYFUNCTION("""COMPUTED_VALUE"""),0.0)</f>
        <v>0</v>
      </c>
      <c r="T116" s="3">
        <f>IFERROR(__xludf.DUMMYFUNCTION("""COMPUTED_VALUE"""),0.0)</f>
        <v>0</v>
      </c>
      <c r="U116" s="3">
        <f>IFERROR(__xludf.DUMMYFUNCTION("""COMPUTED_VALUE"""),0.0)</f>
        <v>0</v>
      </c>
      <c r="V116" s="3">
        <f>IFERROR(__xludf.DUMMYFUNCTION("""COMPUTED_VALUE"""),0.0)</f>
        <v>0</v>
      </c>
      <c r="W116" s="3">
        <f>IFERROR(__xludf.DUMMYFUNCTION("""COMPUTED_VALUE"""),0.0)</f>
        <v>0</v>
      </c>
      <c r="X116" s="3">
        <f>IFERROR(__xludf.DUMMYFUNCTION("""COMPUTED_VALUE"""),0.0)</f>
        <v>0</v>
      </c>
      <c r="Y116" s="3">
        <f>IFERROR(__xludf.DUMMYFUNCTION("""COMPUTED_VALUE"""),0.0)</f>
        <v>0</v>
      </c>
      <c r="Z116" s="3">
        <f>IFERROR(__xludf.DUMMYFUNCTION("""COMPUTED_VALUE"""),0.0)</f>
        <v>0</v>
      </c>
      <c r="AA116" s="3">
        <f>IFERROR(__xludf.DUMMYFUNCTION("""COMPUTED_VALUE"""),0.0)</f>
        <v>0</v>
      </c>
      <c r="AB116" s="3">
        <f>IFERROR(__xludf.DUMMYFUNCTION("""COMPUTED_VALUE"""),0.0)</f>
        <v>0</v>
      </c>
      <c r="AC116" s="3">
        <f>IFERROR(__xludf.DUMMYFUNCTION("""COMPUTED_VALUE"""),0.0)</f>
        <v>0</v>
      </c>
      <c r="AD116" s="3">
        <f>IFERROR(__xludf.DUMMYFUNCTION("""COMPUTED_VALUE"""),0.0)</f>
        <v>0</v>
      </c>
      <c r="AE116" s="3">
        <f>IFERROR(__xludf.DUMMYFUNCTION("""COMPUTED_VALUE"""),0.0)</f>
        <v>0</v>
      </c>
      <c r="AF116" s="3">
        <f>IFERROR(__xludf.DUMMYFUNCTION("""COMPUTED_VALUE"""),0.0)</f>
        <v>0</v>
      </c>
      <c r="AG116" s="3">
        <f>IFERROR(__xludf.DUMMYFUNCTION("""COMPUTED_VALUE"""),0.0)</f>
        <v>0</v>
      </c>
      <c r="AH116" s="3">
        <f>IFERROR(__xludf.DUMMYFUNCTION("""COMPUTED_VALUE"""),0.0)</f>
        <v>0</v>
      </c>
      <c r="AI116" s="3">
        <f>IFERROR(__xludf.DUMMYFUNCTION("""COMPUTED_VALUE"""),0.0)</f>
        <v>0</v>
      </c>
      <c r="AJ116" s="3">
        <f>IFERROR(__xludf.DUMMYFUNCTION("""COMPUTED_VALUE"""),0.0)</f>
        <v>0</v>
      </c>
      <c r="AK116" s="3">
        <f>IFERROR(__xludf.DUMMYFUNCTION("""COMPUTED_VALUE"""),0.0)</f>
        <v>0</v>
      </c>
      <c r="AL116" s="3">
        <f>IFERROR(__xludf.DUMMYFUNCTION("""COMPUTED_VALUE"""),0.0)</f>
        <v>0</v>
      </c>
      <c r="AM116" s="3">
        <f>IFERROR(__xludf.DUMMYFUNCTION("""COMPUTED_VALUE"""),0.0)</f>
        <v>0</v>
      </c>
      <c r="AN116" s="3">
        <f>IFERROR(__xludf.DUMMYFUNCTION("""COMPUTED_VALUE"""),0.0)</f>
        <v>0</v>
      </c>
      <c r="AO116" s="3">
        <f>IFERROR(__xludf.DUMMYFUNCTION("""COMPUTED_VALUE"""),0.0)</f>
        <v>0</v>
      </c>
      <c r="AP116" s="3">
        <f>IFERROR(__xludf.DUMMYFUNCTION("""COMPUTED_VALUE"""),0.0)</f>
        <v>0</v>
      </c>
      <c r="AQ116" s="3">
        <f>IFERROR(__xludf.DUMMYFUNCTION("""COMPUTED_VALUE"""),0.0)</f>
        <v>0</v>
      </c>
      <c r="AR116" s="3">
        <f>IFERROR(__xludf.DUMMYFUNCTION("""COMPUTED_VALUE"""),0.0)</f>
        <v>0</v>
      </c>
      <c r="AS116" s="3">
        <f>IFERROR(__xludf.DUMMYFUNCTION("""COMPUTED_VALUE"""),0.0)</f>
        <v>0</v>
      </c>
      <c r="AT116" s="3">
        <f>IFERROR(__xludf.DUMMYFUNCTION("""COMPUTED_VALUE"""),0.0)</f>
        <v>0</v>
      </c>
      <c r="AU116" s="3">
        <f>IFERROR(__xludf.DUMMYFUNCTION("""COMPUTED_VALUE"""),0.0)</f>
        <v>0</v>
      </c>
      <c r="AV116" s="3">
        <f>IFERROR(__xludf.DUMMYFUNCTION("""COMPUTED_VALUE"""),0.0)</f>
        <v>0</v>
      </c>
      <c r="AW116" s="3">
        <f>IFERROR(__xludf.DUMMYFUNCTION("""COMPUTED_VALUE"""),0.0)</f>
        <v>0</v>
      </c>
      <c r="AX116" s="3">
        <f>IFERROR(__xludf.DUMMYFUNCTION("""COMPUTED_VALUE"""),0.0)</f>
        <v>0</v>
      </c>
      <c r="AY116" s="3">
        <f>IFERROR(__xludf.DUMMYFUNCTION("""COMPUTED_VALUE"""),0.0)</f>
        <v>0</v>
      </c>
      <c r="AZ116" s="3">
        <f>IFERROR(__xludf.DUMMYFUNCTION("""COMPUTED_VALUE"""),0.0)</f>
        <v>0</v>
      </c>
      <c r="BA116" s="3">
        <f>IFERROR(__xludf.DUMMYFUNCTION("""COMPUTED_VALUE"""),0.0)</f>
        <v>0</v>
      </c>
      <c r="BB116" s="3">
        <f>IFERROR(__xludf.DUMMYFUNCTION("""COMPUTED_VALUE"""),0.0)</f>
        <v>0</v>
      </c>
      <c r="BC116" s="3">
        <f>IFERROR(__xludf.DUMMYFUNCTION("""COMPUTED_VALUE"""),0.0)</f>
        <v>0</v>
      </c>
      <c r="BD116" s="3">
        <f>IFERROR(__xludf.DUMMYFUNCTION("""COMPUTED_VALUE"""),0.0)</f>
        <v>0</v>
      </c>
      <c r="BE116" s="3">
        <f>IFERROR(__xludf.DUMMYFUNCTION("""COMPUTED_VALUE"""),0.0)</f>
        <v>0</v>
      </c>
      <c r="BF116" s="3">
        <f>IFERROR(__xludf.DUMMYFUNCTION("""COMPUTED_VALUE"""),0.0)</f>
        <v>0</v>
      </c>
      <c r="BG116" s="3">
        <f>IFERROR(__xludf.DUMMYFUNCTION("""COMPUTED_VALUE"""),0.0)</f>
        <v>0</v>
      </c>
      <c r="BH116" s="3">
        <f>IFERROR(__xludf.DUMMYFUNCTION("""COMPUTED_VALUE"""),0.0)</f>
        <v>0</v>
      </c>
      <c r="BI116" s="3">
        <f>IFERROR(__xludf.DUMMYFUNCTION("""COMPUTED_VALUE"""),0.0)</f>
        <v>0</v>
      </c>
      <c r="BJ116" s="3">
        <f>IFERROR(__xludf.DUMMYFUNCTION("""COMPUTED_VALUE"""),0.0)</f>
        <v>0</v>
      </c>
      <c r="BK116" s="3">
        <f>IFERROR(__xludf.DUMMYFUNCTION("""COMPUTED_VALUE"""),0.0)</f>
        <v>0</v>
      </c>
      <c r="BL116" s="3">
        <f>IFERROR(__xludf.DUMMYFUNCTION("""COMPUTED_VALUE"""),0.0)</f>
        <v>0</v>
      </c>
      <c r="BM116" s="3">
        <f>IFERROR(__xludf.DUMMYFUNCTION("""COMPUTED_VALUE"""),0.0)</f>
        <v>0</v>
      </c>
      <c r="BN116" s="3">
        <f>IFERROR(__xludf.DUMMYFUNCTION("""COMPUTED_VALUE"""),0.0)</f>
        <v>0</v>
      </c>
      <c r="BO116" s="3">
        <f>IFERROR(__xludf.DUMMYFUNCTION("""COMPUTED_VALUE"""),0.0)</f>
        <v>0</v>
      </c>
      <c r="BP116" s="3">
        <f>IFERROR(__xludf.DUMMYFUNCTION("""COMPUTED_VALUE"""),0.0)</f>
        <v>0</v>
      </c>
      <c r="BQ116" s="3">
        <f>IFERROR(__xludf.DUMMYFUNCTION("""COMPUTED_VALUE"""),0.0)</f>
        <v>0</v>
      </c>
      <c r="BR116" s="3">
        <f>IFERROR(__xludf.DUMMYFUNCTION("""COMPUTED_VALUE"""),0.0)</f>
        <v>0</v>
      </c>
      <c r="BS116" s="3">
        <f>IFERROR(__xludf.DUMMYFUNCTION("""COMPUTED_VALUE"""),0.0)</f>
        <v>0</v>
      </c>
      <c r="BT116" s="3">
        <f>IFERROR(__xludf.DUMMYFUNCTION("""COMPUTED_VALUE"""),0.0)</f>
        <v>0</v>
      </c>
      <c r="BU116" s="3">
        <f>IFERROR(__xludf.DUMMYFUNCTION("""COMPUTED_VALUE"""),0.0)</f>
        <v>0</v>
      </c>
      <c r="BV116" s="3">
        <f>IFERROR(__xludf.DUMMYFUNCTION("""COMPUTED_VALUE"""),0.0)</f>
        <v>0</v>
      </c>
      <c r="BW116" s="3">
        <f>IFERROR(__xludf.DUMMYFUNCTION("""COMPUTED_VALUE"""),0.0)</f>
        <v>0</v>
      </c>
      <c r="BX116" s="3">
        <f>IFERROR(__xludf.DUMMYFUNCTION("""COMPUTED_VALUE"""),0.0)</f>
        <v>0</v>
      </c>
      <c r="BY116" s="3">
        <f>IFERROR(__xludf.DUMMYFUNCTION("""COMPUTED_VALUE"""),0.0)</f>
        <v>0</v>
      </c>
      <c r="BZ116" s="3">
        <f>IFERROR(__xludf.DUMMYFUNCTION("""COMPUTED_VALUE"""),0.0)</f>
        <v>0</v>
      </c>
      <c r="CA116" s="3">
        <f>IFERROR(__xludf.DUMMYFUNCTION("""COMPUTED_VALUE"""),0.0)</f>
        <v>0</v>
      </c>
      <c r="CB116" s="3">
        <f>IFERROR(__xludf.DUMMYFUNCTION("""COMPUTED_VALUE"""),0.0)</f>
        <v>0</v>
      </c>
    </row>
    <row r="117">
      <c r="A117" s="3" t="str">
        <f>IFERROR(__xludf.DUMMYFUNCTION("""COMPUTED_VALUE"""),"")</f>
        <v/>
      </c>
      <c r="B117" s="3" t="str">
        <f>IFERROR(__xludf.DUMMYFUNCTION("""COMPUTED_VALUE"""),"Greece")</f>
        <v>Greece</v>
      </c>
      <c r="C117" s="3">
        <f>IFERROR(__xludf.DUMMYFUNCTION("""COMPUTED_VALUE"""),39.0742)</f>
        <v>39.0742</v>
      </c>
      <c r="D117" s="3">
        <f>IFERROR(__xludf.DUMMYFUNCTION("""COMPUTED_VALUE"""),21.8243)</f>
        <v>21.8243</v>
      </c>
      <c r="E117" s="3">
        <f>IFERROR(__xludf.DUMMYFUNCTION("""COMPUTED_VALUE"""),0.0)</f>
        <v>0</v>
      </c>
      <c r="F117" s="3">
        <f>IFERROR(__xludf.DUMMYFUNCTION("""COMPUTED_VALUE"""),0.0)</f>
        <v>0</v>
      </c>
      <c r="G117" s="3">
        <f>IFERROR(__xludf.DUMMYFUNCTION("""COMPUTED_VALUE"""),0.0)</f>
        <v>0</v>
      </c>
      <c r="H117" s="3">
        <f>IFERROR(__xludf.DUMMYFUNCTION("""COMPUTED_VALUE"""),0.0)</f>
        <v>0</v>
      </c>
      <c r="I117" s="3">
        <f>IFERROR(__xludf.DUMMYFUNCTION("""COMPUTED_VALUE"""),0.0)</f>
        <v>0</v>
      </c>
      <c r="J117" s="3">
        <f>IFERROR(__xludf.DUMMYFUNCTION("""COMPUTED_VALUE"""),0.0)</f>
        <v>0</v>
      </c>
      <c r="K117" s="3">
        <f>IFERROR(__xludf.DUMMYFUNCTION("""COMPUTED_VALUE"""),0.0)</f>
        <v>0</v>
      </c>
      <c r="L117" s="3">
        <f>IFERROR(__xludf.DUMMYFUNCTION("""COMPUTED_VALUE"""),0.0)</f>
        <v>0</v>
      </c>
      <c r="M117" s="3">
        <f>IFERROR(__xludf.DUMMYFUNCTION("""COMPUTED_VALUE"""),0.0)</f>
        <v>0</v>
      </c>
      <c r="N117" s="3">
        <f>IFERROR(__xludf.DUMMYFUNCTION("""COMPUTED_VALUE"""),0.0)</f>
        <v>0</v>
      </c>
      <c r="O117" s="3">
        <f>IFERROR(__xludf.DUMMYFUNCTION("""COMPUTED_VALUE"""),0.0)</f>
        <v>0</v>
      </c>
      <c r="P117" s="3">
        <f>IFERROR(__xludf.DUMMYFUNCTION("""COMPUTED_VALUE"""),0.0)</f>
        <v>0</v>
      </c>
      <c r="Q117" s="3">
        <f>IFERROR(__xludf.DUMMYFUNCTION("""COMPUTED_VALUE"""),0.0)</f>
        <v>0</v>
      </c>
      <c r="R117" s="3">
        <f>IFERROR(__xludf.DUMMYFUNCTION("""COMPUTED_VALUE"""),0.0)</f>
        <v>0</v>
      </c>
      <c r="S117" s="3">
        <f>IFERROR(__xludf.DUMMYFUNCTION("""COMPUTED_VALUE"""),0.0)</f>
        <v>0</v>
      </c>
      <c r="T117" s="3">
        <f>IFERROR(__xludf.DUMMYFUNCTION("""COMPUTED_VALUE"""),0.0)</f>
        <v>0</v>
      </c>
      <c r="U117" s="3">
        <f>IFERROR(__xludf.DUMMYFUNCTION("""COMPUTED_VALUE"""),0.0)</f>
        <v>0</v>
      </c>
      <c r="V117" s="3">
        <f>IFERROR(__xludf.DUMMYFUNCTION("""COMPUTED_VALUE"""),0.0)</f>
        <v>0</v>
      </c>
      <c r="W117" s="3">
        <f>IFERROR(__xludf.DUMMYFUNCTION("""COMPUTED_VALUE"""),0.0)</f>
        <v>0</v>
      </c>
      <c r="X117" s="3">
        <f>IFERROR(__xludf.DUMMYFUNCTION("""COMPUTED_VALUE"""),0.0)</f>
        <v>0</v>
      </c>
      <c r="Y117" s="3">
        <f>IFERROR(__xludf.DUMMYFUNCTION("""COMPUTED_VALUE"""),0.0)</f>
        <v>0</v>
      </c>
      <c r="Z117" s="3">
        <f>IFERROR(__xludf.DUMMYFUNCTION("""COMPUTED_VALUE"""),0.0)</f>
        <v>0</v>
      </c>
      <c r="AA117" s="3">
        <f>IFERROR(__xludf.DUMMYFUNCTION("""COMPUTED_VALUE"""),0.0)</f>
        <v>0</v>
      </c>
      <c r="AB117" s="3">
        <f>IFERROR(__xludf.DUMMYFUNCTION("""COMPUTED_VALUE"""),0.0)</f>
        <v>0</v>
      </c>
      <c r="AC117" s="3">
        <f>IFERROR(__xludf.DUMMYFUNCTION("""COMPUTED_VALUE"""),0.0)</f>
        <v>0</v>
      </c>
      <c r="AD117" s="3">
        <f>IFERROR(__xludf.DUMMYFUNCTION("""COMPUTED_VALUE"""),0.0)</f>
        <v>0</v>
      </c>
      <c r="AE117" s="3">
        <f>IFERROR(__xludf.DUMMYFUNCTION("""COMPUTED_VALUE"""),0.0)</f>
        <v>0</v>
      </c>
      <c r="AF117" s="3">
        <f>IFERROR(__xludf.DUMMYFUNCTION("""COMPUTED_VALUE"""),0.0)</f>
        <v>0</v>
      </c>
      <c r="AG117" s="3">
        <f>IFERROR(__xludf.DUMMYFUNCTION("""COMPUTED_VALUE"""),0.0)</f>
        <v>0</v>
      </c>
      <c r="AH117" s="3">
        <f>IFERROR(__xludf.DUMMYFUNCTION("""COMPUTED_VALUE"""),0.0)</f>
        <v>0</v>
      </c>
      <c r="AI117" s="3">
        <f>IFERROR(__xludf.DUMMYFUNCTION("""COMPUTED_VALUE"""),0.0)</f>
        <v>0</v>
      </c>
      <c r="AJ117" s="3">
        <f>IFERROR(__xludf.DUMMYFUNCTION("""COMPUTED_VALUE"""),0.0)</f>
        <v>0</v>
      </c>
      <c r="AK117" s="3">
        <f>IFERROR(__xludf.DUMMYFUNCTION("""COMPUTED_VALUE"""),0.0)</f>
        <v>0</v>
      </c>
      <c r="AL117" s="3">
        <f>IFERROR(__xludf.DUMMYFUNCTION("""COMPUTED_VALUE"""),0.0)</f>
        <v>0</v>
      </c>
      <c r="AM117" s="3">
        <f>IFERROR(__xludf.DUMMYFUNCTION("""COMPUTED_VALUE"""),0.0)</f>
        <v>0</v>
      </c>
      <c r="AN117" s="3">
        <f>IFERROR(__xludf.DUMMYFUNCTION("""COMPUTED_VALUE"""),0.0)</f>
        <v>0</v>
      </c>
      <c r="AO117" s="3">
        <f>IFERROR(__xludf.DUMMYFUNCTION("""COMPUTED_VALUE"""),0.0)</f>
        <v>0</v>
      </c>
      <c r="AP117" s="3">
        <f>IFERROR(__xludf.DUMMYFUNCTION("""COMPUTED_VALUE"""),0.0)</f>
        <v>0</v>
      </c>
      <c r="AQ117" s="3">
        <f>IFERROR(__xludf.DUMMYFUNCTION("""COMPUTED_VALUE"""),0.0)</f>
        <v>0</v>
      </c>
      <c r="AR117" s="3">
        <f>IFERROR(__xludf.DUMMYFUNCTION("""COMPUTED_VALUE"""),0.0)</f>
        <v>0</v>
      </c>
      <c r="AS117" s="3">
        <f>IFERROR(__xludf.DUMMYFUNCTION("""COMPUTED_VALUE"""),0.0)</f>
        <v>0</v>
      </c>
      <c r="AT117" s="3">
        <f>IFERROR(__xludf.DUMMYFUNCTION("""COMPUTED_VALUE"""),0.0)</f>
        <v>0</v>
      </c>
      <c r="AU117" s="3">
        <f>IFERROR(__xludf.DUMMYFUNCTION("""COMPUTED_VALUE"""),0.0)</f>
        <v>0</v>
      </c>
      <c r="AV117" s="3">
        <f>IFERROR(__xludf.DUMMYFUNCTION("""COMPUTED_VALUE"""),0.0)</f>
        <v>0</v>
      </c>
      <c r="AW117" s="3">
        <f>IFERROR(__xludf.DUMMYFUNCTION("""COMPUTED_VALUE"""),0.0)</f>
        <v>0</v>
      </c>
      <c r="AX117" s="3">
        <f>IFERROR(__xludf.DUMMYFUNCTION("""COMPUTED_VALUE"""),0.0)</f>
        <v>0</v>
      </c>
      <c r="AY117" s="3">
        <f>IFERROR(__xludf.DUMMYFUNCTION("""COMPUTED_VALUE"""),0.0)</f>
        <v>0</v>
      </c>
      <c r="AZ117" s="3">
        <f>IFERROR(__xludf.DUMMYFUNCTION("""COMPUTED_VALUE"""),0.0)</f>
        <v>0</v>
      </c>
      <c r="BA117" s="3">
        <f>IFERROR(__xludf.DUMMYFUNCTION("""COMPUTED_VALUE"""),0.0)</f>
        <v>0</v>
      </c>
      <c r="BB117" s="3">
        <f>IFERROR(__xludf.DUMMYFUNCTION("""COMPUTED_VALUE"""),0.0)</f>
        <v>0</v>
      </c>
      <c r="BC117" s="3">
        <f>IFERROR(__xludf.DUMMYFUNCTION("""COMPUTED_VALUE"""),0.0)</f>
        <v>0</v>
      </c>
      <c r="BD117" s="3">
        <f>IFERROR(__xludf.DUMMYFUNCTION("""COMPUTED_VALUE"""),0.0)</f>
        <v>0</v>
      </c>
      <c r="BE117" s="3">
        <f>IFERROR(__xludf.DUMMYFUNCTION("""COMPUTED_VALUE"""),8.0)</f>
        <v>8</v>
      </c>
      <c r="BF117" s="3">
        <f>IFERROR(__xludf.DUMMYFUNCTION("""COMPUTED_VALUE"""),8.0)</f>
        <v>8</v>
      </c>
      <c r="BG117" s="3">
        <f>IFERROR(__xludf.DUMMYFUNCTION("""COMPUTED_VALUE"""),8.0)</f>
        <v>8</v>
      </c>
      <c r="BH117" s="3">
        <f>IFERROR(__xludf.DUMMYFUNCTION("""COMPUTED_VALUE"""),8.0)</f>
        <v>8</v>
      </c>
      <c r="BI117" s="3">
        <f>IFERROR(__xludf.DUMMYFUNCTION("""COMPUTED_VALUE"""),8.0)</f>
        <v>8</v>
      </c>
      <c r="BJ117" s="3">
        <f>IFERROR(__xludf.DUMMYFUNCTION("""COMPUTED_VALUE"""),8.0)</f>
        <v>8</v>
      </c>
      <c r="BK117" s="3">
        <f>IFERROR(__xludf.DUMMYFUNCTION("""COMPUTED_VALUE"""),19.0)</f>
        <v>19</v>
      </c>
      <c r="BL117" s="3">
        <f>IFERROR(__xludf.DUMMYFUNCTION("""COMPUTED_VALUE"""),19.0)</f>
        <v>19</v>
      </c>
      <c r="BM117" s="3">
        <f>IFERROR(__xludf.DUMMYFUNCTION("""COMPUTED_VALUE"""),19.0)</f>
        <v>19</v>
      </c>
      <c r="BN117" s="3">
        <f>IFERROR(__xludf.DUMMYFUNCTION("""COMPUTED_VALUE"""),19.0)</f>
        <v>19</v>
      </c>
      <c r="BO117" s="3">
        <f>IFERROR(__xludf.DUMMYFUNCTION("""COMPUTED_VALUE"""),29.0)</f>
        <v>29</v>
      </c>
      <c r="BP117" s="3">
        <f>IFERROR(__xludf.DUMMYFUNCTION("""COMPUTED_VALUE"""),36.0)</f>
        <v>36</v>
      </c>
      <c r="BQ117" s="3">
        <f>IFERROR(__xludf.DUMMYFUNCTION("""COMPUTED_VALUE"""),36.0)</f>
        <v>36</v>
      </c>
      <c r="BR117" s="3">
        <f>IFERROR(__xludf.DUMMYFUNCTION("""COMPUTED_VALUE"""),52.0)</f>
        <v>52</v>
      </c>
      <c r="BS117" s="3">
        <f>IFERROR(__xludf.DUMMYFUNCTION("""COMPUTED_VALUE"""),52.0)</f>
        <v>52</v>
      </c>
      <c r="BT117" s="3">
        <f>IFERROR(__xludf.DUMMYFUNCTION("""COMPUTED_VALUE"""),52.0)</f>
        <v>52</v>
      </c>
      <c r="BU117" s="3">
        <f>IFERROR(__xludf.DUMMYFUNCTION("""COMPUTED_VALUE"""),52.0)</f>
        <v>52</v>
      </c>
      <c r="BV117" s="3">
        <f>IFERROR(__xludf.DUMMYFUNCTION("""COMPUTED_VALUE"""),52.0)</f>
        <v>52</v>
      </c>
      <c r="BW117" s="3">
        <f>IFERROR(__xludf.DUMMYFUNCTION("""COMPUTED_VALUE"""),52.0)</f>
        <v>52</v>
      </c>
      <c r="BX117" s="3">
        <f>IFERROR(__xludf.DUMMYFUNCTION("""COMPUTED_VALUE"""),61.0)</f>
        <v>61</v>
      </c>
      <c r="BY117" s="3">
        <f>IFERROR(__xludf.DUMMYFUNCTION("""COMPUTED_VALUE"""),78.0)</f>
        <v>78</v>
      </c>
      <c r="BZ117" s="3">
        <f>IFERROR(__xludf.DUMMYFUNCTION("""COMPUTED_VALUE"""),78.0)</f>
        <v>78</v>
      </c>
      <c r="CA117" s="3">
        <f>IFERROR(__xludf.DUMMYFUNCTION("""COMPUTED_VALUE"""),78.0)</f>
        <v>78</v>
      </c>
      <c r="CB117" s="3">
        <f>IFERROR(__xludf.DUMMYFUNCTION("""COMPUTED_VALUE"""),269.0)</f>
        <v>269</v>
      </c>
    </row>
    <row r="118">
      <c r="A118" s="3" t="str">
        <f>IFERROR(__xludf.DUMMYFUNCTION("""COMPUTED_VALUE"""),"")</f>
        <v/>
      </c>
      <c r="B118" s="3" t="str">
        <f>IFERROR(__xludf.DUMMYFUNCTION("""COMPUTED_VALUE"""),"Guatemala")</f>
        <v>Guatemala</v>
      </c>
      <c r="C118" s="3">
        <f>IFERROR(__xludf.DUMMYFUNCTION("""COMPUTED_VALUE"""),15.7835)</f>
        <v>15.7835</v>
      </c>
      <c r="D118" s="3">
        <f>IFERROR(__xludf.DUMMYFUNCTION("""COMPUTED_VALUE"""),-90.2308)</f>
        <v>-90.2308</v>
      </c>
      <c r="E118" s="3">
        <f>IFERROR(__xludf.DUMMYFUNCTION("""COMPUTED_VALUE"""),0.0)</f>
        <v>0</v>
      </c>
      <c r="F118" s="3">
        <f>IFERROR(__xludf.DUMMYFUNCTION("""COMPUTED_VALUE"""),0.0)</f>
        <v>0</v>
      </c>
      <c r="G118" s="3">
        <f>IFERROR(__xludf.DUMMYFUNCTION("""COMPUTED_VALUE"""),0.0)</f>
        <v>0</v>
      </c>
      <c r="H118" s="3">
        <f>IFERROR(__xludf.DUMMYFUNCTION("""COMPUTED_VALUE"""),0.0)</f>
        <v>0</v>
      </c>
      <c r="I118" s="3">
        <f>IFERROR(__xludf.DUMMYFUNCTION("""COMPUTED_VALUE"""),0.0)</f>
        <v>0</v>
      </c>
      <c r="J118" s="3">
        <f>IFERROR(__xludf.DUMMYFUNCTION("""COMPUTED_VALUE"""),0.0)</f>
        <v>0</v>
      </c>
      <c r="K118" s="3">
        <f>IFERROR(__xludf.DUMMYFUNCTION("""COMPUTED_VALUE"""),0.0)</f>
        <v>0</v>
      </c>
      <c r="L118" s="3">
        <f>IFERROR(__xludf.DUMMYFUNCTION("""COMPUTED_VALUE"""),0.0)</f>
        <v>0</v>
      </c>
      <c r="M118" s="3">
        <f>IFERROR(__xludf.DUMMYFUNCTION("""COMPUTED_VALUE"""),0.0)</f>
        <v>0</v>
      </c>
      <c r="N118" s="3">
        <f>IFERROR(__xludf.DUMMYFUNCTION("""COMPUTED_VALUE"""),0.0)</f>
        <v>0</v>
      </c>
      <c r="O118" s="3">
        <f>IFERROR(__xludf.DUMMYFUNCTION("""COMPUTED_VALUE"""),0.0)</f>
        <v>0</v>
      </c>
      <c r="P118" s="3">
        <f>IFERROR(__xludf.DUMMYFUNCTION("""COMPUTED_VALUE"""),0.0)</f>
        <v>0</v>
      </c>
      <c r="Q118" s="3">
        <f>IFERROR(__xludf.DUMMYFUNCTION("""COMPUTED_VALUE"""),0.0)</f>
        <v>0</v>
      </c>
      <c r="R118" s="3">
        <f>IFERROR(__xludf.DUMMYFUNCTION("""COMPUTED_VALUE"""),0.0)</f>
        <v>0</v>
      </c>
      <c r="S118" s="3">
        <f>IFERROR(__xludf.DUMMYFUNCTION("""COMPUTED_VALUE"""),0.0)</f>
        <v>0</v>
      </c>
      <c r="T118" s="3">
        <f>IFERROR(__xludf.DUMMYFUNCTION("""COMPUTED_VALUE"""),0.0)</f>
        <v>0</v>
      </c>
      <c r="U118" s="3">
        <f>IFERROR(__xludf.DUMMYFUNCTION("""COMPUTED_VALUE"""),0.0)</f>
        <v>0</v>
      </c>
      <c r="V118" s="3">
        <f>IFERROR(__xludf.DUMMYFUNCTION("""COMPUTED_VALUE"""),0.0)</f>
        <v>0</v>
      </c>
      <c r="W118" s="3">
        <f>IFERROR(__xludf.DUMMYFUNCTION("""COMPUTED_VALUE"""),0.0)</f>
        <v>0</v>
      </c>
      <c r="X118" s="3">
        <f>IFERROR(__xludf.DUMMYFUNCTION("""COMPUTED_VALUE"""),0.0)</f>
        <v>0</v>
      </c>
      <c r="Y118" s="3">
        <f>IFERROR(__xludf.DUMMYFUNCTION("""COMPUTED_VALUE"""),0.0)</f>
        <v>0</v>
      </c>
      <c r="Z118" s="3">
        <f>IFERROR(__xludf.DUMMYFUNCTION("""COMPUTED_VALUE"""),0.0)</f>
        <v>0</v>
      </c>
      <c r="AA118" s="3">
        <f>IFERROR(__xludf.DUMMYFUNCTION("""COMPUTED_VALUE"""),0.0)</f>
        <v>0</v>
      </c>
      <c r="AB118" s="3">
        <f>IFERROR(__xludf.DUMMYFUNCTION("""COMPUTED_VALUE"""),0.0)</f>
        <v>0</v>
      </c>
      <c r="AC118" s="3">
        <f>IFERROR(__xludf.DUMMYFUNCTION("""COMPUTED_VALUE"""),0.0)</f>
        <v>0</v>
      </c>
      <c r="AD118" s="3">
        <f>IFERROR(__xludf.DUMMYFUNCTION("""COMPUTED_VALUE"""),0.0)</f>
        <v>0</v>
      </c>
      <c r="AE118" s="3">
        <f>IFERROR(__xludf.DUMMYFUNCTION("""COMPUTED_VALUE"""),0.0)</f>
        <v>0</v>
      </c>
      <c r="AF118" s="3">
        <f>IFERROR(__xludf.DUMMYFUNCTION("""COMPUTED_VALUE"""),0.0)</f>
        <v>0</v>
      </c>
      <c r="AG118" s="3">
        <f>IFERROR(__xludf.DUMMYFUNCTION("""COMPUTED_VALUE"""),0.0)</f>
        <v>0</v>
      </c>
      <c r="AH118" s="3">
        <f>IFERROR(__xludf.DUMMYFUNCTION("""COMPUTED_VALUE"""),0.0)</f>
        <v>0</v>
      </c>
      <c r="AI118" s="3">
        <f>IFERROR(__xludf.DUMMYFUNCTION("""COMPUTED_VALUE"""),0.0)</f>
        <v>0</v>
      </c>
      <c r="AJ118" s="3">
        <f>IFERROR(__xludf.DUMMYFUNCTION("""COMPUTED_VALUE"""),0.0)</f>
        <v>0</v>
      </c>
      <c r="AK118" s="3">
        <f>IFERROR(__xludf.DUMMYFUNCTION("""COMPUTED_VALUE"""),0.0)</f>
        <v>0</v>
      </c>
      <c r="AL118" s="3">
        <f>IFERROR(__xludf.DUMMYFUNCTION("""COMPUTED_VALUE"""),0.0)</f>
        <v>0</v>
      </c>
      <c r="AM118" s="3">
        <f>IFERROR(__xludf.DUMMYFUNCTION("""COMPUTED_VALUE"""),0.0)</f>
        <v>0</v>
      </c>
      <c r="AN118" s="3">
        <f>IFERROR(__xludf.DUMMYFUNCTION("""COMPUTED_VALUE"""),0.0)</f>
        <v>0</v>
      </c>
      <c r="AO118" s="3">
        <f>IFERROR(__xludf.DUMMYFUNCTION("""COMPUTED_VALUE"""),0.0)</f>
        <v>0</v>
      </c>
      <c r="AP118" s="3">
        <f>IFERROR(__xludf.DUMMYFUNCTION("""COMPUTED_VALUE"""),0.0)</f>
        <v>0</v>
      </c>
      <c r="AQ118" s="3">
        <f>IFERROR(__xludf.DUMMYFUNCTION("""COMPUTED_VALUE"""),0.0)</f>
        <v>0</v>
      </c>
      <c r="AR118" s="3">
        <f>IFERROR(__xludf.DUMMYFUNCTION("""COMPUTED_VALUE"""),0.0)</f>
        <v>0</v>
      </c>
      <c r="AS118" s="3">
        <f>IFERROR(__xludf.DUMMYFUNCTION("""COMPUTED_VALUE"""),0.0)</f>
        <v>0</v>
      </c>
      <c r="AT118" s="3">
        <f>IFERROR(__xludf.DUMMYFUNCTION("""COMPUTED_VALUE"""),0.0)</f>
        <v>0</v>
      </c>
      <c r="AU118" s="3">
        <f>IFERROR(__xludf.DUMMYFUNCTION("""COMPUTED_VALUE"""),0.0)</f>
        <v>0</v>
      </c>
      <c r="AV118" s="3">
        <f>IFERROR(__xludf.DUMMYFUNCTION("""COMPUTED_VALUE"""),0.0)</f>
        <v>0</v>
      </c>
      <c r="AW118" s="3">
        <f>IFERROR(__xludf.DUMMYFUNCTION("""COMPUTED_VALUE"""),0.0)</f>
        <v>0</v>
      </c>
      <c r="AX118" s="3">
        <f>IFERROR(__xludf.DUMMYFUNCTION("""COMPUTED_VALUE"""),0.0)</f>
        <v>0</v>
      </c>
      <c r="AY118" s="3">
        <f>IFERROR(__xludf.DUMMYFUNCTION("""COMPUTED_VALUE"""),0.0)</f>
        <v>0</v>
      </c>
      <c r="AZ118" s="3">
        <f>IFERROR(__xludf.DUMMYFUNCTION("""COMPUTED_VALUE"""),0.0)</f>
        <v>0</v>
      </c>
      <c r="BA118" s="3">
        <f>IFERROR(__xludf.DUMMYFUNCTION("""COMPUTED_VALUE"""),0.0)</f>
        <v>0</v>
      </c>
      <c r="BB118" s="3">
        <f>IFERROR(__xludf.DUMMYFUNCTION("""COMPUTED_VALUE"""),0.0)</f>
        <v>0</v>
      </c>
      <c r="BC118" s="3">
        <f>IFERROR(__xludf.DUMMYFUNCTION("""COMPUTED_VALUE"""),0.0)</f>
        <v>0</v>
      </c>
      <c r="BD118" s="3">
        <f>IFERROR(__xludf.DUMMYFUNCTION("""COMPUTED_VALUE"""),0.0)</f>
        <v>0</v>
      </c>
      <c r="BE118" s="3">
        <f>IFERROR(__xludf.DUMMYFUNCTION("""COMPUTED_VALUE"""),0.0)</f>
        <v>0</v>
      </c>
      <c r="BF118" s="3">
        <f>IFERROR(__xludf.DUMMYFUNCTION("""COMPUTED_VALUE"""),0.0)</f>
        <v>0</v>
      </c>
      <c r="BG118" s="3">
        <f>IFERROR(__xludf.DUMMYFUNCTION("""COMPUTED_VALUE"""),0.0)</f>
        <v>0</v>
      </c>
      <c r="BH118" s="3">
        <f>IFERROR(__xludf.DUMMYFUNCTION("""COMPUTED_VALUE"""),0.0)</f>
        <v>0</v>
      </c>
      <c r="BI118" s="3">
        <f>IFERROR(__xludf.DUMMYFUNCTION("""COMPUTED_VALUE"""),0.0)</f>
        <v>0</v>
      </c>
      <c r="BJ118" s="3">
        <f>IFERROR(__xludf.DUMMYFUNCTION("""COMPUTED_VALUE"""),0.0)</f>
        <v>0</v>
      </c>
      <c r="BK118" s="3">
        <f>IFERROR(__xludf.DUMMYFUNCTION("""COMPUTED_VALUE"""),0.0)</f>
        <v>0</v>
      </c>
      <c r="BL118" s="3">
        <f>IFERROR(__xludf.DUMMYFUNCTION("""COMPUTED_VALUE"""),0.0)</f>
        <v>0</v>
      </c>
      <c r="BM118" s="3">
        <f>IFERROR(__xludf.DUMMYFUNCTION("""COMPUTED_VALUE"""),0.0)</f>
        <v>0</v>
      </c>
      <c r="BN118" s="3">
        <f>IFERROR(__xludf.DUMMYFUNCTION("""COMPUTED_VALUE"""),0.0)</f>
        <v>0</v>
      </c>
      <c r="BO118" s="3">
        <f>IFERROR(__xludf.DUMMYFUNCTION("""COMPUTED_VALUE"""),0.0)</f>
        <v>0</v>
      </c>
      <c r="BP118" s="3">
        <f>IFERROR(__xludf.DUMMYFUNCTION("""COMPUTED_VALUE"""),4.0)</f>
        <v>4</v>
      </c>
      <c r="BQ118" s="3">
        <f>IFERROR(__xludf.DUMMYFUNCTION("""COMPUTED_VALUE"""),4.0)</f>
        <v>4</v>
      </c>
      <c r="BR118" s="3">
        <f>IFERROR(__xludf.DUMMYFUNCTION("""COMPUTED_VALUE"""),4.0)</f>
        <v>4</v>
      </c>
      <c r="BS118" s="3">
        <f>IFERROR(__xludf.DUMMYFUNCTION("""COMPUTED_VALUE"""),10.0)</f>
        <v>10</v>
      </c>
      <c r="BT118" s="3">
        <f>IFERROR(__xludf.DUMMYFUNCTION("""COMPUTED_VALUE"""),10.0)</f>
        <v>10</v>
      </c>
      <c r="BU118" s="3">
        <f>IFERROR(__xludf.DUMMYFUNCTION("""COMPUTED_VALUE"""),10.0)</f>
        <v>10</v>
      </c>
      <c r="BV118" s="3">
        <f>IFERROR(__xludf.DUMMYFUNCTION("""COMPUTED_VALUE"""),12.0)</f>
        <v>12</v>
      </c>
      <c r="BW118" s="3">
        <f>IFERROR(__xludf.DUMMYFUNCTION("""COMPUTED_VALUE"""),12.0)</f>
        <v>12</v>
      </c>
      <c r="BX118" s="3">
        <f>IFERROR(__xludf.DUMMYFUNCTION("""COMPUTED_VALUE"""),12.0)</f>
        <v>12</v>
      </c>
      <c r="BY118" s="3">
        <f>IFERROR(__xludf.DUMMYFUNCTION("""COMPUTED_VALUE"""),12.0)</f>
        <v>12</v>
      </c>
      <c r="BZ118" s="3">
        <f>IFERROR(__xludf.DUMMYFUNCTION("""COMPUTED_VALUE"""),15.0)</f>
        <v>15</v>
      </c>
      <c r="CA118" s="3">
        <f>IFERROR(__xludf.DUMMYFUNCTION("""COMPUTED_VALUE"""),15.0)</f>
        <v>15</v>
      </c>
      <c r="CB118" s="3">
        <f>IFERROR(__xludf.DUMMYFUNCTION("""COMPUTED_VALUE"""),15.0)</f>
        <v>15</v>
      </c>
    </row>
    <row r="119">
      <c r="A119" s="3" t="str">
        <f>IFERROR(__xludf.DUMMYFUNCTION("""COMPUTED_VALUE"""),"")</f>
        <v/>
      </c>
      <c r="B119" s="3" t="str">
        <f>IFERROR(__xludf.DUMMYFUNCTION("""COMPUTED_VALUE"""),"Guinea")</f>
        <v>Guinea</v>
      </c>
      <c r="C119" s="3">
        <f>IFERROR(__xludf.DUMMYFUNCTION("""COMPUTED_VALUE"""),9.9456)</f>
        <v>9.9456</v>
      </c>
      <c r="D119" s="3">
        <f>IFERROR(__xludf.DUMMYFUNCTION("""COMPUTED_VALUE"""),-9.6966)</f>
        <v>-9.6966</v>
      </c>
      <c r="E119" s="3">
        <f>IFERROR(__xludf.DUMMYFUNCTION("""COMPUTED_VALUE"""),0.0)</f>
        <v>0</v>
      </c>
      <c r="F119" s="3">
        <f>IFERROR(__xludf.DUMMYFUNCTION("""COMPUTED_VALUE"""),0.0)</f>
        <v>0</v>
      </c>
      <c r="G119" s="3">
        <f>IFERROR(__xludf.DUMMYFUNCTION("""COMPUTED_VALUE"""),0.0)</f>
        <v>0</v>
      </c>
      <c r="H119" s="3">
        <f>IFERROR(__xludf.DUMMYFUNCTION("""COMPUTED_VALUE"""),0.0)</f>
        <v>0</v>
      </c>
      <c r="I119" s="3">
        <f>IFERROR(__xludf.DUMMYFUNCTION("""COMPUTED_VALUE"""),0.0)</f>
        <v>0</v>
      </c>
      <c r="J119" s="3">
        <f>IFERROR(__xludf.DUMMYFUNCTION("""COMPUTED_VALUE"""),0.0)</f>
        <v>0</v>
      </c>
      <c r="K119" s="3">
        <f>IFERROR(__xludf.DUMMYFUNCTION("""COMPUTED_VALUE"""),0.0)</f>
        <v>0</v>
      </c>
      <c r="L119" s="3">
        <f>IFERROR(__xludf.DUMMYFUNCTION("""COMPUTED_VALUE"""),0.0)</f>
        <v>0</v>
      </c>
      <c r="M119" s="3">
        <f>IFERROR(__xludf.DUMMYFUNCTION("""COMPUTED_VALUE"""),0.0)</f>
        <v>0</v>
      </c>
      <c r="N119" s="3">
        <f>IFERROR(__xludf.DUMMYFUNCTION("""COMPUTED_VALUE"""),0.0)</f>
        <v>0</v>
      </c>
      <c r="O119" s="3">
        <f>IFERROR(__xludf.DUMMYFUNCTION("""COMPUTED_VALUE"""),0.0)</f>
        <v>0</v>
      </c>
      <c r="P119" s="3">
        <f>IFERROR(__xludf.DUMMYFUNCTION("""COMPUTED_VALUE"""),0.0)</f>
        <v>0</v>
      </c>
      <c r="Q119" s="3">
        <f>IFERROR(__xludf.DUMMYFUNCTION("""COMPUTED_VALUE"""),0.0)</f>
        <v>0</v>
      </c>
      <c r="R119" s="3">
        <f>IFERROR(__xludf.DUMMYFUNCTION("""COMPUTED_VALUE"""),0.0)</f>
        <v>0</v>
      </c>
      <c r="S119" s="3">
        <f>IFERROR(__xludf.DUMMYFUNCTION("""COMPUTED_VALUE"""),0.0)</f>
        <v>0</v>
      </c>
      <c r="T119" s="3">
        <f>IFERROR(__xludf.DUMMYFUNCTION("""COMPUTED_VALUE"""),0.0)</f>
        <v>0</v>
      </c>
      <c r="U119" s="3">
        <f>IFERROR(__xludf.DUMMYFUNCTION("""COMPUTED_VALUE"""),0.0)</f>
        <v>0</v>
      </c>
      <c r="V119" s="3">
        <f>IFERROR(__xludf.DUMMYFUNCTION("""COMPUTED_VALUE"""),0.0)</f>
        <v>0</v>
      </c>
      <c r="W119" s="3">
        <f>IFERROR(__xludf.DUMMYFUNCTION("""COMPUTED_VALUE"""),0.0)</f>
        <v>0</v>
      </c>
      <c r="X119" s="3">
        <f>IFERROR(__xludf.DUMMYFUNCTION("""COMPUTED_VALUE"""),0.0)</f>
        <v>0</v>
      </c>
      <c r="Y119" s="3">
        <f>IFERROR(__xludf.DUMMYFUNCTION("""COMPUTED_VALUE"""),0.0)</f>
        <v>0</v>
      </c>
      <c r="Z119" s="3">
        <f>IFERROR(__xludf.DUMMYFUNCTION("""COMPUTED_VALUE"""),0.0)</f>
        <v>0</v>
      </c>
      <c r="AA119" s="3">
        <f>IFERROR(__xludf.DUMMYFUNCTION("""COMPUTED_VALUE"""),0.0)</f>
        <v>0</v>
      </c>
      <c r="AB119" s="3">
        <f>IFERROR(__xludf.DUMMYFUNCTION("""COMPUTED_VALUE"""),0.0)</f>
        <v>0</v>
      </c>
      <c r="AC119" s="3">
        <f>IFERROR(__xludf.DUMMYFUNCTION("""COMPUTED_VALUE"""),0.0)</f>
        <v>0</v>
      </c>
      <c r="AD119" s="3">
        <f>IFERROR(__xludf.DUMMYFUNCTION("""COMPUTED_VALUE"""),0.0)</f>
        <v>0</v>
      </c>
      <c r="AE119" s="3">
        <f>IFERROR(__xludf.DUMMYFUNCTION("""COMPUTED_VALUE"""),0.0)</f>
        <v>0</v>
      </c>
      <c r="AF119" s="3">
        <f>IFERROR(__xludf.DUMMYFUNCTION("""COMPUTED_VALUE"""),0.0)</f>
        <v>0</v>
      </c>
      <c r="AG119" s="3">
        <f>IFERROR(__xludf.DUMMYFUNCTION("""COMPUTED_VALUE"""),0.0)</f>
        <v>0</v>
      </c>
      <c r="AH119" s="3">
        <f>IFERROR(__xludf.DUMMYFUNCTION("""COMPUTED_VALUE"""),0.0)</f>
        <v>0</v>
      </c>
      <c r="AI119" s="3">
        <f>IFERROR(__xludf.DUMMYFUNCTION("""COMPUTED_VALUE"""),0.0)</f>
        <v>0</v>
      </c>
      <c r="AJ119" s="3">
        <f>IFERROR(__xludf.DUMMYFUNCTION("""COMPUTED_VALUE"""),0.0)</f>
        <v>0</v>
      </c>
      <c r="AK119" s="3">
        <f>IFERROR(__xludf.DUMMYFUNCTION("""COMPUTED_VALUE"""),0.0)</f>
        <v>0</v>
      </c>
      <c r="AL119" s="3">
        <f>IFERROR(__xludf.DUMMYFUNCTION("""COMPUTED_VALUE"""),0.0)</f>
        <v>0</v>
      </c>
      <c r="AM119" s="3">
        <f>IFERROR(__xludf.DUMMYFUNCTION("""COMPUTED_VALUE"""),0.0)</f>
        <v>0</v>
      </c>
      <c r="AN119" s="3">
        <f>IFERROR(__xludf.DUMMYFUNCTION("""COMPUTED_VALUE"""),0.0)</f>
        <v>0</v>
      </c>
      <c r="AO119" s="3">
        <f>IFERROR(__xludf.DUMMYFUNCTION("""COMPUTED_VALUE"""),0.0)</f>
        <v>0</v>
      </c>
      <c r="AP119" s="3">
        <f>IFERROR(__xludf.DUMMYFUNCTION("""COMPUTED_VALUE"""),0.0)</f>
        <v>0</v>
      </c>
      <c r="AQ119" s="3">
        <f>IFERROR(__xludf.DUMMYFUNCTION("""COMPUTED_VALUE"""),0.0)</f>
        <v>0</v>
      </c>
      <c r="AR119" s="3">
        <f>IFERROR(__xludf.DUMMYFUNCTION("""COMPUTED_VALUE"""),0.0)</f>
        <v>0</v>
      </c>
      <c r="AS119" s="3">
        <f>IFERROR(__xludf.DUMMYFUNCTION("""COMPUTED_VALUE"""),0.0)</f>
        <v>0</v>
      </c>
      <c r="AT119" s="3">
        <f>IFERROR(__xludf.DUMMYFUNCTION("""COMPUTED_VALUE"""),0.0)</f>
        <v>0</v>
      </c>
      <c r="AU119" s="3">
        <f>IFERROR(__xludf.DUMMYFUNCTION("""COMPUTED_VALUE"""),0.0)</f>
        <v>0</v>
      </c>
      <c r="AV119" s="3">
        <f>IFERROR(__xludf.DUMMYFUNCTION("""COMPUTED_VALUE"""),0.0)</f>
        <v>0</v>
      </c>
      <c r="AW119" s="3">
        <f>IFERROR(__xludf.DUMMYFUNCTION("""COMPUTED_VALUE"""),0.0)</f>
        <v>0</v>
      </c>
      <c r="AX119" s="3">
        <f>IFERROR(__xludf.DUMMYFUNCTION("""COMPUTED_VALUE"""),0.0)</f>
        <v>0</v>
      </c>
      <c r="AY119" s="3">
        <f>IFERROR(__xludf.DUMMYFUNCTION("""COMPUTED_VALUE"""),0.0)</f>
        <v>0</v>
      </c>
      <c r="AZ119" s="3">
        <f>IFERROR(__xludf.DUMMYFUNCTION("""COMPUTED_VALUE"""),0.0)</f>
        <v>0</v>
      </c>
      <c r="BA119" s="3">
        <f>IFERROR(__xludf.DUMMYFUNCTION("""COMPUTED_VALUE"""),0.0)</f>
        <v>0</v>
      </c>
      <c r="BB119" s="3">
        <f>IFERROR(__xludf.DUMMYFUNCTION("""COMPUTED_VALUE"""),0.0)</f>
        <v>0</v>
      </c>
      <c r="BC119" s="3">
        <f>IFERROR(__xludf.DUMMYFUNCTION("""COMPUTED_VALUE"""),0.0)</f>
        <v>0</v>
      </c>
      <c r="BD119" s="3">
        <f>IFERROR(__xludf.DUMMYFUNCTION("""COMPUTED_VALUE"""),0.0)</f>
        <v>0</v>
      </c>
      <c r="BE119" s="3">
        <f>IFERROR(__xludf.DUMMYFUNCTION("""COMPUTED_VALUE"""),0.0)</f>
        <v>0</v>
      </c>
      <c r="BF119" s="3">
        <f>IFERROR(__xludf.DUMMYFUNCTION("""COMPUTED_VALUE"""),0.0)</f>
        <v>0</v>
      </c>
      <c r="BG119" s="3">
        <f>IFERROR(__xludf.DUMMYFUNCTION("""COMPUTED_VALUE"""),0.0)</f>
        <v>0</v>
      </c>
      <c r="BH119" s="3">
        <f>IFERROR(__xludf.DUMMYFUNCTION("""COMPUTED_VALUE"""),0.0)</f>
        <v>0</v>
      </c>
      <c r="BI119" s="3">
        <f>IFERROR(__xludf.DUMMYFUNCTION("""COMPUTED_VALUE"""),0.0)</f>
        <v>0</v>
      </c>
      <c r="BJ119" s="3">
        <f>IFERROR(__xludf.DUMMYFUNCTION("""COMPUTED_VALUE"""),0.0)</f>
        <v>0</v>
      </c>
      <c r="BK119" s="3">
        <f>IFERROR(__xludf.DUMMYFUNCTION("""COMPUTED_VALUE"""),0.0)</f>
        <v>0</v>
      </c>
      <c r="BL119" s="3">
        <f>IFERROR(__xludf.DUMMYFUNCTION("""COMPUTED_VALUE"""),0.0)</f>
        <v>0</v>
      </c>
      <c r="BM119" s="3">
        <f>IFERROR(__xludf.DUMMYFUNCTION("""COMPUTED_VALUE"""),0.0)</f>
        <v>0</v>
      </c>
      <c r="BN119" s="3">
        <f>IFERROR(__xludf.DUMMYFUNCTION("""COMPUTED_VALUE"""),0.0)</f>
        <v>0</v>
      </c>
      <c r="BO119" s="3">
        <f>IFERROR(__xludf.DUMMYFUNCTION("""COMPUTED_VALUE"""),0.0)</f>
        <v>0</v>
      </c>
      <c r="BP119" s="3">
        <f>IFERROR(__xludf.DUMMYFUNCTION("""COMPUTED_VALUE"""),0.0)</f>
        <v>0</v>
      </c>
      <c r="BQ119" s="3">
        <f>IFERROR(__xludf.DUMMYFUNCTION("""COMPUTED_VALUE"""),0.0)</f>
        <v>0</v>
      </c>
      <c r="BR119" s="3">
        <f>IFERROR(__xludf.DUMMYFUNCTION("""COMPUTED_VALUE"""),0.0)</f>
        <v>0</v>
      </c>
      <c r="BS119" s="3">
        <f>IFERROR(__xludf.DUMMYFUNCTION("""COMPUTED_VALUE"""),0.0)</f>
        <v>0</v>
      </c>
      <c r="BT119" s="3">
        <f>IFERROR(__xludf.DUMMYFUNCTION("""COMPUTED_VALUE"""),0.0)</f>
        <v>0</v>
      </c>
      <c r="BU119" s="3">
        <f>IFERROR(__xludf.DUMMYFUNCTION("""COMPUTED_VALUE"""),0.0)</f>
        <v>0</v>
      </c>
      <c r="BV119" s="3">
        <f>IFERROR(__xludf.DUMMYFUNCTION("""COMPUTED_VALUE"""),0.0)</f>
        <v>0</v>
      </c>
      <c r="BW119" s="3">
        <f>IFERROR(__xludf.DUMMYFUNCTION("""COMPUTED_VALUE"""),0.0)</f>
        <v>0</v>
      </c>
      <c r="BX119" s="3">
        <f>IFERROR(__xludf.DUMMYFUNCTION("""COMPUTED_VALUE"""),0.0)</f>
        <v>0</v>
      </c>
      <c r="BY119" s="3">
        <f>IFERROR(__xludf.DUMMYFUNCTION("""COMPUTED_VALUE"""),2.0)</f>
        <v>2</v>
      </c>
      <c r="BZ119" s="3">
        <f>IFERROR(__xludf.DUMMYFUNCTION("""COMPUTED_VALUE"""),5.0)</f>
        <v>5</v>
      </c>
      <c r="CA119" s="3">
        <f>IFERROR(__xludf.DUMMYFUNCTION("""COMPUTED_VALUE"""),5.0)</f>
        <v>5</v>
      </c>
      <c r="CB119" s="3">
        <f>IFERROR(__xludf.DUMMYFUNCTION("""COMPUTED_VALUE"""),5.0)</f>
        <v>5</v>
      </c>
    </row>
    <row r="120">
      <c r="A120" s="3" t="str">
        <f>IFERROR(__xludf.DUMMYFUNCTION("""COMPUTED_VALUE"""),"")</f>
        <v/>
      </c>
      <c r="B120" s="3" t="str">
        <f>IFERROR(__xludf.DUMMYFUNCTION("""COMPUTED_VALUE"""),"Guinea-Bissau")</f>
        <v>Guinea-Bissau</v>
      </c>
      <c r="C120" s="3">
        <f>IFERROR(__xludf.DUMMYFUNCTION("""COMPUTED_VALUE"""),11.8037)</f>
        <v>11.8037</v>
      </c>
      <c r="D120" s="3">
        <f>IFERROR(__xludf.DUMMYFUNCTION("""COMPUTED_VALUE"""),-15.1804)</f>
        <v>-15.1804</v>
      </c>
      <c r="E120" s="3">
        <f>IFERROR(__xludf.DUMMYFUNCTION("""COMPUTED_VALUE"""),0.0)</f>
        <v>0</v>
      </c>
      <c r="F120" s="3">
        <f>IFERROR(__xludf.DUMMYFUNCTION("""COMPUTED_VALUE"""),0.0)</f>
        <v>0</v>
      </c>
      <c r="G120" s="3">
        <f>IFERROR(__xludf.DUMMYFUNCTION("""COMPUTED_VALUE"""),0.0)</f>
        <v>0</v>
      </c>
      <c r="H120" s="3">
        <f>IFERROR(__xludf.DUMMYFUNCTION("""COMPUTED_VALUE"""),0.0)</f>
        <v>0</v>
      </c>
      <c r="I120" s="3">
        <f>IFERROR(__xludf.DUMMYFUNCTION("""COMPUTED_VALUE"""),0.0)</f>
        <v>0</v>
      </c>
      <c r="J120" s="3">
        <f>IFERROR(__xludf.DUMMYFUNCTION("""COMPUTED_VALUE"""),0.0)</f>
        <v>0</v>
      </c>
      <c r="K120" s="3">
        <f>IFERROR(__xludf.DUMMYFUNCTION("""COMPUTED_VALUE"""),0.0)</f>
        <v>0</v>
      </c>
      <c r="L120" s="3">
        <f>IFERROR(__xludf.DUMMYFUNCTION("""COMPUTED_VALUE"""),0.0)</f>
        <v>0</v>
      </c>
      <c r="M120" s="3">
        <f>IFERROR(__xludf.DUMMYFUNCTION("""COMPUTED_VALUE"""),0.0)</f>
        <v>0</v>
      </c>
      <c r="N120" s="3">
        <f>IFERROR(__xludf.DUMMYFUNCTION("""COMPUTED_VALUE"""),0.0)</f>
        <v>0</v>
      </c>
      <c r="O120" s="3">
        <f>IFERROR(__xludf.DUMMYFUNCTION("""COMPUTED_VALUE"""),0.0)</f>
        <v>0</v>
      </c>
      <c r="P120" s="3">
        <f>IFERROR(__xludf.DUMMYFUNCTION("""COMPUTED_VALUE"""),0.0)</f>
        <v>0</v>
      </c>
      <c r="Q120" s="3">
        <f>IFERROR(__xludf.DUMMYFUNCTION("""COMPUTED_VALUE"""),0.0)</f>
        <v>0</v>
      </c>
      <c r="R120" s="3">
        <f>IFERROR(__xludf.DUMMYFUNCTION("""COMPUTED_VALUE"""),0.0)</f>
        <v>0</v>
      </c>
      <c r="S120" s="3">
        <f>IFERROR(__xludf.DUMMYFUNCTION("""COMPUTED_VALUE"""),0.0)</f>
        <v>0</v>
      </c>
      <c r="T120" s="3">
        <f>IFERROR(__xludf.DUMMYFUNCTION("""COMPUTED_VALUE"""),0.0)</f>
        <v>0</v>
      </c>
      <c r="U120" s="3">
        <f>IFERROR(__xludf.DUMMYFUNCTION("""COMPUTED_VALUE"""),0.0)</f>
        <v>0</v>
      </c>
      <c r="V120" s="3">
        <f>IFERROR(__xludf.DUMMYFUNCTION("""COMPUTED_VALUE"""),0.0)</f>
        <v>0</v>
      </c>
      <c r="W120" s="3">
        <f>IFERROR(__xludf.DUMMYFUNCTION("""COMPUTED_VALUE"""),0.0)</f>
        <v>0</v>
      </c>
      <c r="X120" s="3">
        <f>IFERROR(__xludf.DUMMYFUNCTION("""COMPUTED_VALUE"""),0.0)</f>
        <v>0</v>
      </c>
      <c r="Y120" s="3">
        <f>IFERROR(__xludf.DUMMYFUNCTION("""COMPUTED_VALUE"""),0.0)</f>
        <v>0</v>
      </c>
      <c r="Z120" s="3">
        <f>IFERROR(__xludf.DUMMYFUNCTION("""COMPUTED_VALUE"""),0.0)</f>
        <v>0</v>
      </c>
      <c r="AA120" s="3">
        <f>IFERROR(__xludf.DUMMYFUNCTION("""COMPUTED_VALUE"""),0.0)</f>
        <v>0</v>
      </c>
      <c r="AB120" s="3">
        <f>IFERROR(__xludf.DUMMYFUNCTION("""COMPUTED_VALUE"""),0.0)</f>
        <v>0</v>
      </c>
      <c r="AC120" s="3">
        <f>IFERROR(__xludf.DUMMYFUNCTION("""COMPUTED_VALUE"""),0.0)</f>
        <v>0</v>
      </c>
      <c r="AD120" s="3">
        <f>IFERROR(__xludf.DUMMYFUNCTION("""COMPUTED_VALUE"""),0.0)</f>
        <v>0</v>
      </c>
      <c r="AE120" s="3">
        <f>IFERROR(__xludf.DUMMYFUNCTION("""COMPUTED_VALUE"""),0.0)</f>
        <v>0</v>
      </c>
      <c r="AF120" s="3">
        <f>IFERROR(__xludf.DUMMYFUNCTION("""COMPUTED_VALUE"""),0.0)</f>
        <v>0</v>
      </c>
      <c r="AG120" s="3">
        <f>IFERROR(__xludf.DUMMYFUNCTION("""COMPUTED_VALUE"""),0.0)</f>
        <v>0</v>
      </c>
      <c r="AH120" s="3">
        <f>IFERROR(__xludf.DUMMYFUNCTION("""COMPUTED_VALUE"""),0.0)</f>
        <v>0</v>
      </c>
      <c r="AI120" s="3">
        <f>IFERROR(__xludf.DUMMYFUNCTION("""COMPUTED_VALUE"""),0.0)</f>
        <v>0</v>
      </c>
      <c r="AJ120" s="3">
        <f>IFERROR(__xludf.DUMMYFUNCTION("""COMPUTED_VALUE"""),0.0)</f>
        <v>0</v>
      </c>
      <c r="AK120" s="3">
        <f>IFERROR(__xludf.DUMMYFUNCTION("""COMPUTED_VALUE"""),0.0)</f>
        <v>0</v>
      </c>
      <c r="AL120" s="3">
        <f>IFERROR(__xludf.DUMMYFUNCTION("""COMPUTED_VALUE"""),0.0)</f>
        <v>0</v>
      </c>
      <c r="AM120" s="3">
        <f>IFERROR(__xludf.DUMMYFUNCTION("""COMPUTED_VALUE"""),0.0)</f>
        <v>0</v>
      </c>
      <c r="AN120" s="3">
        <f>IFERROR(__xludf.DUMMYFUNCTION("""COMPUTED_VALUE"""),0.0)</f>
        <v>0</v>
      </c>
      <c r="AO120" s="3">
        <f>IFERROR(__xludf.DUMMYFUNCTION("""COMPUTED_VALUE"""),0.0)</f>
        <v>0</v>
      </c>
      <c r="AP120" s="3">
        <f>IFERROR(__xludf.DUMMYFUNCTION("""COMPUTED_VALUE"""),0.0)</f>
        <v>0</v>
      </c>
      <c r="AQ120" s="3">
        <f>IFERROR(__xludf.DUMMYFUNCTION("""COMPUTED_VALUE"""),0.0)</f>
        <v>0</v>
      </c>
      <c r="AR120" s="3">
        <f>IFERROR(__xludf.DUMMYFUNCTION("""COMPUTED_VALUE"""),0.0)</f>
        <v>0</v>
      </c>
      <c r="AS120" s="3">
        <f>IFERROR(__xludf.DUMMYFUNCTION("""COMPUTED_VALUE"""),0.0)</f>
        <v>0</v>
      </c>
      <c r="AT120" s="3">
        <f>IFERROR(__xludf.DUMMYFUNCTION("""COMPUTED_VALUE"""),0.0)</f>
        <v>0</v>
      </c>
      <c r="AU120" s="3">
        <f>IFERROR(__xludf.DUMMYFUNCTION("""COMPUTED_VALUE"""),0.0)</f>
        <v>0</v>
      </c>
      <c r="AV120" s="3">
        <f>IFERROR(__xludf.DUMMYFUNCTION("""COMPUTED_VALUE"""),0.0)</f>
        <v>0</v>
      </c>
      <c r="AW120" s="3">
        <f>IFERROR(__xludf.DUMMYFUNCTION("""COMPUTED_VALUE"""),0.0)</f>
        <v>0</v>
      </c>
      <c r="AX120" s="3">
        <f>IFERROR(__xludf.DUMMYFUNCTION("""COMPUTED_VALUE"""),0.0)</f>
        <v>0</v>
      </c>
      <c r="AY120" s="3">
        <f>IFERROR(__xludf.DUMMYFUNCTION("""COMPUTED_VALUE"""),0.0)</f>
        <v>0</v>
      </c>
      <c r="AZ120" s="3">
        <f>IFERROR(__xludf.DUMMYFUNCTION("""COMPUTED_VALUE"""),0.0)</f>
        <v>0</v>
      </c>
      <c r="BA120" s="3">
        <f>IFERROR(__xludf.DUMMYFUNCTION("""COMPUTED_VALUE"""),0.0)</f>
        <v>0</v>
      </c>
      <c r="BB120" s="3">
        <f>IFERROR(__xludf.DUMMYFUNCTION("""COMPUTED_VALUE"""),0.0)</f>
        <v>0</v>
      </c>
      <c r="BC120" s="3">
        <f>IFERROR(__xludf.DUMMYFUNCTION("""COMPUTED_VALUE"""),0.0)</f>
        <v>0</v>
      </c>
      <c r="BD120" s="3">
        <f>IFERROR(__xludf.DUMMYFUNCTION("""COMPUTED_VALUE"""),0.0)</f>
        <v>0</v>
      </c>
      <c r="BE120" s="3">
        <f>IFERROR(__xludf.DUMMYFUNCTION("""COMPUTED_VALUE"""),0.0)</f>
        <v>0</v>
      </c>
      <c r="BF120" s="3">
        <f>IFERROR(__xludf.DUMMYFUNCTION("""COMPUTED_VALUE"""),0.0)</f>
        <v>0</v>
      </c>
      <c r="BG120" s="3">
        <f>IFERROR(__xludf.DUMMYFUNCTION("""COMPUTED_VALUE"""),0.0)</f>
        <v>0</v>
      </c>
      <c r="BH120" s="3">
        <f>IFERROR(__xludf.DUMMYFUNCTION("""COMPUTED_VALUE"""),0.0)</f>
        <v>0</v>
      </c>
      <c r="BI120" s="3">
        <f>IFERROR(__xludf.DUMMYFUNCTION("""COMPUTED_VALUE"""),0.0)</f>
        <v>0</v>
      </c>
      <c r="BJ120" s="3">
        <f>IFERROR(__xludf.DUMMYFUNCTION("""COMPUTED_VALUE"""),0.0)</f>
        <v>0</v>
      </c>
      <c r="BK120" s="3">
        <f>IFERROR(__xludf.DUMMYFUNCTION("""COMPUTED_VALUE"""),0.0)</f>
        <v>0</v>
      </c>
      <c r="BL120" s="3">
        <f>IFERROR(__xludf.DUMMYFUNCTION("""COMPUTED_VALUE"""),0.0)</f>
        <v>0</v>
      </c>
      <c r="BM120" s="3">
        <f>IFERROR(__xludf.DUMMYFUNCTION("""COMPUTED_VALUE"""),0.0)</f>
        <v>0</v>
      </c>
      <c r="BN120" s="3">
        <f>IFERROR(__xludf.DUMMYFUNCTION("""COMPUTED_VALUE"""),0.0)</f>
        <v>0</v>
      </c>
      <c r="BO120" s="3">
        <f>IFERROR(__xludf.DUMMYFUNCTION("""COMPUTED_VALUE"""),0.0)</f>
        <v>0</v>
      </c>
      <c r="BP120" s="3">
        <f>IFERROR(__xludf.DUMMYFUNCTION("""COMPUTED_VALUE"""),0.0)</f>
        <v>0</v>
      </c>
      <c r="BQ120" s="3">
        <f>IFERROR(__xludf.DUMMYFUNCTION("""COMPUTED_VALUE"""),0.0)</f>
        <v>0</v>
      </c>
      <c r="BR120" s="3">
        <f>IFERROR(__xludf.DUMMYFUNCTION("""COMPUTED_VALUE"""),0.0)</f>
        <v>0</v>
      </c>
      <c r="BS120" s="3">
        <f>IFERROR(__xludf.DUMMYFUNCTION("""COMPUTED_VALUE"""),0.0)</f>
        <v>0</v>
      </c>
      <c r="BT120" s="3">
        <f>IFERROR(__xludf.DUMMYFUNCTION("""COMPUTED_VALUE"""),0.0)</f>
        <v>0</v>
      </c>
      <c r="BU120" s="3">
        <f>IFERROR(__xludf.DUMMYFUNCTION("""COMPUTED_VALUE"""),0.0)</f>
        <v>0</v>
      </c>
      <c r="BV120" s="3">
        <f>IFERROR(__xludf.DUMMYFUNCTION("""COMPUTED_VALUE"""),0.0)</f>
        <v>0</v>
      </c>
      <c r="BW120" s="3">
        <f>IFERROR(__xludf.DUMMYFUNCTION("""COMPUTED_VALUE"""),0.0)</f>
        <v>0</v>
      </c>
      <c r="BX120" s="3">
        <f>IFERROR(__xludf.DUMMYFUNCTION("""COMPUTED_VALUE"""),0.0)</f>
        <v>0</v>
      </c>
      <c r="BY120" s="3">
        <f>IFERROR(__xludf.DUMMYFUNCTION("""COMPUTED_VALUE"""),0.0)</f>
        <v>0</v>
      </c>
      <c r="BZ120" s="3">
        <f>IFERROR(__xludf.DUMMYFUNCTION("""COMPUTED_VALUE"""),0.0)</f>
        <v>0</v>
      </c>
      <c r="CA120" s="3">
        <f>IFERROR(__xludf.DUMMYFUNCTION("""COMPUTED_VALUE"""),0.0)</f>
        <v>0</v>
      </c>
      <c r="CB120" s="3">
        <f>IFERROR(__xludf.DUMMYFUNCTION("""COMPUTED_VALUE"""),0.0)</f>
        <v>0</v>
      </c>
    </row>
    <row r="121">
      <c r="A121" s="3" t="str">
        <f>IFERROR(__xludf.DUMMYFUNCTION("""COMPUTED_VALUE"""),"")</f>
        <v/>
      </c>
      <c r="B121" s="3" t="str">
        <f>IFERROR(__xludf.DUMMYFUNCTION("""COMPUTED_VALUE"""),"Guyana")</f>
        <v>Guyana</v>
      </c>
      <c r="C121" s="3">
        <f>IFERROR(__xludf.DUMMYFUNCTION("""COMPUTED_VALUE"""),5.0)</f>
        <v>5</v>
      </c>
      <c r="D121" s="3">
        <f>IFERROR(__xludf.DUMMYFUNCTION("""COMPUTED_VALUE"""),-58.75)</f>
        <v>-58.75</v>
      </c>
      <c r="E121" s="3">
        <f>IFERROR(__xludf.DUMMYFUNCTION("""COMPUTED_VALUE"""),0.0)</f>
        <v>0</v>
      </c>
      <c r="F121" s="3">
        <f>IFERROR(__xludf.DUMMYFUNCTION("""COMPUTED_VALUE"""),0.0)</f>
        <v>0</v>
      </c>
      <c r="G121" s="3">
        <f>IFERROR(__xludf.DUMMYFUNCTION("""COMPUTED_VALUE"""),0.0)</f>
        <v>0</v>
      </c>
      <c r="H121" s="3">
        <f>IFERROR(__xludf.DUMMYFUNCTION("""COMPUTED_VALUE"""),0.0)</f>
        <v>0</v>
      </c>
      <c r="I121" s="3">
        <f>IFERROR(__xludf.DUMMYFUNCTION("""COMPUTED_VALUE"""),0.0)</f>
        <v>0</v>
      </c>
      <c r="J121" s="3">
        <f>IFERROR(__xludf.DUMMYFUNCTION("""COMPUTED_VALUE"""),0.0)</f>
        <v>0</v>
      </c>
      <c r="K121" s="3">
        <f>IFERROR(__xludf.DUMMYFUNCTION("""COMPUTED_VALUE"""),0.0)</f>
        <v>0</v>
      </c>
      <c r="L121" s="3">
        <f>IFERROR(__xludf.DUMMYFUNCTION("""COMPUTED_VALUE"""),0.0)</f>
        <v>0</v>
      </c>
      <c r="M121" s="3">
        <f>IFERROR(__xludf.DUMMYFUNCTION("""COMPUTED_VALUE"""),0.0)</f>
        <v>0</v>
      </c>
      <c r="N121" s="3">
        <f>IFERROR(__xludf.DUMMYFUNCTION("""COMPUTED_VALUE"""),0.0)</f>
        <v>0</v>
      </c>
      <c r="O121" s="3">
        <f>IFERROR(__xludf.DUMMYFUNCTION("""COMPUTED_VALUE"""),0.0)</f>
        <v>0</v>
      </c>
      <c r="P121" s="3">
        <f>IFERROR(__xludf.DUMMYFUNCTION("""COMPUTED_VALUE"""),0.0)</f>
        <v>0</v>
      </c>
      <c r="Q121" s="3">
        <f>IFERROR(__xludf.DUMMYFUNCTION("""COMPUTED_VALUE"""),0.0)</f>
        <v>0</v>
      </c>
      <c r="R121" s="3">
        <f>IFERROR(__xludf.DUMMYFUNCTION("""COMPUTED_VALUE"""),0.0)</f>
        <v>0</v>
      </c>
      <c r="S121" s="3">
        <f>IFERROR(__xludf.DUMMYFUNCTION("""COMPUTED_VALUE"""),0.0)</f>
        <v>0</v>
      </c>
      <c r="T121" s="3">
        <f>IFERROR(__xludf.DUMMYFUNCTION("""COMPUTED_VALUE"""),0.0)</f>
        <v>0</v>
      </c>
      <c r="U121" s="3">
        <f>IFERROR(__xludf.DUMMYFUNCTION("""COMPUTED_VALUE"""),0.0)</f>
        <v>0</v>
      </c>
      <c r="V121" s="3">
        <f>IFERROR(__xludf.DUMMYFUNCTION("""COMPUTED_VALUE"""),0.0)</f>
        <v>0</v>
      </c>
      <c r="W121" s="3">
        <f>IFERROR(__xludf.DUMMYFUNCTION("""COMPUTED_VALUE"""),0.0)</f>
        <v>0</v>
      </c>
      <c r="X121" s="3">
        <f>IFERROR(__xludf.DUMMYFUNCTION("""COMPUTED_VALUE"""),0.0)</f>
        <v>0</v>
      </c>
      <c r="Y121" s="3">
        <f>IFERROR(__xludf.DUMMYFUNCTION("""COMPUTED_VALUE"""),0.0)</f>
        <v>0</v>
      </c>
      <c r="Z121" s="3">
        <f>IFERROR(__xludf.DUMMYFUNCTION("""COMPUTED_VALUE"""),0.0)</f>
        <v>0</v>
      </c>
      <c r="AA121" s="3">
        <f>IFERROR(__xludf.DUMMYFUNCTION("""COMPUTED_VALUE"""),0.0)</f>
        <v>0</v>
      </c>
      <c r="AB121" s="3">
        <f>IFERROR(__xludf.DUMMYFUNCTION("""COMPUTED_VALUE"""),0.0)</f>
        <v>0</v>
      </c>
      <c r="AC121" s="3">
        <f>IFERROR(__xludf.DUMMYFUNCTION("""COMPUTED_VALUE"""),0.0)</f>
        <v>0</v>
      </c>
      <c r="AD121" s="3">
        <f>IFERROR(__xludf.DUMMYFUNCTION("""COMPUTED_VALUE"""),0.0)</f>
        <v>0</v>
      </c>
      <c r="AE121" s="3">
        <f>IFERROR(__xludf.DUMMYFUNCTION("""COMPUTED_VALUE"""),0.0)</f>
        <v>0</v>
      </c>
      <c r="AF121" s="3">
        <f>IFERROR(__xludf.DUMMYFUNCTION("""COMPUTED_VALUE"""),0.0)</f>
        <v>0</v>
      </c>
      <c r="AG121" s="3">
        <f>IFERROR(__xludf.DUMMYFUNCTION("""COMPUTED_VALUE"""),0.0)</f>
        <v>0</v>
      </c>
      <c r="AH121" s="3">
        <f>IFERROR(__xludf.DUMMYFUNCTION("""COMPUTED_VALUE"""),0.0)</f>
        <v>0</v>
      </c>
      <c r="AI121" s="3">
        <f>IFERROR(__xludf.DUMMYFUNCTION("""COMPUTED_VALUE"""),0.0)</f>
        <v>0</v>
      </c>
      <c r="AJ121" s="3">
        <f>IFERROR(__xludf.DUMMYFUNCTION("""COMPUTED_VALUE"""),0.0)</f>
        <v>0</v>
      </c>
      <c r="AK121" s="3">
        <f>IFERROR(__xludf.DUMMYFUNCTION("""COMPUTED_VALUE"""),0.0)</f>
        <v>0</v>
      </c>
      <c r="AL121" s="3">
        <f>IFERROR(__xludf.DUMMYFUNCTION("""COMPUTED_VALUE"""),0.0)</f>
        <v>0</v>
      </c>
      <c r="AM121" s="3">
        <f>IFERROR(__xludf.DUMMYFUNCTION("""COMPUTED_VALUE"""),0.0)</f>
        <v>0</v>
      </c>
      <c r="AN121" s="3">
        <f>IFERROR(__xludf.DUMMYFUNCTION("""COMPUTED_VALUE"""),0.0)</f>
        <v>0</v>
      </c>
      <c r="AO121" s="3">
        <f>IFERROR(__xludf.DUMMYFUNCTION("""COMPUTED_VALUE"""),0.0)</f>
        <v>0</v>
      </c>
      <c r="AP121" s="3">
        <f>IFERROR(__xludf.DUMMYFUNCTION("""COMPUTED_VALUE"""),0.0)</f>
        <v>0</v>
      </c>
      <c r="AQ121" s="3">
        <f>IFERROR(__xludf.DUMMYFUNCTION("""COMPUTED_VALUE"""),0.0)</f>
        <v>0</v>
      </c>
      <c r="AR121" s="3">
        <f>IFERROR(__xludf.DUMMYFUNCTION("""COMPUTED_VALUE"""),0.0)</f>
        <v>0</v>
      </c>
      <c r="AS121" s="3">
        <f>IFERROR(__xludf.DUMMYFUNCTION("""COMPUTED_VALUE"""),0.0)</f>
        <v>0</v>
      </c>
      <c r="AT121" s="3">
        <f>IFERROR(__xludf.DUMMYFUNCTION("""COMPUTED_VALUE"""),0.0)</f>
        <v>0</v>
      </c>
      <c r="AU121" s="3">
        <f>IFERROR(__xludf.DUMMYFUNCTION("""COMPUTED_VALUE"""),0.0)</f>
        <v>0</v>
      </c>
      <c r="AV121" s="3">
        <f>IFERROR(__xludf.DUMMYFUNCTION("""COMPUTED_VALUE"""),0.0)</f>
        <v>0</v>
      </c>
      <c r="AW121" s="3">
        <f>IFERROR(__xludf.DUMMYFUNCTION("""COMPUTED_VALUE"""),0.0)</f>
        <v>0</v>
      </c>
      <c r="AX121" s="3">
        <f>IFERROR(__xludf.DUMMYFUNCTION("""COMPUTED_VALUE"""),0.0)</f>
        <v>0</v>
      </c>
      <c r="AY121" s="3">
        <f>IFERROR(__xludf.DUMMYFUNCTION("""COMPUTED_VALUE"""),0.0)</f>
        <v>0</v>
      </c>
      <c r="AZ121" s="3">
        <f>IFERROR(__xludf.DUMMYFUNCTION("""COMPUTED_VALUE"""),0.0)</f>
        <v>0</v>
      </c>
      <c r="BA121" s="3">
        <f>IFERROR(__xludf.DUMMYFUNCTION("""COMPUTED_VALUE"""),0.0)</f>
        <v>0</v>
      </c>
      <c r="BB121" s="3">
        <f>IFERROR(__xludf.DUMMYFUNCTION("""COMPUTED_VALUE"""),0.0)</f>
        <v>0</v>
      </c>
      <c r="BC121" s="3">
        <f>IFERROR(__xludf.DUMMYFUNCTION("""COMPUTED_VALUE"""),0.0)</f>
        <v>0</v>
      </c>
      <c r="BD121" s="3">
        <f>IFERROR(__xludf.DUMMYFUNCTION("""COMPUTED_VALUE"""),0.0)</f>
        <v>0</v>
      </c>
      <c r="BE121" s="3">
        <f>IFERROR(__xludf.DUMMYFUNCTION("""COMPUTED_VALUE"""),0.0)</f>
        <v>0</v>
      </c>
      <c r="BF121" s="3">
        <f>IFERROR(__xludf.DUMMYFUNCTION("""COMPUTED_VALUE"""),0.0)</f>
        <v>0</v>
      </c>
      <c r="BG121" s="3">
        <f>IFERROR(__xludf.DUMMYFUNCTION("""COMPUTED_VALUE"""),0.0)</f>
        <v>0</v>
      </c>
      <c r="BH121" s="3">
        <f>IFERROR(__xludf.DUMMYFUNCTION("""COMPUTED_VALUE"""),0.0)</f>
        <v>0</v>
      </c>
      <c r="BI121" s="3">
        <f>IFERROR(__xludf.DUMMYFUNCTION("""COMPUTED_VALUE"""),0.0)</f>
        <v>0</v>
      </c>
      <c r="BJ121" s="3">
        <f>IFERROR(__xludf.DUMMYFUNCTION("""COMPUTED_VALUE"""),0.0)</f>
        <v>0</v>
      </c>
      <c r="BK121" s="3">
        <f>IFERROR(__xludf.DUMMYFUNCTION("""COMPUTED_VALUE"""),0.0)</f>
        <v>0</v>
      </c>
      <c r="BL121" s="3">
        <f>IFERROR(__xludf.DUMMYFUNCTION("""COMPUTED_VALUE"""),0.0)</f>
        <v>0</v>
      </c>
      <c r="BM121" s="3">
        <f>IFERROR(__xludf.DUMMYFUNCTION("""COMPUTED_VALUE"""),0.0)</f>
        <v>0</v>
      </c>
      <c r="BN121" s="3">
        <f>IFERROR(__xludf.DUMMYFUNCTION("""COMPUTED_VALUE"""),0.0)</f>
        <v>0</v>
      </c>
      <c r="BO121" s="3">
        <f>IFERROR(__xludf.DUMMYFUNCTION("""COMPUTED_VALUE"""),0.0)</f>
        <v>0</v>
      </c>
      <c r="BP121" s="3">
        <f>IFERROR(__xludf.DUMMYFUNCTION("""COMPUTED_VALUE"""),0.0)</f>
        <v>0</v>
      </c>
      <c r="BQ121" s="3">
        <f>IFERROR(__xludf.DUMMYFUNCTION("""COMPUTED_VALUE"""),0.0)</f>
        <v>0</v>
      </c>
      <c r="BR121" s="3">
        <f>IFERROR(__xludf.DUMMYFUNCTION("""COMPUTED_VALUE"""),0.0)</f>
        <v>0</v>
      </c>
      <c r="BS121" s="3">
        <f>IFERROR(__xludf.DUMMYFUNCTION("""COMPUTED_VALUE"""),0.0)</f>
        <v>0</v>
      </c>
      <c r="BT121" s="3">
        <f>IFERROR(__xludf.DUMMYFUNCTION("""COMPUTED_VALUE"""),0.0)</f>
        <v>0</v>
      </c>
      <c r="BU121" s="3">
        <f>IFERROR(__xludf.DUMMYFUNCTION("""COMPUTED_VALUE"""),0.0)</f>
        <v>0</v>
      </c>
      <c r="BV121" s="3">
        <f>IFERROR(__xludf.DUMMYFUNCTION("""COMPUTED_VALUE"""),0.0)</f>
        <v>0</v>
      </c>
      <c r="BW121" s="3">
        <f>IFERROR(__xludf.DUMMYFUNCTION("""COMPUTED_VALUE"""),0.0)</f>
        <v>0</v>
      </c>
      <c r="BX121" s="3">
        <f>IFERROR(__xludf.DUMMYFUNCTION("""COMPUTED_VALUE"""),0.0)</f>
        <v>0</v>
      </c>
      <c r="BY121" s="3">
        <f>IFERROR(__xludf.DUMMYFUNCTION("""COMPUTED_VALUE"""),0.0)</f>
        <v>0</v>
      </c>
      <c r="BZ121" s="3">
        <f>IFERROR(__xludf.DUMMYFUNCTION("""COMPUTED_VALUE"""),0.0)</f>
        <v>0</v>
      </c>
      <c r="CA121" s="3">
        <f>IFERROR(__xludf.DUMMYFUNCTION("""COMPUTED_VALUE"""),0.0)</f>
        <v>0</v>
      </c>
      <c r="CB121" s="3">
        <f>IFERROR(__xludf.DUMMYFUNCTION("""COMPUTED_VALUE"""),8.0)</f>
        <v>8</v>
      </c>
    </row>
    <row r="122">
      <c r="A122" s="3" t="str">
        <f>IFERROR(__xludf.DUMMYFUNCTION("""COMPUTED_VALUE"""),"")</f>
        <v/>
      </c>
      <c r="B122" s="3" t="str">
        <f>IFERROR(__xludf.DUMMYFUNCTION("""COMPUTED_VALUE"""),"Haiti")</f>
        <v>Haiti</v>
      </c>
      <c r="C122" s="3">
        <f>IFERROR(__xludf.DUMMYFUNCTION("""COMPUTED_VALUE"""),18.9712)</f>
        <v>18.9712</v>
      </c>
      <c r="D122" s="3">
        <f>IFERROR(__xludf.DUMMYFUNCTION("""COMPUTED_VALUE"""),-72.2852)</f>
        <v>-72.2852</v>
      </c>
      <c r="E122" s="3">
        <f>IFERROR(__xludf.DUMMYFUNCTION("""COMPUTED_VALUE"""),0.0)</f>
        <v>0</v>
      </c>
      <c r="F122" s="3">
        <f>IFERROR(__xludf.DUMMYFUNCTION("""COMPUTED_VALUE"""),0.0)</f>
        <v>0</v>
      </c>
      <c r="G122" s="3">
        <f>IFERROR(__xludf.DUMMYFUNCTION("""COMPUTED_VALUE"""),0.0)</f>
        <v>0</v>
      </c>
      <c r="H122" s="3">
        <f>IFERROR(__xludf.DUMMYFUNCTION("""COMPUTED_VALUE"""),0.0)</f>
        <v>0</v>
      </c>
      <c r="I122" s="3">
        <f>IFERROR(__xludf.DUMMYFUNCTION("""COMPUTED_VALUE"""),0.0)</f>
        <v>0</v>
      </c>
      <c r="J122" s="3">
        <f>IFERROR(__xludf.DUMMYFUNCTION("""COMPUTED_VALUE"""),0.0)</f>
        <v>0</v>
      </c>
      <c r="K122" s="3">
        <f>IFERROR(__xludf.DUMMYFUNCTION("""COMPUTED_VALUE"""),0.0)</f>
        <v>0</v>
      </c>
      <c r="L122" s="3">
        <f>IFERROR(__xludf.DUMMYFUNCTION("""COMPUTED_VALUE"""),0.0)</f>
        <v>0</v>
      </c>
      <c r="M122" s="3">
        <f>IFERROR(__xludf.DUMMYFUNCTION("""COMPUTED_VALUE"""),0.0)</f>
        <v>0</v>
      </c>
      <c r="N122" s="3">
        <f>IFERROR(__xludf.DUMMYFUNCTION("""COMPUTED_VALUE"""),0.0)</f>
        <v>0</v>
      </c>
      <c r="O122" s="3">
        <f>IFERROR(__xludf.DUMMYFUNCTION("""COMPUTED_VALUE"""),0.0)</f>
        <v>0</v>
      </c>
      <c r="P122" s="3">
        <f>IFERROR(__xludf.DUMMYFUNCTION("""COMPUTED_VALUE"""),0.0)</f>
        <v>0</v>
      </c>
      <c r="Q122" s="3">
        <f>IFERROR(__xludf.DUMMYFUNCTION("""COMPUTED_VALUE"""),0.0)</f>
        <v>0</v>
      </c>
      <c r="R122" s="3">
        <f>IFERROR(__xludf.DUMMYFUNCTION("""COMPUTED_VALUE"""),0.0)</f>
        <v>0</v>
      </c>
      <c r="S122" s="3">
        <f>IFERROR(__xludf.DUMMYFUNCTION("""COMPUTED_VALUE"""),0.0)</f>
        <v>0</v>
      </c>
      <c r="T122" s="3">
        <f>IFERROR(__xludf.DUMMYFUNCTION("""COMPUTED_VALUE"""),0.0)</f>
        <v>0</v>
      </c>
      <c r="U122" s="3">
        <f>IFERROR(__xludf.DUMMYFUNCTION("""COMPUTED_VALUE"""),0.0)</f>
        <v>0</v>
      </c>
      <c r="V122" s="3">
        <f>IFERROR(__xludf.DUMMYFUNCTION("""COMPUTED_VALUE"""),0.0)</f>
        <v>0</v>
      </c>
      <c r="W122" s="3">
        <f>IFERROR(__xludf.DUMMYFUNCTION("""COMPUTED_VALUE"""),0.0)</f>
        <v>0</v>
      </c>
      <c r="X122" s="3">
        <f>IFERROR(__xludf.DUMMYFUNCTION("""COMPUTED_VALUE"""),0.0)</f>
        <v>0</v>
      </c>
      <c r="Y122" s="3">
        <f>IFERROR(__xludf.DUMMYFUNCTION("""COMPUTED_VALUE"""),0.0)</f>
        <v>0</v>
      </c>
      <c r="Z122" s="3">
        <f>IFERROR(__xludf.DUMMYFUNCTION("""COMPUTED_VALUE"""),0.0)</f>
        <v>0</v>
      </c>
      <c r="AA122" s="3">
        <f>IFERROR(__xludf.DUMMYFUNCTION("""COMPUTED_VALUE"""),0.0)</f>
        <v>0</v>
      </c>
      <c r="AB122" s="3">
        <f>IFERROR(__xludf.DUMMYFUNCTION("""COMPUTED_VALUE"""),0.0)</f>
        <v>0</v>
      </c>
      <c r="AC122" s="3">
        <f>IFERROR(__xludf.DUMMYFUNCTION("""COMPUTED_VALUE"""),0.0)</f>
        <v>0</v>
      </c>
      <c r="AD122" s="3">
        <f>IFERROR(__xludf.DUMMYFUNCTION("""COMPUTED_VALUE"""),0.0)</f>
        <v>0</v>
      </c>
      <c r="AE122" s="3">
        <f>IFERROR(__xludf.DUMMYFUNCTION("""COMPUTED_VALUE"""),0.0)</f>
        <v>0</v>
      </c>
      <c r="AF122" s="3">
        <f>IFERROR(__xludf.DUMMYFUNCTION("""COMPUTED_VALUE"""),0.0)</f>
        <v>0</v>
      </c>
      <c r="AG122" s="3">
        <f>IFERROR(__xludf.DUMMYFUNCTION("""COMPUTED_VALUE"""),0.0)</f>
        <v>0</v>
      </c>
      <c r="AH122" s="3">
        <f>IFERROR(__xludf.DUMMYFUNCTION("""COMPUTED_VALUE"""),0.0)</f>
        <v>0</v>
      </c>
      <c r="AI122" s="3">
        <f>IFERROR(__xludf.DUMMYFUNCTION("""COMPUTED_VALUE"""),0.0)</f>
        <v>0</v>
      </c>
      <c r="AJ122" s="3">
        <f>IFERROR(__xludf.DUMMYFUNCTION("""COMPUTED_VALUE"""),0.0)</f>
        <v>0</v>
      </c>
      <c r="AK122" s="3">
        <f>IFERROR(__xludf.DUMMYFUNCTION("""COMPUTED_VALUE"""),0.0)</f>
        <v>0</v>
      </c>
      <c r="AL122" s="3">
        <f>IFERROR(__xludf.DUMMYFUNCTION("""COMPUTED_VALUE"""),0.0)</f>
        <v>0</v>
      </c>
      <c r="AM122" s="3">
        <f>IFERROR(__xludf.DUMMYFUNCTION("""COMPUTED_VALUE"""),0.0)</f>
        <v>0</v>
      </c>
      <c r="AN122" s="3">
        <f>IFERROR(__xludf.DUMMYFUNCTION("""COMPUTED_VALUE"""),0.0)</f>
        <v>0</v>
      </c>
      <c r="AO122" s="3">
        <f>IFERROR(__xludf.DUMMYFUNCTION("""COMPUTED_VALUE"""),0.0)</f>
        <v>0</v>
      </c>
      <c r="AP122" s="3">
        <f>IFERROR(__xludf.DUMMYFUNCTION("""COMPUTED_VALUE"""),0.0)</f>
        <v>0</v>
      </c>
      <c r="AQ122" s="3">
        <f>IFERROR(__xludf.DUMMYFUNCTION("""COMPUTED_VALUE"""),0.0)</f>
        <v>0</v>
      </c>
      <c r="AR122" s="3">
        <f>IFERROR(__xludf.DUMMYFUNCTION("""COMPUTED_VALUE"""),0.0)</f>
        <v>0</v>
      </c>
      <c r="AS122" s="3">
        <f>IFERROR(__xludf.DUMMYFUNCTION("""COMPUTED_VALUE"""),0.0)</f>
        <v>0</v>
      </c>
      <c r="AT122" s="3">
        <f>IFERROR(__xludf.DUMMYFUNCTION("""COMPUTED_VALUE"""),0.0)</f>
        <v>0</v>
      </c>
      <c r="AU122" s="3">
        <f>IFERROR(__xludf.DUMMYFUNCTION("""COMPUTED_VALUE"""),0.0)</f>
        <v>0</v>
      </c>
      <c r="AV122" s="3">
        <f>IFERROR(__xludf.DUMMYFUNCTION("""COMPUTED_VALUE"""),0.0)</f>
        <v>0</v>
      </c>
      <c r="AW122" s="3">
        <f>IFERROR(__xludf.DUMMYFUNCTION("""COMPUTED_VALUE"""),0.0)</f>
        <v>0</v>
      </c>
      <c r="AX122" s="3">
        <f>IFERROR(__xludf.DUMMYFUNCTION("""COMPUTED_VALUE"""),0.0)</f>
        <v>0</v>
      </c>
      <c r="AY122" s="3">
        <f>IFERROR(__xludf.DUMMYFUNCTION("""COMPUTED_VALUE"""),0.0)</f>
        <v>0</v>
      </c>
      <c r="AZ122" s="3">
        <f>IFERROR(__xludf.DUMMYFUNCTION("""COMPUTED_VALUE"""),0.0)</f>
        <v>0</v>
      </c>
      <c r="BA122" s="3">
        <f>IFERROR(__xludf.DUMMYFUNCTION("""COMPUTED_VALUE"""),0.0)</f>
        <v>0</v>
      </c>
      <c r="BB122" s="3">
        <f>IFERROR(__xludf.DUMMYFUNCTION("""COMPUTED_VALUE"""),0.0)</f>
        <v>0</v>
      </c>
      <c r="BC122" s="3">
        <f>IFERROR(__xludf.DUMMYFUNCTION("""COMPUTED_VALUE"""),0.0)</f>
        <v>0</v>
      </c>
      <c r="BD122" s="3">
        <f>IFERROR(__xludf.DUMMYFUNCTION("""COMPUTED_VALUE"""),0.0)</f>
        <v>0</v>
      </c>
      <c r="BE122" s="3">
        <f>IFERROR(__xludf.DUMMYFUNCTION("""COMPUTED_VALUE"""),0.0)</f>
        <v>0</v>
      </c>
      <c r="BF122" s="3">
        <f>IFERROR(__xludf.DUMMYFUNCTION("""COMPUTED_VALUE"""),0.0)</f>
        <v>0</v>
      </c>
      <c r="BG122" s="3">
        <f>IFERROR(__xludf.DUMMYFUNCTION("""COMPUTED_VALUE"""),0.0)</f>
        <v>0</v>
      </c>
      <c r="BH122" s="3">
        <f>IFERROR(__xludf.DUMMYFUNCTION("""COMPUTED_VALUE"""),0.0)</f>
        <v>0</v>
      </c>
      <c r="BI122" s="3">
        <f>IFERROR(__xludf.DUMMYFUNCTION("""COMPUTED_VALUE"""),0.0)</f>
        <v>0</v>
      </c>
      <c r="BJ122" s="3">
        <f>IFERROR(__xludf.DUMMYFUNCTION("""COMPUTED_VALUE"""),0.0)</f>
        <v>0</v>
      </c>
      <c r="BK122" s="3">
        <f>IFERROR(__xludf.DUMMYFUNCTION("""COMPUTED_VALUE"""),0.0)</f>
        <v>0</v>
      </c>
      <c r="BL122" s="3">
        <f>IFERROR(__xludf.DUMMYFUNCTION("""COMPUTED_VALUE"""),0.0)</f>
        <v>0</v>
      </c>
      <c r="BM122" s="3">
        <f>IFERROR(__xludf.DUMMYFUNCTION("""COMPUTED_VALUE"""),0.0)</f>
        <v>0</v>
      </c>
      <c r="BN122" s="3">
        <f>IFERROR(__xludf.DUMMYFUNCTION("""COMPUTED_VALUE"""),0.0)</f>
        <v>0</v>
      </c>
      <c r="BO122" s="3">
        <f>IFERROR(__xludf.DUMMYFUNCTION("""COMPUTED_VALUE"""),0.0)</f>
        <v>0</v>
      </c>
      <c r="BP122" s="3">
        <f>IFERROR(__xludf.DUMMYFUNCTION("""COMPUTED_VALUE"""),0.0)</f>
        <v>0</v>
      </c>
      <c r="BQ122" s="3">
        <f>IFERROR(__xludf.DUMMYFUNCTION("""COMPUTED_VALUE"""),0.0)</f>
        <v>0</v>
      </c>
      <c r="BR122" s="3">
        <f>IFERROR(__xludf.DUMMYFUNCTION("""COMPUTED_VALUE"""),0.0)</f>
        <v>0</v>
      </c>
      <c r="BS122" s="3">
        <f>IFERROR(__xludf.DUMMYFUNCTION("""COMPUTED_VALUE"""),0.0)</f>
        <v>0</v>
      </c>
      <c r="BT122" s="3">
        <f>IFERROR(__xludf.DUMMYFUNCTION("""COMPUTED_VALUE"""),1.0)</f>
        <v>1</v>
      </c>
      <c r="BU122" s="3">
        <f>IFERROR(__xludf.DUMMYFUNCTION("""COMPUTED_VALUE"""),1.0)</f>
        <v>1</v>
      </c>
      <c r="BV122" s="3">
        <f>IFERROR(__xludf.DUMMYFUNCTION("""COMPUTED_VALUE"""),1.0)</f>
        <v>1</v>
      </c>
      <c r="BW122" s="3">
        <f>IFERROR(__xludf.DUMMYFUNCTION("""COMPUTED_VALUE"""),1.0)</f>
        <v>1</v>
      </c>
      <c r="BX122" s="3">
        <f>IFERROR(__xludf.DUMMYFUNCTION("""COMPUTED_VALUE"""),1.0)</f>
        <v>1</v>
      </c>
      <c r="BY122" s="3">
        <f>IFERROR(__xludf.DUMMYFUNCTION("""COMPUTED_VALUE"""),1.0)</f>
        <v>1</v>
      </c>
      <c r="BZ122" s="3">
        <f>IFERROR(__xludf.DUMMYFUNCTION("""COMPUTED_VALUE"""),1.0)</f>
        <v>1</v>
      </c>
      <c r="CA122" s="3">
        <f>IFERROR(__xludf.DUMMYFUNCTION("""COMPUTED_VALUE"""),1.0)</f>
        <v>1</v>
      </c>
      <c r="CB122" s="3">
        <f>IFERROR(__xludf.DUMMYFUNCTION("""COMPUTED_VALUE"""),0.0)</f>
        <v>0</v>
      </c>
    </row>
    <row r="123">
      <c r="A123" s="3" t="str">
        <f>IFERROR(__xludf.DUMMYFUNCTION("""COMPUTED_VALUE"""),"")</f>
        <v/>
      </c>
      <c r="B123" s="3" t="str">
        <f>IFERROR(__xludf.DUMMYFUNCTION("""COMPUTED_VALUE"""),"Holy See")</f>
        <v>Holy See</v>
      </c>
      <c r="C123" s="3">
        <f>IFERROR(__xludf.DUMMYFUNCTION("""COMPUTED_VALUE"""),41.9029)</f>
        <v>41.9029</v>
      </c>
      <c r="D123" s="3">
        <f>IFERROR(__xludf.DUMMYFUNCTION("""COMPUTED_VALUE"""),12.4534)</f>
        <v>12.4534</v>
      </c>
      <c r="E123" s="3">
        <f>IFERROR(__xludf.DUMMYFUNCTION("""COMPUTED_VALUE"""),0.0)</f>
        <v>0</v>
      </c>
      <c r="F123" s="3">
        <f>IFERROR(__xludf.DUMMYFUNCTION("""COMPUTED_VALUE"""),0.0)</f>
        <v>0</v>
      </c>
      <c r="G123" s="3">
        <f>IFERROR(__xludf.DUMMYFUNCTION("""COMPUTED_VALUE"""),0.0)</f>
        <v>0</v>
      </c>
      <c r="H123" s="3">
        <f>IFERROR(__xludf.DUMMYFUNCTION("""COMPUTED_VALUE"""),0.0)</f>
        <v>0</v>
      </c>
      <c r="I123" s="3">
        <f>IFERROR(__xludf.DUMMYFUNCTION("""COMPUTED_VALUE"""),0.0)</f>
        <v>0</v>
      </c>
      <c r="J123" s="3">
        <f>IFERROR(__xludf.DUMMYFUNCTION("""COMPUTED_VALUE"""),0.0)</f>
        <v>0</v>
      </c>
      <c r="K123" s="3">
        <f>IFERROR(__xludf.DUMMYFUNCTION("""COMPUTED_VALUE"""),0.0)</f>
        <v>0</v>
      </c>
      <c r="L123" s="3">
        <f>IFERROR(__xludf.DUMMYFUNCTION("""COMPUTED_VALUE"""),0.0)</f>
        <v>0</v>
      </c>
      <c r="M123" s="3">
        <f>IFERROR(__xludf.DUMMYFUNCTION("""COMPUTED_VALUE"""),0.0)</f>
        <v>0</v>
      </c>
      <c r="N123" s="3">
        <f>IFERROR(__xludf.DUMMYFUNCTION("""COMPUTED_VALUE"""),0.0)</f>
        <v>0</v>
      </c>
      <c r="O123" s="3">
        <f>IFERROR(__xludf.DUMMYFUNCTION("""COMPUTED_VALUE"""),0.0)</f>
        <v>0</v>
      </c>
      <c r="P123" s="3">
        <f>IFERROR(__xludf.DUMMYFUNCTION("""COMPUTED_VALUE"""),0.0)</f>
        <v>0</v>
      </c>
      <c r="Q123" s="3">
        <f>IFERROR(__xludf.DUMMYFUNCTION("""COMPUTED_VALUE"""),0.0)</f>
        <v>0</v>
      </c>
      <c r="R123" s="3">
        <f>IFERROR(__xludf.DUMMYFUNCTION("""COMPUTED_VALUE"""),0.0)</f>
        <v>0</v>
      </c>
      <c r="S123" s="3">
        <f>IFERROR(__xludf.DUMMYFUNCTION("""COMPUTED_VALUE"""),0.0)</f>
        <v>0</v>
      </c>
      <c r="T123" s="3">
        <f>IFERROR(__xludf.DUMMYFUNCTION("""COMPUTED_VALUE"""),0.0)</f>
        <v>0</v>
      </c>
      <c r="U123" s="3">
        <f>IFERROR(__xludf.DUMMYFUNCTION("""COMPUTED_VALUE"""),0.0)</f>
        <v>0</v>
      </c>
      <c r="V123" s="3">
        <f>IFERROR(__xludf.DUMMYFUNCTION("""COMPUTED_VALUE"""),0.0)</f>
        <v>0</v>
      </c>
      <c r="W123" s="3">
        <f>IFERROR(__xludf.DUMMYFUNCTION("""COMPUTED_VALUE"""),0.0)</f>
        <v>0</v>
      </c>
      <c r="X123" s="3">
        <f>IFERROR(__xludf.DUMMYFUNCTION("""COMPUTED_VALUE"""),0.0)</f>
        <v>0</v>
      </c>
      <c r="Y123" s="3">
        <f>IFERROR(__xludf.DUMMYFUNCTION("""COMPUTED_VALUE"""),0.0)</f>
        <v>0</v>
      </c>
      <c r="Z123" s="3">
        <f>IFERROR(__xludf.DUMMYFUNCTION("""COMPUTED_VALUE"""),0.0)</f>
        <v>0</v>
      </c>
      <c r="AA123" s="3">
        <f>IFERROR(__xludf.DUMMYFUNCTION("""COMPUTED_VALUE"""),0.0)</f>
        <v>0</v>
      </c>
      <c r="AB123" s="3">
        <f>IFERROR(__xludf.DUMMYFUNCTION("""COMPUTED_VALUE"""),0.0)</f>
        <v>0</v>
      </c>
      <c r="AC123" s="3">
        <f>IFERROR(__xludf.DUMMYFUNCTION("""COMPUTED_VALUE"""),0.0)</f>
        <v>0</v>
      </c>
      <c r="AD123" s="3">
        <f>IFERROR(__xludf.DUMMYFUNCTION("""COMPUTED_VALUE"""),0.0)</f>
        <v>0</v>
      </c>
      <c r="AE123" s="3">
        <f>IFERROR(__xludf.DUMMYFUNCTION("""COMPUTED_VALUE"""),0.0)</f>
        <v>0</v>
      </c>
      <c r="AF123" s="3">
        <f>IFERROR(__xludf.DUMMYFUNCTION("""COMPUTED_VALUE"""),0.0)</f>
        <v>0</v>
      </c>
      <c r="AG123" s="3">
        <f>IFERROR(__xludf.DUMMYFUNCTION("""COMPUTED_VALUE"""),0.0)</f>
        <v>0</v>
      </c>
      <c r="AH123" s="3">
        <f>IFERROR(__xludf.DUMMYFUNCTION("""COMPUTED_VALUE"""),0.0)</f>
        <v>0</v>
      </c>
      <c r="AI123" s="3">
        <f>IFERROR(__xludf.DUMMYFUNCTION("""COMPUTED_VALUE"""),0.0)</f>
        <v>0</v>
      </c>
      <c r="AJ123" s="3">
        <f>IFERROR(__xludf.DUMMYFUNCTION("""COMPUTED_VALUE"""),0.0)</f>
        <v>0</v>
      </c>
      <c r="AK123" s="3">
        <f>IFERROR(__xludf.DUMMYFUNCTION("""COMPUTED_VALUE"""),0.0)</f>
        <v>0</v>
      </c>
      <c r="AL123" s="3">
        <f>IFERROR(__xludf.DUMMYFUNCTION("""COMPUTED_VALUE"""),0.0)</f>
        <v>0</v>
      </c>
      <c r="AM123" s="3">
        <f>IFERROR(__xludf.DUMMYFUNCTION("""COMPUTED_VALUE"""),0.0)</f>
        <v>0</v>
      </c>
      <c r="AN123" s="3">
        <f>IFERROR(__xludf.DUMMYFUNCTION("""COMPUTED_VALUE"""),0.0)</f>
        <v>0</v>
      </c>
      <c r="AO123" s="3">
        <f>IFERROR(__xludf.DUMMYFUNCTION("""COMPUTED_VALUE"""),0.0)</f>
        <v>0</v>
      </c>
      <c r="AP123" s="3">
        <f>IFERROR(__xludf.DUMMYFUNCTION("""COMPUTED_VALUE"""),0.0)</f>
        <v>0</v>
      </c>
      <c r="AQ123" s="3">
        <f>IFERROR(__xludf.DUMMYFUNCTION("""COMPUTED_VALUE"""),0.0)</f>
        <v>0</v>
      </c>
      <c r="AR123" s="3">
        <f>IFERROR(__xludf.DUMMYFUNCTION("""COMPUTED_VALUE"""),0.0)</f>
        <v>0</v>
      </c>
      <c r="AS123" s="3">
        <f>IFERROR(__xludf.DUMMYFUNCTION("""COMPUTED_VALUE"""),0.0)</f>
        <v>0</v>
      </c>
      <c r="AT123" s="3">
        <f>IFERROR(__xludf.DUMMYFUNCTION("""COMPUTED_VALUE"""),0.0)</f>
        <v>0</v>
      </c>
      <c r="AU123" s="3">
        <f>IFERROR(__xludf.DUMMYFUNCTION("""COMPUTED_VALUE"""),0.0)</f>
        <v>0</v>
      </c>
      <c r="AV123" s="3">
        <f>IFERROR(__xludf.DUMMYFUNCTION("""COMPUTED_VALUE"""),0.0)</f>
        <v>0</v>
      </c>
      <c r="AW123" s="3">
        <f>IFERROR(__xludf.DUMMYFUNCTION("""COMPUTED_VALUE"""),0.0)</f>
        <v>0</v>
      </c>
      <c r="AX123" s="3">
        <f>IFERROR(__xludf.DUMMYFUNCTION("""COMPUTED_VALUE"""),0.0)</f>
        <v>0</v>
      </c>
      <c r="AY123" s="3">
        <f>IFERROR(__xludf.DUMMYFUNCTION("""COMPUTED_VALUE"""),0.0)</f>
        <v>0</v>
      </c>
      <c r="AZ123" s="3">
        <f>IFERROR(__xludf.DUMMYFUNCTION("""COMPUTED_VALUE"""),0.0)</f>
        <v>0</v>
      </c>
      <c r="BA123" s="3">
        <f>IFERROR(__xludf.DUMMYFUNCTION("""COMPUTED_VALUE"""),0.0)</f>
        <v>0</v>
      </c>
      <c r="BB123" s="3">
        <f>IFERROR(__xludf.DUMMYFUNCTION("""COMPUTED_VALUE"""),0.0)</f>
        <v>0</v>
      </c>
      <c r="BC123" s="3">
        <f>IFERROR(__xludf.DUMMYFUNCTION("""COMPUTED_VALUE"""),0.0)</f>
        <v>0</v>
      </c>
      <c r="BD123" s="3">
        <f>IFERROR(__xludf.DUMMYFUNCTION("""COMPUTED_VALUE"""),0.0)</f>
        <v>0</v>
      </c>
      <c r="BE123" s="3">
        <f>IFERROR(__xludf.DUMMYFUNCTION("""COMPUTED_VALUE"""),0.0)</f>
        <v>0</v>
      </c>
      <c r="BF123" s="3">
        <f>IFERROR(__xludf.DUMMYFUNCTION("""COMPUTED_VALUE"""),0.0)</f>
        <v>0</v>
      </c>
      <c r="BG123" s="3">
        <f>IFERROR(__xludf.DUMMYFUNCTION("""COMPUTED_VALUE"""),0.0)</f>
        <v>0</v>
      </c>
      <c r="BH123" s="3">
        <f>IFERROR(__xludf.DUMMYFUNCTION("""COMPUTED_VALUE"""),0.0)</f>
        <v>0</v>
      </c>
      <c r="BI123" s="3">
        <f>IFERROR(__xludf.DUMMYFUNCTION("""COMPUTED_VALUE"""),0.0)</f>
        <v>0</v>
      </c>
      <c r="BJ123" s="3">
        <f>IFERROR(__xludf.DUMMYFUNCTION("""COMPUTED_VALUE"""),0.0)</f>
        <v>0</v>
      </c>
      <c r="BK123" s="3">
        <f>IFERROR(__xludf.DUMMYFUNCTION("""COMPUTED_VALUE"""),0.0)</f>
        <v>0</v>
      </c>
      <c r="BL123" s="3">
        <f>IFERROR(__xludf.DUMMYFUNCTION("""COMPUTED_VALUE"""),0.0)</f>
        <v>0</v>
      </c>
      <c r="BM123" s="3">
        <f>IFERROR(__xludf.DUMMYFUNCTION("""COMPUTED_VALUE"""),0.0)</f>
        <v>0</v>
      </c>
      <c r="BN123" s="3">
        <f>IFERROR(__xludf.DUMMYFUNCTION("""COMPUTED_VALUE"""),0.0)</f>
        <v>0</v>
      </c>
      <c r="BO123" s="3">
        <f>IFERROR(__xludf.DUMMYFUNCTION("""COMPUTED_VALUE"""),0.0)</f>
        <v>0</v>
      </c>
      <c r="BP123" s="3">
        <f>IFERROR(__xludf.DUMMYFUNCTION("""COMPUTED_VALUE"""),0.0)</f>
        <v>0</v>
      </c>
      <c r="BQ123" s="3">
        <f>IFERROR(__xludf.DUMMYFUNCTION("""COMPUTED_VALUE"""),0.0)</f>
        <v>0</v>
      </c>
      <c r="BR123" s="3">
        <f>IFERROR(__xludf.DUMMYFUNCTION("""COMPUTED_VALUE"""),0.0)</f>
        <v>0</v>
      </c>
      <c r="BS123" s="3">
        <f>IFERROR(__xludf.DUMMYFUNCTION("""COMPUTED_VALUE"""),0.0)</f>
        <v>0</v>
      </c>
      <c r="BT123" s="3">
        <f>IFERROR(__xludf.DUMMYFUNCTION("""COMPUTED_VALUE"""),0.0)</f>
        <v>0</v>
      </c>
      <c r="BU123" s="3">
        <f>IFERROR(__xludf.DUMMYFUNCTION("""COMPUTED_VALUE"""),0.0)</f>
        <v>0</v>
      </c>
      <c r="BV123" s="3">
        <f>IFERROR(__xludf.DUMMYFUNCTION("""COMPUTED_VALUE"""),0.0)</f>
        <v>0</v>
      </c>
      <c r="BW123" s="3">
        <f>IFERROR(__xludf.DUMMYFUNCTION("""COMPUTED_VALUE"""),0.0)</f>
        <v>0</v>
      </c>
      <c r="BX123" s="3">
        <f>IFERROR(__xludf.DUMMYFUNCTION("""COMPUTED_VALUE"""),0.0)</f>
        <v>0</v>
      </c>
      <c r="BY123" s="3">
        <f>IFERROR(__xludf.DUMMYFUNCTION("""COMPUTED_VALUE"""),0.0)</f>
        <v>0</v>
      </c>
      <c r="BZ123" s="3">
        <f>IFERROR(__xludf.DUMMYFUNCTION("""COMPUTED_VALUE"""),0.0)</f>
        <v>0</v>
      </c>
      <c r="CA123" s="3">
        <f>IFERROR(__xludf.DUMMYFUNCTION("""COMPUTED_VALUE"""),0.0)</f>
        <v>0</v>
      </c>
      <c r="CB123" s="3">
        <f>IFERROR(__xludf.DUMMYFUNCTION("""COMPUTED_VALUE"""),0.0)</f>
        <v>0</v>
      </c>
    </row>
    <row r="124">
      <c r="A124" s="3" t="str">
        <f>IFERROR(__xludf.DUMMYFUNCTION("""COMPUTED_VALUE"""),"")</f>
        <v/>
      </c>
      <c r="B124" s="3" t="str">
        <f>IFERROR(__xludf.DUMMYFUNCTION("""COMPUTED_VALUE"""),"Honduras")</f>
        <v>Honduras</v>
      </c>
      <c r="C124" s="3">
        <f>IFERROR(__xludf.DUMMYFUNCTION("""COMPUTED_VALUE"""),15.2)</f>
        <v>15.2</v>
      </c>
      <c r="D124" s="3">
        <f>IFERROR(__xludf.DUMMYFUNCTION("""COMPUTED_VALUE"""),-86.2419)</f>
        <v>-86.2419</v>
      </c>
      <c r="E124" s="3">
        <f>IFERROR(__xludf.DUMMYFUNCTION("""COMPUTED_VALUE"""),0.0)</f>
        <v>0</v>
      </c>
      <c r="F124" s="3">
        <f>IFERROR(__xludf.DUMMYFUNCTION("""COMPUTED_VALUE"""),0.0)</f>
        <v>0</v>
      </c>
      <c r="G124" s="3">
        <f>IFERROR(__xludf.DUMMYFUNCTION("""COMPUTED_VALUE"""),0.0)</f>
        <v>0</v>
      </c>
      <c r="H124" s="3">
        <f>IFERROR(__xludf.DUMMYFUNCTION("""COMPUTED_VALUE"""),0.0)</f>
        <v>0</v>
      </c>
      <c r="I124" s="3">
        <f>IFERROR(__xludf.DUMMYFUNCTION("""COMPUTED_VALUE"""),0.0)</f>
        <v>0</v>
      </c>
      <c r="J124" s="3">
        <f>IFERROR(__xludf.DUMMYFUNCTION("""COMPUTED_VALUE"""),0.0)</f>
        <v>0</v>
      </c>
      <c r="K124" s="3">
        <f>IFERROR(__xludf.DUMMYFUNCTION("""COMPUTED_VALUE"""),0.0)</f>
        <v>0</v>
      </c>
      <c r="L124" s="3">
        <f>IFERROR(__xludf.DUMMYFUNCTION("""COMPUTED_VALUE"""),0.0)</f>
        <v>0</v>
      </c>
      <c r="M124" s="3">
        <f>IFERROR(__xludf.DUMMYFUNCTION("""COMPUTED_VALUE"""),0.0)</f>
        <v>0</v>
      </c>
      <c r="N124" s="3">
        <f>IFERROR(__xludf.DUMMYFUNCTION("""COMPUTED_VALUE"""),0.0)</f>
        <v>0</v>
      </c>
      <c r="O124" s="3">
        <f>IFERROR(__xludf.DUMMYFUNCTION("""COMPUTED_VALUE"""),0.0)</f>
        <v>0</v>
      </c>
      <c r="P124" s="3">
        <f>IFERROR(__xludf.DUMMYFUNCTION("""COMPUTED_VALUE"""),0.0)</f>
        <v>0</v>
      </c>
      <c r="Q124" s="3">
        <f>IFERROR(__xludf.DUMMYFUNCTION("""COMPUTED_VALUE"""),0.0)</f>
        <v>0</v>
      </c>
      <c r="R124" s="3">
        <f>IFERROR(__xludf.DUMMYFUNCTION("""COMPUTED_VALUE"""),0.0)</f>
        <v>0</v>
      </c>
      <c r="S124" s="3">
        <f>IFERROR(__xludf.DUMMYFUNCTION("""COMPUTED_VALUE"""),0.0)</f>
        <v>0</v>
      </c>
      <c r="T124" s="3">
        <f>IFERROR(__xludf.DUMMYFUNCTION("""COMPUTED_VALUE"""),0.0)</f>
        <v>0</v>
      </c>
      <c r="U124" s="3">
        <f>IFERROR(__xludf.DUMMYFUNCTION("""COMPUTED_VALUE"""),0.0)</f>
        <v>0</v>
      </c>
      <c r="V124" s="3">
        <f>IFERROR(__xludf.DUMMYFUNCTION("""COMPUTED_VALUE"""),0.0)</f>
        <v>0</v>
      </c>
      <c r="W124" s="3">
        <f>IFERROR(__xludf.DUMMYFUNCTION("""COMPUTED_VALUE"""),0.0)</f>
        <v>0</v>
      </c>
      <c r="X124" s="3">
        <f>IFERROR(__xludf.DUMMYFUNCTION("""COMPUTED_VALUE"""),0.0)</f>
        <v>0</v>
      </c>
      <c r="Y124" s="3">
        <f>IFERROR(__xludf.DUMMYFUNCTION("""COMPUTED_VALUE"""),0.0)</f>
        <v>0</v>
      </c>
      <c r="Z124" s="3">
        <f>IFERROR(__xludf.DUMMYFUNCTION("""COMPUTED_VALUE"""),0.0)</f>
        <v>0</v>
      </c>
      <c r="AA124" s="3">
        <f>IFERROR(__xludf.DUMMYFUNCTION("""COMPUTED_VALUE"""),0.0)</f>
        <v>0</v>
      </c>
      <c r="AB124" s="3">
        <f>IFERROR(__xludf.DUMMYFUNCTION("""COMPUTED_VALUE"""),0.0)</f>
        <v>0</v>
      </c>
      <c r="AC124" s="3">
        <f>IFERROR(__xludf.DUMMYFUNCTION("""COMPUTED_VALUE"""),0.0)</f>
        <v>0</v>
      </c>
      <c r="AD124" s="3">
        <f>IFERROR(__xludf.DUMMYFUNCTION("""COMPUTED_VALUE"""),0.0)</f>
        <v>0</v>
      </c>
      <c r="AE124" s="3">
        <f>IFERROR(__xludf.DUMMYFUNCTION("""COMPUTED_VALUE"""),0.0)</f>
        <v>0</v>
      </c>
      <c r="AF124" s="3">
        <f>IFERROR(__xludf.DUMMYFUNCTION("""COMPUTED_VALUE"""),0.0)</f>
        <v>0</v>
      </c>
      <c r="AG124" s="3">
        <f>IFERROR(__xludf.DUMMYFUNCTION("""COMPUTED_VALUE"""),0.0)</f>
        <v>0</v>
      </c>
      <c r="AH124" s="3">
        <f>IFERROR(__xludf.DUMMYFUNCTION("""COMPUTED_VALUE"""),0.0)</f>
        <v>0</v>
      </c>
      <c r="AI124" s="3">
        <f>IFERROR(__xludf.DUMMYFUNCTION("""COMPUTED_VALUE"""),0.0)</f>
        <v>0</v>
      </c>
      <c r="AJ124" s="3">
        <f>IFERROR(__xludf.DUMMYFUNCTION("""COMPUTED_VALUE"""),0.0)</f>
        <v>0</v>
      </c>
      <c r="AK124" s="3">
        <f>IFERROR(__xludf.DUMMYFUNCTION("""COMPUTED_VALUE"""),0.0)</f>
        <v>0</v>
      </c>
      <c r="AL124" s="3">
        <f>IFERROR(__xludf.DUMMYFUNCTION("""COMPUTED_VALUE"""),0.0)</f>
        <v>0</v>
      </c>
      <c r="AM124" s="3">
        <f>IFERROR(__xludf.DUMMYFUNCTION("""COMPUTED_VALUE"""),0.0)</f>
        <v>0</v>
      </c>
      <c r="AN124" s="3">
        <f>IFERROR(__xludf.DUMMYFUNCTION("""COMPUTED_VALUE"""),0.0)</f>
        <v>0</v>
      </c>
      <c r="AO124" s="3">
        <f>IFERROR(__xludf.DUMMYFUNCTION("""COMPUTED_VALUE"""),0.0)</f>
        <v>0</v>
      </c>
      <c r="AP124" s="3">
        <f>IFERROR(__xludf.DUMMYFUNCTION("""COMPUTED_VALUE"""),0.0)</f>
        <v>0</v>
      </c>
      <c r="AQ124" s="3">
        <f>IFERROR(__xludf.DUMMYFUNCTION("""COMPUTED_VALUE"""),0.0)</f>
        <v>0</v>
      </c>
      <c r="AR124" s="3">
        <f>IFERROR(__xludf.DUMMYFUNCTION("""COMPUTED_VALUE"""),0.0)</f>
        <v>0</v>
      </c>
      <c r="AS124" s="3">
        <f>IFERROR(__xludf.DUMMYFUNCTION("""COMPUTED_VALUE"""),0.0)</f>
        <v>0</v>
      </c>
      <c r="AT124" s="3">
        <f>IFERROR(__xludf.DUMMYFUNCTION("""COMPUTED_VALUE"""),0.0)</f>
        <v>0</v>
      </c>
      <c r="AU124" s="3">
        <f>IFERROR(__xludf.DUMMYFUNCTION("""COMPUTED_VALUE"""),0.0)</f>
        <v>0</v>
      </c>
      <c r="AV124" s="3">
        <f>IFERROR(__xludf.DUMMYFUNCTION("""COMPUTED_VALUE"""),0.0)</f>
        <v>0</v>
      </c>
      <c r="AW124" s="3">
        <f>IFERROR(__xludf.DUMMYFUNCTION("""COMPUTED_VALUE"""),0.0)</f>
        <v>0</v>
      </c>
      <c r="AX124" s="3">
        <f>IFERROR(__xludf.DUMMYFUNCTION("""COMPUTED_VALUE"""),0.0)</f>
        <v>0</v>
      </c>
      <c r="AY124" s="3">
        <f>IFERROR(__xludf.DUMMYFUNCTION("""COMPUTED_VALUE"""),0.0)</f>
        <v>0</v>
      </c>
      <c r="AZ124" s="3">
        <f>IFERROR(__xludf.DUMMYFUNCTION("""COMPUTED_VALUE"""),0.0)</f>
        <v>0</v>
      </c>
      <c r="BA124" s="3">
        <f>IFERROR(__xludf.DUMMYFUNCTION("""COMPUTED_VALUE"""),0.0)</f>
        <v>0</v>
      </c>
      <c r="BB124" s="3">
        <f>IFERROR(__xludf.DUMMYFUNCTION("""COMPUTED_VALUE"""),0.0)</f>
        <v>0</v>
      </c>
      <c r="BC124" s="3">
        <f>IFERROR(__xludf.DUMMYFUNCTION("""COMPUTED_VALUE"""),0.0)</f>
        <v>0</v>
      </c>
      <c r="BD124" s="3">
        <f>IFERROR(__xludf.DUMMYFUNCTION("""COMPUTED_VALUE"""),0.0)</f>
        <v>0</v>
      </c>
      <c r="BE124" s="3">
        <f>IFERROR(__xludf.DUMMYFUNCTION("""COMPUTED_VALUE"""),0.0)</f>
        <v>0</v>
      </c>
      <c r="BF124" s="3">
        <f>IFERROR(__xludf.DUMMYFUNCTION("""COMPUTED_VALUE"""),0.0)</f>
        <v>0</v>
      </c>
      <c r="BG124" s="3">
        <f>IFERROR(__xludf.DUMMYFUNCTION("""COMPUTED_VALUE"""),0.0)</f>
        <v>0</v>
      </c>
      <c r="BH124" s="3">
        <f>IFERROR(__xludf.DUMMYFUNCTION("""COMPUTED_VALUE"""),0.0)</f>
        <v>0</v>
      </c>
      <c r="BI124" s="3">
        <f>IFERROR(__xludf.DUMMYFUNCTION("""COMPUTED_VALUE"""),0.0)</f>
        <v>0</v>
      </c>
      <c r="BJ124" s="3">
        <f>IFERROR(__xludf.DUMMYFUNCTION("""COMPUTED_VALUE"""),0.0)</f>
        <v>0</v>
      </c>
      <c r="BK124" s="3">
        <f>IFERROR(__xludf.DUMMYFUNCTION("""COMPUTED_VALUE"""),0.0)</f>
        <v>0</v>
      </c>
      <c r="BL124" s="3">
        <f>IFERROR(__xludf.DUMMYFUNCTION("""COMPUTED_VALUE"""),0.0)</f>
        <v>0</v>
      </c>
      <c r="BM124" s="3">
        <f>IFERROR(__xludf.DUMMYFUNCTION("""COMPUTED_VALUE"""),0.0)</f>
        <v>0</v>
      </c>
      <c r="BN124" s="3">
        <f>IFERROR(__xludf.DUMMYFUNCTION("""COMPUTED_VALUE"""),0.0)</f>
        <v>0</v>
      </c>
      <c r="BO124" s="3">
        <f>IFERROR(__xludf.DUMMYFUNCTION("""COMPUTED_VALUE"""),0.0)</f>
        <v>0</v>
      </c>
      <c r="BP124" s="3">
        <f>IFERROR(__xludf.DUMMYFUNCTION("""COMPUTED_VALUE"""),0.0)</f>
        <v>0</v>
      </c>
      <c r="BQ124" s="3">
        <f>IFERROR(__xludf.DUMMYFUNCTION("""COMPUTED_VALUE"""),0.0)</f>
        <v>0</v>
      </c>
      <c r="BR124" s="3">
        <f>IFERROR(__xludf.DUMMYFUNCTION("""COMPUTED_VALUE"""),0.0)</f>
        <v>0</v>
      </c>
      <c r="BS124" s="3">
        <f>IFERROR(__xludf.DUMMYFUNCTION("""COMPUTED_VALUE"""),3.0)</f>
        <v>3</v>
      </c>
      <c r="BT124" s="3">
        <f>IFERROR(__xludf.DUMMYFUNCTION("""COMPUTED_VALUE"""),3.0)</f>
        <v>3</v>
      </c>
      <c r="BU124" s="3">
        <f>IFERROR(__xludf.DUMMYFUNCTION("""COMPUTED_VALUE"""),3.0)</f>
        <v>3</v>
      </c>
      <c r="BV124" s="3">
        <f>IFERROR(__xludf.DUMMYFUNCTION("""COMPUTED_VALUE"""),3.0)</f>
        <v>3</v>
      </c>
      <c r="BW124" s="3">
        <f>IFERROR(__xludf.DUMMYFUNCTION("""COMPUTED_VALUE"""),3.0)</f>
        <v>3</v>
      </c>
      <c r="BX124" s="3">
        <f>IFERROR(__xludf.DUMMYFUNCTION("""COMPUTED_VALUE"""),3.0)</f>
        <v>3</v>
      </c>
      <c r="BY124" s="3">
        <f>IFERROR(__xludf.DUMMYFUNCTION("""COMPUTED_VALUE"""),3.0)</f>
        <v>3</v>
      </c>
      <c r="BZ124" s="3">
        <f>IFERROR(__xludf.DUMMYFUNCTION("""COMPUTED_VALUE"""),3.0)</f>
        <v>3</v>
      </c>
      <c r="CA124" s="3">
        <f>IFERROR(__xludf.DUMMYFUNCTION("""COMPUTED_VALUE"""),6.0)</f>
        <v>6</v>
      </c>
      <c r="CB124" s="3">
        <f>IFERROR(__xludf.DUMMYFUNCTION("""COMPUTED_VALUE"""),6.0)</f>
        <v>6</v>
      </c>
    </row>
    <row r="125">
      <c r="A125" s="3" t="str">
        <f>IFERROR(__xludf.DUMMYFUNCTION("""COMPUTED_VALUE"""),"")</f>
        <v/>
      </c>
      <c r="B125" s="3" t="str">
        <f>IFERROR(__xludf.DUMMYFUNCTION("""COMPUTED_VALUE"""),"Hungary")</f>
        <v>Hungary</v>
      </c>
      <c r="C125" s="3">
        <f>IFERROR(__xludf.DUMMYFUNCTION("""COMPUTED_VALUE"""),47.1625)</f>
        <v>47.1625</v>
      </c>
      <c r="D125" s="3">
        <f>IFERROR(__xludf.DUMMYFUNCTION("""COMPUTED_VALUE"""),19.5033)</f>
        <v>19.5033</v>
      </c>
      <c r="E125" s="3">
        <f>IFERROR(__xludf.DUMMYFUNCTION("""COMPUTED_VALUE"""),0.0)</f>
        <v>0</v>
      </c>
      <c r="F125" s="3">
        <f>IFERROR(__xludf.DUMMYFUNCTION("""COMPUTED_VALUE"""),0.0)</f>
        <v>0</v>
      </c>
      <c r="G125" s="3">
        <f>IFERROR(__xludf.DUMMYFUNCTION("""COMPUTED_VALUE"""),0.0)</f>
        <v>0</v>
      </c>
      <c r="H125" s="3">
        <f>IFERROR(__xludf.DUMMYFUNCTION("""COMPUTED_VALUE"""),0.0)</f>
        <v>0</v>
      </c>
      <c r="I125" s="3">
        <f>IFERROR(__xludf.DUMMYFUNCTION("""COMPUTED_VALUE"""),0.0)</f>
        <v>0</v>
      </c>
      <c r="J125" s="3">
        <f>IFERROR(__xludf.DUMMYFUNCTION("""COMPUTED_VALUE"""),0.0)</f>
        <v>0</v>
      </c>
      <c r="K125" s="3">
        <f>IFERROR(__xludf.DUMMYFUNCTION("""COMPUTED_VALUE"""),0.0)</f>
        <v>0</v>
      </c>
      <c r="L125" s="3">
        <f>IFERROR(__xludf.DUMMYFUNCTION("""COMPUTED_VALUE"""),0.0)</f>
        <v>0</v>
      </c>
      <c r="M125" s="3">
        <f>IFERROR(__xludf.DUMMYFUNCTION("""COMPUTED_VALUE"""),0.0)</f>
        <v>0</v>
      </c>
      <c r="N125" s="3">
        <f>IFERROR(__xludf.DUMMYFUNCTION("""COMPUTED_VALUE"""),0.0)</f>
        <v>0</v>
      </c>
      <c r="O125" s="3">
        <f>IFERROR(__xludf.DUMMYFUNCTION("""COMPUTED_VALUE"""),0.0)</f>
        <v>0</v>
      </c>
      <c r="P125" s="3">
        <f>IFERROR(__xludf.DUMMYFUNCTION("""COMPUTED_VALUE"""),0.0)</f>
        <v>0</v>
      </c>
      <c r="Q125" s="3">
        <f>IFERROR(__xludf.DUMMYFUNCTION("""COMPUTED_VALUE"""),0.0)</f>
        <v>0</v>
      </c>
      <c r="R125" s="3">
        <f>IFERROR(__xludf.DUMMYFUNCTION("""COMPUTED_VALUE"""),0.0)</f>
        <v>0</v>
      </c>
      <c r="S125" s="3">
        <f>IFERROR(__xludf.DUMMYFUNCTION("""COMPUTED_VALUE"""),0.0)</f>
        <v>0</v>
      </c>
      <c r="T125" s="3">
        <f>IFERROR(__xludf.DUMMYFUNCTION("""COMPUTED_VALUE"""),0.0)</f>
        <v>0</v>
      </c>
      <c r="U125" s="3">
        <f>IFERROR(__xludf.DUMMYFUNCTION("""COMPUTED_VALUE"""),0.0)</f>
        <v>0</v>
      </c>
      <c r="V125" s="3">
        <f>IFERROR(__xludf.DUMMYFUNCTION("""COMPUTED_VALUE"""),0.0)</f>
        <v>0</v>
      </c>
      <c r="W125" s="3">
        <f>IFERROR(__xludf.DUMMYFUNCTION("""COMPUTED_VALUE"""),0.0)</f>
        <v>0</v>
      </c>
      <c r="X125" s="3">
        <f>IFERROR(__xludf.DUMMYFUNCTION("""COMPUTED_VALUE"""),0.0)</f>
        <v>0</v>
      </c>
      <c r="Y125" s="3">
        <f>IFERROR(__xludf.DUMMYFUNCTION("""COMPUTED_VALUE"""),0.0)</f>
        <v>0</v>
      </c>
      <c r="Z125" s="3">
        <f>IFERROR(__xludf.DUMMYFUNCTION("""COMPUTED_VALUE"""),0.0)</f>
        <v>0</v>
      </c>
      <c r="AA125" s="3">
        <f>IFERROR(__xludf.DUMMYFUNCTION("""COMPUTED_VALUE"""),0.0)</f>
        <v>0</v>
      </c>
      <c r="AB125" s="3">
        <f>IFERROR(__xludf.DUMMYFUNCTION("""COMPUTED_VALUE"""),0.0)</f>
        <v>0</v>
      </c>
      <c r="AC125" s="3">
        <f>IFERROR(__xludf.DUMMYFUNCTION("""COMPUTED_VALUE"""),0.0)</f>
        <v>0</v>
      </c>
      <c r="AD125" s="3">
        <f>IFERROR(__xludf.DUMMYFUNCTION("""COMPUTED_VALUE"""),0.0)</f>
        <v>0</v>
      </c>
      <c r="AE125" s="3">
        <f>IFERROR(__xludf.DUMMYFUNCTION("""COMPUTED_VALUE"""),0.0)</f>
        <v>0</v>
      </c>
      <c r="AF125" s="3">
        <f>IFERROR(__xludf.DUMMYFUNCTION("""COMPUTED_VALUE"""),0.0)</f>
        <v>0</v>
      </c>
      <c r="AG125" s="3">
        <f>IFERROR(__xludf.DUMMYFUNCTION("""COMPUTED_VALUE"""),0.0)</f>
        <v>0</v>
      </c>
      <c r="AH125" s="3">
        <f>IFERROR(__xludf.DUMMYFUNCTION("""COMPUTED_VALUE"""),0.0)</f>
        <v>0</v>
      </c>
      <c r="AI125" s="3">
        <f>IFERROR(__xludf.DUMMYFUNCTION("""COMPUTED_VALUE"""),0.0)</f>
        <v>0</v>
      </c>
      <c r="AJ125" s="3">
        <f>IFERROR(__xludf.DUMMYFUNCTION("""COMPUTED_VALUE"""),0.0)</f>
        <v>0</v>
      </c>
      <c r="AK125" s="3">
        <f>IFERROR(__xludf.DUMMYFUNCTION("""COMPUTED_VALUE"""),0.0)</f>
        <v>0</v>
      </c>
      <c r="AL125" s="3">
        <f>IFERROR(__xludf.DUMMYFUNCTION("""COMPUTED_VALUE"""),0.0)</f>
        <v>0</v>
      </c>
      <c r="AM125" s="3">
        <f>IFERROR(__xludf.DUMMYFUNCTION("""COMPUTED_VALUE"""),0.0)</f>
        <v>0</v>
      </c>
      <c r="AN125" s="3">
        <f>IFERROR(__xludf.DUMMYFUNCTION("""COMPUTED_VALUE"""),0.0)</f>
        <v>0</v>
      </c>
      <c r="AO125" s="3">
        <f>IFERROR(__xludf.DUMMYFUNCTION("""COMPUTED_VALUE"""),0.0)</f>
        <v>0</v>
      </c>
      <c r="AP125" s="3">
        <f>IFERROR(__xludf.DUMMYFUNCTION("""COMPUTED_VALUE"""),0.0)</f>
        <v>0</v>
      </c>
      <c r="AQ125" s="3">
        <f>IFERROR(__xludf.DUMMYFUNCTION("""COMPUTED_VALUE"""),0.0)</f>
        <v>0</v>
      </c>
      <c r="AR125" s="3">
        <f>IFERROR(__xludf.DUMMYFUNCTION("""COMPUTED_VALUE"""),0.0)</f>
        <v>0</v>
      </c>
      <c r="AS125" s="3">
        <f>IFERROR(__xludf.DUMMYFUNCTION("""COMPUTED_VALUE"""),0.0)</f>
        <v>0</v>
      </c>
      <c r="AT125" s="3">
        <f>IFERROR(__xludf.DUMMYFUNCTION("""COMPUTED_VALUE"""),0.0)</f>
        <v>0</v>
      </c>
      <c r="AU125" s="3">
        <f>IFERROR(__xludf.DUMMYFUNCTION("""COMPUTED_VALUE"""),0.0)</f>
        <v>0</v>
      </c>
      <c r="AV125" s="3">
        <f>IFERROR(__xludf.DUMMYFUNCTION("""COMPUTED_VALUE"""),0.0)</f>
        <v>0</v>
      </c>
      <c r="AW125" s="3">
        <f>IFERROR(__xludf.DUMMYFUNCTION("""COMPUTED_VALUE"""),0.0)</f>
        <v>0</v>
      </c>
      <c r="AX125" s="3">
        <f>IFERROR(__xludf.DUMMYFUNCTION("""COMPUTED_VALUE"""),0.0)</f>
        <v>0</v>
      </c>
      <c r="AY125" s="3">
        <f>IFERROR(__xludf.DUMMYFUNCTION("""COMPUTED_VALUE"""),0.0)</f>
        <v>0</v>
      </c>
      <c r="AZ125" s="3">
        <f>IFERROR(__xludf.DUMMYFUNCTION("""COMPUTED_VALUE"""),0.0)</f>
        <v>0</v>
      </c>
      <c r="BA125" s="3">
        <f>IFERROR(__xludf.DUMMYFUNCTION("""COMPUTED_VALUE"""),0.0)</f>
        <v>0</v>
      </c>
      <c r="BB125" s="3">
        <f>IFERROR(__xludf.DUMMYFUNCTION("""COMPUTED_VALUE"""),0.0)</f>
        <v>0</v>
      </c>
      <c r="BC125" s="3">
        <f>IFERROR(__xludf.DUMMYFUNCTION("""COMPUTED_VALUE"""),0.0)</f>
        <v>0</v>
      </c>
      <c r="BD125" s="3">
        <f>IFERROR(__xludf.DUMMYFUNCTION("""COMPUTED_VALUE"""),0.0)</f>
        <v>0</v>
      </c>
      <c r="BE125" s="3">
        <f>IFERROR(__xludf.DUMMYFUNCTION("""COMPUTED_VALUE"""),1.0)</f>
        <v>1</v>
      </c>
      <c r="BF125" s="3">
        <f>IFERROR(__xludf.DUMMYFUNCTION("""COMPUTED_VALUE"""),1.0)</f>
        <v>1</v>
      </c>
      <c r="BG125" s="3">
        <f>IFERROR(__xludf.DUMMYFUNCTION("""COMPUTED_VALUE"""),1.0)</f>
        <v>1</v>
      </c>
      <c r="BH125" s="3">
        <f>IFERROR(__xludf.DUMMYFUNCTION("""COMPUTED_VALUE"""),2.0)</f>
        <v>2</v>
      </c>
      <c r="BI125" s="3">
        <f>IFERROR(__xludf.DUMMYFUNCTION("""COMPUTED_VALUE"""),2.0)</f>
        <v>2</v>
      </c>
      <c r="BJ125" s="3">
        <f>IFERROR(__xludf.DUMMYFUNCTION("""COMPUTED_VALUE"""),2.0)</f>
        <v>2</v>
      </c>
      <c r="BK125" s="3">
        <f>IFERROR(__xludf.DUMMYFUNCTION("""COMPUTED_VALUE"""),2.0)</f>
        <v>2</v>
      </c>
      <c r="BL125" s="3">
        <f>IFERROR(__xludf.DUMMYFUNCTION("""COMPUTED_VALUE"""),7.0)</f>
        <v>7</v>
      </c>
      <c r="BM125" s="3">
        <f>IFERROR(__xludf.DUMMYFUNCTION("""COMPUTED_VALUE"""),16.0)</f>
        <v>16</v>
      </c>
      <c r="BN125" s="3">
        <f>IFERROR(__xludf.DUMMYFUNCTION("""COMPUTED_VALUE"""),16.0)</f>
        <v>16</v>
      </c>
      <c r="BO125" s="3">
        <f>IFERROR(__xludf.DUMMYFUNCTION("""COMPUTED_VALUE"""),21.0)</f>
        <v>21</v>
      </c>
      <c r="BP125" s="3">
        <f>IFERROR(__xludf.DUMMYFUNCTION("""COMPUTED_VALUE"""),21.0)</f>
        <v>21</v>
      </c>
      <c r="BQ125" s="3">
        <f>IFERROR(__xludf.DUMMYFUNCTION("""COMPUTED_VALUE"""),28.0)</f>
        <v>28</v>
      </c>
      <c r="BR125" s="3">
        <f>IFERROR(__xludf.DUMMYFUNCTION("""COMPUTED_VALUE"""),34.0)</f>
        <v>34</v>
      </c>
      <c r="BS125" s="3">
        <f>IFERROR(__xludf.DUMMYFUNCTION("""COMPUTED_VALUE"""),34.0)</f>
        <v>34</v>
      </c>
      <c r="BT125" s="3">
        <f>IFERROR(__xludf.DUMMYFUNCTION("""COMPUTED_VALUE"""),34.0)</f>
        <v>34</v>
      </c>
      <c r="BU125" s="3">
        <f>IFERROR(__xludf.DUMMYFUNCTION("""COMPUTED_VALUE"""),34.0)</f>
        <v>34</v>
      </c>
      <c r="BV125" s="3">
        <f>IFERROR(__xludf.DUMMYFUNCTION("""COMPUTED_VALUE"""),37.0)</f>
        <v>37</v>
      </c>
      <c r="BW125" s="3">
        <f>IFERROR(__xludf.DUMMYFUNCTION("""COMPUTED_VALUE"""),40.0)</f>
        <v>40</v>
      </c>
      <c r="BX125" s="3">
        <f>IFERROR(__xludf.DUMMYFUNCTION("""COMPUTED_VALUE"""),42.0)</f>
        <v>42</v>
      </c>
      <c r="BY125" s="3">
        <f>IFERROR(__xludf.DUMMYFUNCTION("""COMPUTED_VALUE"""),43.0)</f>
        <v>43</v>
      </c>
      <c r="BZ125" s="3">
        <f>IFERROR(__xludf.DUMMYFUNCTION("""COMPUTED_VALUE"""),58.0)</f>
        <v>58</v>
      </c>
      <c r="CA125" s="3">
        <f>IFERROR(__xludf.DUMMYFUNCTION("""COMPUTED_VALUE"""),66.0)</f>
        <v>66</v>
      </c>
      <c r="CB125" s="3">
        <f>IFERROR(__xludf.DUMMYFUNCTION("""COMPUTED_VALUE"""),67.0)</f>
        <v>67</v>
      </c>
    </row>
    <row r="126">
      <c r="A126" s="3" t="str">
        <f>IFERROR(__xludf.DUMMYFUNCTION("""COMPUTED_VALUE"""),"")</f>
        <v/>
      </c>
      <c r="B126" s="3" t="str">
        <f>IFERROR(__xludf.DUMMYFUNCTION("""COMPUTED_VALUE"""),"Iceland")</f>
        <v>Iceland</v>
      </c>
      <c r="C126" s="3">
        <f>IFERROR(__xludf.DUMMYFUNCTION("""COMPUTED_VALUE"""),64.9631)</f>
        <v>64.9631</v>
      </c>
      <c r="D126" s="3">
        <f>IFERROR(__xludf.DUMMYFUNCTION("""COMPUTED_VALUE"""),-19.0208)</f>
        <v>-19.0208</v>
      </c>
      <c r="E126" s="3">
        <f>IFERROR(__xludf.DUMMYFUNCTION("""COMPUTED_VALUE"""),0.0)</f>
        <v>0</v>
      </c>
      <c r="F126" s="3">
        <f>IFERROR(__xludf.DUMMYFUNCTION("""COMPUTED_VALUE"""),0.0)</f>
        <v>0</v>
      </c>
      <c r="G126" s="3">
        <f>IFERROR(__xludf.DUMMYFUNCTION("""COMPUTED_VALUE"""),0.0)</f>
        <v>0</v>
      </c>
      <c r="H126" s="3">
        <f>IFERROR(__xludf.DUMMYFUNCTION("""COMPUTED_VALUE"""),0.0)</f>
        <v>0</v>
      </c>
      <c r="I126" s="3">
        <f>IFERROR(__xludf.DUMMYFUNCTION("""COMPUTED_VALUE"""),0.0)</f>
        <v>0</v>
      </c>
      <c r="J126" s="3">
        <f>IFERROR(__xludf.DUMMYFUNCTION("""COMPUTED_VALUE"""),0.0)</f>
        <v>0</v>
      </c>
      <c r="K126" s="3">
        <f>IFERROR(__xludf.DUMMYFUNCTION("""COMPUTED_VALUE"""),0.0)</f>
        <v>0</v>
      </c>
      <c r="L126" s="3">
        <f>IFERROR(__xludf.DUMMYFUNCTION("""COMPUTED_VALUE"""),0.0)</f>
        <v>0</v>
      </c>
      <c r="M126" s="3">
        <f>IFERROR(__xludf.DUMMYFUNCTION("""COMPUTED_VALUE"""),0.0)</f>
        <v>0</v>
      </c>
      <c r="N126" s="3">
        <f>IFERROR(__xludf.DUMMYFUNCTION("""COMPUTED_VALUE"""),0.0)</f>
        <v>0</v>
      </c>
      <c r="O126" s="3">
        <f>IFERROR(__xludf.DUMMYFUNCTION("""COMPUTED_VALUE"""),0.0)</f>
        <v>0</v>
      </c>
      <c r="P126" s="3">
        <f>IFERROR(__xludf.DUMMYFUNCTION("""COMPUTED_VALUE"""),0.0)</f>
        <v>0</v>
      </c>
      <c r="Q126" s="3">
        <f>IFERROR(__xludf.DUMMYFUNCTION("""COMPUTED_VALUE"""),0.0)</f>
        <v>0</v>
      </c>
      <c r="R126" s="3">
        <f>IFERROR(__xludf.DUMMYFUNCTION("""COMPUTED_VALUE"""),0.0)</f>
        <v>0</v>
      </c>
      <c r="S126" s="3">
        <f>IFERROR(__xludf.DUMMYFUNCTION("""COMPUTED_VALUE"""),0.0)</f>
        <v>0</v>
      </c>
      <c r="T126" s="3">
        <f>IFERROR(__xludf.DUMMYFUNCTION("""COMPUTED_VALUE"""),0.0)</f>
        <v>0</v>
      </c>
      <c r="U126" s="3">
        <f>IFERROR(__xludf.DUMMYFUNCTION("""COMPUTED_VALUE"""),0.0)</f>
        <v>0</v>
      </c>
      <c r="V126" s="3">
        <f>IFERROR(__xludf.DUMMYFUNCTION("""COMPUTED_VALUE"""),0.0)</f>
        <v>0</v>
      </c>
      <c r="W126" s="3">
        <f>IFERROR(__xludf.DUMMYFUNCTION("""COMPUTED_VALUE"""),0.0)</f>
        <v>0</v>
      </c>
      <c r="X126" s="3">
        <f>IFERROR(__xludf.DUMMYFUNCTION("""COMPUTED_VALUE"""),0.0)</f>
        <v>0</v>
      </c>
      <c r="Y126" s="3">
        <f>IFERROR(__xludf.DUMMYFUNCTION("""COMPUTED_VALUE"""),0.0)</f>
        <v>0</v>
      </c>
      <c r="Z126" s="3">
        <f>IFERROR(__xludf.DUMMYFUNCTION("""COMPUTED_VALUE"""),0.0)</f>
        <v>0</v>
      </c>
      <c r="AA126" s="3">
        <f>IFERROR(__xludf.DUMMYFUNCTION("""COMPUTED_VALUE"""),0.0)</f>
        <v>0</v>
      </c>
      <c r="AB126" s="3">
        <f>IFERROR(__xludf.DUMMYFUNCTION("""COMPUTED_VALUE"""),0.0)</f>
        <v>0</v>
      </c>
      <c r="AC126" s="3">
        <f>IFERROR(__xludf.DUMMYFUNCTION("""COMPUTED_VALUE"""),0.0)</f>
        <v>0</v>
      </c>
      <c r="AD126" s="3">
        <f>IFERROR(__xludf.DUMMYFUNCTION("""COMPUTED_VALUE"""),0.0)</f>
        <v>0</v>
      </c>
      <c r="AE126" s="3">
        <f>IFERROR(__xludf.DUMMYFUNCTION("""COMPUTED_VALUE"""),0.0)</f>
        <v>0</v>
      </c>
      <c r="AF126" s="3">
        <f>IFERROR(__xludf.DUMMYFUNCTION("""COMPUTED_VALUE"""),0.0)</f>
        <v>0</v>
      </c>
      <c r="AG126" s="3">
        <f>IFERROR(__xludf.DUMMYFUNCTION("""COMPUTED_VALUE"""),0.0)</f>
        <v>0</v>
      </c>
      <c r="AH126" s="3">
        <f>IFERROR(__xludf.DUMMYFUNCTION("""COMPUTED_VALUE"""),0.0)</f>
        <v>0</v>
      </c>
      <c r="AI126" s="3">
        <f>IFERROR(__xludf.DUMMYFUNCTION("""COMPUTED_VALUE"""),0.0)</f>
        <v>0</v>
      </c>
      <c r="AJ126" s="3">
        <f>IFERROR(__xludf.DUMMYFUNCTION("""COMPUTED_VALUE"""),0.0)</f>
        <v>0</v>
      </c>
      <c r="AK126" s="3">
        <f>IFERROR(__xludf.DUMMYFUNCTION("""COMPUTED_VALUE"""),0.0)</f>
        <v>0</v>
      </c>
      <c r="AL126" s="3">
        <f>IFERROR(__xludf.DUMMYFUNCTION("""COMPUTED_VALUE"""),0.0)</f>
        <v>0</v>
      </c>
      <c r="AM126" s="3">
        <f>IFERROR(__xludf.DUMMYFUNCTION("""COMPUTED_VALUE"""),0.0)</f>
        <v>0</v>
      </c>
      <c r="AN126" s="3">
        <f>IFERROR(__xludf.DUMMYFUNCTION("""COMPUTED_VALUE"""),0.0)</f>
        <v>0</v>
      </c>
      <c r="AO126" s="3">
        <f>IFERROR(__xludf.DUMMYFUNCTION("""COMPUTED_VALUE"""),0.0)</f>
        <v>0</v>
      </c>
      <c r="AP126" s="3">
        <f>IFERROR(__xludf.DUMMYFUNCTION("""COMPUTED_VALUE"""),0.0)</f>
        <v>0</v>
      </c>
      <c r="AQ126" s="3">
        <f>IFERROR(__xludf.DUMMYFUNCTION("""COMPUTED_VALUE"""),0.0)</f>
        <v>0</v>
      </c>
      <c r="AR126" s="3">
        <f>IFERROR(__xludf.DUMMYFUNCTION("""COMPUTED_VALUE"""),0.0)</f>
        <v>0</v>
      </c>
      <c r="AS126" s="3">
        <f>IFERROR(__xludf.DUMMYFUNCTION("""COMPUTED_VALUE"""),0.0)</f>
        <v>0</v>
      </c>
      <c r="AT126" s="3">
        <f>IFERROR(__xludf.DUMMYFUNCTION("""COMPUTED_VALUE"""),0.0)</f>
        <v>0</v>
      </c>
      <c r="AU126" s="3">
        <f>IFERROR(__xludf.DUMMYFUNCTION("""COMPUTED_VALUE"""),0.0)</f>
        <v>0</v>
      </c>
      <c r="AV126" s="3">
        <f>IFERROR(__xludf.DUMMYFUNCTION("""COMPUTED_VALUE"""),0.0)</f>
        <v>0</v>
      </c>
      <c r="AW126" s="3">
        <f>IFERROR(__xludf.DUMMYFUNCTION("""COMPUTED_VALUE"""),0.0)</f>
        <v>0</v>
      </c>
      <c r="AX126" s="3">
        <f>IFERROR(__xludf.DUMMYFUNCTION("""COMPUTED_VALUE"""),0.0)</f>
        <v>0</v>
      </c>
      <c r="AY126" s="3">
        <f>IFERROR(__xludf.DUMMYFUNCTION("""COMPUTED_VALUE"""),0.0)</f>
        <v>0</v>
      </c>
      <c r="AZ126" s="3">
        <f>IFERROR(__xludf.DUMMYFUNCTION("""COMPUTED_VALUE"""),0.0)</f>
        <v>0</v>
      </c>
      <c r="BA126" s="3">
        <f>IFERROR(__xludf.DUMMYFUNCTION("""COMPUTED_VALUE"""),1.0)</f>
        <v>1</v>
      </c>
      <c r="BB126" s="3">
        <f>IFERROR(__xludf.DUMMYFUNCTION("""COMPUTED_VALUE"""),1.0)</f>
        <v>1</v>
      </c>
      <c r="BC126" s="3">
        <f>IFERROR(__xludf.DUMMYFUNCTION("""COMPUTED_VALUE"""),1.0)</f>
        <v>1</v>
      </c>
      <c r="BD126" s="3">
        <f>IFERROR(__xludf.DUMMYFUNCTION("""COMPUTED_VALUE"""),1.0)</f>
        <v>1</v>
      </c>
      <c r="BE126" s="3">
        <f>IFERROR(__xludf.DUMMYFUNCTION("""COMPUTED_VALUE"""),1.0)</f>
        <v>1</v>
      </c>
      <c r="BF126" s="3">
        <f>IFERROR(__xludf.DUMMYFUNCTION("""COMPUTED_VALUE"""),8.0)</f>
        <v>8</v>
      </c>
      <c r="BG126" s="3">
        <f>IFERROR(__xludf.DUMMYFUNCTION("""COMPUTED_VALUE"""),0.0)</f>
        <v>0</v>
      </c>
      <c r="BH126" s="3">
        <f>IFERROR(__xludf.DUMMYFUNCTION("""COMPUTED_VALUE"""),0.0)</f>
        <v>0</v>
      </c>
      <c r="BI126" s="3">
        <f>IFERROR(__xludf.DUMMYFUNCTION("""COMPUTED_VALUE"""),5.0)</f>
        <v>5</v>
      </c>
      <c r="BJ126" s="3">
        <f>IFERROR(__xludf.DUMMYFUNCTION("""COMPUTED_VALUE"""),5.0)</f>
        <v>5</v>
      </c>
      <c r="BK126" s="3">
        <f>IFERROR(__xludf.DUMMYFUNCTION("""COMPUTED_VALUE"""),5.0)</f>
        <v>5</v>
      </c>
      <c r="BL126" s="3">
        <f>IFERROR(__xludf.DUMMYFUNCTION("""COMPUTED_VALUE"""),22.0)</f>
        <v>22</v>
      </c>
      <c r="BM126" s="3">
        <f>IFERROR(__xludf.DUMMYFUNCTION("""COMPUTED_VALUE"""),36.0)</f>
        <v>36</v>
      </c>
      <c r="BN126" s="3">
        <f>IFERROR(__xludf.DUMMYFUNCTION("""COMPUTED_VALUE"""),36.0)</f>
        <v>36</v>
      </c>
      <c r="BO126" s="3">
        <f>IFERROR(__xludf.DUMMYFUNCTION("""COMPUTED_VALUE"""),51.0)</f>
        <v>51</v>
      </c>
      <c r="BP126" s="3">
        <f>IFERROR(__xludf.DUMMYFUNCTION("""COMPUTED_VALUE"""),56.0)</f>
        <v>56</v>
      </c>
      <c r="BQ126" s="3">
        <f>IFERROR(__xludf.DUMMYFUNCTION("""COMPUTED_VALUE"""),82.0)</f>
        <v>82</v>
      </c>
      <c r="BR126" s="3">
        <f>IFERROR(__xludf.DUMMYFUNCTION("""COMPUTED_VALUE"""),97.0)</f>
        <v>97</v>
      </c>
      <c r="BS126" s="3">
        <f>IFERROR(__xludf.DUMMYFUNCTION("""COMPUTED_VALUE"""),114.0)</f>
        <v>114</v>
      </c>
      <c r="BT126" s="3">
        <f>IFERROR(__xludf.DUMMYFUNCTION("""COMPUTED_VALUE"""),135.0)</f>
        <v>135</v>
      </c>
      <c r="BU126" s="3">
        <f>IFERROR(__xludf.DUMMYFUNCTION("""COMPUTED_VALUE"""),157.0)</f>
        <v>157</v>
      </c>
      <c r="BV126" s="3">
        <f>IFERROR(__xludf.DUMMYFUNCTION("""COMPUTED_VALUE"""),198.0)</f>
        <v>198</v>
      </c>
      <c r="BW126" s="3">
        <f>IFERROR(__xludf.DUMMYFUNCTION("""COMPUTED_VALUE"""),225.0)</f>
        <v>225</v>
      </c>
      <c r="BX126" s="3">
        <f>IFERROR(__xludf.DUMMYFUNCTION("""COMPUTED_VALUE"""),284.0)</f>
        <v>284</v>
      </c>
      <c r="BY126" s="3">
        <f>IFERROR(__xludf.DUMMYFUNCTION("""COMPUTED_VALUE"""),309.0)</f>
        <v>309</v>
      </c>
      <c r="BZ126" s="3">
        <f>IFERROR(__xludf.DUMMYFUNCTION("""COMPUTED_VALUE"""),396.0)</f>
        <v>396</v>
      </c>
      <c r="CA126" s="3">
        <f>IFERROR(__xludf.DUMMYFUNCTION("""COMPUTED_VALUE"""),428.0)</f>
        <v>428</v>
      </c>
      <c r="CB126" s="3">
        <f>IFERROR(__xludf.DUMMYFUNCTION("""COMPUTED_VALUE"""),460.0)</f>
        <v>460</v>
      </c>
    </row>
    <row r="127">
      <c r="A127" s="3" t="str">
        <f>IFERROR(__xludf.DUMMYFUNCTION("""COMPUTED_VALUE"""),"")</f>
        <v/>
      </c>
      <c r="B127" s="3" t="str">
        <f>IFERROR(__xludf.DUMMYFUNCTION("""COMPUTED_VALUE"""),"India")</f>
        <v>India</v>
      </c>
      <c r="C127" s="3">
        <f>IFERROR(__xludf.DUMMYFUNCTION("""COMPUTED_VALUE"""),21.0)</f>
        <v>21</v>
      </c>
      <c r="D127" s="3">
        <f>IFERROR(__xludf.DUMMYFUNCTION("""COMPUTED_VALUE"""),78.0)</f>
        <v>78</v>
      </c>
      <c r="E127" s="3">
        <f>IFERROR(__xludf.DUMMYFUNCTION("""COMPUTED_VALUE"""),0.0)</f>
        <v>0</v>
      </c>
      <c r="F127" s="3">
        <f>IFERROR(__xludf.DUMMYFUNCTION("""COMPUTED_VALUE"""),0.0)</f>
        <v>0</v>
      </c>
      <c r="G127" s="3">
        <f>IFERROR(__xludf.DUMMYFUNCTION("""COMPUTED_VALUE"""),0.0)</f>
        <v>0</v>
      </c>
      <c r="H127" s="3">
        <f>IFERROR(__xludf.DUMMYFUNCTION("""COMPUTED_VALUE"""),0.0)</f>
        <v>0</v>
      </c>
      <c r="I127" s="3">
        <f>IFERROR(__xludf.DUMMYFUNCTION("""COMPUTED_VALUE"""),0.0)</f>
        <v>0</v>
      </c>
      <c r="J127" s="3">
        <f>IFERROR(__xludf.DUMMYFUNCTION("""COMPUTED_VALUE"""),0.0)</f>
        <v>0</v>
      </c>
      <c r="K127" s="3">
        <f>IFERROR(__xludf.DUMMYFUNCTION("""COMPUTED_VALUE"""),0.0)</f>
        <v>0</v>
      </c>
      <c r="L127" s="3">
        <f>IFERROR(__xludf.DUMMYFUNCTION("""COMPUTED_VALUE"""),0.0)</f>
        <v>0</v>
      </c>
      <c r="M127" s="3">
        <f>IFERROR(__xludf.DUMMYFUNCTION("""COMPUTED_VALUE"""),0.0)</f>
        <v>0</v>
      </c>
      <c r="N127" s="3">
        <f>IFERROR(__xludf.DUMMYFUNCTION("""COMPUTED_VALUE"""),0.0)</f>
        <v>0</v>
      </c>
      <c r="O127" s="3">
        <f>IFERROR(__xludf.DUMMYFUNCTION("""COMPUTED_VALUE"""),0.0)</f>
        <v>0</v>
      </c>
      <c r="P127" s="3">
        <f>IFERROR(__xludf.DUMMYFUNCTION("""COMPUTED_VALUE"""),0.0)</f>
        <v>0</v>
      </c>
      <c r="Q127" s="3">
        <f>IFERROR(__xludf.DUMMYFUNCTION("""COMPUTED_VALUE"""),0.0)</f>
        <v>0</v>
      </c>
      <c r="R127" s="3">
        <f>IFERROR(__xludf.DUMMYFUNCTION("""COMPUTED_VALUE"""),0.0)</f>
        <v>0</v>
      </c>
      <c r="S127" s="3">
        <f>IFERROR(__xludf.DUMMYFUNCTION("""COMPUTED_VALUE"""),0.0)</f>
        <v>0</v>
      </c>
      <c r="T127" s="3">
        <f>IFERROR(__xludf.DUMMYFUNCTION("""COMPUTED_VALUE"""),0.0)</f>
        <v>0</v>
      </c>
      <c r="U127" s="3">
        <f>IFERROR(__xludf.DUMMYFUNCTION("""COMPUTED_VALUE"""),0.0)</f>
        <v>0</v>
      </c>
      <c r="V127" s="3">
        <f>IFERROR(__xludf.DUMMYFUNCTION("""COMPUTED_VALUE"""),0.0)</f>
        <v>0</v>
      </c>
      <c r="W127" s="3">
        <f>IFERROR(__xludf.DUMMYFUNCTION("""COMPUTED_VALUE"""),0.0)</f>
        <v>0</v>
      </c>
      <c r="X127" s="3">
        <f>IFERROR(__xludf.DUMMYFUNCTION("""COMPUTED_VALUE"""),0.0)</f>
        <v>0</v>
      </c>
      <c r="Y127" s="3">
        <f>IFERROR(__xludf.DUMMYFUNCTION("""COMPUTED_VALUE"""),0.0)</f>
        <v>0</v>
      </c>
      <c r="Z127" s="3">
        <f>IFERROR(__xludf.DUMMYFUNCTION("""COMPUTED_VALUE"""),0.0)</f>
        <v>0</v>
      </c>
      <c r="AA127" s="3">
        <f>IFERROR(__xludf.DUMMYFUNCTION("""COMPUTED_VALUE"""),0.0)</f>
        <v>0</v>
      </c>
      <c r="AB127" s="3">
        <f>IFERROR(__xludf.DUMMYFUNCTION("""COMPUTED_VALUE"""),0.0)</f>
        <v>0</v>
      </c>
      <c r="AC127" s="3">
        <f>IFERROR(__xludf.DUMMYFUNCTION("""COMPUTED_VALUE"""),0.0)</f>
        <v>0</v>
      </c>
      <c r="AD127" s="3">
        <f>IFERROR(__xludf.DUMMYFUNCTION("""COMPUTED_VALUE"""),3.0)</f>
        <v>3</v>
      </c>
      <c r="AE127" s="3">
        <f>IFERROR(__xludf.DUMMYFUNCTION("""COMPUTED_VALUE"""),3.0)</f>
        <v>3</v>
      </c>
      <c r="AF127" s="3">
        <f>IFERROR(__xludf.DUMMYFUNCTION("""COMPUTED_VALUE"""),3.0)</f>
        <v>3</v>
      </c>
      <c r="AG127" s="3">
        <f>IFERROR(__xludf.DUMMYFUNCTION("""COMPUTED_VALUE"""),3.0)</f>
        <v>3</v>
      </c>
      <c r="AH127" s="3">
        <f>IFERROR(__xludf.DUMMYFUNCTION("""COMPUTED_VALUE"""),3.0)</f>
        <v>3</v>
      </c>
      <c r="AI127" s="3">
        <f>IFERROR(__xludf.DUMMYFUNCTION("""COMPUTED_VALUE"""),3.0)</f>
        <v>3</v>
      </c>
      <c r="AJ127" s="3">
        <f>IFERROR(__xludf.DUMMYFUNCTION("""COMPUTED_VALUE"""),3.0)</f>
        <v>3</v>
      </c>
      <c r="AK127" s="3">
        <f>IFERROR(__xludf.DUMMYFUNCTION("""COMPUTED_VALUE"""),3.0)</f>
        <v>3</v>
      </c>
      <c r="AL127" s="3">
        <f>IFERROR(__xludf.DUMMYFUNCTION("""COMPUTED_VALUE"""),3.0)</f>
        <v>3</v>
      </c>
      <c r="AM127" s="3">
        <f>IFERROR(__xludf.DUMMYFUNCTION("""COMPUTED_VALUE"""),3.0)</f>
        <v>3</v>
      </c>
      <c r="AN127" s="3">
        <f>IFERROR(__xludf.DUMMYFUNCTION("""COMPUTED_VALUE"""),3.0)</f>
        <v>3</v>
      </c>
      <c r="AO127" s="3">
        <f>IFERROR(__xludf.DUMMYFUNCTION("""COMPUTED_VALUE"""),3.0)</f>
        <v>3</v>
      </c>
      <c r="AP127" s="3">
        <f>IFERROR(__xludf.DUMMYFUNCTION("""COMPUTED_VALUE"""),3.0)</f>
        <v>3</v>
      </c>
      <c r="AQ127" s="3">
        <f>IFERROR(__xludf.DUMMYFUNCTION("""COMPUTED_VALUE"""),3.0)</f>
        <v>3</v>
      </c>
      <c r="AR127" s="3">
        <f>IFERROR(__xludf.DUMMYFUNCTION("""COMPUTED_VALUE"""),3.0)</f>
        <v>3</v>
      </c>
      <c r="AS127" s="3">
        <f>IFERROR(__xludf.DUMMYFUNCTION("""COMPUTED_VALUE"""),3.0)</f>
        <v>3</v>
      </c>
      <c r="AT127" s="3">
        <f>IFERROR(__xludf.DUMMYFUNCTION("""COMPUTED_VALUE"""),3.0)</f>
        <v>3</v>
      </c>
      <c r="AU127" s="3">
        <f>IFERROR(__xludf.DUMMYFUNCTION("""COMPUTED_VALUE"""),3.0)</f>
        <v>3</v>
      </c>
      <c r="AV127" s="3">
        <f>IFERROR(__xludf.DUMMYFUNCTION("""COMPUTED_VALUE"""),3.0)</f>
        <v>3</v>
      </c>
      <c r="AW127" s="3">
        <f>IFERROR(__xludf.DUMMYFUNCTION("""COMPUTED_VALUE"""),3.0)</f>
        <v>3</v>
      </c>
      <c r="AX127" s="3">
        <f>IFERROR(__xludf.DUMMYFUNCTION("""COMPUTED_VALUE"""),3.0)</f>
        <v>3</v>
      </c>
      <c r="AY127" s="3">
        <f>IFERROR(__xludf.DUMMYFUNCTION("""COMPUTED_VALUE"""),3.0)</f>
        <v>3</v>
      </c>
      <c r="AZ127" s="3">
        <f>IFERROR(__xludf.DUMMYFUNCTION("""COMPUTED_VALUE"""),3.0)</f>
        <v>3</v>
      </c>
      <c r="BA127" s="3">
        <f>IFERROR(__xludf.DUMMYFUNCTION("""COMPUTED_VALUE"""),4.0)</f>
        <v>4</v>
      </c>
      <c r="BB127" s="3">
        <f>IFERROR(__xludf.DUMMYFUNCTION("""COMPUTED_VALUE"""),4.0)</f>
        <v>4</v>
      </c>
      <c r="BC127" s="3">
        <f>IFERROR(__xludf.DUMMYFUNCTION("""COMPUTED_VALUE"""),4.0)</f>
        <v>4</v>
      </c>
      <c r="BD127" s="3">
        <f>IFERROR(__xludf.DUMMYFUNCTION("""COMPUTED_VALUE"""),4.0)</f>
        <v>4</v>
      </c>
      <c r="BE127" s="3">
        <f>IFERROR(__xludf.DUMMYFUNCTION("""COMPUTED_VALUE"""),4.0)</f>
        <v>4</v>
      </c>
      <c r="BF127" s="3">
        <f>IFERROR(__xludf.DUMMYFUNCTION("""COMPUTED_VALUE"""),13.0)</f>
        <v>13</v>
      </c>
      <c r="BG127" s="3">
        <f>IFERROR(__xludf.DUMMYFUNCTION("""COMPUTED_VALUE"""),13.0)</f>
        <v>13</v>
      </c>
      <c r="BH127" s="3">
        <f>IFERROR(__xludf.DUMMYFUNCTION("""COMPUTED_VALUE"""),14.0)</f>
        <v>14</v>
      </c>
      <c r="BI127" s="3">
        <f>IFERROR(__xludf.DUMMYFUNCTION("""COMPUTED_VALUE"""),14.0)</f>
        <v>14</v>
      </c>
      <c r="BJ127" s="3">
        <f>IFERROR(__xludf.DUMMYFUNCTION("""COMPUTED_VALUE"""),15.0)</f>
        <v>15</v>
      </c>
      <c r="BK127" s="3">
        <f>IFERROR(__xludf.DUMMYFUNCTION("""COMPUTED_VALUE"""),20.0)</f>
        <v>20</v>
      </c>
      <c r="BL127" s="3">
        <f>IFERROR(__xludf.DUMMYFUNCTION("""COMPUTED_VALUE"""),23.0)</f>
        <v>23</v>
      </c>
      <c r="BM127" s="3">
        <f>IFERROR(__xludf.DUMMYFUNCTION("""COMPUTED_VALUE"""),27.0)</f>
        <v>27</v>
      </c>
      <c r="BN127" s="3">
        <f>IFERROR(__xludf.DUMMYFUNCTION("""COMPUTED_VALUE"""),27.0)</f>
        <v>27</v>
      </c>
      <c r="BO127" s="3">
        <f>IFERROR(__xludf.DUMMYFUNCTION("""COMPUTED_VALUE"""),40.0)</f>
        <v>40</v>
      </c>
      <c r="BP127" s="3">
        <f>IFERROR(__xludf.DUMMYFUNCTION("""COMPUTED_VALUE"""),43.0)</f>
        <v>43</v>
      </c>
      <c r="BQ127" s="3">
        <f>IFERROR(__xludf.DUMMYFUNCTION("""COMPUTED_VALUE"""),45.0)</f>
        <v>45</v>
      </c>
      <c r="BR127" s="3">
        <f>IFERROR(__xludf.DUMMYFUNCTION("""COMPUTED_VALUE"""),73.0)</f>
        <v>73</v>
      </c>
      <c r="BS127" s="3">
        <f>IFERROR(__xludf.DUMMYFUNCTION("""COMPUTED_VALUE"""),84.0)</f>
        <v>84</v>
      </c>
      <c r="BT127" s="3">
        <f>IFERROR(__xludf.DUMMYFUNCTION("""COMPUTED_VALUE"""),95.0)</f>
        <v>95</v>
      </c>
      <c r="BU127" s="3">
        <f>IFERROR(__xludf.DUMMYFUNCTION("""COMPUTED_VALUE"""),102.0)</f>
        <v>102</v>
      </c>
      <c r="BV127" s="3">
        <f>IFERROR(__xludf.DUMMYFUNCTION("""COMPUTED_VALUE"""),123.0)</f>
        <v>123</v>
      </c>
      <c r="BW127" s="3">
        <f>IFERROR(__xludf.DUMMYFUNCTION("""COMPUTED_VALUE"""),148.0)</f>
        <v>148</v>
      </c>
      <c r="BX127" s="3">
        <f>IFERROR(__xludf.DUMMYFUNCTION("""COMPUTED_VALUE"""),191.0)</f>
        <v>191</v>
      </c>
      <c r="BY127" s="3">
        <f>IFERROR(__xludf.DUMMYFUNCTION("""COMPUTED_VALUE"""),192.0)</f>
        <v>192</v>
      </c>
      <c r="BZ127" s="3">
        <f>IFERROR(__xludf.DUMMYFUNCTION("""COMPUTED_VALUE"""),229.0)</f>
        <v>229</v>
      </c>
      <c r="CA127" s="3">
        <f>IFERROR(__xludf.DUMMYFUNCTION("""COMPUTED_VALUE"""),229.0)</f>
        <v>229</v>
      </c>
      <c r="CB127" s="3">
        <f>IFERROR(__xludf.DUMMYFUNCTION("""COMPUTED_VALUE"""),375.0)</f>
        <v>375</v>
      </c>
    </row>
    <row r="128">
      <c r="A128" s="3" t="str">
        <f>IFERROR(__xludf.DUMMYFUNCTION("""COMPUTED_VALUE"""),"")</f>
        <v/>
      </c>
      <c r="B128" s="3" t="str">
        <f>IFERROR(__xludf.DUMMYFUNCTION("""COMPUTED_VALUE"""),"Indonesia")</f>
        <v>Indonesia</v>
      </c>
      <c r="C128" s="3">
        <f>IFERROR(__xludf.DUMMYFUNCTION("""COMPUTED_VALUE"""),-0.7893)</f>
        <v>-0.7893</v>
      </c>
      <c r="D128" s="3">
        <f>IFERROR(__xludf.DUMMYFUNCTION("""COMPUTED_VALUE"""),113.9213)</f>
        <v>113.9213</v>
      </c>
      <c r="E128" s="3">
        <f>IFERROR(__xludf.DUMMYFUNCTION("""COMPUTED_VALUE"""),0.0)</f>
        <v>0</v>
      </c>
      <c r="F128" s="3">
        <f>IFERROR(__xludf.DUMMYFUNCTION("""COMPUTED_VALUE"""),0.0)</f>
        <v>0</v>
      </c>
      <c r="G128" s="3">
        <f>IFERROR(__xludf.DUMMYFUNCTION("""COMPUTED_VALUE"""),0.0)</f>
        <v>0</v>
      </c>
      <c r="H128" s="3">
        <f>IFERROR(__xludf.DUMMYFUNCTION("""COMPUTED_VALUE"""),0.0)</f>
        <v>0</v>
      </c>
      <c r="I128" s="3">
        <f>IFERROR(__xludf.DUMMYFUNCTION("""COMPUTED_VALUE"""),0.0)</f>
        <v>0</v>
      </c>
      <c r="J128" s="3">
        <f>IFERROR(__xludf.DUMMYFUNCTION("""COMPUTED_VALUE"""),0.0)</f>
        <v>0</v>
      </c>
      <c r="K128" s="3">
        <f>IFERROR(__xludf.DUMMYFUNCTION("""COMPUTED_VALUE"""),0.0)</f>
        <v>0</v>
      </c>
      <c r="L128" s="3">
        <f>IFERROR(__xludf.DUMMYFUNCTION("""COMPUTED_VALUE"""),0.0)</f>
        <v>0</v>
      </c>
      <c r="M128" s="3">
        <f>IFERROR(__xludf.DUMMYFUNCTION("""COMPUTED_VALUE"""),0.0)</f>
        <v>0</v>
      </c>
      <c r="N128" s="3">
        <f>IFERROR(__xludf.DUMMYFUNCTION("""COMPUTED_VALUE"""),0.0)</f>
        <v>0</v>
      </c>
      <c r="O128" s="3">
        <f>IFERROR(__xludf.DUMMYFUNCTION("""COMPUTED_VALUE"""),0.0)</f>
        <v>0</v>
      </c>
      <c r="P128" s="3">
        <f>IFERROR(__xludf.DUMMYFUNCTION("""COMPUTED_VALUE"""),0.0)</f>
        <v>0</v>
      </c>
      <c r="Q128" s="3">
        <f>IFERROR(__xludf.DUMMYFUNCTION("""COMPUTED_VALUE"""),0.0)</f>
        <v>0</v>
      </c>
      <c r="R128" s="3">
        <f>IFERROR(__xludf.DUMMYFUNCTION("""COMPUTED_VALUE"""),0.0)</f>
        <v>0</v>
      </c>
      <c r="S128" s="3">
        <f>IFERROR(__xludf.DUMMYFUNCTION("""COMPUTED_VALUE"""),0.0)</f>
        <v>0</v>
      </c>
      <c r="T128" s="3">
        <f>IFERROR(__xludf.DUMMYFUNCTION("""COMPUTED_VALUE"""),0.0)</f>
        <v>0</v>
      </c>
      <c r="U128" s="3">
        <f>IFERROR(__xludf.DUMMYFUNCTION("""COMPUTED_VALUE"""),0.0)</f>
        <v>0</v>
      </c>
      <c r="V128" s="3">
        <f>IFERROR(__xludf.DUMMYFUNCTION("""COMPUTED_VALUE"""),0.0)</f>
        <v>0</v>
      </c>
      <c r="W128" s="3">
        <f>IFERROR(__xludf.DUMMYFUNCTION("""COMPUTED_VALUE"""),0.0)</f>
        <v>0</v>
      </c>
      <c r="X128" s="3">
        <f>IFERROR(__xludf.DUMMYFUNCTION("""COMPUTED_VALUE"""),0.0)</f>
        <v>0</v>
      </c>
      <c r="Y128" s="3">
        <f>IFERROR(__xludf.DUMMYFUNCTION("""COMPUTED_VALUE"""),0.0)</f>
        <v>0</v>
      </c>
      <c r="Z128" s="3">
        <f>IFERROR(__xludf.DUMMYFUNCTION("""COMPUTED_VALUE"""),0.0)</f>
        <v>0</v>
      </c>
      <c r="AA128" s="3">
        <f>IFERROR(__xludf.DUMMYFUNCTION("""COMPUTED_VALUE"""),0.0)</f>
        <v>0</v>
      </c>
      <c r="AB128" s="3">
        <f>IFERROR(__xludf.DUMMYFUNCTION("""COMPUTED_VALUE"""),0.0)</f>
        <v>0</v>
      </c>
      <c r="AC128" s="3">
        <f>IFERROR(__xludf.DUMMYFUNCTION("""COMPUTED_VALUE"""),0.0)</f>
        <v>0</v>
      </c>
      <c r="AD128" s="3">
        <f>IFERROR(__xludf.DUMMYFUNCTION("""COMPUTED_VALUE"""),0.0)</f>
        <v>0</v>
      </c>
      <c r="AE128" s="3">
        <f>IFERROR(__xludf.DUMMYFUNCTION("""COMPUTED_VALUE"""),0.0)</f>
        <v>0</v>
      </c>
      <c r="AF128" s="3">
        <f>IFERROR(__xludf.DUMMYFUNCTION("""COMPUTED_VALUE"""),0.0)</f>
        <v>0</v>
      </c>
      <c r="AG128" s="3">
        <f>IFERROR(__xludf.DUMMYFUNCTION("""COMPUTED_VALUE"""),0.0)</f>
        <v>0</v>
      </c>
      <c r="AH128" s="3">
        <f>IFERROR(__xludf.DUMMYFUNCTION("""COMPUTED_VALUE"""),0.0)</f>
        <v>0</v>
      </c>
      <c r="AI128" s="3">
        <f>IFERROR(__xludf.DUMMYFUNCTION("""COMPUTED_VALUE"""),0.0)</f>
        <v>0</v>
      </c>
      <c r="AJ128" s="3">
        <f>IFERROR(__xludf.DUMMYFUNCTION("""COMPUTED_VALUE"""),0.0)</f>
        <v>0</v>
      </c>
      <c r="AK128" s="3">
        <f>IFERROR(__xludf.DUMMYFUNCTION("""COMPUTED_VALUE"""),0.0)</f>
        <v>0</v>
      </c>
      <c r="AL128" s="3">
        <f>IFERROR(__xludf.DUMMYFUNCTION("""COMPUTED_VALUE"""),0.0)</f>
        <v>0</v>
      </c>
      <c r="AM128" s="3">
        <f>IFERROR(__xludf.DUMMYFUNCTION("""COMPUTED_VALUE"""),0.0)</f>
        <v>0</v>
      </c>
      <c r="AN128" s="3">
        <f>IFERROR(__xludf.DUMMYFUNCTION("""COMPUTED_VALUE"""),0.0)</f>
        <v>0</v>
      </c>
      <c r="AO128" s="3">
        <f>IFERROR(__xludf.DUMMYFUNCTION("""COMPUTED_VALUE"""),0.0)</f>
        <v>0</v>
      </c>
      <c r="AP128" s="3">
        <f>IFERROR(__xludf.DUMMYFUNCTION("""COMPUTED_VALUE"""),0.0)</f>
        <v>0</v>
      </c>
      <c r="AQ128" s="3">
        <f>IFERROR(__xludf.DUMMYFUNCTION("""COMPUTED_VALUE"""),0.0)</f>
        <v>0</v>
      </c>
      <c r="AR128" s="3">
        <f>IFERROR(__xludf.DUMMYFUNCTION("""COMPUTED_VALUE"""),0.0)</f>
        <v>0</v>
      </c>
      <c r="AS128" s="3">
        <f>IFERROR(__xludf.DUMMYFUNCTION("""COMPUTED_VALUE"""),0.0)</f>
        <v>0</v>
      </c>
      <c r="AT128" s="3">
        <f>IFERROR(__xludf.DUMMYFUNCTION("""COMPUTED_VALUE"""),0.0)</f>
        <v>0</v>
      </c>
      <c r="AU128" s="3">
        <f>IFERROR(__xludf.DUMMYFUNCTION("""COMPUTED_VALUE"""),0.0)</f>
        <v>0</v>
      </c>
      <c r="AV128" s="3">
        <f>IFERROR(__xludf.DUMMYFUNCTION("""COMPUTED_VALUE"""),0.0)</f>
        <v>0</v>
      </c>
      <c r="AW128" s="3">
        <f>IFERROR(__xludf.DUMMYFUNCTION("""COMPUTED_VALUE"""),0.0)</f>
        <v>0</v>
      </c>
      <c r="AX128" s="3">
        <f>IFERROR(__xludf.DUMMYFUNCTION("""COMPUTED_VALUE"""),0.0)</f>
        <v>0</v>
      </c>
      <c r="AY128" s="3">
        <f>IFERROR(__xludf.DUMMYFUNCTION("""COMPUTED_VALUE"""),0.0)</f>
        <v>0</v>
      </c>
      <c r="AZ128" s="3">
        <f>IFERROR(__xludf.DUMMYFUNCTION("""COMPUTED_VALUE"""),0.0)</f>
        <v>0</v>
      </c>
      <c r="BA128" s="3">
        <f>IFERROR(__xludf.DUMMYFUNCTION("""COMPUTED_VALUE"""),2.0)</f>
        <v>2</v>
      </c>
      <c r="BB128" s="3">
        <f>IFERROR(__xludf.DUMMYFUNCTION("""COMPUTED_VALUE"""),2.0)</f>
        <v>2</v>
      </c>
      <c r="BC128" s="3">
        <f>IFERROR(__xludf.DUMMYFUNCTION("""COMPUTED_VALUE"""),2.0)</f>
        <v>2</v>
      </c>
      <c r="BD128" s="3">
        <f>IFERROR(__xludf.DUMMYFUNCTION("""COMPUTED_VALUE"""),2.0)</f>
        <v>2</v>
      </c>
      <c r="BE128" s="3">
        <f>IFERROR(__xludf.DUMMYFUNCTION("""COMPUTED_VALUE"""),8.0)</f>
        <v>8</v>
      </c>
      <c r="BF128" s="3">
        <f>IFERROR(__xludf.DUMMYFUNCTION("""COMPUTED_VALUE"""),8.0)</f>
        <v>8</v>
      </c>
      <c r="BG128" s="3">
        <f>IFERROR(__xludf.DUMMYFUNCTION("""COMPUTED_VALUE"""),8.0)</f>
        <v>8</v>
      </c>
      <c r="BH128" s="3">
        <f>IFERROR(__xludf.DUMMYFUNCTION("""COMPUTED_VALUE"""),8.0)</f>
        <v>8</v>
      </c>
      <c r="BI128" s="3">
        <f>IFERROR(__xludf.DUMMYFUNCTION("""COMPUTED_VALUE"""),11.0)</f>
        <v>11</v>
      </c>
      <c r="BJ128" s="3">
        <f>IFERROR(__xludf.DUMMYFUNCTION("""COMPUTED_VALUE"""),11.0)</f>
        <v>11</v>
      </c>
      <c r="BK128" s="3">
        <f>IFERROR(__xludf.DUMMYFUNCTION("""COMPUTED_VALUE"""),15.0)</f>
        <v>15</v>
      </c>
      <c r="BL128" s="3">
        <f>IFERROR(__xludf.DUMMYFUNCTION("""COMPUTED_VALUE"""),15.0)</f>
        <v>15</v>
      </c>
      <c r="BM128" s="3">
        <f>IFERROR(__xludf.DUMMYFUNCTION("""COMPUTED_VALUE"""),29.0)</f>
        <v>29</v>
      </c>
      <c r="BN128" s="3">
        <f>IFERROR(__xludf.DUMMYFUNCTION("""COMPUTED_VALUE"""),29.0)</f>
        <v>29</v>
      </c>
      <c r="BO128" s="3">
        <f>IFERROR(__xludf.DUMMYFUNCTION("""COMPUTED_VALUE"""),30.0)</f>
        <v>30</v>
      </c>
      <c r="BP128" s="3">
        <f>IFERROR(__xludf.DUMMYFUNCTION("""COMPUTED_VALUE"""),31.0)</f>
        <v>31</v>
      </c>
      <c r="BQ128" s="3">
        <f>IFERROR(__xludf.DUMMYFUNCTION("""COMPUTED_VALUE"""),35.0)</f>
        <v>35</v>
      </c>
      <c r="BR128" s="3">
        <f>IFERROR(__xludf.DUMMYFUNCTION("""COMPUTED_VALUE"""),46.0)</f>
        <v>46</v>
      </c>
      <c r="BS128" s="3">
        <f>IFERROR(__xludf.DUMMYFUNCTION("""COMPUTED_VALUE"""),59.0)</f>
        <v>59</v>
      </c>
      <c r="BT128" s="3">
        <f>IFERROR(__xludf.DUMMYFUNCTION("""COMPUTED_VALUE"""),64.0)</f>
        <v>64</v>
      </c>
      <c r="BU128" s="3">
        <f>IFERROR(__xludf.DUMMYFUNCTION("""COMPUTED_VALUE"""),75.0)</f>
        <v>75</v>
      </c>
      <c r="BV128" s="3">
        <f>IFERROR(__xludf.DUMMYFUNCTION("""COMPUTED_VALUE"""),81.0)</f>
        <v>81</v>
      </c>
      <c r="BW128" s="3">
        <f>IFERROR(__xludf.DUMMYFUNCTION("""COMPUTED_VALUE"""),103.0)</f>
        <v>103</v>
      </c>
      <c r="BX128" s="3">
        <f>IFERROR(__xludf.DUMMYFUNCTION("""COMPUTED_VALUE"""),112.0)</f>
        <v>112</v>
      </c>
      <c r="BY128" s="3">
        <f>IFERROR(__xludf.DUMMYFUNCTION("""COMPUTED_VALUE"""),134.0)</f>
        <v>134</v>
      </c>
      <c r="BZ128" s="3">
        <f>IFERROR(__xludf.DUMMYFUNCTION("""COMPUTED_VALUE"""),150.0)</f>
        <v>150</v>
      </c>
      <c r="CA128" s="3">
        <f>IFERROR(__xludf.DUMMYFUNCTION("""COMPUTED_VALUE"""),164.0)</f>
        <v>164</v>
      </c>
      <c r="CB128" s="3">
        <f>IFERROR(__xludf.DUMMYFUNCTION("""COMPUTED_VALUE"""),192.0)</f>
        <v>192</v>
      </c>
    </row>
    <row r="129">
      <c r="A129" s="3" t="str">
        <f>IFERROR(__xludf.DUMMYFUNCTION("""COMPUTED_VALUE"""),"")</f>
        <v/>
      </c>
      <c r="B129" s="3" t="str">
        <f>IFERROR(__xludf.DUMMYFUNCTION("""COMPUTED_VALUE"""),"Iran")</f>
        <v>Iran</v>
      </c>
      <c r="C129" s="3">
        <f>IFERROR(__xludf.DUMMYFUNCTION("""COMPUTED_VALUE"""),32.0)</f>
        <v>32</v>
      </c>
      <c r="D129" s="3">
        <f>IFERROR(__xludf.DUMMYFUNCTION("""COMPUTED_VALUE"""),53.0)</f>
        <v>53</v>
      </c>
      <c r="E129" s="3">
        <f>IFERROR(__xludf.DUMMYFUNCTION("""COMPUTED_VALUE"""),0.0)</f>
        <v>0</v>
      </c>
      <c r="F129" s="3">
        <f>IFERROR(__xludf.DUMMYFUNCTION("""COMPUTED_VALUE"""),0.0)</f>
        <v>0</v>
      </c>
      <c r="G129" s="3">
        <f>IFERROR(__xludf.DUMMYFUNCTION("""COMPUTED_VALUE"""),0.0)</f>
        <v>0</v>
      </c>
      <c r="H129" s="3">
        <f>IFERROR(__xludf.DUMMYFUNCTION("""COMPUTED_VALUE"""),0.0)</f>
        <v>0</v>
      </c>
      <c r="I129" s="3">
        <f>IFERROR(__xludf.DUMMYFUNCTION("""COMPUTED_VALUE"""),0.0)</f>
        <v>0</v>
      </c>
      <c r="J129" s="3">
        <f>IFERROR(__xludf.DUMMYFUNCTION("""COMPUTED_VALUE"""),0.0)</f>
        <v>0</v>
      </c>
      <c r="K129" s="3">
        <f>IFERROR(__xludf.DUMMYFUNCTION("""COMPUTED_VALUE"""),0.0)</f>
        <v>0</v>
      </c>
      <c r="L129" s="3">
        <f>IFERROR(__xludf.DUMMYFUNCTION("""COMPUTED_VALUE"""),0.0)</f>
        <v>0</v>
      </c>
      <c r="M129" s="3">
        <f>IFERROR(__xludf.DUMMYFUNCTION("""COMPUTED_VALUE"""),0.0)</f>
        <v>0</v>
      </c>
      <c r="N129" s="3">
        <f>IFERROR(__xludf.DUMMYFUNCTION("""COMPUTED_VALUE"""),0.0)</f>
        <v>0</v>
      </c>
      <c r="O129" s="3">
        <f>IFERROR(__xludf.DUMMYFUNCTION("""COMPUTED_VALUE"""),0.0)</f>
        <v>0</v>
      </c>
      <c r="P129" s="3">
        <f>IFERROR(__xludf.DUMMYFUNCTION("""COMPUTED_VALUE"""),0.0)</f>
        <v>0</v>
      </c>
      <c r="Q129" s="3">
        <f>IFERROR(__xludf.DUMMYFUNCTION("""COMPUTED_VALUE"""),0.0)</f>
        <v>0</v>
      </c>
      <c r="R129" s="3">
        <f>IFERROR(__xludf.DUMMYFUNCTION("""COMPUTED_VALUE"""),0.0)</f>
        <v>0</v>
      </c>
      <c r="S129" s="3">
        <f>IFERROR(__xludf.DUMMYFUNCTION("""COMPUTED_VALUE"""),0.0)</f>
        <v>0</v>
      </c>
      <c r="T129" s="3">
        <f>IFERROR(__xludf.DUMMYFUNCTION("""COMPUTED_VALUE"""),0.0)</f>
        <v>0</v>
      </c>
      <c r="U129" s="3">
        <f>IFERROR(__xludf.DUMMYFUNCTION("""COMPUTED_VALUE"""),0.0)</f>
        <v>0</v>
      </c>
      <c r="V129" s="3">
        <f>IFERROR(__xludf.DUMMYFUNCTION("""COMPUTED_VALUE"""),0.0)</f>
        <v>0</v>
      </c>
      <c r="W129" s="3">
        <f>IFERROR(__xludf.DUMMYFUNCTION("""COMPUTED_VALUE"""),0.0)</f>
        <v>0</v>
      </c>
      <c r="X129" s="3">
        <f>IFERROR(__xludf.DUMMYFUNCTION("""COMPUTED_VALUE"""),0.0)</f>
        <v>0</v>
      </c>
      <c r="Y129" s="3">
        <f>IFERROR(__xludf.DUMMYFUNCTION("""COMPUTED_VALUE"""),0.0)</f>
        <v>0</v>
      </c>
      <c r="Z129" s="3">
        <f>IFERROR(__xludf.DUMMYFUNCTION("""COMPUTED_VALUE"""),0.0)</f>
        <v>0</v>
      </c>
      <c r="AA129" s="3">
        <f>IFERROR(__xludf.DUMMYFUNCTION("""COMPUTED_VALUE"""),0.0)</f>
        <v>0</v>
      </c>
      <c r="AB129" s="3">
        <f>IFERROR(__xludf.DUMMYFUNCTION("""COMPUTED_VALUE"""),0.0)</f>
        <v>0</v>
      </c>
      <c r="AC129" s="3">
        <f>IFERROR(__xludf.DUMMYFUNCTION("""COMPUTED_VALUE"""),0.0)</f>
        <v>0</v>
      </c>
      <c r="AD129" s="3">
        <f>IFERROR(__xludf.DUMMYFUNCTION("""COMPUTED_VALUE"""),0.0)</f>
        <v>0</v>
      </c>
      <c r="AE129" s="3">
        <f>IFERROR(__xludf.DUMMYFUNCTION("""COMPUTED_VALUE"""),0.0)</f>
        <v>0</v>
      </c>
      <c r="AF129" s="3">
        <f>IFERROR(__xludf.DUMMYFUNCTION("""COMPUTED_VALUE"""),0.0)</f>
        <v>0</v>
      </c>
      <c r="AG129" s="3">
        <f>IFERROR(__xludf.DUMMYFUNCTION("""COMPUTED_VALUE"""),0.0)</f>
        <v>0</v>
      </c>
      <c r="AH129" s="3">
        <f>IFERROR(__xludf.DUMMYFUNCTION("""COMPUTED_VALUE"""),0.0)</f>
        <v>0</v>
      </c>
      <c r="AI129" s="3">
        <f>IFERROR(__xludf.DUMMYFUNCTION("""COMPUTED_VALUE"""),0.0)</f>
        <v>0</v>
      </c>
      <c r="AJ129" s="3">
        <f>IFERROR(__xludf.DUMMYFUNCTION("""COMPUTED_VALUE"""),0.0)</f>
        <v>0</v>
      </c>
      <c r="AK129" s="3">
        <f>IFERROR(__xludf.DUMMYFUNCTION("""COMPUTED_VALUE"""),0.0)</f>
        <v>0</v>
      </c>
      <c r="AL129" s="3">
        <f>IFERROR(__xludf.DUMMYFUNCTION("""COMPUTED_VALUE"""),0.0)</f>
        <v>0</v>
      </c>
      <c r="AM129" s="3">
        <f>IFERROR(__xludf.DUMMYFUNCTION("""COMPUTED_VALUE"""),0.0)</f>
        <v>0</v>
      </c>
      <c r="AN129" s="3">
        <f>IFERROR(__xludf.DUMMYFUNCTION("""COMPUTED_VALUE"""),49.0)</f>
        <v>49</v>
      </c>
      <c r="AO129" s="3">
        <f>IFERROR(__xludf.DUMMYFUNCTION("""COMPUTED_VALUE"""),49.0)</f>
        <v>49</v>
      </c>
      <c r="AP129" s="3">
        <f>IFERROR(__xludf.DUMMYFUNCTION("""COMPUTED_VALUE"""),73.0)</f>
        <v>73</v>
      </c>
      <c r="AQ129" s="3">
        <f>IFERROR(__xludf.DUMMYFUNCTION("""COMPUTED_VALUE"""),123.0)</f>
        <v>123</v>
      </c>
      <c r="AR129" s="3">
        <f>IFERROR(__xludf.DUMMYFUNCTION("""COMPUTED_VALUE"""),175.0)</f>
        <v>175</v>
      </c>
      <c r="AS129" s="3">
        <f>IFERROR(__xludf.DUMMYFUNCTION("""COMPUTED_VALUE"""),291.0)</f>
        <v>291</v>
      </c>
      <c r="AT129" s="3">
        <f>IFERROR(__xludf.DUMMYFUNCTION("""COMPUTED_VALUE"""),291.0)</f>
        <v>291</v>
      </c>
      <c r="AU129" s="3">
        <f>IFERROR(__xludf.DUMMYFUNCTION("""COMPUTED_VALUE"""),552.0)</f>
        <v>552</v>
      </c>
      <c r="AV129" s="3">
        <f>IFERROR(__xludf.DUMMYFUNCTION("""COMPUTED_VALUE"""),739.0)</f>
        <v>739</v>
      </c>
      <c r="AW129" s="3">
        <f>IFERROR(__xludf.DUMMYFUNCTION("""COMPUTED_VALUE"""),913.0)</f>
        <v>913</v>
      </c>
      <c r="AX129" s="3">
        <f>IFERROR(__xludf.DUMMYFUNCTION("""COMPUTED_VALUE"""),1669.0)</f>
        <v>1669</v>
      </c>
      <c r="AY129" s="3">
        <f>IFERROR(__xludf.DUMMYFUNCTION("""COMPUTED_VALUE"""),2134.0)</f>
        <v>2134</v>
      </c>
      <c r="AZ129" s="3">
        <f>IFERROR(__xludf.DUMMYFUNCTION("""COMPUTED_VALUE"""),2394.0)</f>
        <v>2394</v>
      </c>
      <c r="BA129" s="3">
        <f>IFERROR(__xludf.DUMMYFUNCTION("""COMPUTED_VALUE"""),2731.0)</f>
        <v>2731</v>
      </c>
      <c r="BB129" s="3">
        <f>IFERROR(__xludf.DUMMYFUNCTION("""COMPUTED_VALUE"""),2959.0)</f>
        <v>2959</v>
      </c>
      <c r="BC129" s="3">
        <f>IFERROR(__xludf.DUMMYFUNCTION("""COMPUTED_VALUE"""),2959.0)</f>
        <v>2959</v>
      </c>
      <c r="BD129" s="3">
        <f>IFERROR(__xludf.DUMMYFUNCTION("""COMPUTED_VALUE"""),2959.0)</f>
        <v>2959</v>
      </c>
      <c r="BE129" s="3">
        <f>IFERROR(__xludf.DUMMYFUNCTION("""COMPUTED_VALUE"""),2959.0)</f>
        <v>2959</v>
      </c>
      <c r="BF129" s="3">
        <f>IFERROR(__xludf.DUMMYFUNCTION("""COMPUTED_VALUE"""),4590.0)</f>
        <v>4590</v>
      </c>
      <c r="BG129" s="3">
        <f>IFERROR(__xludf.DUMMYFUNCTION("""COMPUTED_VALUE"""),4590.0)</f>
        <v>4590</v>
      </c>
      <c r="BH129" s="3">
        <f>IFERROR(__xludf.DUMMYFUNCTION("""COMPUTED_VALUE"""),5389.0)</f>
        <v>5389</v>
      </c>
      <c r="BI129" s="3">
        <f>IFERROR(__xludf.DUMMYFUNCTION("""COMPUTED_VALUE"""),5389.0)</f>
        <v>5389</v>
      </c>
      <c r="BJ129" s="3">
        <f>IFERROR(__xludf.DUMMYFUNCTION("""COMPUTED_VALUE"""),5710.0)</f>
        <v>5710</v>
      </c>
      <c r="BK129" s="3">
        <f>IFERROR(__xludf.DUMMYFUNCTION("""COMPUTED_VALUE"""),6745.0)</f>
        <v>6745</v>
      </c>
      <c r="BL129" s="3">
        <f>IFERROR(__xludf.DUMMYFUNCTION("""COMPUTED_VALUE"""),7635.0)</f>
        <v>7635</v>
      </c>
      <c r="BM129" s="3">
        <f>IFERROR(__xludf.DUMMYFUNCTION("""COMPUTED_VALUE"""),7931.0)</f>
        <v>7931</v>
      </c>
      <c r="BN129" s="3">
        <f>IFERROR(__xludf.DUMMYFUNCTION("""COMPUTED_VALUE"""),7931.0)</f>
        <v>7931</v>
      </c>
      <c r="BO129" s="3">
        <f>IFERROR(__xludf.DUMMYFUNCTION("""COMPUTED_VALUE"""),8913.0)</f>
        <v>8913</v>
      </c>
      <c r="BP129" s="3">
        <f>IFERROR(__xludf.DUMMYFUNCTION("""COMPUTED_VALUE"""),9625.0)</f>
        <v>9625</v>
      </c>
      <c r="BQ129" s="3">
        <f>IFERROR(__xludf.DUMMYFUNCTION("""COMPUTED_VALUE"""),10457.0)</f>
        <v>10457</v>
      </c>
      <c r="BR129" s="3">
        <f>IFERROR(__xludf.DUMMYFUNCTION("""COMPUTED_VALUE"""),11133.0)</f>
        <v>11133</v>
      </c>
      <c r="BS129" s="3">
        <f>IFERROR(__xludf.DUMMYFUNCTION("""COMPUTED_VALUE"""),11679.0)</f>
        <v>11679</v>
      </c>
      <c r="BT129" s="3">
        <f>IFERROR(__xludf.DUMMYFUNCTION("""COMPUTED_VALUE"""),12391.0)</f>
        <v>12391</v>
      </c>
      <c r="BU129" s="3">
        <f>IFERROR(__xludf.DUMMYFUNCTION("""COMPUTED_VALUE"""),13911.0)</f>
        <v>13911</v>
      </c>
      <c r="BV129" s="3">
        <f>IFERROR(__xludf.DUMMYFUNCTION("""COMPUTED_VALUE"""),14656.0)</f>
        <v>14656</v>
      </c>
      <c r="BW129" s="3">
        <f>IFERROR(__xludf.DUMMYFUNCTION("""COMPUTED_VALUE"""),15473.0)</f>
        <v>15473</v>
      </c>
      <c r="BX129" s="3">
        <f>IFERROR(__xludf.DUMMYFUNCTION("""COMPUTED_VALUE"""),16711.0)</f>
        <v>16711</v>
      </c>
      <c r="BY129" s="3">
        <f>IFERROR(__xludf.DUMMYFUNCTION("""COMPUTED_VALUE"""),17935.0)</f>
        <v>17935</v>
      </c>
      <c r="BZ129" s="3">
        <f>IFERROR(__xludf.DUMMYFUNCTION("""COMPUTED_VALUE"""),19736.0)</f>
        <v>19736</v>
      </c>
      <c r="CA129" s="3">
        <f>IFERROR(__xludf.DUMMYFUNCTION("""COMPUTED_VALUE"""),19736.0)</f>
        <v>19736</v>
      </c>
      <c r="CB129" s="3">
        <f>IFERROR(__xludf.DUMMYFUNCTION("""COMPUTED_VALUE"""),24236.0)</f>
        <v>24236</v>
      </c>
    </row>
    <row r="130">
      <c r="A130" s="3" t="str">
        <f>IFERROR(__xludf.DUMMYFUNCTION("""COMPUTED_VALUE"""),"")</f>
        <v/>
      </c>
      <c r="B130" s="3" t="str">
        <f>IFERROR(__xludf.DUMMYFUNCTION("""COMPUTED_VALUE"""),"Iraq")</f>
        <v>Iraq</v>
      </c>
      <c r="C130" s="3">
        <f>IFERROR(__xludf.DUMMYFUNCTION("""COMPUTED_VALUE"""),33.0)</f>
        <v>33</v>
      </c>
      <c r="D130" s="3">
        <f>IFERROR(__xludf.DUMMYFUNCTION("""COMPUTED_VALUE"""),44.0)</f>
        <v>44</v>
      </c>
      <c r="E130" s="3">
        <f>IFERROR(__xludf.DUMMYFUNCTION("""COMPUTED_VALUE"""),0.0)</f>
        <v>0</v>
      </c>
      <c r="F130" s="3">
        <f>IFERROR(__xludf.DUMMYFUNCTION("""COMPUTED_VALUE"""),0.0)</f>
        <v>0</v>
      </c>
      <c r="G130" s="3">
        <f>IFERROR(__xludf.DUMMYFUNCTION("""COMPUTED_VALUE"""),0.0)</f>
        <v>0</v>
      </c>
      <c r="H130" s="3">
        <f>IFERROR(__xludf.DUMMYFUNCTION("""COMPUTED_VALUE"""),0.0)</f>
        <v>0</v>
      </c>
      <c r="I130" s="3">
        <f>IFERROR(__xludf.DUMMYFUNCTION("""COMPUTED_VALUE"""),0.0)</f>
        <v>0</v>
      </c>
      <c r="J130" s="3">
        <f>IFERROR(__xludf.DUMMYFUNCTION("""COMPUTED_VALUE"""),0.0)</f>
        <v>0</v>
      </c>
      <c r="K130" s="3">
        <f>IFERROR(__xludf.DUMMYFUNCTION("""COMPUTED_VALUE"""),0.0)</f>
        <v>0</v>
      </c>
      <c r="L130" s="3">
        <f>IFERROR(__xludf.DUMMYFUNCTION("""COMPUTED_VALUE"""),0.0)</f>
        <v>0</v>
      </c>
      <c r="M130" s="3">
        <f>IFERROR(__xludf.DUMMYFUNCTION("""COMPUTED_VALUE"""),0.0)</f>
        <v>0</v>
      </c>
      <c r="N130" s="3">
        <f>IFERROR(__xludf.DUMMYFUNCTION("""COMPUTED_VALUE"""),0.0)</f>
        <v>0</v>
      </c>
      <c r="O130" s="3">
        <f>IFERROR(__xludf.DUMMYFUNCTION("""COMPUTED_VALUE"""),0.0)</f>
        <v>0</v>
      </c>
      <c r="P130" s="3">
        <f>IFERROR(__xludf.DUMMYFUNCTION("""COMPUTED_VALUE"""),0.0)</f>
        <v>0</v>
      </c>
      <c r="Q130" s="3">
        <f>IFERROR(__xludf.DUMMYFUNCTION("""COMPUTED_VALUE"""),0.0)</f>
        <v>0</v>
      </c>
      <c r="R130" s="3">
        <f>IFERROR(__xludf.DUMMYFUNCTION("""COMPUTED_VALUE"""),0.0)</f>
        <v>0</v>
      </c>
      <c r="S130" s="3">
        <f>IFERROR(__xludf.DUMMYFUNCTION("""COMPUTED_VALUE"""),0.0)</f>
        <v>0</v>
      </c>
      <c r="T130" s="3">
        <f>IFERROR(__xludf.DUMMYFUNCTION("""COMPUTED_VALUE"""),0.0)</f>
        <v>0</v>
      </c>
      <c r="U130" s="3">
        <f>IFERROR(__xludf.DUMMYFUNCTION("""COMPUTED_VALUE"""),0.0)</f>
        <v>0</v>
      </c>
      <c r="V130" s="3">
        <f>IFERROR(__xludf.DUMMYFUNCTION("""COMPUTED_VALUE"""),0.0)</f>
        <v>0</v>
      </c>
      <c r="W130" s="3">
        <f>IFERROR(__xludf.DUMMYFUNCTION("""COMPUTED_VALUE"""),0.0)</f>
        <v>0</v>
      </c>
      <c r="X130" s="3">
        <f>IFERROR(__xludf.DUMMYFUNCTION("""COMPUTED_VALUE"""),0.0)</f>
        <v>0</v>
      </c>
      <c r="Y130" s="3">
        <f>IFERROR(__xludf.DUMMYFUNCTION("""COMPUTED_VALUE"""),0.0)</f>
        <v>0</v>
      </c>
      <c r="Z130" s="3">
        <f>IFERROR(__xludf.DUMMYFUNCTION("""COMPUTED_VALUE"""),0.0)</f>
        <v>0</v>
      </c>
      <c r="AA130" s="3">
        <f>IFERROR(__xludf.DUMMYFUNCTION("""COMPUTED_VALUE"""),0.0)</f>
        <v>0</v>
      </c>
      <c r="AB130" s="3">
        <f>IFERROR(__xludf.DUMMYFUNCTION("""COMPUTED_VALUE"""),0.0)</f>
        <v>0</v>
      </c>
      <c r="AC130" s="3">
        <f>IFERROR(__xludf.DUMMYFUNCTION("""COMPUTED_VALUE"""),0.0)</f>
        <v>0</v>
      </c>
      <c r="AD130" s="3">
        <f>IFERROR(__xludf.DUMMYFUNCTION("""COMPUTED_VALUE"""),0.0)</f>
        <v>0</v>
      </c>
      <c r="AE130" s="3">
        <f>IFERROR(__xludf.DUMMYFUNCTION("""COMPUTED_VALUE"""),0.0)</f>
        <v>0</v>
      </c>
      <c r="AF130" s="3">
        <f>IFERROR(__xludf.DUMMYFUNCTION("""COMPUTED_VALUE"""),0.0)</f>
        <v>0</v>
      </c>
      <c r="AG130" s="3">
        <f>IFERROR(__xludf.DUMMYFUNCTION("""COMPUTED_VALUE"""),0.0)</f>
        <v>0</v>
      </c>
      <c r="AH130" s="3">
        <f>IFERROR(__xludf.DUMMYFUNCTION("""COMPUTED_VALUE"""),0.0)</f>
        <v>0</v>
      </c>
      <c r="AI130" s="3">
        <f>IFERROR(__xludf.DUMMYFUNCTION("""COMPUTED_VALUE"""),0.0)</f>
        <v>0</v>
      </c>
      <c r="AJ130" s="3">
        <f>IFERROR(__xludf.DUMMYFUNCTION("""COMPUTED_VALUE"""),0.0)</f>
        <v>0</v>
      </c>
      <c r="AK130" s="3">
        <f>IFERROR(__xludf.DUMMYFUNCTION("""COMPUTED_VALUE"""),0.0)</f>
        <v>0</v>
      </c>
      <c r="AL130" s="3">
        <f>IFERROR(__xludf.DUMMYFUNCTION("""COMPUTED_VALUE"""),0.0)</f>
        <v>0</v>
      </c>
      <c r="AM130" s="3">
        <f>IFERROR(__xludf.DUMMYFUNCTION("""COMPUTED_VALUE"""),0.0)</f>
        <v>0</v>
      </c>
      <c r="AN130" s="3">
        <f>IFERROR(__xludf.DUMMYFUNCTION("""COMPUTED_VALUE"""),0.0)</f>
        <v>0</v>
      </c>
      <c r="AO130" s="3">
        <f>IFERROR(__xludf.DUMMYFUNCTION("""COMPUTED_VALUE"""),0.0)</f>
        <v>0</v>
      </c>
      <c r="AP130" s="3">
        <f>IFERROR(__xludf.DUMMYFUNCTION("""COMPUTED_VALUE"""),0.0)</f>
        <v>0</v>
      </c>
      <c r="AQ130" s="3">
        <f>IFERROR(__xludf.DUMMYFUNCTION("""COMPUTED_VALUE"""),0.0)</f>
        <v>0</v>
      </c>
      <c r="AR130" s="3">
        <f>IFERROR(__xludf.DUMMYFUNCTION("""COMPUTED_VALUE"""),0.0)</f>
        <v>0</v>
      </c>
      <c r="AS130" s="3">
        <f>IFERROR(__xludf.DUMMYFUNCTION("""COMPUTED_VALUE"""),0.0)</f>
        <v>0</v>
      </c>
      <c r="AT130" s="3">
        <f>IFERROR(__xludf.DUMMYFUNCTION("""COMPUTED_VALUE"""),0.0)</f>
        <v>0</v>
      </c>
      <c r="AU130" s="3">
        <f>IFERROR(__xludf.DUMMYFUNCTION("""COMPUTED_VALUE"""),0.0)</f>
        <v>0</v>
      </c>
      <c r="AV130" s="3">
        <f>IFERROR(__xludf.DUMMYFUNCTION("""COMPUTED_VALUE"""),0.0)</f>
        <v>0</v>
      </c>
      <c r="AW130" s="3">
        <f>IFERROR(__xludf.DUMMYFUNCTION("""COMPUTED_VALUE"""),0.0)</f>
        <v>0</v>
      </c>
      <c r="AX130" s="3">
        <f>IFERROR(__xludf.DUMMYFUNCTION("""COMPUTED_VALUE"""),0.0)</f>
        <v>0</v>
      </c>
      <c r="AY130" s="3">
        <f>IFERROR(__xludf.DUMMYFUNCTION("""COMPUTED_VALUE"""),0.0)</f>
        <v>0</v>
      </c>
      <c r="AZ130" s="3">
        <f>IFERROR(__xludf.DUMMYFUNCTION("""COMPUTED_VALUE"""),3.0)</f>
        <v>3</v>
      </c>
      <c r="BA130" s="3">
        <f>IFERROR(__xludf.DUMMYFUNCTION("""COMPUTED_VALUE"""),3.0)</f>
        <v>3</v>
      </c>
      <c r="BB130" s="3">
        <f>IFERROR(__xludf.DUMMYFUNCTION("""COMPUTED_VALUE"""),15.0)</f>
        <v>15</v>
      </c>
      <c r="BC130" s="3">
        <f>IFERROR(__xludf.DUMMYFUNCTION("""COMPUTED_VALUE"""),15.0)</f>
        <v>15</v>
      </c>
      <c r="BD130" s="3">
        <f>IFERROR(__xludf.DUMMYFUNCTION("""COMPUTED_VALUE"""),24.0)</f>
        <v>24</v>
      </c>
      <c r="BE130" s="3">
        <f>IFERROR(__xludf.DUMMYFUNCTION("""COMPUTED_VALUE"""),26.0)</f>
        <v>26</v>
      </c>
      <c r="BF130" s="3">
        <f>IFERROR(__xludf.DUMMYFUNCTION("""COMPUTED_VALUE"""),26.0)</f>
        <v>26</v>
      </c>
      <c r="BG130" s="3">
        <f>IFERROR(__xludf.DUMMYFUNCTION("""COMPUTED_VALUE"""),26.0)</f>
        <v>26</v>
      </c>
      <c r="BH130" s="3">
        <f>IFERROR(__xludf.DUMMYFUNCTION("""COMPUTED_VALUE"""),32.0)</f>
        <v>32</v>
      </c>
      <c r="BI130" s="3">
        <f>IFERROR(__xludf.DUMMYFUNCTION("""COMPUTED_VALUE"""),43.0)</f>
        <v>43</v>
      </c>
      <c r="BJ130" s="3">
        <f>IFERROR(__xludf.DUMMYFUNCTION("""COMPUTED_VALUE"""),43.0)</f>
        <v>43</v>
      </c>
      <c r="BK130" s="3">
        <f>IFERROR(__xludf.DUMMYFUNCTION("""COMPUTED_VALUE"""),49.0)</f>
        <v>49</v>
      </c>
      <c r="BL130" s="3">
        <f>IFERROR(__xludf.DUMMYFUNCTION("""COMPUTED_VALUE"""),51.0)</f>
        <v>51</v>
      </c>
      <c r="BM130" s="3">
        <f>IFERROR(__xludf.DUMMYFUNCTION("""COMPUTED_VALUE"""),57.0)</f>
        <v>57</v>
      </c>
      <c r="BN130" s="3">
        <f>IFERROR(__xludf.DUMMYFUNCTION("""COMPUTED_VALUE"""),57.0)</f>
        <v>57</v>
      </c>
      <c r="BO130" s="3">
        <f>IFERROR(__xludf.DUMMYFUNCTION("""COMPUTED_VALUE"""),75.0)</f>
        <v>75</v>
      </c>
      <c r="BP130" s="3">
        <f>IFERROR(__xludf.DUMMYFUNCTION("""COMPUTED_VALUE"""),103.0)</f>
        <v>103</v>
      </c>
      <c r="BQ130" s="3">
        <f>IFERROR(__xludf.DUMMYFUNCTION("""COMPUTED_VALUE"""),105.0)</f>
        <v>105</v>
      </c>
      <c r="BR130" s="3">
        <f>IFERROR(__xludf.DUMMYFUNCTION("""COMPUTED_VALUE"""),122.0)</f>
        <v>122</v>
      </c>
      <c r="BS130" s="3">
        <f>IFERROR(__xludf.DUMMYFUNCTION("""COMPUTED_VALUE"""),131.0)</f>
        <v>131</v>
      </c>
      <c r="BT130" s="3">
        <f>IFERROR(__xludf.DUMMYFUNCTION("""COMPUTED_VALUE"""),143.0)</f>
        <v>143</v>
      </c>
      <c r="BU130" s="3">
        <f>IFERROR(__xludf.DUMMYFUNCTION("""COMPUTED_VALUE"""),152.0)</f>
        <v>152</v>
      </c>
      <c r="BV130" s="3">
        <f>IFERROR(__xludf.DUMMYFUNCTION("""COMPUTED_VALUE"""),170.0)</f>
        <v>170</v>
      </c>
      <c r="BW130" s="3">
        <f>IFERROR(__xludf.DUMMYFUNCTION("""COMPUTED_VALUE"""),182.0)</f>
        <v>182</v>
      </c>
      <c r="BX130" s="3">
        <f>IFERROR(__xludf.DUMMYFUNCTION("""COMPUTED_VALUE"""),202.0)</f>
        <v>202</v>
      </c>
      <c r="BY130" s="3">
        <f>IFERROR(__xludf.DUMMYFUNCTION("""COMPUTED_VALUE"""),226.0)</f>
        <v>226</v>
      </c>
      <c r="BZ130" s="3">
        <f>IFERROR(__xludf.DUMMYFUNCTION("""COMPUTED_VALUE"""),259.0)</f>
        <v>259</v>
      </c>
      <c r="CA130" s="3">
        <f>IFERROR(__xludf.DUMMYFUNCTION("""COMPUTED_VALUE"""),279.0)</f>
        <v>279</v>
      </c>
      <c r="CB130" s="3">
        <f>IFERROR(__xludf.DUMMYFUNCTION("""COMPUTED_VALUE"""),344.0)</f>
        <v>344</v>
      </c>
    </row>
    <row r="131">
      <c r="A131" s="3" t="str">
        <f>IFERROR(__xludf.DUMMYFUNCTION("""COMPUTED_VALUE"""),"")</f>
        <v/>
      </c>
      <c r="B131" s="3" t="str">
        <f>IFERROR(__xludf.DUMMYFUNCTION("""COMPUTED_VALUE"""),"Ireland")</f>
        <v>Ireland</v>
      </c>
      <c r="C131" s="3">
        <f>IFERROR(__xludf.DUMMYFUNCTION("""COMPUTED_VALUE"""),53.1424)</f>
        <v>53.1424</v>
      </c>
      <c r="D131" s="3">
        <f>IFERROR(__xludf.DUMMYFUNCTION("""COMPUTED_VALUE"""),-7.6921)</f>
        <v>-7.6921</v>
      </c>
      <c r="E131" s="3">
        <f>IFERROR(__xludf.DUMMYFUNCTION("""COMPUTED_VALUE"""),0.0)</f>
        <v>0</v>
      </c>
      <c r="F131" s="3">
        <f>IFERROR(__xludf.DUMMYFUNCTION("""COMPUTED_VALUE"""),0.0)</f>
        <v>0</v>
      </c>
      <c r="G131" s="3">
        <f>IFERROR(__xludf.DUMMYFUNCTION("""COMPUTED_VALUE"""),0.0)</f>
        <v>0</v>
      </c>
      <c r="H131" s="3">
        <f>IFERROR(__xludf.DUMMYFUNCTION("""COMPUTED_VALUE"""),0.0)</f>
        <v>0</v>
      </c>
      <c r="I131" s="3">
        <f>IFERROR(__xludf.DUMMYFUNCTION("""COMPUTED_VALUE"""),0.0)</f>
        <v>0</v>
      </c>
      <c r="J131" s="3">
        <f>IFERROR(__xludf.DUMMYFUNCTION("""COMPUTED_VALUE"""),0.0)</f>
        <v>0</v>
      </c>
      <c r="K131" s="3">
        <f>IFERROR(__xludf.DUMMYFUNCTION("""COMPUTED_VALUE"""),0.0)</f>
        <v>0</v>
      </c>
      <c r="L131" s="3">
        <f>IFERROR(__xludf.DUMMYFUNCTION("""COMPUTED_VALUE"""),0.0)</f>
        <v>0</v>
      </c>
      <c r="M131" s="3">
        <f>IFERROR(__xludf.DUMMYFUNCTION("""COMPUTED_VALUE"""),0.0)</f>
        <v>0</v>
      </c>
      <c r="N131" s="3">
        <f>IFERROR(__xludf.DUMMYFUNCTION("""COMPUTED_VALUE"""),0.0)</f>
        <v>0</v>
      </c>
      <c r="O131" s="3">
        <f>IFERROR(__xludf.DUMMYFUNCTION("""COMPUTED_VALUE"""),0.0)</f>
        <v>0</v>
      </c>
      <c r="P131" s="3">
        <f>IFERROR(__xludf.DUMMYFUNCTION("""COMPUTED_VALUE"""),0.0)</f>
        <v>0</v>
      </c>
      <c r="Q131" s="3">
        <f>IFERROR(__xludf.DUMMYFUNCTION("""COMPUTED_VALUE"""),0.0)</f>
        <v>0</v>
      </c>
      <c r="R131" s="3">
        <f>IFERROR(__xludf.DUMMYFUNCTION("""COMPUTED_VALUE"""),0.0)</f>
        <v>0</v>
      </c>
      <c r="S131" s="3">
        <f>IFERROR(__xludf.DUMMYFUNCTION("""COMPUTED_VALUE"""),0.0)</f>
        <v>0</v>
      </c>
      <c r="T131" s="3">
        <f>IFERROR(__xludf.DUMMYFUNCTION("""COMPUTED_VALUE"""),0.0)</f>
        <v>0</v>
      </c>
      <c r="U131" s="3">
        <f>IFERROR(__xludf.DUMMYFUNCTION("""COMPUTED_VALUE"""),0.0)</f>
        <v>0</v>
      </c>
      <c r="V131" s="3">
        <f>IFERROR(__xludf.DUMMYFUNCTION("""COMPUTED_VALUE"""),0.0)</f>
        <v>0</v>
      </c>
      <c r="W131" s="3">
        <f>IFERROR(__xludf.DUMMYFUNCTION("""COMPUTED_VALUE"""),0.0)</f>
        <v>0</v>
      </c>
      <c r="X131" s="3">
        <f>IFERROR(__xludf.DUMMYFUNCTION("""COMPUTED_VALUE"""),0.0)</f>
        <v>0</v>
      </c>
      <c r="Y131" s="3">
        <f>IFERROR(__xludf.DUMMYFUNCTION("""COMPUTED_VALUE"""),0.0)</f>
        <v>0</v>
      </c>
      <c r="Z131" s="3">
        <f>IFERROR(__xludf.DUMMYFUNCTION("""COMPUTED_VALUE"""),0.0)</f>
        <v>0</v>
      </c>
      <c r="AA131" s="3">
        <f>IFERROR(__xludf.DUMMYFUNCTION("""COMPUTED_VALUE"""),0.0)</f>
        <v>0</v>
      </c>
      <c r="AB131" s="3">
        <f>IFERROR(__xludf.DUMMYFUNCTION("""COMPUTED_VALUE"""),0.0)</f>
        <v>0</v>
      </c>
      <c r="AC131" s="3">
        <f>IFERROR(__xludf.DUMMYFUNCTION("""COMPUTED_VALUE"""),0.0)</f>
        <v>0</v>
      </c>
      <c r="AD131" s="3">
        <f>IFERROR(__xludf.DUMMYFUNCTION("""COMPUTED_VALUE"""),0.0)</f>
        <v>0</v>
      </c>
      <c r="AE131" s="3">
        <f>IFERROR(__xludf.DUMMYFUNCTION("""COMPUTED_VALUE"""),0.0)</f>
        <v>0</v>
      </c>
      <c r="AF131" s="3">
        <f>IFERROR(__xludf.DUMMYFUNCTION("""COMPUTED_VALUE"""),0.0)</f>
        <v>0</v>
      </c>
      <c r="AG131" s="3">
        <f>IFERROR(__xludf.DUMMYFUNCTION("""COMPUTED_VALUE"""),0.0)</f>
        <v>0</v>
      </c>
      <c r="AH131" s="3">
        <f>IFERROR(__xludf.DUMMYFUNCTION("""COMPUTED_VALUE"""),0.0)</f>
        <v>0</v>
      </c>
      <c r="AI131" s="3">
        <f>IFERROR(__xludf.DUMMYFUNCTION("""COMPUTED_VALUE"""),0.0)</f>
        <v>0</v>
      </c>
      <c r="AJ131" s="3">
        <f>IFERROR(__xludf.DUMMYFUNCTION("""COMPUTED_VALUE"""),0.0)</f>
        <v>0</v>
      </c>
      <c r="AK131" s="3">
        <f>IFERROR(__xludf.DUMMYFUNCTION("""COMPUTED_VALUE"""),0.0)</f>
        <v>0</v>
      </c>
      <c r="AL131" s="3">
        <f>IFERROR(__xludf.DUMMYFUNCTION("""COMPUTED_VALUE"""),0.0)</f>
        <v>0</v>
      </c>
      <c r="AM131" s="3">
        <f>IFERROR(__xludf.DUMMYFUNCTION("""COMPUTED_VALUE"""),0.0)</f>
        <v>0</v>
      </c>
      <c r="AN131" s="3">
        <f>IFERROR(__xludf.DUMMYFUNCTION("""COMPUTED_VALUE"""),0.0)</f>
        <v>0</v>
      </c>
      <c r="AO131" s="3">
        <f>IFERROR(__xludf.DUMMYFUNCTION("""COMPUTED_VALUE"""),0.0)</f>
        <v>0</v>
      </c>
      <c r="AP131" s="3">
        <f>IFERROR(__xludf.DUMMYFUNCTION("""COMPUTED_VALUE"""),0.0)</f>
        <v>0</v>
      </c>
      <c r="AQ131" s="3">
        <f>IFERROR(__xludf.DUMMYFUNCTION("""COMPUTED_VALUE"""),0.0)</f>
        <v>0</v>
      </c>
      <c r="AR131" s="3">
        <f>IFERROR(__xludf.DUMMYFUNCTION("""COMPUTED_VALUE"""),0.0)</f>
        <v>0</v>
      </c>
      <c r="AS131" s="3">
        <f>IFERROR(__xludf.DUMMYFUNCTION("""COMPUTED_VALUE"""),0.0)</f>
        <v>0</v>
      </c>
      <c r="AT131" s="3">
        <f>IFERROR(__xludf.DUMMYFUNCTION("""COMPUTED_VALUE"""),0.0)</f>
        <v>0</v>
      </c>
      <c r="AU131" s="3">
        <f>IFERROR(__xludf.DUMMYFUNCTION("""COMPUTED_VALUE"""),0.0)</f>
        <v>0</v>
      </c>
      <c r="AV131" s="3">
        <f>IFERROR(__xludf.DUMMYFUNCTION("""COMPUTED_VALUE"""),0.0)</f>
        <v>0</v>
      </c>
      <c r="AW131" s="3">
        <f>IFERROR(__xludf.DUMMYFUNCTION("""COMPUTED_VALUE"""),0.0)</f>
        <v>0</v>
      </c>
      <c r="AX131" s="3">
        <f>IFERROR(__xludf.DUMMYFUNCTION("""COMPUTED_VALUE"""),0.0)</f>
        <v>0</v>
      </c>
      <c r="AY131" s="3">
        <f>IFERROR(__xludf.DUMMYFUNCTION("""COMPUTED_VALUE"""),0.0)</f>
        <v>0</v>
      </c>
      <c r="AZ131" s="3">
        <f>IFERROR(__xludf.DUMMYFUNCTION("""COMPUTED_VALUE"""),0.0)</f>
        <v>0</v>
      </c>
      <c r="BA131" s="3">
        <f>IFERROR(__xludf.DUMMYFUNCTION("""COMPUTED_VALUE"""),0.0)</f>
        <v>0</v>
      </c>
      <c r="BB131" s="3">
        <f>IFERROR(__xludf.DUMMYFUNCTION("""COMPUTED_VALUE"""),0.0)</f>
        <v>0</v>
      </c>
      <c r="BC131" s="3">
        <f>IFERROR(__xludf.DUMMYFUNCTION("""COMPUTED_VALUE"""),0.0)</f>
        <v>0</v>
      </c>
      <c r="BD131" s="3">
        <f>IFERROR(__xludf.DUMMYFUNCTION("""COMPUTED_VALUE"""),0.0)</f>
        <v>0</v>
      </c>
      <c r="BE131" s="3">
        <f>IFERROR(__xludf.DUMMYFUNCTION("""COMPUTED_VALUE"""),0.0)</f>
        <v>0</v>
      </c>
      <c r="BF131" s="3">
        <f>IFERROR(__xludf.DUMMYFUNCTION("""COMPUTED_VALUE"""),0.0)</f>
        <v>0</v>
      </c>
      <c r="BG131" s="3">
        <f>IFERROR(__xludf.DUMMYFUNCTION("""COMPUTED_VALUE"""),0.0)</f>
        <v>0</v>
      </c>
      <c r="BH131" s="3">
        <f>IFERROR(__xludf.DUMMYFUNCTION("""COMPUTED_VALUE"""),5.0)</f>
        <v>5</v>
      </c>
      <c r="BI131" s="3">
        <f>IFERROR(__xludf.DUMMYFUNCTION("""COMPUTED_VALUE"""),5.0)</f>
        <v>5</v>
      </c>
      <c r="BJ131" s="3">
        <f>IFERROR(__xludf.DUMMYFUNCTION("""COMPUTED_VALUE"""),5.0)</f>
        <v>5</v>
      </c>
      <c r="BK131" s="3">
        <f>IFERROR(__xludf.DUMMYFUNCTION("""COMPUTED_VALUE"""),5.0)</f>
        <v>5</v>
      </c>
      <c r="BL131" s="3">
        <f>IFERROR(__xludf.DUMMYFUNCTION("""COMPUTED_VALUE"""),5.0)</f>
        <v>5</v>
      </c>
      <c r="BM131" s="3">
        <f>IFERROR(__xludf.DUMMYFUNCTION("""COMPUTED_VALUE"""),5.0)</f>
        <v>5</v>
      </c>
      <c r="BN131" s="3">
        <f>IFERROR(__xludf.DUMMYFUNCTION("""COMPUTED_VALUE"""),5.0)</f>
        <v>5</v>
      </c>
      <c r="BO131" s="3">
        <f>IFERROR(__xludf.DUMMYFUNCTION("""COMPUTED_VALUE"""),5.0)</f>
        <v>5</v>
      </c>
      <c r="BP131" s="3">
        <f>IFERROR(__xludf.DUMMYFUNCTION("""COMPUTED_VALUE"""),5.0)</f>
        <v>5</v>
      </c>
      <c r="BQ131" s="3">
        <f>IFERROR(__xludf.DUMMYFUNCTION("""COMPUTED_VALUE"""),5.0)</f>
        <v>5</v>
      </c>
      <c r="BR131" s="3">
        <f>IFERROR(__xludf.DUMMYFUNCTION("""COMPUTED_VALUE"""),5.0)</f>
        <v>5</v>
      </c>
      <c r="BS131" s="3">
        <f>IFERROR(__xludf.DUMMYFUNCTION("""COMPUTED_VALUE"""),5.0)</f>
        <v>5</v>
      </c>
      <c r="BT131" s="3">
        <f>IFERROR(__xludf.DUMMYFUNCTION("""COMPUTED_VALUE"""),5.0)</f>
        <v>5</v>
      </c>
      <c r="BU131" s="3">
        <f>IFERROR(__xludf.DUMMYFUNCTION("""COMPUTED_VALUE"""),5.0)</f>
        <v>5</v>
      </c>
      <c r="BV131" s="3">
        <f>IFERROR(__xludf.DUMMYFUNCTION("""COMPUTED_VALUE"""),5.0)</f>
        <v>5</v>
      </c>
      <c r="BW131" s="3">
        <f>IFERROR(__xludf.DUMMYFUNCTION("""COMPUTED_VALUE"""),5.0)</f>
        <v>5</v>
      </c>
      <c r="BX131" s="3">
        <f>IFERROR(__xludf.DUMMYFUNCTION("""COMPUTED_VALUE"""),5.0)</f>
        <v>5</v>
      </c>
      <c r="BY131" s="3">
        <f>IFERROR(__xludf.DUMMYFUNCTION("""COMPUTED_VALUE"""),5.0)</f>
        <v>5</v>
      </c>
      <c r="BZ131" s="3">
        <f>IFERROR(__xludf.DUMMYFUNCTION("""COMPUTED_VALUE"""),25.0)</f>
        <v>25</v>
      </c>
      <c r="CA131" s="3">
        <f>IFERROR(__xludf.DUMMYFUNCTION("""COMPUTED_VALUE"""),25.0)</f>
        <v>25</v>
      </c>
      <c r="CB131" s="3">
        <f>IFERROR(__xludf.DUMMYFUNCTION("""COMPUTED_VALUE"""),25.0)</f>
        <v>25</v>
      </c>
    </row>
    <row r="132">
      <c r="A132" s="3" t="str">
        <f>IFERROR(__xludf.DUMMYFUNCTION("""COMPUTED_VALUE"""),"")</f>
        <v/>
      </c>
      <c r="B132" s="3" t="str">
        <f>IFERROR(__xludf.DUMMYFUNCTION("""COMPUTED_VALUE"""),"Israel")</f>
        <v>Israel</v>
      </c>
      <c r="C132" s="3">
        <f>IFERROR(__xludf.DUMMYFUNCTION("""COMPUTED_VALUE"""),31.0)</f>
        <v>31</v>
      </c>
      <c r="D132" s="3">
        <f>IFERROR(__xludf.DUMMYFUNCTION("""COMPUTED_VALUE"""),35.0)</f>
        <v>35</v>
      </c>
      <c r="E132" s="3">
        <f>IFERROR(__xludf.DUMMYFUNCTION("""COMPUTED_VALUE"""),0.0)</f>
        <v>0</v>
      </c>
      <c r="F132" s="3">
        <f>IFERROR(__xludf.DUMMYFUNCTION("""COMPUTED_VALUE"""),0.0)</f>
        <v>0</v>
      </c>
      <c r="G132" s="3">
        <f>IFERROR(__xludf.DUMMYFUNCTION("""COMPUTED_VALUE"""),0.0)</f>
        <v>0</v>
      </c>
      <c r="H132" s="3">
        <f>IFERROR(__xludf.DUMMYFUNCTION("""COMPUTED_VALUE"""),0.0)</f>
        <v>0</v>
      </c>
      <c r="I132" s="3">
        <f>IFERROR(__xludf.DUMMYFUNCTION("""COMPUTED_VALUE"""),0.0)</f>
        <v>0</v>
      </c>
      <c r="J132" s="3">
        <f>IFERROR(__xludf.DUMMYFUNCTION("""COMPUTED_VALUE"""),0.0)</f>
        <v>0</v>
      </c>
      <c r="K132" s="3">
        <f>IFERROR(__xludf.DUMMYFUNCTION("""COMPUTED_VALUE"""),0.0)</f>
        <v>0</v>
      </c>
      <c r="L132" s="3">
        <f>IFERROR(__xludf.DUMMYFUNCTION("""COMPUTED_VALUE"""),0.0)</f>
        <v>0</v>
      </c>
      <c r="M132" s="3">
        <f>IFERROR(__xludf.DUMMYFUNCTION("""COMPUTED_VALUE"""),0.0)</f>
        <v>0</v>
      </c>
      <c r="N132" s="3">
        <f>IFERROR(__xludf.DUMMYFUNCTION("""COMPUTED_VALUE"""),0.0)</f>
        <v>0</v>
      </c>
      <c r="O132" s="3">
        <f>IFERROR(__xludf.DUMMYFUNCTION("""COMPUTED_VALUE"""),0.0)</f>
        <v>0</v>
      </c>
      <c r="P132" s="3">
        <f>IFERROR(__xludf.DUMMYFUNCTION("""COMPUTED_VALUE"""),0.0)</f>
        <v>0</v>
      </c>
      <c r="Q132" s="3">
        <f>IFERROR(__xludf.DUMMYFUNCTION("""COMPUTED_VALUE"""),0.0)</f>
        <v>0</v>
      </c>
      <c r="R132" s="3">
        <f>IFERROR(__xludf.DUMMYFUNCTION("""COMPUTED_VALUE"""),0.0)</f>
        <v>0</v>
      </c>
      <c r="S132" s="3">
        <f>IFERROR(__xludf.DUMMYFUNCTION("""COMPUTED_VALUE"""),0.0)</f>
        <v>0</v>
      </c>
      <c r="T132" s="3">
        <f>IFERROR(__xludf.DUMMYFUNCTION("""COMPUTED_VALUE"""),0.0)</f>
        <v>0</v>
      </c>
      <c r="U132" s="3">
        <f>IFERROR(__xludf.DUMMYFUNCTION("""COMPUTED_VALUE"""),0.0)</f>
        <v>0</v>
      </c>
      <c r="V132" s="3">
        <f>IFERROR(__xludf.DUMMYFUNCTION("""COMPUTED_VALUE"""),0.0)</f>
        <v>0</v>
      </c>
      <c r="W132" s="3">
        <f>IFERROR(__xludf.DUMMYFUNCTION("""COMPUTED_VALUE"""),0.0)</f>
        <v>0</v>
      </c>
      <c r="X132" s="3">
        <f>IFERROR(__xludf.DUMMYFUNCTION("""COMPUTED_VALUE"""),0.0)</f>
        <v>0</v>
      </c>
      <c r="Y132" s="3">
        <f>IFERROR(__xludf.DUMMYFUNCTION("""COMPUTED_VALUE"""),0.0)</f>
        <v>0</v>
      </c>
      <c r="Z132" s="3">
        <f>IFERROR(__xludf.DUMMYFUNCTION("""COMPUTED_VALUE"""),0.0)</f>
        <v>0</v>
      </c>
      <c r="AA132" s="3">
        <f>IFERROR(__xludf.DUMMYFUNCTION("""COMPUTED_VALUE"""),0.0)</f>
        <v>0</v>
      </c>
      <c r="AB132" s="3">
        <f>IFERROR(__xludf.DUMMYFUNCTION("""COMPUTED_VALUE"""),0.0)</f>
        <v>0</v>
      </c>
      <c r="AC132" s="3">
        <f>IFERROR(__xludf.DUMMYFUNCTION("""COMPUTED_VALUE"""),0.0)</f>
        <v>0</v>
      </c>
      <c r="AD132" s="3">
        <f>IFERROR(__xludf.DUMMYFUNCTION("""COMPUTED_VALUE"""),0.0)</f>
        <v>0</v>
      </c>
      <c r="AE132" s="3">
        <f>IFERROR(__xludf.DUMMYFUNCTION("""COMPUTED_VALUE"""),0.0)</f>
        <v>0</v>
      </c>
      <c r="AF132" s="3">
        <f>IFERROR(__xludf.DUMMYFUNCTION("""COMPUTED_VALUE"""),0.0)</f>
        <v>0</v>
      </c>
      <c r="AG132" s="3">
        <f>IFERROR(__xludf.DUMMYFUNCTION("""COMPUTED_VALUE"""),0.0)</f>
        <v>0</v>
      </c>
      <c r="AH132" s="3">
        <f>IFERROR(__xludf.DUMMYFUNCTION("""COMPUTED_VALUE"""),0.0)</f>
        <v>0</v>
      </c>
      <c r="AI132" s="3">
        <f>IFERROR(__xludf.DUMMYFUNCTION("""COMPUTED_VALUE"""),0.0)</f>
        <v>0</v>
      </c>
      <c r="AJ132" s="3">
        <f>IFERROR(__xludf.DUMMYFUNCTION("""COMPUTED_VALUE"""),0.0)</f>
        <v>0</v>
      </c>
      <c r="AK132" s="3">
        <f>IFERROR(__xludf.DUMMYFUNCTION("""COMPUTED_VALUE"""),0.0)</f>
        <v>0</v>
      </c>
      <c r="AL132" s="3">
        <f>IFERROR(__xludf.DUMMYFUNCTION("""COMPUTED_VALUE"""),0.0)</f>
        <v>0</v>
      </c>
      <c r="AM132" s="3">
        <f>IFERROR(__xludf.DUMMYFUNCTION("""COMPUTED_VALUE"""),0.0)</f>
        <v>0</v>
      </c>
      <c r="AN132" s="3">
        <f>IFERROR(__xludf.DUMMYFUNCTION("""COMPUTED_VALUE"""),0.0)</f>
        <v>0</v>
      </c>
      <c r="AO132" s="3">
        <f>IFERROR(__xludf.DUMMYFUNCTION("""COMPUTED_VALUE"""),1.0)</f>
        <v>1</v>
      </c>
      <c r="AP132" s="3">
        <f>IFERROR(__xludf.DUMMYFUNCTION("""COMPUTED_VALUE"""),1.0)</f>
        <v>1</v>
      </c>
      <c r="AQ132" s="3">
        <f>IFERROR(__xludf.DUMMYFUNCTION("""COMPUTED_VALUE"""),1.0)</f>
        <v>1</v>
      </c>
      <c r="AR132" s="3">
        <f>IFERROR(__xludf.DUMMYFUNCTION("""COMPUTED_VALUE"""),1.0)</f>
        <v>1</v>
      </c>
      <c r="AS132" s="3">
        <f>IFERROR(__xludf.DUMMYFUNCTION("""COMPUTED_VALUE"""),1.0)</f>
        <v>1</v>
      </c>
      <c r="AT132" s="3">
        <f>IFERROR(__xludf.DUMMYFUNCTION("""COMPUTED_VALUE"""),1.0)</f>
        <v>1</v>
      </c>
      <c r="AU132" s="3">
        <f>IFERROR(__xludf.DUMMYFUNCTION("""COMPUTED_VALUE"""),1.0)</f>
        <v>1</v>
      </c>
      <c r="AV132" s="3">
        <f>IFERROR(__xludf.DUMMYFUNCTION("""COMPUTED_VALUE"""),1.0)</f>
        <v>1</v>
      </c>
      <c r="AW132" s="3">
        <f>IFERROR(__xludf.DUMMYFUNCTION("""COMPUTED_VALUE"""),2.0)</f>
        <v>2</v>
      </c>
      <c r="AX132" s="3">
        <f>IFERROR(__xludf.DUMMYFUNCTION("""COMPUTED_VALUE"""),2.0)</f>
        <v>2</v>
      </c>
      <c r="AY132" s="3">
        <f>IFERROR(__xludf.DUMMYFUNCTION("""COMPUTED_VALUE"""),2.0)</f>
        <v>2</v>
      </c>
      <c r="AZ132" s="3">
        <f>IFERROR(__xludf.DUMMYFUNCTION("""COMPUTED_VALUE"""),2.0)</f>
        <v>2</v>
      </c>
      <c r="BA132" s="3">
        <f>IFERROR(__xludf.DUMMYFUNCTION("""COMPUTED_VALUE"""),4.0)</f>
        <v>4</v>
      </c>
      <c r="BB132" s="3">
        <f>IFERROR(__xludf.DUMMYFUNCTION("""COMPUTED_VALUE"""),4.0)</f>
        <v>4</v>
      </c>
      <c r="BC132" s="3">
        <f>IFERROR(__xludf.DUMMYFUNCTION("""COMPUTED_VALUE"""),4.0)</f>
        <v>4</v>
      </c>
      <c r="BD132" s="3">
        <f>IFERROR(__xludf.DUMMYFUNCTION("""COMPUTED_VALUE"""),4.0)</f>
        <v>4</v>
      </c>
      <c r="BE132" s="3">
        <f>IFERROR(__xludf.DUMMYFUNCTION("""COMPUTED_VALUE"""),4.0)</f>
        <v>4</v>
      </c>
      <c r="BF132" s="3">
        <f>IFERROR(__xludf.DUMMYFUNCTION("""COMPUTED_VALUE"""),4.0)</f>
        <v>4</v>
      </c>
      <c r="BG132" s="3">
        <f>IFERROR(__xludf.DUMMYFUNCTION("""COMPUTED_VALUE"""),4.0)</f>
        <v>4</v>
      </c>
      <c r="BH132" s="3">
        <f>IFERROR(__xludf.DUMMYFUNCTION("""COMPUTED_VALUE"""),11.0)</f>
        <v>11</v>
      </c>
      <c r="BI132" s="3">
        <f>IFERROR(__xludf.DUMMYFUNCTION("""COMPUTED_VALUE"""),11.0)</f>
        <v>11</v>
      </c>
      <c r="BJ132" s="3">
        <f>IFERROR(__xludf.DUMMYFUNCTION("""COMPUTED_VALUE"""),11.0)</f>
        <v>11</v>
      </c>
      <c r="BK132" s="3">
        <f>IFERROR(__xludf.DUMMYFUNCTION("""COMPUTED_VALUE"""),14.0)</f>
        <v>14</v>
      </c>
      <c r="BL132" s="3">
        <f>IFERROR(__xludf.DUMMYFUNCTION("""COMPUTED_VALUE"""),36.0)</f>
        <v>36</v>
      </c>
      <c r="BM132" s="3">
        <f>IFERROR(__xludf.DUMMYFUNCTION("""COMPUTED_VALUE"""),37.0)</f>
        <v>37</v>
      </c>
      <c r="BN132" s="3">
        <f>IFERROR(__xludf.DUMMYFUNCTION("""COMPUTED_VALUE"""),37.0)</f>
        <v>37</v>
      </c>
      <c r="BO132" s="3">
        <f>IFERROR(__xludf.DUMMYFUNCTION("""COMPUTED_VALUE"""),53.0)</f>
        <v>53</v>
      </c>
      <c r="BP132" s="3">
        <f>IFERROR(__xludf.DUMMYFUNCTION("""COMPUTED_VALUE"""),58.0)</f>
        <v>58</v>
      </c>
      <c r="BQ132" s="3">
        <f>IFERROR(__xludf.DUMMYFUNCTION("""COMPUTED_VALUE"""),68.0)</f>
        <v>68</v>
      </c>
      <c r="BR132" s="3">
        <f>IFERROR(__xludf.DUMMYFUNCTION("""COMPUTED_VALUE"""),79.0)</f>
        <v>79</v>
      </c>
      <c r="BS132" s="3">
        <f>IFERROR(__xludf.DUMMYFUNCTION("""COMPUTED_VALUE"""),89.0)</f>
        <v>89</v>
      </c>
      <c r="BT132" s="3">
        <f>IFERROR(__xludf.DUMMYFUNCTION("""COMPUTED_VALUE"""),132.0)</f>
        <v>132</v>
      </c>
      <c r="BU132" s="3">
        <f>IFERROR(__xludf.DUMMYFUNCTION("""COMPUTED_VALUE"""),161.0)</f>
        <v>161</v>
      </c>
      <c r="BV132" s="3">
        <f>IFERROR(__xludf.DUMMYFUNCTION("""COMPUTED_VALUE"""),224.0)</f>
        <v>224</v>
      </c>
      <c r="BW132" s="3">
        <f>IFERROR(__xludf.DUMMYFUNCTION("""COMPUTED_VALUE"""),241.0)</f>
        <v>241</v>
      </c>
      <c r="BX132" s="3">
        <f>IFERROR(__xludf.DUMMYFUNCTION("""COMPUTED_VALUE"""),338.0)</f>
        <v>338</v>
      </c>
      <c r="BY132" s="3">
        <f>IFERROR(__xludf.DUMMYFUNCTION("""COMPUTED_VALUE"""),403.0)</f>
        <v>403</v>
      </c>
      <c r="BZ132" s="3">
        <f>IFERROR(__xludf.DUMMYFUNCTION("""COMPUTED_VALUE"""),427.0)</f>
        <v>427</v>
      </c>
      <c r="CA132" s="3">
        <f>IFERROR(__xludf.DUMMYFUNCTION("""COMPUTED_VALUE"""),477.0)</f>
        <v>477</v>
      </c>
      <c r="CB132" s="3">
        <f>IFERROR(__xludf.DUMMYFUNCTION("""COMPUTED_VALUE"""),585.0)</f>
        <v>585</v>
      </c>
    </row>
    <row r="133">
      <c r="A133" s="3" t="str">
        <f>IFERROR(__xludf.DUMMYFUNCTION("""COMPUTED_VALUE"""),"")</f>
        <v/>
      </c>
      <c r="B133" s="3" t="str">
        <f>IFERROR(__xludf.DUMMYFUNCTION("""COMPUTED_VALUE"""),"Italy")</f>
        <v>Italy</v>
      </c>
      <c r="C133" s="3">
        <f>IFERROR(__xludf.DUMMYFUNCTION("""COMPUTED_VALUE"""),43.0)</f>
        <v>43</v>
      </c>
      <c r="D133" s="3">
        <f>IFERROR(__xludf.DUMMYFUNCTION("""COMPUTED_VALUE"""),12.0)</f>
        <v>12</v>
      </c>
      <c r="E133" s="3">
        <f>IFERROR(__xludf.DUMMYFUNCTION("""COMPUTED_VALUE"""),0.0)</f>
        <v>0</v>
      </c>
      <c r="F133" s="3">
        <f>IFERROR(__xludf.DUMMYFUNCTION("""COMPUTED_VALUE"""),0.0)</f>
        <v>0</v>
      </c>
      <c r="G133" s="3">
        <f>IFERROR(__xludf.DUMMYFUNCTION("""COMPUTED_VALUE"""),0.0)</f>
        <v>0</v>
      </c>
      <c r="H133" s="3">
        <f>IFERROR(__xludf.DUMMYFUNCTION("""COMPUTED_VALUE"""),0.0)</f>
        <v>0</v>
      </c>
      <c r="I133" s="3">
        <f>IFERROR(__xludf.DUMMYFUNCTION("""COMPUTED_VALUE"""),0.0)</f>
        <v>0</v>
      </c>
      <c r="J133" s="3">
        <f>IFERROR(__xludf.DUMMYFUNCTION("""COMPUTED_VALUE"""),0.0)</f>
        <v>0</v>
      </c>
      <c r="K133" s="3">
        <f>IFERROR(__xludf.DUMMYFUNCTION("""COMPUTED_VALUE"""),0.0)</f>
        <v>0</v>
      </c>
      <c r="L133" s="3">
        <f>IFERROR(__xludf.DUMMYFUNCTION("""COMPUTED_VALUE"""),0.0)</f>
        <v>0</v>
      </c>
      <c r="M133" s="3">
        <f>IFERROR(__xludf.DUMMYFUNCTION("""COMPUTED_VALUE"""),0.0)</f>
        <v>0</v>
      </c>
      <c r="N133" s="3">
        <f>IFERROR(__xludf.DUMMYFUNCTION("""COMPUTED_VALUE"""),0.0)</f>
        <v>0</v>
      </c>
      <c r="O133" s="3">
        <f>IFERROR(__xludf.DUMMYFUNCTION("""COMPUTED_VALUE"""),0.0)</f>
        <v>0</v>
      </c>
      <c r="P133" s="3">
        <f>IFERROR(__xludf.DUMMYFUNCTION("""COMPUTED_VALUE"""),0.0)</f>
        <v>0</v>
      </c>
      <c r="Q133" s="3">
        <f>IFERROR(__xludf.DUMMYFUNCTION("""COMPUTED_VALUE"""),0.0)</f>
        <v>0</v>
      </c>
      <c r="R133" s="3">
        <f>IFERROR(__xludf.DUMMYFUNCTION("""COMPUTED_VALUE"""),0.0)</f>
        <v>0</v>
      </c>
      <c r="S133" s="3">
        <f>IFERROR(__xludf.DUMMYFUNCTION("""COMPUTED_VALUE"""),0.0)</f>
        <v>0</v>
      </c>
      <c r="T133" s="3">
        <f>IFERROR(__xludf.DUMMYFUNCTION("""COMPUTED_VALUE"""),0.0)</f>
        <v>0</v>
      </c>
      <c r="U133" s="3">
        <f>IFERROR(__xludf.DUMMYFUNCTION("""COMPUTED_VALUE"""),0.0)</f>
        <v>0</v>
      </c>
      <c r="V133" s="3">
        <f>IFERROR(__xludf.DUMMYFUNCTION("""COMPUTED_VALUE"""),0.0)</f>
        <v>0</v>
      </c>
      <c r="W133" s="3">
        <f>IFERROR(__xludf.DUMMYFUNCTION("""COMPUTED_VALUE"""),0.0)</f>
        <v>0</v>
      </c>
      <c r="X133" s="3">
        <f>IFERROR(__xludf.DUMMYFUNCTION("""COMPUTED_VALUE"""),0.0)</f>
        <v>0</v>
      </c>
      <c r="Y133" s="3">
        <f>IFERROR(__xludf.DUMMYFUNCTION("""COMPUTED_VALUE"""),0.0)</f>
        <v>0</v>
      </c>
      <c r="Z133" s="3">
        <f>IFERROR(__xludf.DUMMYFUNCTION("""COMPUTED_VALUE"""),0.0)</f>
        <v>0</v>
      </c>
      <c r="AA133" s="3">
        <f>IFERROR(__xludf.DUMMYFUNCTION("""COMPUTED_VALUE"""),0.0)</f>
        <v>0</v>
      </c>
      <c r="AB133" s="3">
        <f>IFERROR(__xludf.DUMMYFUNCTION("""COMPUTED_VALUE"""),0.0)</f>
        <v>0</v>
      </c>
      <c r="AC133" s="3">
        <f>IFERROR(__xludf.DUMMYFUNCTION("""COMPUTED_VALUE"""),0.0)</f>
        <v>0</v>
      </c>
      <c r="AD133" s="3">
        <f>IFERROR(__xludf.DUMMYFUNCTION("""COMPUTED_VALUE"""),0.0)</f>
        <v>0</v>
      </c>
      <c r="AE133" s="3">
        <f>IFERROR(__xludf.DUMMYFUNCTION("""COMPUTED_VALUE"""),0.0)</f>
        <v>0</v>
      </c>
      <c r="AF133" s="3">
        <f>IFERROR(__xludf.DUMMYFUNCTION("""COMPUTED_VALUE"""),0.0)</f>
        <v>0</v>
      </c>
      <c r="AG133" s="3">
        <f>IFERROR(__xludf.DUMMYFUNCTION("""COMPUTED_VALUE"""),0.0)</f>
        <v>0</v>
      </c>
      <c r="AH133" s="3">
        <f>IFERROR(__xludf.DUMMYFUNCTION("""COMPUTED_VALUE"""),0.0)</f>
        <v>0</v>
      </c>
      <c r="AI133" s="3">
        <f>IFERROR(__xludf.DUMMYFUNCTION("""COMPUTED_VALUE"""),0.0)</f>
        <v>0</v>
      </c>
      <c r="AJ133" s="3">
        <f>IFERROR(__xludf.DUMMYFUNCTION("""COMPUTED_VALUE"""),1.0)</f>
        <v>1</v>
      </c>
      <c r="AK133" s="3">
        <f>IFERROR(__xludf.DUMMYFUNCTION("""COMPUTED_VALUE"""),2.0)</f>
        <v>2</v>
      </c>
      <c r="AL133" s="3">
        <f>IFERROR(__xludf.DUMMYFUNCTION("""COMPUTED_VALUE"""),1.0)</f>
        <v>1</v>
      </c>
      <c r="AM133" s="3">
        <f>IFERROR(__xludf.DUMMYFUNCTION("""COMPUTED_VALUE"""),1.0)</f>
        <v>1</v>
      </c>
      <c r="AN133" s="3">
        <f>IFERROR(__xludf.DUMMYFUNCTION("""COMPUTED_VALUE"""),3.0)</f>
        <v>3</v>
      </c>
      <c r="AO133" s="3">
        <f>IFERROR(__xludf.DUMMYFUNCTION("""COMPUTED_VALUE"""),45.0)</f>
        <v>45</v>
      </c>
      <c r="AP133" s="3">
        <f>IFERROR(__xludf.DUMMYFUNCTION("""COMPUTED_VALUE"""),46.0)</f>
        <v>46</v>
      </c>
      <c r="AQ133" s="3">
        <f>IFERROR(__xludf.DUMMYFUNCTION("""COMPUTED_VALUE"""),46.0)</f>
        <v>46</v>
      </c>
      <c r="AR133" s="3">
        <f>IFERROR(__xludf.DUMMYFUNCTION("""COMPUTED_VALUE"""),83.0)</f>
        <v>83</v>
      </c>
      <c r="AS133" s="3">
        <f>IFERROR(__xludf.DUMMYFUNCTION("""COMPUTED_VALUE"""),149.0)</f>
        <v>149</v>
      </c>
      <c r="AT133" s="3">
        <f>IFERROR(__xludf.DUMMYFUNCTION("""COMPUTED_VALUE"""),160.0)</f>
        <v>160</v>
      </c>
      <c r="AU133" s="3">
        <f>IFERROR(__xludf.DUMMYFUNCTION("""COMPUTED_VALUE"""),276.0)</f>
        <v>276</v>
      </c>
      <c r="AV133" s="3">
        <f>IFERROR(__xludf.DUMMYFUNCTION("""COMPUTED_VALUE"""),414.0)</f>
        <v>414</v>
      </c>
      <c r="AW133" s="3">
        <f>IFERROR(__xludf.DUMMYFUNCTION("""COMPUTED_VALUE"""),523.0)</f>
        <v>523</v>
      </c>
      <c r="AX133" s="3">
        <f>IFERROR(__xludf.DUMMYFUNCTION("""COMPUTED_VALUE"""),589.0)</f>
        <v>589</v>
      </c>
      <c r="AY133" s="3">
        <f>IFERROR(__xludf.DUMMYFUNCTION("""COMPUTED_VALUE"""),622.0)</f>
        <v>622</v>
      </c>
      <c r="AZ133" s="3">
        <f>IFERROR(__xludf.DUMMYFUNCTION("""COMPUTED_VALUE"""),724.0)</f>
        <v>724</v>
      </c>
      <c r="BA133" s="3">
        <f>IFERROR(__xludf.DUMMYFUNCTION("""COMPUTED_VALUE"""),724.0)</f>
        <v>724</v>
      </c>
      <c r="BB133" s="3">
        <f>IFERROR(__xludf.DUMMYFUNCTION("""COMPUTED_VALUE"""),1045.0)</f>
        <v>1045</v>
      </c>
      <c r="BC133" s="3">
        <f>IFERROR(__xludf.DUMMYFUNCTION("""COMPUTED_VALUE"""),1045.0)</f>
        <v>1045</v>
      </c>
      <c r="BD133" s="3">
        <f>IFERROR(__xludf.DUMMYFUNCTION("""COMPUTED_VALUE"""),1439.0)</f>
        <v>1439</v>
      </c>
      <c r="BE133" s="3">
        <f>IFERROR(__xludf.DUMMYFUNCTION("""COMPUTED_VALUE"""),1966.0)</f>
        <v>1966</v>
      </c>
      <c r="BF133" s="3">
        <f>IFERROR(__xludf.DUMMYFUNCTION("""COMPUTED_VALUE"""),2335.0)</f>
        <v>2335</v>
      </c>
      <c r="BG133" s="3">
        <f>IFERROR(__xludf.DUMMYFUNCTION("""COMPUTED_VALUE"""),2749.0)</f>
        <v>2749</v>
      </c>
      <c r="BH133" s="3">
        <f>IFERROR(__xludf.DUMMYFUNCTION("""COMPUTED_VALUE"""),2941.0)</f>
        <v>2941</v>
      </c>
      <c r="BI133" s="3">
        <f>IFERROR(__xludf.DUMMYFUNCTION("""COMPUTED_VALUE"""),4025.0)</f>
        <v>4025</v>
      </c>
      <c r="BJ133" s="3">
        <f>IFERROR(__xludf.DUMMYFUNCTION("""COMPUTED_VALUE"""),4440.0)</f>
        <v>4440</v>
      </c>
      <c r="BK133" s="3">
        <f>IFERROR(__xludf.DUMMYFUNCTION("""COMPUTED_VALUE"""),4440.0)</f>
        <v>4440</v>
      </c>
      <c r="BL133" s="3">
        <f>IFERROR(__xludf.DUMMYFUNCTION("""COMPUTED_VALUE"""),6072.0)</f>
        <v>6072</v>
      </c>
      <c r="BM133" s="3">
        <f>IFERROR(__xludf.DUMMYFUNCTION("""COMPUTED_VALUE"""),7024.0)</f>
        <v>7024</v>
      </c>
      <c r="BN133" s="3">
        <f>IFERROR(__xludf.DUMMYFUNCTION("""COMPUTED_VALUE"""),7024.0)</f>
        <v>7024</v>
      </c>
      <c r="BO133" s="3">
        <f>IFERROR(__xludf.DUMMYFUNCTION("""COMPUTED_VALUE"""),8326.0)</f>
        <v>8326</v>
      </c>
      <c r="BP133" s="3">
        <f>IFERROR(__xludf.DUMMYFUNCTION("""COMPUTED_VALUE"""),9362.0)</f>
        <v>9362</v>
      </c>
      <c r="BQ133" s="3">
        <f>IFERROR(__xludf.DUMMYFUNCTION("""COMPUTED_VALUE"""),10361.0)</f>
        <v>10361</v>
      </c>
      <c r="BR133" s="3">
        <f>IFERROR(__xludf.DUMMYFUNCTION("""COMPUTED_VALUE"""),10950.0)</f>
        <v>10950</v>
      </c>
      <c r="BS133" s="3">
        <f>IFERROR(__xludf.DUMMYFUNCTION("""COMPUTED_VALUE"""),12384.0)</f>
        <v>12384</v>
      </c>
      <c r="BT133" s="3">
        <f>IFERROR(__xludf.DUMMYFUNCTION("""COMPUTED_VALUE"""),13030.0)</f>
        <v>13030</v>
      </c>
      <c r="BU133" s="3">
        <f>IFERROR(__xludf.DUMMYFUNCTION("""COMPUTED_VALUE"""),14620.0)</f>
        <v>14620</v>
      </c>
      <c r="BV133" s="3">
        <f>IFERROR(__xludf.DUMMYFUNCTION("""COMPUTED_VALUE"""),15729.0)</f>
        <v>15729</v>
      </c>
      <c r="BW133" s="3">
        <f>IFERROR(__xludf.DUMMYFUNCTION("""COMPUTED_VALUE"""),16847.0)</f>
        <v>16847</v>
      </c>
      <c r="BX133" s="3">
        <f>IFERROR(__xludf.DUMMYFUNCTION("""COMPUTED_VALUE"""),18278.0)</f>
        <v>18278</v>
      </c>
      <c r="BY133" s="3">
        <f>IFERROR(__xludf.DUMMYFUNCTION("""COMPUTED_VALUE"""),19758.0)</f>
        <v>19758</v>
      </c>
      <c r="BZ133" s="3">
        <f>IFERROR(__xludf.DUMMYFUNCTION("""COMPUTED_VALUE"""),20996.0)</f>
        <v>20996</v>
      </c>
      <c r="CA133" s="3">
        <f>IFERROR(__xludf.DUMMYFUNCTION("""COMPUTED_VALUE"""),21815.0)</f>
        <v>21815</v>
      </c>
      <c r="CB133" s="3">
        <f>IFERROR(__xludf.DUMMYFUNCTION("""COMPUTED_VALUE"""),22837.0)</f>
        <v>22837</v>
      </c>
    </row>
    <row r="134">
      <c r="A134" s="3" t="str">
        <f>IFERROR(__xludf.DUMMYFUNCTION("""COMPUTED_VALUE"""),"")</f>
        <v/>
      </c>
      <c r="B134" s="3" t="str">
        <f>IFERROR(__xludf.DUMMYFUNCTION("""COMPUTED_VALUE"""),"Jamaica")</f>
        <v>Jamaica</v>
      </c>
      <c r="C134" s="3">
        <f>IFERROR(__xludf.DUMMYFUNCTION("""COMPUTED_VALUE"""),18.1096)</f>
        <v>18.1096</v>
      </c>
      <c r="D134" s="3">
        <f>IFERROR(__xludf.DUMMYFUNCTION("""COMPUTED_VALUE"""),-77.2975)</f>
        <v>-77.2975</v>
      </c>
      <c r="E134" s="3">
        <f>IFERROR(__xludf.DUMMYFUNCTION("""COMPUTED_VALUE"""),0.0)</f>
        <v>0</v>
      </c>
      <c r="F134" s="3">
        <f>IFERROR(__xludf.DUMMYFUNCTION("""COMPUTED_VALUE"""),0.0)</f>
        <v>0</v>
      </c>
      <c r="G134" s="3">
        <f>IFERROR(__xludf.DUMMYFUNCTION("""COMPUTED_VALUE"""),0.0)</f>
        <v>0</v>
      </c>
      <c r="H134" s="3">
        <f>IFERROR(__xludf.DUMMYFUNCTION("""COMPUTED_VALUE"""),0.0)</f>
        <v>0</v>
      </c>
      <c r="I134" s="3">
        <f>IFERROR(__xludf.DUMMYFUNCTION("""COMPUTED_VALUE"""),0.0)</f>
        <v>0</v>
      </c>
      <c r="J134" s="3">
        <f>IFERROR(__xludf.DUMMYFUNCTION("""COMPUTED_VALUE"""),0.0)</f>
        <v>0</v>
      </c>
      <c r="K134" s="3">
        <f>IFERROR(__xludf.DUMMYFUNCTION("""COMPUTED_VALUE"""),0.0)</f>
        <v>0</v>
      </c>
      <c r="L134" s="3">
        <f>IFERROR(__xludf.DUMMYFUNCTION("""COMPUTED_VALUE"""),0.0)</f>
        <v>0</v>
      </c>
      <c r="M134" s="3">
        <f>IFERROR(__xludf.DUMMYFUNCTION("""COMPUTED_VALUE"""),0.0)</f>
        <v>0</v>
      </c>
      <c r="N134" s="3">
        <f>IFERROR(__xludf.DUMMYFUNCTION("""COMPUTED_VALUE"""),0.0)</f>
        <v>0</v>
      </c>
      <c r="O134" s="3">
        <f>IFERROR(__xludf.DUMMYFUNCTION("""COMPUTED_VALUE"""),0.0)</f>
        <v>0</v>
      </c>
      <c r="P134" s="3">
        <f>IFERROR(__xludf.DUMMYFUNCTION("""COMPUTED_VALUE"""),0.0)</f>
        <v>0</v>
      </c>
      <c r="Q134" s="3">
        <f>IFERROR(__xludf.DUMMYFUNCTION("""COMPUTED_VALUE"""),0.0)</f>
        <v>0</v>
      </c>
      <c r="R134" s="3">
        <f>IFERROR(__xludf.DUMMYFUNCTION("""COMPUTED_VALUE"""),0.0)</f>
        <v>0</v>
      </c>
      <c r="S134" s="3">
        <f>IFERROR(__xludf.DUMMYFUNCTION("""COMPUTED_VALUE"""),0.0)</f>
        <v>0</v>
      </c>
      <c r="T134" s="3">
        <f>IFERROR(__xludf.DUMMYFUNCTION("""COMPUTED_VALUE"""),0.0)</f>
        <v>0</v>
      </c>
      <c r="U134" s="3">
        <f>IFERROR(__xludf.DUMMYFUNCTION("""COMPUTED_VALUE"""),0.0)</f>
        <v>0</v>
      </c>
      <c r="V134" s="3">
        <f>IFERROR(__xludf.DUMMYFUNCTION("""COMPUTED_VALUE"""),0.0)</f>
        <v>0</v>
      </c>
      <c r="W134" s="3">
        <f>IFERROR(__xludf.DUMMYFUNCTION("""COMPUTED_VALUE"""),0.0)</f>
        <v>0</v>
      </c>
      <c r="X134" s="3">
        <f>IFERROR(__xludf.DUMMYFUNCTION("""COMPUTED_VALUE"""),0.0)</f>
        <v>0</v>
      </c>
      <c r="Y134" s="3">
        <f>IFERROR(__xludf.DUMMYFUNCTION("""COMPUTED_VALUE"""),0.0)</f>
        <v>0</v>
      </c>
      <c r="Z134" s="3">
        <f>IFERROR(__xludf.DUMMYFUNCTION("""COMPUTED_VALUE"""),0.0)</f>
        <v>0</v>
      </c>
      <c r="AA134" s="3">
        <f>IFERROR(__xludf.DUMMYFUNCTION("""COMPUTED_VALUE"""),0.0)</f>
        <v>0</v>
      </c>
      <c r="AB134" s="3">
        <f>IFERROR(__xludf.DUMMYFUNCTION("""COMPUTED_VALUE"""),0.0)</f>
        <v>0</v>
      </c>
      <c r="AC134" s="3">
        <f>IFERROR(__xludf.DUMMYFUNCTION("""COMPUTED_VALUE"""),0.0)</f>
        <v>0</v>
      </c>
      <c r="AD134" s="3">
        <f>IFERROR(__xludf.DUMMYFUNCTION("""COMPUTED_VALUE"""),0.0)</f>
        <v>0</v>
      </c>
      <c r="AE134" s="3">
        <f>IFERROR(__xludf.DUMMYFUNCTION("""COMPUTED_VALUE"""),0.0)</f>
        <v>0</v>
      </c>
      <c r="AF134" s="3">
        <f>IFERROR(__xludf.DUMMYFUNCTION("""COMPUTED_VALUE"""),0.0)</f>
        <v>0</v>
      </c>
      <c r="AG134" s="3">
        <f>IFERROR(__xludf.DUMMYFUNCTION("""COMPUTED_VALUE"""),0.0)</f>
        <v>0</v>
      </c>
      <c r="AH134" s="3">
        <f>IFERROR(__xludf.DUMMYFUNCTION("""COMPUTED_VALUE"""),0.0)</f>
        <v>0</v>
      </c>
      <c r="AI134" s="3">
        <f>IFERROR(__xludf.DUMMYFUNCTION("""COMPUTED_VALUE"""),0.0)</f>
        <v>0</v>
      </c>
      <c r="AJ134" s="3">
        <f>IFERROR(__xludf.DUMMYFUNCTION("""COMPUTED_VALUE"""),0.0)</f>
        <v>0</v>
      </c>
      <c r="AK134" s="3">
        <f>IFERROR(__xludf.DUMMYFUNCTION("""COMPUTED_VALUE"""),0.0)</f>
        <v>0</v>
      </c>
      <c r="AL134" s="3">
        <f>IFERROR(__xludf.DUMMYFUNCTION("""COMPUTED_VALUE"""),0.0)</f>
        <v>0</v>
      </c>
      <c r="AM134" s="3">
        <f>IFERROR(__xludf.DUMMYFUNCTION("""COMPUTED_VALUE"""),0.0)</f>
        <v>0</v>
      </c>
      <c r="AN134" s="3">
        <f>IFERROR(__xludf.DUMMYFUNCTION("""COMPUTED_VALUE"""),0.0)</f>
        <v>0</v>
      </c>
      <c r="AO134" s="3">
        <f>IFERROR(__xludf.DUMMYFUNCTION("""COMPUTED_VALUE"""),0.0)</f>
        <v>0</v>
      </c>
      <c r="AP134" s="3">
        <f>IFERROR(__xludf.DUMMYFUNCTION("""COMPUTED_VALUE"""),0.0)</f>
        <v>0</v>
      </c>
      <c r="AQ134" s="3">
        <f>IFERROR(__xludf.DUMMYFUNCTION("""COMPUTED_VALUE"""),0.0)</f>
        <v>0</v>
      </c>
      <c r="AR134" s="3">
        <f>IFERROR(__xludf.DUMMYFUNCTION("""COMPUTED_VALUE"""),0.0)</f>
        <v>0</v>
      </c>
      <c r="AS134" s="3">
        <f>IFERROR(__xludf.DUMMYFUNCTION("""COMPUTED_VALUE"""),0.0)</f>
        <v>0</v>
      </c>
      <c r="AT134" s="3">
        <f>IFERROR(__xludf.DUMMYFUNCTION("""COMPUTED_VALUE"""),0.0)</f>
        <v>0</v>
      </c>
      <c r="AU134" s="3">
        <f>IFERROR(__xludf.DUMMYFUNCTION("""COMPUTED_VALUE"""),0.0)</f>
        <v>0</v>
      </c>
      <c r="AV134" s="3">
        <f>IFERROR(__xludf.DUMMYFUNCTION("""COMPUTED_VALUE"""),0.0)</f>
        <v>0</v>
      </c>
      <c r="AW134" s="3">
        <f>IFERROR(__xludf.DUMMYFUNCTION("""COMPUTED_VALUE"""),0.0)</f>
        <v>0</v>
      </c>
      <c r="AX134" s="3">
        <f>IFERROR(__xludf.DUMMYFUNCTION("""COMPUTED_VALUE"""),0.0)</f>
        <v>0</v>
      </c>
      <c r="AY134" s="3">
        <f>IFERROR(__xludf.DUMMYFUNCTION("""COMPUTED_VALUE"""),0.0)</f>
        <v>0</v>
      </c>
      <c r="AZ134" s="3">
        <f>IFERROR(__xludf.DUMMYFUNCTION("""COMPUTED_VALUE"""),0.0)</f>
        <v>0</v>
      </c>
      <c r="BA134" s="3">
        <f>IFERROR(__xludf.DUMMYFUNCTION("""COMPUTED_VALUE"""),0.0)</f>
        <v>0</v>
      </c>
      <c r="BB134" s="3">
        <f>IFERROR(__xludf.DUMMYFUNCTION("""COMPUTED_VALUE"""),0.0)</f>
        <v>0</v>
      </c>
      <c r="BC134" s="3">
        <f>IFERROR(__xludf.DUMMYFUNCTION("""COMPUTED_VALUE"""),0.0)</f>
        <v>0</v>
      </c>
      <c r="BD134" s="3">
        <f>IFERROR(__xludf.DUMMYFUNCTION("""COMPUTED_VALUE"""),0.0)</f>
        <v>0</v>
      </c>
      <c r="BE134" s="3">
        <f>IFERROR(__xludf.DUMMYFUNCTION("""COMPUTED_VALUE"""),0.0)</f>
        <v>0</v>
      </c>
      <c r="BF134" s="3">
        <f>IFERROR(__xludf.DUMMYFUNCTION("""COMPUTED_VALUE"""),0.0)</f>
        <v>0</v>
      </c>
      <c r="BG134" s="3">
        <f>IFERROR(__xludf.DUMMYFUNCTION("""COMPUTED_VALUE"""),2.0)</f>
        <v>2</v>
      </c>
      <c r="BH134" s="3">
        <f>IFERROR(__xludf.DUMMYFUNCTION("""COMPUTED_VALUE"""),2.0)</f>
        <v>2</v>
      </c>
      <c r="BI134" s="3">
        <f>IFERROR(__xludf.DUMMYFUNCTION("""COMPUTED_VALUE"""),2.0)</f>
        <v>2</v>
      </c>
      <c r="BJ134" s="3">
        <f>IFERROR(__xludf.DUMMYFUNCTION("""COMPUTED_VALUE"""),2.0)</f>
        <v>2</v>
      </c>
      <c r="BK134" s="3">
        <f>IFERROR(__xludf.DUMMYFUNCTION("""COMPUTED_VALUE"""),2.0)</f>
        <v>2</v>
      </c>
      <c r="BL134" s="3">
        <f>IFERROR(__xludf.DUMMYFUNCTION("""COMPUTED_VALUE"""),2.0)</f>
        <v>2</v>
      </c>
      <c r="BM134" s="3">
        <f>IFERROR(__xludf.DUMMYFUNCTION("""COMPUTED_VALUE"""),2.0)</f>
        <v>2</v>
      </c>
      <c r="BN134" s="3">
        <f>IFERROR(__xludf.DUMMYFUNCTION("""COMPUTED_VALUE"""),2.0)</f>
        <v>2</v>
      </c>
      <c r="BO134" s="3">
        <f>IFERROR(__xludf.DUMMYFUNCTION("""COMPUTED_VALUE"""),2.0)</f>
        <v>2</v>
      </c>
      <c r="BP134" s="3">
        <f>IFERROR(__xludf.DUMMYFUNCTION("""COMPUTED_VALUE"""),2.0)</f>
        <v>2</v>
      </c>
      <c r="BQ134" s="3">
        <f>IFERROR(__xludf.DUMMYFUNCTION("""COMPUTED_VALUE"""),2.0)</f>
        <v>2</v>
      </c>
      <c r="BR134" s="3">
        <f>IFERROR(__xludf.DUMMYFUNCTION("""COMPUTED_VALUE"""),2.0)</f>
        <v>2</v>
      </c>
      <c r="BS134" s="3">
        <f>IFERROR(__xludf.DUMMYFUNCTION("""COMPUTED_VALUE"""),2.0)</f>
        <v>2</v>
      </c>
      <c r="BT134" s="3">
        <f>IFERROR(__xludf.DUMMYFUNCTION("""COMPUTED_VALUE"""),2.0)</f>
        <v>2</v>
      </c>
      <c r="BU134" s="3">
        <f>IFERROR(__xludf.DUMMYFUNCTION("""COMPUTED_VALUE"""),2.0)</f>
        <v>2</v>
      </c>
      <c r="BV134" s="3">
        <f>IFERROR(__xludf.DUMMYFUNCTION("""COMPUTED_VALUE"""),2.0)</f>
        <v>2</v>
      </c>
      <c r="BW134" s="3">
        <f>IFERROR(__xludf.DUMMYFUNCTION("""COMPUTED_VALUE"""),2.0)</f>
        <v>2</v>
      </c>
      <c r="BX134" s="3">
        <f>IFERROR(__xludf.DUMMYFUNCTION("""COMPUTED_VALUE"""),2.0)</f>
        <v>2</v>
      </c>
      <c r="BY134" s="3">
        <f>IFERROR(__xludf.DUMMYFUNCTION("""COMPUTED_VALUE"""),2.0)</f>
        <v>2</v>
      </c>
      <c r="BZ134" s="3">
        <f>IFERROR(__xludf.DUMMYFUNCTION("""COMPUTED_VALUE"""),7.0)</f>
        <v>7</v>
      </c>
      <c r="CA134" s="3">
        <f>IFERROR(__xludf.DUMMYFUNCTION("""COMPUTED_VALUE"""),8.0)</f>
        <v>8</v>
      </c>
      <c r="CB134" s="3">
        <f>IFERROR(__xludf.DUMMYFUNCTION("""COMPUTED_VALUE"""),8.0)</f>
        <v>8</v>
      </c>
    </row>
    <row r="135">
      <c r="A135" s="3" t="str">
        <f>IFERROR(__xludf.DUMMYFUNCTION("""COMPUTED_VALUE"""),"")</f>
        <v/>
      </c>
      <c r="B135" s="3" t="str">
        <f>IFERROR(__xludf.DUMMYFUNCTION("""COMPUTED_VALUE"""),"Japan")</f>
        <v>Japan</v>
      </c>
      <c r="C135" s="3">
        <f>IFERROR(__xludf.DUMMYFUNCTION("""COMPUTED_VALUE"""),36.0)</f>
        <v>36</v>
      </c>
      <c r="D135" s="3">
        <f>IFERROR(__xludf.DUMMYFUNCTION("""COMPUTED_VALUE"""),138.0)</f>
        <v>138</v>
      </c>
      <c r="E135" s="3">
        <f>IFERROR(__xludf.DUMMYFUNCTION("""COMPUTED_VALUE"""),0.0)</f>
        <v>0</v>
      </c>
      <c r="F135" s="3">
        <f>IFERROR(__xludf.DUMMYFUNCTION("""COMPUTED_VALUE"""),0.0)</f>
        <v>0</v>
      </c>
      <c r="G135" s="3">
        <f>IFERROR(__xludf.DUMMYFUNCTION("""COMPUTED_VALUE"""),0.0)</f>
        <v>0</v>
      </c>
      <c r="H135" s="3">
        <f>IFERROR(__xludf.DUMMYFUNCTION("""COMPUTED_VALUE"""),0.0)</f>
        <v>0</v>
      </c>
      <c r="I135" s="3">
        <f>IFERROR(__xludf.DUMMYFUNCTION("""COMPUTED_VALUE"""),1.0)</f>
        <v>1</v>
      </c>
      <c r="J135" s="3">
        <f>IFERROR(__xludf.DUMMYFUNCTION("""COMPUTED_VALUE"""),1.0)</f>
        <v>1</v>
      </c>
      <c r="K135" s="3">
        <f>IFERROR(__xludf.DUMMYFUNCTION("""COMPUTED_VALUE"""),1.0)</f>
        <v>1</v>
      </c>
      <c r="L135" s="3">
        <f>IFERROR(__xludf.DUMMYFUNCTION("""COMPUTED_VALUE"""),1.0)</f>
        <v>1</v>
      </c>
      <c r="M135" s="3">
        <f>IFERROR(__xludf.DUMMYFUNCTION("""COMPUTED_VALUE"""),1.0)</f>
        <v>1</v>
      </c>
      <c r="N135" s="3">
        <f>IFERROR(__xludf.DUMMYFUNCTION("""COMPUTED_VALUE"""),1.0)</f>
        <v>1</v>
      </c>
      <c r="O135" s="3">
        <f>IFERROR(__xludf.DUMMYFUNCTION("""COMPUTED_VALUE"""),1.0)</f>
        <v>1</v>
      </c>
      <c r="P135" s="3">
        <f>IFERROR(__xludf.DUMMYFUNCTION("""COMPUTED_VALUE"""),1.0)</f>
        <v>1</v>
      </c>
      <c r="Q135" s="3">
        <f>IFERROR(__xludf.DUMMYFUNCTION("""COMPUTED_VALUE"""),1.0)</f>
        <v>1</v>
      </c>
      <c r="R135" s="3">
        <f>IFERROR(__xludf.DUMMYFUNCTION("""COMPUTED_VALUE"""),1.0)</f>
        <v>1</v>
      </c>
      <c r="S135" s="3">
        <f>IFERROR(__xludf.DUMMYFUNCTION("""COMPUTED_VALUE"""),1.0)</f>
        <v>1</v>
      </c>
      <c r="T135" s="3">
        <f>IFERROR(__xludf.DUMMYFUNCTION("""COMPUTED_VALUE"""),1.0)</f>
        <v>1</v>
      </c>
      <c r="U135" s="3">
        <f>IFERROR(__xludf.DUMMYFUNCTION("""COMPUTED_VALUE"""),1.0)</f>
        <v>1</v>
      </c>
      <c r="V135" s="3">
        <f>IFERROR(__xludf.DUMMYFUNCTION("""COMPUTED_VALUE"""),1.0)</f>
        <v>1</v>
      </c>
      <c r="W135" s="3">
        <f>IFERROR(__xludf.DUMMYFUNCTION("""COMPUTED_VALUE"""),1.0)</f>
        <v>1</v>
      </c>
      <c r="X135" s="3">
        <f>IFERROR(__xludf.DUMMYFUNCTION("""COMPUTED_VALUE"""),4.0)</f>
        <v>4</v>
      </c>
      <c r="Y135" s="3">
        <f>IFERROR(__xludf.DUMMYFUNCTION("""COMPUTED_VALUE"""),9.0)</f>
        <v>9</v>
      </c>
      <c r="Z135" s="3">
        <f>IFERROR(__xludf.DUMMYFUNCTION("""COMPUTED_VALUE"""),9.0)</f>
        <v>9</v>
      </c>
      <c r="AA135" s="3">
        <f>IFERROR(__xludf.DUMMYFUNCTION("""COMPUTED_VALUE"""),9.0)</f>
        <v>9</v>
      </c>
      <c r="AB135" s="3">
        <f>IFERROR(__xludf.DUMMYFUNCTION("""COMPUTED_VALUE"""),9.0)</f>
        <v>9</v>
      </c>
      <c r="AC135" s="3">
        <f>IFERROR(__xludf.DUMMYFUNCTION("""COMPUTED_VALUE"""),12.0)</f>
        <v>12</v>
      </c>
      <c r="AD135" s="3">
        <f>IFERROR(__xludf.DUMMYFUNCTION("""COMPUTED_VALUE"""),12.0)</f>
        <v>12</v>
      </c>
      <c r="AE135" s="3">
        <f>IFERROR(__xludf.DUMMYFUNCTION("""COMPUTED_VALUE"""),12.0)</f>
        <v>12</v>
      </c>
      <c r="AF135" s="3">
        <f>IFERROR(__xludf.DUMMYFUNCTION("""COMPUTED_VALUE"""),13.0)</f>
        <v>13</v>
      </c>
      <c r="AG135" s="3">
        <f>IFERROR(__xludf.DUMMYFUNCTION("""COMPUTED_VALUE"""),18.0)</f>
        <v>18</v>
      </c>
      <c r="AH135" s="3">
        <f>IFERROR(__xludf.DUMMYFUNCTION("""COMPUTED_VALUE"""),18.0)</f>
        <v>18</v>
      </c>
      <c r="AI135" s="3">
        <f>IFERROR(__xludf.DUMMYFUNCTION("""COMPUTED_VALUE"""),22.0)</f>
        <v>22</v>
      </c>
      <c r="AJ135" s="3">
        <f>IFERROR(__xludf.DUMMYFUNCTION("""COMPUTED_VALUE"""),22.0)</f>
        <v>22</v>
      </c>
      <c r="AK135" s="3">
        <f>IFERROR(__xludf.DUMMYFUNCTION("""COMPUTED_VALUE"""),22.0)</f>
        <v>22</v>
      </c>
      <c r="AL135" s="3">
        <f>IFERROR(__xludf.DUMMYFUNCTION("""COMPUTED_VALUE"""),22.0)</f>
        <v>22</v>
      </c>
      <c r="AM135" s="3">
        <f>IFERROR(__xludf.DUMMYFUNCTION("""COMPUTED_VALUE"""),22.0)</f>
        <v>22</v>
      </c>
      <c r="AN135" s="3">
        <f>IFERROR(__xludf.DUMMYFUNCTION("""COMPUTED_VALUE"""),22.0)</f>
        <v>22</v>
      </c>
      <c r="AO135" s="3">
        <f>IFERROR(__xludf.DUMMYFUNCTION("""COMPUTED_VALUE"""),22.0)</f>
        <v>22</v>
      </c>
      <c r="AP135" s="3">
        <f>IFERROR(__xludf.DUMMYFUNCTION("""COMPUTED_VALUE"""),22.0)</f>
        <v>22</v>
      </c>
      <c r="AQ135" s="3">
        <f>IFERROR(__xludf.DUMMYFUNCTION("""COMPUTED_VALUE"""),32.0)</f>
        <v>32</v>
      </c>
      <c r="AR135" s="3">
        <f>IFERROR(__xludf.DUMMYFUNCTION("""COMPUTED_VALUE"""),32.0)</f>
        <v>32</v>
      </c>
      <c r="AS135" s="3">
        <f>IFERROR(__xludf.DUMMYFUNCTION("""COMPUTED_VALUE"""),32.0)</f>
        <v>32</v>
      </c>
      <c r="AT135" s="3">
        <f>IFERROR(__xludf.DUMMYFUNCTION("""COMPUTED_VALUE"""),43.0)</f>
        <v>43</v>
      </c>
      <c r="AU135" s="3">
        <f>IFERROR(__xludf.DUMMYFUNCTION("""COMPUTED_VALUE"""),43.0)</f>
        <v>43</v>
      </c>
      <c r="AV135" s="3">
        <f>IFERROR(__xludf.DUMMYFUNCTION("""COMPUTED_VALUE"""),43.0)</f>
        <v>43</v>
      </c>
      <c r="AW135" s="3">
        <f>IFERROR(__xludf.DUMMYFUNCTION("""COMPUTED_VALUE"""),46.0)</f>
        <v>46</v>
      </c>
      <c r="AX135" s="3">
        <f>IFERROR(__xludf.DUMMYFUNCTION("""COMPUTED_VALUE"""),76.0)</f>
        <v>76</v>
      </c>
      <c r="AY135" s="3">
        <f>IFERROR(__xludf.DUMMYFUNCTION("""COMPUTED_VALUE"""),76.0)</f>
        <v>76</v>
      </c>
      <c r="AZ135" s="3">
        <f>IFERROR(__xludf.DUMMYFUNCTION("""COMPUTED_VALUE"""),76.0)</f>
        <v>76</v>
      </c>
      <c r="BA135" s="3">
        <f>IFERROR(__xludf.DUMMYFUNCTION("""COMPUTED_VALUE"""),101.0)</f>
        <v>101</v>
      </c>
      <c r="BB135" s="3">
        <f>IFERROR(__xludf.DUMMYFUNCTION("""COMPUTED_VALUE"""),118.0)</f>
        <v>118</v>
      </c>
      <c r="BC135" s="3">
        <f>IFERROR(__xludf.DUMMYFUNCTION("""COMPUTED_VALUE"""),118.0)</f>
        <v>118</v>
      </c>
      <c r="BD135" s="3">
        <f>IFERROR(__xludf.DUMMYFUNCTION("""COMPUTED_VALUE"""),118.0)</f>
        <v>118</v>
      </c>
      <c r="BE135" s="3">
        <f>IFERROR(__xludf.DUMMYFUNCTION("""COMPUTED_VALUE"""),118.0)</f>
        <v>118</v>
      </c>
      <c r="BF135" s="3">
        <f>IFERROR(__xludf.DUMMYFUNCTION("""COMPUTED_VALUE"""),118.0)</f>
        <v>118</v>
      </c>
      <c r="BG135" s="3">
        <f>IFERROR(__xludf.DUMMYFUNCTION("""COMPUTED_VALUE"""),144.0)</f>
        <v>144</v>
      </c>
      <c r="BH135" s="3">
        <f>IFERROR(__xludf.DUMMYFUNCTION("""COMPUTED_VALUE"""),144.0)</f>
        <v>144</v>
      </c>
      <c r="BI135" s="3">
        <f>IFERROR(__xludf.DUMMYFUNCTION("""COMPUTED_VALUE"""),144.0)</f>
        <v>144</v>
      </c>
      <c r="BJ135" s="3">
        <f>IFERROR(__xludf.DUMMYFUNCTION("""COMPUTED_VALUE"""),150.0)</f>
        <v>150</v>
      </c>
      <c r="BK135" s="3">
        <f>IFERROR(__xludf.DUMMYFUNCTION("""COMPUTED_VALUE"""),191.0)</f>
        <v>191</v>
      </c>
      <c r="BL135" s="3">
        <f>IFERROR(__xludf.DUMMYFUNCTION("""COMPUTED_VALUE"""),232.0)</f>
        <v>232</v>
      </c>
      <c r="BM135" s="3">
        <f>IFERROR(__xludf.DUMMYFUNCTION("""COMPUTED_VALUE"""),235.0)</f>
        <v>235</v>
      </c>
      <c r="BN135" s="3">
        <f>IFERROR(__xludf.DUMMYFUNCTION("""COMPUTED_VALUE"""),235.0)</f>
        <v>235</v>
      </c>
      <c r="BO135" s="3">
        <f>IFERROR(__xludf.DUMMYFUNCTION("""COMPUTED_VALUE"""),285.0)</f>
        <v>285</v>
      </c>
      <c r="BP135" s="3">
        <f>IFERROR(__xludf.DUMMYFUNCTION("""COMPUTED_VALUE"""),310.0)</f>
        <v>310</v>
      </c>
      <c r="BQ135" s="3">
        <f>IFERROR(__xludf.DUMMYFUNCTION("""COMPUTED_VALUE"""),359.0)</f>
        <v>359</v>
      </c>
      <c r="BR135" s="3">
        <f>IFERROR(__xludf.DUMMYFUNCTION("""COMPUTED_VALUE"""),372.0)</f>
        <v>372</v>
      </c>
      <c r="BS135" s="3">
        <f>IFERROR(__xludf.DUMMYFUNCTION("""COMPUTED_VALUE"""),404.0)</f>
        <v>404</v>
      </c>
      <c r="BT135" s="3">
        <f>IFERROR(__xludf.DUMMYFUNCTION("""COMPUTED_VALUE"""),424.0)</f>
        <v>424</v>
      </c>
      <c r="BU135" s="3">
        <f>IFERROR(__xludf.DUMMYFUNCTION("""COMPUTED_VALUE"""),424.0)</f>
        <v>424</v>
      </c>
      <c r="BV135" s="3">
        <f>IFERROR(__xludf.DUMMYFUNCTION("""COMPUTED_VALUE"""),424.0)</f>
        <v>424</v>
      </c>
      <c r="BW135" s="3">
        <f>IFERROR(__xludf.DUMMYFUNCTION("""COMPUTED_VALUE"""),472.0)</f>
        <v>472</v>
      </c>
      <c r="BX135" s="3">
        <f>IFERROR(__xludf.DUMMYFUNCTION("""COMPUTED_VALUE"""),472.0)</f>
        <v>472</v>
      </c>
      <c r="BY135" s="3">
        <f>IFERROR(__xludf.DUMMYFUNCTION("""COMPUTED_VALUE"""),514.0)</f>
        <v>514</v>
      </c>
      <c r="BZ135" s="3">
        <f>IFERROR(__xludf.DUMMYFUNCTION("""COMPUTED_VALUE"""),514.0)</f>
        <v>514</v>
      </c>
      <c r="CA135" s="3">
        <f>IFERROR(__xludf.DUMMYFUNCTION("""COMPUTED_VALUE"""),514.0)</f>
        <v>514</v>
      </c>
      <c r="CB135" s="3">
        <f>IFERROR(__xludf.DUMMYFUNCTION("""COMPUTED_VALUE"""),575.0)</f>
        <v>575</v>
      </c>
    </row>
    <row r="136">
      <c r="A136" s="3" t="str">
        <f>IFERROR(__xludf.DUMMYFUNCTION("""COMPUTED_VALUE"""),"")</f>
        <v/>
      </c>
      <c r="B136" s="3" t="str">
        <f>IFERROR(__xludf.DUMMYFUNCTION("""COMPUTED_VALUE"""),"Jordan")</f>
        <v>Jordan</v>
      </c>
      <c r="C136" s="3">
        <f>IFERROR(__xludf.DUMMYFUNCTION("""COMPUTED_VALUE"""),31.24)</f>
        <v>31.24</v>
      </c>
      <c r="D136" s="3">
        <f>IFERROR(__xludf.DUMMYFUNCTION("""COMPUTED_VALUE"""),36.51)</f>
        <v>36.51</v>
      </c>
      <c r="E136" s="3">
        <f>IFERROR(__xludf.DUMMYFUNCTION("""COMPUTED_VALUE"""),0.0)</f>
        <v>0</v>
      </c>
      <c r="F136" s="3">
        <f>IFERROR(__xludf.DUMMYFUNCTION("""COMPUTED_VALUE"""),0.0)</f>
        <v>0</v>
      </c>
      <c r="G136" s="3">
        <f>IFERROR(__xludf.DUMMYFUNCTION("""COMPUTED_VALUE"""),0.0)</f>
        <v>0</v>
      </c>
      <c r="H136" s="3">
        <f>IFERROR(__xludf.DUMMYFUNCTION("""COMPUTED_VALUE"""),0.0)</f>
        <v>0</v>
      </c>
      <c r="I136" s="3">
        <f>IFERROR(__xludf.DUMMYFUNCTION("""COMPUTED_VALUE"""),0.0)</f>
        <v>0</v>
      </c>
      <c r="J136" s="3">
        <f>IFERROR(__xludf.DUMMYFUNCTION("""COMPUTED_VALUE"""),0.0)</f>
        <v>0</v>
      </c>
      <c r="K136" s="3">
        <f>IFERROR(__xludf.DUMMYFUNCTION("""COMPUTED_VALUE"""),0.0)</f>
        <v>0</v>
      </c>
      <c r="L136" s="3">
        <f>IFERROR(__xludf.DUMMYFUNCTION("""COMPUTED_VALUE"""),0.0)</f>
        <v>0</v>
      </c>
      <c r="M136" s="3">
        <f>IFERROR(__xludf.DUMMYFUNCTION("""COMPUTED_VALUE"""),0.0)</f>
        <v>0</v>
      </c>
      <c r="N136" s="3">
        <f>IFERROR(__xludf.DUMMYFUNCTION("""COMPUTED_VALUE"""),0.0)</f>
        <v>0</v>
      </c>
      <c r="O136" s="3">
        <f>IFERROR(__xludf.DUMMYFUNCTION("""COMPUTED_VALUE"""),0.0)</f>
        <v>0</v>
      </c>
      <c r="P136" s="3">
        <f>IFERROR(__xludf.DUMMYFUNCTION("""COMPUTED_VALUE"""),0.0)</f>
        <v>0</v>
      </c>
      <c r="Q136" s="3">
        <f>IFERROR(__xludf.DUMMYFUNCTION("""COMPUTED_VALUE"""),0.0)</f>
        <v>0</v>
      </c>
      <c r="R136" s="3">
        <f>IFERROR(__xludf.DUMMYFUNCTION("""COMPUTED_VALUE"""),0.0)</f>
        <v>0</v>
      </c>
      <c r="S136" s="3">
        <f>IFERROR(__xludf.DUMMYFUNCTION("""COMPUTED_VALUE"""),0.0)</f>
        <v>0</v>
      </c>
      <c r="T136" s="3">
        <f>IFERROR(__xludf.DUMMYFUNCTION("""COMPUTED_VALUE"""),0.0)</f>
        <v>0</v>
      </c>
      <c r="U136" s="3">
        <f>IFERROR(__xludf.DUMMYFUNCTION("""COMPUTED_VALUE"""),0.0)</f>
        <v>0</v>
      </c>
      <c r="V136" s="3">
        <f>IFERROR(__xludf.DUMMYFUNCTION("""COMPUTED_VALUE"""),0.0)</f>
        <v>0</v>
      </c>
      <c r="W136" s="3">
        <f>IFERROR(__xludf.DUMMYFUNCTION("""COMPUTED_VALUE"""),0.0)</f>
        <v>0</v>
      </c>
      <c r="X136" s="3">
        <f>IFERROR(__xludf.DUMMYFUNCTION("""COMPUTED_VALUE"""),0.0)</f>
        <v>0</v>
      </c>
      <c r="Y136" s="3">
        <f>IFERROR(__xludf.DUMMYFUNCTION("""COMPUTED_VALUE"""),0.0)</f>
        <v>0</v>
      </c>
      <c r="Z136" s="3">
        <f>IFERROR(__xludf.DUMMYFUNCTION("""COMPUTED_VALUE"""),0.0)</f>
        <v>0</v>
      </c>
      <c r="AA136" s="3">
        <f>IFERROR(__xludf.DUMMYFUNCTION("""COMPUTED_VALUE"""),0.0)</f>
        <v>0</v>
      </c>
      <c r="AB136" s="3">
        <f>IFERROR(__xludf.DUMMYFUNCTION("""COMPUTED_VALUE"""),0.0)</f>
        <v>0</v>
      </c>
      <c r="AC136" s="3">
        <f>IFERROR(__xludf.DUMMYFUNCTION("""COMPUTED_VALUE"""),0.0)</f>
        <v>0</v>
      </c>
      <c r="AD136" s="3">
        <f>IFERROR(__xludf.DUMMYFUNCTION("""COMPUTED_VALUE"""),0.0)</f>
        <v>0</v>
      </c>
      <c r="AE136" s="3">
        <f>IFERROR(__xludf.DUMMYFUNCTION("""COMPUTED_VALUE"""),0.0)</f>
        <v>0</v>
      </c>
      <c r="AF136" s="3">
        <f>IFERROR(__xludf.DUMMYFUNCTION("""COMPUTED_VALUE"""),0.0)</f>
        <v>0</v>
      </c>
      <c r="AG136" s="3">
        <f>IFERROR(__xludf.DUMMYFUNCTION("""COMPUTED_VALUE"""),0.0)</f>
        <v>0</v>
      </c>
      <c r="AH136" s="3">
        <f>IFERROR(__xludf.DUMMYFUNCTION("""COMPUTED_VALUE"""),0.0)</f>
        <v>0</v>
      </c>
      <c r="AI136" s="3">
        <f>IFERROR(__xludf.DUMMYFUNCTION("""COMPUTED_VALUE"""),0.0)</f>
        <v>0</v>
      </c>
      <c r="AJ136" s="3">
        <f>IFERROR(__xludf.DUMMYFUNCTION("""COMPUTED_VALUE"""),0.0)</f>
        <v>0</v>
      </c>
      <c r="AK136" s="3">
        <f>IFERROR(__xludf.DUMMYFUNCTION("""COMPUTED_VALUE"""),0.0)</f>
        <v>0</v>
      </c>
      <c r="AL136" s="3">
        <f>IFERROR(__xludf.DUMMYFUNCTION("""COMPUTED_VALUE"""),0.0)</f>
        <v>0</v>
      </c>
      <c r="AM136" s="3">
        <f>IFERROR(__xludf.DUMMYFUNCTION("""COMPUTED_VALUE"""),0.0)</f>
        <v>0</v>
      </c>
      <c r="AN136" s="3">
        <f>IFERROR(__xludf.DUMMYFUNCTION("""COMPUTED_VALUE"""),0.0)</f>
        <v>0</v>
      </c>
      <c r="AO136" s="3">
        <f>IFERROR(__xludf.DUMMYFUNCTION("""COMPUTED_VALUE"""),0.0)</f>
        <v>0</v>
      </c>
      <c r="AP136" s="3">
        <f>IFERROR(__xludf.DUMMYFUNCTION("""COMPUTED_VALUE"""),0.0)</f>
        <v>0</v>
      </c>
      <c r="AQ136" s="3">
        <f>IFERROR(__xludf.DUMMYFUNCTION("""COMPUTED_VALUE"""),0.0)</f>
        <v>0</v>
      </c>
      <c r="AR136" s="3">
        <f>IFERROR(__xludf.DUMMYFUNCTION("""COMPUTED_VALUE"""),0.0)</f>
        <v>0</v>
      </c>
      <c r="AS136" s="3">
        <f>IFERROR(__xludf.DUMMYFUNCTION("""COMPUTED_VALUE"""),0.0)</f>
        <v>0</v>
      </c>
      <c r="AT136" s="3">
        <f>IFERROR(__xludf.DUMMYFUNCTION("""COMPUTED_VALUE"""),0.0)</f>
        <v>0</v>
      </c>
      <c r="AU136" s="3">
        <f>IFERROR(__xludf.DUMMYFUNCTION("""COMPUTED_VALUE"""),0.0)</f>
        <v>0</v>
      </c>
      <c r="AV136" s="3">
        <f>IFERROR(__xludf.DUMMYFUNCTION("""COMPUTED_VALUE"""),0.0)</f>
        <v>0</v>
      </c>
      <c r="AW136" s="3">
        <f>IFERROR(__xludf.DUMMYFUNCTION("""COMPUTED_VALUE"""),0.0)</f>
        <v>0</v>
      </c>
      <c r="AX136" s="3">
        <f>IFERROR(__xludf.DUMMYFUNCTION("""COMPUTED_VALUE"""),0.0)</f>
        <v>0</v>
      </c>
      <c r="AY136" s="3">
        <f>IFERROR(__xludf.DUMMYFUNCTION("""COMPUTED_VALUE"""),0.0)</f>
        <v>0</v>
      </c>
      <c r="AZ136" s="3">
        <f>IFERROR(__xludf.DUMMYFUNCTION("""COMPUTED_VALUE"""),0.0)</f>
        <v>0</v>
      </c>
      <c r="BA136" s="3">
        <f>IFERROR(__xludf.DUMMYFUNCTION("""COMPUTED_VALUE"""),0.0)</f>
        <v>0</v>
      </c>
      <c r="BB136" s="3">
        <f>IFERROR(__xludf.DUMMYFUNCTION("""COMPUTED_VALUE"""),0.0)</f>
        <v>0</v>
      </c>
      <c r="BC136" s="3">
        <f>IFERROR(__xludf.DUMMYFUNCTION("""COMPUTED_VALUE"""),0.0)</f>
        <v>0</v>
      </c>
      <c r="BD136" s="3">
        <f>IFERROR(__xludf.DUMMYFUNCTION("""COMPUTED_VALUE"""),1.0)</f>
        <v>1</v>
      </c>
      <c r="BE136" s="3">
        <f>IFERROR(__xludf.DUMMYFUNCTION("""COMPUTED_VALUE"""),1.0)</f>
        <v>1</v>
      </c>
      <c r="BF136" s="3">
        <f>IFERROR(__xludf.DUMMYFUNCTION("""COMPUTED_VALUE"""),1.0)</f>
        <v>1</v>
      </c>
      <c r="BG136" s="3">
        <f>IFERROR(__xludf.DUMMYFUNCTION("""COMPUTED_VALUE"""),1.0)</f>
        <v>1</v>
      </c>
      <c r="BH136" s="3">
        <f>IFERROR(__xludf.DUMMYFUNCTION("""COMPUTED_VALUE"""),1.0)</f>
        <v>1</v>
      </c>
      <c r="BI136" s="3">
        <f>IFERROR(__xludf.DUMMYFUNCTION("""COMPUTED_VALUE"""),1.0)</f>
        <v>1</v>
      </c>
      <c r="BJ136" s="3">
        <f>IFERROR(__xludf.DUMMYFUNCTION("""COMPUTED_VALUE"""),1.0)</f>
        <v>1</v>
      </c>
      <c r="BK136" s="3">
        <f>IFERROR(__xludf.DUMMYFUNCTION("""COMPUTED_VALUE"""),1.0)</f>
        <v>1</v>
      </c>
      <c r="BL136" s="3">
        <f>IFERROR(__xludf.DUMMYFUNCTION("""COMPUTED_VALUE"""),1.0)</f>
        <v>1</v>
      </c>
      <c r="BM136" s="3">
        <f>IFERROR(__xludf.DUMMYFUNCTION("""COMPUTED_VALUE"""),1.0)</f>
        <v>1</v>
      </c>
      <c r="BN136" s="3">
        <f>IFERROR(__xludf.DUMMYFUNCTION("""COMPUTED_VALUE"""),1.0)</f>
        <v>1</v>
      </c>
      <c r="BO136" s="3">
        <f>IFERROR(__xludf.DUMMYFUNCTION("""COMPUTED_VALUE"""),1.0)</f>
        <v>1</v>
      </c>
      <c r="BP136" s="3">
        <f>IFERROR(__xludf.DUMMYFUNCTION("""COMPUTED_VALUE"""),1.0)</f>
        <v>1</v>
      </c>
      <c r="BQ136" s="3">
        <f>IFERROR(__xludf.DUMMYFUNCTION("""COMPUTED_VALUE"""),1.0)</f>
        <v>1</v>
      </c>
      <c r="BR136" s="3">
        <f>IFERROR(__xludf.DUMMYFUNCTION("""COMPUTED_VALUE"""),18.0)</f>
        <v>18</v>
      </c>
      <c r="BS136" s="3">
        <f>IFERROR(__xludf.DUMMYFUNCTION("""COMPUTED_VALUE"""),18.0)</f>
        <v>18</v>
      </c>
      <c r="BT136" s="3">
        <f>IFERROR(__xludf.DUMMYFUNCTION("""COMPUTED_VALUE"""),18.0)</f>
        <v>18</v>
      </c>
      <c r="BU136" s="3">
        <f>IFERROR(__xludf.DUMMYFUNCTION("""COMPUTED_VALUE"""),26.0)</f>
        <v>26</v>
      </c>
      <c r="BV136" s="3">
        <f>IFERROR(__xludf.DUMMYFUNCTION("""COMPUTED_VALUE"""),30.0)</f>
        <v>30</v>
      </c>
      <c r="BW136" s="3">
        <f>IFERROR(__xludf.DUMMYFUNCTION("""COMPUTED_VALUE"""),36.0)</f>
        <v>36</v>
      </c>
      <c r="BX136" s="3">
        <f>IFERROR(__xludf.DUMMYFUNCTION("""COMPUTED_VALUE"""),45.0)</f>
        <v>45</v>
      </c>
      <c r="BY136" s="3">
        <f>IFERROR(__xludf.DUMMYFUNCTION("""COMPUTED_VALUE"""),58.0)</f>
        <v>58</v>
      </c>
      <c r="BZ136" s="3">
        <f>IFERROR(__xludf.DUMMYFUNCTION("""COMPUTED_VALUE"""),74.0)</f>
        <v>74</v>
      </c>
      <c r="CA136" s="3">
        <f>IFERROR(__xludf.DUMMYFUNCTION("""COMPUTED_VALUE"""),110.0)</f>
        <v>110</v>
      </c>
      <c r="CB136" s="3">
        <f>IFERROR(__xludf.DUMMYFUNCTION("""COMPUTED_VALUE"""),126.0)</f>
        <v>126</v>
      </c>
    </row>
    <row r="137">
      <c r="A137" s="3" t="str">
        <f>IFERROR(__xludf.DUMMYFUNCTION("""COMPUTED_VALUE"""),"")</f>
        <v/>
      </c>
      <c r="B137" s="3" t="str">
        <f>IFERROR(__xludf.DUMMYFUNCTION("""COMPUTED_VALUE"""),"Kazakhstan")</f>
        <v>Kazakhstan</v>
      </c>
      <c r="C137" s="3">
        <f>IFERROR(__xludf.DUMMYFUNCTION("""COMPUTED_VALUE"""),48.0196)</f>
        <v>48.0196</v>
      </c>
      <c r="D137" s="3">
        <f>IFERROR(__xludf.DUMMYFUNCTION("""COMPUTED_VALUE"""),66.9237)</f>
        <v>66.9237</v>
      </c>
      <c r="E137" s="3">
        <f>IFERROR(__xludf.DUMMYFUNCTION("""COMPUTED_VALUE"""),0.0)</f>
        <v>0</v>
      </c>
      <c r="F137" s="3">
        <f>IFERROR(__xludf.DUMMYFUNCTION("""COMPUTED_VALUE"""),0.0)</f>
        <v>0</v>
      </c>
      <c r="G137" s="3">
        <f>IFERROR(__xludf.DUMMYFUNCTION("""COMPUTED_VALUE"""),0.0)</f>
        <v>0</v>
      </c>
      <c r="H137" s="3">
        <f>IFERROR(__xludf.DUMMYFUNCTION("""COMPUTED_VALUE"""),0.0)</f>
        <v>0</v>
      </c>
      <c r="I137" s="3">
        <f>IFERROR(__xludf.DUMMYFUNCTION("""COMPUTED_VALUE"""),0.0)</f>
        <v>0</v>
      </c>
      <c r="J137" s="3">
        <f>IFERROR(__xludf.DUMMYFUNCTION("""COMPUTED_VALUE"""),0.0)</f>
        <v>0</v>
      </c>
      <c r="K137" s="3">
        <f>IFERROR(__xludf.DUMMYFUNCTION("""COMPUTED_VALUE"""),0.0)</f>
        <v>0</v>
      </c>
      <c r="L137" s="3">
        <f>IFERROR(__xludf.DUMMYFUNCTION("""COMPUTED_VALUE"""),0.0)</f>
        <v>0</v>
      </c>
      <c r="M137" s="3">
        <f>IFERROR(__xludf.DUMMYFUNCTION("""COMPUTED_VALUE"""),0.0)</f>
        <v>0</v>
      </c>
      <c r="N137" s="3">
        <f>IFERROR(__xludf.DUMMYFUNCTION("""COMPUTED_VALUE"""),0.0)</f>
        <v>0</v>
      </c>
      <c r="O137" s="3">
        <f>IFERROR(__xludf.DUMMYFUNCTION("""COMPUTED_VALUE"""),0.0)</f>
        <v>0</v>
      </c>
      <c r="P137" s="3">
        <f>IFERROR(__xludf.DUMMYFUNCTION("""COMPUTED_VALUE"""),0.0)</f>
        <v>0</v>
      </c>
      <c r="Q137" s="3">
        <f>IFERROR(__xludf.DUMMYFUNCTION("""COMPUTED_VALUE"""),0.0)</f>
        <v>0</v>
      </c>
      <c r="R137" s="3">
        <f>IFERROR(__xludf.DUMMYFUNCTION("""COMPUTED_VALUE"""),0.0)</f>
        <v>0</v>
      </c>
      <c r="S137" s="3">
        <f>IFERROR(__xludf.DUMMYFUNCTION("""COMPUTED_VALUE"""),0.0)</f>
        <v>0</v>
      </c>
      <c r="T137" s="3">
        <f>IFERROR(__xludf.DUMMYFUNCTION("""COMPUTED_VALUE"""),0.0)</f>
        <v>0</v>
      </c>
      <c r="U137" s="3">
        <f>IFERROR(__xludf.DUMMYFUNCTION("""COMPUTED_VALUE"""),0.0)</f>
        <v>0</v>
      </c>
      <c r="V137" s="3">
        <f>IFERROR(__xludf.DUMMYFUNCTION("""COMPUTED_VALUE"""),0.0)</f>
        <v>0</v>
      </c>
      <c r="W137" s="3">
        <f>IFERROR(__xludf.DUMMYFUNCTION("""COMPUTED_VALUE"""),0.0)</f>
        <v>0</v>
      </c>
      <c r="X137" s="3">
        <f>IFERROR(__xludf.DUMMYFUNCTION("""COMPUTED_VALUE"""),0.0)</f>
        <v>0</v>
      </c>
      <c r="Y137" s="3">
        <f>IFERROR(__xludf.DUMMYFUNCTION("""COMPUTED_VALUE"""),0.0)</f>
        <v>0</v>
      </c>
      <c r="Z137" s="3">
        <f>IFERROR(__xludf.DUMMYFUNCTION("""COMPUTED_VALUE"""),0.0)</f>
        <v>0</v>
      </c>
      <c r="AA137" s="3">
        <f>IFERROR(__xludf.DUMMYFUNCTION("""COMPUTED_VALUE"""),0.0)</f>
        <v>0</v>
      </c>
      <c r="AB137" s="3">
        <f>IFERROR(__xludf.DUMMYFUNCTION("""COMPUTED_VALUE"""),0.0)</f>
        <v>0</v>
      </c>
      <c r="AC137" s="3">
        <f>IFERROR(__xludf.DUMMYFUNCTION("""COMPUTED_VALUE"""),0.0)</f>
        <v>0</v>
      </c>
      <c r="AD137" s="3">
        <f>IFERROR(__xludf.DUMMYFUNCTION("""COMPUTED_VALUE"""),0.0)</f>
        <v>0</v>
      </c>
      <c r="AE137" s="3">
        <f>IFERROR(__xludf.DUMMYFUNCTION("""COMPUTED_VALUE"""),0.0)</f>
        <v>0</v>
      </c>
      <c r="AF137" s="3">
        <f>IFERROR(__xludf.DUMMYFUNCTION("""COMPUTED_VALUE"""),0.0)</f>
        <v>0</v>
      </c>
      <c r="AG137" s="3">
        <f>IFERROR(__xludf.DUMMYFUNCTION("""COMPUTED_VALUE"""),0.0)</f>
        <v>0</v>
      </c>
      <c r="AH137" s="3">
        <f>IFERROR(__xludf.DUMMYFUNCTION("""COMPUTED_VALUE"""),0.0)</f>
        <v>0</v>
      </c>
      <c r="AI137" s="3">
        <f>IFERROR(__xludf.DUMMYFUNCTION("""COMPUTED_VALUE"""),0.0)</f>
        <v>0</v>
      </c>
      <c r="AJ137" s="3">
        <f>IFERROR(__xludf.DUMMYFUNCTION("""COMPUTED_VALUE"""),0.0)</f>
        <v>0</v>
      </c>
      <c r="AK137" s="3">
        <f>IFERROR(__xludf.DUMMYFUNCTION("""COMPUTED_VALUE"""),0.0)</f>
        <v>0</v>
      </c>
      <c r="AL137" s="3">
        <f>IFERROR(__xludf.DUMMYFUNCTION("""COMPUTED_VALUE"""),0.0)</f>
        <v>0</v>
      </c>
      <c r="AM137" s="3">
        <f>IFERROR(__xludf.DUMMYFUNCTION("""COMPUTED_VALUE"""),0.0)</f>
        <v>0</v>
      </c>
      <c r="AN137" s="3">
        <f>IFERROR(__xludf.DUMMYFUNCTION("""COMPUTED_VALUE"""),0.0)</f>
        <v>0</v>
      </c>
      <c r="AO137" s="3">
        <f>IFERROR(__xludf.DUMMYFUNCTION("""COMPUTED_VALUE"""),0.0)</f>
        <v>0</v>
      </c>
      <c r="AP137" s="3">
        <f>IFERROR(__xludf.DUMMYFUNCTION("""COMPUTED_VALUE"""),0.0)</f>
        <v>0</v>
      </c>
      <c r="AQ137" s="3">
        <f>IFERROR(__xludf.DUMMYFUNCTION("""COMPUTED_VALUE"""),0.0)</f>
        <v>0</v>
      </c>
      <c r="AR137" s="3">
        <f>IFERROR(__xludf.DUMMYFUNCTION("""COMPUTED_VALUE"""),0.0)</f>
        <v>0</v>
      </c>
      <c r="AS137" s="3">
        <f>IFERROR(__xludf.DUMMYFUNCTION("""COMPUTED_VALUE"""),0.0)</f>
        <v>0</v>
      </c>
      <c r="AT137" s="3">
        <f>IFERROR(__xludf.DUMMYFUNCTION("""COMPUTED_VALUE"""),0.0)</f>
        <v>0</v>
      </c>
      <c r="AU137" s="3">
        <f>IFERROR(__xludf.DUMMYFUNCTION("""COMPUTED_VALUE"""),0.0)</f>
        <v>0</v>
      </c>
      <c r="AV137" s="3">
        <f>IFERROR(__xludf.DUMMYFUNCTION("""COMPUTED_VALUE"""),0.0)</f>
        <v>0</v>
      </c>
      <c r="AW137" s="3">
        <f>IFERROR(__xludf.DUMMYFUNCTION("""COMPUTED_VALUE"""),0.0)</f>
        <v>0</v>
      </c>
      <c r="AX137" s="3">
        <f>IFERROR(__xludf.DUMMYFUNCTION("""COMPUTED_VALUE"""),0.0)</f>
        <v>0</v>
      </c>
      <c r="AY137" s="3">
        <f>IFERROR(__xludf.DUMMYFUNCTION("""COMPUTED_VALUE"""),0.0)</f>
        <v>0</v>
      </c>
      <c r="AZ137" s="3">
        <f>IFERROR(__xludf.DUMMYFUNCTION("""COMPUTED_VALUE"""),0.0)</f>
        <v>0</v>
      </c>
      <c r="BA137" s="3">
        <f>IFERROR(__xludf.DUMMYFUNCTION("""COMPUTED_VALUE"""),0.0)</f>
        <v>0</v>
      </c>
      <c r="BB137" s="3">
        <f>IFERROR(__xludf.DUMMYFUNCTION("""COMPUTED_VALUE"""),0.0)</f>
        <v>0</v>
      </c>
      <c r="BC137" s="3">
        <f>IFERROR(__xludf.DUMMYFUNCTION("""COMPUTED_VALUE"""),0.0)</f>
        <v>0</v>
      </c>
      <c r="BD137" s="3">
        <f>IFERROR(__xludf.DUMMYFUNCTION("""COMPUTED_VALUE"""),0.0)</f>
        <v>0</v>
      </c>
      <c r="BE137" s="3">
        <f>IFERROR(__xludf.DUMMYFUNCTION("""COMPUTED_VALUE"""),0.0)</f>
        <v>0</v>
      </c>
      <c r="BF137" s="3">
        <f>IFERROR(__xludf.DUMMYFUNCTION("""COMPUTED_VALUE"""),0.0)</f>
        <v>0</v>
      </c>
      <c r="BG137" s="3">
        <f>IFERROR(__xludf.DUMMYFUNCTION("""COMPUTED_VALUE"""),0.0)</f>
        <v>0</v>
      </c>
      <c r="BH137" s="3">
        <f>IFERROR(__xludf.DUMMYFUNCTION("""COMPUTED_VALUE"""),0.0)</f>
        <v>0</v>
      </c>
      <c r="BI137" s="3">
        <f>IFERROR(__xludf.DUMMYFUNCTION("""COMPUTED_VALUE"""),0.0)</f>
        <v>0</v>
      </c>
      <c r="BJ137" s="3">
        <f>IFERROR(__xludf.DUMMYFUNCTION("""COMPUTED_VALUE"""),0.0)</f>
        <v>0</v>
      </c>
      <c r="BK137" s="3">
        <f>IFERROR(__xludf.DUMMYFUNCTION("""COMPUTED_VALUE"""),0.0)</f>
        <v>0</v>
      </c>
      <c r="BL137" s="3">
        <f>IFERROR(__xludf.DUMMYFUNCTION("""COMPUTED_VALUE"""),0.0)</f>
        <v>0</v>
      </c>
      <c r="BM137" s="3">
        <f>IFERROR(__xludf.DUMMYFUNCTION("""COMPUTED_VALUE"""),0.0)</f>
        <v>0</v>
      </c>
      <c r="BN137" s="3">
        <f>IFERROR(__xludf.DUMMYFUNCTION("""COMPUTED_VALUE"""),0.0)</f>
        <v>0</v>
      </c>
      <c r="BO137" s="3">
        <f>IFERROR(__xludf.DUMMYFUNCTION("""COMPUTED_VALUE"""),0.0)</f>
        <v>0</v>
      </c>
      <c r="BP137" s="3">
        <f>IFERROR(__xludf.DUMMYFUNCTION("""COMPUTED_VALUE"""),0.0)</f>
        <v>0</v>
      </c>
      <c r="BQ137" s="3">
        <f>IFERROR(__xludf.DUMMYFUNCTION("""COMPUTED_VALUE"""),2.0)</f>
        <v>2</v>
      </c>
      <c r="BR137" s="3">
        <f>IFERROR(__xludf.DUMMYFUNCTION("""COMPUTED_VALUE"""),3.0)</f>
        <v>3</v>
      </c>
      <c r="BS137" s="3">
        <f>IFERROR(__xludf.DUMMYFUNCTION("""COMPUTED_VALUE"""),16.0)</f>
        <v>16</v>
      </c>
      <c r="BT137" s="3">
        <f>IFERROR(__xludf.DUMMYFUNCTION("""COMPUTED_VALUE"""),20.0)</f>
        <v>20</v>
      </c>
      <c r="BU137" s="3">
        <f>IFERROR(__xludf.DUMMYFUNCTION("""COMPUTED_VALUE"""),21.0)</f>
        <v>21</v>
      </c>
      <c r="BV137" s="3">
        <f>IFERROR(__xludf.DUMMYFUNCTION("""COMPUTED_VALUE"""),24.0)</f>
        <v>24</v>
      </c>
      <c r="BW137" s="3">
        <f>IFERROR(__xludf.DUMMYFUNCTION("""COMPUTED_VALUE"""),26.0)</f>
        <v>26</v>
      </c>
      <c r="BX137" s="3">
        <f>IFERROR(__xludf.DUMMYFUNCTION("""COMPUTED_VALUE"""),27.0)</f>
        <v>27</v>
      </c>
      <c r="BY137" s="3">
        <f>IFERROR(__xludf.DUMMYFUNCTION("""COMPUTED_VALUE"""),29.0)</f>
        <v>29</v>
      </c>
      <c r="BZ137" s="3">
        <f>IFERROR(__xludf.DUMMYFUNCTION("""COMPUTED_VALUE"""),36.0)</f>
        <v>36</v>
      </c>
      <c r="CA137" s="3">
        <f>IFERROR(__xludf.DUMMYFUNCTION("""COMPUTED_VALUE"""),42.0)</f>
        <v>42</v>
      </c>
      <c r="CB137" s="3">
        <f>IFERROR(__xludf.DUMMYFUNCTION("""COMPUTED_VALUE"""),46.0)</f>
        <v>46</v>
      </c>
    </row>
    <row r="138">
      <c r="A138" s="3" t="str">
        <f>IFERROR(__xludf.DUMMYFUNCTION("""COMPUTED_VALUE"""),"")</f>
        <v/>
      </c>
      <c r="B138" s="3" t="str">
        <f>IFERROR(__xludf.DUMMYFUNCTION("""COMPUTED_VALUE"""),"Kenya")</f>
        <v>Kenya</v>
      </c>
      <c r="C138" s="3">
        <f>IFERROR(__xludf.DUMMYFUNCTION("""COMPUTED_VALUE"""),-0.0236)</f>
        <v>-0.0236</v>
      </c>
      <c r="D138" s="3">
        <f>IFERROR(__xludf.DUMMYFUNCTION("""COMPUTED_VALUE"""),37.9062)</f>
        <v>37.9062</v>
      </c>
      <c r="E138" s="3">
        <f>IFERROR(__xludf.DUMMYFUNCTION("""COMPUTED_VALUE"""),0.0)</f>
        <v>0</v>
      </c>
      <c r="F138" s="3">
        <f>IFERROR(__xludf.DUMMYFUNCTION("""COMPUTED_VALUE"""),0.0)</f>
        <v>0</v>
      </c>
      <c r="G138" s="3">
        <f>IFERROR(__xludf.DUMMYFUNCTION("""COMPUTED_VALUE"""),0.0)</f>
        <v>0</v>
      </c>
      <c r="H138" s="3">
        <f>IFERROR(__xludf.DUMMYFUNCTION("""COMPUTED_VALUE"""),0.0)</f>
        <v>0</v>
      </c>
      <c r="I138" s="3">
        <f>IFERROR(__xludf.DUMMYFUNCTION("""COMPUTED_VALUE"""),0.0)</f>
        <v>0</v>
      </c>
      <c r="J138" s="3">
        <f>IFERROR(__xludf.DUMMYFUNCTION("""COMPUTED_VALUE"""),0.0)</f>
        <v>0</v>
      </c>
      <c r="K138" s="3">
        <f>IFERROR(__xludf.DUMMYFUNCTION("""COMPUTED_VALUE"""),0.0)</f>
        <v>0</v>
      </c>
      <c r="L138" s="3">
        <f>IFERROR(__xludf.DUMMYFUNCTION("""COMPUTED_VALUE"""),0.0)</f>
        <v>0</v>
      </c>
      <c r="M138" s="3">
        <f>IFERROR(__xludf.DUMMYFUNCTION("""COMPUTED_VALUE"""),0.0)</f>
        <v>0</v>
      </c>
      <c r="N138" s="3">
        <f>IFERROR(__xludf.DUMMYFUNCTION("""COMPUTED_VALUE"""),0.0)</f>
        <v>0</v>
      </c>
      <c r="O138" s="3">
        <f>IFERROR(__xludf.DUMMYFUNCTION("""COMPUTED_VALUE"""),0.0)</f>
        <v>0</v>
      </c>
      <c r="P138" s="3">
        <f>IFERROR(__xludf.DUMMYFUNCTION("""COMPUTED_VALUE"""),0.0)</f>
        <v>0</v>
      </c>
      <c r="Q138" s="3">
        <f>IFERROR(__xludf.DUMMYFUNCTION("""COMPUTED_VALUE"""),0.0)</f>
        <v>0</v>
      </c>
      <c r="R138" s="3">
        <f>IFERROR(__xludf.DUMMYFUNCTION("""COMPUTED_VALUE"""),0.0)</f>
        <v>0</v>
      </c>
      <c r="S138" s="3">
        <f>IFERROR(__xludf.DUMMYFUNCTION("""COMPUTED_VALUE"""),0.0)</f>
        <v>0</v>
      </c>
      <c r="T138" s="3">
        <f>IFERROR(__xludf.DUMMYFUNCTION("""COMPUTED_VALUE"""),0.0)</f>
        <v>0</v>
      </c>
      <c r="U138" s="3">
        <f>IFERROR(__xludf.DUMMYFUNCTION("""COMPUTED_VALUE"""),0.0)</f>
        <v>0</v>
      </c>
      <c r="V138" s="3">
        <f>IFERROR(__xludf.DUMMYFUNCTION("""COMPUTED_VALUE"""),0.0)</f>
        <v>0</v>
      </c>
      <c r="W138" s="3">
        <f>IFERROR(__xludf.DUMMYFUNCTION("""COMPUTED_VALUE"""),0.0)</f>
        <v>0</v>
      </c>
      <c r="X138" s="3">
        <f>IFERROR(__xludf.DUMMYFUNCTION("""COMPUTED_VALUE"""),0.0)</f>
        <v>0</v>
      </c>
      <c r="Y138" s="3">
        <f>IFERROR(__xludf.DUMMYFUNCTION("""COMPUTED_VALUE"""),0.0)</f>
        <v>0</v>
      </c>
      <c r="Z138" s="3">
        <f>IFERROR(__xludf.DUMMYFUNCTION("""COMPUTED_VALUE"""),0.0)</f>
        <v>0</v>
      </c>
      <c r="AA138" s="3">
        <f>IFERROR(__xludf.DUMMYFUNCTION("""COMPUTED_VALUE"""),0.0)</f>
        <v>0</v>
      </c>
      <c r="AB138" s="3">
        <f>IFERROR(__xludf.DUMMYFUNCTION("""COMPUTED_VALUE"""),0.0)</f>
        <v>0</v>
      </c>
      <c r="AC138" s="3">
        <f>IFERROR(__xludf.DUMMYFUNCTION("""COMPUTED_VALUE"""),0.0)</f>
        <v>0</v>
      </c>
      <c r="AD138" s="3">
        <f>IFERROR(__xludf.DUMMYFUNCTION("""COMPUTED_VALUE"""),0.0)</f>
        <v>0</v>
      </c>
      <c r="AE138" s="3">
        <f>IFERROR(__xludf.DUMMYFUNCTION("""COMPUTED_VALUE"""),0.0)</f>
        <v>0</v>
      </c>
      <c r="AF138" s="3">
        <f>IFERROR(__xludf.DUMMYFUNCTION("""COMPUTED_VALUE"""),0.0)</f>
        <v>0</v>
      </c>
      <c r="AG138" s="3">
        <f>IFERROR(__xludf.DUMMYFUNCTION("""COMPUTED_VALUE"""),0.0)</f>
        <v>0</v>
      </c>
      <c r="AH138" s="3">
        <f>IFERROR(__xludf.DUMMYFUNCTION("""COMPUTED_VALUE"""),0.0)</f>
        <v>0</v>
      </c>
      <c r="AI138" s="3">
        <f>IFERROR(__xludf.DUMMYFUNCTION("""COMPUTED_VALUE"""),0.0)</f>
        <v>0</v>
      </c>
      <c r="AJ138" s="3">
        <f>IFERROR(__xludf.DUMMYFUNCTION("""COMPUTED_VALUE"""),0.0)</f>
        <v>0</v>
      </c>
      <c r="AK138" s="3">
        <f>IFERROR(__xludf.DUMMYFUNCTION("""COMPUTED_VALUE"""),0.0)</f>
        <v>0</v>
      </c>
      <c r="AL138" s="3">
        <f>IFERROR(__xludf.DUMMYFUNCTION("""COMPUTED_VALUE"""),0.0)</f>
        <v>0</v>
      </c>
      <c r="AM138" s="3">
        <f>IFERROR(__xludf.DUMMYFUNCTION("""COMPUTED_VALUE"""),0.0)</f>
        <v>0</v>
      </c>
      <c r="AN138" s="3">
        <f>IFERROR(__xludf.DUMMYFUNCTION("""COMPUTED_VALUE"""),0.0)</f>
        <v>0</v>
      </c>
      <c r="AO138" s="3">
        <f>IFERROR(__xludf.DUMMYFUNCTION("""COMPUTED_VALUE"""),0.0)</f>
        <v>0</v>
      </c>
      <c r="AP138" s="3">
        <f>IFERROR(__xludf.DUMMYFUNCTION("""COMPUTED_VALUE"""),0.0)</f>
        <v>0</v>
      </c>
      <c r="AQ138" s="3">
        <f>IFERROR(__xludf.DUMMYFUNCTION("""COMPUTED_VALUE"""),0.0)</f>
        <v>0</v>
      </c>
      <c r="AR138" s="3">
        <f>IFERROR(__xludf.DUMMYFUNCTION("""COMPUTED_VALUE"""),0.0)</f>
        <v>0</v>
      </c>
      <c r="AS138" s="3">
        <f>IFERROR(__xludf.DUMMYFUNCTION("""COMPUTED_VALUE"""),0.0)</f>
        <v>0</v>
      </c>
      <c r="AT138" s="3">
        <f>IFERROR(__xludf.DUMMYFUNCTION("""COMPUTED_VALUE"""),0.0)</f>
        <v>0</v>
      </c>
      <c r="AU138" s="3">
        <f>IFERROR(__xludf.DUMMYFUNCTION("""COMPUTED_VALUE"""),0.0)</f>
        <v>0</v>
      </c>
      <c r="AV138" s="3">
        <f>IFERROR(__xludf.DUMMYFUNCTION("""COMPUTED_VALUE"""),0.0)</f>
        <v>0</v>
      </c>
      <c r="AW138" s="3">
        <f>IFERROR(__xludf.DUMMYFUNCTION("""COMPUTED_VALUE"""),0.0)</f>
        <v>0</v>
      </c>
      <c r="AX138" s="3">
        <f>IFERROR(__xludf.DUMMYFUNCTION("""COMPUTED_VALUE"""),0.0)</f>
        <v>0</v>
      </c>
      <c r="AY138" s="3">
        <f>IFERROR(__xludf.DUMMYFUNCTION("""COMPUTED_VALUE"""),0.0)</f>
        <v>0</v>
      </c>
      <c r="AZ138" s="3">
        <f>IFERROR(__xludf.DUMMYFUNCTION("""COMPUTED_VALUE"""),0.0)</f>
        <v>0</v>
      </c>
      <c r="BA138" s="3">
        <f>IFERROR(__xludf.DUMMYFUNCTION("""COMPUTED_VALUE"""),0.0)</f>
        <v>0</v>
      </c>
      <c r="BB138" s="3">
        <f>IFERROR(__xludf.DUMMYFUNCTION("""COMPUTED_VALUE"""),0.0)</f>
        <v>0</v>
      </c>
      <c r="BC138" s="3">
        <f>IFERROR(__xludf.DUMMYFUNCTION("""COMPUTED_VALUE"""),0.0)</f>
        <v>0</v>
      </c>
      <c r="BD138" s="3">
        <f>IFERROR(__xludf.DUMMYFUNCTION("""COMPUTED_VALUE"""),0.0)</f>
        <v>0</v>
      </c>
      <c r="BE138" s="3">
        <f>IFERROR(__xludf.DUMMYFUNCTION("""COMPUTED_VALUE"""),0.0)</f>
        <v>0</v>
      </c>
      <c r="BF138" s="3">
        <f>IFERROR(__xludf.DUMMYFUNCTION("""COMPUTED_VALUE"""),0.0)</f>
        <v>0</v>
      </c>
      <c r="BG138" s="3">
        <f>IFERROR(__xludf.DUMMYFUNCTION("""COMPUTED_VALUE"""),0.0)</f>
        <v>0</v>
      </c>
      <c r="BH138" s="3">
        <f>IFERROR(__xludf.DUMMYFUNCTION("""COMPUTED_VALUE"""),0.0)</f>
        <v>0</v>
      </c>
      <c r="BI138" s="3">
        <f>IFERROR(__xludf.DUMMYFUNCTION("""COMPUTED_VALUE"""),0.0)</f>
        <v>0</v>
      </c>
      <c r="BJ138" s="3">
        <f>IFERROR(__xludf.DUMMYFUNCTION("""COMPUTED_VALUE"""),0.0)</f>
        <v>0</v>
      </c>
      <c r="BK138" s="3">
        <f>IFERROR(__xludf.DUMMYFUNCTION("""COMPUTED_VALUE"""),0.0)</f>
        <v>0</v>
      </c>
      <c r="BL138" s="3">
        <f>IFERROR(__xludf.DUMMYFUNCTION("""COMPUTED_VALUE"""),0.0)</f>
        <v>0</v>
      </c>
      <c r="BM138" s="3">
        <f>IFERROR(__xludf.DUMMYFUNCTION("""COMPUTED_VALUE"""),0.0)</f>
        <v>0</v>
      </c>
      <c r="BN138" s="3">
        <f>IFERROR(__xludf.DUMMYFUNCTION("""COMPUTED_VALUE"""),0.0)</f>
        <v>0</v>
      </c>
      <c r="BO138" s="3">
        <f>IFERROR(__xludf.DUMMYFUNCTION("""COMPUTED_VALUE"""),0.0)</f>
        <v>0</v>
      </c>
      <c r="BP138" s="3">
        <f>IFERROR(__xludf.DUMMYFUNCTION("""COMPUTED_VALUE"""),1.0)</f>
        <v>1</v>
      </c>
      <c r="BQ138" s="3">
        <f>IFERROR(__xludf.DUMMYFUNCTION("""COMPUTED_VALUE"""),1.0)</f>
        <v>1</v>
      </c>
      <c r="BR138" s="3">
        <f>IFERROR(__xludf.DUMMYFUNCTION("""COMPUTED_VALUE"""),1.0)</f>
        <v>1</v>
      </c>
      <c r="BS138" s="3">
        <f>IFERROR(__xludf.DUMMYFUNCTION("""COMPUTED_VALUE"""),1.0)</f>
        <v>1</v>
      </c>
      <c r="BT138" s="3">
        <f>IFERROR(__xludf.DUMMYFUNCTION("""COMPUTED_VALUE"""),1.0)</f>
        <v>1</v>
      </c>
      <c r="BU138" s="3">
        <f>IFERROR(__xludf.DUMMYFUNCTION("""COMPUTED_VALUE"""),1.0)</f>
        <v>1</v>
      </c>
      <c r="BV138" s="3">
        <f>IFERROR(__xludf.DUMMYFUNCTION("""COMPUTED_VALUE"""),1.0)</f>
        <v>1</v>
      </c>
      <c r="BW138" s="3">
        <f>IFERROR(__xludf.DUMMYFUNCTION("""COMPUTED_VALUE"""),3.0)</f>
        <v>3</v>
      </c>
      <c r="BX138" s="3">
        <f>IFERROR(__xludf.DUMMYFUNCTION("""COMPUTED_VALUE"""),4.0)</f>
        <v>4</v>
      </c>
      <c r="BY138" s="3">
        <f>IFERROR(__xludf.DUMMYFUNCTION("""COMPUTED_VALUE"""),4.0)</f>
        <v>4</v>
      </c>
      <c r="BZ138" s="3">
        <f>IFERROR(__xludf.DUMMYFUNCTION("""COMPUTED_VALUE"""),4.0)</f>
        <v>4</v>
      </c>
      <c r="CA138" s="3">
        <f>IFERROR(__xludf.DUMMYFUNCTION("""COMPUTED_VALUE"""),4.0)</f>
        <v>4</v>
      </c>
      <c r="CB138" s="3">
        <f>IFERROR(__xludf.DUMMYFUNCTION("""COMPUTED_VALUE"""),4.0)</f>
        <v>4</v>
      </c>
    </row>
    <row r="139">
      <c r="A139" s="3" t="str">
        <f>IFERROR(__xludf.DUMMYFUNCTION("""COMPUTED_VALUE"""),"")</f>
        <v/>
      </c>
      <c r="B139" s="3" t="str">
        <f>IFERROR(__xludf.DUMMYFUNCTION("""COMPUTED_VALUE"""),"Korea, South")</f>
        <v>Korea, South</v>
      </c>
      <c r="C139" s="3">
        <f>IFERROR(__xludf.DUMMYFUNCTION("""COMPUTED_VALUE"""),36.0)</f>
        <v>36</v>
      </c>
      <c r="D139" s="3">
        <f>IFERROR(__xludf.DUMMYFUNCTION("""COMPUTED_VALUE"""),128.0)</f>
        <v>128</v>
      </c>
      <c r="E139" s="3">
        <f>IFERROR(__xludf.DUMMYFUNCTION("""COMPUTED_VALUE"""),0.0)</f>
        <v>0</v>
      </c>
      <c r="F139" s="3">
        <f>IFERROR(__xludf.DUMMYFUNCTION("""COMPUTED_VALUE"""),0.0)</f>
        <v>0</v>
      </c>
      <c r="G139" s="3">
        <f>IFERROR(__xludf.DUMMYFUNCTION("""COMPUTED_VALUE"""),0.0)</f>
        <v>0</v>
      </c>
      <c r="H139" s="3">
        <f>IFERROR(__xludf.DUMMYFUNCTION("""COMPUTED_VALUE"""),0.0)</f>
        <v>0</v>
      </c>
      <c r="I139" s="3">
        <f>IFERROR(__xludf.DUMMYFUNCTION("""COMPUTED_VALUE"""),0.0)</f>
        <v>0</v>
      </c>
      <c r="J139" s="3">
        <f>IFERROR(__xludf.DUMMYFUNCTION("""COMPUTED_VALUE"""),0.0)</f>
        <v>0</v>
      </c>
      <c r="K139" s="3">
        <f>IFERROR(__xludf.DUMMYFUNCTION("""COMPUTED_VALUE"""),0.0)</f>
        <v>0</v>
      </c>
      <c r="L139" s="3">
        <f>IFERROR(__xludf.DUMMYFUNCTION("""COMPUTED_VALUE"""),0.0)</f>
        <v>0</v>
      </c>
      <c r="M139" s="3">
        <f>IFERROR(__xludf.DUMMYFUNCTION("""COMPUTED_VALUE"""),0.0)</f>
        <v>0</v>
      </c>
      <c r="N139" s="3">
        <f>IFERROR(__xludf.DUMMYFUNCTION("""COMPUTED_VALUE"""),0.0)</f>
        <v>0</v>
      </c>
      <c r="O139" s="3">
        <f>IFERROR(__xludf.DUMMYFUNCTION("""COMPUTED_VALUE"""),0.0)</f>
        <v>0</v>
      </c>
      <c r="P139" s="3">
        <f>IFERROR(__xludf.DUMMYFUNCTION("""COMPUTED_VALUE"""),0.0)</f>
        <v>0</v>
      </c>
      <c r="Q139" s="3">
        <f>IFERROR(__xludf.DUMMYFUNCTION("""COMPUTED_VALUE"""),0.0)</f>
        <v>0</v>
      </c>
      <c r="R139" s="3">
        <f>IFERROR(__xludf.DUMMYFUNCTION("""COMPUTED_VALUE"""),0.0)</f>
        <v>0</v>
      </c>
      <c r="S139" s="3">
        <f>IFERROR(__xludf.DUMMYFUNCTION("""COMPUTED_VALUE"""),0.0)</f>
        <v>0</v>
      </c>
      <c r="T139" s="3">
        <f>IFERROR(__xludf.DUMMYFUNCTION("""COMPUTED_VALUE"""),0.0)</f>
        <v>0</v>
      </c>
      <c r="U139" s="3">
        <f>IFERROR(__xludf.DUMMYFUNCTION("""COMPUTED_VALUE"""),1.0)</f>
        <v>1</v>
      </c>
      <c r="V139" s="3">
        <f>IFERROR(__xludf.DUMMYFUNCTION("""COMPUTED_VALUE"""),1.0)</f>
        <v>1</v>
      </c>
      <c r="W139" s="3">
        <f>IFERROR(__xludf.DUMMYFUNCTION("""COMPUTED_VALUE"""),3.0)</f>
        <v>3</v>
      </c>
      <c r="X139" s="3">
        <f>IFERROR(__xludf.DUMMYFUNCTION("""COMPUTED_VALUE"""),3.0)</f>
        <v>3</v>
      </c>
      <c r="Y139" s="3">
        <f>IFERROR(__xludf.DUMMYFUNCTION("""COMPUTED_VALUE"""),3.0)</f>
        <v>3</v>
      </c>
      <c r="Z139" s="3">
        <f>IFERROR(__xludf.DUMMYFUNCTION("""COMPUTED_VALUE"""),7.0)</f>
        <v>7</v>
      </c>
      <c r="AA139" s="3">
        <f>IFERROR(__xludf.DUMMYFUNCTION("""COMPUTED_VALUE"""),7.0)</f>
        <v>7</v>
      </c>
      <c r="AB139" s="3">
        <f>IFERROR(__xludf.DUMMYFUNCTION("""COMPUTED_VALUE"""),7.0)</f>
        <v>7</v>
      </c>
      <c r="AC139" s="3">
        <f>IFERROR(__xludf.DUMMYFUNCTION("""COMPUTED_VALUE"""),9.0)</f>
        <v>9</v>
      </c>
      <c r="AD139" s="3">
        <f>IFERROR(__xludf.DUMMYFUNCTION("""COMPUTED_VALUE"""),9.0)</f>
        <v>9</v>
      </c>
      <c r="AE139" s="3">
        <f>IFERROR(__xludf.DUMMYFUNCTION("""COMPUTED_VALUE"""),10.0)</f>
        <v>10</v>
      </c>
      <c r="AF139" s="3">
        <f>IFERROR(__xludf.DUMMYFUNCTION("""COMPUTED_VALUE"""),12.0)</f>
        <v>12</v>
      </c>
      <c r="AG139" s="3">
        <f>IFERROR(__xludf.DUMMYFUNCTION("""COMPUTED_VALUE"""),12.0)</f>
        <v>12</v>
      </c>
      <c r="AH139" s="3">
        <f>IFERROR(__xludf.DUMMYFUNCTION("""COMPUTED_VALUE"""),16.0)</f>
        <v>16</v>
      </c>
      <c r="AI139" s="3">
        <f>IFERROR(__xludf.DUMMYFUNCTION("""COMPUTED_VALUE"""),16.0)</f>
        <v>16</v>
      </c>
      <c r="AJ139" s="3">
        <f>IFERROR(__xludf.DUMMYFUNCTION("""COMPUTED_VALUE"""),16.0)</f>
        <v>16</v>
      </c>
      <c r="AK139" s="3">
        <f>IFERROR(__xludf.DUMMYFUNCTION("""COMPUTED_VALUE"""),18.0)</f>
        <v>18</v>
      </c>
      <c r="AL139" s="3">
        <f>IFERROR(__xludf.DUMMYFUNCTION("""COMPUTED_VALUE"""),18.0)</f>
        <v>18</v>
      </c>
      <c r="AM139" s="3">
        <f>IFERROR(__xludf.DUMMYFUNCTION("""COMPUTED_VALUE"""),22.0)</f>
        <v>22</v>
      </c>
      <c r="AN139" s="3">
        <f>IFERROR(__xludf.DUMMYFUNCTION("""COMPUTED_VALUE"""),22.0)</f>
        <v>22</v>
      </c>
      <c r="AO139" s="3">
        <f>IFERROR(__xludf.DUMMYFUNCTION("""COMPUTED_VALUE"""),22.0)</f>
        <v>22</v>
      </c>
      <c r="AP139" s="3">
        <f>IFERROR(__xludf.DUMMYFUNCTION("""COMPUTED_VALUE"""),22.0)</f>
        <v>22</v>
      </c>
      <c r="AQ139" s="3">
        <f>IFERROR(__xludf.DUMMYFUNCTION("""COMPUTED_VALUE"""),27.0)</f>
        <v>27</v>
      </c>
      <c r="AR139" s="3">
        <f>IFERROR(__xludf.DUMMYFUNCTION("""COMPUTED_VALUE"""),30.0)</f>
        <v>30</v>
      </c>
      <c r="AS139" s="3">
        <f>IFERROR(__xludf.DUMMYFUNCTION("""COMPUTED_VALUE"""),30.0)</f>
        <v>30</v>
      </c>
      <c r="AT139" s="3">
        <f>IFERROR(__xludf.DUMMYFUNCTION("""COMPUTED_VALUE"""),30.0)</f>
        <v>30</v>
      </c>
      <c r="AU139" s="3">
        <f>IFERROR(__xludf.DUMMYFUNCTION("""COMPUTED_VALUE"""),41.0)</f>
        <v>41</v>
      </c>
      <c r="AV139" s="3">
        <f>IFERROR(__xludf.DUMMYFUNCTION("""COMPUTED_VALUE"""),41.0)</f>
        <v>41</v>
      </c>
      <c r="AW139" s="3">
        <f>IFERROR(__xludf.DUMMYFUNCTION("""COMPUTED_VALUE"""),135.0)</f>
        <v>135</v>
      </c>
      <c r="AX139" s="3">
        <f>IFERROR(__xludf.DUMMYFUNCTION("""COMPUTED_VALUE"""),135.0)</f>
        <v>135</v>
      </c>
      <c r="AY139" s="3">
        <f>IFERROR(__xludf.DUMMYFUNCTION("""COMPUTED_VALUE"""),118.0)</f>
        <v>118</v>
      </c>
      <c r="AZ139" s="3">
        <f>IFERROR(__xludf.DUMMYFUNCTION("""COMPUTED_VALUE"""),118.0)</f>
        <v>118</v>
      </c>
      <c r="BA139" s="3">
        <f>IFERROR(__xludf.DUMMYFUNCTION("""COMPUTED_VALUE"""),247.0)</f>
        <v>247</v>
      </c>
      <c r="BB139" s="3">
        <f>IFERROR(__xludf.DUMMYFUNCTION("""COMPUTED_VALUE"""),288.0)</f>
        <v>288</v>
      </c>
      <c r="BC139" s="3">
        <f>IFERROR(__xludf.DUMMYFUNCTION("""COMPUTED_VALUE"""),333.0)</f>
        <v>333</v>
      </c>
      <c r="BD139" s="3">
        <f>IFERROR(__xludf.DUMMYFUNCTION("""COMPUTED_VALUE"""),510.0)</f>
        <v>510</v>
      </c>
      <c r="BE139" s="3">
        <f>IFERROR(__xludf.DUMMYFUNCTION("""COMPUTED_VALUE"""),510.0)</f>
        <v>510</v>
      </c>
      <c r="BF139" s="3">
        <f>IFERROR(__xludf.DUMMYFUNCTION("""COMPUTED_VALUE"""),510.0)</f>
        <v>510</v>
      </c>
      <c r="BG139" s="3">
        <f>IFERROR(__xludf.DUMMYFUNCTION("""COMPUTED_VALUE"""),1137.0)</f>
        <v>1137</v>
      </c>
      <c r="BH139" s="3">
        <f>IFERROR(__xludf.DUMMYFUNCTION("""COMPUTED_VALUE"""),1407.0)</f>
        <v>1407</v>
      </c>
      <c r="BI139" s="3">
        <f>IFERROR(__xludf.DUMMYFUNCTION("""COMPUTED_VALUE"""),1540.0)</f>
        <v>1540</v>
      </c>
      <c r="BJ139" s="3">
        <f>IFERROR(__xludf.DUMMYFUNCTION("""COMPUTED_VALUE"""),1540.0)</f>
        <v>1540</v>
      </c>
      <c r="BK139" s="3">
        <f>IFERROR(__xludf.DUMMYFUNCTION("""COMPUTED_VALUE"""),1540.0)</f>
        <v>1540</v>
      </c>
      <c r="BL139" s="3">
        <f>IFERROR(__xludf.DUMMYFUNCTION("""COMPUTED_VALUE"""),1540.0)</f>
        <v>1540</v>
      </c>
      <c r="BM139" s="3">
        <f>IFERROR(__xludf.DUMMYFUNCTION("""COMPUTED_VALUE"""),2909.0)</f>
        <v>2909</v>
      </c>
      <c r="BN139" s="3">
        <f>IFERROR(__xludf.DUMMYFUNCTION("""COMPUTED_VALUE"""),2909.0)</f>
        <v>2909</v>
      </c>
      <c r="BO139" s="3">
        <f>IFERROR(__xludf.DUMMYFUNCTION("""COMPUTED_VALUE"""),3507.0)</f>
        <v>3507</v>
      </c>
      <c r="BP139" s="3">
        <f>IFERROR(__xludf.DUMMYFUNCTION("""COMPUTED_VALUE"""),3730.0)</f>
        <v>3730</v>
      </c>
      <c r="BQ139" s="3">
        <f>IFERROR(__xludf.DUMMYFUNCTION("""COMPUTED_VALUE"""),4144.0)</f>
        <v>4144</v>
      </c>
      <c r="BR139" s="3">
        <f>IFERROR(__xludf.DUMMYFUNCTION("""COMPUTED_VALUE"""),4528.0)</f>
        <v>4528</v>
      </c>
      <c r="BS139" s="3">
        <f>IFERROR(__xludf.DUMMYFUNCTION("""COMPUTED_VALUE"""),4811.0)</f>
        <v>4811</v>
      </c>
      <c r="BT139" s="3">
        <f>IFERROR(__xludf.DUMMYFUNCTION("""COMPUTED_VALUE"""),5033.0)</f>
        <v>5033</v>
      </c>
      <c r="BU139" s="3">
        <f>IFERROR(__xludf.DUMMYFUNCTION("""COMPUTED_VALUE"""),5228.0)</f>
        <v>5228</v>
      </c>
      <c r="BV139" s="3">
        <f>IFERROR(__xludf.DUMMYFUNCTION("""COMPUTED_VALUE"""),5408.0)</f>
        <v>5408</v>
      </c>
      <c r="BW139" s="3">
        <f>IFERROR(__xludf.DUMMYFUNCTION("""COMPUTED_VALUE"""),5567.0)</f>
        <v>5567</v>
      </c>
      <c r="BX139" s="3">
        <f>IFERROR(__xludf.DUMMYFUNCTION("""COMPUTED_VALUE"""),5828.0)</f>
        <v>5828</v>
      </c>
      <c r="BY139" s="3">
        <f>IFERROR(__xludf.DUMMYFUNCTION("""COMPUTED_VALUE"""),6021.0)</f>
        <v>6021</v>
      </c>
      <c r="BZ139" s="3">
        <f>IFERROR(__xludf.DUMMYFUNCTION("""COMPUTED_VALUE"""),6325.0)</f>
        <v>6325</v>
      </c>
      <c r="CA139" s="3">
        <f>IFERROR(__xludf.DUMMYFUNCTION("""COMPUTED_VALUE"""),6463.0)</f>
        <v>6463</v>
      </c>
      <c r="CB139" s="3">
        <f>IFERROR(__xludf.DUMMYFUNCTION("""COMPUTED_VALUE"""),6598.0)</f>
        <v>6598</v>
      </c>
    </row>
    <row r="140">
      <c r="A140" s="3" t="str">
        <f>IFERROR(__xludf.DUMMYFUNCTION("""COMPUTED_VALUE"""),"")</f>
        <v/>
      </c>
      <c r="B140" s="3" t="str">
        <f>IFERROR(__xludf.DUMMYFUNCTION("""COMPUTED_VALUE"""),"Kuwait")</f>
        <v>Kuwait</v>
      </c>
      <c r="C140" s="3">
        <f>IFERROR(__xludf.DUMMYFUNCTION("""COMPUTED_VALUE"""),29.5)</f>
        <v>29.5</v>
      </c>
      <c r="D140" s="3">
        <f>IFERROR(__xludf.DUMMYFUNCTION("""COMPUTED_VALUE"""),47.75)</f>
        <v>47.75</v>
      </c>
      <c r="E140" s="3">
        <f>IFERROR(__xludf.DUMMYFUNCTION("""COMPUTED_VALUE"""),0.0)</f>
        <v>0</v>
      </c>
      <c r="F140" s="3">
        <f>IFERROR(__xludf.DUMMYFUNCTION("""COMPUTED_VALUE"""),0.0)</f>
        <v>0</v>
      </c>
      <c r="G140" s="3">
        <f>IFERROR(__xludf.DUMMYFUNCTION("""COMPUTED_VALUE"""),0.0)</f>
        <v>0</v>
      </c>
      <c r="H140" s="3">
        <f>IFERROR(__xludf.DUMMYFUNCTION("""COMPUTED_VALUE"""),0.0)</f>
        <v>0</v>
      </c>
      <c r="I140" s="3">
        <f>IFERROR(__xludf.DUMMYFUNCTION("""COMPUTED_VALUE"""),0.0)</f>
        <v>0</v>
      </c>
      <c r="J140" s="3">
        <f>IFERROR(__xludf.DUMMYFUNCTION("""COMPUTED_VALUE"""),0.0)</f>
        <v>0</v>
      </c>
      <c r="K140" s="3">
        <f>IFERROR(__xludf.DUMMYFUNCTION("""COMPUTED_VALUE"""),0.0)</f>
        <v>0</v>
      </c>
      <c r="L140" s="3">
        <f>IFERROR(__xludf.DUMMYFUNCTION("""COMPUTED_VALUE"""),0.0)</f>
        <v>0</v>
      </c>
      <c r="M140" s="3">
        <f>IFERROR(__xludf.DUMMYFUNCTION("""COMPUTED_VALUE"""),0.0)</f>
        <v>0</v>
      </c>
      <c r="N140" s="3">
        <f>IFERROR(__xludf.DUMMYFUNCTION("""COMPUTED_VALUE"""),0.0)</f>
        <v>0</v>
      </c>
      <c r="O140" s="3">
        <f>IFERROR(__xludf.DUMMYFUNCTION("""COMPUTED_VALUE"""),0.0)</f>
        <v>0</v>
      </c>
      <c r="P140" s="3">
        <f>IFERROR(__xludf.DUMMYFUNCTION("""COMPUTED_VALUE"""),0.0)</f>
        <v>0</v>
      </c>
      <c r="Q140" s="3">
        <f>IFERROR(__xludf.DUMMYFUNCTION("""COMPUTED_VALUE"""),0.0)</f>
        <v>0</v>
      </c>
      <c r="R140" s="3">
        <f>IFERROR(__xludf.DUMMYFUNCTION("""COMPUTED_VALUE"""),0.0)</f>
        <v>0</v>
      </c>
      <c r="S140" s="3">
        <f>IFERROR(__xludf.DUMMYFUNCTION("""COMPUTED_VALUE"""),0.0)</f>
        <v>0</v>
      </c>
      <c r="T140" s="3">
        <f>IFERROR(__xludf.DUMMYFUNCTION("""COMPUTED_VALUE"""),0.0)</f>
        <v>0</v>
      </c>
      <c r="U140" s="3">
        <f>IFERROR(__xludf.DUMMYFUNCTION("""COMPUTED_VALUE"""),0.0)</f>
        <v>0</v>
      </c>
      <c r="V140" s="3">
        <f>IFERROR(__xludf.DUMMYFUNCTION("""COMPUTED_VALUE"""),0.0)</f>
        <v>0</v>
      </c>
      <c r="W140" s="3">
        <f>IFERROR(__xludf.DUMMYFUNCTION("""COMPUTED_VALUE"""),0.0)</f>
        <v>0</v>
      </c>
      <c r="X140" s="3">
        <f>IFERROR(__xludf.DUMMYFUNCTION("""COMPUTED_VALUE"""),0.0)</f>
        <v>0</v>
      </c>
      <c r="Y140" s="3">
        <f>IFERROR(__xludf.DUMMYFUNCTION("""COMPUTED_VALUE"""),0.0)</f>
        <v>0</v>
      </c>
      <c r="Z140" s="3">
        <f>IFERROR(__xludf.DUMMYFUNCTION("""COMPUTED_VALUE"""),0.0)</f>
        <v>0</v>
      </c>
      <c r="AA140" s="3">
        <f>IFERROR(__xludf.DUMMYFUNCTION("""COMPUTED_VALUE"""),0.0)</f>
        <v>0</v>
      </c>
      <c r="AB140" s="3">
        <f>IFERROR(__xludf.DUMMYFUNCTION("""COMPUTED_VALUE"""),0.0)</f>
        <v>0</v>
      </c>
      <c r="AC140" s="3">
        <f>IFERROR(__xludf.DUMMYFUNCTION("""COMPUTED_VALUE"""),0.0)</f>
        <v>0</v>
      </c>
      <c r="AD140" s="3">
        <f>IFERROR(__xludf.DUMMYFUNCTION("""COMPUTED_VALUE"""),0.0)</f>
        <v>0</v>
      </c>
      <c r="AE140" s="3">
        <f>IFERROR(__xludf.DUMMYFUNCTION("""COMPUTED_VALUE"""),0.0)</f>
        <v>0</v>
      </c>
      <c r="AF140" s="3">
        <f>IFERROR(__xludf.DUMMYFUNCTION("""COMPUTED_VALUE"""),0.0)</f>
        <v>0</v>
      </c>
      <c r="AG140" s="3">
        <f>IFERROR(__xludf.DUMMYFUNCTION("""COMPUTED_VALUE"""),0.0)</f>
        <v>0</v>
      </c>
      <c r="AH140" s="3">
        <f>IFERROR(__xludf.DUMMYFUNCTION("""COMPUTED_VALUE"""),0.0)</f>
        <v>0</v>
      </c>
      <c r="AI140" s="3">
        <f>IFERROR(__xludf.DUMMYFUNCTION("""COMPUTED_VALUE"""),0.0)</f>
        <v>0</v>
      </c>
      <c r="AJ140" s="3">
        <f>IFERROR(__xludf.DUMMYFUNCTION("""COMPUTED_VALUE"""),0.0)</f>
        <v>0</v>
      </c>
      <c r="AK140" s="3">
        <f>IFERROR(__xludf.DUMMYFUNCTION("""COMPUTED_VALUE"""),0.0)</f>
        <v>0</v>
      </c>
      <c r="AL140" s="3">
        <f>IFERROR(__xludf.DUMMYFUNCTION("""COMPUTED_VALUE"""),0.0)</f>
        <v>0</v>
      </c>
      <c r="AM140" s="3">
        <f>IFERROR(__xludf.DUMMYFUNCTION("""COMPUTED_VALUE"""),0.0)</f>
        <v>0</v>
      </c>
      <c r="AN140" s="3">
        <f>IFERROR(__xludf.DUMMYFUNCTION("""COMPUTED_VALUE"""),0.0)</f>
        <v>0</v>
      </c>
      <c r="AO140" s="3">
        <f>IFERROR(__xludf.DUMMYFUNCTION("""COMPUTED_VALUE"""),0.0)</f>
        <v>0</v>
      </c>
      <c r="AP140" s="3">
        <f>IFERROR(__xludf.DUMMYFUNCTION("""COMPUTED_VALUE"""),0.0)</f>
        <v>0</v>
      </c>
      <c r="AQ140" s="3">
        <f>IFERROR(__xludf.DUMMYFUNCTION("""COMPUTED_VALUE"""),0.0)</f>
        <v>0</v>
      </c>
      <c r="AR140" s="3">
        <f>IFERROR(__xludf.DUMMYFUNCTION("""COMPUTED_VALUE"""),0.0)</f>
        <v>0</v>
      </c>
      <c r="AS140" s="3">
        <f>IFERROR(__xludf.DUMMYFUNCTION("""COMPUTED_VALUE"""),0.0)</f>
        <v>0</v>
      </c>
      <c r="AT140" s="3">
        <f>IFERROR(__xludf.DUMMYFUNCTION("""COMPUTED_VALUE"""),0.0)</f>
        <v>0</v>
      </c>
      <c r="AU140" s="3">
        <f>IFERROR(__xludf.DUMMYFUNCTION("""COMPUTED_VALUE"""),0.0)</f>
        <v>0</v>
      </c>
      <c r="AV140" s="3">
        <f>IFERROR(__xludf.DUMMYFUNCTION("""COMPUTED_VALUE"""),0.0)</f>
        <v>0</v>
      </c>
      <c r="AW140" s="3">
        <f>IFERROR(__xludf.DUMMYFUNCTION("""COMPUTED_VALUE"""),0.0)</f>
        <v>0</v>
      </c>
      <c r="AX140" s="3">
        <f>IFERROR(__xludf.DUMMYFUNCTION("""COMPUTED_VALUE"""),0.0)</f>
        <v>0</v>
      </c>
      <c r="AY140" s="3">
        <f>IFERROR(__xludf.DUMMYFUNCTION("""COMPUTED_VALUE"""),1.0)</f>
        <v>1</v>
      </c>
      <c r="AZ140" s="3">
        <f>IFERROR(__xludf.DUMMYFUNCTION("""COMPUTED_VALUE"""),1.0)</f>
        <v>1</v>
      </c>
      <c r="BA140" s="3">
        <f>IFERROR(__xludf.DUMMYFUNCTION("""COMPUTED_VALUE"""),1.0)</f>
        <v>1</v>
      </c>
      <c r="BB140" s="3">
        <f>IFERROR(__xludf.DUMMYFUNCTION("""COMPUTED_VALUE"""),2.0)</f>
        <v>2</v>
      </c>
      <c r="BC140" s="3">
        <f>IFERROR(__xludf.DUMMYFUNCTION("""COMPUTED_VALUE"""),5.0)</f>
        <v>5</v>
      </c>
      <c r="BD140" s="3">
        <f>IFERROR(__xludf.DUMMYFUNCTION("""COMPUTED_VALUE"""),5.0)</f>
        <v>5</v>
      </c>
      <c r="BE140" s="3">
        <f>IFERROR(__xludf.DUMMYFUNCTION("""COMPUTED_VALUE"""),5.0)</f>
        <v>5</v>
      </c>
      <c r="BF140" s="3">
        <f>IFERROR(__xludf.DUMMYFUNCTION("""COMPUTED_VALUE"""),5.0)</f>
        <v>5</v>
      </c>
      <c r="BG140" s="3">
        <f>IFERROR(__xludf.DUMMYFUNCTION("""COMPUTED_VALUE"""),9.0)</f>
        <v>9</v>
      </c>
      <c r="BH140" s="3">
        <f>IFERROR(__xludf.DUMMYFUNCTION("""COMPUTED_VALUE"""),9.0)</f>
        <v>9</v>
      </c>
      <c r="BI140" s="3">
        <f>IFERROR(__xludf.DUMMYFUNCTION("""COMPUTED_VALUE"""),15.0)</f>
        <v>15</v>
      </c>
      <c r="BJ140" s="3">
        <f>IFERROR(__xludf.DUMMYFUNCTION("""COMPUTED_VALUE"""),18.0)</f>
        <v>18</v>
      </c>
      <c r="BK140" s="3">
        <f>IFERROR(__xludf.DUMMYFUNCTION("""COMPUTED_VALUE"""),18.0)</f>
        <v>18</v>
      </c>
      <c r="BL140" s="3">
        <f>IFERROR(__xludf.DUMMYFUNCTION("""COMPUTED_VALUE"""),27.0)</f>
        <v>27</v>
      </c>
      <c r="BM140" s="3">
        <f>IFERROR(__xludf.DUMMYFUNCTION("""COMPUTED_VALUE"""),27.0)</f>
        <v>27</v>
      </c>
      <c r="BN140" s="3">
        <f>IFERROR(__xludf.DUMMYFUNCTION("""COMPUTED_VALUE"""),27.0)</f>
        <v>27</v>
      </c>
      <c r="BO140" s="3">
        <f>IFERROR(__xludf.DUMMYFUNCTION("""COMPUTED_VALUE"""),39.0)</f>
        <v>39</v>
      </c>
      <c r="BP140" s="3">
        <f>IFERROR(__xludf.DUMMYFUNCTION("""COMPUTED_VALUE"""),43.0)</f>
        <v>43</v>
      </c>
      <c r="BQ140" s="3">
        <f>IFERROR(__xludf.DUMMYFUNCTION("""COMPUTED_VALUE"""),49.0)</f>
        <v>49</v>
      </c>
      <c r="BR140" s="3">
        <f>IFERROR(__xludf.DUMMYFUNCTION("""COMPUTED_VALUE"""),57.0)</f>
        <v>57</v>
      </c>
      <c r="BS140" s="3">
        <f>IFERROR(__xludf.DUMMYFUNCTION("""COMPUTED_VALUE"""),64.0)</f>
        <v>64</v>
      </c>
      <c r="BT140" s="3">
        <f>IFERROR(__xludf.DUMMYFUNCTION("""COMPUTED_VALUE"""),67.0)</f>
        <v>67</v>
      </c>
      <c r="BU140" s="3">
        <f>IFERROR(__xludf.DUMMYFUNCTION("""COMPUTED_VALUE"""),72.0)</f>
        <v>72</v>
      </c>
      <c r="BV140" s="3">
        <f>IFERROR(__xludf.DUMMYFUNCTION("""COMPUTED_VALUE"""),73.0)</f>
        <v>73</v>
      </c>
      <c r="BW140" s="3">
        <f>IFERROR(__xludf.DUMMYFUNCTION("""COMPUTED_VALUE"""),80.0)</f>
        <v>80</v>
      </c>
      <c r="BX140" s="3">
        <f>IFERROR(__xludf.DUMMYFUNCTION("""COMPUTED_VALUE"""),81.0)</f>
        <v>81</v>
      </c>
      <c r="BY140" s="3">
        <f>IFERROR(__xludf.DUMMYFUNCTION("""COMPUTED_VALUE"""),82.0)</f>
        <v>82</v>
      </c>
      <c r="BZ140" s="3">
        <f>IFERROR(__xludf.DUMMYFUNCTION("""COMPUTED_VALUE"""),93.0)</f>
        <v>93</v>
      </c>
      <c r="CA140" s="3">
        <f>IFERROR(__xludf.DUMMYFUNCTION("""COMPUTED_VALUE"""),99.0)</f>
        <v>99</v>
      </c>
      <c r="CB140" s="3">
        <f>IFERROR(__xludf.DUMMYFUNCTION("""COMPUTED_VALUE"""),103.0)</f>
        <v>103</v>
      </c>
    </row>
    <row r="141">
      <c r="A141" s="3" t="str">
        <f>IFERROR(__xludf.DUMMYFUNCTION("""COMPUTED_VALUE"""),"")</f>
        <v/>
      </c>
      <c r="B141" s="3" t="str">
        <f>IFERROR(__xludf.DUMMYFUNCTION("""COMPUTED_VALUE"""),"Kyrgyzstan")</f>
        <v>Kyrgyzstan</v>
      </c>
      <c r="C141" s="3">
        <f>IFERROR(__xludf.DUMMYFUNCTION("""COMPUTED_VALUE"""),41.2044)</f>
        <v>41.2044</v>
      </c>
      <c r="D141" s="3">
        <f>IFERROR(__xludf.DUMMYFUNCTION("""COMPUTED_VALUE"""),74.7661)</f>
        <v>74.7661</v>
      </c>
      <c r="E141" s="3">
        <f>IFERROR(__xludf.DUMMYFUNCTION("""COMPUTED_VALUE"""),0.0)</f>
        <v>0</v>
      </c>
      <c r="F141" s="3">
        <f>IFERROR(__xludf.DUMMYFUNCTION("""COMPUTED_VALUE"""),0.0)</f>
        <v>0</v>
      </c>
      <c r="G141" s="3">
        <f>IFERROR(__xludf.DUMMYFUNCTION("""COMPUTED_VALUE"""),0.0)</f>
        <v>0</v>
      </c>
      <c r="H141" s="3">
        <f>IFERROR(__xludf.DUMMYFUNCTION("""COMPUTED_VALUE"""),0.0)</f>
        <v>0</v>
      </c>
      <c r="I141" s="3">
        <f>IFERROR(__xludf.DUMMYFUNCTION("""COMPUTED_VALUE"""),0.0)</f>
        <v>0</v>
      </c>
      <c r="J141" s="3">
        <f>IFERROR(__xludf.DUMMYFUNCTION("""COMPUTED_VALUE"""),0.0)</f>
        <v>0</v>
      </c>
      <c r="K141" s="3">
        <f>IFERROR(__xludf.DUMMYFUNCTION("""COMPUTED_VALUE"""),0.0)</f>
        <v>0</v>
      </c>
      <c r="L141" s="3">
        <f>IFERROR(__xludf.DUMMYFUNCTION("""COMPUTED_VALUE"""),0.0)</f>
        <v>0</v>
      </c>
      <c r="M141" s="3">
        <f>IFERROR(__xludf.DUMMYFUNCTION("""COMPUTED_VALUE"""),0.0)</f>
        <v>0</v>
      </c>
      <c r="N141" s="3">
        <f>IFERROR(__xludf.DUMMYFUNCTION("""COMPUTED_VALUE"""),0.0)</f>
        <v>0</v>
      </c>
      <c r="O141" s="3">
        <f>IFERROR(__xludf.DUMMYFUNCTION("""COMPUTED_VALUE"""),0.0)</f>
        <v>0</v>
      </c>
      <c r="P141" s="3">
        <f>IFERROR(__xludf.DUMMYFUNCTION("""COMPUTED_VALUE"""),0.0)</f>
        <v>0</v>
      </c>
      <c r="Q141" s="3">
        <f>IFERROR(__xludf.DUMMYFUNCTION("""COMPUTED_VALUE"""),0.0)</f>
        <v>0</v>
      </c>
      <c r="R141" s="3">
        <f>IFERROR(__xludf.DUMMYFUNCTION("""COMPUTED_VALUE"""),0.0)</f>
        <v>0</v>
      </c>
      <c r="S141" s="3">
        <f>IFERROR(__xludf.DUMMYFUNCTION("""COMPUTED_VALUE"""),0.0)</f>
        <v>0</v>
      </c>
      <c r="T141" s="3">
        <f>IFERROR(__xludf.DUMMYFUNCTION("""COMPUTED_VALUE"""),0.0)</f>
        <v>0</v>
      </c>
      <c r="U141" s="3">
        <f>IFERROR(__xludf.DUMMYFUNCTION("""COMPUTED_VALUE"""),0.0)</f>
        <v>0</v>
      </c>
      <c r="V141" s="3">
        <f>IFERROR(__xludf.DUMMYFUNCTION("""COMPUTED_VALUE"""),0.0)</f>
        <v>0</v>
      </c>
      <c r="W141" s="3">
        <f>IFERROR(__xludf.DUMMYFUNCTION("""COMPUTED_VALUE"""),0.0)</f>
        <v>0</v>
      </c>
      <c r="X141" s="3">
        <f>IFERROR(__xludf.DUMMYFUNCTION("""COMPUTED_VALUE"""),0.0)</f>
        <v>0</v>
      </c>
      <c r="Y141" s="3">
        <f>IFERROR(__xludf.DUMMYFUNCTION("""COMPUTED_VALUE"""),0.0)</f>
        <v>0</v>
      </c>
      <c r="Z141" s="3">
        <f>IFERROR(__xludf.DUMMYFUNCTION("""COMPUTED_VALUE"""),0.0)</f>
        <v>0</v>
      </c>
      <c r="AA141" s="3">
        <f>IFERROR(__xludf.DUMMYFUNCTION("""COMPUTED_VALUE"""),0.0)</f>
        <v>0</v>
      </c>
      <c r="AB141" s="3">
        <f>IFERROR(__xludf.DUMMYFUNCTION("""COMPUTED_VALUE"""),0.0)</f>
        <v>0</v>
      </c>
      <c r="AC141" s="3">
        <f>IFERROR(__xludf.DUMMYFUNCTION("""COMPUTED_VALUE"""),0.0)</f>
        <v>0</v>
      </c>
      <c r="AD141" s="3">
        <f>IFERROR(__xludf.DUMMYFUNCTION("""COMPUTED_VALUE"""),0.0)</f>
        <v>0</v>
      </c>
      <c r="AE141" s="3">
        <f>IFERROR(__xludf.DUMMYFUNCTION("""COMPUTED_VALUE"""),0.0)</f>
        <v>0</v>
      </c>
      <c r="AF141" s="3">
        <f>IFERROR(__xludf.DUMMYFUNCTION("""COMPUTED_VALUE"""),0.0)</f>
        <v>0</v>
      </c>
      <c r="AG141" s="3">
        <f>IFERROR(__xludf.DUMMYFUNCTION("""COMPUTED_VALUE"""),0.0)</f>
        <v>0</v>
      </c>
      <c r="AH141" s="3">
        <f>IFERROR(__xludf.DUMMYFUNCTION("""COMPUTED_VALUE"""),0.0)</f>
        <v>0</v>
      </c>
      <c r="AI141" s="3">
        <f>IFERROR(__xludf.DUMMYFUNCTION("""COMPUTED_VALUE"""),0.0)</f>
        <v>0</v>
      </c>
      <c r="AJ141" s="3">
        <f>IFERROR(__xludf.DUMMYFUNCTION("""COMPUTED_VALUE"""),0.0)</f>
        <v>0</v>
      </c>
      <c r="AK141" s="3">
        <f>IFERROR(__xludf.DUMMYFUNCTION("""COMPUTED_VALUE"""),0.0)</f>
        <v>0</v>
      </c>
      <c r="AL141" s="3">
        <f>IFERROR(__xludf.DUMMYFUNCTION("""COMPUTED_VALUE"""),0.0)</f>
        <v>0</v>
      </c>
      <c r="AM141" s="3">
        <f>IFERROR(__xludf.DUMMYFUNCTION("""COMPUTED_VALUE"""),0.0)</f>
        <v>0</v>
      </c>
      <c r="AN141" s="3">
        <f>IFERROR(__xludf.DUMMYFUNCTION("""COMPUTED_VALUE"""),0.0)</f>
        <v>0</v>
      </c>
      <c r="AO141" s="3">
        <f>IFERROR(__xludf.DUMMYFUNCTION("""COMPUTED_VALUE"""),0.0)</f>
        <v>0</v>
      </c>
      <c r="AP141" s="3">
        <f>IFERROR(__xludf.DUMMYFUNCTION("""COMPUTED_VALUE"""),0.0)</f>
        <v>0</v>
      </c>
      <c r="AQ141" s="3">
        <f>IFERROR(__xludf.DUMMYFUNCTION("""COMPUTED_VALUE"""),0.0)</f>
        <v>0</v>
      </c>
      <c r="AR141" s="3">
        <f>IFERROR(__xludf.DUMMYFUNCTION("""COMPUTED_VALUE"""),0.0)</f>
        <v>0</v>
      </c>
      <c r="AS141" s="3">
        <f>IFERROR(__xludf.DUMMYFUNCTION("""COMPUTED_VALUE"""),0.0)</f>
        <v>0</v>
      </c>
      <c r="AT141" s="3">
        <f>IFERROR(__xludf.DUMMYFUNCTION("""COMPUTED_VALUE"""),0.0)</f>
        <v>0</v>
      </c>
      <c r="AU141" s="3">
        <f>IFERROR(__xludf.DUMMYFUNCTION("""COMPUTED_VALUE"""),0.0)</f>
        <v>0</v>
      </c>
      <c r="AV141" s="3">
        <f>IFERROR(__xludf.DUMMYFUNCTION("""COMPUTED_VALUE"""),0.0)</f>
        <v>0</v>
      </c>
      <c r="AW141" s="3">
        <f>IFERROR(__xludf.DUMMYFUNCTION("""COMPUTED_VALUE"""),0.0)</f>
        <v>0</v>
      </c>
      <c r="AX141" s="3">
        <f>IFERROR(__xludf.DUMMYFUNCTION("""COMPUTED_VALUE"""),0.0)</f>
        <v>0</v>
      </c>
      <c r="AY141" s="3">
        <f>IFERROR(__xludf.DUMMYFUNCTION("""COMPUTED_VALUE"""),0.0)</f>
        <v>0</v>
      </c>
      <c r="AZ141" s="3">
        <f>IFERROR(__xludf.DUMMYFUNCTION("""COMPUTED_VALUE"""),0.0)</f>
        <v>0</v>
      </c>
      <c r="BA141" s="3">
        <f>IFERROR(__xludf.DUMMYFUNCTION("""COMPUTED_VALUE"""),0.0)</f>
        <v>0</v>
      </c>
      <c r="BB141" s="3">
        <f>IFERROR(__xludf.DUMMYFUNCTION("""COMPUTED_VALUE"""),0.0)</f>
        <v>0</v>
      </c>
      <c r="BC141" s="3">
        <f>IFERROR(__xludf.DUMMYFUNCTION("""COMPUTED_VALUE"""),0.0)</f>
        <v>0</v>
      </c>
      <c r="BD141" s="3">
        <f>IFERROR(__xludf.DUMMYFUNCTION("""COMPUTED_VALUE"""),0.0)</f>
        <v>0</v>
      </c>
      <c r="BE141" s="3">
        <f>IFERROR(__xludf.DUMMYFUNCTION("""COMPUTED_VALUE"""),0.0)</f>
        <v>0</v>
      </c>
      <c r="BF141" s="3">
        <f>IFERROR(__xludf.DUMMYFUNCTION("""COMPUTED_VALUE"""),0.0)</f>
        <v>0</v>
      </c>
      <c r="BG141" s="3">
        <f>IFERROR(__xludf.DUMMYFUNCTION("""COMPUTED_VALUE"""),0.0)</f>
        <v>0</v>
      </c>
      <c r="BH141" s="3">
        <f>IFERROR(__xludf.DUMMYFUNCTION("""COMPUTED_VALUE"""),0.0)</f>
        <v>0</v>
      </c>
      <c r="BI141" s="3">
        <f>IFERROR(__xludf.DUMMYFUNCTION("""COMPUTED_VALUE"""),0.0)</f>
        <v>0</v>
      </c>
      <c r="BJ141" s="3">
        <f>IFERROR(__xludf.DUMMYFUNCTION("""COMPUTED_VALUE"""),0.0)</f>
        <v>0</v>
      </c>
      <c r="BK141" s="3">
        <f>IFERROR(__xludf.DUMMYFUNCTION("""COMPUTED_VALUE"""),0.0)</f>
        <v>0</v>
      </c>
      <c r="BL141" s="3">
        <f>IFERROR(__xludf.DUMMYFUNCTION("""COMPUTED_VALUE"""),0.0)</f>
        <v>0</v>
      </c>
      <c r="BM141" s="3">
        <f>IFERROR(__xludf.DUMMYFUNCTION("""COMPUTED_VALUE"""),0.0)</f>
        <v>0</v>
      </c>
      <c r="BN141" s="3">
        <f>IFERROR(__xludf.DUMMYFUNCTION("""COMPUTED_VALUE"""),0.0)</f>
        <v>0</v>
      </c>
      <c r="BO141" s="3">
        <f>IFERROR(__xludf.DUMMYFUNCTION("""COMPUTED_VALUE"""),0.0)</f>
        <v>0</v>
      </c>
      <c r="BP141" s="3">
        <f>IFERROR(__xludf.DUMMYFUNCTION("""COMPUTED_VALUE"""),0.0)</f>
        <v>0</v>
      </c>
      <c r="BQ141" s="3">
        <f>IFERROR(__xludf.DUMMYFUNCTION("""COMPUTED_VALUE"""),0.0)</f>
        <v>0</v>
      </c>
      <c r="BR141" s="3">
        <f>IFERROR(__xludf.DUMMYFUNCTION("""COMPUTED_VALUE"""),0.0)</f>
        <v>0</v>
      </c>
      <c r="BS141" s="3">
        <f>IFERROR(__xludf.DUMMYFUNCTION("""COMPUTED_VALUE"""),0.0)</f>
        <v>0</v>
      </c>
      <c r="BT141" s="3">
        <f>IFERROR(__xludf.DUMMYFUNCTION("""COMPUTED_VALUE"""),0.0)</f>
        <v>0</v>
      </c>
      <c r="BU141" s="3">
        <f>IFERROR(__xludf.DUMMYFUNCTION("""COMPUTED_VALUE"""),3.0)</f>
        <v>3</v>
      </c>
      <c r="BV141" s="3">
        <f>IFERROR(__xludf.DUMMYFUNCTION("""COMPUTED_VALUE"""),3.0)</f>
        <v>3</v>
      </c>
      <c r="BW141" s="3">
        <f>IFERROR(__xludf.DUMMYFUNCTION("""COMPUTED_VALUE"""),3.0)</f>
        <v>3</v>
      </c>
      <c r="BX141" s="3">
        <f>IFERROR(__xludf.DUMMYFUNCTION("""COMPUTED_VALUE"""),5.0)</f>
        <v>5</v>
      </c>
      <c r="BY141" s="3">
        <f>IFERROR(__xludf.DUMMYFUNCTION("""COMPUTED_VALUE"""),6.0)</f>
        <v>6</v>
      </c>
      <c r="BZ141" s="3">
        <f>IFERROR(__xludf.DUMMYFUNCTION("""COMPUTED_VALUE"""),9.0)</f>
        <v>9</v>
      </c>
      <c r="CA141" s="3">
        <f>IFERROR(__xludf.DUMMYFUNCTION("""COMPUTED_VALUE"""),9.0)</f>
        <v>9</v>
      </c>
      <c r="CB141" s="3">
        <f>IFERROR(__xludf.DUMMYFUNCTION("""COMPUTED_VALUE"""),33.0)</f>
        <v>33</v>
      </c>
    </row>
    <row r="142">
      <c r="A142" s="3" t="str">
        <f>IFERROR(__xludf.DUMMYFUNCTION("""COMPUTED_VALUE"""),"")</f>
        <v/>
      </c>
      <c r="B142" s="3" t="str">
        <f>IFERROR(__xludf.DUMMYFUNCTION("""COMPUTED_VALUE"""),"Latvia")</f>
        <v>Latvia</v>
      </c>
      <c r="C142" s="3">
        <f>IFERROR(__xludf.DUMMYFUNCTION("""COMPUTED_VALUE"""),56.8796)</f>
        <v>56.8796</v>
      </c>
      <c r="D142" s="3">
        <f>IFERROR(__xludf.DUMMYFUNCTION("""COMPUTED_VALUE"""),24.6032)</f>
        <v>24.6032</v>
      </c>
      <c r="E142" s="3">
        <f>IFERROR(__xludf.DUMMYFUNCTION("""COMPUTED_VALUE"""),0.0)</f>
        <v>0</v>
      </c>
      <c r="F142" s="3">
        <f>IFERROR(__xludf.DUMMYFUNCTION("""COMPUTED_VALUE"""),0.0)</f>
        <v>0</v>
      </c>
      <c r="G142" s="3">
        <f>IFERROR(__xludf.DUMMYFUNCTION("""COMPUTED_VALUE"""),0.0)</f>
        <v>0</v>
      </c>
      <c r="H142" s="3">
        <f>IFERROR(__xludf.DUMMYFUNCTION("""COMPUTED_VALUE"""),0.0)</f>
        <v>0</v>
      </c>
      <c r="I142" s="3">
        <f>IFERROR(__xludf.DUMMYFUNCTION("""COMPUTED_VALUE"""),0.0)</f>
        <v>0</v>
      </c>
      <c r="J142" s="3">
        <f>IFERROR(__xludf.DUMMYFUNCTION("""COMPUTED_VALUE"""),0.0)</f>
        <v>0</v>
      </c>
      <c r="K142" s="3">
        <f>IFERROR(__xludf.DUMMYFUNCTION("""COMPUTED_VALUE"""),0.0)</f>
        <v>0</v>
      </c>
      <c r="L142" s="3">
        <f>IFERROR(__xludf.DUMMYFUNCTION("""COMPUTED_VALUE"""),0.0)</f>
        <v>0</v>
      </c>
      <c r="M142" s="3">
        <f>IFERROR(__xludf.DUMMYFUNCTION("""COMPUTED_VALUE"""),0.0)</f>
        <v>0</v>
      </c>
      <c r="N142" s="3">
        <f>IFERROR(__xludf.DUMMYFUNCTION("""COMPUTED_VALUE"""),0.0)</f>
        <v>0</v>
      </c>
      <c r="O142" s="3">
        <f>IFERROR(__xludf.DUMMYFUNCTION("""COMPUTED_VALUE"""),0.0)</f>
        <v>0</v>
      </c>
      <c r="P142" s="3">
        <f>IFERROR(__xludf.DUMMYFUNCTION("""COMPUTED_VALUE"""),0.0)</f>
        <v>0</v>
      </c>
      <c r="Q142" s="3">
        <f>IFERROR(__xludf.DUMMYFUNCTION("""COMPUTED_VALUE"""),0.0)</f>
        <v>0</v>
      </c>
      <c r="R142" s="3">
        <f>IFERROR(__xludf.DUMMYFUNCTION("""COMPUTED_VALUE"""),0.0)</f>
        <v>0</v>
      </c>
      <c r="S142" s="3">
        <f>IFERROR(__xludf.DUMMYFUNCTION("""COMPUTED_VALUE"""),0.0)</f>
        <v>0</v>
      </c>
      <c r="T142" s="3">
        <f>IFERROR(__xludf.DUMMYFUNCTION("""COMPUTED_VALUE"""),0.0)</f>
        <v>0</v>
      </c>
      <c r="U142" s="3">
        <f>IFERROR(__xludf.DUMMYFUNCTION("""COMPUTED_VALUE"""),0.0)</f>
        <v>0</v>
      </c>
      <c r="V142" s="3">
        <f>IFERROR(__xludf.DUMMYFUNCTION("""COMPUTED_VALUE"""),0.0)</f>
        <v>0</v>
      </c>
      <c r="W142" s="3">
        <f>IFERROR(__xludf.DUMMYFUNCTION("""COMPUTED_VALUE"""),0.0)</f>
        <v>0</v>
      </c>
      <c r="X142" s="3">
        <f>IFERROR(__xludf.DUMMYFUNCTION("""COMPUTED_VALUE"""),0.0)</f>
        <v>0</v>
      </c>
      <c r="Y142" s="3">
        <f>IFERROR(__xludf.DUMMYFUNCTION("""COMPUTED_VALUE"""),0.0)</f>
        <v>0</v>
      </c>
      <c r="Z142" s="3">
        <f>IFERROR(__xludf.DUMMYFUNCTION("""COMPUTED_VALUE"""),0.0)</f>
        <v>0</v>
      </c>
      <c r="AA142" s="3">
        <f>IFERROR(__xludf.DUMMYFUNCTION("""COMPUTED_VALUE"""),0.0)</f>
        <v>0</v>
      </c>
      <c r="AB142" s="3">
        <f>IFERROR(__xludf.DUMMYFUNCTION("""COMPUTED_VALUE"""),0.0)</f>
        <v>0</v>
      </c>
      <c r="AC142" s="3">
        <f>IFERROR(__xludf.DUMMYFUNCTION("""COMPUTED_VALUE"""),0.0)</f>
        <v>0</v>
      </c>
      <c r="AD142" s="3">
        <f>IFERROR(__xludf.DUMMYFUNCTION("""COMPUTED_VALUE"""),0.0)</f>
        <v>0</v>
      </c>
      <c r="AE142" s="3">
        <f>IFERROR(__xludf.DUMMYFUNCTION("""COMPUTED_VALUE"""),0.0)</f>
        <v>0</v>
      </c>
      <c r="AF142" s="3">
        <f>IFERROR(__xludf.DUMMYFUNCTION("""COMPUTED_VALUE"""),0.0)</f>
        <v>0</v>
      </c>
      <c r="AG142" s="3">
        <f>IFERROR(__xludf.DUMMYFUNCTION("""COMPUTED_VALUE"""),0.0)</f>
        <v>0</v>
      </c>
      <c r="AH142" s="3">
        <f>IFERROR(__xludf.DUMMYFUNCTION("""COMPUTED_VALUE"""),0.0)</f>
        <v>0</v>
      </c>
      <c r="AI142" s="3">
        <f>IFERROR(__xludf.DUMMYFUNCTION("""COMPUTED_VALUE"""),0.0)</f>
        <v>0</v>
      </c>
      <c r="AJ142" s="3">
        <f>IFERROR(__xludf.DUMMYFUNCTION("""COMPUTED_VALUE"""),0.0)</f>
        <v>0</v>
      </c>
      <c r="AK142" s="3">
        <f>IFERROR(__xludf.DUMMYFUNCTION("""COMPUTED_VALUE"""),0.0)</f>
        <v>0</v>
      </c>
      <c r="AL142" s="3">
        <f>IFERROR(__xludf.DUMMYFUNCTION("""COMPUTED_VALUE"""),0.0)</f>
        <v>0</v>
      </c>
      <c r="AM142" s="3">
        <f>IFERROR(__xludf.DUMMYFUNCTION("""COMPUTED_VALUE"""),0.0)</f>
        <v>0</v>
      </c>
      <c r="AN142" s="3">
        <f>IFERROR(__xludf.DUMMYFUNCTION("""COMPUTED_VALUE"""),0.0)</f>
        <v>0</v>
      </c>
      <c r="AO142" s="3">
        <f>IFERROR(__xludf.DUMMYFUNCTION("""COMPUTED_VALUE"""),0.0)</f>
        <v>0</v>
      </c>
      <c r="AP142" s="3">
        <f>IFERROR(__xludf.DUMMYFUNCTION("""COMPUTED_VALUE"""),0.0)</f>
        <v>0</v>
      </c>
      <c r="AQ142" s="3">
        <f>IFERROR(__xludf.DUMMYFUNCTION("""COMPUTED_VALUE"""),0.0)</f>
        <v>0</v>
      </c>
      <c r="AR142" s="3">
        <f>IFERROR(__xludf.DUMMYFUNCTION("""COMPUTED_VALUE"""),0.0)</f>
        <v>0</v>
      </c>
      <c r="AS142" s="3">
        <f>IFERROR(__xludf.DUMMYFUNCTION("""COMPUTED_VALUE"""),0.0)</f>
        <v>0</v>
      </c>
      <c r="AT142" s="3">
        <f>IFERROR(__xludf.DUMMYFUNCTION("""COMPUTED_VALUE"""),0.0)</f>
        <v>0</v>
      </c>
      <c r="AU142" s="3">
        <f>IFERROR(__xludf.DUMMYFUNCTION("""COMPUTED_VALUE"""),0.0)</f>
        <v>0</v>
      </c>
      <c r="AV142" s="3">
        <f>IFERROR(__xludf.DUMMYFUNCTION("""COMPUTED_VALUE"""),0.0)</f>
        <v>0</v>
      </c>
      <c r="AW142" s="3">
        <f>IFERROR(__xludf.DUMMYFUNCTION("""COMPUTED_VALUE"""),0.0)</f>
        <v>0</v>
      </c>
      <c r="AX142" s="3">
        <f>IFERROR(__xludf.DUMMYFUNCTION("""COMPUTED_VALUE"""),0.0)</f>
        <v>0</v>
      </c>
      <c r="AY142" s="3">
        <f>IFERROR(__xludf.DUMMYFUNCTION("""COMPUTED_VALUE"""),0.0)</f>
        <v>0</v>
      </c>
      <c r="AZ142" s="3">
        <f>IFERROR(__xludf.DUMMYFUNCTION("""COMPUTED_VALUE"""),0.0)</f>
        <v>0</v>
      </c>
      <c r="BA142" s="3">
        <f>IFERROR(__xludf.DUMMYFUNCTION("""COMPUTED_VALUE"""),1.0)</f>
        <v>1</v>
      </c>
      <c r="BB142" s="3">
        <f>IFERROR(__xludf.DUMMYFUNCTION("""COMPUTED_VALUE"""),1.0)</f>
        <v>1</v>
      </c>
      <c r="BC142" s="3">
        <f>IFERROR(__xludf.DUMMYFUNCTION("""COMPUTED_VALUE"""),1.0)</f>
        <v>1</v>
      </c>
      <c r="BD142" s="3">
        <f>IFERROR(__xludf.DUMMYFUNCTION("""COMPUTED_VALUE"""),1.0)</f>
        <v>1</v>
      </c>
      <c r="BE142" s="3">
        <f>IFERROR(__xludf.DUMMYFUNCTION("""COMPUTED_VALUE"""),1.0)</f>
        <v>1</v>
      </c>
      <c r="BF142" s="3">
        <f>IFERROR(__xludf.DUMMYFUNCTION("""COMPUTED_VALUE"""),1.0)</f>
        <v>1</v>
      </c>
      <c r="BG142" s="3">
        <f>IFERROR(__xludf.DUMMYFUNCTION("""COMPUTED_VALUE"""),1.0)</f>
        <v>1</v>
      </c>
      <c r="BH142" s="3">
        <f>IFERROR(__xludf.DUMMYFUNCTION("""COMPUTED_VALUE"""),1.0)</f>
        <v>1</v>
      </c>
      <c r="BI142" s="3">
        <f>IFERROR(__xludf.DUMMYFUNCTION("""COMPUTED_VALUE"""),1.0)</f>
        <v>1</v>
      </c>
      <c r="BJ142" s="3">
        <f>IFERROR(__xludf.DUMMYFUNCTION("""COMPUTED_VALUE"""),1.0)</f>
        <v>1</v>
      </c>
      <c r="BK142" s="3">
        <f>IFERROR(__xludf.DUMMYFUNCTION("""COMPUTED_VALUE"""),1.0)</f>
        <v>1</v>
      </c>
      <c r="BL142" s="3">
        <f>IFERROR(__xludf.DUMMYFUNCTION("""COMPUTED_VALUE"""),1.0)</f>
        <v>1</v>
      </c>
      <c r="BM142" s="3">
        <f>IFERROR(__xludf.DUMMYFUNCTION("""COMPUTED_VALUE"""),1.0)</f>
        <v>1</v>
      </c>
      <c r="BN142" s="3">
        <f>IFERROR(__xludf.DUMMYFUNCTION("""COMPUTED_VALUE"""),1.0)</f>
        <v>1</v>
      </c>
      <c r="BO142" s="3">
        <f>IFERROR(__xludf.DUMMYFUNCTION("""COMPUTED_VALUE"""),1.0)</f>
        <v>1</v>
      </c>
      <c r="BP142" s="3">
        <f>IFERROR(__xludf.DUMMYFUNCTION("""COMPUTED_VALUE"""),1.0)</f>
        <v>1</v>
      </c>
      <c r="BQ142" s="3">
        <f>IFERROR(__xludf.DUMMYFUNCTION("""COMPUTED_VALUE"""),1.0)</f>
        <v>1</v>
      </c>
      <c r="BR142" s="3">
        <f>IFERROR(__xludf.DUMMYFUNCTION("""COMPUTED_VALUE"""),1.0)</f>
        <v>1</v>
      </c>
      <c r="BS142" s="3">
        <f>IFERROR(__xludf.DUMMYFUNCTION("""COMPUTED_VALUE"""),1.0)</f>
        <v>1</v>
      </c>
      <c r="BT142" s="3">
        <f>IFERROR(__xludf.DUMMYFUNCTION("""COMPUTED_VALUE"""),1.0)</f>
        <v>1</v>
      </c>
      <c r="BU142" s="3">
        <f>IFERROR(__xludf.DUMMYFUNCTION("""COMPUTED_VALUE"""),1.0)</f>
        <v>1</v>
      </c>
      <c r="BV142" s="3">
        <f>IFERROR(__xludf.DUMMYFUNCTION("""COMPUTED_VALUE"""),1.0)</f>
        <v>1</v>
      </c>
      <c r="BW142" s="3">
        <f>IFERROR(__xludf.DUMMYFUNCTION("""COMPUTED_VALUE"""),1.0)</f>
        <v>1</v>
      </c>
      <c r="BX142" s="3">
        <f>IFERROR(__xludf.DUMMYFUNCTION("""COMPUTED_VALUE"""),31.0)</f>
        <v>31</v>
      </c>
      <c r="BY142" s="3">
        <f>IFERROR(__xludf.DUMMYFUNCTION("""COMPUTED_VALUE"""),1.0)</f>
        <v>1</v>
      </c>
      <c r="BZ142" s="3">
        <f>IFERROR(__xludf.DUMMYFUNCTION("""COMPUTED_VALUE"""),1.0)</f>
        <v>1</v>
      </c>
      <c r="CA142" s="3">
        <f>IFERROR(__xludf.DUMMYFUNCTION("""COMPUTED_VALUE"""),1.0)</f>
        <v>1</v>
      </c>
      <c r="CB142" s="3">
        <f>IFERROR(__xludf.DUMMYFUNCTION("""COMPUTED_VALUE"""),16.0)</f>
        <v>16</v>
      </c>
    </row>
    <row r="143">
      <c r="A143" s="3" t="str">
        <f>IFERROR(__xludf.DUMMYFUNCTION("""COMPUTED_VALUE"""),"")</f>
        <v/>
      </c>
      <c r="B143" s="3" t="str">
        <f>IFERROR(__xludf.DUMMYFUNCTION("""COMPUTED_VALUE"""),"Lebanon")</f>
        <v>Lebanon</v>
      </c>
      <c r="C143" s="3">
        <f>IFERROR(__xludf.DUMMYFUNCTION("""COMPUTED_VALUE"""),33.8547)</f>
        <v>33.8547</v>
      </c>
      <c r="D143" s="3">
        <f>IFERROR(__xludf.DUMMYFUNCTION("""COMPUTED_VALUE"""),35.8623)</f>
        <v>35.8623</v>
      </c>
      <c r="E143" s="3">
        <f>IFERROR(__xludf.DUMMYFUNCTION("""COMPUTED_VALUE"""),0.0)</f>
        <v>0</v>
      </c>
      <c r="F143" s="3">
        <f>IFERROR(__xludf.DUMMYFUNCTION("""COMPUTED_VALUE"""),0.0)</f>
        <v>0</v>
      </c>
      <c r="G143" s="3">
        <f>IFERROR(__xludf.DUMMYFUNCTION("""COMPUTED_VALUE"""),0.0)</f>
        <v>0</v>
      </c>
      <c r="H143" s="3">
        <f>IFERROR(__xludf.DUMMYFUNCTION("""COMPUTED_VALUE"""),0.0)</f>
        <v>0</v>
      </c>
      <c r="I143" s="3">
        <f>IFERROR(__xludf.DUMMYFUNCTION("""COMPUTED_VALUE"""),0.0)</f>
        <v>0</v>
      </c>
      <c r="J143" s="3">
        <f>IFERROR(__xludf.DUMMYFUNCTION("""COMPUTED_VALUE"""),0.0)</f>
        <v>0</v>
      </c>
      <c r="K143" s="3">
        <f>IFERROR(__xludf.DUMMYFUNCTION("""COMPUTED_VALUE"""),0.0)</f>
        <v>0</v>
      </c>
      <c r="L143" s="3">
        <f>IFERROR(__xludf.DUMMYFUNCTION("""COMPUTED_VALUE"""),0.0)</f>
        <v>0</v>
      </c>
      <c r="M143" s="3">
        <f>IFERROR(__xludf.DUMMYFUNCTION("""COMPUTED_VALUE"""),0.0)</f>
        <v>0</v>
      </c>
      <c r="N143" s="3">
        <f>IFERROR(__xludf.DUMMYFUNCTION("""COMPUTED_VALUE"""),0.0)</f>
        <v>0</v>
      </c>
      <c r="O143" s="3">
        <f>IFERROR(__xludf.DUMMYFUNCTION("""COMPUTED_VALUE"""),0.0)</f>
        <v>0</v>
      </c>
      <c r="P143" s="3">
        <f>IFERROR(__xludf.DUMMYFUNCTION("""COMPUTED_VALUE"""),0.0)</f>
        <v>0</v>
      </c>
      <c r="Q143" s="3">
        <f>IFERROR(__xludf.DUMMYFUNCTION("""COMPUTED_VALUE"""),0.0)</f>
        <v>0</v>
      </c>
      <c r="R143" s="3">
        <f>IFERROR(__xludf.DUMMYFUNCTION("""COMPUTED_VALUE"""),0.0)</f>
        <v>0</v>
      </c>
      <c r="S143" s="3">
        <f>IFERROR(__xludf.DUMMYFUNCTION("""COMPUTED_VALUE"""),0.0)</f>
        <v>0</v>
      </c>
      <c r="T143" s="3">
        <f>IFERROR(__xludf.DUMMYFUNCTION("""COMPUTED_VALUE"""),0.0)</f>
        <v>0</v>
      </c>
      <c r="U143" s="3">
        <f>IFERROR(__xludf.DUMMYFUNCTION("""COMPUTED_VALUE"""),0.0)</f>
        <v>0</v>
      </c>
      <c r="V143" s="3">
        <f>IFERROR(__xludf.DUMMYFUNCTION("""COMPUTED_VALUE"""),0.0)</f>
        <v>0</v>
      </c>
      <c r="W143" s="3">
        <f>IFERROR(__xludf.DUMMYFUNCTION("""COMPUTED_VALUE"""),0.0)</f>
        <v>0</v>
      </c>
      <c r="X143" s="3">
        <f>IFERROR(__xludf.DUMMYFUNCTION("""COMPUTED_VALUE"""),0.0)</f>
        <v>0</v>
      </c>
      <c r="Y143" s="3">
        <f>IFERROR(__xludf.DUMMYFUNCTION("""COMPUTED_VALUE"""),0.0)</f>
        <v>0</v>
      </c>
      <c r="Z143" s="3">
        <f>IFERROR(__xludf.DUMMYFUNCTION("""COMPUTED_VALUE"""),0.0)</f>
        <v>0</v>
      </c>
      <c r="AA143" s="3">
        <f>IFERROR(__xludf.DUMMYFUNCTION("""COMPUTED_VALUE"""),0.0)</f>
        <v>0</v>
      </c>
      <c r="AB143" s="3">
        <f>IFERROR(__xludf.DUMMYFUNCTION("""COMPUTED_VALUE"""),0.0)</f>
        <v>0</v>
      </c>
      <c r="AC143" s="3">
        <f>IFERROR(__xludf.DUMMYFUNCTION("""COMPUTED_VALUE"""),0.0)</f>
        <v>0</v>
      </c>
      <c r="AD143" s="3">
        <f>IFERROR(__xludf.DUMMYFUNCTION("""COMPUTED_VALUE"""),0.0)</f>
        <v>0</v>
      </c>
      <c r="AE143" s="3">
        <f>IFERROR(__xludf.DUMMYFUNCTION("""COMPUTED_VALUE"""),0.0)</f>
        <v>0</v>
      </c>
      <c r="AF143" s="3">
        <f>IFERROR(__xludf.DUMMYFUNCTION("""COMPUTED_VALUE"""),0.0)</f>
        <v>0</v>
      </c>
      <c r="AG143" s="3">
        <f>IFERROR(__xludf.DUMMYFUNCTION("""COMPUTED_VALUE"""),0.0)</f>
        <v>0</v>
      </c>
      <c r="AH143" s="3">
        <f>IFERROR(__xludf.DUMMYFUNCTION("""COMPUTED_VALUE"""),0.0)</f>
        <v>0</v>
      </c>
      <c r="AI143" s="3">
        <f>IFERROR(__xludf.DUMMYFUNCTION("""COMPUTED_VALUE"""),0.0)</f>
        <v>0</v>
      </c>
      <c r="AJ143" s="3">
        <f>IFERROR(__xludf.DUMMYFUNCTION("""COMPUTED_VALUE"""),0.0)</f>
        <v>0</v>
      </c>
      <c r="AK143" s="3">
        <f>IFERROR(__xludf.DUMMYFUNCTION("""COMPUTED_VALUE"""),0.0)</f>
        <v>0</v>
      </c>
      <c r="AL143" s="3">
        <f>IFERROR(__xludf.DUMMYFUNCTION("""COMPUTED_VALUE"""),0.0)</f>
        <v>0</v>
      </c>
      <c r="AM143" s="3">
        <f>IFERROR(__xludf.DUMMYFUNCTION("""COMPUTED_VALUE"""),0.0)</f>
        <v>0</v>
      </c>
      <c r="AN143" s="3">
        <f>IFERROR(__xludf.DUMMYFUNCTION("""COMPUTED_VALUE"""),0.0)</f>
        <v>0</v>
      </c>
      <c r="AO143" s="3">
        <f>IFERROR(__xludf.DUMMYFUNCTION("""COMPUTED_VALUE"""),0.0)</f>
        <v>0</v>
      </c>
      <c r="AP143" s="3">
        <f>IFERROR(__xludf.DUMMYFUNCTION("""COMPUTED_VALUE"""),0.0)</f>
        <v>0</v>
      </c>
      <c r="AQ143" s="3">
        <f>IFERROR(__xludf.DUMMYFUNCTION("""COMPUTED_VALUE"""),0.0)</f>
        <v>0</v>
      </c>
      <c r="AR143" s="3">
        <f>IFERROR(__xludf.DUMMYFUNCTION("""COMPUTED_VALUE"""),0.0)</f>
        <v>0</v>
      </c>
      <c r="AS143" s="3">
        <f>IFERROR(__xludf.DUMMYFUNCTION("""COMPUTED_VALUE"""),0.0)</f>
        <v>0</v>
      </c>
      <c r="AT143" s="3">
        <f>IFERROR(__xludf.DUMMYFUNCTION("""COMPUTED_VALUE"""),0.0)</f>
        <v>0</v>
      </c>
      <c r="AU143" s="3">
        <f>IFERROR(__xludf.DUMMYFUNCTION("""COMPUTED_VALUE"""),1.0)</f>
        <v>1</v>
      </c>
      <c r="AV143" s="3">
        <f>IFERROR(__xludf.DUMMYFUNCTION("""COMPUTED_VALUE"""),1.0)</f>
        <v>1</v>
      </c>
      <c r="AW143" s="3">
        <f>IFERROR(__xludf.DUMMYFUNCTION("""COMPUTED_VALUE"""),1.0)</f>
        <v>1</v>
      </c>
      <c r="AX143" s="3">
        <f>IFERROR(__xludf.DUMMYFUNCTION("""COMPUTED_VALUE"""),1.0)</f>
        <v>1</v>
      </c>
      <c r="AY143" s="3">
        <f>IFERROR(__xludf.DUMMYFUNCTION("""COMPUTED_VALUE"""),1.0)</f>
        <v>1</v>
      </c>
      <c r="AZ143" s="3">
        <f>IFERROR(__xludf.DUMMYFUNCTION("""COMPUTED_VALUE"""),1.0)</f>
        <v>1</v>
      </c>
      <c r="BA143" s="3">
        <f>IFERROR(__xludf.DUMMYFUNCTION("""COMPUTED_VALUE"""),1.0)</f>
        <v>1</v>
      </c>
      <c r="BB143" s="3">
        <f>IFERROR(__xludf.DUMMYFUNCTION("""COMPUTED_VALUE"""),1.0)</f>
        <v>1</v>
      </c>
      <c r="BC143" s="3">
        <f>IFERROR(__xludf.DUMMYFUNCTION("""COMPUTED_VALUE"""),1.0)</f>
        <v>1</v>
      </c>
      <c r="BD143" s="3">
        <f>IFERROR(__xludf.DUMMYFUNCTION("""COMPUTED_VALUE"""),1.0)</f>
        <v>1</v>
      </c>
      <c r="BE143" s="3">
        <f>IFERROR(__xludf.DUMMYFUNCTION("""COMPUTED_VALUE"""),1.0)</f>
        <v>1</v>
      </c>
      <c r="BF143" s="3">
        <f>IFERROR(__xludf.DUMMYFUNCTION("""COMPUTED_VALUE"""),1.0)</f>
        <v>1</v>
      </c>
      <c r="BG143" s="3">
        <f>IFERROR(__xludf.DUMMYFUNCTION("""COMPUTED_VALUE"""),1.0)</f>
        <v>1</v>
      </c>
      <c r="BH143" s="3">
        <f>IFERROR(__xludf.DUMMYFUNCTION("""COMPUTED_VALUE"""),3.0)</f>
        <v>3</v>
      </c>
      <c r="BI143" s="3">
        <f>IFERROR(__xludf.DUMMYFUNCTION("""COMPUTED_VALUE"""),3.0)</f>
        <v>3</v>
      </c>
      <c r="BJ143" s="3">
        <f>IFERROR(__xludf.DUMMYFUNCTION("""COMPUTED_VALUE"""),4.0)</f>
        <v>4</v>
      </c>
      <c r="BK143" s="3">
        <f>IFERROR(__xludf.DUMMYFUNCTION("""COMPUTED_VALUE"""),4.0)</f>
        <v>4</v>
      </c>
      <c r="BL143" s="3">
        <f>IFERROR(__xludf.DUMMYFUNCTION("""COMPUTED_VALUE"""),4.0)</f>
        <v>4</v>
      </c>
      <c r="BM143" s="3">
        <f>IFERROR(__xludf.DUMMYFUNCTION("""COMPUTED_VALUE"""),8.0)</f>
        <v>8</v>
      </c>
      <c r="BN143" s="3">
        <f>IFERROR(__xludf.DUMMYFUNCTION("""COMPUTED_VALUE"""),8.0)</f>
        <v>8</v>
      </c>
      <c r="BO143" s="3">
        <f>IFERROR(__xludf.DUMMYFUNCTION("""COMPUTED_VALUE"""),8.0)</f>
        <v>8</v>
      </c>
      <c r="BP143" s="3">
        <f>IFERROR(__xludf.DUMMYFUNCTION("""COMPUTED_VALUE"""),20.0)</f>
        <v>20</v>
      </c>
      <c r="BQ143" s="3">
        <f>IFERROR(__xludf.DUMMYFUNCTION("""COMPUTED_VALUE"""),23.0)</f>
        <v>23</v>
      </c>
      <c r="BR143" s="3">
        <f>IFERROR(__xludf.DUMMYFUNCTION("""COMPUTED_VALUE"""),27.0)</f>
        <v>27</v>
      </c>
      <c r="BS143" s="3">
        <f>IFERROR(__xludf.DUMMYFUNCTION("""COMPUTED_VALUE"""),30.0)</f>
        <v>30</v>
      </c>
      <c r="BT143" s="3">
        <f>IFERROR(__xludf.DUMMYFUNCTION("""COMPUTED_VALUE"""),30.0)</f>
        <v>30</v>
      </c>
      <c r="BU143" s="3">
        <f>IFERROR(__xludf.DUMMYFUNCTION("""COMPUTED_VALUE"""),35.0)</f>
        <v>35</v>
      </c>
      <c r="BV143" s="3">
        <f>IFERROR(__xludf.DUMMYFUNCTION("""COMPUTED_VALUE"""),37.0)</f>
        <v>37</v>
      </c>
      <c r="BW143" s="3">
        <f>IFERROR(__xludf.DUMMYFUNCTION("""COMPUTED_VALUE"""),43.0)</f>
        <v>43</v>
      </c>
      <c r="BX143" s="3">
        <f>IFERROR(__xludf.DUMMYFUNCTION("""COMPUTED_VALUE"""),46.0)</f>
        <v>46</v>
      </c>
      <c r="BY143" s="3">
        <f>IFERROR(__xludf.DUMMYFUNCTION("""COMPUTED_VALUE"""),50.0)</f>
        <v>50</v>
      </c>
      <c r="BZ143" s="3">
        <f>IFERROR(__xludf.DUMMYFUNCTION("""COMPUTED_VALUE"""),54.0)</f>
        <v>54</v>
      </c>
      <c r="CA143" s="3">
        <f>IFERROR(__xludf.DUMMYFUNCTION("""COMPUTED_VALUE"""),54.0)</f>
        <v>54</v>
      </c>
      <c r="CB143" s="3">
        <f>IFERROR(__xludf.DUMMYFUNCTION("""COMPUTED_VALUE"""),60.0)</f>
        <v>60</v>
      </c>
    </row>
    <row r="144">
      <c r="A144" s="3" t="str">
        <f>IFERROR(__xludf.DUMMYFUNCTION("""COMPUTED_VALUE"""),"")</f>
        <v/>
      </c>
      <c r="B144" s="3" t="str">
        <f>IFERROR(__xludf.DUMMYFUNCTION("""COMPUTED_VALUE"""),"Liberia")</f>
        <v>Liberia</v>
      </c>
      <c r="C144" s="3">
        <f>IFERROR(__xludf.DUMMYFUNCTION("""COMPUTED_VALUE"""),6.4281)</f>
        <v>6.4281</v>
      </c>
      <c r="D144" s="3">
        <f>IFERROR(__xludf.DUMMYFUNCTION("""COMPUTED_VALUE"""),-9.4295)</f>
        <v>-9.4295</v>
      </c>
      <c r="E144" s="3">
        <f>IFERROR(__xludf.DUMMYFUNCTION("""COMPUTED_VALUE"""),0.0)</f>
        <v>0</v>
      </c>
      <c r="F144" s="3">
        <f>IFERROR(__xludf.DUMMYFUNCTION("""COMPUTED_VALUE"""),0.0)</f>
        <v>0</v>
      </c>
      <c r="G144" s="3">
        <f>IFERROR(__xludf.DUMMYFUNCTION("""COMPUTED_VALUE"""),0.0)</f>
        <v>0</v>
      </c>
      <c r="H144" s="3">
        <f>IFERROR(__xludf.DUMMYFUNCTION("""COMPUTED_VALUE"""),0.0)</f>
        <v>0</v>
      </c>
      <c r="I144" s="3">
        <f>IFERROR(__xludf.DUMMYFUNCTION("""COMPUTED_VALUE"""),0.0)</f>
        <v>0</v>
      </c>
      <c r="J144" s="3">
        <f>IFERROR(__xludf.DUMMYFUNCTION("""COMPUTED_VALUE"""),0.0)</f>
        <v>0</v>
      </c>
      <c r="K144" s="3">
        <f>IFERROR(__xludf.DUMMYFUNCTION("""COMPUTED_VALUE"""),0.0)</f>
        <v>0</v>
      </c>
      <c r="L144" s="3">
        <f>IFERROR(__xludf.DUMMYFUNCTION("""COMPUTED_VALUE"""),0.0)</f>
        <v>0</v>
      </c>
      <c r="M144" s="3">
        <f>IFERROR(__xludf.DUMMYFUNCTION("""COMPUTED_VALUE"""),0.0)</f>
        <v>0</v>
      </c>
      <c r="N144" s="3">
        <f>IFERROR(__xludf.DUMMYFUNCTION("""COMPUTED_VALUE"""),0.0)</f>
        <v>0</v>
      </c>
      <c r="O144" s="3">
        <f>IFERROR(__xludf.DUMMYFUNCTION("""COMPUTED_VALUE"""),0.0)</f>
        <v>0</v>
      </c>
      <c r="P144" s="3">
        <f>IFERROR(__xludf.DUMMYFUNCTION("""COMPUTED_VALUE"""),0.0)</f>
        <v>0</v>
      </c>
      <c r="Q144" s="3">
        <f>IFERROR(__xludf.DUMMYFUNCTION("""COMPUTED_VALUE"""),0.0)</f>
        <v>0</v>
      </c>
      <c r="R144" s="3">
        <f>IFERROR(__xludf.DUMMYFUNCTION("""COMPUTED_VALUE"""),0.0)</f>
        <v>0</v>
      </c>
      <c r="S144" s="3">
        <f>IFERROR(__xludf.DUMMYFUNCTION("""COMPUTED_VALUE"""),0.0)</f>
        <v>0</v>
      </c>
      <c r="T144" s="3">
        <f>IFERROR(__xludf.DUMMYFUNCTION("""COMPUTED_VALUE"""),0.0)</f>
        <v>0</v>
      </c>
      <c r="U144" s="3">
        <f>IFERROR(__xludf.DUMMYFUNCTION("""COMPUTED_VALUE"""),0.0)</f>
        <v>0</v>
      </c>
      <c r="V144" s="3">
        <f>IFERROR(__xludf.DUMMYFUNCTION("""COMPUTED_VALUE"""),0.0)</f>
        <v>0</v>
      </c>
      <c r="W144" s="3">
        <f>IFERROR(__xludf.DUMMYFUNCTION("""COMPUTED_VALUE"""),0.0)</f>
        <v>0</v>
      </c>
      <c r="X144" s="3">
        <f>IFERROR(__xludf.DUMMYFUNCTION("""COMPUTED_VALUE"""),0.0)</f>
        <v>0</v>
      </c>
      <c r="Y144" s="3">
        <f>IFERROR(__xludf.DUMMYFUNCTION("""COMPUTED_VALUE"""),0.0)</f>
        <v>0</v>
      </c>
      <c r="Z144" s="3">
        <f>IFERROR(__xludf.DUMMYFUNCTION("""COMPUTED_VALUE"""),0.0)</f>
        <v>0</v>
      </c>
      <c r="AA144" s="3">
        <f>IFERROR(__xludf.DUMMYFUNCTION("""COMPUTED_VALUE"""),0.0)</f>
        <v>0</v>
      </c>
      <c r="AB144" s="3">
        <f>IFERROR(__xludf.DUMMYFUNCTION("""COMPUTED_VALUE"""),0.0)</f>
        <v>0</v>
      </c>
      <c r="AC144" s="3">
        <f>IFERROR(__xludf.DUMMYFUNCTION("""COMPUTED_VALUE"""),0.0)</f>
        <v>0</v>
      </c>
      <c r="AD144" s="3">
        <f>IFERROR(__xludf.DUMMYFUNCTION("""COMPUTED_VALUE"""),0.0)</f>
        <v>0</v>
      </c>
      <c r="AE144" s="3">
        <f>IFERROR(__xludf.DUMMYFUNCTION("""COMPUTED_VALUE"""),0.0)</f>
        <v>0</v>
      </c>
      <c r="AF144" s="3">
        <f>IFERROR(__xludf.DUMMYFUNCTION("""COMPUTED_VALUE"""),0.0)</f>
        <v>0</v>
      </c>
      <c r="AG144" s="3">
        <f>IFERROR(__xludf.DUMMYFUNCTION("""COMPUTED_VALUE"""),0.0)</f>
        <v>0</v>
      </c>
      <c r="AH144" s="3">
        <f>IFERROR(__xludf.DUMMYFUNCTION("""COMPUTED_VALUE"""),0.0)</f>
        <v>0</v>
      </c>
      <c r="AI144" s="3">
        <f>IFERROR(__xludf.DUMMYFUNCTION("""COMPUTED_VALUE"""),0.0)</f>
        <v>0</v>
      </c>
      <c r="AJ144" s="3">
        <f>IFERROR(__xludf.DUMMYFUNCTION("""COMPUTED_VALUE"""),0.0)</f>
        <v>0</v>
      </c>
      <c r="AK144" s="3">
        <f>IFERROR(__xludf.DUMMYFUNCTION("""COMPUTED_VALUE"""),0.0)</f>
        <v>0</v>
      </c>
      <c r="AL144" s="3">
        <f>IFERROR(__xludf.DUMMYFUNCTION("""COMPUTED_VALUE"""),0.0)</f>
        <v>0</v>
      </c>
      <c r="AM144" s="3">
        <f>IFERROR(__xludf.DUMMYFUNCTION("""COMPUTED_VALUE"""),0.0)</f>
        <v>0</v>
      </c>
      <c r="AN144" s="3">
        <f>IFERROR(__xludf.DUMMYFUNCTION("""COMPUTED_VALUE"""),0.0)</f>
        <v>0</v>
      </c>
      <c r="AO144" s="3">
        <f>IFERROR(__xludf.DUMMYFUNCTION("""COMPUTED_VALUE"""),0.0)</f>
        <v>0</v>
      </c>
      <c r="AP144" s="3">
        <f>IFERROR(__xludf.DUMMYFUNCTION("""COMPUTED_VALUE"""),0.0)</f>
        <v>0</v>
      </c>
      <c r="AQ144" s="3">
        <f>IFERROR(__xludf.DUMMYFUNCTION("""COMPUTED_VALUE"""),0.0)</f>
        <v>0</v>
      </c>
      <c r="AR144" s="3">
        <f>IFERROR(__xludf.DUMMYFUNCTION("""COMPUTED_VALUE"""),0.0)</f>
        <v>0</v>
      </c>
      <c r="AS144" s="3">
        <f>IFERROR(__xludf.DUMMYFUNCTION("""COMPUTED_VALUE"""),0.0)</f>
        <v>0</v>
      </c>
      <c r="AT144" s="3">
        <f>IFERROR(__xludf.DUMMYFUNCTION("""COMPUTED_VALUE"""),0.0)</f>
        <v>0</v>
      </c>
      <c r="AU144" s="3">
        <f>IFERROR(__xludf.DUMMYFUNCTION("""COMPUTED_VALUE"""),0.0)</f>
        <v>0</v>
      </c>
      <c r="AV144" s="3">
        <f>IFERROR(__xludf.DUMMYFUNCTION("""COMPUTED_VALUE"""),0.0)</f>
        <v>0</v>
      </c>
      <c r="AW144" s="3">
        <f>IFERROR(__xludf.DUMMYFUNCTION("""COMPUTED_VALUE"""),0.0)</f>
        <v>0</v>
      </c>
      <c r="AX144" s="3">
        <f>IFERROR(__xludf.DUMMYFUNCTION("""COMPUTED_VALUE"""),0.0)</f>
        <v>0</v>
      </c>
      <c r="AY144" s="3">
        <f>IFERROR(__xludf.DUMMYFUNCTION("""COMPUTED_VALUE"""),0.0)</f>
        <v>0</v>
      </c>
      <c r="AZ144" s="3">
        <f>IFERROR(__xludf.DUMMYFUNCTION("""COMPUTED_VALUE"""),0.0)</f>
        <v>0</v>
      </c>
      <c r="BA144" s="3">
        <f>IFERROR(__xludf.DUMMYFUNCTION("""COMPUTED_VALUE"""),0.0)</f>
        <v>0</v>
      </c>
      <c r="BB144" s="3">
        <f>IFERROR(__xludf.DUMMYFUNCTION("""COMPUTED_VALUE"""),0.0)</f>
        <v>0</v>
      </c>
      <c r="BC144" s="3">
        <f>IFERROR(__xludf.DUMMYFUNCTION("""COMPUTED_VALUE"""),0.0)</f>
        <v>0</v>
      </c>
      <c r="BD144" s="3">
        <f>IFERROR(__xludf.DUMMYFUNCTION("""COMPUTED_VALUE"""),0.0)</f>
        <v>0</v>
      </c>
      <c r="BE144" s="3">
        <f>IFERROR(__xludf.DUMMYFUNCTION("""COMPUTED_VALUE"""),0.0)</f>
        <v>0</v>
      </c>
      <c r="BF144" s="3">
        <f>IFERROR(__xludf.DUMMYFUNCTION("""COMPUTED_VALUE"""),0.0)</f>
        <v>0</v>
      </c>
      <c r="BG144" s="3">
        <f>IFERROR(__xludf.DUMMYFUNCTION("""COMPUTED_VALUE"""),0.0)</f>
        <v>0</v>
      </c>
      <c r="BH144" s="3">
        <f>IFERROR(__xludf.DUMMYFUNCTION("""COMPUTED_VALUE"""),0.0)</f>
        <v>0</v>
      </c>
      <c r="BI144" s="3">
        <f>IFERROR(__xludf.DUMMYFUNCTION("""COMPUTED_VALUE"""),0.0)</f>
        <v>0</v>
      </c>
      <c r="BJ144" s="3">
        <f>IFERROR(__xludf.DUMMYFUNCTION("""COMPUTED_VALUE"""),0.0)</f>
        <v>0</v>
      </c>
      <c r="BK144" s="3">
        <f>IFERROR(__xludf.DUMMYFUNCTION("""COMPUTED_VALUE"""),0.0)</f>
        <v>0</v>
      </c>
      <c r="BL144" s="3">
        <f>IFERROR(__xludf.DUMMYFUNCTION("""COMPUTED_VALUE"""),0.0)</f>
        <v>0</v>
      </c>
      <c r="BM144" s="3">
        <f>IFERROR(__xludf.DUMMYFUNCTION("""COMPUTED_VALUE"""),0.0)</f>
        <v>0</v>
      </c>
      <c r="BN144" s="3">
        <f>IFERROR(__xludf.DUMMYFUNCTION("""COMPUTED_VALUE"""),0.0)</f>
        <v>0</v>
      </c>
      <c r="BO144" s="3">
        <f>IFERROR(__xludf.DUMMYFUNCTION("""COMPUTED_VALUE"""),0.0)</f>
        <v>0</v>
      </c>
      <c r="BP144" s="3">
        <f>IFERROR(__xludf.DUMMYFUNCTION("""COMPUTED_VALUE"""),0.0)</f>
        <v>0</v>
      </c>
      <c r="BQ144" s="3">
        <f>IFERROR(__xludf.DUMMYFUNCTION("""COMPUTED_VALUE"""),0.0)</f>
        <v>0</v>
      </c>
      <c r="BR144" s="3">
        <f>IFERROR(__xludf.DUMMYFUNCTION("""COMPUTED_VALUE"""),0.0)</f>
        <v>0</v>
      </c>
      <c r="BS144" s="3">
        <f>IFERROR(__xludf.DUMMYFUNCTION("""COMPUTED_VALUE"""),0.0)</f>
        <v>0</v>
      </c>
      <c r="BT144" s="3">
        <f>IFERROR(__xludf.DUMMYFUNCTION("""COMPUTED_VALUE"""),0.0)</f>
        <v>0</v>
      </c>
      <c r="BU144" s="3">
        <f>IFERROR(__xludf.DUMMYFUNCTION("""COMPUTED_VALUE"""),0.0)</f>
        <v>0</v>
      </c>
      <c r="BV144" s="3">
        <f>IFERROR(__xludf.DUMMYFUNCTION("""COMPUTED_VALUE"""),0.0)</f>
        <v>0</v>
      </c>
      <c r="BW144" s="3">
        <f>IFERROR(__xludf.DUMMYFUNCTION("""COMPUTED_VALUE"""),0.0)</f>
        <v>0</v>
      </c>
      <c r="BX144" s="3">
        <f>IFERROR(__xludf.DUMMYFUNCTION("""COMPUTED_VALUE"""),0.0)</f>
        <v>0</v>
      </c>
      <c r="BY144" s="3">
        <f>IFERROR(__xludf.DUMMYFUNCTION("""COMPUTED_VALUE"""),0.0)</f>
        <v>0</v>
      </c>
      <c r="BZ144" s="3">
        <f>IFERROR(__xludf.DUMMYFUNCTION("""COMPUTED_VALUE"""),3.0)</f>
        <v>3</v>
      </c>
      <c r="CA144" s="3">
        <f>IFERROR(__xludf.DUMMYFUNCTION("""COMPUTED_VALUE"""),3.0)</f>
        <v>3</v>
      </c>
      <c r="CB144" s="3">
        <f>IFERROR(__xludf.DUMMYFUNCTION("""COMPUTED_VALUE"""),3.0)</f>
        <v>3</v>
      </c>
    </row>
    <row r="145">
      <c r="A145" s="3" t="str">
        <f>IFERROR(__xludf.DUMMYFUNCTION("""COMPUTED_VALUE"""),"")</f>
        <v/>
      </c>
      <c r="B145" s="3" t="str">
        <f>IFERROR(__xludf.DUMMYFUNCTION("""COMPUTED_VALUE"""),"Libya")</f>
        <v>Libya</v>
      </c>
      <c r="C145" s="3">
        <f>IFERROR(__xludf.DUMMYFUNCTION("""COMPUTED_VALUE"""),26.3351)</f>
        <v>26.3351</v>
      </c>
      <c r="D145" s="3">
        <f>IFERROR(__xludf.DUMMYFUNCTION("""COMPUTED_VALUE"""),17.228331)</f>
        <v>17.228331</v>
      </c>
      <c r="E145" s="3">
        <f>IFERROR(__xludf.DUMMYFUNCTION("""COMPUTED_VALUE"""),0.0)</f>
        <v>0</v>
      </c>
      <c r="F145" s="3">
        <f>IFERROR(__xludf.DUMMYFUNCTION("""COMPUTED_VALUE"""),0.0)</f>
        <v>0</v>
      </c>
      <c r="G145" s="3">
        <f>IFERROR(__xludf.DUMMYFUNCTION("""COMPUTED_VALUE"""),0.0)</f>
        <v>0</v>
      </c>
      <c r="H145" s="3">
        <f>IFERROR(__xludf.DUMMYFUNCTION("""COMPUTED_VALUE"""),0.0)</f>
        <v>0</v>
      </c>
      <c r="I145" s="3">
        <f>IFERROR(__xludf.DUMMYFUNCTION("""COMPUTED_VALUE"""),0.0)</f>
        <v>0</v>
      </c>
      <c r="J145" s="3">
        <f>IFERROR(__xludf.DUMMYFUNCTION("""COMPUTED_VALUE"""),0.0)</f>
        <v>0</v>
      </c>
      <c r="K145" s="3">
        <f>IFERROR(__xludf.DUMMYFUNCTION("""COMPUTED_VALUE"""),0.0)</f>
        <v>0</v>
      </c>
      <c r="L145" s="3">
        <f>IFERROR(__xludf.DUMMYFUNCTION("""COMPUTED_VALUE"""),0.0)</f>
        <v>0</v>
      </c>
      <c r="M145" s="3">
        <f>IFERROR(__xludf.DUMMYFUNCTION("""COMPUTED_VALUE"""),0.0)</f>
        <v>0</v>
      </c>
      <c r="N145" s="3">
        <f>IFERROR(__xludf.DUMMYFUNCTION("""COMPUTED_VALUE"""),0.0)</f>
        <v>0</v>
      </c>
      <c r="O145" s="3">
        <f>IFERROR(__xludf.DUMMYFUNCTION("""COMPUTED_VALUE"""),0.0)</f>
        <v>0</v>
      </c>
      <c r="P145" s="3">
        <f>IFERROR(__xludf.DUMMYFUNCTION("""COMPUTED_VALUE"""),0.0)</f>
        <v>0</v>
      </c>
      <c r="Q145" s="3">
        <f>IFERROR(__xludf.DUMMYFUNCTION("""COMPUTED_VALUE"""),0.0)</f>
        <v>0</v>
      </c>
      <c r="R145" s="3">
        <f>IFERROR(__xludf.DUMMYFUNCTION("""COMPUTED_VALUE"""),0.0)</f>
        <v>0</v>
      </c>
      <c r="S145" s="3">
        <f>IFERROR(__xludf.DUMMYFUNCTION("""COMPUTED_VALUE"""),0.0)</f>
        <v>0</v>
      </c>
      <c r="T145" s="3">
        <f>IFERROR(__xludf.DUMMYFUNCTION("""COMPUTED_VALUE"""),0.0)</f>
        <v>0</v>
      </c>
      <c r="U145" s="3">
        <f>IFERROR(__xludf.DUMMYFUNCTION("""COMPUTED_VALUE"""),0.0)</f>
        <v>0</v>
      </c>
      <c r="V145" s="3">
        <f>IFERROR(__xludf.DUMMYFUNCTION("""COMPUTED_VALUE"""),0.0)</f>
        <v>0</v>
      </c>
      <c r="W145" s="3">
        <f>IFERROR(__xludf.DUMMYFUNCTION("""COMPUTED_VALUE"""),0.0)</f>
        <v>0</v>
      </c>
      <c r="X145" s="3">
        <f>IFERROR(__xludf.DUMMYFUNCTION("""COMPUTED_VALUE"""),0.0)</f>
        <v>0</v>
      </c>
      <c r="Y145" s="3">
        <f>IFERROR(__xludf.DUMMYFUNCTION("""COMPUTED_VALUE"""),0.0)</f>
        <v>0</v>
      </c>
      <c r="Z145" s="3">
        <f>IFERROR(__xludf.DUMMYFUNCTION("""COMPUTED_VALUE"""),0.0)</f>
        <v>0</v>
      </c>
      <c r="AA145" s="3">
        <f>IFERROR(__xludf.DUMMYFUNCTION("""COMPUTED_VALUE"""),0.0)</f>
        <v>0</v>
      </c>
      <c r="AB145" s="3">
        <f>IFERROR(__xludf.DUMMYFUNCTION("""COMPUTED_VALUE"""),0.0)</f>
        <v>0</v>
      </c>
      <c r="AC145" s="3">
        <f>IFERROR(__xludf.DUMMYFUNCTION("""COMPUTED_VALUE"""),0.0)</f>
        <v>0</v>
      </c>
      <c r="AD145" s="3">
        <f>IFERROR(__xludf.DUMMYFUNCTION("""COMPUTED_VALUE"""),0.0)</f>
        <v>0</v>
      </c>
      <c r="AE145" s="3">
        <f>IFERROR(__xludf.DUMMYFUNCTION("""COMPUTED_VALUE"""),0.0)</f>
        <v>0</v>
      </c>
      <c r="AF145" s="3">
        <f>IFERROR(__xludf.DUMMYFUNCTION("""COMPUTED_VALUE"""),0.0)</f>
        <v>0</v>
      </c>
      <c r="AG145" s="3">
        <f>IFERROR(__xludf.DUMMYFUNCTION("""COMPUTED_VALUE"""),0.0)</f>
        <v>0</v>
      </c>
      <c r="AH145" s="3">
        <f>IFERROR(__xludf.DUMMYFUNCTION("""COMPUTED_VALUE"""),0.0)</f>
        <v>0</v>
      </c>
      <c r="AI145" s="3">
        <f>IFERROR(__xludf.DUMMYFUNCTION("""COMPUTED_VALUE"""),0.0)</f>
        <v>0</v>
      </c>
      <c r="AJ145" s="3">
        <f>IFERROR(__xludf.DUMMYFUNCTION("""COMPUTED_VALUE"""),0.0)</f>
        <v>0</v>
      </c>
      <c r="AK145" s="3">
        <f>IFERROR(__xludf.DUMMYFUNCTION("""COMPUTED_VALUE"""),0.0)</f>
        <v>0</v>
      </c>
      <c r="AL145" s="3">
        <f>IFERROR(__xludf.DUMMYFUNCTION("""COMPUTED_VALUE"""),0.0)</f>
        <v>0</v>
      </c>
      <c r="AM145" s="3">
        <f>IFERROR(__xludf.DUMMYFUNCTION("""COMPUTED_VALUE"""),0.0)</f>
        <v>0</v>
      </c>
      <c r="AN145" s="3">
        <f>IFERROR(__xludf.DUMMYFUNCTION("""COMPUTED_VALUE"""),0.0)</f>
        <v>0</v>
      </c>
      <c r="AO145" s="3">
        <f>IFERROR(__xludf.DUMMYFUNCTION("""COMPUTED_VALUE"""),0.0)</f>
        <v>0</v>
      </c>
      <c r="AP145" s="3">
        <f>IFERROR(__xludf.DUMMYFUNCTION("""COMPUTED_VALUE"""),0.0)</f>
        <v>0</v>
      </c>
      <c r="AQ145" s="3">
        <f>IFERROR(__xludf.DUMMYFUNCTION("""COMPUTED_VALUE"""),0.0)</f>
        <v>0</v>
      </c>
      <c r="AR145" s="3">
        <f>IFERROR(__xludf.DUMMYFUNCTION("""COMPUTED_VALUE"""),0.0)</f>
        <v>0</v>
      </c>
      <c r="AS145" s="3">
        <f>IFERROR(__xludf.DUMMYFUNCTION("""COMPUTED_VALUE"""),0.0)</f>
        <v>0</v>
      </c>
      <c r="AT145" s="3">
        <f>IFERROR(__xludf.DUMMYFUNCTION("""COMPUTED_VALUE"""),0.0)</f>
        <v>0</v>
      </c>
      <c r="AU145" s="3">
        <f>IFERROR(__xludf.DUMMYFUNCTION("""COMPUTED_VALUE"""),0.0)</f>
        <v>0</v>
      </c>
      <c r="AV145" s="3">
        <f>IFERROR(__xludf.DUMMYFUNCTION("""COMPUTED_VALUE"""),0.0)</f>
        <v>0</v>
      </c>
      <c r="AW145" s="3">
        <f>IFERROR(__xludf.DUMMYFUNCTION("""COMPUTED_VALUE"""),0.0)</f>
        <v>0</v>
      </c>
      <c r="AX145" s="3">
        <f>IFERROR(__xludf.DUMMYFUNCTION("""COMPUTED_VALUE"""),0.0)</f>
        <v>0</v>
      </c>
      <c r="AY145" s="3">
        <f>IFERROR(__xludf.DUMMYFUNCTION("""COMPUTED_VALUE"""),0.0)</f>
        <v>0</v>
      </c>
      <c r="AZ145" s="3">
        <f>IFERROR(__xludf.DUMMYFUNCTION("""COMPUTED_VALUE"""),0.0)</f>
        <v>0</v>
      </c>
      <c r="BA145" s="3">
        <f>IFERROR(__xludf.DUMMYFUNCTION("""COMPUTED_VALUE"""),0.0)</f>
        <v>0</v>
      </c>
      <c r="BB145" s="3">
        <f>IFERROR(__xludf.DUMMYFUNCTION("""COMPUTED_VALUE"""),0.0)</f>
        <v>0</v>
      </c>
      <c r="BC145" s="3">
        <f>IFERROR(__xludf.DUMMYFUNCTION("""COMPUTED_VALUE"""),0.0)</f>
        <v>0</v>
      </c>
      <c r="BD145" s="3">
        <f>IFERROR(__xludf.DUMMYFUNCTION("""COMPUTED_VALUE"""),0.0)</f>
        <v>0</v>
      </c>
      <c r="BE145" s="3">
        <f>IFERROR(__xludf.DUMMYFUNCTION("""COMPUTED_VALUE"""),0.0)</f>
        <v>0</v>
      </c>
      <c r="BF145" s="3">
        <f>IFERROR(__xludf.DUMMYFUNCTION("""COMPUTED_VALUE"""),0.0)</f>
        <v>0</v>
      </c>
      <c r="BG145" s="3">
        <f>IFERROR(__xludf.DUMMYFUNCTION("""COMPUTED_VALUE"""),0.0)</f>
        <v>0</v>
      </c>
      <c r="BH145" s="3">
        <f>IFERROR(__xludf.DUMMYFUNCTION("""COMPUTED_VALUE"""),0.0)</f>
        <v>0</v>
      </c>
      <c r="BI145" s="3">
        <f>IFERROR(__xludf.DUMMYFUNCTION("""COMPUTED_VALUE"""),0.0)</f>
        <v>0</v>
      </c>
      <c r="BJ145" s="3">
        <f>IFERROR(__xludf.DUMMYFUNCTION("""COMPUTED_VALUE"""),0.0)</f>
        <v>0</v>
      </c>
      <c r="BK145" s="3">
        <f>IFERROR(__xludf.DUMMYFUNCTION("""COMPUTED_VALUE"""),0.0)</f>
        <v>0</v>
      </c>
      <c r="BL145" s="3">
        <f>IFERROR(__xludf.DUMMYFUNCTION("""COMPUTED_VALUE"""),0.0)</f>
        <v>0</v>
      </c>
      <c r="BM145" s="3">
        <f>IFERROR(__xludf.DUMMYFUNCTION("""COMPUTED_VALUE"""),0.0)</f>
        <v>0</v>
      </c>
      <c r="BN145" s="3">
        <f>IFERROR(__xludf.DUMMYFUNCTION("""COMPUTED_VALUE"""),0.0)</f>
        <v>0</v>
      </c>
      <c r="BO145" s="3">
        <f>IFERROR(__xludf.DUMMYFUNCTION("""COMPUTED_VALUE"""),0.0)</f>
        <v>0</v>
      </c>
      <c r="BP145" s="3">
        <f>IFERROR(__xludf.DUMMYFUNCTION("""COMPUTED_VALUE"""),0.0)</f>
        <v>0</v>
      </c>
      <c r="BQ145" s="3">
        <f>IFERROR(__xludf.DUMMYFUNCTION("""COMPUTED_VALUE"""),0.0)</f>
        <v>0</v>
      </c>
      <c r="BR145" s="3">
        <f>IFERROR(__xludf.DUMMYFUNCTION("""COMPUTED_VALUE"""),0.0)</f>
        <v>0</v>
      </c>
      <c r="BS145" s="3">
        <f>IFERROR(__xludf.DUMMYFUNCTION("""COMPUTED_VALUE"""),0.0)</f>
        <v>0</v>
      </c>
      <c r="BT145" s="3">
        <f>IFERROR(__xludf.DUMMYFUNCTION("""COMPUTED_VALUE"""),0.0)</f>
        <v>0</v>
      </c>
      <c r="BU145" s="3">
        <f>IFERROR(__xludf.DUMMYFUNCTION("""COMPUTED_VALUE"""),0.0)</f>
        <v>0</v>
      </c>
      <c r="BV145" s="3">
        <f>IFERROR(__xludf.DUMMYFUNCTION("""COMPUTED_VALUE"""),1.0)</f>
        <v>1</v>
      </c>
      <c r="BW145" s="3">
        <f>IFERROR(__xludf.DUMMYFUNCTION("""COMPUTED_VALUE"""),0.0)</f>
        <v>0</v>
      </c>
      <c r="BX145" s="3">
        <f>IFERROR(__xludf.DUMMYFUNCTION("""COMPUTED_VALUE"""),0.0)</f>
        <v>0</v>
      </c>
      <c r="BY145" s="3">
        <f>IFERROR(__xludf.DUMMYFUNCTION("""COMPUTED_VALUE"""),0.0)</f>
        <v>0</v>
      </c>
      <c r="BZ145" s="3">
        <f>IFERROR(__xludf.DUMMYFUNCTION("""COMPUTED_VALUE"""),0.0)</f>
        <v>0</v>
      </c>
      <c r="CA145" s="3">
        <f>IFERROR(__xludf.DUMMYFUNCTION("""COMPUTED_VALUE"""),0.0)</f>
        <v>0</v>
      </c>
      <c r="CB145" s="3">
        <f>IFERROR(__xludf.DUMMYFUNCTION("""COMPUTED_VALUE"""),1.0)</f>
        <v>1</v>
      </c>
    </row>
    <row r="146">
      <c r="A146" s="3" t="str">
        <f>IFERROR(__xludf.DUMMYFUNCTION("""COMPUTED_VALUE"""),"")</f>
        <v/>
      </c>
      <c r="B146" s="3" t="str">
        <f>IFERROR(__xludf.DUMMYFUNCTION("""COMPUTED_VALUE"""),"Liechtenstein")</f>
        <v>Liechtenstein</v>
      </c>
      <c r="C146" s="3">
        <f>IFERROR(__xludf.DUMMYFUNCTION("""COMPUTED_VALUE"""),47.14)</f>
        <v>47.14</v>
      </c>
      <c r="D146" s="3">
        <f>IFERROR(__xludf.DUMMYFUNCTION("""COMPUTED_VALUE"""),9.55)</f>
        <v>9.55</v>
      </c>
      <c r="E146" s="3">
        <f>IFERROR(__xludf.DUMMYFUNCTION("""COMPUTED_VALUE"""),0.0)</f>
        <v>0</v>
      </c>
      <c r="F146" s="3">
        <f>IFERROR(__xludf.DUMMYFUNCTION("""COMPUTED_VALUE"""),0.0)</f>
        <v>0</v>
      </c>
      <c r="G146" s="3">
        <f>IFERROR(__xludf.DUMMYFUNCTION("""COMPUTED_VALUE"""),0.0)</f>
        <v>0</v>
      </c>
      <c r="H146" s="3">
        <f>IFERROR(__xludf.DUMMYFUNCTION("""COMPUTED_VALUE"""),0.0)</f>
        <v>0</v>
      </c>
      <c r="I146" s="3">
        <f>IFERROR(__xludf.DUMMYFUNCTION("""COMPUTED_VALUE"""),0.0)</f>
        <v>0</v>
      </c>
      <c r="J146" s="3">
        <f>IFERROR(__xludf.DUMMYFUNCTION("""COMPUTED_VALUE"""),0.0)</f>
        <v>0</v>
      </c>
      <c r="K146" s="3">
        <f>IFERROR(__xludf.DUMMYFUNCTION("""COMPUTED_VALUE"""),0.0)</f>
        <v>0</v>
      </c>
      <c r="L146" s="3">
        <f>IFERROR(__xludf.DUMMYFUNCTION("""COMPUTED_VALUE"""),0.0)</f>
        <v>0</v>
      </c>
      <c r="M146" s="3">
        <f>IFERROR(__xludf.DUMMYFUNCTION("""COMPUTED_VALUE"""),0.0)</f>
        <v>0</v>
      </c>
      <c r="N146" s="3">
        <f>IFERROR(__xludf.DUMMYFUNCTION("""COMPUTED_VALUE"""),0.0)</f>
        <v>0</v>
      </c>
      <c r="O146" s="3">
        <f>IFERROR(__xludf.DUMMYFUNCTION("""COMPUTED_VALUE"""),0.0)</f>
        <v>0</v>
      </c>
      <c r="P146" s="3">
        <f>IFERROR(__xludf.DUMMYFUNCTION("""COMPUTED_VALUE"""),0.0)</f>
        <v>0</v>
      </c>
      <c r="Q146" s="3">
        <f>IFERROR(__xludf.DUMMYFUNCTION("""COMPUTED_VALUE"""),0.0)</f>
        <v>0</v>
      </c>
      <c r="R146" s="3">
        <f>IFERROR(__xludf.DUMMYFUNCTION("""COMPUTED_VALUE"""),0.0)</f>
        <v>0</v>
      </c>
      <c r="S146" s="3">
        <f>IFERROR(__xludf.DUMMYFUNCTION("""COMPUTED_VALUE"""),0.0)</f>
        <v>0</v>
      </c>
      <c r="T146" s="3">
        <f>IFERROR(__xludf.DUMMYFUNCTION("""COMPUTED_VALUE"""),0.0)</f>
        <v>0</v>
      </c>
      <c r="U146" s="3">
        <f>IFERROR(__xludf.DUMMYFUNCTION("""COMPUTED_VALUE"""),0.0)</f>
        <v>0</v>
      </c>
      <c r="V146" s="3">
        <f>IFERROR(__xludf.DUMMYFUNCTION("""COMPUTED_VALUE"""),0.0)</f>
        <v>0</v>
      </c>
      <c r="W146" s="3">
        <f>IFERROR(__xludf.DUMMYFUNCTION("""COMPUTED_VALUE"""),0.0)</f>
        <v>0</v>
      </c>
      <c r="X146" s="3">
        <f>IFERROR(__xludf.DUMMYFUNCTION("""COMPUTED_VALUE"""),0.0)</f>
        <v>0</v>
      </c>
      <c r="Y146" s="3">
        <f>IFERROR(__xludf.DUMMYFUNCTION("""COMPUTED_VALUE"""),0.0)</f>
        <v>0</v>
      </c>
      <c r="Z146" s="3">
        <f>IFERROR(__xludf.DUMMYFUNCTION("""COMPUTED_VALUE"""),0.0)</f>
        <v>0</v>
      </c>
      <c r="AA146" s="3">
        <f>IFERROR(__xludf.DUMMYFUNCTION("""COMPUTED_VALUE"""),0.0)</f>
        <v>0</v>
      </c>
      <c r="AB146" s="3">
        <f>IFERROR(__xludf.DUMMYFUNCTION("""COMPUTED_VALUE"""),0.0)</f>
        <v>0</v>
      </c>
      <c r="AC146" s="3">
        <f>IFERROR(__xludf.DUMMYFUNCTION("""COMPUTED_VALUE"""),0.0)</f>
        <v>0</v>
      </c>
      <c r="AD146" s="3">
        <f>IFERROR(__xludf.DUMMYFUNCTION("""COMPUTED_VALUE"""),0.0)</f>
        <v>0</v>
      </c>
      <c r="AE146" s="3">
        <f>IFERROR(__xludf.DUMMYFUNCTION("""COMPUTED_VALUE"""),0.0)</f>
        <v>0</v>
      </c>
      <c r="AF146" s="3">
        <f>IFERROR(__xludf.DUMMYFUNCTION("""COMPUTED_VALUE"""),0.0)</f>
        <v>0</v>
      </c>
      <c r="AG146" s="3">
        <f>IFERROR(__xludf.DUMMYFUNCTION("""COMPUTED_VALUE"""),0.0)</f>
        <v>0</v>
      </c>
      <c r="AH146" s="3">
        <f>IFERROR(__xludf.DUMMYFUNCTION("""COMPUTED_VALUE"""),0.0)</f>
        <v>0</v>
      </c>
      <c r="AI146" s="3">
        <f>IFERROR(__xludf.DUMMYFUNCTION("""COMPUTED_VALUE"""),0.0)</f>
        <v>0</v>
      </c>
      <c r="AJ146" s="3">
        <f>IFERROR(__xludf.DUMMYFUNCTION("""COMPUTED_VALUE"""),0.0)</f>
        <v>0</v>
      </c>
      <c r="AK146" s="3">
        <f>IFERROR(__xludf.DUMMYFUNCTION("""COMPUTED_VALUE"""),0.0)</f>
        <v>0</v>
      </c>
      <c r="AL146" s="3">
        <f>IFERROR(__xludf.DUMMYFUNCTION("""COMPUTED_VALUE"""),0.0)</f>
        <v>0</v>
      </c>
      <c r="AM146" s="3">
        <f>IFERROR(__xludf.DUMMYFUNCTION("""COMPUTED_VALUE"""),0.0)</f>
        <v>0</v>
      </c>
      <c r="AN146" s="3">
        <f>IFERROR(__xludf.DUMMYFUNCTION("""COMPUTED_VALUE"""),0.0)</f>
        <v>0</v>
      </c>
      <c r="AO146" s="3">
        <f>IFERROR(__xludf.DUMMYFUNCTION("""COMPUTED_VALUE"""),0.0)</f>
        <v>0</v>
      </c>
      <c r="AP146" s="3">
        <f>IFERROR(__xludf.DUMMYFUNCTION("""COMPUTED_VALUE"""),0.0)</f>
        <v>0</v>
      </c>
      <c r="AQ146" s="3">
        <f>IFERROR(__xludf.DUMMYFUNCTION("""COMPUTED_VALUE"""),0.0)</f>
        <v>0</v>
      </c>
      <c r="AR146" s="3">
        <f>IFERROR(__xludf.DUMMYFUNCTION("""COMPUTED_VALUE"""),0.0)</f>
        <v>0</v>
      </c>
      <c r="AS146" s="3">
        <f>IFERROR(__xludf.DUMMYFUNCTION("""COMPUTED_VALUE"""),0.0)</f>
        <v>0</v>
      </c>
      <c r="AT146" s="3">
        <f>IFERROR(__xludf.DUMMYFUNCTION("""COMPUTED_VALUE"""),0.0)</f>
        <v>0</v>
      </c>
      <c r="AU146" s="3">
        <f>IFERROR(__xludf.DUMMYFUNCTION("""COMPUTED_VALUE"""),0.0)</f>
        <v>0</v>
      </c>
      <c r="AV146" s="3">
        <f>IFERROR(__xludf.DUMMYFUNCTION("""COMPUTED_VALUE"""),0.0)</f>
        <v>0</v>
      </c>
      <c r="AW146" s="3">
        <f>IFERROR(__xludf.DUMMYFUNCTION("""COMPUTED_VALUE"""),0.0)</f>
        <v>0</v>
      </c>
      <c r="AX146" s="3">
        <f>IFERROR(__xludf.DUMMYFUNCTION("""COMPUTED_VALUE"""),0.0)</f>
        <v>0</v>
      </c>
      <c r="AY146" s="3">
        <f>IFERROR(__xludf.DUMMYFUNCTION("""COMPUTED_VALUE"""),0.0)</f>
        <v>0</v>
      </c>
      <c r="AZ146" s="3">
        <f>IFERROR(__xludf.DUMMYFUNCTION("""COMPUTED_VALUE"""),0.0)</f>
        <v>0</v>
      </c>
      <c r="BA146" s="3">
        <f>IFERROR(__xludf.DUMMYFUNCTION("""COMPUTED_VALUE"""),0.0)</f>
        <v>0</v>
      </c>
      <c r="BB146" s="3">
        <f>IFERROR(__xludf.DUMMYFUNCTION("""COMPUTED_VALUE"""),0.0)</f>
        <v>0</v>
      </c>
      <c r="BC146" s="3">
        <f>IFERROR(__xludf.DUMMYFUNCTION("""COMPUTED_VALUE"""),0.0)</f>
        <v>0</v>
      </c>
      <c r="BD146" s="3">
        <f>IFERROR(__xludf.DUMMYFUNCTION("""COMPUTED_VALUE"""),0.0)</f>
        <v>0</v>
      </c>
      <c r="BE146" s="3">
        <f>IFERROR(__xludf.DUMMYFUNCTION("""COMPUTED_VALUE"""),0.0)</f>
        <v>0</v>
      </c>
      <c r="BF146" s="3">
        <f>IFERROR(__xludf.DUMMYFUNCTION("""COMPUTED_VALUE"""),0.0)</f>
        <v>0</v>
      </c>
      <c r="BG146" s="3">
        <f>IFERROR(__xludf.DUMMYFUNCTION("""COMPUTED_VALUE"""),0.0)</f>
        <v>0</v>
      </c>
      <c r="BH146" s="3">
        <f>IFERROR(__xludf.DUMMYFUNCTION("""COMPUTED_VALUE"""),0.0)</f>
        <v>0</v>
      </c>
      <c r="BI146" s="3">
        <f>IFERROR(__xludf.DUMMYFUNCTION("""COMPUTED_VALUE"""),0.0)</f>
        <v>0</v>
      </c>
      <c r="BJ146" s="3">
        <f>IFERROR(__xludf.DUMMYFUNCTION("""COMPUTED_VALUE"""),0.0)</f>
        <v>0</v>
      </c>
      <c r="BK146" s="3">
        <f>IFERROR(__xludf.DUMMYFUNCTION("""COMPUTED_VALUE"""),0.0)</f>
        <v>0</v>
      </c>
      <c r="BL146" s="3">
        <f>IFERROR(__xludf.DUMMYFUNCTION("""COMPUTED_VALUE"""),0.0)</f>
        <v>0</v>
      </c>
      <c r="BM146" s="3">
        <f>IFERROR(__xludf.DUMMYFUNCTION("""COMPUTED_VALUE"""),0.0)</f>
        <v>0</v>
      </c>
      <c r="BN146" s="3">
        <f>IFERROR(__xludf.DUMMYFUNCTION("""COMPUTED_VALUE"""),0.0)</f>
        <v>0</v>
      </c>
      <c r="BO146" s="3">
        <f>IFERROR(__xludf.DUMMYFUNCTION("""COMPUTED_VALUE"""),0.0)</f>
        <v>0</v>
      </c>
      <c r="BP146" s="3">
        <f>IFERROR(__xludf.DUMMYFUNCTION("""COMPUTED_VALUE"""),0.0)</f>
        <v>0</v>
      </c>
      <c r="BQ146" s="3">
        <f>IFERROR(__xludf.DUMMYFUNCTION("""COMPUTED_VALUE"""),0.0)</f>
        <v>0</v>
      </c>
      <c r="BR146" s="3">
        <f>IFERROR(__xludf.DUMMYFUNCTION("""COMPUTED_VALUE"""),0.0)</f>
        <v>0</v>
      </c>
      <c r="BS146" s="3">
        <f>IFERROR(__xludf.DUMMYFUNCTION("""COMPUTED_VALUE"""),0.0)</f>
        <v>0</v>
      </c>
      <c r="BT146" s="3">
        <f>IFERROR(__xludf.DUMMYFUNCTION("""COMPUTED_VALUE"""),0.0)</f>
        <v>0</v>
      </c>
      <c r="BU146" s="3">
        <f>IFERROR(__xludf.DUMMYFUNCTION("""COMPUTED_VALUE"""),0.0)</f>
        <v>0</v>
      </c>
      <c r="BV146" s="3">
        <f>IFERROR(__xludf.DUMMYFUNCTION("""COMPUTED_VALUE"""),0.0)</f>
        <v>0</v>
      </c>
      <c r="BW146" s="3">
        <f>IFERROR(__xludf.DUMMYFUNCTION("""COMPUTED_VALUE"""),0.0)</f>
        <v>0</v>
      </c>
      <c r="BX146" s="3">
        <f>IFERROR(__xludf.DUMMYFUNCTION("""COMPUTED_VALUE"""),0.0)</f>
        <v>0</v>
      </c>
      <c r="BY146" s="3">
        <f>IFERROR(__xludf.DUMMYFUNCTION("""COMPUTED_VALUE"""),0.0)</f>
        <v>0</v>
      </c>
      <c r="BZ146" s="3">
        <f>IFERROR(__xludf.DUMMYFUNCTION("""COMPUTED_VALUE"""),0.0)</f>
        <v>0</v>
      </c>
      <c r="CA146" s="3">
        <f>IFERROR(__xludf.DUMMYFUNCTION("""COMPUTED_VALUE"""),0.0)</f>
        <v>0</v>
      </c>
      <c r="CB146" s="3">
        <f>IFERROR(__xludf.DUMMYFUNCTION("""COMPUTED_VALUE"""),55.0)</f>
        <v>55</v>
      </c>
    </row>
    <row r="147">
      <c r="A147" s="3" t="str">
        <f>IFERROR(__xludf.DUMMYFUNCTION("""COMPUTED_VALUE"""),"")</f>
        <v/>
      </c>
      <c r="B147" s="3" t="str">
        <f>IFERROR(__xludf.DUMMYFUNCTION("""COMPUTED_VALUE"""),"Lithuania")</f>
        <v>Lithuania</v>
      </c>
      <c r="C147" s="3">
        <f>IFERROR(__xludf.DUMMYFUNCTION("""COMPUTED_VALUE"""),55.1694)</f>
        <v>55.1694</v>
      </c>
      <c r="D147" s="3">
        <f>IFERROR(__xludf.DUMMYFUNCTION("""COMPUTED_VALUE"""),23.8813)</f>
        <v>23.8813</v>
      </c>
      <c r="E147" s="3">
        <f>IFERROR(__xludf.DUMMYFUNCTION("""COMPUTED_VALUE"""),0.0)</f>
        <v>0</v>
      </c>
      <c r="F147" s="3">
        <f>IFERROR(__xludf.DUMMYFUNCTION("""COMPUTED_VALUE"""),0.0)</f>
        <v>0</v>
      </c>
      <c r="G147" s="3">
        <f>IFERROR(__xludf.DUMMYFUNCTION("""COMPUTED_VALUE"""),0.0)</f>
        <v>0</v>
      </c>
      <c r="H147" s="3">
        <f>IFERROR(__xludf.DUMMYFUNCTION("""COMPUTED_VALUE"""),0.0)</f>
        <v>0</v>
      </c>
      <c r="I147" s="3">
        <f>IFERROR(__xludf.DUMMYFUNCTION("""COMPUTED_VALUE"""),0.0)</f>
        <v>0</v>
      </c>
      <c r="J147" s="3">
        <f>IFERROR(__xludf.DUMMYFUNCTION("""COMPUTED_VALUE"""),0.0)</f>
        <v>0</v>
      </c>
      <c r="K147" s="3">
        <f>IFERROR(__xludf.DUMMYFUNCTION("""COMPUTED_VALUE"""),0.0)</f>
        <v>0</v>
      </c>
      <c r="L147" s="3">
        <f>IFERROR(__xludf.DUMMYFUNCTION("""COMPUTED_VALUE"""),0.0)</f>
        <v>0</v>
      </c>
      <c r="M147" s="3">
        <f>IFERROR(__xludf.DUMMYFUNCTION("""COMPUTED_VALUE"""),0.0)</f>
        <v>0</v>
      </c>
      <c r="N147" s="3">
        <f>IFERROR(__xludf.DUMMYFUNCTION("""COMPUTED_VALUE"""),0.0)</f>
        <v>0</v>
      </c>
      <c r="O147" s="3">
        <f>IFERROR(__xludf.DUMMYFUNCTION("""COMPUTED_VALUE"""),0.0)</f>
        <v>0</v>
      </c>
      <c r="P147" s="3">
        <f>IFERROR(__xludf.DUMMYFUNCTION("""COMPUTED_VALUE"""),0.0)</f>
        <v>0</v>
      </c>
      <c r="Q147" s="3">
        <f>IFERROR(__xludf.DUMMYFUNCTION("""COMPUTED_VALUE"""),0.0)</f>
        <v>0</v>
      </c>
      <c r="R147" s="3">
        <f>IFERROR(__xludf.DUMMYFUNCTION("""COMPUTED_VALUE"""),0.0)</f>
        <v>0</v>
      </c>
      <c r="S147" s="3">
        <f>IFERROR(__xludf.DUMMYFUNCTION("""COMPUTED_VALUE"""),0.0)</f>
        <v>0</v>
      </c>
      <c r="T147" s="3">
        <f>IFERROR(__xludf.DUMMYFUNCTION("""COMPUTED_VALUE"""),0.0)</f>
        <v>0</v>
      </c>
      <c r="U147" s="3">
        <f>IFERROR(__xludf.DUMMYFUNCTION("""COMPUTED_VALUE"""),0.0)</f>
        <v>0</v>
      </c>
      <c r="V147" s="3">
        <f>IFERROR(__xludf.DUMMYFUNCTION("""COMPUTED_VALUE"""),0.0)</f>
        <v>0</v>
      </c>
      <c r="W147" s="3">
        <f>IFERROR(__xludf.DUMMYFUNCTION("""COMPUTED_VALUE"""),0.0)</f>
        <v>0</v>
      </c>
      <c r="X147" s="3">
        <f>IFERROR(__xludf.DUMMYFUNCTION("""COMPUTED_VALUE"""),0.0)</f>
        <v>0</v>
      </c>
      <c r="Y147" s="3">
        <f>IFERROR(__xludf.DUMMYFUNCTION("""COMPUTED_VALUE"""),0.0)</f>
        <v>0</v>
      </c>
      <c r="Z147" s="3">
        <f>IFERROR(__xludf.DUMMYFUNCTION("""COMPUTED_VALUE"""),0.0)</f>
        <v>0</v>
      </c>
      <c r="AA147" s="3">
        <f>IFERROR(__xludf.DUMMYFUNCTION("""COMPUTED_VALUE"""),0.0)</f>
        <v>0</v>
      </c>
      <c r="AB147" s="3">
        <f>IFERROR(__xludf.DUMMYFUNCTION("""COMPUTED_VALUE"""),0.0)</f>
        <v>0</v>
      </c>
      <c r="AC147" s="3">
        <f>IFERROR(__xludf.DUMMYFUNCTION("""COMPUTED_VALUE"""),0.0)</f>
        <v>0</v>
      </c>
      <c r="AD147" s="3">
        <f>IFERROR(__xludf.DUMMYFUNCTION("""COMPUTED_VALUE"""),0.0)</f>
        <v>0</v>
      </c>
      <c r="AE147" s="3">
        <f>IFERROR(__xludf.DUMMYFUNCTION("""COMPUTED_VALUE"""),0.0)</f>
        <v>0</v>
      </c>
      <c r="AF147" s="3">
        <f>IFERROR(__xludf.DUMMYFUNCTION("""COMPUTED_VALUE"""),0.0)</f>
        <v>0</v>
      </c>
      <c r="AG147" s="3">
        <f>IFERROR(__xludf.DUMMYFUNCTION("""COMPUTED_VALUE"""),0.0)</f>
        <v>0</v>
      </c>
      <c r="AH147" s="3">
        <f>IFERROR(__xludf.DUMMYFUNCTION("""COMPUTED_VALUE"""),0.0)</f>
        <v>0</v>
      </c>
      <c r="AI147" s="3">
        <f>IFERROR(__xludf.DUMMYFUNCTION("""COMPUTED_VALUE"""),0.0)</f>
        <v>0</v>
      </c>
      <c r="AJ147" s="3">
        <f>IFERROR(__xludf.DUMMYFUNCTION("""COMPUTED_VALUE"""),0.0)</f>
        <v>0</v>
      </c>
      <c r="AK147" s="3">
        <f>IFERROR(__xludf.DUMMYFUNCTION("""COMPUTED_VALUE"""),0.0)</f>
        <v>0</v>
      </c>
      <c r="AL147" s="3">
        <f>IFERROR(__xludf.DUMMYFUNCTION("""COMPUTED_VALUE"""),0.0)</f>
        <v>0</v>
      </c>
      <c r="AM147" s="3">
        <f>IFERROR(__xludf.DUMMYFUNCTION("""COMPUTED_VALUE"""),0.0)</f>
        <v>0</v>
      </c>
      <c r="AN147" s="3">
        <f>IFERROR(__xludf.DUMMYFUNCTION("""COMPUTED_VALUE"""),0.0)</f>
        <v>0</v>
      </c>
      <c r="AO147" s="3">
        <f>IFERROR(__xludf.DUMMYFUNCTION("""COMPUTED_VALUE"""),0.0)</f>
        <v>0</v>
      </c>
      <c r="AP147" s="3">
        <f>IFERROR(__xludf.DUMMYFUNCTION("""COMPUTED_VALUE"""),0.0)</f>
        <v>0</v>
      </c>
      <c r="AQ147" s="3">
        <f>IFERROR(__xludf.DUMMYFUNCTION("""COMPUTED_VALUE"""),0.0)</f>
        <v>0</v>
      </c>
      <c r="AR147" s="3">
        <f>IFERROR(__xludf.DUMMYFUNCTION("""COMPUTED_VALUE"""),0.0)</f>
        <v>0</v>
      </c>
      <c r="AS147" s="3">
        <f>IFERROR(__xludf.DUMMYFUNCTION("""COMPUTED_VALUE"""),0.0)</f>
        <v>0</v>
      </c>
      <c r="AT147" s="3">
        <f>IFERROR(__xludf.DUMMYFUNCTION("""COMPUTED_VALUE"""),0.0)</f>
        <v>0</v>
      </c>
      <c r="AU147" s="3">
        <f>IFERROR(__xludf.DUMMYFUNCTION("""COMPUTED_VALUE"""),0.0)</f>
        <v>0</v>
      </c>
      <c r="AV147" s="3">
        <f>IFERROR(__xludf.DUMMYFUNCTION("""COMPUTED_VALUE"""),0.0)</f>
        <v>0</v>
      </c>
      <c r="AW147" s="3">
        <f>IFERROR(__xludf.DUMMYFUNCTION("""COMPUTED_VALUE"""),0.0)</f>
        <v>0</v>
      </c>
      <c r="AX147" s="3">
        <f>IFERROR(__xludf.DUMMYFUNCTION("""COMPUTED_VALUE"""),0.0)</f>
        <v>0</v>
      </c>
      <c r="AY147" s="3">
        <f>IFERROR(__xludf.DUMMYFUNCTION("""COMPUTED_VALUE"""),0.0)</f>
        <v>0</v>
      </c>
      <c r="AZ147" s="3">
        <f>IFERROR(__xludf.DUMMYFUNCTION("""COMPUTED_VALUE"""),0.0)</f>
        <v>0</v>
      </c>
      <c r="BA147" s="3">
        <f>IFERROR(__xludf.DUMMYFUNCTION("""COMPUTED_VALUE"""),0.0)</f>
        <v>0</v>
      </c>
      <c r="BB147" s="3">
        <f>IFERROR(__xludf.DUMMYFUNCTION("""COMPUTED_VALUE"""),0.0)</f>
        <v>0</v>
      </c>
      <c r="BC147" s="3">
        <f>IFERROR(__xludf.DUMMYFUNCTION("""COMPUTED_VALUE"""),0.0)</f>
        <v>0</v>
      </c>
      <c r="BD147" s="3">
        <f>IFERROR(__xludf.DUMMYFUNCTION("""COMPUTED_VALUE"""),0.0)</f>
        <v>0</v>
      </c>
      <c r="BE147" s="3">
        <f>IFERROR(__xludf.DUMMYFUNCTION("""COMPUTED_VALUE"""),0.0)</f>
        <v>0</v>
      </c>
      <c r="BF147" s="3">
        <f>IFERROR(__xludf.DUMMYFUNCTION("""COMPUTED_VALUE"""),1.0)</f>
        <v>1</v>
      </c>
      <c r="BG147" s="3">
        <f>IFERROR(__xludf.DUMMYFUNCTION("""COMPUTED_VALUE"""),1.0)</f>
        <v>1</v>
      </c>
      <c r="BH147" s="3">
        <f>IFERROR(__xludf.DUMMYFUNCTION("""COMPUTED_VALUE"""),1.0)</f>
        <v>1</v>
      </c>
      <c r="BI147" s="3">
        <f>IFERROR(__xludf.DUMMYFUNCTION("""COMPUTED_VALUE"""),1.0)</f>
        <v>1</v>
      </c>
      <c r="BJ147" s="3">
        <f>IFERROR(__xludf.DUMMYFUNCTION("""COMPUTED_VALUE"""),1.0)</f>
        <v>1</v>
      </c>
      <c r="BK147" s="3">
        <f>IFERROR(__xludf.DUMMYFUNCTION("""COMPUTED_VALUE"""),1.0)</f>
        <v>1</v>
      </c>
      <c r="BL147" s="3">
        <f>IFERROR(__xludf.DUMMYFUNCTION("""COMPUTED_VALUE"""),1.0)</f>
        <v>1</v>
      </c>
      <c r="BM147" s="3">
        <f>IFERROR(__xludf.DUMMYFUNCTION("""COMPUTED_VALUE"""),1.0)</f>
        <v>1</v>
      </c>
      <c r="BN147" s="3">
        <f>IFERROR(__xludf.DUMMYFUNCTION("""COMPUTED_VALUE"""),1.0)</f>
        <v>1</v>
      </c>
      <c r="BO147" s="3">
        <f>IFERROR(__xludf.DUMMYFUNCTION("""COMPUTED_VALUE"""),1.0)</f>
        <v>1</v>
      </c>
      <c r="BP147" s="3">
        <f>IFERROR(__xludf.DUMMYFUNCTION("""COMPUTED_VALUE"""),1.0)</f>
        <v>1</v>
      </c>
      <c r="BQ147" s="3">
        <f>IFERROR(__xludf.DUMMYFUNCTION("""COMPUTED_VALUE"""),1.0)</f>
        <v>1</v>
      </c>
      <c r="BR147" s="3">
        <f>IFERROR(__xludf.DUMMYFUNCTION("""COMPUTED_VALUE"""),1.0)</f>
        <v>1</v>
      </c>
      <c r="BS147" s="3">
        <f>IFERROR(__xludf.DUMMYFUNCTION("""COMPUTED_VALUE"""),1.0)</f>
        <v>1</v>
      </c>
      <c r="BT147" s="3">
        <f>IFERROR(__xludf.DUMMYFUNCTION("""COMPUTED_VALUE"""),1.0)</f>
        <v>1</v>
      </c>
      <c r="BU147" s="3">
        <f>IFERROR(__xludf.DUMMYFUNCTION("""COMPUTED_VALUE"""),7.0)</f>
        <v>7</v>
      </c>
      <c r="BV147" s="3">
        <f>IFERROR(__xludf.DUMMYFUNCTION("""COMPUTED_VALUE"""),7.0)</f>
        <v>7</v>
      </c>
      <c r="BW147" s="3">
        <f>IFERROR(__xludf.DUMMYFUNCTION("""COMPUTED_VALUE"""),7.0)</f>
        <v>7</v>
      </c>
      <c r="BX147" s="3">
        <f>IFERROR(__xludf.DUMMYFUNCTION("""COMPUTED_VALUE"""),7.0)</f>
        <v>7</v>
      </c>
      <c r="BY147" s="3">
        <f>IFERROR(__xludf.DUMMYFUNCTION("""COMPUTED_VALUE"""),7.0)</f>
        <v>7</v>
      </c>
      <c r="BZ147" s="3">
        <f>IFERROR(__xludf.DUMMYFUNCTION("""COMPUTED_VALUE"""),7.0)</f>
        <v>7</v>
      </c>
      <c r="CA147" s="3">
        <f>IFERROR(__xludf.DUMMYFUNCTION("""COMPUTED_VALUE"""),7.0)</f>
        <v>7</v>
      </c>
      <c r="CB147" s="3">
        <f>IFERROR(__xludf.DUMMYFUNCTION("""COMPUTED_VALUE"""),8.0)</f>
        <v>8</v>
      </c>
    </row>
    <row r="148">
      <c r="A148" s="3" t="str">
        <f>IFERROR(__xludf.DUMMYFUNCTION("""COMPUTED_VALUE"""),"")</f>
        <v/>
      </c>
      <c r="B148" s="3" t="str">
        <f>IFERROR(__xludf.DUMMYFUNCTION("""COMPUTED_VALUE"""),"Luxembourg")</f>
        <v>Luxembourg</v>
      </c>
      <c r="C148" s="3">
        <f>IFERROR(__xludf.DUMMYFUNCTION("""COMPUTED_VALUE"""),49.8153)</f>
        <v>49.8153</v>
      </c>
      <c r="D148" s="3">
        <f>IFERROR(__xludf.DUMMYFUNCTION("""COMPUTED_VALUE"""),6.1296)</f>
        <v>6.1296</v>
      </c>
      <c r="E148" s="3">
        <f>IFERROR(__xludf.DUMMYFUNCTION("""COMPUTED_VALUE"""),0.0)</f>
        <v>0</v>
      </c>
      <c r="F148" s="3">
        <f>IFERROR(__xludf.DUMMYFUNCTION("""COMPUTED_VALUE"""),0.0)</f>
        <v>0</v>
      </c>
      <c r="G148" s="3">
        <f>IFERROR(__xludf.DUMMYFUNCTION("""COMPUTED_VALUE"""),0.0)</f>
        <v>0</v>
      </c>
      <c r="H148" s="3">
        <f>IFERROR(__xludf.DUMMYFUNCTION("""COMPUTED_VALUE"""),0.0)</f>
        <v>0</v>
      </c>
      <c r="I148" s="3">
        <f>IFERROR(__xludf.DUMMYFUNCTION("""COMPUTED_VALUE"""),0.0)</f>
        <v>0</v>
      </c>
      <c r="J148" s="3">
        <f>IFERROR(__xludf.DUMMYFUNCTION("""COMPUTED_VALUE"""),0.0)</f>
        <v>0</v>
      </c>
      <c r="K148" s="3">
        <f>IFERROR(__xludf.DUMMYFUNCTION("""COMPUTED_VALUE"""),0.0)</f>
        <v>0</v>
      </c>
      <c r="L148" s="3">
        <f>IFERROR(__xludf.DUMMYFUNCTION("""COMPUTED_VALUE"""),0.0)</f>
        <v>0</v>
      </c>
      <c r="M148" s="3">
        <f>IFERROR(__xludf.DUMMYFUNCTION("""COMPUTED_VALUE"""),0.0)</f>
        <v>0</v>
      </c>
      <c r="N148" s="3">
        <f>IFERROR(__xludf.DUMMYFUNCTION("""COMPUTED_VALUE"""),0.0)</f>
        <v>0</v>
      </c>
      <c r="O148" s="3">
        <f>IFERROR(__xludf.DUMMYFUNCTION("""COMPUTED_VALUE"""),0.0)</f>
        <v>0</v>
      </c>
      <c r="P148" s="3">
        <f>IFERROR(__xludf.DUMMYFUNCTION("""COMPUTED_VALUE"""),0.0)</f>
        <v>0</v>
      </c>
      <c r="Q148" s="3">
        <f>IFERROR(__xludf.DUMMYFUNCTION("""COMPUTED_VALUE"""),0.0)</f>
        <v>0</v>
      </c>
      <c r="R148" s="3">
        <f>IFERROR(__xludf.DUMMYFUNCTION("""COMPUTED_VALUE"""),0.0)</f>
        <v>0</v>
      </c>
      <c r="S148" s="3">
        <f>IFERROR(__xludf.DUMMYFUNCTION("""COMPUTED_VALUE"""),0.0)</f>
        <v>0</v>
      </c>
      <c r="T148" s="3">
        <f>IFERROR(__xludf.DUMMYFUNCTION("""COMPUTED_VALUE"""),0.0)</f>
        <v>0</v>
      </c>
      <c r="U148" s="3">
        <f>IFERROR(__xludf.DUMMYFUNCTION("""COMPUTED_VALUE"""),0.0)</f>
        <v>0</v>
      </c>
      <c r="V148" s="3">
        <f>IFERROR(__xludf.DUMMYFUNCTION("""COMPUTED_VALUE"""),0.0)</f>
        <v>0</v>
      </c>
      <c r="W148" s="3">
        <f>IFERROR(__xludf.DUMMYFUNCTION("""COMPUTED_VALUE"""),0.0)</f>
        <v>0</v>
      </c>
      <c r="X148" s="3">
        <f>IFERROR(__xludf.DUMMYFUNCTION("""COMPUTED_VALUE"""),0.0)</f>
        <v>0</v>
      </c>
      <c r="Y148" s="3">
        <f>IFERROR(__xludf.DUMMYFUNCTION("""COMPUTED_VALUE"""),0.0)</f>
        <v>0</v>
      </c>
      <c r="Z148" s="3">
        <f>IFERROR(__xludf.DUMMYFUNCTION("""COMPUTED_VALUE"""),0.0)</f>
        <v>0</v>
      </c>
      <c r="AA148" s="3">
        <f>IFERROR(__xludf.DUMMYFUNCTION("""COMPUTED_VALUE"""),0.0)</f>
        <v>0</v>
      </c>
      <c r="AB148" s="3">
        <f>IFERROR(__xludf.DUMMYFUNCTION("""COMPUTED_VALUE"""),0.0)</f>
        <v>0</v>
      </c>
      <c r="AC148" s="3">
        <f>IFERROR(__xludf.DUMMYFUNCTION("""COMPUTED_VALUE"""),0.0)</f>
        <v>0</v>
      </c>
      <c r="AD148" s="3">
        <f>IFERROR(__xludf.DUMMYFUNCTION("""COMPUTED_VALUE"""),0.0)</f>
        <v>0</v>
      </c>
      <c r="AE148" s="3">
        <f>IFERROR(__xludf.DUMMYFUNCTION("""COMPUTED_VALUE"""),0.0)</f>
        <v>0</v>
      </c>
      <c r="AF148" s="3">
        <f>IFERROR(__xludf.DUMMYFUNCTION("""COMPUTED_VALUE"""),0.0)</f>
        <v>0</v>
      </c>
      <c r="AG148" s="3">
        <f>IFERROR(__xludf.DUMMYFUNCTION("""COMPUTED_VALUE"""),0.0)</f>
        <v>0</v>
      </c>
      <c r="AH148" s="3">
        <f>IFERROR(__xludf.DUMMYFUNCTION("""COMPUTED_VALUE"""),0.0)</f>
        <v>0</v>
      </c>
      <c r="AI148" s="3">
        <f>IFERROR(__xludf.DUMMYFUNCTION("""COMPUTED_VALUE"""),0.0)</f>
        <v>0</v>
      </c>
      <c r="AJ148" s="3">
        <f>IFERROR(__xludf.DUMMYFUNCTION("""COMPUTED_VALUE"""),0.0)</f>
        <v>0</v>
      </c>
      <c r="AK148" s="3">
        <f>IFERROR(__xludf.DUMMYFUNCTION("""COMPUTED_VALUE"""),0.0)</f>
        <v>0</v>
      </c>
      <c r="AL148" s="3">
        <f>IFERROR(__xludf.DUMMYFUNCTION("""COMPUTED_VALUE"""),0.0)</f>
        <v>0</v>
      </c>
      <c r="AM148" s="3">
        <f>IFERROR(__xludf.DUMMYFUNCTION("""COMPUTED_VALUE"""),0.0)</f>
        <v>0</v>
      </c>
      <c r="AN148" s="3">
        <f>IFERROR(__xludf.DUMMYFUNCTION("""COMPUTED_VALUE"""),0.0)</f>
        <v>0</v>
      </c>
      <c r="AO148" s="3">
        <f>IFERROR(__xludf.DUMMYFUNCTION("""COMPUTED_VALUE"""),0.0)</f>
        <v>0</v>
      </c>
      <c r="AP148" s="3">
        <f>IFERROR(__xludf.DUMMYFUNCTION("""COMPUTED_VALUE"""),0.0)</f>
        <v>0</v>
      </c>
      <c r="AQ148" s="3">
        <f>IFERROR(__xludf.DUMMYFUNCTION("""COMPUTED_VALUE"""),0.0)</f>
        <v>0</v>
      </c>
      <c r="AR148" s="3">
        <f>IFERROR(__xludf.DUMMYFUNCTION("""COMPUTED_VALUE"""),0.0)</f>
        <v>0</v>
      </c>
      <c r="AS148" s="3">
        <f>IFERROR(__xludf.DUMMYFUNCTION("""COMPUTED_VALUE"""),0.0)</f>
        <v>0</v>
      </c>
      <c r="AT148" s="3">
        <f>IFERROR(__xludf.DUMMYFUNCTION("""COMPUTED_VALUE"""),0.0)</f>
        <v>0</v>
      </c>
      <c r="AU148" s="3">
        <f>IFERROR(__xludf.DUMMYFUNCTION("""COMPUTED_VALUE"""),0.0)</f>
        <v>0</v>
      </c>
      <c r="AV148" s="3">
        <f>IFERROR(__xludf.DUMMYFUNCTION("""COMPUTED_VALUE"""),0.0)</f>
        <v>0</v>
      </c>
      <c r="AW148" s="3">
        <f>IFERROR(__xludf.DUMMYFUNCTION("""COMPUTED_VALUE"""),0.0)</f>
        <v>0</v>
      </c>
      <c r="AX148" s="3">
        <f>IFERROR(__xludf.DUMMYFUNCTION("""COMPUTED_VALUE"""),0.0)</f>
        <v>0</v>
      </c>
      <c r="AY148" s="3">
        <f>IFERROR(__xludf.DUMMYFUNCTION("""COMPUTED_VALUE"""),0.0)</f>
        <v>0</v>
      </c>
      <c r="AZ148" s="3">
        <f>IFERROR(__xludf.DUMMYFUNCTION("""COMPUTED_VALUE"""),0.0)</f>
        <v>0</v>
      </c>
      <c r="BA148" s="3">
        <f>IFERROR(__xludf.DUMMYFUNCTION("""COMPUTED_VALUE"""),0.0)</f>
        <v>0</v>
      </c>
      <c r="BB148" s="3">
        <f>IFERROR(__xludf.DUMMYFUNCTION("""COMPUTED_VALUE"""),0.0)</f>
        <v>0</v>
      </c>
      <c r="BC148" s="3">
        <f>IFERROR(__xludf.DUMMYFUNCTION("""COMPUTED_VALUE"""),0.0)</f>
        <v>0</v>
      </c>
      <c r="BD148" s="3">
        <f>IFERROR(__xludf.DUMMYFUNCTION("""COMPUTED_VALUE"""),0.0)</f>
        <v>0</v>
      </c>
      <c r="BE148" s="3">
        <f>IFERROR(__xludf.DUMMYFUNCTION("""COMPUTED_VALUE"""),0.0)</f>
        <v>0</v>
      </c>
      <c r="BF148" s="3">
        <f>IFERROR(__xludf.DUMMYFUNCTION("""COMPUTED_VALUE"""),0.0)</f>
        <v>0</v>
      </c>
      <c r="BG148" s="3">
        <f>IFERROR(__xludf.DUMMYFUNCTION("""COMPUTED_VALUE"""),0.0)</f>
        <v>0</v>
      </c>
      <c r="BH148" s="3">
        <f>IFERROR(__xludf.DUMMYFUNCTION("""COMPUTED_VALUE"""),0.0)</f>
        <v>0</v>
      </c>
      <c r="BI148" s="3">
        <f>IFERROR(__xludf.DUMMYFUNCTION("""COMPUTED_VALUE"""),0.0)</f>
        <v>0</v>
      </c>
      <c r="BJ148" s="3">
        <f>IFERROR(__xludf.DUMMYFUNCTION("""COMPUTED_VALUE"""),0.0)</f>
        <v>0</v>
      </c>
      <c r="BK148" s="3">
        <f>IFERROR(__xludf.DUMMYFUNCTION("""COMPUTED_VALUE"""),0.0)</f>
        <v>0</v>
      </c>
      <c r="BL148" s="3">
        <f>IFERROR(__xludf.DUMMYFUNCTION("""COMPUTED_VALUE"""),0.0)</f>
        <v>0</v>
      </c>
      <c r="BM148" s="3">
        <f>IFERROR(__xludf.DUMMYFUNCTION("""COMPUTED_VALUE"""),6.0)</f>
        <v>6</v>
      </c>
      <c r="BN148" s="3">
        <f>IFERROR(__xludf.DUMMYFUNCTION("""COMPUTED_VALUE"""),6.0)</f>
        <v>6</v>
      </c>
      <c r="BO148" s="3">
        <f>IFERROR(__xludf.DUMMYFUNCTION("""COMPUTED_VALUE"""),6.0)</f>
        <v>6</v>
      </c>
      <c r="BP148" s="3">
        <f>IFERROR(__xludf.DUMMYFUNCTION("""COMPUTED_VALUE"""),6.0)</f>
        <v>6</v>
      </c>
      <c r="BQ148" s="3">
        <f>IFERROR(__xludf.DUMMYFUNCTION("""COMPUTED_VALUE"""),6.0)</f>
        <v>6</v>
      </c>
      <c r="BR148" s="3">
        <f>IFERROR(__xludf.DUMMYFUNCTION("""COMPUTED_VALUE"""),40.0)</f>
        <v>40</v>
      </c>
      <c r="BS148" s="3">
        <f>IFERROR(__xludf.DUMMYFUNCTION("""COMPUTED_VALUE"""),40.0)</f>
        <v>40</v>
      </c>
      <c r="BT148" s="3">
        <f>IFERROR(__xludf.DUMMYFUNCTION("""COMPUTED_VALUE"""),40.0)</f>
        <v>40</v>
      </c>
      <c r="BU148" s="3">
        <f>IFERROR(__xludf.DUMMYFUNCTION("""COMPUTED_VALUE"""),40.0)</f>
        <v>40</v>
      </c>
      <c r="BV148" s="3">
        <f>IFERROR(__xludf.DUMMYFUNCTION("""COMPUTED_VALUE"""),80.0)</f>
        <v>80</v>
      </c>
      <c r="BW148" s="3">
        <f>IFERROR(__xludf.DUMMYFUNCTION("""COMPUTED_VALUE"""),80.0)</f>
        <v>80</v>
      </c>
      <c r="BX148" s="3">
        <f>IFERROR(__xludf.DUMMYFUNCTION("""COMPUTED_VALUE"""),80.0)</f>
        <v>80</v>
      </c>
      <c r="BY148" s="3">
        <f>IFERROR(__xludf.DUMMYFUNCTION("""COMPUTED_VALUE"""),500.0)</f>
        <v>500</v>
      </c>
      <c r="BZ148" s="3">
        <f>IFERROR(__xludf.DUMMYFUNCTION("""COMPUTED_VALUE"""),500.0)</f>
        <v>500</v>
      </c>
      <c r="CA148" s="3">
        <f>IFERROR(__xludf.DUMMYFUNCTION("""COMPUTED_VALUE"""),500.0)</f>
        <v>500</v>
      </c>
      <c r="CB148" s="3">
        <f>IFERROR(__xludf.DUMMYFUNCTION("""COMPUTED_VALUE"""),500.0)</f>
        <v>500</v>
      </c>
    </row>
    <row r="149">
      <c r="A149" s="3" t="str">
        <f>IFERROR(__xludf.DUMMYFUNCTION("""COMPUTED_VALUE"""),"")</f>
        <v/>
      </c>
      <c r="B149" s="3" t="str">
        <f>IFERROR(__xludf.DUMMYFUNCTION("""COMPUTED_VALUE"""),"Madagascar")</f>
        <v>Madagascar</v>
      </c>
      <c r="C149" s="3">
        <f>IFERROR(__xludf.DUMMYFUNCTION("""COMPUTED_VALUE"""),-18.7669)</f>
        <v>-18.7669</v>
      </c>
      <c r="D149" s="3">
        <f>IFERROR(__xludf.DUMMYFUNCTION("""COMPUTED_VALUE"""),46.8691)</f>
        <v>46.8691</v>
      </c>
      <c r="E149" s="3">
        <f>IFERROR(__xludf.DUMMYFUNCTION("""COMPUTED_VALUE"""),0.0)</f>
        <v>0</v>
      </c>
      <c r="F149" s="3">
        <f>IFERROR(__xludf.DUMMYFUNCTION("""COMPUTED_VALUE"""),0.0)</f>
        <v>0</v>
      </c>
      <c r="G149" s="3">
        <f>IFERROR(__xludf.DUMMYFUNCTION("""COMPUTED_VALUE"""),0.0)</f>
        <v>0</v>
      </c>
      <c r="H149" s="3">
        <f>IFERROR(__xludf.DUMMYFUNCTION("""COMPUTED_VALUE"""),0.0)</f>
        <v>0</v>
      </c>
      <c r="I149" s="3">
        <f>IFERROR(__xludf.DUMMYFUNCTION("""COMPUTED_VALUE"""),0.0)</f>
        <v>0</v>
      </c>
      <c r="J149" s="3">
        <f>IFERROR(__xludf.DUMMYFUNCTION("""COMPUTED_VALUE"""),0.0)</f>
        <v>0</v>
      </c>
      <c r="K149" s="3">
        <f>IFERROR(__xludf.DUMMYFUNCTION("""COMPUTED_VALUE"""),0.0)</f>
        <v>0</v>
      </c>
      <c r="L149" s="3">
        <f>IFERROR(__xludf.DUMMYFUNCTION("""COMPUTED_VALUE"""),0.0)</f>
        <v>0</v>
      </c>
      <c r="M149" s="3">
        <f>IFERROR(__xludf.DUMMYFUNCTION("""COMPUTED_VALUE"""),0.0)</f>
        <v>0</v>
      </c>
      <c r="N149" s="3">
        <f>IFERROR(__xludf.DUMMYFUNCTION("""COMPUTED_VALUE"""),0.0)</f>
        <v>0</v>
      </c>
      <c r="O149" s="3">
        <f>IFERROR(__xludf.DUMMYFUNCTION("""COMPUTED_VALUE"""),0.0)</f>
        <v>0</v>
      </c>
      <c r="P149" s="3">
        <f>IFERROR(__xludf.DUMMYFUNCTION("""COMPUTED_VALUE"""),0.0)</f>
        <v>0</v>
      </c>
      <c r="Q149" s="3">
        <f>IFERROR(__xludf.DUMMYFUNCTION("""COMPUTED_VALUE"""),0.0)</f>
        <v>0</v>
      </c>
      <c r="R149" s="3">
        <f>IFERROR(__xludf.DUMMYFUNCTION("""COMPUTED_VALUE"""),0.0)</f>
        <v>0</v>
      </c>
      <c r="S149" s="3">
        <f>IFERROR(__xludf.DUMMYFUNCTION("""COMPUTED_VALUE"""),0.0)</f>
        <v>0</v>
      </c>
      <c r="T149" s="3">
        <f>IFERROR(__xludf.DUMMYFUNCTION("""COMPUTED_VALUE"""),0.0)</f>
        <v>0</v>
      </c>
      <c r="U149" s="3">
        <f>IFERROR(__xludf.DUMMYFUNCTION("""COMPUTED_VALUE"""),0.0)</f>
        <v>0</v>
      </c>
      <c r="V149" s="3">
        <f>IFERROR(__xludf.DUMMYFUNCTION("""COMPUTED_VALUE"""),0.0)</f>
        <v>0</v>
      </c>
      <c r="W149" s="3">
        <f>IFERROR(__xludf.DUMMYFUNCTION("""COMPUTED_VALUE"""),0.0)</f>
        <v>0</v>
      </c>
      <c r="X149" s="3">
        <f>IFERROR(__xludf.DUMMYFUNCTION("""COMPUTED_VALUE"""),0.0)</f>
        <v>0</v>
      </c>
      <c r="Y149" s="3">
        <f>IFERROR(__xludf.DUMMYFUNCTION("""COMPUTED_VALUE"""),0.0)</f>
        <v>0</v>
      </c>
      <c r="Z149" s="3">
        <f>IFERROR(__xludf.DUMMYFUNCTION("""COMPUTED_VALUE"""),0.0)</f>
        <v>0</v>
      </c>
      <c r="AA149" s="3">
        <f>IFERROR(__xludf.DUMMYFUNCTION("""COMPUTED_VALUE"""),0.0)</f>
        <v>0</v>
      </c>
      <c r="AB149" s="3">
        <f>IFERROR(__xludf.DUMMYFUNCTION("""COMPUTED_VALUE"""),0.0)</f>
        <v>0</v>
      </c>
      <c r="AC149" s="3">
        <f>IFERROR(__xludf.DUMMYFUNCTION("""COMPUTED_VALUE"""),0.0)</f>
        <v>0</v>
      </c>
      <c r="AD149" s="3">
        <f>IFERROR(__xludf.DUMMYFUNCTION("""COMPUTED_VALUE"""),0.0)</f>
        <v>0</v>
      </c>
      <c r="AE149" s="3">
        <f>IFERROR(__xludf.DUMMYFUNCTION("""COMPUTED_VALUE"""),0.0)</f>
        <v>0</v>
      </c>
      <c r="AF149" s="3">
        <f>IFERROR(__xludf.DUMMYFUNCTION("""COMPUTED_VALUE"""),0.0)</f>
        <v>0</v>
      </c>
      <c r="AG149" s="3">
        <f>IFERROR(__xludf.DUMMYFUNCTION("""COMPUTED_VALUE"""),0.0)</f>
        <v>0</v>
      </c>
      <c r="AH149" s="3">
        <f>IFERROR(__xludf.DUMMYFUNCTION("""COMPUTED_VALUE"""),0.0)</f>
        <v>0</v>
      </c>
      <c r="AI149" s="3">
        <f>IFERROR(__xludf.DUMMYFUNCTION("""COMPUTED_VALUE"""),0.0)</f>
        <v>0</v>
      </c>
      <c r="AJ149" s="3">
        <f>IFERROR(__xludf.DUMMYFUNCTION("""COMPUTED_VALUE"""),0.0)</f>
        <v>0</v>
      </c>
      <c r="AK149" s="3">
        <f>IFERROR(__xludf.DUMMYFUNCTION("""COMPUTED_VALUE"""),0.0)</f>
        <v>0</v>
      </c>
      <c r="AL149" s="3">
        <f>IFERROR(__xludf.DUMMYFUNCTION("""COMPUTED_VALUE"""),0.0)</f>
        <v>0</v>
      </c>
      <c r="AM149" s="3">
        <f>IFERROR(__xludf.DUMMYFUNCTION("""COMPUTED_VALUE"""),0.0)</f>
        <v>0</v>
      </c>
      <c r="AN149" s="3">
        <f>IFERROR(__xludf.DUMMYFUNCTION("""COMPUTED_VALUE"""),0.0)</f>
        <v>0</v>
      </c>
      <c r="AO149" s="3">
        <f>IFERROR(__xludf.DUMMYFUNCTION("""COMPUTED_VALUE"""),0.0)</f>
        <v>0</v>
      </c>
      <c r="AP149" s="3">
        <f>IFERROR(__xludf.DUMMYFUNCTION("""COMPUTED_VALUE"""),0.0)</f>
        <v>0</v>
      </c>
      <c r="AQ149" s="3">
        <f>IFERROR(__xludf.DUMMYFUNCTION("""COMPUTED_VALUE"""),0.0)</f>
        <v>0</v>
      </c>
      <c r="AR149" s="3">
        <f>IFERROR(__xludf.DUMMYFUNCTION("""COMPUTED_VALUE"""),0.0)</f>
        <v>0</v>
      </c>
      <c r="AS149" s="3">
        <f>IFERROR(__xludf.DUMMYFUNCTION("""COMPUTED_VALUE"""),0.0)</f>
        <v>0</v>
      </c>
      <c r="AT149" s="3">
        <f>IFERROR(__xludf.DUMMYFUNCTION("""COMPUTED_VALUE"""),0.0)</f>
        <v>0</v>
      </c>
      <c r="AU149" s="3">
        <f>IFERROR(__xludf.DUMMYFUNCTION("""COMPUTED_VALUE"""),0.0)</f>
        <v>0</v>
      </c>
      <c r="AV149" s="3">
        <f>IFERROR(__xludf.DUMMYFUNCTION("""COMPUTED_VALUE"""),0.0)</f>
        <v>0</v>
      </c>
      <c r="AW149" s="3">
        <f>IFERROR(__xludf.DUMMYFUNCTION("""COMPUTED_VALUE"""),0.0)</f>
        <v>0</v>
      </c>
      <c r="AX149" s="3">
        <f>IFERROR(__xludf.DUMMYFUNCTION("""COMPUTED_VALUE"""),0.0)</f>
        <v>0</v>
      </c>
      <c r="AY149" s="3">
        <f>IFERROR(__xludf.DUMMYFUNCTION("""COMPUTED_VALUE"""),0.0)</f>
        <v>0</v>
      </c>
      <c r="AZ149" s="3">
        <f>IFERROR(__xludf.DUMMYFUNCTION("""COMPUTED_VALUE"""),0.0)</f>
        <v>0</v>
      </c>
      <c r="BA149" s="3">
        <f>IFERROR(__xludf.DUMMYFUNCTION("""COMPUTED_VALUE"""),0.0)</f>
        <v>0</v>
      </c>
      <c r="BB149" s="3">
        <f>IFERROR(__xludf.DUMMYFUNCTION("""COMPUTED_VALUE"""),0.0)</f>
        <v>0</v>
      </c>
      <c r="BC149" s="3">
        <f>IFERROR(__xludf.DUMMYFUNCTION("""COMPUTED_VALUE"""),0.0)</f>
        <v>0</v>
      </c>
      <c r="BD149" s="3">
        <f>IFERROR(__xludf.DUMMYFUNCTION("""COMPUTED_VALUE"""),0.0)</f>
        <v>0</v>
      </c>
      <c r="BE149" s="3">
        <f>IFERROR(__xludf.DUMMYFUNCTION("""COMPUTED_VALUE"""),0.0)</f>
        <v>0</v>
      </c>
      <c r="BF149" s="3">
        <f>IFERROR(__xludf.DUMMYFUNCTION("""COMPUTED_VALUE"""),0.0)</f>
        <v>0</v>
      </c>
      <c r="BG149" s="3">
        <f>IFERROR(__xludf.DUMMYFUNCTION("""COMPUTED_VALUE"""),0.0)</f>
        <v>0</v>
      </c>
      <c r="BH149" s="3">
        <f>IFERROR(__xludf.DUMMYFUNCTION("""COMPUTED_VALUE"""),0.0)</f>
        <v>0</v>
      </c>
      <c r="BI149" s="3">
        <f>IFERROR(__xludf.DUMMYFUNCTION("""COMPUTED_VALUE"""),0.0)</f>
        <v>0</v>
      </c>
      <c r="BJ149" s="3">
        <f>IFERROR(__xludf.DUMMYFUNCTION("""COMPUTED_VALUE"""),0.0)</f>
        <v>0</v>
      </c>
      <c r="BK149" s="3">
        <f>IFERROR(__xludf.DUMMYFUNCTION("""COMPUTED_VALUE"""),0.0)</f>
        <v>0</v>
      </c>
      <c r="BL149" s="3">
        <f>IFERROR(__xludf.DUMMYFUNCTION("""COMPUTED_VALUE"""),0.0)</f>
        <v>0</v>
      </c>
      <c r="BM149" s="3">
        <f>IFERROR(__xludf.DUMMYFUNCTION("""COMPUTED_VALUE"""),0.0)</f>
        <v>0</v>
      </c>
      <c r="BN149" s="3">
        <f>IFERROR(__xludf.DUMMYFUNCTION("""COMPUTED_VALUE"""),0.0)</f>
        <v>0</v>
      </c>
      <c r="BO149" s="3">
        <f>IFERROR(__xludf.DUMMYFUNCTION("""COMPUTED_VALUE"""),0.0)</f>
        <v>0</v>
      </c>
      <c r="BP149" s="3">
        <f>IFERROR(__xludf.DUMMYFUNCTION("""COMPUTED_VALUE"""),0.0)</f>
        <v>0</v>
      </c>
      <c r="BQ149" s="3">
        <f>IFERROR(__xludf.DUMMYFUNCTION("""COMPUTED_VALUE"""),0.0)</f>
        <v>0</v>
      </c>
      <c r="BR149" s="3">
        <f>IFERROR(__xludf.DUMMYFUNCTION("""COMPUTED_VALUE"""),0.0)</f>
        <v>0</v>
      </c>
      <c r="BS149" s="3">
        <f>IFERROR(__xludf.DUMMYFUNCTION("""COMPUTED_VALUE"""),0.0)</f>
        <v>0</v>
      </c>
      <c r="BT149" s="3">
        <f>IFERROR(__xludf.DUMMYFUNCTION("""COMPUTED_VALUE"""),0.0)</f>
        <v>0</v>
      </c>
      <c r="BU149" s="3">
        <f>IFERROR(__xludf.DUMMYFUNCTION("""COMPUTED_VALUE"""),0.0)</f>
        <v>0</v>
      </c>
      <c r="BV149" s="3">
        <f>IFERROR(__xludf.DUMMYFUNCTION("""COMPUTED_VALUE"""),0.0)</f>
        <v>0</v>
      </c>
      <c r="BW149" s="3">
        <f>IFERROR(__xludf.DUMMYFUNCTION("""COMPUTED_VALUE"""),0.0)</f>
        <v>0</v>
      </c>
      <c r="BX149" s="3">
        <f>IFERROR(__xludf.DUMMYFUNCTION("""COMPUTED_VALUE"""),0.0)</f>
        <v>0</v>
      </c>
      <c r="BY149" s="3">
        <f>IFERROR(__xludf.DUMMYFUNCTION("""COMPUTED_VALUE"""),0.0)</f>
        <v>0</v>
      </c>
      <c r="BZ149" s="3">
        <f>IFERROR(__xludf.DUMMYFUNCTION("""COMPUTED_VALUE"""),0.0)</f>
        <v>0</v>
      </c>
      <c r="CA149" s="3">
        <f>IFERROR(__xludf.DUMMYFUNCTION("""COMPUTED_VALUE"""),2.0)</f>
        <v>2</v>
      </c>
      <c r="CB149" s="3">
        <f>IFERROR(__xludf.DUMMYFUNCTION("""COMPUTED_VALUE"""),2.0)</f>
        <v>2</v>
      </c>
    </row>
    <row r="150">
      <c r="A150" s="3" t="str">
        <f>IFERROR(__xludf.DUMMYFUNCTION("""COMPUTED_VALUE"""),"")</f>
        <v/>
      </c>
      <c r="B150" s="3" t="str">
        <f>IFERROR(__xludf.DUMMYFUNCTION("""COMPUTED_VALUE"""),"Malaysia")</f>
        <v>Malaysia</v>
      </c>
      <c r="C150" s="3">
        <f>IFERROR(__xludf.DUMMYFUNCTION("""COMPUTED_VALUE"""),2.5)</f>
        <v>2.5</v>
      </c>
      <c r="D150" s="3">
        <f>IFERROR(__xludf.DUMMYFUNCTION("""COMPUTED_VALUE"""),112.5)</f>
        <v>112.5</v>
      </c>
      <c r="E150" s="3">
        <f>IFERROR(__xludf.DUMMYFUNCTION("""COMPUTED_VALUE"""),0.0)</f>
        <v>0</v>
      </c>
      <c r="F150" s="3">
        <f>IFERROR(__xludf.DUMMYFUNCTION("""COMPUTED_VALUE"""),0.0)</f>
        <v>0</v>
      </c>
      <c r="G150" s="3">
        <f>IFERROR(__xludf.DUMMYFUNCTION("""COMPUTED_VALUE"""),0.0)</f>
        <v>0</v>
      </c>
      <c r="H150" s="3">
        <f>IFERROR(__xludf.DUMMYFUNCTION("""COMPUTED_VALUE"""),0.0)</f>
        <v>0</v>
      </c>
      <c r="I150" s="3">
        <f>IFERROR(__xludf.DUMMYFUNCTION("""COMPUTED_VALUE"""),0.0)</f>
        <v>0</v>
      </c>
      <c r="J150" s="3">
        <f>IFERROR(__xludf.DUMMYFUNCTION("""COMPUTED_VALUE"""),0.0)</f>
        <v>0</v>
      </c>
      <c r="K150" s="3">
        <f>IFERROR(__xludf.DUMMYFUNCTION("""COMPUTED_VALUE"""),0.0)</f>
        <v>0</v>
      </c>
      <c r="L150" s="3">
        <f>IFERROR(__xludf.DUMMYFUNCTION("""COMPUTED_VALUE"""),0.0)</f>
        <v>0</v>
      </c>
      <c r="M150" s="3">
        <f>IFERROR(__xludf.DUMMYFUNCTION("""COMPUTED_VALUE"""),0.0)</f>
        <v>0</v>
      </c>
      <c r="N150" s="3">
        <f>IFERROR(__xludf.DUMMYFUNCTION("""COMPUTED_VALUE"""),0.0)</f>
        <v>0</v>
      </c>
      <c r="O150" s="3">
        <f>IFERROR(__xludf.DUMMYFUNCTION("""COMPUTED_VALUE"""),0.0)</f>
        <v>0</v>
      </c>
      <c r="P150" s="3">
        <f>IFERROR(__xludf.DUMMYFUNCTION("""COMPUTED_VALUE"""),0.0)</f>
        <v>0</v>
      </c>
      <c r="Q150" s="3">
        <f>IFERROR(__xludf.DUMMYFUNCTION("""COMPUTED_VALUE"""),0.0)</f>
        <v>0</v>
      </c>
      <c r="R150" s="3">
        <f>IFERROR(__xludf.DUMMYFUNCTION("""COMPUTED_VALUE"""),0.0)</f>
        <v>0</v>
      </c>
      <c r="S150" s="3">
        <f>IFERROR(__xludf.DUMMYFUNCTION("""COMPUTED_VALUE"""),0.0)</f>
        <v>0</v>
      </c>
      <c r="T150" s="3">
        <f>IFERROR(__xludf.DUMMYFUNCTION("""COMPUTED_VALUE"""),0.0)</f>
        <v>0</v>
      </c>
      <c r="U150" s="3">
        <f>IFERROR(__xludf.DUMMYFUNCTION("""COMPUTED_VALUE"""),1.0)</f>
        <v>1</v>
      </c>
      <c r="V150" s="3">
        <f>IFERROR(__xludf.DUMMYFUNCTION("""COMPUTED_VALUE"""),1.0)</f>
        <v>1</v>
      </c>
      <c r="W150" s="3">
        <f>IFERROR(__xludf.DUMMYFUNCTION("""COMPUTED_VALUE"""),1.0)</f>
        <v>1</v>
      </c>
      <c r="X150" s="3">
        <f>IFERROR(__xludf.DUMMYFUNCTION("""COMPUTED_VALUE"""),1.0)</f>
        <v>1</v>
      </c>
      <c r="Y150" s="3">
        <f>IFERROR(__xludf.DUMMYFUNCTION("""COMPUTED_VALUE"""),3.0)</f>
        <v>3</v>
      </c>
      <c r="Z150" s="3">
        <f>IFERROR(__xludf.DUMMYFUNCTION("""COMPUTED_VALUE"""),3.0)</f>
        <v>3</v>
      </c>
      <c r="AA150" s="3">
        <f>IFERROR(__xludf.DUMMYFUNCTION("""COMPUTED_VALUE"""),3.0)</f>
        <v>3</v>
      </c>
      <c r="AB150" s="3">
        <f>IFERROR(__xludf.DUMMYFUNCTION("""COMPUTED_VALUE"""),3.0)</f>
        <v>3</v>
      </c>
      <c r="AC150" s="3">
        <f>IFERROR(__xludf.DUMMYFUNCTION("""COMPUTED_VALUE"""),7.0)</f>
        <v>7</v>
      </c>
      <c r="AD150" s="3">
        <f>IFERROR(__xludf.DUMMYFUNCTION("""COMPUTED_VALUE"""),7.0)</f>
        <v>7</v>
      </c>
      <c r="AE150" s="3">
        <f>IFERROR(__xludf.DUMMYFUNCTION("""COMPUTED_VALUE"""),7.0)</f>
        <v>7</v>
      </c>
      <c r="AF150" s="3">
        <f>IFERROR(__xludf.DUMMYFUNCTION("""COMPUTED_VALUE"""),13.0)</f>
        <v>13</v>
      </c>
      <c r="AG150" s="3">
        <f>IFERROR(__xludf.DUMMYFUNCTION("""COMPUTED_VALUE"""),15.0)</f>
        <v>15</v>
      </c>
      <c r="AH150" s="3">
        <f>IFERROR(__xludf.DUMMYFUNCTION("""COMPUTED_VALUE"""),15.0)</f>
        <v>15</v>
      </c>
      <c r="AI150" s="3">
        <f>IFERROR(__xludf.DUMMYFUNCTION("""COMPUTED_VALUE"""),15.0)</f>
        <v>15</v>
      </c>
      <c r="AJ150" s="3">
        <f>IFERROR(__xludf.DUMMYFUNCTION("""COMPUTED_VALUE"""),15.0)</f>
        <v>15</v>
      </c>
      <c r="AK150" s="3">
        <f>IFERROR(__xludf.DUMMYFUNCTION("""COMPUTED_VALUE"""),15.0)</f>
        <v>15</v>
      </c>
      <c r="AL150" s="3">
        <f>IFERROR(__xludf.DUMMYFUNCTION("""COMPUTED_VALUE"""),18.0)</f>
        <v>18</v>
      </c>
      <c r="AM150" s="3">
        <f>IFERROR(__xludf.DUMMYFUNCTION("""COMPUTED_VALUE"""),18.0)</f>
        <v>18</v>
      </c>
      <c r="AN150" s="3">
        <f>IFERROR(__xludf.DUMMYFUNCTION("""COMPUTED_VALUE"""),18.0)</f>
        <v>18</v>
      </c>
      <c r="AO150" s="3">
        <f>IFERROR(__xludf.DUMMYFUNCTION("""COMPUTED_VALUE"""),18.0)</f>
        <v>18</v>
      </c>
      <c r="AP150" s="3">
        <f>IFERROR(__xludf.DUMMYFUNCTION("""COMPUTED_VALUE"""),18.0)</f>
        <v>18</v>
      </c>
      <c r="AQ150" s="3">
        <f>IFERROR(__xludf.DUMMYFUNCTION("""COMPUTED_VALUE"""),18.0)</f>
        <v>18</v>
      </c>
      <c r="AR150" s="3">
        <f>IFERROR(__xludf.DUMMYFUNCTION("""COMPUTED_VALUE"""),18.0)</f>
        <v>18</v>
      </c>
      <c r="AS150" s="3">
        <f>IFERROR(__xludf.DUMMYFUNCTION("""COMPUTED_VALUE"""),18.0)</f>
        <v>18</v>
      </c>
      <c r="AT150" s="3">
        <f>IFERROR(__xludf.DUMMYFUNCTION("""COMPUTED_VALUE"""),22.0)</f>
        <v>22</v>
      </c>
      <c r="AU150" s="3">
        <f>IFERROR(__xludf.DUMMYFUNCTION("""COMPUTED_VALUE"""),22.0)</f>
        <v>22</v>
      </c>
      <c r="AV150" s="3">
        <f>IFERROR(__xludf.DUMMYFUNCTION("""COMPUTED_VALUE"""),22.0)</f>
        <v>22</v>
      </c>
      <c r="AW150" s="3">
        <f>IFERROR(__xludf.DUMMYFUNCTION("""COMPUTED_VALUE"""),22.0)</f>
        <v>22</v>
      </c>
      <c r="AX150" s="3">
        <f>IFERROR(__xludf.DUMMYFUNCTION("""COMPUTED_VALUE"""),23.0)</f>
        <v>23</v>
      </c>
      <c r="AY150" s="3">
        <f>IFERROR(__xludf.DUMMYFUNCTION("""COMPUTED_VALUE"""),24.0)</f>
        <v>24</v>
      </c>
      <c r="AZ150" s="3">
        <f>IFERROR(__xludf.DUMMYFUNCTION("""COMPUTED_VALUE"""),24.0)</f>
        <v>24</v>
      </c>
      <c r="BA150" s="3">
        <f>IFERROR(__xludf.DUMMYFUNCTION("""COMPUTED_VALUE"""),24.0)</f>
        <v>24</v>
      </c>
      <c r="BB150" s="3">
        <f>IFERROR(__xludf.DUMMYFUNCTION("""COMPUTED_VALUE"""),26.0)</f>
        <v>26</v>
      </c>
      <c r="BC150" s="3">
        <f>IFERROR(__xludf.DUMMYFUNCTION("""COMPUTED_VALUE"""),26.0)</f>
        <v>26</v>
      </c>
      <c r="BD150" s="3">
        <f>IFERROR(__xludf.DUMMYFUNCTION("""COMPUTED_VALUE"""),26.0)</f>
        <v>26</v>
      </c>
      <c r="BE150" s="3">
        <f>IFERROR(__xludf.DUMMYFUNCTION("""COMPUTED_VALUE"""),35.0)</f>
        <v>35</v>
      </c>
      <c r="BF150" s="3">
        <f>IFERROR(__xludf.DUMMYFUNCTION("""COMPUTED_VALUE"""),42.0)</f>
        <v>42</v>
      </c>
      <c r="BG150" s="3">
        <f>IFERROR(__xludf.DUMMYFUNCTION("""COMPUTED_VALUE"""),42.0)</f>
        <v>42</v>
      </c>
      <c r="BH150" s="3">
        <f>IFERROR(__xludf.DUMMYFUNCTION("""COMPUTED_VALUE"""),49.0)</f>
        <v>49</v>
      </c>
      <c r="BI150" s="3">
        <f>IFERROR(__xludf.DUMMYFUNCTION("""COMPUTED_VALUE"""),60.0)</f>
        <v>60</v>
      </c>
      <c r="BJ150" s="3">
        <f>IFERROR(__xludf.DUMMYFUNCTION("""COMPUTED_VALUE"""),75.0)</f>
        <v>75</v>
      </c>
      <c r="BK150" s="3">
        <f>IFERROR(__xludf.DUMMYFUNCTION("""COMPUTED_VALUE"""),87.0)</f>
        <v>87</v>
      </c>
      <c r="BL150" s="3">
        <f>IFERROR(__xludf.DUMMYFUNCTION("""COMPUTED_VALUE"""),114.0)</f>
        <v>114</v>
      </c>
      <c r="BM150" s="3">
        <f>IFERROR(__xludf.DUMMYFUNCTION("""COMPUTED_VALUE"""),139.0)</f>
        <v>139</v>
      </c>
      <c r="BN150" s="3">
        <f>IFERROR(__xludf.DUMMYFUNCTION("""COMPUTED_VALUE"""),139.0)</f>
        <v>139</v>
      </c>
      <c r="BO150" s="3">
        <f>IFERROR(__xludf.DUMMYFUNCTION("""COMPUTED_VALUE"""),183.0)</f>
        <v>183</v>
      </c>
      <c r="BP150" s="3">
        <f>IFERROR(__xludf.DUMMYFUNCTION("""COMPUTED_VALUE"""),199.0)</f>
        <v>199</v>
      </c>
      <c r="BQ150" s="3">
        <f>IFERROR(__xludf.DUMMYFUNCTION("""COMPUTED_VALUE"""),215.0)</f>
        <v>215</v>
      </c>
      <c r="BR150" s="3">
        <f>IFERROR(__xludf.DUMMYFUNCTION("""COMPUTED_VALUE"""),259.0)</f>
        <v>259</v>
      </c>
      <c r="BS150" s="3">
        <f>IFERROR(__xludf.DUMMYFUNCTION("""COMPUTED_VALUE"""),320.0)</f>
        <v>320</v>
      </c>
      <c r="BT150" s="3">
        <f>IFERROR(__xludf.DUMMYFUNCTION("""COMPUTED_VALUE"""),388.0)</f>
        <v>388</v>
      </c>
      <c r="BU150" s="3">
        <f>IFERROR(__xludf.DUMMYFUNCTION("""COMPUTED_VALUE"""),479.0)</f>
        <v>479</v>
      </c>
      <c r="BV150" s="3">
        <f>IFERROR(__xludf.DUMMYFUNCTION("""COMPUTED_VALUE"""),537.0)</f>
        <v>537</v>
      </c>
      <c r="BW150" s="3">
        <f>IFERROR(__xludf.DUMMYFUNCTION("""COMPUTED_VALUE"""),645.0)</f>
        <v>645</v>
      </c>
      <c r="BX150" s="3">
        <f>IFERROR(__xludf.DUMMYFUNCTION("""COMPUTED_VALUE"""),767.0)</f>
        <v>767</v>
      </c>
      <c r="BY150" s="3">
        <f>IFERROR(__xludf.DUMMYFUNCTION("""COMPUTED_VALUE"""),827.0)</f>
        <v>827</v>
      </c>
      <c r="BZ150" s="3">
        <f>IFERROR(__xludf.DUMMYFUNCTION("""COMPUTED_VALUE"""),915.0)</f>
        <v>915</v>
      </c>
      <c r="CA150" s="3">
        <f>IFERROR(__xludf.DUMMYFUNCTION("""COMPUTED_VALUE"""),1005.0)</f>
        <v>1005</v>
      </c>
      <c r="CB150" s="3">
        <f>IFERROR(__xludf.DUMMYFUNCTION("""COMPUTED_VALUE"""),1241.0)</f>
        <v>1241</v>
      </c>
    </row>
    <row r="151">
      <c r="A151" s="3" t="str">
        <f>IFERROR(__xludf.DUMMYFUNCTION("""COMPUTED_VALUE"""),"")</f>
        <v/>
      </c>
      <c r="B151" s="3" t="str">
        <f>IFERROR(__xludf.DUMMYFUNCTION("""COMPUTED_VALUE"""),"Maldives")</f>
        <v>Maldives</v>
      </c>
      <c r="C151" s="3">
        <f>IFERROR(__xludf.DUMMYFUNCTION("""COMPUTED_VALUE"""),3.2028)</f>
        <v>3.2028</v>
      </c>
      <c r="D151" s="3">
        <f>IFERROR(__xludf.DUMMYFUNCTION("""COMPUTED_VALUE"""),73.2207)</f>
        <v>73.2207</v>
      </c>
      <c r="E151" s="3">
        <f>IFERROR(__xludf.DUMMYFUNCTION("""COMPUTED_VALUE"""),0.0)</f>
        <v>0</v>
      </c>
      <c r="F151" s="3">
        <f>IFERROR(__xludf.DUMMYFUNCTION("""COMPUTED_VALUE"""),0.0)</f>
        <v>0</v>
      </c>
      <c r="G151" s="3">
        <f>IFERROR(__xludf.DUMMYFUNCTION("""COMPUTED_VALUE"""),0.0)</f>
        <v>0</v>
      </c>
      <c r="H151" s="3">
        <f>IFERROR(__xludf.DUMMYFUNCTION("""COMPUTED_VALUE"""),0.0)</f>
        <v>0</v>
      </c>
      <c r="I151" s="3">
        <f>IFERROR(__xludf.DUMMYFUNCTION("""COMPUTED_VALUE"""),0.0)</f>
        <v>0</v>
      </c>
      <c r="J151" s="3">
        <f>IFERROR(__xludf.DUMMYFUNCTION("""COMPUTED_VALUE"""),0.0)</f>
        <v>0</v>
      </c>
      <c r="K151" s="3">
        <f>IFERROR(__xludf.DUMMYFUNCTION("""COMPUTED_VALUE"""),0.0)</f>
        <v>0</v>
      </c>
      <c r="L151" s="3">
        <f>IFERROR(__xludf.DUMMYFUNCTION("""COMPUTED_VALUE"""),0.0)</f>
        <v>0</v>
      </c>
      <c r="M151" s="3">
        <f>IFERROR(__xludf.DUMMYFUNCTION("""COMPUTED_VALUE"""),0.0)</f>
        <v>0</v>
      </c>
      <c r="N151" s="3">
        <f>IFERROR(__xludf.DUMMYFUNCTION("""COMPUTED_VALUE"""),0.0)</f>
        <v>0</v>
      </c>
      <c r="O151" s="3">
        <f>IFERROR(__xludf.DUMMYFUNCTION("""COMPUTED_VALUE"""),0.0)</f>
        <v>0</v>
      </c>
      <c r="P151" s="3">
        <f>IFERROR(__xludf.DUMMYFUNCTION("""COMPUTED_VALUE"""),0.0)</f>
        <v>0</v>
      </c>
      <c r="Q151" s="3">
        <f>IFERROR(__xludf.DUMMYFUNCTION("""COMPUTED_VALUE"""),0.0)</f>
        <v>0</v>
      </c>
      <c r="R151" s="3">
        <f>IFERROR(__xludf.DUMMYFUNCTION("""COMPUTED_VALUE"""),0.0)</f>
        <v>0</v>
      </c>
      <c r="S151" s="3">
        <f>IFERROR(__xludf.DUMMYFUNCTION("""COMPUTED_VALUE"""),0.0)</f>
        <v>0</v>
      </c>
      <c r="T151" s="3">
        <f>IFERROR(__xludf.DUMMYFUNCTION("""COMPUTED_VALUE"""),0.0)</f>
        <v>0</v>
      </c>
      <c r="U151" s="3">
        <f>IFERROR(__xludf.DUMMYFUNCTION("""COMPUTED_VALUE"""),0.0)</f>
        <v>0</v>
      </c>
      <c r="V151" s="3">
        <f>IFERROR(__xludf.DUMMYFUNCTION("""COMPUTED_VALUE"""),0.0)</f>
        <v>0</v>
      </c>
      <c r="W151" s="3">
        <f>IFERROR(__xludf.DUMMYFUNCTION("""COMPUTED_VALUE"""),0.0)</f>
        <v>0</v>
      </c>
      <c r="X151" s="3">
        <f>IFERROR(__xludf.DUMMYFUNCTION("""COMPUTED_VALUE"""),0.0)</f>
        <v>0</v>
      </c>
      <c r="Y151" s="3">
        <f>IFERROR(__xludf.DUMMYFUNCTION("""COMPUTED_VALUE"""),0.0)</f>
        <v>0</v>
      </c>
      <c r="Z151" s="3">
        <f>IFERROR(__xludf.DUMMYFUNCTION("""COMPUTED_VALUE"""),0.0)</f>
        <v>0</v>
      </c>
      <c r="AA151" s="3">
        <f>IFERROR(__xludf.DUMMYFUNCTION("""COMPUTED_VALUE"""),0.0)</f>
        <v>0</v>
      </c>
      <c r="AB151" s="3">
        <f>IFERROR(__xludf.DUMMYFUNCTION("""COMPUTED_VALUE"""),0.0)</f>
        <v>0</v>
      </c>
      <c r="AC151" s="3">
        <f>IFERROR(__xludf.DUMMYFUNCTION("""COMPUTED_VALUE"""),0.0)</f>
        <v>0</v>
      </c>
      <c r="AD151" s="3">
        <f>IFERROR(__xludf.DUMMYFUNCTION("""COMPUTED_VALUE"""),0.0)</f>
        <v>0</v>
      </c>
      <c r="AE151" s="3">
        <f>IFERROR(__xludf.DUMMYFUNCTION("""COMPUTED_VALUE"""),0.0)</f>
        <v>0</v>
      </c>
      <c r="AF151" s="3">
        <f>IFERROR(__xludf.DUMMYFUNCTION("""COMPUTED_VALUE"""),0.0)</f>
        <v>0</v>
      </c>
      <c r="AG151" s="3">
        <f>IFERROR(__xludf.DUMMYFUNCTION("""COMPUTED_VALUE"""),0.0)</f>
        <v>0</v>
      </c>
      <c r="AH151" s="3">
        <f>IFERROR(__xludf.DUMMYFUNCTION("""COMPUTED_VALUE"""),0.0)</f>
        <v>0</v>
      </c>
      <c r="AI151" s="3">
        <f>IFERROR(__xludf.DUMMYFUNCTION("""COMPUTED_VALUE"""),0.0)</f>
        <v>0</v>
      </c>
      <c r="AJ151" s="3">
        <f>IFERROR(__xludf.DUMMYFUNCTION("""COMPUTED_VALUE"""),0.0)</f>
        <v>0</v>
      </c>
      <c r="AK151" s="3">
        <f>IFERROR(__xludf.DUMMYFUNCTION("""COMPUTED_VALUE"""),0.0)</f>
        <v>0</v>
      </c>
      <c r="AL151" s="3">
        <f>IFERROR(__xludf.DUMMYFUNCTION("""COMPUTED_VALUE"""),0.0)</f>
        <v>0</v>
      </c>
      <c r="AM151" s="3">
        <f>IFERROR(__xludf.DUMMYFUNCTION("""COMPUTED_VALUE"""),0.0)</f>
        <v>0</v>
      </c>
      <c r="AN151" s="3">
        <f>IFERROR(__xludf.DUMMYFUNCTION("""COMPUTED_VALUE"""),0.0)</f>
        <v>0</v>
      </c>
      <c r="AO151" s="3">
        <f>IFERROR(__xludf.DUMMYFUNCTION("""COMPUTED_VALUE"""),0.0)</f>
        <v>0</v>
      </c>
      <c r="AP151" s="3">
        <f>IFERROR(__xludf.DUMMYFUNCTION("""COMPUTED_VALUE"""),0.0)</f>
        <v>0</v>
      </c>
      <c r="AQ151" s="3">
        <f>IFERROR(__xludf.DUMMYFUNCTION("""COMPUTED_VALUE"""),0.0)</f>
        <v>0</v>
      </c>
      <c r="AR151" s="3">
        <f>IFERROR(__xludf.DUMMYFUNCTION("""COMPUTED_VALUE"""),0.0)</f>
        <v>0</v>
      </c>
      <c r="AS151" s="3">
        <f>IFERROR(__xludf.DUMMYFUNCTION("""COMPUTED_VALUE"""),0.0)</f>
        <v>0</v>
      </c>
      <c r="AT151" s="3">
        <f>IFERROR(__xludf.DUMMYFUNCTION("""COMPUTED_VALUE"""),0.0)</f>
        <v>0</v>
      </c>
      <c r="AU151" s="3">
        <f>IFERROR(__xludf.DUMMYFUNCTION("""COMPUTED_VALUE"""),0.0)</f>
        <v>0</v>
      </c>
      <c r="AV151" s="3">
        <f>IFERROR(__xludf.DUMMYFUNCTION("""COMPUTED_VALUE"""),0.0)</f>
        <v>0</v>
      </c>
      <c r="AW151" s="3">
        <f>IFERROR(__xludf.DUMMYFUNCTION("""COMPUTED_VALUE"""),0.0)</f>
        <v>0</v>
      </c>
      <c r="AX151" s="3">
        <f>IFERROR(__xludf.DUMMYFUNCTION("""COMPUTED_VALUE"""),0.0)</f>
        <v>0</v>
      </c>
      <c r="AY151" s="3">
        <f>IFERROR(__xludf.DUMMYFUNCTION("""COMPUTED_VALUE"""),0.0)</f>
        <v>0</v>
      </c>
      <c r="AZ151" s="3">
        <f>IFERROR(__xludf.DUMMYFUNCTION("""COMPUTED_VALUE"""),0.0)</f>
        <v>0</v>
      </c>
      <c r="BA151" s="3">
        <f>IFERROR(__xludf.DUMMYFUNCTION("""COMPUTED_VALUE"""),0.0)</f>
        <v>0</v>
      </c>
      <c r="BB151" s="3">
        <f>IFERROR(__xludf.DUMMYFUNCTION("""COMPUTED_VALUE"""),0.0)</f>
        <v>0</v>
      </c>
      <c r="BC151" s="3">
        <f>IFERROR(__xludf.DUMMYFUNCTION("""COMPUTED_VALUE"""),0.0)</f>
        <v>0</v>
      </c>
      <c r="BD151" s="3">
        <f>IFERROR(__xludf.DUMMYFUNCTION("""COMPUTED_VALUE"""),0.0)</f>
        <v>0</v>
      </c>
      <c r="BE151" s="3">
        <f>IFERROR(__xludf.DUMMYFUNCTION("""COMPUTED_VALUE"""),0.0)</f>
        <v>0</v>
      </c>
      <c r="BF151" s="3">
        <f>IFERROR(__xludf.DUMMYFUNCTION("""COMPUTED_VALUE"""),0.0)</f>
        <v>0</v>
      </c>
      <c r="BG151" s="3">
        <f>IFERROR(__xludf.DUMMYFUNCTION("""COMPUTED_VALUE"""),0.0)</f>
        <v>0</v>
      </c>
      <c r="BH151" s="3">
        <f>IFERROR(__xludf.DUMMYFUNCTION("""COMPUTED_VALUE"""),0.0)</f>
        <v>0</v>
      </c>
      <c r="BI151" s="3">
        <f>IFERROR(__xludf.DUMMYFUNCTION("""COMPUTED_VALUE"""),0.0)</f>
        <v>0</v>
      </c>
      <c r="BJ151" s="3">
        <f>IFERROR(__xludf.DUMMYFUNCTION("""COMPUTED_VALUE"""),0.0)</f>
        <v>0</v>
      </c>
      <c r="BK151" s="3">
        <f>IFERROR(__xludf.DUMMYFUNCTION("""COMPUTED_VALUE"""),0.0)</f>
        <v>0</v>
      </c>
      <c r="BL151" s="3">
        <f>IFERROR(__xludf.DUMMYFUNCTION("""COMPUTED_VALUE"""),0.0)</f>
        <v>0</v>
      </c>
      <c r="BM151" s="3">
        <f>IFERROR(__xludf.DUMMYFUNCTION("""COMPUTED_VALUE"""),0.0)</f>
        <v>0</v>
      </c>
      <c r="BN151" s="3">
        <f>IFERROR(__xludf.DUMMYFUNCTION("""COMPUTED_VALUE"""),0.0)</f>
        <v>0</v>
      </c>
      <c r="BO151" s="3">
        <f>IFERROR(__xludf.DUMMYFUNCTION("""COMPUTED_VALUE"""),5.0)</f>
        <v>5</v>
      </c>
      <c r="BP151" s="3">
        <f>IFERROR(__xludf.DUMMYFUNCTION("""COMPUTED_VALUE"""),8.0)</f>
        <v>8</v>
      </c>
      <c r="BQ151" s="3">
        <f>IFERROR(__xludf.DUMMYFUNCTION("""COMPUTED_VALUE"""),8.0)</f>
        <v>8</v>
      </c>
      <c r="BR151" s="3">
        <f>IFERROR(__xludf.DUMMYFUNCTION("""COMPUTED_VALUE"""),9.0)</f>
        <v>9</v>
      </c>
      <c r="BS151" s="3">
        <f>IFERROR(__xludf.DUMMYFUNCTION("""COMPUTED_VALUE"""),9.0)</f>
        <v>9</v>
      </c>
      <c r="BT151" s="3">
        <f>IFERROR(__xludf.DUMMYFUNCTION("""COMPUTED_VALUE"""),13.0)</f>
        <v>13</v>
      </c>
      <c r="BU151" s="3">
        <f>IFERROR(__xludf.DUMMYFUNCTION("""COMPUTED_VALUE"""),13.0)</f>
        <v>13</v>
      </c>
      <c r="BV151" s="3">
        <f>IFERROR(__xludf.DUMMYFUNCTION("""COMPUTED_VALUE"""),13.0)</f>
        <v>13</v>
      </c>
      <c r="BW151" s="3">
        <f>IFERROR(__xludf.DUMMYFUNCTION("""COMPUTED_VALUE"""),13.0)</f>
        <v>13</v>
      </c>
      <c r="BX151" s="3">
        <f>IFERROR(__xludf.DUMMYFUNCTION("""COMPUTED_VALUE"""),13.0)</f>
        <v>13</v>
      </c>
      <c r="BY151" s="3">
        <f>IFERROR(__xludf.DUMMYFUNCTION("""COMPUTED_VALUE"""),13.0)</f>
        <v>13</v>
      </c>
      <c r="BZ151" s="3">
        <f>IFERROR(__xludf.DUMMYFUNCTION("""COMPUTED_VALUE"""),13.0)</f>
        <v>13</v>
      </c>
      <c r="CA151" s="3">
        <f>IFERROR(__xludf.DUMMYFUNCTION("""COMPUTED_VALUE"""),13.0)</f>
        <v>13</v>
      </c>
      <c r="CB151" s="3">
        <f>IFERROR(__xludf.DUMMYFUNCTION("""COMPUTED_VALUE"""),13.0)</f>
        <v>13</v>
      </c>
    </row>
    <row r="152">
      <c r="A152" s="3" t="str">
        <f>IFERROR(__xludf.DUMMYFUNCTION("""COMPUTED_VALUE"""),"")</f>
        <v/>
      </c>
      <c r="B152" s="3" t="str">
        <f>IFERROR(__xludf.DUMMYFUNCTION("""COMPUTED_VALUE"""),"Mali")</f>
        <v>Mali</v>
      </c>
      <c r="C152" s="3">
        <f>IFERROR(__xludf.DUMMYFUNCTION("""COMPUTED_VALUE"""),17.570692)</f>
        <v>17.570692</v>
      </c>
      <c r="D152" s="3">
        <f>IFERROR(__xludf.DUMMYFUNCTION("""COMPUTED_VALUE"""),-3.996166)</f>
        <v>-3.996166</v>
      </c>
      <c r="E152" s="3">
        <f>IFERROR(__xludf.DUMMYFUNCTION("""COMPUTED_VALUE"""),0.0)</f>
        <v>0</v>
      </c>
      <c r="F152" s="3">
        <f>IFERROR(__xludf.DUMMYFUNCTION("""COMPUTED_VALUE"""),0.0)</f>
        <v>0</v>
      </c>
      <c r="G152" s="3">
        <f>IFERROR(__xludf.DUMMYFUNCTION("""COMPUTED_VALUE"""),0.0)</f>
        <v>0</v>
      </c>
      <c r="H152" s="3">
        <f>IFERROR(__xludf.DUMMYFUNCTION("""COMPUTED_VALUE"""),0.0)</f>
        <v>0</v>
      </c>
      <c r="I152" s="3">
        <f>IFERROR(__xludf.DUMMYFUNCTION("""COMPUTED_VALUE"""),0.0)</f>
        <v>0</v>
      </c>
      <c r="J152" s="3">
        <f>IFERROR(__xludf.DUMMYFUNCTION("""COMPUTED_VALUE"""),0.0)</f>
        <v>0</v>
      </c>
      <c r="K152" s="3">
        <f>IFERROR(__xludf.DUMMYFUNCTION("""COMPUTED_VALUE"""),0.0)</f>
        <v>0</v>
      </c>
      <c r="L152" s="3">
        <f>IFERROR(__xludf.DUMMYFUNCTION("""COMPUTED_VALUE"""),0.0)</f>
        <v>0</v>
      </c>
      <c r="M152" s="3">
        <f>IFERROR(__xludf.DUMMYFUNCTION("""COMPUTED_VALUE"""),0.0)</f>
        <v>0</v>
      </c>
      <c r="N152" s="3">
        <f>IFERROR(__xludf.DUMMYFUNCTION("""COMPUTED_VALUE"""),0.0)</f>
        <v>0</v>
      </c>
      <c r="O152" s="3">
        <f>IFERROR(__xludf.DUMMYFUNCTION("""COMPUTED_VALUE"""),0.0)</f>
        <v>0</v>
      </c>
      <c r="P152" s="3">
        <f>IFERROR(__xludf.DUMMYFUNCTION("""COMPUTED_VALUE"""),0.0)</f>
        <v>0</v>
      </c>
      <c r="Q152" s="3">
        <f>IFERROR(__xludf.DUMMYFUNCTION("""COMPUTED_VALUE"""),0.0)</f>
        <v>0</v>
      </c>
      <c r="R152" s="3">
        <f>IFERROR(__xludf.DUMMYFUNCTION("""COMPUTED_VALUE"""),0.0)</f>
        <v>0</v>
      </c>
      <c r="S152" s="3">
        <f>IFERROR(__xludf.DUMMYFUNCTION("""COMPUTED_VALUE"""),0.0)</f>
        <v>0</v>
      </c>
      <c r="T152" s="3">
        <f>IFERROR(__xludf.DUMMYFUNCTION("""COMPUTED_VALUE"""),0.0)</f>
        <v>0</v>
      </c>
      <c r="U152" s="3">
        <f>IFERROR(__xludf.DUMMYFUNCTION("""COMPUTED_VALUE"""),0.0)</f>
        <v>0</v>
      </c>
      <c r="V152" s="3">
        <f>IFERROR(__xludf.DUMMYFUNCTION("""COMPUTED_VALUE"""),0.0)</f>
        <v>0</v>
      </c>
      <c r="W152" s="3">
        <f>IFERROR(__xludf.DUMMYFUNCTION("""COMPUTED_VALUE"""),0.0)</f>
        <v>0</v>
      </c>
      <c r="X152" s="3">
        <f>IFERROR(__xludf.DUMMYFUNCTION("""COMPUTED_VALUE"""),0.0)</f>
        <v>0</v>
      </c>
      <c r="Y152" s="3">
        <f>IFERROR(__xludf.DUMMYFUNCTION("""COMPUTED_VALUE"""),0.0)</f>
        <v>0</v>
      </c>
      <c r="Z152" s="3">
        <f>IFERROR(__xludf.DUMMYFUNCTION("""COMPUTED_VALUE"""),0.0)</f>
        <v>0</v>
      </c>
      <c r="AA152" s="3">
        <f>IFERROR(__xludf.DUMMYFUNCTION("""COMPUTED_VALUE"""),0.0)</f>
        <v>0</v>
      </c>
      <c r="AB152" s="3">
        <f>IFERROR(__xludf.DUMMYFUNCTION("""COMPUTED_VALUE"""),0.0)</f>
        <v>0</v>
      </c>
      <c r="AC152" s="3">
        <f>IFERROR(__xludf.DUMMYFUNCTION("""COMPUTED_VALUE"""),0.0)</f>
        <v>0</v>
      </c>
      <c r="AD152" s="3">
        <f>IFERROR(__xludf.DUMMYFUNCTION("""COMPUTED_VALUE"""),0.0)</f>
        <v>0</v>
      </c>
      <c r="AE152" s="3">
        <f>IFERROR(__xludf.DUMMYFUNCTION("""COMPUTED_VALUE"""),0.0)</f>
        <v>0</v>
      </c>
      <c r="AF152" s="3">
        <f>IFERROR(__xludf.DUMMYFUNCTION("""COMPUTED_VALUE"""),0.0)</f>
        <v>0</v>
      </c>
      <c r="AG152" s="3">
        <f>IFERROR(__xludf.DUMMYFUNCTION("""COMPUTED_VALUE"""),0.0)</f>
        <v>0</v>
      </c>
      <c r="AH152" s="3">
        <f>IFERROR(__xludf.DUMMYFUNCTION("""COMPUTED_VALUE"""),0.0)</f>
        <v>0</v>
      </c>
      <c r="AI152" s="3">
        <f>IFERROR(__xludf.DUMMYFUNCTION("""COMPUTED_VALUE"""),0.0)</f>
        <v>0</v>
      </c>
      <c r="AJ152" s="3">
        <f>IFERROR(__xludf.DUMMYFUNCTION("""COMPUTED_VALUE"""),0.0)</f>
        <v>0</v>
      </c>
      <c r="AK152" s="3">
        <f>IFERROR(__xludf.DUMMYFUNCTION("""COMPUTED_VALUE"""),0.0)</f>
        <v>0</v>
      </c>
      <c r="AL152" s="3">
        <f>IFERROR(__xludf.DUMMYFUNCTION("""COMPUTED_VALUE"""),0.0)</f>
        <v>0</v>
      </c>
      <c r="AM152" s="3">
        <f>IFERROR(__xludf.DUMMYFUNCTION("""COMPUTED_VALUE"""),0.0)</f>
        <v>0</v>
      </c>
      <c r="AN152" s="3">
        <f>IFERROR(__xludf.DUMMYFUNCTION("""COMPUTED_VALUE"""),0.0)</f>
        <v>0</v>
      </c>
      <c r="AO152" s="3">
        <f>IFERROR(__xludf.DUMMYFUNCTION("""COMPUTED_VALUE"""),0.0)</f>
        <v>0</v>
      </c>
      <c r="AP152" s="3">
        <f>IFERROR(__xludf.DUMMYFUNCTION("""COMPUTED_VALUE"""),0.0)</f>
        <v>0</v>
      </c>
      <c r="AQ152" s="3">
        <f>IFERROR(__xludf.DUMMYFUNCTION("""COMPUTED_VALUE"""),0.0)</f>
        <v>0</v>
      </c>
      <c r="AR152" s="3">
        <f>IFERROR(__xludf.DUMMYFUNCTION("""COMPUTED_VALUE"""),0.0)</f>
        <v>0</v>
      </c>
      <c r="AS152" s="3">
        <f>IFERROR(__xludf.DUMMYFUNCTION("""COMPUTED_VALUE"""),0.0)</f>
        <v>0</v>
      </c>
      <c r="AT152" s="3">
        <f>IFERROR(__xludf.DUMMYFUNCTION("""COMPUTED_VALUE"""),0.0)</f>
        <v>0</v>
      </c>
      <c r="AU152" s="3">
        <f>IFERROR(__xludf.DUMMYFUNCTION("""COMPUTED_VALUE"""),0.0)</f>
        <v>0</v>
      </c>
      <c r="AV152" s="3">
        <f>IFERROR(__xludf.DUMMYFUNCTION("""COMPUTED_VALUE"""),0.0)</f>
        <v>0</v>
      </c>
      <c r="AW152" s="3">
        <f>IFERROR(__xludf.DUMMYFUNCTION("""COMPUTED_VALUE"""),0.0)</f>
        <v>0</v>
      </c>
      <c r="AX152" s="3">
        <f>IFERROR(__xludf.DUMMYFUNCTION("""COMPUTED_VALUE"""),0.0)</f>
        <v>0</v>
      </c>
      <c r="AY152" s="3">
        <f>IFERROR(__xludf.DUMMYFUNCTION("""COMPUTED_VALUE"""),0.0)</f>
        <v>0</v>
      </c>
      <c r="AZ152" s="3">
        <f>IFERROR(__xludf.DUMMYFUNCTION("""COMPUTED_VALUE"""),0.0)</f>
        <v>0</v>
      </c>
      <c r="BA152" s="3">
        <f>IFERROR(__xludf.DUMMYFUNCTION("""COMPUTED_VALUE"""),0.0)</f>
        <v>0</v>
      </c>
      <c r="BB152" s="3">
        <f>IFERROR(__xludf.DUMMYFUNCTION("""COMPUTED_VALUE"""),0.0)</f>
        <v>0</v>
      </c>
      <c r="BC152" s="3">
        <f>IFERROR(__xludf.DUMMYFUNCTION("""COMPUTED_VALUE"""),0.0)</f>
        <v>0</v>
      </c>
      <c r="BD152" s="3">
        <f>IFERROR(__xludf.DUMMYFUNCTION("""COMPUTED_VALUE"""),0.0)</f>
        <v>0</v>
      </c>
      <c r="BE152" s="3">
        <f>IFERROR(__xludf.DUMMYFUNCTION("""COMPUTED_VALUE"""),0.0)</f>
        <v>0</v>
      </c>
      <c r="BF152" s="3">
        <f>IFERROR(__xludf.DUMMYFUNCTION("""COMPUTED_VALUE"""),0.0)</f>
        <v>0</v>
      </c>
      <c r="BG152" s="3">
        <f>IFERROR(__xludf.DUMMYFUNCTION("""COMPUTED_VALUE"""),0.0)</f>
        <v>0</v>
      </c>
      <c r="BH152" s="3">
        <f>IFERROR(__xludf.DUMMYFUNCTION("""COMPUTED_VALUE"""),0.0)</f>
        <v>0</v>
      </c>
      <c r="BI152" s="3">
        <f>IFERROR(__xludf.DUMMYFUNCTION("""COMPUTED_VALUE"""),0.0)</f>
        <v>0</v>
      </c>
      <c r="BJ152" s="3">
        <f>IFERROR(__xludf.DUMMYFUNCTION("""COMPUTED_VALUE"""),0.0)</f>
        <v>0</v>
      </c>
      <c r="BK152" s="3">
        <f>IFERROR(__xludf.DUMMYFUNCTION("""COMPUTED_VALUE"""),0.0)</f>
        <v>0</v>
      </c>
      <c r="BL152" s="3">
        <f>IFERROR(__xludf.DUMMYFUNCTION("""COMPUTED_VALUE"""),0.0)</f>
        <v>0</v>
      </c>
      <c r="BM152" s="3">
        <f>IFERROR(__xludf.DUMMYFUNCTION("""COMPUTED_VALUE"""),0.0)</f>
        <v>0</v>
      </c>
      <c r="BN152" s="3">
        <f>IFERROR(__xludf.DUMMYFUNCTION("""COMPUTED_VALUE"""),0.0)</f>
        <v>0</v>
      </c>
      <c r="BO152" s="3">
        <f>IFERROR(__xludf.DUMMYFUNCTION("""COMPUTED_VALUE"""),0.0)</f>
        <v>0</v>
      </c>
      <c r="BP152" s="3">
        <f>IFERROR(__xludf.DUMMYFUNCTION("""COMPUTED_VALUE"""),0.0)</f>
        <v>0</v>
      </c>
      <c r="BQ152" s="3">
        <f>IFERROR(__xludf.DUMMYFUNCTION("""COMPUTED_VALUE"""),0.0)</f>
        <v>0</v>
      </c>
      <c r="BR152" s="3">
        <f>IFERROR(__xludf.DUMMYFUNCTION("""COMPUTED_VALUE"""),0.0)</f>
        <v>0</v>
      </c>
      <c r="BS152" s="3">
        <f>IFERROR(__xludf.DUMMYFUNCTION("""COMPUTED_VALUE"""),0.0)</f>
        <v>0</v>
      </c>
      <c r="BT152" s="3">
        <f>IFERROR(__xludf.DUMMYFUNCTION("""COMPUTED_VALUE"""),0.0)</f>
        <v>0</v>
      </c>
      <c r="BU152" s="3">
        <f>IFERROR(__xludf.DUMMYFUNCTION("""COMPUTED_VALUE"""),0.0)</f>
        <v>0</v>
      </c>
      <c r="BV152" s="3">
        <f>IFERROR(__xludf.DUMMYFUNCTION("""COMPUTED_VALUE"""),0.0)</f>
        <v>0</v>
      </c>
      <c r="BW152" s="3">
        <f>IFERROR(__xludf.DUMMYFUNCTION("""COMPUTED_VALUE"""),0.0)</f>
        <v>0</v>
      </c>
      <c r="BX152" s="3">
        <f>IFERROR(__xludf.DUMMYFUNCTION("""COMPUTED_VALUE"""),0.0)</f>
        <v>0</v>
      </c>
      <c r="BY152" s="3">
        <f>IFERROR(__xludf.DUMMYFUNCTION("""COMPUTED_VALUE"""),0.0)</f>
        <v>0</v>
      </c>
      <c r="BZ152" s="3">
        <f>IFERROR(__xludf.DUMMYFUNCTION("""COMPUTED_VALUE"""),1.0)</f>
        <v>1</v>
      </c>
      <c r="CA152" s="3">
        <f>IFERROR(__xludf.DUMMYFUNCTION("""COMPUTED_VALUE"""),1.0)</f>
        <v>1</v>
      </c>
      <c r="CB152" s="3">
        <f>IFERROR(__xludf.DUMMYFUNCTION("""COMPUTED_VALUE"""),9.0)</f>
        <v>9</v>
      </c>
    </row>
    <row r="153">
      <c r="A153" s="3" t="str">
        <f>IFERROR(__xludf.DUMMYFUNCTION("""COMPUTED_VALUE"""),"")</f>
        <v/>
      </c>
      <c r="B153" s="3" t="str">
        <f>IFERROR(__xludf.DUMMYFUNCTION("""COMPUTED_VALUE"""),"Malta")</f>
        <v>Malta</v>
      </c>
      <c r="C153" s="3">
        <f>IFERROR(__xludf.DUMMYFUNCTION("""COMPUTED_VALUE"""),35.9375)</f>
        <v>35.9375</v>
      </c>
      <c r="D153" s="3">
        <f>IFERROR(__xludf.DUMMYFUNCTION("""COMPUTED_VALUE"""),14.3754)</f>
        <v>14.3754</v>
      </c>
      <c r="E153" s="3">
        <f>IFERROR(__xludf.DUMMYFUNCTION("""COMPUTED_VALUE"""),0.0)</f>
        <v>0</v>
      </c>
      <c r="F153" s="3">
        <f>IFERROR(__xludf.DUMMYFUNCTION("""COMPUTED_VALUE"""),0.0)</f>
        <v>0</v>
      </c>
      <c r="G153" s="3">
        <f>IFERROR(__xludf.DUMMYFUNCTION("""COMPUTED_VALUE"""),0.0)</f>
        <v>0</v>
      </c>
      <c r="H153" s="3">
        <f>IFERROR(__xludf.DUMMYFUNCTION("""COMPUTED_VALUE"""),0.0)</f>
        <v>0</v>
      </c>
      <c r="I153" s="3">
        <f>IFERROR(__xludf.DUMMYFUNCTION("""COMPUTED_VALUE"""),0.0)</f>
        <v>0</v>
      </c>
      <c r="J153" s="3">
        <f>IFERROR(__xludf.DUMMYFUNCTION("""COMPUTED_VALUE"""),0.0)</f>
        <v>0</v>
      </c>
      <c r="K153" s="3">
        <f>IFERROR(__xludf.DUMMYFUNCTION("""COMPUTED_VALUE"""),0.0)</f>
        <v>0</v>
      </c>
      <c r="L153" s="3">
        <f>IFERROR(__xludf.DUMMYFUNCTION("""COMPUTED_VALUE"""),0.0)</f>
        <v>0</v>
      </c>
      <c r="M153" s="3">
        <f>IFERROR(__xludf.DUMMYFUNCTION("""COMPUTED_VALUE"""),0.0)</f>
        <v>0</v>
      </c>
      <c r="N153" s="3">
        <f>IFERROR(__xludf.DUMMYFUNCTION("""COMPUTED_VALUE"""),0.0)</f>
        <v>0</v>
      </c>
      <c r="O153" s="3">
        <f>IFERROR(__xludf.DUMMYFUNCTION("""COMPUTED_VALUE"""),0.0)</f>
        <v>0</v>
      </c>
      <c r="P153" s="3">
        <f>IFERROR(__xludf.DUMMYFUNCTION("""COMPUTED_VALUE"""),0.0)</f>
        <v>0</v>
      </c>
      <c r="Q153" s="3">
        <f>IFERROR(__xludf.DUMMYFUNCTION("""COMPUTED_VALUE"""),0.0)</f>
        <v>0</v>
      </c>
      <c r="R153" s="3">
        <f>IFERROR(__xludf.DUMMYFUNCTION("""COMPUTED_VALUE"""),0.0)</f>
        <v>0</v>
      </c>
      <c r="S153" s="3">
        <f>IFERROR(__xludf.DUMMYFUNCTION("""COMPUTED_VALUE"""),0.0)</f>
        <v>0</v>
      </c>
      <c r="T153" s="3">
        <f>IFERROR(__xludf.DUMMYFUNCTION("""COMPUTED_VALUE"""),0.0)</f>
        <v>0</v>
      </c>
      <c r="U153" s="3">
        <f>IFERROR(__xludf.DUMMYFUNCTION("""COMPUTED_VALUE"""),0.0)</f>
        <v>0</v>
      </c>
      <c r="V153" s="3">
        <f>IFERROR(__xludf.DUMMYFUNCTION("""COMPUTED_VALUE"""),0.0)</f>
        <v>0</v>
      </c>
      <c r="W153" s="3">
        <f>IFERROR(__xludf.DUMMYFUNCTION("""COMPUTED_VALUE"""),0.0)</f>
        <v>0</v>
      </c>
      <c r="X153" s="3">
        <f>IFERROR(__xludf.DUMMYFUNCTION("""COMPUTED_VALUE"""),0.0)</f>
        <v>0</v>
      </c>
      <c r="Y153" s="3">
        <f>IFERROR(__xludf.DUMMYFUNCTION("""COMPUTED_VALUE"""),0.0)</f>
        <v>0</v>
      </c>
      <c r="Z153" s="3">
        <f>IFERROR(__xludf.DUMMYFUNCTION("""COMPUTED_VALUE"""),0.0)</f>
        <v>0</v>
      </c>
      <c r="AA153" s="3">
        <f>IFERROR(__xludf.DUMMYFUNCTION("""COMPUTED_VALUE"""),0.0)</f>
        <v>0</v>
      </c>
      <c r="AB153" s="3">
        <f>IFERROR(__xludf.DUMMYFUNCTION("""COMPUTED_VALUE"""),0.0)</f>
        <v>0</v>
      </c>
      <c r="AC153" s="3">
        <f>IFERROR(__xludf.DUMMYFUNCTION("""COMPUTED_VALUE"""),0.0)</f>
        <v>0</v>
      </c>
      <c r="AD153" s="3">
        <f>IFERROR(__xludf.DUMMYFUNCTION("""COMPUTED_VALUE"""),0.0)</f>
        <v>0</v>
      </c>
      <c r="AE153" s="3">
        <f>IFERROR(__xludf.DUMMYFUNCTION("""COMPUTED_VALUE"""),0.0)</f>
        <v>0</v>
      </c>
      <c r="AF153" s="3">
        <f>IFERROR(__xludf.DUMMYFUNCTION("""COMPUTED_VALUE"""),0.0)</f>
        <v>0</v>
      </c>
      <c r="AG153" s="3">
        <f>IFERROR(__xludf.DUMMYFUNCTION("""COMPUTED_VALUE"""),0.0)</f>
        <v>0</v>
      </c>
      <c r="AH153" s="3">
        <f>IFERROR(__xludf.DUMMYFUNCTION("""COMPUTED_VALUE"""),0.0)</f>
        <v>0</v>
      </c>
      <c r="AI153" s="3">
        <f>IFERROR(__xludf.DUMMYFUNCTION("""COMPUTED_VALUE"""),0.0)</f>
        <v>0</v>
      </c>
      <c r="AJ153" s="3">
        <f>IFERROR(__xludf.DUMMYFUNCTION("""COMPUTED_VALUE"""),0.0)</f>
        <v>0</v>
      </c>
      <c r="AK153" s="3">
        <f>IFERROR(__xludf.DUMMYFUNCTION("""COMPUTED_VALUE"""),0.0)</f>
        <v>0</v>
      </c>
      <c r="AL153" s="3">
        <f>IFERROR(__xludf.DUMMYFUNCTION("""COMPUTED_VALUE"""),0.0)</f>
        <v>0</v>
      </c>
      <c r="AM153" s="3">
        <f>IFERROR(__xludf.DUMMYFUNCTION("""COMPUTED_VALUE"""),0.0)</f>
        <v>0</v>
      </c>
      <c r="AN153" s="3">
        <f>IFERROR(__xludf.DUMMYFUNCTION("""COMPUTED_VALUE"""),0.0)</f>
        <v>0</v>
      </c>
      <c r="AO153" s="3">
        <f>IFERROR(__xludf.DUMMYFUNCTION("""COMPUTED_VALUE"""),0.0)</f>
        <v>0</v>
      </c>
      <c r="AP153" s="3">
        <f>IFERROR(__xludf.DUMMYFUNCTION("""COMPUTED_VALUE"""),0.0)</f>
        <v>0</v>
      </c>
      <c r="AQ153" s="3">
        <f>IFERROR(__xludf.DUMMYFUNCTION("""COMPUTED_VALUE"""),0.0)</f>
        <v>0</v>
      </c>
      <c r="AR153" s="3">
        <f>IFERROR(__xludf.DUMMYFUNCTION("""COMPUTED_VALUE"""),0.0)</f>
        <v>0</v>
      </c>
      <c r="AS153" s="3">
        <f>IFERROR(__xludf.DUMMYFUNCTION("""COMPUTED_VALUE"""),0.0)</f>
        <v>0</v>
      </c>
      <c r="AT153" s="3">
        <f>IFERROR(__xludf.DUMMYFUNCTION("""COMPUTED_VALUE"""),0.0)</f>
        <v>0</v>
      </c>
      <c r="AU153" s="3">
        <f>IFERROR(__xludf.DUMMYFUNCTION("""COMPUTED_VALUE"""),0.0)</f>
        <v>0</v>
      </c>
      <c r="AV153" s="3">
        <f>IFERROR(__xludf.DUMMYFUNCTION("""COMPUTED_VALUE"""),0.0)</f>
        <v>0</v>
      </c>
      <c r="AW153" s="3">
        <f>IFERROR(__xludf.DUMMYFUNCTION("""COMPUTED_VALUE"""),0.0)</f>
        <v>0</v>
      </c>
      <c r="AX153" s="3">
        <f>IFERROR(__xludf.DUMMYFUNCTION("""COMPUTED_VALUE"""),0.0)</f>
        <v>0</v>
      </c>
      <c r="AY153" s="3">
        <f>IFERROR(__xludf.DUMMYFUNCTION("""COMPUTED_VALUE"""),0.0)</f>
        <v>0</v>
      </c>
      <c r="AZ153" s="3">
        <f>IFERROR(__xludf.DUMMYFUNCTION("""COMPUTED_VALUE"""),0.0)</f>
        <v>0</v>
      </c>
      <c r="BA153" s="3">
        <f>IFERROR(__xludf.DUMMYFUNCTION("""COMPUTED_VALUE"""),0.0)</f>
        <v>0</v>
      </c>
      <c r="BB153" s="3">
        <f>IFERROR(__xludf.DUMMYFUNCTION("""COMPUTED_VALUE"""),0.0)</f>
        <v>0</v>
      </c>
      <c r="BC153" s="3">
        <f>IFERROR(__xludf.DUMMYFUNCTION("""COMPUTED_VALUE"""),0.0)</f>
        <v>0</v>
      </c>
      <c r="BD153" s="3">
        <f>IFERROR(__xludf.DUMMYFUNCTION("""COMPUTED_VALUE"""),1.0)</f>
        <v>1</v>
      </c>
      <c r="BE153" s="3">
        <f>IFERROR(__xludf.DUMMYFUNCTION("""COMPUTED_VALUE"""),1.0)</f>
        <v>1</v>
      </c>
      <c r="BF153" s="3">
        <f>IFERROR(__xludf.DUMMYFUNCTION("""COMPUTED_VALUE"""),1.0)</f>
        <v>1</v>
      </c>
      <c r="BG153" s="3">
        <f>IFERROR(__xludf.DUMMYFUNCTION("""COMPUTED_VALUE"""),2.0)</f>
        <v>2</v>
      </c>
      <c r="BH153" s="3">
        <f>IFERROR(__xludf.DUMMYFUNCTION("""COMPUTED_VALUE"""),2.0)</f>
        <v>2</v>
      </c>
      <c r="BI153" s="3">
        <f>IFERROR(__xludf.DUMMYFUNCTION("""COMPUTED_VALUE"""),2.0)</f>
        <v>2</v>
      </c>
      <c r="BJ153" s="3">
        <f>IFERROR(__xludf.DUMMYFUNCTION("""COMPUTED_VALUE"""),2.0)</f>
        <v>2</v>
      </c>
      <c r="BK153" s="3">
        <f>IFERROR(__xludf.DUMMYFUNCTION("""COMPUTED_VALUE"""),2.0)</f>
        <v>2</v>
      </c>
      <c r="BL153" s="3">
        <f>IFERROR(__xludf.DUMMYFUNCTION("""COMPUTED_VALUE"""),2.0)</f>
        <v>2</v>
      </c>
      <c r="BM153" s="3">
        <f>IFERROR(__xludf.DUMMYFUNCTION("""COMPUTED_VALUE"""),2.0)</f>
        <v>2</v>
      </c>
      <c r="BN153" s="3">
        <f>IFERROR(__xludf.DUMMYFUNCTION("""COMPUTED_VALUE"""),2.0)</f>
        <v>2</v>
      </c>
      <c r="BO153" s="3">
        <f>IFERROR(__xludf.DUMMYFUNCTION("""COMPUTED_VALUE"""),2.0)</f>
        <v>2</v>
      </c>
      <c r="BP153" s="3">
        <f>IFERROR(__xludf.DUMMYFUNCTION("""COMPUTED_VALUE"""),2.0)</f>
        <v>2</v>
      </c>
      <c r="BQ153" s="3">
        <f>IFERROR(__xludf.DUMMYFUNCTION("""COMPUTED_VALUE"""),2.0)</f>
        <v>2</v>
      </c>
      <c r="BR153" s="3">
        <f>IFERROR(__xludf.DUMMYFUNCTION("""COMPUTED_VALUE"""),2.0)</f>
        <v>2</v>
      </c>
      <c r="BS153" s="3">
        <f>IFERROR(__xludf.DUMMYFUNCTION("""COMPUTED_VALUE"""),2.0)</f>
        <v>2</v>
      </c>
      <c r="BT153" s="3">
        <f>IFERROR(__xludf.DUMMYFUNCTION("""COMPUTED_VALUE"""),2.0)</f>
        <v>2</v>
      </c>
      <c r="BU153" s="3">
        <f>IFERROR(__xludf.DUMMYFUNCTION("""COMPUTED_VALUE"""),2.0)</f>
        <v>2</v>
      </c>
      <c r="BV153" s="3">
        <f>IFERROR(__xludf.DUMMYFUNCTION("""COMPUTED_VALUE"""),2.0)</f>
        <v>2</v>
      </c>
      <c r="BW153" s="3">
        <f>IFERROR(__xludf.DUMMYFUNCTION("""COMPUTED_VALUE"""),2.0)</f>
        <v>2</v>
      </c>
      <c r="BX153" s="3">
        <f>IFERROR(__xludf.DUMMYFUNCTION("""COMPUTED_VALUE"""),2.0)</f>
        <v>2</v>
      </c>
      <c r="BY153" s="3">
        <f>IFERROR(__xludf.DUMMYFUNCTION("""COMPUTED_VALUE"""),2.0)</f>
        <v>2</v>
      </c>
      <c r="BZ153" s="3">
        <f>IFERROR(__xludf.DUMMYFUNCTION("""COMPUTED_VALUE"""),2.0)</f>
        <v>2</v>
      </c>
      <c r="CA153" s="3">
        <f>IFERROR(__xludf.DUMMYFUNCTION("""COMPUTED_VALUE"""),5.0)</f>
        <v>5</v>
      </c>
      <c r="CB153" s="3">
        <f>IFERROR(__xludf.DUMMYFUNCTION("""COMPUTED_VALUE"""),5.0)</f>
        <v>5</v>
      </c>
    </row>
    <row r="154">
      <c r="A154" s="3" t="str">
        <f>IFERROR(__xludf.DUMMYFUNCTION("""COMPUTED_VALUE"""),"")</f>
        <v/>
      </c>
      <c r="B154" s="3" t="str">
        <f>IFERROR(__xludf.DUMMYFUNCTION("""COMPUTED_VALUE"""),"Mauritania")</f>
        <v>Mauritania</v>
      </c>
      <c r="C154" s="3">
        <f>IFERROR(__xludf.DUMMYFUNCTION("""COMPUTED_VALUE"""),21.0079)</f>
        <v>21.0079</v>
      </c>
      <c r="D154" s="3">
        <f>IFERROR(__xludf.DUMMYFUNCTION("""COMPUTED_VALUE"""),10.9408)</f>
        <v>10.9408</v>
      </c>
      <c r="E154" s="3">
        <f>IFERROR(__xludf.DUMMYFUNCTION("""COMPUTED_VALUE"""),0.0)</f>
        <v>0</v>
      </c>
      <c r="F154" s="3">
        <f>IFERROR(__xludf.DUMMYFUNCTION("""COMPUTED_VALUE"""),0.0)</f>
        <v>0</v>
      </c>
      <c r="G154" s="3">
        <f>IFERROR(__xludf.DUMMYFUNCTION("""COMPUTED_VALUE"""),0.0)</f>
        <v>0</v>
      </c>
      <c r="H154" s="3">
        <f>IFERROR(__xludf.DUMMYFUNCTION("""COMPUTED_VALUE"""),0.0)</f>
        <v>0</v>
      </c>
      <c r="I154" s="3">
        <f>IFERROR(__xludf.DUMMYFUNCTION("""COMPUTED_VALUE"""),0.0)</f>
        <v>0</v>
      </c>
      <c r="J154" s="3">
        <f>IFERROR(__xludf.DUMMYFUNCTION("""COMPUTED_VALUE"""),0.0)</f>
        <v>0</v>
      </c>
      <c r="K154" s="3">
        <f>IFERROR(__xludf.DUMMYFUNCTION("""COMPUTED_VALUE"""),0.0)</f>
        <v>0</v>
      </c>
      <c r="L154" s="3">
        <f>IFERROR(__xludf.DUMMYFUNCTION("""COMPUTED_VALUE"""),0.0)</f>
        <v>0</v>
      </c>
      <c r="M154" s="3">
        <f>IFERROR(__xludf.DUMMYFUNCTION("""COMPUTED_VALUE"""),0.0)</f>
        <v>0</v>
      </c>
      <c r="N154" s="3">
        <f>IFERROR(__xludf.DUMMYFUNCTION("""COMPUTED_VALUE"""),0.0)</f>
        <v>0</v>
      </c>
      <c r="O154" s="3">
        <f>IFERROR(__xludf.DUMMYFUNCTION("""COMPUTED_VALUE"""),0.0)</f>
        <v>0</v>
      </c>
      <c r="P154" s="3">
        <f>IFERROR(__xludf.DUMMYFUNCTION("""COMPUTED_VALUE"""),0.0)</f>
        <v>0</v>
      </c>
      <c r="Q154" s="3">
        <f>IFERROR(__xludf.DUMMYFUNCTION("""COMPUTED_VALUE"""),0.0)</f>
        <v>0</v>
      </c>
      <c r="R154" s="3">
        <f>IFERROR(__xludf.DUMMYFUNCTION("""COMPUTED_VALUE"""),0.0)</f>
        <v>0</v>
      </c>
      <c r="S154" s="3">
        <f>IFERROR(__xludf.DUMMYFUNCTION("""COMPUTED_VALUE"""),0.0)</f>
        <v>0</v>
      </c>
      <c r="T154" s="3">
        <f>IFERROR(__xludf.DUMMYFUNCTION("""COMPUTED_VALUE"""),0.0)</f>
        <v>0</v>
      </c>
      <c r="U154" s="3">
        <f>IFERROR(__xludf.DUMMYFUNCTION("""COMPUTED_VALUE"""),0.0)</f>
        <v>0</v>
      </c>
      <c r="V154" s="3">
        <f>IFERROR(__xludf.DUMMYFUNCTION("""COMPUTED_VALUE"""),0.0)</f>
        <v>0</v>
      </c>
      <c r="W154" s="3">
        <f>IFERROR(__xludf.DUMMYFUNCTION("""COMPUTED_VALUE"""),0.0)</f>
        <v>0</v>
      </c>
      <c r="X154" s="3">
        <f>IFERROR(__xludf.DUMMYFUNCTION("""COMPUTED_VALUE"""),0.0)</f>
        <v>0</v>
      </c>
      <c r="Y154" s="3">
        <f>IFERROR(__xludf.DUMMYFUNCTION("""COMPUTED_VALUE"""),0.0)</f>
        <v>0</v>
      </c>
      <c r="Z154" s="3">
        <f>IFERROR(__xludf.DUMMYFUNCTION("""COMPUTED_VALUE"""),0.0)</f>
        <v>0</v>
      </c>
      <c r="AA154" s="3">
        <f>IFERROR(__xludf.DUMMYFUNCTION("""COMPUTED_VALUE"""),0.0)</f>
        <v>0</v>
      </c>
      <c r="AB154" s="3">
        <f>IFERROR(__xludf.DUMMYFUNCTION("""COMPUTED_VALUE"""),0.0)</f>
        <v>0</v>
      </c>
      <c r="AC154" s="3">
        <f>IFERROR(__xludf.DUMMYFUNCTION("""COMPUTED_VALUE"""),0.0)</f>
        <v>0</v>
      </c>
      <c r="AD154" s="3">
        <f>IFERROR(__xludf.DUMMYFUNCTION("""COMPUTED_VALUE"""),0.0)</f>
        <v>0</v>
      </c>
      <c r="AE154" s="3">
        <f>IFERROR(__xludf.DUMMYFUNCTION("""COMPUTED_VALUE"""),0.0)</f>
        <v>0</v>
      </c>
      <c r="AF154" s="3">
        <f>IFERROR(__xludf.DUMMYFUNCTION("""COMPUTED_VALUE"""),0.0)</f>
        <v>0</v>
      </c>
      <c r="AG154" s="3">
        <f>IFERROR(__xludf.DUMMYFUNCTION("""COMPUTED_VALUE"""),0.0)</f>
        <v>0</v>
      </c>
      <c r="AH154" s="3">
        <f>IFERROR(__xludf.DUMMYFUNCTION("""COMPUTED_VALUE"""),0.0)</f>
        <v>0</v>
      </c>
      <c r="AI154" s="3">
        <f>IFERROR(__xludf.DUMMYFUNCTION("""COMPUTED_VALUE"""),0.0)</f>
        <v>0</v>
      </c>
      <c r="AJ154" s="3">
        <f>IFERROR(__xludf.DUMMYFUNCTION("""COMPUTED_VALUE"""),0.0)</f>
        <v>0</v>
      </c>
      <c r="AK154" s="3">
        <f>IFERROR(__xludf.DUMMYFUNCTION("""COMPUTED_VALUE"""),0.0)</f>
        <v>0</v>
      </c>
      <c r="AL154" s="3">
        <f>IFERROR(__xludf.DUMMYFUNCTION("""COMPUTED_VALUE"""),0.0)</f>
        <v>0</v>
      </c>
      <c r="AM154" s="3">
        <f>IFERROR(__xludf.DUMMYFUNCTION("""COMPUTED_VALUE"""),0.0)</f>
        <v>0</v>
      </c>
      <c r="AN154" s="3">
        <f>IFERROR(__xludf.DUMMYFUNCTION("""COMPUTED_VALUE"""),0.0)</f>
        <v>0</v>
      </c>
      <c r="AO154" s="3">
        <f>IFERROR(__xludf.DUMMYFUNCTION("""COMPUTED_VALUE"""),0.0)</f>
        <v>0</v>
      </c>
      <c r="AP154" s="3">
        <f>IFERROR(__xludf.DUMMYFUNCTION("""COMPUTED_VALUE"""),0.0)</f>
        <v>0</v>
      </c>
      <c r="AQ154" s="3">
        <f>IFERROR(__xludf.DUMMYFUNCTION("""COMPUTED_VALUE"""),0.0)</f>
        <v>0</v>
      </c>
      <c r="AR154" s="3">
        <f>IFERROR(__xludf.DUMMYFUNCTION("""COMPUTED_VALUE"""),0.0)</f>
        <v>0</v>
      </c>
      <c r="AS154" s="3">
        <f>IFERROR(__xludf.DUMMYFUNCTION("""COMPUTED_VALUE"""),0.0)</f>
        <v>0</v>
      </c>
      <c r="AT154" s="3">
        <f>IFERROR(__xludf.DUMMYFUNCTION("""COMPUTED_VALUE"""),0.0)</f>
        <v>0</v>
      </c>
      <c r="AU154" s="3">
        <f>IFERROR(__xludf.DUMMYFUNCTION("""COMPUTED_VALUE"""),0.0)</f>
        <v>0</v>
      </c>
      <c r="AV154" s="3">
        <f>IFERROR(__xludf.DUMMYFUNCTION("""COMPUTED_VALUE"""),0.0)</f>
        <v>0</v>
      </c>
      <c r="AW154" s="3">
        <f>IFERROR(__xludf.DUMMYFUNCTION("""COMPUTED_VALUE"""),0.0)</f>
        <v>0</v>
      </c>
      <c r="AX154" s="3">
        <f>IFERROR(__xludf.DUMMYFUNCTION("""COMPUTED_VALUE"""),0.0)</f>
        <v>0</v>
      </c>
      <c r="AY154" s="3">
        <f>IFERROR(__xludf.DUMMYFUNCTION("""COMPUTED_VALUE"""),0.0)</f>
        <v>0</v>
      </c>
      <c r="AZ154" s="3">
        <f>IFERROR(__xludf.DUMMYFUNCTION("""COMPUTED_VALUE"""),0.0)</f>
        <v>0</v>
      </c>
      <c r="BA154" s="3">
        <f>IFERROR(__xludf.DUMMYFUNCTION("""COMPUTED_VALUE"""),0.0)</f>
        <v>0</v>
      </c>
      <c r="BB154" s="3">
        <f>IFERROR(__xludf.DUMMYFUNCTION("""COMPUTED_VALUE"""),0.0)</f>
        <v>0</v>
      </c>
      <c r="BC154" s="3">
        <f>IFERROR(__xludf.DUMMYFUNCTION("""COMPUTED_VALUE"""),0.0)</f>
        <v>0</v>
      </c>
      <c r="BD154" s="3">
        <f>IFERROR(__xludf.DUMMYFUNCTION("""COMPUTED_VALUE"""),0.0)</f>
        <v>0</v>
      </c>
      <c r="BE154" s="3">
        <f>IFERROR(__xludf.DUMMYFUNCTION("""COMPUTED_VALUE"""),0.0)</f>
        <v>0</v>
      </c>
      <c r="BF154" s="3">
        <f>IFERROR(__xludf.DUMMYFUNCTION("""COMPUTED_VALUE"""),0.0)</f>
        <v>0</v>
      </c>
      <c r="BG154" s="3">
        <f>IFERROR(__xludf.DUMMYFUNCTION("""COMPUTED_VALUE"""),0.0)</f>
        <v>0</v>
      </c>
      <c r="BH154" s="3">
        <f>IFERROR(__xludf.DUMMYFUNCTION("""COMPUTED_VALUE"""),0.0)</f>
        <v>0</v>
      </c>
      <c r="BI154" s="3">
        <f>IFERROR(__xludf.DUMMYFUNCTION("""COMPUTED_VALUE"""),0.0)</f>
        <v>0</v>
      </c>
      <c r="BJ154" s="3">
        <f>IFERROR(__xludf.DUMMYFUNCTION("""COMPUTED_VALUE"""),0.0)</f>
        <v>0</v>
      </c>
      <c r="BK154" s="3">
        <f>IFERROR(__xludf.DUMMYFUNCTION("""COMPUTED_VALUE"""),0.0)</f>
        <v>0</v>
      </c>
      <c r="BL154" s="3">
        <f>IFERROR(__xludf.DUMMYFUNCTION("""COMPUTED_VALUE"""),0.0)</f>
        <v>0</v>
      </c>
      <c r="BM154" s="3">
        <f>IFERROR(__xludf.DUMMYFUNCTION("""COMPUTED_VALUE"""),0.0)</f>
        <v>0</v>
      </c>
      <c r="BN154" s="3">
        <f>IFERROR(__xludf.DUMMYFUNCTION("""COMPUTED_VALUE"""),0.0)</f>
        <v>0</v>
      </c>
      <c r="BO154" s="3">
        <f>IFERROR(__xludf.DUMMYFUNCTION("""COMPUTED_VALUE"""),0.0)</f>
        <v>0</v>
      </c>
      <c r="BP154" s="3">
        <f>IFERROR(__xludf.DUMMYFUNCTION("""COMPUTED_VALUE"""),0.0)</f>
        <v>0</v>
      </c>
      <c r="BQ154" s="3">
        <f>IFERROR(__xludf.DUMMYFUNCTION("""COMPUTED_VALUE"""),0.0)</f>
        <v>0</v>
      </c>
      <c r="BR154" s="3">
        <f>IFERROR(__xludf.DUMMYFUNCTION("""COMPUTED_VALUE"""),0.0)</f>
        <v>0</v>
      </c>
      <c r="BS154" s="3">
        <f>IFERROR(__xludf.DUMMYFUNCTION("""COMPUTED_VALUE"""),0.0)</f>
        <v>0</v>
      </c>
      <c r="BT154" s="3">
        <f>IFERROR(__xludf.DUMMYFUNCTION("""COMPUTED_VALUE"""),2.0)</f>
        <v>2</v>
      </c>
      <c r="BU154" s="3">
        <f>IFERROR(__xludf.DUMMYFUNCTION("""COMPUTED_VALUE"""),2.0)</f>
        <v>2</v>
      </c>
      <c r="BV154" s="3">
        <f>IFERROR(__xludf.DUMMYFUNCTION("""COMPUTED_VALUE"""),2.0)</f>
        <v>2</v>
      </c>
      <c r="BW154" s="3">
        <f>IFERROR(__xludf.DUMMYFUNCTION("""COMPUTED_VALUE"""),2.0)</f>
        <v>2</v>
      </c>
      <c r="BX154" s="3">
        <f>IFERROR(__xludf.DUMMYFUNCTION("""COMPUTED_VALUE"""),2.0)</f>
        <v>2</v>
      </c>
      <c r="BY154" s="3">
        <f>IFERROR(__xludf.DUMMYFUNCTION("""COMPUTED_VALUE"""),2.0)</f>
        <v>2</v>
      </c>
      <c r="BZ154" s="3">
        <f>IFERROR(__xludf.DUMMYFUNCTION("""COMPUTED_VALUE"""),2.0)</f>
        <v>2</v>
      </c>
      <c r="CA154" s="3">
        <f>IFERROR(__xludf.DUMMYFUNCTION("""COMPUTED_VALUE"""),2.0)</f>
        <v>2</v>
      </c>
      <c r="CB154" s="3">
        <f>IFERROR(__xludf.DUMMYFUNCTION("""COMPUTED_VALUE"""),2.0)</f>
        <v>2</v>
      </c>
    </row>
    <row r="155">
      <c r="A155" s="3" t="str">
        <f>IFERROR(__xludf.DUMMYFUNCTION("""COMPUTED_VALUE"""),"")</f>
        <v/>
      </c>
      <c r="B155" s="3" t="str">
        <f>IFERROR(__xludf.DUMMYFUNCTION("""COMPUTED_VALUE"""),"Mauritius")</f>
        <v>Mauritius</v>
      </c>
      <c r="C155" s="3">
        <f>IFERROR(__xludf.DUMMYFUNCTION("""COMPUTED_VALUE"""),-20.2)</f>
        <v>-20.2</v>
      </c>
      <c r="D155" s="3">
        <f>IFERROR(__xludf.DUMMYFUNCTION("""COMPUTED_VALUE"""),57.5)</f>
        <v>57.5</v>
      </c>
      <c r="E155" s="3">
        <f>IFERROR(__xludf.DUMMYFUNCTION("""COMPUTED_VALUE"""),0.0)</f>
        <v>0</v>
      </c>
      <c r="F155" s="3">
        <f>IFERROR(__xludf.DUMMYFUNCTION("""COMPUTED_VALUE"""),0.0)</f>
        <v>0</v>
      </c>
      <c r="G155" s="3">
        <f>IFERROR(__xludf.DUMMYFUNCTION("""COMPUTED_VALUE"""),0.0)</f>
        <v>0</v>
      </c>
      <c r="H155" s="3">
        <f>IFERROR(__xludf.DUMMYFUNCTION("""COMPUTED_VALUE"""),0.0)</f>
        <v>0</v>
      </c>
      <c r="I155" s="3">
        <f>IFERROR(__xludf.DUMMYFUNCTION("""COMPUTED_VALUE"""),0.0)</f>
        <v>0</v>
      </c>
      <c r="J155" s="3">
        <f>IFERROR(__xludf.DUMMYFUNCTION("""COMPUTED_VALUE"""),0.0)</f>
        <v>0</v>
      </c>
      <c r="K155" s="3">
        <f>IFERROR(__xludf.DUMMYFUNCTION("""COMPUTED_VALUE"""),0.0)</f>
        <v>0</v>
      </c>
      <c r="L155" s="3">
        <f>IFERROR(__xludf.DUMMYFUNCTION("""COMPUTED_VALUE"""),0.0)</f>
        <v>0</v>
      </c>
      <c r="M155" s="3">
        <f>IFERROR(__xludf.DUMMYFUNCTION("""COMPUTED_VALUE"""),0.0)</f>
        <v>0</v>
      </c>
      <c r="N155" s="3">
        <f>IFERROR(__xludf.DUMMYFUNCTION("""COMPUTED_VALUE"""),0.0)</f>
        <v>0</v>
      </c>
      <c r="O155" s="3">
        <f>IFERROR(__xludf.DUMMYFUNCTION("""COMPUTED_VALUE"""),0.0)</f>
        <v>0</v>
      </c>
      <c r="P155" s="3">
        <f>IFERROR(__xludf.DUMMYFUNCTION("""COMPUTED_VALUE"""),0.0)</f>
        <v>0</v>
      </c>
      <c r="Q155" s="3">
        <f>IFERROR(__xludf.DUMMYFUNCTION("""COMPUTED_VALUE"""),0.0)</f>
        <v>0</v>
      </c>
      <c r="R155" s="3">
        <f>IFERROR(__xludf.DUMMYFUNCTION("""COMPUTED_VALUE"""),0.0)</f>
        <v>0</v>
      </c>
      <c r="S155" s="3">
        <f>IFERROR(__xludf.DUMMYFUNCTION("""COMPUTED_VALUE"""),0.0)</f>
        <v>0</v>
      </c>
      <c r="T155" s="3">
        <f>IFERROR(__xludf.DUMMYFUNCTION("""COMPUTED_VALUE"""),0.0)</f>
        <v>0</v>
      </c>
      <c r="U155" s="3">
        <f>IFERROR(__xludf.DUMMYFUNCTION("""COMPUTED_VALUE"""),0.0)</f>
        <v>0</v>
      </c>
      <c r="V155" s="3">
        <f>IFERROR(__xludf.DUMMYFUNCTION("""COMPUTED_VALUE"""),0.0)</f>
        <v>0</v>
      </c>
      <c r="W155" s="3">
        <f>IFERROR(__xludf.DUMMYFUNCTION("""COMPUTED_VALUE"""),0.0)</f>
        <v>0</v>
      </c>
      <c r="X155" s="3">
        <f>IFERROR(__xludf.DUMMYFUNCTION("""COMPUTED_VALUE"""),0.0)</f>
        <v>0</v>
      </c>
      <c r="Y155" s="3">
        <f>IFERROR(__xludf.DUMMYFUNCTION("""COMPUTED_VALUE"""),0.0)</f>
        <v>0</v>
      </c>
      <c r="Z155" s="3">
        <f>IFERROR(__xludf.DUMMYFUNCTION("""COMPUTED_VALUE"""),0.0)</f>
        <v>0</v>
      </c>
      <c r="AA155" s="3">
        <f>IFERROR(__xludf.DUMMYFUNCTION("""COMPUTED_VALUE"""),0.0)</f>
        <v>0</v>
      </c>
      <c r="AB155" s="3">
        <f>IFERROR(__xludf.DUMMYFUNCTION("""COMPUTED_VALUE"""),0.0)</f>
        <v>0</v>
      </c>
      <c r="AC155" s="3">
        <f>IFERROR(__xludf.DUMMYFUNCTION("""COMPUTED_VALUE"""),0.0)</f>
        <v>0</v>
      </c>
      <c r="AD155" s="3">
        <f>IFERROR(__xludf.DUMMYFUNCTION("""COMPUTED_VALUE"""),0.0)</f>
        <v>0</v>
      </c>
      <c r="AE155" s="3">
        <f>IFERROR(__xludf.DUMMYFUNCTION("""COMPUTED_VALUE"""),0.0)</f>
        <v>0</v>
      </c>
      <c r="AF155" s="3">
        <f>IFERROR(__xludf.DUMMYFUNCTION("""COMPUTED_VALUE"""),0.0)</f>
        <v>0</v>
      </c>
      <c r="AG155" s="3">
        <f>IFERROR(__xludf.DUMMYFUNCTION("""COMPUTED_VALUE"""),0.0)</f>
        <v>0</v>
      </c>
      <c r="AH155" s="3">
        <f>IFERROR(__xludf.DUMMYFUNCTION("""COMPUTED_VALUE"""),0.0)</f>
        <v>0</v>
      </c>
      <c r="AI155" s="3">
        <f>IFERROR(__xludf.DUMMYFUNCTION("""COMPUTED_VALUE"""),0.0)</f>
        <v>0</v>
      </c>
      <c r="AJ155" s="3">
        <f>IFERROR(__xludf.DUMMYFUNCTION("""COMPUTED_VALUE"""),0.0)</f>
        <v>0</v>
      </c>
      <c r="AK155" s="3">
        <f>IFERROR(__xludf.DUMMYFUNCTION("""COMPUTED_VALUE"""),0.0)</f>
        <v>0</v>
      </c>
      <c r="AL155" s="3">
        <f>IFERROR(__xludf.DUMMYFUNCTION("""COMPUTED_VALUE"""),0.0)</f>
        <v>0</v>
      </c>
      <c r="AM155" s="3">
        <f>IFERROR(__xludf.DUMMYFUNCTION("""COMPUTED_VALUE"""),0.0)</f>
        <v>0</v>
      </c>
      <c r="AN155" s="3">
        <f>IFERROR(__xludf.DUMMYFUNCTION("""COMPUTED_VALUE"""),0.0)</f>
        <v>0</v>
      </c>
      <c r="AO155" s="3">
        <f>IFERROR(__xludf.DUMMYFUNCTION("""COMPUTED_VALUE"""),0.0)</f>
        <v>0</v>
      </c>
      <c r="AP155" s="3">
        <f>IFERROR(__xludf.DUMMYFUNCTION("""COMPUTED_VALUE"""),0.0)</f>
        <v>0</v>
      </c>
      <c r="AQ155" s="3">
        <f>IFERROR(__xludf.DUMMYFUNCTION("""COMPUTED_VALUE"""),0.0)</f>
        <v>0</v>
      </c>
      <c r="AR155" s="3">
        <f>IFERROR(__xludf.DUMMYFUNCTION("""COMPUTED_VALUE"""),0.0)</f>
        <v>0</v>
      </c>
      <c r="AS155" s="3">
        <f>IFERROR(__xludf.DUMMYFUNCTION("""COMPUTED_VALUE"""),0.0)</f>
        <v>0</v>
      </c>
      <c r="AT155" s="3">
        <f>IFERROR(__xludf.DUMMYFUNCTION("""COMPUTED_VALUE"""),0.0)</f>
        <v>0</v>
      </c>
      <c r="AU155" s="3">
        <f>IFERROR(__xludf.DUMMYFUNCTION("""COMPUTED_VALUE"""),0.0)</f>
        <v>0</v>
      </c>
      <c r="AV155" s="3">
        <f>IFERROR(__xludf.DUMMYFUNCTION("""COMPUTED_VALUE"""),0.0)</f>
        <v>0</v>
      </c>
      <c r="AW155" s="3">
        <f>IFERROR(__xludf.DUMMYFUNCTION("""COMPUTED_VALUE"""),0.0)</f>
        <v>0</v>
      </c>
      <c r="AX155" s="3">
        <f>IFERROR(__xludf.DUMMYFUNCTION("""COMPUTED_VALUE"""),0.0)</f>
        <v>0</v>
      </c>
      <c r="AY155" s="3">
        <f>IFERROR(__xludf.DUMMYFUNCTION("""COMPUTED_VALUE"""),0.0)</f>
        <v>0</v>
      </c>
      <c r="AZ155" s="3">
        <f>IFERROR(__xludf.DUMMYFUNCTION("""COMPUTED_VALUE"""),0.0)</f>
        <v>0</v>
      </c>
      <c r="BA155" s="3">
        <f>IFERROR(__xludf.DUMMYFUNCTION("""COMPUTED_VALUE"""),0.0)</f>
        <v>0</v>
      </c>
      <c r="BB155" s="3">
        <f>IFERROR(__xludf.DUMMYFUNCTION("""COMPUTED_VALUE"""),0.0)</f>
        <v>0</v>
      </c>
      <c r="BC155" s="3">
        <f>IFERROR(__xludf.DUMMYFUNCTION("""COMPUTED_VALUE"""),0.0)</f>
        <v>0</v>
      </c>
      <c r="BD155" s="3">
        <f>IFERROR(__xludf.DUMMYFUNCTION("""COMPUTED_VALUE"""),0.0)</f>
        <v>0</v>
      </c>
      <c r="BE155" s="3">
        <f>IFERROR(__xludf.DUMMYFUNCTION("""COMPUTED_VALUE"""),0.0)</f>
        <v>0</v>
      </c>
      <c r="BF155" s="3">
        <f>IFERROR(__xludf.DUMMYFUNCTION("""COMPUTED_VALUE"""),0.0)</f>
        <v>0</v>
      </c>
      <c r="BG155" s="3">
        <f>IFERROR(__xludf.DUMMYFUNCTION("""COMPUTED_VALUE"""),0.0)</f>
        <v>0</v>
      </c>
      <c r="BH155" s="3">
        <f>IFERROR(__xludf.DUMMYFUNCTION("""COMPUTED_VALUE"""),0.0)</f>
        <v>0</v>
      </c>
      <c r="BI155" s="3">
        <f>IFERROR(__xludf.DUMMYFUNCTION("""COMPUTED_VALUE"""),0.0)</f>
        <v>0</v>
      </c>
      <c r="BJ155" s="3">
        <f>IFERROR(__xludf.DUMMYFUNCTION("""COMPUTED_VALUE"""),0.0)</f>
        <v>0</v>
      </c>
      <c r="BK155" s="3">
        <f>IFERROR(__xludf.DUMMYFUNCTION("""COMPUTED_VALUE"""),0.0)</f>
        <v>0</v>
      </c>
      <c r="BL155" s="3">
        <f>IFERROR(__xludf.DUMMYFUNCTION("""COMPUTED_VALUE"""),0.0)</f>
        <v>0</v>
      </c>
      <c r="BM155" s="3">
        <f>IFERROR(__xludf.DUMMYFUNCTION("""COMPUTED_VALUE"""),0.0)</f>
        <v>0</v>
      </c>
      <c r="BN155" s="3">
        <f>IFERROR(__xludf.DUMMYFUNCTION("""COMPUTED_VALUE"""),0.0)</f>
        <v>0</v>
      </c>
      <c r="BO155" s="3">
        <f>IFERROR(__xludf.DUMMYFUNCTION("""COMPUTED_VALUE"""),0.0)</f>
        <v>0</v>
      </c>
      <c r="BP155" s="3">
        <f>IFERROR(__xludf.DUMMYFUNCTION("""COMPUTED_VALUE"""),0.0)</f>
        <v>0</v>
      </c>
      <c r="BQ155" s="3">
        <f>IFERROR(__xludf.DUMMYFUNCTION("""COMPUTED_VALUE"""),0.0)</f>
        <v>0</v>
      </c>
      <c r="BR155" s="3">
        <f>IFERROR(__xludf.DUMMYFUNCTION("""COMPUTED_VALUE"""),0.0)</f>
        <v>0</v>
      </c>
      <c r="BS155" s="3">
        <f>IFERROR(__xludf.DUMMYFUNCTION("""COMPUTED_VALUE"""),0.0)</f>
        <v>0</v>
      </c>
      <c r="BT155" s="3">
        <f>IFERROR(__xludf.DUMMYFUNCTION("""COMPUTED_VALUE"""),0.0)</f>
        <v>0</v>
      </c>
      <c r="BU155" s="3">
        <f>IFERROR(__xludf.DUMMYFUNCTION("""COMPUTED_VALUE"""),0.0)</f>
        <v>0</v>
      </c>
      <c r="BV155" s="3">
        <f>IFERROR(__xludf.DUMMYFUNCTION("""COMPUTED_VALUE"""),0.0)</f>
        <v>0</v>
      </c>
      <c r="BW155" s="3">
        <f>IFERROR(__xludf.DUMMYFUNCTION("""COMPUTED_VALUE"""),0.0)</f>
        <v>0</v>
      </c>
      <c r="BX155" s="3">
        <f>IFERROR(__xludf.DUMMYFUNCTION("""COMPUTED_VALUE"""),0.0)</f>
        <v>0</v>
      </c>
      <c r="BY155" s="3">
        <f>IFERROR(__xludf.DUMMYFUNCTION("""COMPUTED_VALUE"""),0.0)</f>
        <v>0</v>
      </c>
      <c r="BZ155" s="3">
        <f>IFERROR(__xludf.DUMMYFUNCTION("""COMPUTED_VALUE"""),7.0)</f>
        <v>7</v>
      </c>
      <c r="CA155" s="3">
        <f>IFERROR(__xludf.DUMMYFUNCTION("""COMPUTED_VALUE"""),7.0)</f>
        <v>7</v>
      </c>
      <c r="CB155" s="3">
        <f>IFERROR(__xludf.DUMMYFUNCTION("""COMPUTED_VALUE"""),7.0)</f>
        <v>7</v>
      </c>
    </row>
    <row r="156">
      <c r="A156" s="3" t="str">
        <f>IFERROR(__xludf.DUMMYFUNCTION("""COMPUTED_VALUE"""),"")</f>
        <v/>
      </c>
      <c r="B156" s="3" t="str">
        <f>IFERROR(__xludf.DUMMYFUNCTION("""COMPUTED_VALUE"""),"Mexico")</f>
        <v>Mexico</v>
      </c>
      <c r="C156" s="3">
        <f>IFERROR(__xludf.DUMMYFUNCTION("""COMPUTED_VALUE"""),23.6345)</f>
        <v>23.6345</v>
      </c>
      <c r="D156" s="3">
        <f>IFERROR(__xludf.DUMMYFUNCTION("""COMPUTED_VALUE"""),-102.5528)</f>
        <v>-102.5528</v>
      </c>
      <c r="E156" s="3">
        <f>IFERROR(__xludf.DUMMYFUNCTION("""COMPUTED_VALUE"""),0.0)</f>
        <v>0</v>
      </c>
      <c r="F156" s="3">
        <f>IFERROR(__xludf.DUMMYFUNCTION("""COMPUTED_VALUE"""),0.0)</f>
        <v>0</v>
      </c>
      <c r="G156" s="3">
        <f>IFERROR(__xludf.DUMMYFUNCTION("""COMPUTED_VALUE"""),0.0)</f>
        <v>0</v>
      </c>
      <c r="H156" s="3">
        <f>IFERROR(__xludf.DUMMYFUNCTION("""COMPUTED_VALUE"""),0.0)</f>
        <v>0</v>
      </c>
      <c r="I156" s="3">
        <f>IFERROR(__xludf.DUMMYFUNCTION("""COMPUTED_VALUE"""),0.0)</f>
        <v>0</v>
      </c>
      <c r="J156" s="3">
        <f>IFERROR(__xludf.DUMMYFUNCTION("""COMPUTED_VALUE"""),0.0)</f>
        <v>0</v>
      </c>
      <c r="K156" s="3">
        <f>IFERROR(__xludf.DUMMYFUNCTION("""COMPUTED_VALUE"""),0.0)</f>
        <v>0</v>
      </c>
      <c r="L156" s="3">
        <f>IFERROR(__xludf.DUMMYFUNCTION("""COMPUTED_VALUE"""),0.0)</f>
        <v>0</v>
      </c>
      <c r="M156" s="3">
        <f>IFERROR(__xludf.DUMMYFUNCTION("""COMPUTED_VALUE"""),0.0)</f>
        <v>0</v>
      </c>
      <c r="N156" s="3">
        <f>IFERROR(__xludf.DUMMYFUNCTION("""COMPUTED_VALUE"""),0.0)</f>
        <v>0</v>
      </c>
      <c r="O156" s="3">
        <f>IFERROR(__xludf.DUMMYFUNCTION("""COMPUTED_VALUE"""),0.0)</f>
        <v>0</v>
      </c>
      <c r="P156" s="3">
        <f>IFERROR(__xludf.DUMMYFUNCTION("""COMPUTED_VALUE"""),0.0)</f>
        <v>0</v>
      </c>
      <c r="Q156" s="3">
        <f>IFERROR(__xludf.DUMMYFUNCTION("""COMPUTED_VALUE"""),0.0)</f>
        <v>0</v>
      </c>
      <c r="R156" s="3">
        <f>IFERROR(__xludf.DUMMYFUNCTION("""COMPUTED_VALUE"""),0.0)</f>
        <v>0</v>
      </c>
      <c r="S156" s="3">
        <f>IFERROR(__xludf.DUMMYFUNCTION("""COMPUTED_VALUE"""),0.0)</f>
        <v>0</v>
      </c>
      <c r="T156" s="3">
        <f>IFERROR(__xludf.DUMMYFUNCTION("""COMPUTED_VALUE"""),0.0)</f>
        <v>0</v>
      </c>
      <c r="U156" s="3">
        <f>IFERROR(__xludf.DUMMYFUNCTION("""COMPUTED_VALUE"""),0.0)</f>
        <v>0</v>
      </c>
      <c r="V156" s="3">
        <f>IFERROR(__xludf.DUMMYFUNCTION("""COMPUTED_VALUE"""),0.0)</f>
        <v>0</v>
      </c>
      <c r="W156" s="3">
        <f>IFERROR(__xludf.DUMMYFUNCTION("""COMPUTED_VALUE"""),0.0)</f>
        <v>0</v>
      </c>
      <c r="X156" s="3">
        <f>IFERROR(__xludf.DUMMYFUNCTION("""COMPUTED_VALUE"""),0.0)</f>
        <v>0</v>
      </c>
      <c r="Y156" s="3">
        <f>IFERROR(__xludf.DUMMYFUNCTION("""COMPUTED_VALUE"""),0.0)</f>
        <v>0</v>
      </c>
      <c r="Z156" s="3">
        <f>IFERROR(__xludf.DUMMYFUNCTION("""COMPUTED_VALUE"""),0.0)</f>
        <v>0</v>
      </c>
      <c r="AA156" s="3">
        <f>IFERROR(__xludf.DUMMYFUNCTION("""COMPUTED_VALUE"""),0.0)</f>
        <v>0</v>
      </c>
      <c r="AB156" s="3">
        <f>IFERROR(__xludf.DUMMYFUNCTION("""COMPUTED_VALUE"""),0.0)</f>
        <v>0</v>
      </c>
      <c r="AC156" s="3">
        <f>IFERROR(__xludf.DUMMYFUNCTION("""COMPUTED_VALUE"""),0.0)</f>
        <v>0</v>
      </c>
      <c r="AD156" s="3">
        <f>IFERROR(__xludf.DUMMYFUNCTION("""COMPUTED_VALUE"""),0.0)</f>
        <v>0</v>
      </c>
      <c r="AE156" s="3">
        <f>IFERROR(__xludf.DUMMYFUNCTION("""COMPUTED_VALUE"""),0.0)</f>
        <v>0</v>
      </c>
      <c r="AF156" s="3">
        <f>IFERROR(__xludf.DUMMYFUNCTION("""COMPUTED_VALUE"""),0.0)</f>
        <v>0</v>
      </c>
      <c r="AG156" s="3">
        <f>IFERROR(__xludf.DUMMYFUNCTION("""COMPUTED_VALUE"""),0.0)</f>
        <v>0</v>
      </c>
      <c r="AH156" s="3">
        <f>IFERROR(__xludf.DUMMYFUNCTION("""COMPUTED_VALUE"""),0.0)</f>
        <v>0</v>
      </c>
      <c r="AI156" s="3">
        <f>IFERROR(__xludf.DUMMYFUNCTION("""COMPUTED_VALUE"""),0.0)</f>
        <v>0</v>
      </c>
      <c r="AJ156" s="3">
        <f>IFERROR(__xludf.DUMMYFUNCTION("""COMPUTED_VALUE"""),0.0)</f>
        <v>0</v>
      </c>
      <c r="AK156" s="3">
        <f>IFERROR(__xludf.DUMMYFUNCTION("""COMPUTED_VALUE"""),0.0)</f>
        <v>0</v>
      </c>
      <c r="AL156" s="3">
        <f>IFERROR(__xludf.DUMMYFUNCTION("""COMPUTED_VALUE"""),0.0)</f>
        <v>0</v>
      </c>
      <c r="AM156" s="3">
        <f>IFERROR(__xludf.DUMMYFUNCTION("""COMPUTED_VALUE"""),0.0)</f>
        <v>0</v>
      </c>
      <c r="AN156" s="3">
        <f>IFERROR(__xludf.DUMMYFUNCTION("""COMPUTED_VALUE"""),0.0)</f>
        <v>0</v>
      </c>
      <c r="AO156" s="3">
        <f>IFERROR(__xludf.DUMMYFUNCTION("""COMPUTED_VALUE"""),0.0)</f>
        <v>0</v>
      </c>
      <c r="AP156" s="3">
        <f>IFERROR(__xludf.DUMMYFUNCTION("""COMPUTED_VALUE"""),0.0)</f>
        <v>0</v>
      </c>
      <c r="AQ156" s="3">
        <f>IFERROR(__xludf.DUMMYFUNCTION("""COMPUTED_VALUE"""),0.0)</f>
        <v>0</v>
      </c>
      <c r="AR156" s="3">
        <f>IFERROR(__xludf.DUMMYFUNCTION("""COMPUTED_VALUE"""),0.0)</f>
        <v>0</v>
      </c>
      <c r="AS156" s="3">
        <f>IFERROR(__xludf.DUMMYFUNCTION("""COMPUTED_VALUE"""),0.0)</f>
        <v>0</v>
      </c>
      <c r="AT156" s="3">
        <f>IFERROR(__xludf.DUMMYFUNCTION("""COMPUTED_VALUE"""),1.0)</f>
        <v>1</v>
      </c>
      <c r="AU156" s="3">
        <f>IFERROR(__xludf.DUMMYFUNCTION("""COMPUTED_VALUE"""),1.0)</f>
        <v>1</v>
      </c>
      <c r="AV156" s="3">
        <f>IFERROR(__xludf.DUMMYFUNCTION("""COMPUTED_VALUE"""),1.0)</f>
        <v>1</v>
      </c>
      <c r="AW156" s="3">
        <f>IFERROR(__xludf.DUMMYFUNCTION("""COMPUTED_VALUE"""),1.0)</f>
        <v>1</v>
      </c>
      <c r="AX156" s="3">
        <f>IFERROR(__xludf.DUMMYFUNCTION("""COMPUTED_VALUE"""),1.0)</f>
        <v>1</v>
      </c>
      <c r="AY156" s="3">
        <f>IFERROR(__xludf.DUMMYFUNCTION("""COMPUTED_VALUE"""),1.0)</f>
        <v>1</v>
      </c>
      <c r="AZ156" s="3">
        <f>IFERROR(__xludf.DUMMYFUNCTION("""COMPUTED_VALUE"""),1.0)</f>
        <v>1</v>
      </c>
      <c r="BA156" s="3">
        <f>IFERROR(__xludf.DUMMYFUNCTION("""COMPUTED_VALUE"""),4.0)</f>
        <v>4</v>
      </c>
      <c r="BB156" s="3">
        <f>IFERROR(__xludf.DUMMYFUNCTION("""COMPUTED_VALUE"""),4.0)</f>
        <v>4</v>
      </c>
      <c r="BC156" s="3">
        <f>IFERROR(__xludf.DUMMYFUNCTION("""COMPUTED_VALUE"""),4.0)</f>
        <v>4</v>
      </c>
      <c r="BD156" s="3">
        <f>IFERROR(__xludf.DUMMYFUNCTION("""COMPUTED_VALUE"""),4.0)</f>
        <v>4</v>
      </c>
      <c r="BE156" s="3">
        <f>IFERROR(__xludf.DUMMYFUNCTION("""COMPUTED_VALUE"""),4.0)</f>
        <v>4</v>
      </c>
      <c r="BF156" s="3">
        <f>IFERROR(__xludf.DUMMYFUNCTION("""COMPUTED_VALUE"""),4.0)</f>
        <v>4</v>
      </c>
      <c r="BG156" s="3">
        <f>IFERROR(__xludf.DUMMYFUNCTION("""COMPUTED_VALUE"""),4.0)</f>
        <v>4</v>
      </c>
      <c r="BH156" s="3">
        <f>IFERROR(__xludf.DUMMYFUNCTION("""COMPUTED_VALUE"""),4.0)</f>
        <v>4</v>
      </c>
      <c r="BI156" s="3">
        <f>IFERROR(__xludf.DUMMYFUNCTION("""COMPUTED_VALUE"""),4.0)</f>
        <v>4</v>
      </c>
      <c r="BJ156" s="3">
        <f>IFERROR(__xludf.DUMMYFUNCTION("""COMPUTED_VALUE"""),4.0)</f>
        <v>4</v>
      </c>
      <c r="BK156" s="3">
        <f>IFERROR(__xludf.DUMMYFUNCTION("""COMPUTED_VALUE"""),4.0)</f>
        <v>4</v>
      </c>
      <c r="BL156" s="3">
        <f>IFERROR(__xludf.DUMMYFUNCTION("""COMPUTED_VALUE"""),4.0)</f>
        <v>4</v>
      </c>
      <c r="BM156" s="3">
        <f>IFERROR(__xludf.DUMMYFUNCTION("""COMPUTED_VALUE"""),4.0)</f>
        <v>4</v>
      </c>
      <c r="BN156" s="3">
        <f>IFERROR(__xludf.DUMMYFUNCTION("""COMPUTED_VALUE"""),4.0)</f>
        <v>4</v>
      </c>
      <c r="BO156" s="3">
        <f>IFERROR(__xludf.DUMMYFUNCTION("""COMPUTED_VALUE"""),4.0)</f>
        <v>4</v>
      </c>
      <c r="BP156" s="3">
        <f>IFERROR(__xludf.DUMMYFUNCTION("""COMPUTED_VALUE"""),4.0)</f>
        <v>4</v>
      </c>
      <c r="BQ156" s="3">
        <f>IFERROR(__xludf.DUMMYFUNCTION("""COMPUTED_VALUE"""),4.0)</f>
        <v>4</v>
      </c>
      <c r="BR156" s="3">
        <f>IFERROR(__xludf.DUMMYFUNCTION("""COMPUTED_VALUE"""),4.0)</f>
        <v>4</v>
      </c>
      <c r="BS156" s="3">
        <f>IFERROR(__xludf.DUMMYFUNCTION("""COMPUTED_VALUE"""),4.0)</f>
        <v>4</v>
      </c>
      <c r="BT156" s="3">
        <f>IFERROR(__xludf.DUMMYFUNCTION("""COMPUTED_VALUE"""),4.0)</f>
        <v>4</v>
      </c>
      <c r="BU156" s="3">
        <f>IFERROR(__xludf.DUMMYFUNCTION("""COMPUTED_VALUE"""),35.0)</f>
        <v>35</v>
      </c>
      <c r="BV156" s="3">
        <f>IFERROR(__xludf.DUMMYFUNCTION("""COMPUTED_VALUE"""),35.0)</f>
        <v>35</v>
      </c>
      <c r="BW156" s="3">
        <f>IFERROR(__xludf.DUMMYFUNCTION("""COMPUTED_VALUE"""),35.0)</f>
        <v>35</v>
      </c>
      <c r="BX156" s="3">
        <f>IFERROR(__xludf.DUMMYFUNCTION("""COMPUTED_VALUE"""),35.0)</f>
        <v>35</v>
      </c>
      <c r="BY156" s="3">
        <f>IFERROR(__xludf.DUMMYFUNCTION("""COMPUTED_VALUE"""),633.0)</f>
        <v>633</v>
      </c>
      <c r="BZ156" s="3">
        <f>IFERROR(__xludf.DUMMYFUNCTION("""COMPUTED_VALUE"""),633.0)</f>
        <v>633</v>
      </c>
      <c r="CA156" s="3">
        <f>IFERROR(__xludf.DUMMYFUNCTION("""COMPUTED_VALUE"""),633.0)</f>
        <v>633</v>
      </c>
      <c r="CB156" s="3">
        <f>IFERROR(__xludf.DUMMYFUNCTION("""COMPUTED_VALUE"""),633.0)</f>
        <v>633</v>
      </c>
    </row>
    <row r="157">
      <c r="A157" s="3" t="str">
        <f>IFERROR(__xludf.DUMMYFUNCTION("""COMPUTED_VALUE"""),"")</f>
        <v/>
      </c>
      <c r="B157" s="3" t="str">
        <f>IFERROR(__xludf.DUMMYFUNCTION("""COMPUTED_VALUE"""),"Moldova")</f>
        <v>Moldova</v>
      </c>
      <c r="C157" s="3">
        <f>IFERROR(__xludf.DUMMYFUNCTION("""COMPUTED_VALUE"""),47.4116)</f>
        <v>47.4116</v>
      </c>
      <c r="D157" s="3">
        <f>IFERROR(__xludf.DUMMYFUNCTION("""COMPUTED_VALUE"""),28.3699)</f>
        <v>28.3699</v>
      </c>
      <c r="E157" s="3">
        <f>IFERROR(__xludf.DUMMYFUNCTION("""COMPUTED_VALUE"""),0.0)</f>
        <v>0</v>
      </c>
      <c r="F157" s="3">
        <f>IFERROR(__xludf.DUMMYFUNCTION("""COMPUTED_VALUE"""),0.0)</f>
        <v>0</v>
      </c>
      <c r="G157" s="3">
        <f>IFERROR(__xludf.DUMMYFUNCTION("""COMPUTED_VALUE"""),0.0)</f>
        <v>0</v>
      </c>
      <c r="H157" s="3">
        <f>IFERROR(__xludf.DUMMYFUNCTION("""COMPUTED_VALUE"""),0.0)</f>
        <v>0</v>
      </c>
      <c r="I157" s="3">
        <f>IFERROR(__xludf.DUMMYFUNCTION("""COMPUTED_VALUE"""),0.0)</f>
        <v>0</v>
      </c>
      <c r="J157" s="3">
        <f>IFERROR(__xludf.DUMMYFUNCTION("""COMPUTED_VALUE"""),0.0)</f>
        <v>0</v>
      </c>
      <c r="K157" s="3">
        <f>IFERROR(__xludf.DUMMYFUNCTION("""COMPUTED_VALUE"""),0.0)</f>
        <v>0</v>
      </c>
      <c r="L157" s="3">
        <f>IFERROR(__xludf.DUMMYFUNCTION("""COMPUTED_VALUE"""),0.0)</f>
        <v>0</v>
      </c>
      <c r="M157" s="3">
        <f>IFERROR(__xludf.DUMMYFUNCTION("""COMPUTED_VALUE"""),0.0)</f>
        <v>0</v>
      </c>
      <c r="N157" s="3">
        <f>IFERROR(__xludf.DUMMYFUNCTION("""COMPUTED_VALUE"""),0.0)</f>
        <v>0</v>
      </c>
      <c r="O157" s="3">
        <f>IFERROR(__xludf.DUMMYFUNCTION("""COMPUTED_VALUE"""),0.0)</f>
        <v>0</v>
      </c>
      <c r="P157" s="3">
        <f>IFERROR(__xludf.DUMMYFUNCTION("""COMPUTED_VALUE"""),0.0)</f>
        <v>0</v>
      </c>
      <c r="Q157" s="3">
        <f>IFERROR(__xludf.DUMMYFUNCTION("""COMPUTED_VALUE"""),0.0)</f>
        <v>0</v>
      </c>
      <c r="R157" s="3">
        <f>IFERROR(__xludf.DUMMYFUNCTION("""COMPUTED_VALUE"""),0.0)</f>
        <v>0</v>
      </c>
      <c r="S157" s="3">
        <f>IFERROR(__xludf.DUMMYFUNCTION("""COMPUTED_VALUE"""),0.0)</f>
        <v>0</v>
      </c>
      <c r="T157" s="3">
        <f>IFERROR(__xludf.DUMMYFUNCTION("""COMPUTED_VALUE"""),0.0)</f>
        <v>0</v>
      </c>
      <c r="U157" s="3">
        <f>IFERROR(__xludf.DUMMYFUNCTION("""COMPUTED_VALUE"""),0.0)</f>
        <v>0</v>
      </c>
      <c r="V157" s="3">
        <f>IFERROR(__xludf.DUMMYFUNCTION("""COMPUTED_VALUE"""),0.0)</f>
        <v>0</v>
      </c>
      <c r="W157" s="3">
        <f>IFERROR(__xludf.DUMMYFUNCTION("""COMPUTED_VALUE"""),0.0)</f>
        <v>0</v>
      </c>
      <c r="X157" s="3">
        <f>IFERROR(__xludf.DUMMYFUNCTION("""COMPUTED_VALUE"""),0.0)</f>
        <v>0</v>
      </c>
      <c r="Y157" s="3">
        <f>IFERROR(__xludf.DUMMYFUNCTION("""COMPUTED_VALUE"""),0.0)</f>
        <v>0</v>
      </c>
      <c r="Z157" s="3">
        <f>IFERROR(__xludf.DUMMYFUNCTION("""COMPUTED_VALUE"""),0.0)</f>
        <v>0</v>
      </c>
      <c r="AA157" s="3">
        <f>IFERROR(__xludf.DUMMYFUNCTION("""COMPUTED_VALUE"""),0.0)</f>
        <v>0</v>
      </c>
      <c r="AB157" s="3">
        <f>IFERROR(__xludf.DUMMYFUNCTION("""COMPUTED_VALUE"""),0.0)</f>
        <v>0</v>
      </c>
      <c r="AC157" s="3">
        <f>IFERROR(__xludf.DUMMYFUNCTION("""COMPUTED_VALUE"""),0.0)</f>
        <v>0</v>
      </c>
      <c r="AD157" s="3">
        <f>IFERROR(__xludf.DUMMYFUNCTION("""COMPUTED_VALUE"""),0.0)</f>
        <v>0</v>
      </c>
      <c r="AE157" s="3">
        <f>IFERROR(__xludf.DUMMYFUNCTION("""COMPUTED_VALUE"""),0.0)</f>
        <v>0</v>
      </c>
      <c r="AF157" s="3">
        <f>IFERROR(__xludf.DUMMYFUNCTION("""COMPUTED_VALUE"""),0.0)</f>
        <v>0</v>
      </c>
      <c r="AG157" s="3">
        <f>IFERROR(__xludf.DUMMYFUNCTION("""COMPUTED_VALUE"""),0.0)</f>
        <v>0</v>
      </c>
      <c r="AH157" s="3">
        <f>IFERROR(__xludf.DUMMYFUNCTION("""COMPUTED_VALUE"""),0.0)</f>
        <v>0</v>
      </c>
      <c r="AI157" s="3">
        <f>IFERROR(__xludf.DUMMYFUNCTION("""COMPUTED_VALUE"""),0.0)</f>
        <v>0</v>
      </c>
      <c r="AJ157" s="3">
        <f>IFERROR(__xludf.DUMMYFUNCTION("""COMPUTED_VALUE"""),0.0)</f>
        <v>0</v>
      </c>
      <c r="AK157" s="3">
        <f>IFERROR(__xludf.DUMMYFUNCTION("""COMPUTED_VALUE"""),0.0)</f>
        <v>0</v>
      </c>
      <c r="AL157" s="3">
        <f>IFERROR(__xludf.DUMMYFUNCTION("""COMPUTED_VALUE"""),0.0)</f>
        <v>0</v>
      </c>
      <c r="AM157" s="3">
        <f>IFERROR(__xludf.DUMMYFUNCTION("""COMPUTED_VALUE"""),0.0)</f>
        <v>0</v>
      </c>
      <c r="AN157" s="3">
        <f>IFERROR(__xludf.DUMMYFUNCTION("""COMPUTED_VALUE"""),0.0)</f>
        <v>0</v>
      </c>
      <c r="AO157" s="3">
        <f>IFERROR(__xludf.DUMMYFUNCTION("""COMPUTED_VALUE"""),0.0)</f>
        <v>0</v>
      </c>
      <c r="AP157" s="3">
        <f>IFERROR(__xludf.DUMMYFUNCTION("""COMPUTED_VALUE"""),0.0)</f>
        <v>0</v>
      </c>
      <c r="AQ157" s="3">
        <f>IFERROR(__xludf.DUMMYFUNCTION("""COMPUTED_VALUE"""),0.0)</f>
        <v>0</v>
      </c>
      <c r="AR157" s="3">
        <f>IFERROR(__xludf.DUMMYFUNCTION("""COMPUTED_VALUE"""),0.0)</f>
        <v>0</v>
      </c>
      <c r="AS157" s="3">
        <f>IFERROR(__xludf.DUMMYFUNCTION("""COMPUTED_VALUE"""),0.0)</f>
        <v>0</v>
      </c>
      <c r="AT157" s="3">
        <f>IFERROR(__xludf.DUMMYFUNCTION("""COMPUTED_VALUE"""),0.0)</f>
        <v>0</v>
      </c>
      <c r="AU157" s="3">
        <f>IFERROR(__xludf.DUMMYFUNCTION("""COMPUTED_VALUE"""),0.0)</f>
        <v>0</v>
      </c>
      <c r="AV157" s="3">
        <f>IFERROR(__xludf.DUMMYFUNCTION("""COMPUTED_VALUE"""),0.0)</f>
        <v>0</v>
      </c>
      <c r="AW157" s="3">
        <f>IFERROR(__xludf.DUMMYFUNCTION("""COMPUTED_VALUE"""),0.0)</f>
        <v>0</v>
      </c>
      <c r="AX157" s="3">
        <f>IFERROR(__xludf.DUMMYFUNCTION("""COMPUTED_VALUE"""),0.0)</f>
        <v>0</v>
      </c>
      <c r="AY157" s="3">
        <f>IFERROR(__xludf.DUMMYFUNCTION("""COMPUTED_VALUE"""),0.0)</f>
        <v>0</v>
      </c>
      <c r="AZ157" s="3">
        <f>IFERROR(__xludf.DUMMYFUNCTION("""COMPUTED_VALUE"""),0.0)</f>
        <v>0</v>
      </c>
      <c r="BA157" s="3">
        <f>IFERROR(__xludf.DUMMYFUNCTION("""COMPUTED_VALUE"""),0.0)</f>
        <v>0</v>
      </c>
      <c r="BB157" s="3">
        <f>IFERROR(__xludf.DUMMYFUNCTION("""COMPUTED_VALUE"""),0.0)</f>
        <v>0</v>
      </c>
      <c r="BC157" s="3">
        <f>IFERROR(__xludf.DUMMYFUNCTION("""COMPUTED_VALUE"""),0.0)</f>
        <v>0</v>
      </c>
      <c r="BD157" s="3">
        <f>IFERROR(__xludf.DUMMYFUNCTION("""COMPUTED_VALUE"""),0.0)</f>
        <v>0</v>
      </c>
      <c r="BE157" s="3">
        <f>IFERROR(__xludf.DUMMYFUNCTION("""COMPUTED_VALUE"""),0.0)</f>
        <v>0</v>
      </c>
      <c r="BF157" s="3">
        <f>IFERROR(__xludf.DUMMYFUNCTION("""COMPUTED_VALUE"""),0.0)</f>
        <v>0</v>
      </c>
      <c r="BG157" s="3">
        <f>IFERROR(__xludf.DUMMYFUNCTION("""COMPUTED_VALUE"""),0.0)</f>
        <v>0</v>
      </c>
      <c r="BH157" s="3">
        <f>IFERROR(__xludf.DUMMYFUNCTION("""COMPUTED_VALUE"""),1.0)</f>
        <v>1</v>
      </c>
      <c r="BI157" s="3">
        <f>IFERROR(__xludf.DUMMYFUNCTION("""COMPUTED_VALUE"""),1.0)</f>
        <v>1</v>
      </c>
      <c r="BJ157" s="3">
        <f>IFERROR(__xludf.DUMMYFUNCTION("""COMPUTED_VALUE"""),1.0)</f>
        <v>1</v>
      </c>
      <c r="BK157" s="3">
        <f>IFERROR(__xludf.DUMMYFUNCTION("""COMPUTED_VALUE"""),1.0)</f>
        <v>1</v>
      </c>
      <c r="BL157" s="3">
        <f>IFERROR(__xludf.DUMMYFUNCTION("""COMPUTED_VALUE"""),1.0)</f>
        <v>1</v>
      </c>
      <c r="BM157" s="3">
        <f>IFERROR(__xludf.DUMMYFUNCTION("""COMPUTED_VALUE"""),1.0)</f>
        <v>1</v>
      </c>
      <c r="BN157" s="3">
        <f>IFERROR(__xludf.DUMMYFUNCTION("""COMPUTED_VALUE"""),1.0)</f>
        <v>1</v>
      </c>
      <c r="BO157" s="3">
        <f>IFERROR(__xludf.DUMMYFUNCTION("""COMPUTED_VALUE"""),2.0)</f>
        <v>2</v>
      </c>
      <c r="BP157" s="3">
        <f>IFERROR(__xludf.DUMMYFUNCTION("""COMPUTED_VALUE"""),2.0)</f>
        <v>2</v>
      </c>
      <c r="BQ157" s="3">
        <f>IFERROR(__xludf.DUMMYFUNCTION("""COMPUTED_VALUE"""),2.0)</f>
        <v>2</v>
      </c>
      <c r="BR157" s="3">
        <f>IFERROR(__xludf.DUMMYFUNCTION("""COMPUTED_VALUE"""),2.0)</f>
        <v>2</v>
      </c>
      <c r="BS157" s="3">
        <f>IFERROR(__xludf.DUMMYFUNCTION("""COMPUTED_VALUE"""),2.0)</f>
        <v>2</v>
      </c>
      <c r="BT157" s="3">
        <f>IFERROR(__xludf.DUMMYFUNCTION("""COMPUTED_VALUE"""),2.0)</f>
        <v>2</v>
      </c>
      <c r="BU157" s="3">
        <f>IFERROR(__xludf.DUMMYFUNCTION("""COMPUTED_VALUE"""),15.0)</f>
        <v>15</v>
      </c>
      <c r="BV157" s="3">
        <f>IFERROR(__xludf.DUMMYFUNCTION("""COMPUTED_VALUE"""),18.0)</f>
        <v>18</v>
      </c>
      <c r="BW157" s="3">
        <f>IFERROR(__xludf.DUMMYFUNCTION("""COMPUTED_VALUE"""),23.0)</f>
        <v>23</v>
      </c>
      <c r="BX157" s="3">
        <f>IFERROR(__xludf.DUMMYFUNCTION("""COMPUTED_VALUE"""),23.0)</f>
        <v>23</v>
      </c>
      <c r="BY157" s="3">
        <f>IFERROR(__xludf.DUMMYFUNCTION("""COMPUTED_VALUE"""),26.0)</f>
        <v>26</v>
      </c>
      <c r="BZ157" s="3">
        <f>IFERROR(__xludf.DUMMYFUNCTION("""COMPUTED_VALUE"""),29.0)</f>
        <v>29</v>
      </c>
      <c r="CA157" s="3">
        <f>IFERROR(__xludf.DUMMYFUNCTION("""COMPUTED_VALUE"""),30.0)</f>
        <v>30</v>
      </c>
      <c r="CB157" s="3">
        <f>IFERROR(__xludf.DUMMYFUNCTION("""COMPUTED_VALUE"""),37.0)</f>
        <v>37</v>
      </c>
    </row>
    <row r="158">
      <c r="A158" s="3" t="str">
        <f>IFERROR(__xludf.DUMMYFUNCTION("""COMPUTED_VALUE"""),"")</f>
        <v/>
      </c>
      <c r="B158" s="3" t="str">
        <f>IFERROR(__xludf.DUMMYFUNCTION("""COMPUTED_VALUE"""),"Monaco")</f>
        <v>Monaco</v>
      </c>
      <c r="C158" s="3">
        <f>IFERROR(__xludf.DUMMYFUNCTION("""COMPUTED_VALUE"""),43.7333)</f>
        <v>43.7333</v>
      </c>
      <c r="D158" s="3">
        <f>IFERROR(__xludf.DUMMYFUNCTION("""COMPUTED_VALUE"""),7.4167)</f>
        <v>7.4167</v>
      </c>
      <c r="E158" s="3">
        <f>IFERROR(__xludf.DUMMYFUNCTION("""COMPUTED_VALUE"""),0.0)</f>
        <v>0</v>
      </c>
      <c r="F158" s="3">
        <f>IFERROR(__xludf.DUMMYFUNCTION("""COMPUTED_VALUE"""),0.0)</f>
        <v>0</v>
      </c>
      <c r="G158" s="3">
        <f>IFERROR(__xludf.DUMMYFUNCTION("""COMPUTED_VALUE"""),0.0)</f>
        <v>0</v>
      </c>
      <c r="H158" s="3">
        <f>IFERROR(__xludf.DUMMYFUNCTION("""COMPUTED_VALUE"""),0.0)</f>
        <v>0</v>
      </c>
      <c r="I158" s="3">
        <f>IFERROR(__xludf.DUMMYFUNCTION("""COMPUTED_VALUE"""),0.0)</f>
        <v>0</v>
      </c>
      <c r="J158" s="3">
        <f>IFERROR(__xludf.DUMMYFUNCTION("""COMPUTED_VALUE"""),0.0)</f>
        <v>0</v>
      </c>
      <c r="K158" s="3">
        <f>IFERROR(__xludf.DUMMYFUNCTION("""COMPUTED_VALUE"""),0.0)</f>
        <v>0</v>
      </c>
      <c r="L158" s="3">
        <f>IFERROR(__xludf.DUMMYFUNCTION("""COMPUTED_VALUE"""),0.0)</f>
        <v>0</v>
      </c>
      <c r="M158" s="3">
        <f>IFERROR(__xludf.DUMMYFUNCTION("""COMPUTED_VALUE"""),0.0)</f>
        <v>0</v>
      </c>
      <c r="N158" s="3">
        <f>IFERROR(__xludf.DUMMYFUNCTION("""COMPUTED_VALUE"""),0.0)</f>
        <v>0</v>
      </c>
      <c r="O158" s="3">
        <f>IFERROR(__xludf.DUMMYFUNCTION("""COMPUTED_VALUE"""),0.0)</f>
        <v>0</v>
      </c>
      <c r="P158" s="3">
        <f>IFERROR(__xludf.DUMMYFUNCTION("""COMPUTED_VALUE"""),0.0)</f>
        <v>0</v>
      </c>
      <c r="Q158" s="3">
        <f>IFERROR(__xludf.DUMMYFUNCTION("""COMPUTED_VALUE"""),0.0)</f>
        <v>0</v>
      </c>
      <c r="R158" s="3">
        <f>IFERROR(__xludf.DUMMYFUNCTION("""COMPUTED_VALUE"""),0.0)</f>
        <v>0</v>
      </c>
      <c r="S158" s="3">
        <f>IFERROR(__xludf.DUMMYFUNCTION("""COMPUTED_VALUE"""),0.0)</f>
        <v>0</v>
      </c>
      <c r="T158" s="3">
        <f>IFERROR(__xludf.DUMMYFUNCTION("""COMPUTED_VALUE"""),0.0)</f>
        <v>0</v>
      </c>
      <c r="U158" s="3">
        <f>IFERROR(__xludf.DUMMYFUNCTION("""COMPUTED_VALUE"""),0.0)</f>
        <v>0</v>
      </c>
      <c r="V158" s="3">
        <f>IFERROR(__xludf.DUMMYFUNCTION("""COMPUTED_VALUE"""),0.0)</f>
        <v>0</v>
      </c>
      <c r="W158" s="3">
        <f>IFERROR(__xludf.DUMMYFUNCTION("""COMPUTED_VALUE"""),0.0)</f>
        <v>0</v>
      </c>
      <c r="X158" s="3">
        <f>IFERROR(__xludf.DUMMYFUNCTION("""COMPUTED_VALUE"""),0.0)</f>
        <v>0</v>
      </c>
      <c r="Y158" s="3">
        <f>IFERROR(__xludf.DUMMYFUNCTION("""COMPUTED_VALUE"""),0.0)</f>
        <v>0</v>
      </c>
      <c r="Z158" s="3">
        <f>IFERROR(__xludf.DUMMYFUNCTION("""COMPUTED_VALUE"""),0.0)</f>
        <v>0</v>
      </c>
      <c r="AA158" s="3">
        <f>IFERROR(__xludf.DUMMYFUNCTION("""COMPUTED_VALUE"""),0.0)</f>
        <v>0</v>
      </c>
      <c r="AB158" s="3">
        <f>IFERROR(__xludf.DUMMYFUNCTION("""COMPUTED_VALUE"""),0.0)</f>
        <v>0</v>
      </c>
      <c r="AC158" s="3">
        <f>IFERROR(__xludf.DUMMYFUNCTION("""COMPUTED_VALUE"""),0.0)</f>
        <v>0</v>
      </c>
      <c r="AD158" s="3">
        <f>IFERROR(__xludf.DUMMYFUNCTION("""COMPUTED_VALUE"""),0.0)</f>
        <v>0</v>
      </c>
      <c r="AE158" s="3">
        <f>IFERROR(__xludf.DUMMYFUNCTION("""COMPUTED_VALUE"""),0.0)</f>
        <v>0</v>
      </c>
      <c r="AF158" s="3">
        <f>IFERROR(__xludf.DUMMYFUNCTION("""COMPUTED_VALUE"""),0.0)</f>
        <v>0</v>
      </c>
      <c r="AG158" s="3">
        <f>IFERROR(__xludf.DUMMYFUNCTION("""COMPUTED_VALUE"""),0.0)</f>
        <v>0</v>
      </c>
      <c r="AH158" s="3">
        <f>IFERROR(__xludf.DUMMYFUNCTION("""COMPUTED_VALUE"""),0.0)</f>
        <v>0</v>
      </c>
      <c r="AI158" s="3">
        <f>IFERROR(__xludf.DUMMYFUNCTION("""COMPUTED_VALUE"""),0.0)</f>
        <v>0</v>
      </c>
      <c r="AJ158" s="3">
        <f>IFERROR(__xludf.DUMMYFUNCTION("""COMPUTED_VALUE"""),0.0)</f>
        <v>0</v>
      </c>
      <c r="AK158" s="3">
        <f>IFERROR(__xludf.DUMMYFUNCTION("""COMPUTED_VALUE"""),0.0)</f>
        <v>0</v>
      </c>
      <c r="AL158" s="3">
        <f>IFERROR(__xludf.DUMMYFUNCTION("""COMPUTED_VALUE"""),0.0)</f>
        <v>0</v>
      </c>
      <c r="AM158" s="3">
        <f>IFERROR(__xludf.DUMMYFUNCTION("""COMPUTED_VALUE"""),0.0)</f>
        <v>0</v>
      </c>
      <c r="AN158" s="3">
        <f>IFERROR(__xludf.DUMMYFUNCTION("""COMPUTED_VALUE"""),0.0)</f>
        <v>0</v>
      </c>
      <c r="AO158" s="3">
        <f>IFERROR(__xludf.DUMMYFUNCTION("""COMPUTED_VALUE"""),0.0)</f>
        <v>0</v>
      </c>
      <c r="AP158" s="3">
        <f>IFERROR(__xludf.DUMMYFUNCTION("""COMPUTED_VALUE"""),0.0)</f>
        <v>0</v>
      </c>
      <c r="AQ158" s="3">
        <f>IFERROR(__xludf.DUMMYFUNCTION("""COMPUTED_VALUE"""),0.0)</f>
        <v>0</v>
      </c>
      <c r="AR158" s="3">
        <f>IFERROR(__xludf.DUMMYFUNCTION("""COMPUTED_VALUE"""),0.0)</f>
        <v>0</v>
      </c>
      <c r="AS158" s="3">
        <f>IFERROR(__xludf.DUMMYFUNCTION("""COMPUTED_VALUE"""),0.0)</f>
        <v>0</v>
      </c>
      <c r="AT158" s="3">
        <f>IFERROR(__xludf.DUMMYFUNCTION("""COMPUTED_VALUE"""),0.0)</f>
        <v>0</v>
      </c>
      <c r="AU158" s="3">
        <f>IFERROR(__xludf.DUMMYFUNCTION("""COMPUTED_VALUE"""),0.0)</f>
        <v>0</v>
      </c>
      <c r="AV158" s="3">
        <f>IFERROR(__xludf.DUMMYFUNCTION("""COMPUTED_VALUE"""),0.0)</f>
        <v>0</v>
      </c>
      <c r="AW158" s="3">
        <f>IFERROR(__xludf.DUMMYFUNCTION("""COMPUTED_VALUE"""),0.0)</f>
        <v>0</v>
      </c>
      <c r="AX158" s="3">
        <f>IFERROR(__xludf.DUMMYFUNCTION("""COMPUTED_VALUE"""),0.0)</f>
        <v>0</v>
      </c>
      <c r="AY158" s="3">
        <f>IFERROR(__xludf.DUMMYFUNCTION("""COMPUTED_VALUE"""),0.0)</f>
        <v>0</v>
      </c>
      <c r="AZ158" s="3">
        <f>IFERROR(__xludf.DUMMYFUNCTION("""COMPUTED_VALUE"""),0.0)</f>
        <v>0</v>
      </c>
      <c r="BA158" s="3">
        <f>IFERROR(__xludf.DUMMYFUNCTION("""COMPUTED_VALUE"""),0.0)</f>
        <v>0</v>
      </c>
      <c r="BB158" s="3">
        <f>IFERROR(__xludf.DUMMYFUNCTION("""COMPUTED_VALUE"""),0.0)</f>
        <v>0</v>
      </c>
      <c r="BC158" s="3">
        <f>IFERROR(__xludf.DUMMYFUNCTION("""COMPUTED_VALUE"""),0.0)</f>
        <v>0</v>
      </c>
      <c r="BD158" s="3">
        <f>IFERROR(__xludf.DUMMYFUNCTION("""COMPUTED_VALUE"""),0.0)</f>
        <v>0</v>
      </c>
      <c r="BE158" s="3">
        <f>IFERROR(__xludf.DUMMYFUNCTION("""COMPUTED_VALUE"""),0.0)</f>
        <v>0</v>
      </c>
      <c r="BF158" s="3">
        <f>IFERROR(__xludf.DUMMYFUNCTION("""COMPUTED_VALUE"""),0.0)</f>
        <v>0</v>
      </c>
      <c r="BG158" s="3">
        <f>IFERROR(__xludf.DUMMYFUNCTION("""COMPUTED_VALUE"""),0.0)</f>
        <v>0</v>
      </c>
      <c r="BH158" s="3">
        <f>IFERROR(__xludf.DUMMYFUNCTION("""COMPUTED_VALUE"""),0.0)</f>
        <v>0</v>
      </c>
      <c r="BI158" s="3">
        <f>IFERROR(__xludf.DUMMYFUNCTION("""COMPUTED_VALUE"""),0.0)</f>
        <v>0</v>
      </c>
      <c r="BJ158" s="3">
        <f>IFERROR(__xludf.DUMMYFUNCTION("""COMPUTED_VALUE"""),0.0)</f>
        <v>0</v>
      </c>
      <c r="BK158" s="3">
        <f>IFERROR(__xludf.DUMMYFUNCTION("""COMPUTED_VALUE"""),0.0)</f>
        <v>0</v>
      </c>
      <c r="BL158" s="3">
        <f>IFERROR(__xludf.DUMMYFUNCTION("""COMPUTED_VALUE"""),0.0)</f>
        <v>0</v>
      </c>
      <c r="BM158" s="3">
        <f>IFERROR(__xludf.DUMMYFUNCTION("""COMPUTED_VALUE"""),1.0)</f>
        <v>1</v>
      </c>
      <c r="BN158" s="3">
        <f>IFERROR(__xludf.DUMMYFUNCTION("""COMPUTED_VALUE"""),1.0)</f>
        <v>1</v>
      </c>
      <c r="BO158" s="3">
        <f>IFERROR(__xludf.DUMMYFUNCTION("""COMPUTED_VALUE"""),1.0)</f>
        <v>1</v>
      </c>
      <c r="BP158" s="3">
        <f>IFERROR(__xludf.DUMMYFUNCTION("""COMPUTED_VALUE"""),1.0)</f>
        <v>1</v>
      </c>
      <c r="BQ158" s="3">
        <f>IFERROR(__xludf.DUMMYFUNCTION("""COMPUTED_VALUE"""),1.0)</f>
        <v>1</v>
      </c>
      <c r="BR158" s="3">
        <f>IFERROR(__xludf.DUMMYFUNCTION("""COMPUTED_VALUE"""),1.0)</f>
        <v>1</v>
      </c>
      <c r="BS158" s="3">
        <f>IFERROR(__xludf.DUMMYFUNCTION("""COMPUTED_VALUE"""),1.0)</f>
        <v>1</v>
      </c>
      <c r="BT158" s="3">
        <f>IFERROR(__xludf.DUMMYFUNCTION("""COMPUTED_VALUE"""),1.0)</f>
        <v>1</v>
      </c>
      <c r="BU158" s="3">
        <f>IFERROR(__xludf.DUMMYFUNCTION("""COMPUTED_VALUE"""),1.0)</f>
        <v>1</v>
      </c>
      <c r="BV158" s="3">
        <f>IFERROR(__xludf.DUMMYFUNCTION("""COMPUTED_VALUE"""),2.0)</f>
        <v>2</v>
      </c>
      <c r="BW158" s="3">
        <f>IFERROR(__xludf.DUMMYFUNCTION("""COMPUTED_VALUE"""),2.0)</f>
        <v>2</v>
      </c>
      <c r="BX158" s="3">
        <f>IFERROR(__xludf.DUMMYFUNCTION("""COMPUTED_VALUE"""),2.0)</f>
        <v>2</v>
      </c>
      <c r="BY158" s="3">
        <f>IFERROR(__xludf.DUMMYFUNCTION("""COMPUTED_VALUE"""),3.0)</f>
        <v>3</v>
      </c>
      <c r="BZ158" s="3">
        <f>IFERROR(__xludf.DUMMYFUNCTION("""COMPUTED_VALUE"""),3.0)</f>
        <v>3</v>
      </c>
      <c r="CA158" s="3">
        <f>IFERROR(__xludf.DUMMYFUNCTION("""COMPUTED_VALUE"""),3.0)</f>
        <v>3</v>
      </c>
      <c r="CB158" s="3">
        <f>IFERROR(__xludf.DUMMYFUNCTION("""COMPUTED_VALUE"""),4.0)</f>
        <v>4</v>
      </c>
    </row>
    <row r="159">
      <c r="A159" s="3" t="str">
        <f>IFERROR(__xludf.DUMMYFUNCTION("""COMPUTED_VALUE"""),"")</f>
        <v/>
      </c>
      <c r="B159" s="3" t="str">
        <f>IFERROR(__xludf.DUMMYFUNCTION("""COMPUTED_VALUE"""),"Mongolia")</f>
        <v>Mongolia</v>
      </c>
      <c r="C159" s="3">
        <f>IFERROR(__xludf.DUMMYFUNCTION("""COMPUTED_VALUE"""),46.8625)</f>
        <v>46.8625</v>
      </c>
      <c r="D159" s="3">
        <f>IFERROR(__xludf.DUMMYFUNCTION("""COMPUTED_VALUE"""),103.8467)</f>
        <v>103.8467</v>
      </c>
      <c r="E159" s="3">
        <f>IFERROR(__xludf.DUMMYFUNCTION("""COMPUTED_VALUE"""),0.0)</f>
        <v>0</v>
      </c>
      <c r="F159" s="3">
        <f>IFERROR(__xludf.DUMMYFUNCTION("""COMPUTED_VALUE"""),0.0)</f>
        <v>0</v>
      </c>
      <c r="G159" s="3">
        <f>IFERROR(__xludf.DUMMYFUNCTION("""COMPUTED_VALUE"""),0.0)</f>
        <v>0</v>
      </c>
      <c r="H159" s="3">
        <f>IFERROR(__xludf.DUMMYFUNCTION("""COMPUTED_VALUE"""),0.0)</f>
        <v>0</v>
      </c>
      <c r="I159" s="3">
        <f>IFERROR(__xludf.DUMMYFUNCTION("""COMPUTED_VALUE"""),0.0)</f>
        <v>0</v>
      </c>
      <c r="J159" s="3">
        <f>IFERROR(__xludf.DUMMYFUNCTION("""COMPUTED_VALUE"""),0.0)</f>
        <v>0</v>
      </c>
      <c r="K159" s="3">
        <f>IFERROR(__xludf.DUMMYFUNCTION("""COMPUTED_VALUE"""),0.0)</f>
        <v>0</v>
      </c>
      <c r="L159" s="3">
        <f>IFERROR(__xludf.DUMMYFUNCTION("""COMPUTED_VALUE"""),0.0)</f>
        <v>0</v>
      </c>
      <c r="M159" s="3">
        <f>IFERROR(__xludf.DUMMYFUNCTION("""COMPUTED_VALUE"""),0.0)</f>
        <v>0</v>
      </c>
      <c r="N159" s="3">
        <f>IFERROR(__xludf.DUMMYFUNCTION("""COMPUTED_VALUE"""),0.0)</f>
        <v>0</v>
      </c>
      <c r="O159" s="3">
        <f>IFERROR(__xludf.DUMMYFUNCTION("""COMPUTED_VALUE"""),0.0)</f>
        <v>0</v>
      </c>
      <c r="P159" s="3">
        <f>IFERROR(__xludf.DUMMYFUNCTION("""COMPUTED_VALUE"""),0.0)</f>
        <v>0</v>
      </c>
      <c r="Q159" s="3">
        <f>IFERROR(__xludf.DUMMYFUNCTION("""COMPUTED_VALUE"""),0.0)</f>
        <v>0</v>
      </c>
      <c r="R159" s="3">
        <f>IFERROR(__xludf.DUMMYFUNCTION("""COMPUTED_VALUE"""),0.0)</f>
        <v>0</v>
      </c>
      <c r="S159" s="3">
        <f>IFERROR(__xludf.DUMMYFUNCTION("""COMPUTED_VALUE"""),0.0)</f>
        <v>0</v>
      </c>
      <c r="T159" s="3">
        <f>IFERROR(__xludf.DUMMYFUNCTION("""COMPUTED_VALUE"""),0.0)</f>
        <v>0</v>
      </c>
      <c r="U159" s="3">
        <f>IFERROR(__xludf.DUMMYFUNCTION("""COMPUTED_VALUE"""),0.0)</f>
        <v>0</v>
      </c>
      <c r="V159" s="3">
        <f>IFERROR(__xludf.DUMMYFUNCTION("""COMPUTED_VALUE"""),0.0)</f>
        <v>0</v>
      </c>
      <c r="W159" s="3">
        <f>IFERROR(__xludf.DUMMYFUNCTION("""COMPUTED_VALUE"""),0.0)</f>
        <v>0</v>
      </c>
      <c r="X159" s="3">
        <f>IFERROR(__xludf.DUMMYFUNCTION("""COMPUTED_VALUE"""),0.0)</f>
        <v>0</v>
      </c>
      <c r="Y159" s="3">
        <f>IFERROR(__xludf.DUMMYFUNCTION("""COMPUTED_VALUE"""),0.0)</f>
        <v>0</v>
      </c>
      <c r="Z159" s="3">
        <f>IFERROR(__xludf.DUMMYFUNCTION("""COMPUTED_VALUE"""),0.0)</f>
        <v>0</v>
      </c>
      <c r="AA159" s="3">
        <f>IFERROR(__xludf.DUMMYFUNCTION("""COMPUTED_VALUE"""),0.0)</f>
        <v>0</v>
      </c>
      <c r="AB159" s="3">
        <f>IFERROR(__xludf.DUMMYFUNCTION("""COMPUTED_VALUE"""),0.0)</f>
        <v>0</v>
      </c>
      <c r="AC159" s="3">
        <f>IFERROR(__xludf.DUMMYFUNCTION("""COMPUTED_VALUE"""),0.0)</f>
        <v>0</v>
      </c>
      <c r="AD159" s="3">
        <f>IFERROR(__xludf.DUMMYFUNCTION("""COMPUTED_VALUE"""),0.0)</f>
        <v>0</v>
      </c>
      <c r="AE159" s="3">
        <f>IFERROR(__xludf.DUMMYFUNCTION("""COMPUTED_VALUE"""),0.0)</f>
        <v>0</v>
      </c>
      <c r="AF159" s="3">
        <f>IFERROR(__xludf.DUMMYFUNCTION("""COMPUTED_VALUE"""),0.0)</f>
        <v>0</v>
      </c>
      <c r="AG159" s="3">
        <f>IFERROR(__xludf.DUMMYFUNCTION("""COMPUTED_VALUE"""),0.0)</f>
        <v>0</v>
      </c>
      <c r="AH159" s="3">
        <f>IFERROR(__xludf.DUMMYFUNCTION("""COMPUTED_VALUE"""),0.0)</f>
        <v>0</v>
      </c>
      <c r="AI159" s="3">
        <f>IFERROR(__xludf.DUMMYFUNCTION("""COMPUTED_VALUE"""),0.0)</f>
        <v>0</v>
      </c>
      <c r="AJ159" s="3">
        <f>IFERROR(__xludf.DUMMYFUNCTION("""COMPUTED_VALUE"""),0.0)</f>
        <v>0</v>
      </c>
      <c r="AK159" s="3">
        <f>IFERROR(__xludf.DUMMYFUNCTION("""COMPUTED_VALUE"""),0.0)</f>
        <v>0</v>
      </c>
      <c r="AL159" s="3">
        <f>IFERROR(__xludf.DUMMYFUNCTION("""COMPUTED_VALUE"""),0.0)</f>
        <v>0</v>
      </c>
      <c r="AM159" s="3">
        <f>IFERROR(__xludf.DUMMYFUNCTION("""COMPUTED_VALUE"""),0.0)</f>
        <v>0</v>
      </c>
      <c r="AN159" s="3">
        <f>IFERROR(__xludf.DUMMYFUNCTION("""COMPUTED_VALUE"""),0.0)</f>
        <v>0</v>
      </c>
      <c r="AO159" s="3">
        <f>IFERROR(__xludf.DUMMYFUNCTION("""COMPUTED_VALUE"""),0.0)</f>
        <v>0</v>
      </c>
      <c r="AP159" s="3">
        <f>IFERROR(__xludf.DUMMYFUNCTION("""COMPUTED_VALUE"""),0.0)</f>
        <v>0</v>
      </c>
      <c r="AQ159" s="3">
        <f>IFERROR(__xludf.DUMMYFUNCTION("""COMPUTED_VALUE"""),0.0)</f>
        <v>0</v>
      </c>
      <c r="AR159" s="3">
        <f>IFERROR(__xludf.DUMMYFUNCTION("""COMPUTED_VALUE"""),0.0)</f>
        <v>0</v>
      </c>
      <c r="AS159" s="3">
        <f>IFERROR(__xludf.DUMMYFUNCTION("""COMPUTED_VALUE"""),0.0)</f>
        <v>0</v>
      </c>
      <c r="AT159" s="3">
        <f>IFERROR(__xludf.DUMMYFUNCTION("""COMPUTED_VALUE"""),0.0)</f>
        <v>0</v>
      </c>
      <c r="AU159" s="3">
        <f>IFERROR(__xludf.DUMMYFUNCTION("""COMPUTED_VALUE"""),0.0)</f>
        <v>0</v>
      </c>
      <c r="AV159" s="3">
        <f>IFERROR(__xludf.DUMMYFUNCTION("""COMPUTED_VALUE"""),0.0)</f>
        <v>0</v>
      </c>
      <c r="AW159" s="3">
        <f>IFERROR(__xludf.DUMMYFUNCTION("""COMPUTED_VALUE"""),0.0)</f>
        <v>0</v>
      </c>
      <c r="AX159" s="3">
        <f>IFERROR(__xludf.DUMMYFUNCTION("""COMPUTED_VALUE"""),0.0)</f>
        <v>0</v>
      </c>
      <c r="AY159" s="3">
        <f>IFERROR(__xludf.DUMMYFUNCTION("""COMPUTED_VALUE"""),0.0)</f>
        <v>0</v>
      </c>
      <c r="AZ159" s="3">
        <f>IFERROR(__xludf.DUMMYFUNCTION("""COMPUTED_VALUE"""),0.0)</f>
        <v>0</v>
      </c>
      <c r="BA159" s="3">
        <f>IFERROR(__xludf.DUMMYFUNCTION("""COMPUTED_VALUE"""),0.0)</f>
        <v>0</v>
      </c>
      <c r="BB159" s="3">
        <f>IFERROR(__xludf.DUMMYFUNCTION("""COMPUTED_VALUE"""),0.0)</f>
        <v>0</v>
      </c>
      <c r="BC159" s="3">
        <f>IFERROR(__xludf.DUMMYFUNCTION("""COMPUTED_VALUE"""),0.0)</f>
        <v>0</v>
      </c>
      <c r="BD159" s="3">
        <f>IFERROR(__xludf.DUMMYFUNCTION("""COMPUTED_VALUE"""),0.0)</f>
        <v>0</v>
      </c>
      <c r="BE159" s="3">
        <f>IFERROR(__xludf.DUMMYFUNCTION("""COMPUTED_VALUE"""),0.0)</f>
        <v>0</v>
      </c>
      <c r="BF159" s="3">
        <f>IFERROR(__xludf.DUMMYFUNCTION("""COMPUTED_VALUE"""),0.0)</f>
        <v>0</v>
      </c>
      <c r="BG159" s="3">
        <f>IFERROR(__xludf.DUMMYFUNCTION("""COMPUTED_VALUE"""),0.0)</f>
        <v>0</v>
      </c>
      <c r="BH159" s="3">
        <f>IFERROR(__xludf.DUMMYFUNCTION("""COMPUTED_VALUE"""),0.0)</f>
        <v>0</v>
      </c>
      <c r="BI159" s="3">
        <f>IFERROR(__xludf.DUMMYFUNCTION("""COMPUTED_VALUE"""),0.0)</f>
        <v>0</v>
      </c>
      <c r="BJ159" s="3">
        <f>IFERROR(__xludf.DUMMYFUNCTION("""COMPUTED_VALUE"""),0.0)</f>
        <v>0</v>
      </c>
      <c r="BK159" s="3">
        <f>IFERROR(__xludf.DUMMYFUNCTION("""COMPUTED_VALUE"""),0.0)</f>
        <v>0</v>
      </c>
      <c r="BL159" s="3">
        <f>IFERROR(__xludf.DUMMYFUNCTION("""COMPUTED_VALUE"""),0.0)</f>
        <v>0</v>
      </c>
      <c r="BM159" s="3">
        <f>IFERROR(__xludf.DUMMYFUNCTION("""COMPUTED_VALUE"""),0.0)</f>
        <v>0</v>
      </c>
      <c r="BN159" s="3">
        <f>IFERROR(__xludf.DUMMYFUNCTION("""COMPUTED_VALUE"""),0.0)</f>
        <v>0</v>
      </c>
      <c r="BO159" s="3">
        <f>IFERROR(__xludf.DUMMYFUNCTION("""COMPUTED_VALUE"""),0.0)</f>
        <v>0</v>
      </c>
      <c r="BP159" s="3">
        <f>IFERROR(__xludf.DUMMYFUNCTION("""COMPUTED_VALUE"""),0.0)</f>
        <v>0</v>
      </c>
      <c r="BQ159" s="3">
        <f>IFERROR(__xludf.DUMMYFUNCTION("""COMPUTED_VALUE"""),0.0)</f>
        <v>0</v>
      </c>
      <c r="BR159" s="3">
        <f>IFERROR(__xludf.DUMMYFUNCTION("""COMPUTED_VALUE"""),0.0)</f>
        <v>0</v>
      </c>
      <c r="BS159" s="3">
        <f>IFERROR(__xludf.DUMMYFUNCTION("""COMPUTED_VALUE"""),0.0)</f>
        <v>0</v>
      </c>
      <c r="BT159" s="3">
        <f>IFERROR(__xludf.DUMMYFUNCTION("""COMPUTED_VALUE"""),0.0)</f>
        <v>0</v>
      </c>
      <c r="BU159" s="3">
        <f>IFERROR(__xludf.DUMMYFUNCTION("""COMPUTED_VALUE"""),2.0)</f>
        <v>2</v>
      </c>
      <c r="BV159" s="3">
        <f>IFERROR(__xludf.DUMMYFUNCTION("""COMPUTED_VALUE"""),2.0)</f>
        <v>2</v>
      </c>
      <c r="BW159" s="3">
        <f>IFERROR(__xludf.DUMMYFUNCTION("""COMPUTED_VALUE"""),2.0)</f>
        <v>2</v>
      </c>
      <c r="BX159" s="3">
        <f>IFERROR(__xludf.DUMMYFUNCTION("""COMPUTED_VALUE"""),2.0)</f>
        <v>2</v>
      </c>
      <c r="BY159" s="3">
        <f>IFERROR(__xludf.DUMMYFUNCTION("""COMPUTED_VALUE"""),2.0)</f>
        <v>2</v>
      </c>
      <c r="BZ159" s="3">
        <f>IFERROR(__xludf.DUMMYFUNCTION("""COMPUTED_VALUE"""),2.0)</f>
        <v>2</v>
      </c>
      <c r="CA159" s="3">
        <f>IFERROR(__xludf.DUMMYFUNCTION("""COMPUTED_VALUE"""),2.0)</f>
        <v>2</v>
      </c>
      <c r="CB159" s="3">
        <f>IFERROR(__xludf.DUMMYFUNCTION("""COMPUTED_VALUE"""),2.0)</f>
        <v>2</v>
      </c>
    </row>
    <row r="160">
      <c r="A160" s="3" t="str">
        <f>IFERROR(__xludf.DUMMYFUNCTION("""COMPUTED_VALUE"""),"")</f>
        <v/>
      </c>
      <c r="B160" s="3" t="str">
        <f>IFERROR(__xludf.DUMMYFUNCTION("""COMPUTED_VALUE"""),"Montenegro")</f>
        <v>Montenegro</v>
      </c>
      <c r="C160" s="3">
        <f>IFERROR(__xludf.DUMMYFUNCTION("""COMPUTED_VALUE"""),42.5)</f>
        <v>42.5</v>
      </c>
      <c r="D160" s="3">
        <f>IFERROR(__xludf.DUMMYFUNCTION("""COMPUTED_VALUE"""),19.3)</f>
        <v>19.3</v>
      </c>
      <c r="E160" s="3">
        <f>IFERROR(__xludf.DUMMYFUNCTION("""COMPUTED_VALUE"""),0.0)</f>
        <v>0</v>
      </c>
      <c r="F160" s="3">
        <f>IFERROR(__xludf.DUMMYFUNCTION("""COMPUTED_VALUE"""),0.0)</f>
        <v>0</v>
      </c>
      <c r="G160" s="3">
        <f>IFERROR(__xludf.DUMMYFUNCTION("""COMPUTED_VALUE"""),0.0)</f>
        <v>0</v>
      </c>
      <c r="H160" s="3">
        <f>IFERROR(__xludf.DUMMYFUNCTION("""COMPUTED_VALUE"""),0.0)</f>
        <v>0</v>
      </c>
      <c r="I160" s="3">
        <f>IFERROR(__xludf.DUMMYFUNCTION("""COMPUTED_VALUE"""),0.0)</f>
        <v>0</v>
      </c>
      <c r="J160" s="3">
        <f>IFERROR(__xludf.DUMMYFUNCTION("""COMPUTED_VALUE"""),0.0)</f>
        <v>0</v>
      </c>
      <c r="K160" s="3">
        <f>IFERROR(__xludf.DUMMYFUNCTION("""COMPUTED_VALUE"""),0.0)</f>
        <v>0</v>
      </c>
      <c r="L160" s="3">
        <f>IFERROR(__xludf.DUMMYFUNCTION("""COMPUTED_VALUE"""),0.0)</f>
        <v>0</v>
      </c>
      <c r="M160" s="3">
        <f>IFERROR(__xludf.DUMMYFUNCTION("""COMPUTED_VALUE"""),0.0)</f>
        <v>0</v>
      </c>
      <c r="N160" s="3">
        <f>IFERROR(__xludf.DUMMYFUNCTION("""COMPUTED_VALUE"""),0.0)</f>
        <v>0</v>
      </c>
      <c r="O160" s="3">
        <f>IFERROR(__xludf.DUMMYFUNCTION("""COMPUTED_VALUE"""),0.0)</f>
        <v>0</v>
      </c>
      <c r="P160" s="3">
        <f>IFERROR(__xludf.DUMMYFUNCTION("""COMPUTED_VALUE"""),0.0)</f>
        <v>0</v>
      </c>
      <c r="Q160" s="3">
        <f>IFERROR(__xludf.DUMMYFUNCTION("""COMPUTED_VALUE"""),0.0)</f>
        <v>0</v>
      </c>
      <c r="R160" s="3">
        <f>IFERROR(__xludf.DUMMYFUNCTION("""COMPUTED_VALUE"""),0.0)</f>
        <v>0</v>
      </c>
      <c r="S160" s="3">
        <f>IFERROR(__xludf.DUMMYFUNCTION("""COMPUTED_VALUE"""),0.0)</f>
        <v>0</v>
      </c>
      <c r="T160" s="3">
        <f>IFERROR(__xludf.DUMMYFUNCTION("""COMPUTED_VALUE"""),0.0)</f>
        <v>0</v>
      </c>
      <c r="U160" s="3">
        <f>IFERROR(__xludf.DUMMYFUNCTION("""COMPUTED_VALUE"""),0.0)</f>
        <v>0</v>
      </c>
      <c r="V160" s="3">
        <f>IFERROR(__xludf.DUMMYFUNCTION("""COMPUTED_VALUE"""),0.0)</f>
        <v>0</v>
      </c>
      <c r="W160" s="3">
        <f>IFERROR(__xludf.DUMMYFUNCTION("""COMPUTED_VALUE"""),0.0)</f>
        <v>0</v>
      </c>
      <c r="X160" s="3">
        <f>IFERROR(__xludf.DUMMYFUNCTION("""COMPUTED_VALUE"""),0.0)</f>
        <v>0</v>
      </c>
      <c r="Y160" s="3">
        <f>IFERROR(__xludf.DUMMYFUNCTION("""COMPUTED_VALUE"""),0.0)</f>
        <v>0</v>
      </c>
      <c r="Z160" s="3">
        <f>IFERROR(__xludf.DUMMYFUNCTION("""COMPUTED_VALUE"""),0.0)</f>
        <v>0</v>
      </c>
      <c r="AA160" s="3">
        <f>IFERROR(__xludf.DUMMYFUNCTION("""COMPUTED_VALUE"""),0.0)</f>
        <v>0</v>
      </c>
      <c r="AB160" s="3">
        <f>IFERROR(__xludf.DUMMYFUNCTION("""COMPUTED_VALUE"""),0.0)</f>
        <v>0</v>
      </c>
      <c r="AC160" s="3">
        <f>IFERROR(__xludf.DUMMYFUNCTION("""COMPUTED_VALUE"""),0.0)</f>
        <v>0</v>
      </c>
      <c r="AD160" s="3">
        <f>IFERROR(__xludf.DUMMYFUNCTION("""COMPUTED_VALUE"""),0.0)</f>
        <v>0</v>
      </c>
      <c r="AE160" s="3">
        <f>IFERROR(__xludf.DUMMYFUNCTION("""COMPUTED_VALUE"""),0.0)</f>
        <v>0</v>
      </c>
      <c r="AF160" s="3">
        <f>IFERROR(__xludf.DUMMYFUNCTION("""COMPUTED_VALUE"""),0.0)</f>
        <v>0</v>
      </c>
      <c r="AG160" s="3">
        <f>IFERROR(__xludf.DUMMYFUNCTION("""COMPUTED_VALUE"""),0.0)</f>
        <v>0</v>
      </c>
      <c r="AH160" s="3">
        <f>IFERROR(__xludf.DUMMYFUNCTION("""COMPUTED_VALUE"""),0.0)</f>
        <v>0</v>
      </c>
      <c r="AI160" s="3">
        <f>IFERROR(__xludf.DUMMYFUNCTION("""COMPUTED_VALUE"""),0.0)</f>
        <v>0</v>
      </c>
      <c r="AJ160" s="3">
        <f>IFERROR(__xludf.DUMMYFUNCTION("""COMPUTED_VALUE"""),0.0)</f>
        <v>0</v>
      </c>
      <c r="AK160" s="3">
        <f>IFERROR(__xludf.DUMMYFUNCTION("""COMPUTED_VALUE"""),0.0)</f>
        <v>0</v>
      </c>
      <c r="AL160" s="3">
        <f>IFERROR(__xludf.DUMMYFUNCTION("""COMPUTED_VALUE"""),0.0)</f>
        <v>0</v>
      </c>
      <c r="AM160" s="3">
        <f>IFERROR(__xludf.DUMMYFUNCTION("""COMPUTED_VALUE"""),0.0)</f>
        <v>0</v>
      </c>
      <c r="AN160" s="3">
        <f>IFERROR(__xludf.DUMMYFUNCTION("""COMPUTED_VALUE"""),0.0)</f>
        <v>0</v>
      </c>
      <c r="AO160" s="3">
        <f>IFERROR(__xludf.DUMMYFUNCTION("""COMPUTED_VALUE"""),0.0)</f>
        <v>0</v>
      </c>
      <c r="AP160" s="3">
        <f>IFERROR(__xludf.DUMMYFUNCTION("""COMPUTED_VALUE"""),0.0)</f>
        <v>0</v>
      </c>
      <c r="AQ160" s="3">
        <f>IFERROR(__xludf.DUMMYFUNCTION("""COMPUTED_VALUE"""),0.0)</f>
        <v>0</v>
      </c>
      <c r="AR160" s="3">
        <f>IFERROR(__xludf.DUMMYFUNCTION("""COMPUTED_VALUE"""),0.0)</f>
        <v>0</v>
      </c>
      <c r="AS160" s="3">
        <f>IFERROR(__xludf.DUMMYFUNCTION("""COMPUTED_VALUE"""),0.0)</f>
        <v>0</v>
      </c>
      <c r="AT160" s="3">
        <f>IFERROR(__xludf.DUMMYFUNCTION("""COMPUTED_VALUE"""),0.0)</f>
        <v>0</v>
      </c>
      <c r="AU160" s="3">
        <f>IFERROR(__xludf.DUMMYFUNCTION("""COMPUTED_VALUE"""),0.0)</f>
        <v>0</v>
      </c>
      <c r="AV160" s="3">
        <f>IFERROR(__xludf.DUMMYFUNCTION("""COMPUTED_VALUE"""),0.0)</f>
        <v>0</v>
      </c>
      <c r="AW160" s="3">
        <f>IFERROR(__xludf.DUMMYFUNCTION("""COMPUTED_VALUE"""),0.0)</f>
        <v>0</v>
      </c>
      <c r="AX160" s="3">
        <f>IFERROR(__xludf.DUMMYFUNCTION("""COMPUTED_VALUE"""),0.0)</f>
        <v>0</v>
      </c>
      <c r="AY160" s="3">
        <f>IFERROR(__xludf.DUMMYFUNCTION("""COMPUTED_VALUE"""),0.0)</f>
        <v>0</v>
      </c>
      <c r="AZ160" s="3">
        <f>IFERROR(__xludf.DUMMYFUNCTION("""COMPUTED_VALUE"""),0.0)</f>
        <v>0</v>
      </c>
      <c r="BA160" s="3">
        <f>IFERROR(__xludf.DUMMYFUNCTION("""COMPUTED_VALUE"""),0.0)</f>
        <v>0</v>
      </c>
      <c r="BB160" s="3">
        <f>IFERROR(__xludf.DUMMYFUNCTION("""COMPUTED_VALUE"""),0.0)</f>
        <v>0</v>
      </c>
      <c r="BC160" s="3">
        <f>IFERROR(__xludf.DUMMYFUNCTION("""COMPUTED_VALUE"""),0.0)</f>
        <v>0</v>
      </c>
      <c r="BD160" s="3">
        <f>IFERROR(__xludf.DUMMYFUNCTION("""COMPUTED_VALUE"""),0.0)</f>
        <v>0</v>
      </c>
      <c r="BE160" s="3">
        <f>IFERROR(__xludf.DUMMYFUNCTION("""COMPUTED_VALUE"""),0.0)</f>
        <v>0</v>
      </c>
      <c r="BF160" s="3">
        <f>IFERROR(__xludf.DUMMYFUNCTION("""COMPUTED_VALUE"""),0.0)</f>
        <v>0</v>
      </c>
      <c r="BG160" s="3">
        <f>IFERROR(__xludf.DUMMYFUNCTION("""COMPUTED_VALUE"""),0.0)</f>
        <v>0</v>
      </c>
      <c r="BH160" s="3">
        <f>IFERROR(__xludf.DUMMYFUNCTION("""COMPUTED_VALUE"""),0.0)</f>
        <v>0</v>
      </c>
      <c r="BI160" s="3">
        <f>IFERROR(__xludf.DUMMYFUNCTION("""COMPUTED_VALUE"""),0.0)</f>
        <v>0</v>
      </c>
      <c r="BJ160" s="3">
        <f>IFERROR(__xludf.DUMMYFUNCTION("""COMPUTED_VALUE"""),0.0)</f>
        <v>0</v>
      </c>
      <c r="BK160" s="3">
        <f>IFERROR(__xludf.DUMMYFUNCTION("""COMPUTED_VALUE"""),0.0)</f>
        <v>0</v>
      </c>
      <c r="BL160" s="3">
        <f>IFERROR(__xludf.DUMMYFUNCTION("""COMPUTED_VALUE"""),0.0)</f>
        <v>0</v>
      </c>
      <c r="BM160" s="3">
        <f>IFERROR(__xludf.DUMMYFUNCTION("""COMPUTED_VALUE"""),0.0)</f>
        <v>0</v>
      </c>
      <c r="BN160" s="3">
        <f>IFERROR(__xludf.DUMMYFUNCTION("""COMPUTED_VALUE"""),0.0)</f>
        <v>0</v>
      </c>
      <c r="BO160" s="3">
        <f>IFERROR(__xludf.DUMMYFUNCTION("""COMPUTED_VALUE"""),0.0)</f>
        <v>0</v>
      </c>
      <c r="BP160" s="3">
        <f>IFERROR(__xludf.DUMMYFUNCTION("""COMPUTED_VALUE"""),0.0)</f>
        <v>0</v>
      </c>
      <c r="BQ160" s="3">
        <f>IFERROR(__xludf.DUMMYFUNCTION("""COMPUTED_VALUE"""),0.0)</f>
        <v>0</v>
      </c>
      <c r="BR160" s="3">
        <f>IFERROR(__xludf.DUMMYFUNCTION("""COMPUTED_VALUE"""),0.0)</f>
        <v>0</v>
      </c>
      <c r="BS160" s="3">
        <f>IFERROR(__xludf.DUMMYFUNCTION("""COMPUTED_VALUE"""),0.0)</f>
        <v>0</v>
      </c>
      <c r="BT160" s="3">
        <f>IFERROR(__xludf.DUMMYFUNCTION("""COMPUTED_VALUE"""),0.0)</f>
        <v>0</v>
      </c>
      <c r="BU160" s="3">
        <f>IFERROR(__xludf.DUMMYFUNCTION("""COMPUTED_VALUE"""),0.0)</f>
        <v>0</v>
      </c>
      <c r="BV160" s="3">
        <f>IFERROR(__xludf.DUMMYFUNCTION("""COMPUTED_VALUE"""),0.0)</f>
        <v>0</v>
      </c>
      <c r="BW160" s="3">
        <f>IFERROR(__xludf.DUMMYFUNCTION("""COMPUTED_VALUE"""),0.0)</f>
        <v>0</v>
      </c>
      <c r="BX160" s="3">
        <f>IFERROR(__xludf.DUMMYFUNCTION("""COMPUTED_VALUE"""),0.0)</f>
        <v>0</v>
      </c>
      <c r="BY160" s="3">
        <f>IFERROR(__xludf.DUMMYFUNCTION("""COMPUTED_VALUE"""),1.0)</f>
        <v>1</v>
      </c>
      <c r="BZ160" s="3">
        <f>IFERROR(__xludf.DUMMYFUNCTION("""COMPUTED_VALUE"""),1.0)</f>
        <v>1</v>
      </c>
      <c r="CA160" s="3">
        <f>IFERROR(__xludf.DUMMYFUNCTION("""COMPUTED_VALUE"""),1.0)</f>
        <v>1</v>
      </c>
      <c r="CB160" s="3">
        <f>IFERROR(__xludf.DUMMYFUNCTION("""COMPUTED_VALUE"""),1.0)</f>
        <v>1</v>
      </c>
    </row>
    <row r="161">
      <c r="A161" s="3" t="str">
        <f>IFERROR(__xludf.DUMMYFUNCTION("""COMPUTED_VALUE"""),"")</f>
        <v/>
      </c>
      <c r="B161" s="3" t="str">
        <f>IFERROR(__xludf.DUMMYFUNCTION("""COMPUTED_VALUE"""),"Morocco")</f>
        <v>Morocco</v>
      </c>
      <c r="C161" s="3">
        <f>IFERROR(__xludf.DUMMYFUNCTION("""COMPUTED_VALUE"""),31.7917)</f>
        <v>31.7917</v>
      </c>
      <c r="D161" s="3">
        <f>IFERROR(__xludf.DUMMYFUNCTION("""COMPUTED_VALUE"""),-7.0926)</f>
        <v>-7.0926</v>
      </c>
      <c r="E161" s="3">
        <f>IFERROR(__xludf.DUMMYFUNCTION("""COMPUTED_VALUE"""),0.0)</f>
        <v>0</v>
      </c>
      <c r="F161" s="3">
        <f>IFERROR(__xludf.DUMMYFUNCTION("""COMPUTED_VALUE"""),0.0)</f>
        <v>0</v>
      </c>
      <c r="G161" s="3">
        <f>IFERROR(__xludf.DUMMYFUNCTION("""COMPUTED_VALUE"""),0.0)</f>
        <v>0</v>
      </c>
      <c r="H161" s="3">
        <f>IFERROR(__xludf.DUMMYFUNCTION("""COMPUTED_VALUE"""),0.0)</f>
        <v>0</v>
      </c>
      <c r="I161" s="3">
        <f>IFERROR(__xludf.DUMMYFUNCTION("""COMPUTED_VALUE"""),0.0)</f>
        <v>0</v>
      </c>
      <c r="J161" s="3">
        <f>IFERROR(__xludf.DUMMYFUNCTION("""COMPUTED_VALUE"""),0.0)</f>
        <v>0</v>
      </c>
      <c r="K161" s="3">
        <f>IFERROR(__xludf.DUMMYFUNCTION("""COMPUTED_VALUE"""),0.0)</f>
        <v>0</v>
      </c>
      <c r="L161" s="3">
        <f>IFERROR(__xludf.DUMMYFUNCTION("""COMPUTED_VALUE"""),0.0)</f>
        <v>0</v>
      </c>
      <c r="M161" s="3">
        <f>IFERROR(__xludf.DUMMYFUNCTION("""COMPUTED_VALUE"""),0.0)</f>
        <v>0</v>
      </c>
      <c r="N161" s="3">
        <f>IFERROR(__xludf.DUMMYFUNCTION("""COMPUTED_VALUE"""),0.0)</f>
        <v>0</v>
      </c>
      <c r="O161" s="3">
        <f>IFERROR(__xludf.DUMMYFUNCTION("""COMPUTED_VALUE"""),0.0)</f>
        <v>0</v>
      </c>
      <c r="P161" s="3">
        <f>IFERROR(__xludf.DUMMYFUNCTION("""COMPUTED_VALUE"""),0.0)</f>
        <v>0</v>
      </c>
      <c r="Q161" s="3">
        <f>IFERROR(__xludf.DUMMYFUNCTION("""COMPUTED_VALUE"""),0.0)</f>
        <v>0</v>
      </c>
      <c r="R161" s="3">
        <f>IFERROR(__xludf.DUMMYFUNCTION("""COMPUTED_VALUE"""),0.0)</f>
        <v>0</v>
      </c>
      <c r="S161" s="3">
        <f>IFERROR(__xludf.DUMMYFUNCTION("""COMPUTED_VALUE"""),0.0)</f>
        <v>0</v>
      </c>
      <c r="T161" s="3">
        <f>IFERROR(__xludf.DUMMYFUNCTION("""COMPUTED_VALUE"""),0.0)</f>
        <v>0</v>
      </c>
      <c r="U161" s="3">
        <f>IFERROR(__xludf.DUMMYFUNCTION("""COMPUTED_VALUE"""),0.0)</f>
        <v>0</v>
      </c>
      <c r="V161" s="3">
        <f>IFERROR(__xludf.DUMMYFUNCTION("""COMPUTED_VALUE"""),0.0)</f>
        <v>0</v>
      </c>
      <c r="W161" s="3">
        <f>IFERROR(__xludf.DUMMYFUNCTION("""COMPUTED_VALUE"""),0.0)</f>
        <v>0</v>
      </c>
      <c r="X161" s="3">
        <f>IFERROR(__xludf.DUMMYFUNCTION("""COMPUTED_VALUE"""),0.0)</f>
        <v>0</v>
      </c>
      <c r="Y161" s="3">
        <f>IFERROR(__xludf.DUMMYFUNCTION("""COMPUTED_VALUE"""),0.0)</f>
        <v>0</v>
      </c>
      <c r="Z161" s="3">
        <f>IFERROR(__xludf.DUMMYFUNCTION("""COMPUTED_VALUE"""),0.0)</f>
        <v>0</v>
      </c>
      <c r="AA161" s="3">
        <f>IFERROR(__xludf.DUMMYFUNCTION("""COMPUTED_VALUE"""),0.0)</f>
        <v>0</v>
      </c>
      <c r="AB161" s="3">
        <f>IFERROR(__xludf.DUMMYFUNCTION("""COMPUTED_VALUE"""),0.0)</f>
        <v>0</v>
      </c>
      <c r="AC161" s="3">
        <f>IFERROR(__xludf.DUMMYFUNCTION("""COMPUTED_VALUE"""),0.0)</f>
        <v>0</v>
      </c>
      <c r="AD161" s="3">
        <f>IFERROR(__xludf.DUMMYFUNCTION("""COMPUTED_VALUE"""),0.0)</f>
        <v>0</v>
      </c>
      <c r="AE161" s="3">
        <f>IFERROR(__xludf.DUMMYFUNCTION("""COMPUTED_VALUE"""),0.0)</f>
        <v>0</v>
      </c>
      <c r="AF161" s="3">
        <f>IFERROR(__xludf.DUMMYFUNCTION("""COMPUTED_VALUE"""),0.0)</f>
        <v>0</v>
      </c>
      <c r="AG161" s="3">
        <f>IFERROR(__xludf.DUMMYFUNCTION("""COMPUTED_VALUE"""),0.0)</f>
        <v>0</v>
      </c>
      <c r="AH161" s="3">
        <f>IFERROR(__xludf.DUMMYFUNCTION("""COMPUTED_VALUE"""),0.0)</f>
        <v>0</v>
      </c>
      <c r="AI161" s="3">
        <f>IFERROR(__xludf.DUMMYFUNCTION("""COMPUTED_VALUE"""),0.0)</f>
        <v>0</v>
      </c>
      <c r="AJ161" s="3">
        <f>IFERROR(__xludf.DUMMYFUNCTION("""COMPUTED_VALUE"""),0.0)</f>
        <v>0</v>
      </c>
      <c r="AK161" s="3">
        <f>IFERROR(__xludf.DUMMYFUNCTION("""COMPUTED_VALUE"""),0.0)</f>
        <v>0</v>
      </c>
      <c r="AL161" s="3">
        <f>IFERROR(__xludf.DUMMYFUNCTION("""COMPUTED_VALUE"""),0.0)</f>
        <v>0</v>
      </c>
      <c r="AM161" s="3">
        <f>IFERROR(__xludf.DUMMYFUNCTION("""COMPUTED_VALUE"""),0.0)</f>
        <v>0</v>
      </c>
      <c r="AN161" s="3">
        <f>IFERROR(__xludf.DUMMYFUNCTION("""COMPUTED_VALUE"""),0.0)</f>
        <v>0</v>
      </c>
      <c r="AO161" s="3">
        <f>IFERROR(__xludf.DUMMYFUNCTION("""COMPUTED_VALUE"""),0.0)</f>
        <v>0</v>
      </c>
      <c r="AP161" s="3">
        <f>IFERROR(__xludf.DUMMYFUNCTION("""COMPUTED_VALUE"""),0.0)</f>
        <v>0</v>
      </c>
      <c r="AQ161" s="3">
        <f>IFERROR(__xludf.DUMMYFUNCTION("""COMPUTED_VALUE"""),0.0)</f>
        <v>0</v>
      </c>
      <c r="AR161" s="3">
        <f>IFERROR(__xludf.DUMMYFUNCTION("""COMPUTED_VALUE"""),0.0)</f>
        <v>0</v>
      </c>
      <c r="AS161" s="3">
        <f>IFERROR(__xludf.DUMMYFUNCTION("""COMPUTED_VALUE"""),0.0)</f>
        <v>0</v>
      </c>
      <c r="AT161" s="3">
        <f>IFERROR(__xludf.DUMMYFUNCTION("""COMPUTED_VALUE"""),0.0)</f>
        <v>0</v>
      </c>
      <c r="AU161" s="3">
        <f>IFERROR(__xludf.DUMMYFUNCTION("""COMPUTED_VALUE"""),0.0)</f>
        <v>0</v>
      </c>
      <c r="AV161" s="3">
        <f>IFERROR(__xludf.DUMMYFUNCTION("""COMPUTED_VALUE"""),0.0)</f>
        <v>0</v>
      </c>
      <c r="AW161" s="3">
        <f>IFERROR(__xludf.DUMMYFUNCTION("""COMPUTED_VALUE"""),0.0)</f>
        <v>0</v>
      </c>
      <c r="AX161" s="3">
        <f>IFERROR(__xludf.DUMMYFUNCTION("""COMPUTED_VALUE"""),0.0)</f>
        <v>0</v>
      </c>
      <c r="AY161" s="3">
        <f>IFERROR(__xludf.DUMMYFUNCTION("""COMPUTED_VALUE"""),0.0)</f>
        <v>0</v>
      </c>
      <c r="AZ161" s="3">
        <f>IFERROR(__xludf.DUMMYFUNCTION("""COMPUTED_VALUE"""),0.0)</f>
        <v>0</v>
      </c>
      <c r="BA161" s="3">
        <f>IFERROR(__xludf.DUMMYFUNCTION("""COMPUTED_VALUE"""),0.0)</f>
        <v>0</v>
      </c>
      <c r="BB161" s="3">
        <f>IFERROR(__xludf.DUMMYFUNCTION("""COMPUTED_VALUE"""),0.0)</f>
        <v>0</v>
      </c>
      <c r="BC161" s="3">
        <f>IFERROR(__xludf.DUMMYFUNCTION("""COMPUTED_VALUE"""),0.0)</f>
        <v>0</v>
      </c>
      <c r="BD161" s="3">
        <f>IFERROR(__xludf.DUMMYFUNCTION("""COMPUTED_VALUE"""),1.0)</f>
        <v>1</v>
      </c>
      <c r="BE161" s="3">
        <f>IFERROR(__xludf.DUMMYFUNCTION("""COMPUTED_VALUE"""),1.0)</f>
        <v>1</v>
      </c>
      <c r="BF161" s="3">
        <f>IFERROR(__xludf.DUMMYFUNCTION("""COMPUTED_VALUE"""),1.0)</f>
        <v>1</v>
      </c>
      <c r="BG161" s="3">
        <f>IFERROR(__xludf.DUMMYFUNCTION("""COMPUTED_VALUE"""),1.0)</f>
        <v>1</v>
      </c>
      <c r="BH161" s="3">
        <f>IFERROR(__xludf.DUMMYFUNCTION("""COMPUTED_VALUE"""),1.0)</f>
        <v>1</v>
      </c>
      <c r="BI161" s="3">
        <f>IFERROR(__xludf.DUMMYFUNCTION("""COMPUTED_VALUE"""),1.0)</f>
        <v>1</v>
      </c>
      <c r="BJ161" s="3">
        <f>IFERROR(__xludf.DUMMYFUNCTION("""COMPUTED_VALUE"""),1.0)</f>
        <v>1</v>
      </c>
      <c r="BK161" s="3">
        <f>IFERROR(__xludf.DUMMYFUNCTION("""COMPUTED_VALUE"""),1.0)</f>
        <v>1</v>
      </c>
      <c r="BL161" s="3">
        <f>IFERROR(__xludf.DUMMYFUNCTION("""COMPUTED_VALUE"""),3.0)</f>
        <v>3</v>
      </c>
      <c r="BM161" s="3">
        <f>IFERROR(__xludf.DUMMYFUNCTION("""COMPUTED_VALUE"""),3.0)</f>
        <v>3</v>
      </c>
      <c r="BN161" s="3">
        <f>IFERROR(__xludf.DUMMYFUNCTION("""COMPUTED_VALUE"""),3.0)</f>
        <v>3</v>
      </c>
      <c r="BO161" s="3">
        <f>IFERROR(__xludf.DUMMYFUNCTION("""COMPUTED_VALUE"""),6.0)</f>
        <v>6</v>
      </c>
      <c r="BP161" s="3">
        <f>IFERROR(__xludf.DUMMYFUNCTION("""COMPUTED_VALUE"""),7.0)</f>
        <v>7</v>
      </c>
      <c r="BQ161" s="3">
        <f>IFERROR(__xludf.DUMMYFUNCTION("""COMPUTED_VALUE"""),8.0)</f>
        <v>8</v>
      </c>
      <c r="BR161" s="3">
        <f>IFERROR(__xludf.DUMMYFUNCTION("""COMPUTED_VALUE"""),11.0)</f>
        <v>11</v>
      </c>
      <c r="BS161" s="3">
        <f>IFERROR(__xludf.DUMMYFUNCTION("""COMPUTED_VALUE"""),11.0)</f>
        <v>11</v>
      </c>
      <c r="BT161" s="3">
        <f>IFERROR(__xludf.DUMMYFUNCTION("""COMPUTED_VALUE"""),13.0)</f>
        <v>13</v>
      </c>
      <c r="BU161" s="3">
        <f>IFERROR(__xludf.DUMMYFUNCTION("""COMPUTED_VALUE"""),15.0)</f>
        <v>15</v>
      </c>
      <c r="BV161" s="3">
        <f>IFERROR(__xludf.DUMMYFUNCTION("""COMPUTED_VALUE"""),24.0)</f>
        <v>24</v>
      </c>
      <c r="BW161" s="3">
        <f>IFERROR(__xludf.DUMMYFUNCTION("""COMPUTED_VALUE"""),29.0)</f>
        <v>29</v>
      </c>
      <c r="BX161" s="3">
        <f>IFERROR(__xludf.DUMMYFUNCTION("""COMPUTED_VALUE"""),31.0)</f>
        <v>31</v>
      </c>
      <c r="BY161" s="3">
        <f>IFERROR(__xludf.DUMMYFUNCTION("""COMPUTED_VALUE"""),57.0)</f>
        <v>57</v>
      </c>
      <c r="BZ161" s="3">
        <f>IFERROR(__xludf.DUMMYFUNCTION("""COMPUTED_VALUE"""),66.0)</f>
        <v>66</v>
      </c>
      <c r="CA161" s="3">
        <f>IFERROR(__xludf.DUMMYFUNCTION("""COMPUTED_VALUE"""),76.0)</f>
        <v>76</v>
      </c>
      <c r="CB161" s="3">
        <f>IFERROR(__xludf.DUMMYFUNCTION("""COMPUTED_VALUE"""),81.0)</f>
        <v>81</v>
      </c>
    </row>
    <row r="162">
      <c r="A162" s="3" t="str">
        <f>IFERROR(__xludf.DUMMYFUNCTION("""COMPUTED_VALUE"""),"")</f>
        <v/>
      </c>
      <c r="B162" s="3" t="str">
        <f>IFERROR(__xludf.DUMMYFUNCTION("""COMPUTED_VALUE"""),"Mozambique")</f>
        <v>Mozambique</v>
      </c>
      <c r="C162" s="3">
        <f>IFERROR(__xludf.DUMMYFUNCTION("""COMPUTED_VALUE"""),-18.6657)</f>
        <v>-18.6657</v>
      </c>
      <c r="D162" s="3">
        <f>IFERROR(__xludf.DUMMYFUNCTION("""COMPUTED_VALUE"""),35.5296)</f>
        <v>35.5296</v>
      </c>
      <c r="E162" s="3">
        <f>IFERROR(__xludf.DUMMYFUNCTION("""COMPUTED_VALUE"""),0.0)</f>
        <v>0</v>
      </c>
      <c r="F162" s="3">
        <f>IFERROR(__xludf.DUMMYFUNCTION("""COMPUTED_VALUE"""),0.0)</f>
        <v>0</v>
      </c>
      <c r="G162" s="3">
        <f>IFERROR(__xludf.DUMMYFUNCTION("""COMPUTED_VALUE"""),0.0)</f>
        <v>0</v>
      </c>
      <c r="H162" s="3">
        <f>IFERROR(__xludf.DUMMYFUNCTION("""COMPUTED_VALUE"""),0.0)</f>
        <v>0</v>
      </c>
      <c r="I162" s="3">
        <f>IFERROR(__xludf.DUMMYFUNCTION("""COMPUTED_VALUE"""),0.0)</f>
        <v>0</v>
      </c>
      <c r="J162" s="3">
        <f>IFERROR(__xludf.DUMMYFUNCTION("""COMPUTED_VALUE"""),0.0)</f>
        <v>0</v>
      </c>
      <c r="K162" s="3">
        <f>IFERROR(__xludf.DUMMYFUNCTION("""COMPUTED_VALUE"""),0.0)</f>
        <v>0</v>
      </c>
      <c r="L162" s="3">
        <f>IFERROR(__xludf.DUMMYFUNCTION("""COMPUTED_VALUE"""),0.0)</f>
        <v>0</v>
      </c>
      <c r="M162" s="3">
        <f>IFERROR(__xludf.DUMMYFUNCTION("""COMPUTED_VALUE"""),0.0)</f>
        <v>0</v>
      </c>
      <c r="N162" s="3">
        <f>IFERROR(__xludf.DUMMYFUNCTION("""COMPUTED_VALUE"""),0.0)</f>
        <v>0</v>
      </c>
      <c r="O162" s="3">
        <f>IFERROR(__xludf.DUMMYFUNCTION("""COMPUTED_VALUE"""),0.0)</f>
        <v>0</v>
      </c>
      <c r="P162" s="3">
        <f>IFERROR(__xludf.DUMMYFUNCTION("""COMPUTED_VALUE"""),0.0)</f>
        <v>0</v>
      </c>
      <c r="Q162" s="3">
        <f>IFERROR(__xludf.DUMMYFUNCTION("""COMPUTED_VALUE"""),0.0)</f>
        <v>0</v>
      </c>
      <c r="R162" s="3">
        <f>IFERROR(__xludf.DUMMYFUNCTION("""COMPUTED_VALUE"""),0.0)</f>
        <v>0</v>
      </c>
      <c r="S162" s="3">
        <f>IFERROR(__xludf.DUMMYFUNCTION("""COMPUTED_VALUE"""),0.0)</f>
        <v>0</v>
      </c>
      <c r="T162" s="3">
        <f>IFERROR(__xludf.DUMMYFUNCTION("""COMPUTED_VALUE"""),0.0)</f>
        <v>0</v>
      </c>
      <c r="U162" s="3">
        <f>IFERROR(__xludf.DUMMYFUNCTION("""COMPUTED_VALUE"""),0.0)</f>
        <v>0</v>
      </c>
      <c r="V162" s="3">
        <f>IFERROR(__xludf.DUMMYFUNCTION("""COMPUTED_VALUE"""),0.0)</f>
        <v>0</v>
      </c>
      <c r="W162" s="3">
        <f>IFERROR(__xludf.DUMMYFUNCTION("""COMPUTED_VALUE"""),0.0)</f>
        <v>0</v>
      </c>
      <c r="X162" s="3">
        <f>IFERROR(__xludf.DUMMYFUNCTION("""COMPUTED_VALUE"""),0.0)</f>
        <v>0</v>
      </c>
      <c r="Y162" s="3">
        <f>IFERROR(__xludf.DUMMYFUNCTION("""COMPUTED_VALUE"""),0.0)</f>
        <v>0</v>
      </c>
      <c r="Z162" s="3">
        <f>IFERROR(__xludf.DUMMYFUNCTION("""COMPUTED_VALUE"""),0.0)</f>
        <v>0</v>
      </c>
      <c r="AA162" s="3">
        <f>IFERROR(__xludf.DUMMYFUNCTION("""COMPUTED_VALUE"""),0.0)</f>
        <v>0</v>
      </c>
      <c r="AB162" s="3">
        <f>IFERROR(__xludf.DUMMYFUNCTION("""COMPUTED_VALUE"""),0.0)</f>
        <v>0</v>
      </c>
      <c r="AC162" s="3">
        <f>IFERROR(__xludf.DUMMYFUNCTION("""COMPUTED_VALUE"""),0.0)</f>
        <v>0</v>
      </c>
      <c r="AD162" s="3">
        <f>IFERROR(__xludf.DUMMYFUNCTION("""COMPUTED_VALUE"""),0.0)</f>
        <v>0</v>
      </c>
      <c r="AE162" s="3">
        <f>IFERROR(__xludf.DUMMYFUNCTION("""COMPUTED_VALUE"""),0.0)</f>
        <v>0</v>
      </c>
      <c r="AF162" s="3">
        <f>IFERROR(__xludf.DUMMYFUNCTION("""COMPUTED_VALUE"""),0.0)</f>
        <v>0</v>
      </c>
      <c r="AG162" s="3">
        <f>IFERROR(__xludf.DUMMYFUNCTION("""COMPUTED_VALUE"""),0.0)</f>
        <v>0</v>
      </c>
      <c r="AH162" s="3">
        <f>IFERROR(__xludf.DUMMYFUNCTION("""COMPUTED_VALUE"""),0.0)</f>
        <v>0</v>
      </c>
      <c r="AI162" s="3">
        <f>IFERROR(__xludf.DUMMYFUNCTION("""COMPUTED_VALUE"""),0.0)</f>
        <v>0</v>
      </c>
      <c r="AJ162" s="3">
        <f>IFERROR(__xludf.DUMMYFUNCTION("""COMPUTED_VALUE"""),0.0)</f>
        <v>0</v>
      </c>
      <c r="AK162" s="3">
        <f>IFERROR(__xludf.DUMMYFUNCTION("""COMPUTED_VALUE"""),0.0)</f>
        <v>0</v>
      </c>
      <c r="AL162" s="3">
        <f>IFERROR(__xludf.DUMMYFUNCTION("""COMPUTED_VALUE"""),0.0)</f>
        <v>0</v>
      </c>
      <c r="AM162" s="3">
        <f>IFERROR(__xludf.DUMMYFUNCTION("""COMPUTED_VALUE"""),0.0)</f>
        <v>0</v>
      </c>
      <c r="AN162" s="3">
        <f>IFERROR(__xludf.DUMMYFUNCTION("""COMPUTED_VALUE"""),0.0)</f>
        <v>0</v>
      </c>
      <c r="AO162" s="3">
        <f>IFERROR(__xludf.DUMMYFUNCTION("""COMPUTED_VALUE"""),0.0)</f>
        <v>0</v>
      </c>
      <c r="AP162" s="3">
        <f>IFERROR(__xludf.DUMMYFUNCTION("""COMPUTED_VALUE"""),0.0)</f>
        <v>0</v>
      </c>
      <c r="AQ162" s="3">
        <f>IFERROR(__xludf.DUMMYFUNCTION("""COMPUTED_VALUE"""),0.0)</f>
        <v>0</v>
      </c>
      <c r="AR162" s="3">
        <f>IFERROR(__xludf.DUMMYFUNCTION("""COMPUTED_VALUE"""),0.0)</f>
        <v>0</v>
      </c>
      <c r="AS162" s="3">
        <f>IFERROR(__xludf.DUMMYFUNCTION("""COMPUTED_VALUE"""),0.0)</f>
        <v>0</v>
      </c>
      <c r="AT162" s="3">
        <f>IFERROR(__xludf.DUMMYFUNCTION("""COMPUTED_VALUE"""),0.0)</f>
        <v>0</v>
      </c>
      <c r="AU162" s="3">
        <f>IFERROR(__xludf.DUMMYFUNCTION("""COMPUTED_VALUE"""),0.0)</f>
        <v>0</v>
      </c>
      <c r="AV162" s="3">
        <f>IFERROR(__xludf.DUMMYFUNCTION("""COMPUTED_VALUE"""),0.0)</f>
        <v>0</v>
      </c>
      <c r="AW162" s="3">
        <f>IFERROR(__xludf.DUMMYFUNCTION("""COMPUTED_VALUE"""),0.0)</f>
        <v>0</v>
      </c>
      <c r="AX162" s="3">
        <f>IFERROR(__xludf.DUMMYFUNCTION("""COMPUTED_VALUE"""),0.0)</f>
        <v>0</v>
      </c>
      <c r="AY162" s="3">
        <f>IFERROR(__xludf.DUMMYFUNCTION("""COMPUTED_VALUE"""),0.0)</f>
        <v>0</v>
      </c>
      <c r="AZ162" s="3">
        <f>IFERROR(__xludf.DUMMYFUNCTION("""COMPUTED_VALUE"""),0.0)</f>
        <v>0</v>
      </c>
      <c r="BA162" s="3">
        <f>IFERROR(__xludf.DUMMYFUNCTION("""COMPUTED_VALUE"""),0.0)</f>
        <v>0</v>
      </c>
      <c r="BB162" s="3">
        <f>IFERROR(__xludf.DUMMYFUNCTION("""COMPUTED_VALUE"""),0.0)</f>
        <v>0</v>
      </c>
      <c r="BC162" s="3">
        <f>IFERROR(__xludf.DUMMYFUNCTION("""COMPUTED_VALUE"""),0.0)</f>
        <v>0</v>
      </c>
      <c r="BD162" s="3">
        <f>IFERROR(__xludf.DUMMYFUNCTION("""COMPUTED_VALUE"""),0.0)</f>
        <v>0</v>
      </c>
      <c r="BE162" s="3">
        <f>IFERROR(__xludf.DUMMYFUNCTION("""COMPUTED_VALUE"""),0.0)</f>
        <v>0</v>
      </c>
      <c r="BF162" s="3">
        <f>IFERROR(__xludf.DUMMYFUNCTION("""COMPUTED_VALUE"""),0.0)</f>
        <v>0</v>
      </c>
      <c r="BG162" s="3">
        <f>IFERROR(__xludf.DUMMYFUNCTION("""COMPUTED_VALUE"""),0.0)</f>
        <v>0</v>
      </c>
      <c r="BH162" s="3">
        <f>IFERROR(__xludf.DUMMYFUNCTION("""COMPUTED_VALUE"""),0.0)</f>
        <v>0</v>
      </c>
      <c r="BI162" s="3">
        <f>IFERROR(__xludf.DUMMYFUNCTION("""COMPUTED_VALUE"""),0.0)</f>
        <v>0</v>
      </c>
      <c r="BJ162" s="3">
        <f>IFERROR(__xludf.DUMMYFUNCTION("""COMPUTED_VALUE"""),0.0)</f>
        <v>0</v>
      </c>
      <c r="BK162" s="3">
        <f>IFERROR(__xludf.DUMMYFUNCTION("""COMPUTED_VALUE"""),0.0)</f>
        <v>0</v>
      </c>
      <c r="BL162" s="3">
        <f>IFERROR(__xludf.DUMMYFUNCTION("""COMPUTED_VALUE"""),0.0)</f>
        <v>0</v>
      </c>
      <c r="BM162" s="3">
        <f>IFERROR(__xludf.DUMMYFUNCTION("""COMPUTED_VALUE"""),0.0)</f>
        <v>0</v>
      </c>
      <c r="BN162" s="3">
        <f>IFERROR(__xludf.DUMMYFUNCTION("""COMPUTED_VALUE"""),0.0)</f>
        <v>0</v>
      </c>
      <c r="BO162" s="3">
        <f>IFERROR(__xludf.DUMMYFUNCTION("""COMPUTED_VALUE"""),0.0)</f>
        <v>0</v>
      </c>
      <c r="BP162" s="3">
        <f>IFERROR(__xludf.DUMMYFUNCTION("""COMPUTED_VALUE"""),0.0)</f>
        <v>0</v>
      </c>
      <c r="BQ162" s="3">
        <f>IFERROR(__xludf.DUMMYFUNCTION("""COMPUTED_VALUE"""),0.0)</f>
        <v>0</v>
      </c>
      <c r="BR162" s="3">
        <f>IFERROR(__xludf.DUMMYFUNCTION("""COMPUTED_VALUE"""),0.0)</f>
        <v>0</v>
      </c>
      <c r="BS162" s="3">
        <f>IFERROR(__xludf.DUMMYFUNCTION("""COMPUTED_VALUE"""),0.0)</f>
        <v>0</v>
      </c>
      <c r="BT162" s="3">
        <f>IFERROR(__xludf.DUMMYFUNCTION("""COMPUTED_VALUE"""),0.0)</f>
        <v>0</v>
      </c>
      <c r="BU162" s="3">
        <f>IFERROR(__xludf.DUMMYFUNCTION("""COMPUTED_VALUE"""),0.0)</f>
        <v>0</v>
      </c>
      <c r="BV162" s="3">
        <f>IFERROR(__xludf.DUMMYFUNCTION("""COMPUTED_VALUE"""),0.0)</f>
        <v>0</v>
      </c>
      <c r="BW162" s="3">
        <f>IFERROR(__xludf.DUMMYFUNCTION("""COMPUTED_VALUE"""),0.0)</f>
        <v>0</v>
      </c>
      <c r="BX162" s="3">
        <f>IFERROR(__xludf.DUMMYFUNCTION("""COMPUTED_VALUE"""),0.0)</f>
        <v>0</v>
      </c>
      <c r="BY162" s="3">
        <f>IFERROR(__xludf.DUMMYFUNCTION("""COMPUTED_VALUE"""),0.0)</f>
        <v>0</v>
      </c>
      <c r="BZ162" s="3">
        <f>IFERROR(__xludf.DUMMYFUNCTION("""COMPUTED_VALUE"""),1.0)</f>
        <v>1</v>
      </c>
      <c r="CA162" s="3">
        <f>IFERROR(__xludf.DUMMYFUNCTION("""COMPUTED_VALUE"""),1.0)</f>
        <v>1</v>
      </c>
      <c r="CB162" s="3">
        <f>IFERROR(__xludf.DUMMYFUNCTION("""COMPUTED_VALUE"""),1.0)</f>
        <v>1</v>
      </c>
    </row>
    <row r="163">
      <c r="A163" s="3" t="str">
        <f>IFERROR(__xludf.DUMMYFUNCTION("""COMPUTED_VALUE"""),"")</f>
        <v/>
      </c>
      <c r="B163" s="3" t="str">
        <f>IFERROR(__xludf.DUMMYFUNCTION("""COMPUTED_VALUE"""),"Namibia")</f>
        <v>Namibia</v>
      </c>
      <c r="C163" s="3">
        <f>IFERROR(__xludf.DUMMYFUNCTION("""COMPUTED_VALUE"""),-22.9576)</f>
        <v>-22.9576</v>
      </c>
      <c r="D163" s="3">
        <f>IFERROR(__xludf.DUMMYFUNCTION("""COMPUTED_VALUE"""),18.4904)</f>
        <v>18.4904</v>
      </c>
      <c r="E163" s="3">
        <f>IFERROR(__xludf.DUMMYFUNCTION("""COMPUTED_VALUE"""),0.0)</f>
        <v>0</v>
      </c>
      <c r="F163" s="3">
        <f>IFERROR(__xludf.DUMMYFUNCTION("""COMPUTED_VALUE"""),0.0)</f>
        <v>0</v>
      </c>
      <c r="G163" s="3">
        <f>IFERROR(__xludf.DUMMYFUNCTION("""COMPUTED_VALUE"""),0.0)</f>
        <v>0</v>
      </c>
      <c r="H163" s="3">
        <f>IFERROR(__xludf.DUMMYFUNCTION("""COMPUTED_VALUE"""),0.0)</f>
        <v>0</v>
      </c>
      <c r="I163" s="3">
        <f>IFERROR(__xludf.DUMMYFUNCTION("""COMPUTED_VALUE"""),0.0)</f>
        <v>0</v>
      </c>
      <c r="J163" s="3">
        <f>IFERROR(__xludf.DUMMYFUNCTION("""COMPUTED_VALUE"""),0.0)</f>
        <v>0</v>
      </c>
      <c r="K163" s="3">
        <f>IFERROR(__xludf.DUMMYFUNCTION("""COMPUTED_VALUE"""),0.0)</f>
        <v>0</v>
      </c>
      <c r="L163" s="3">
        <f>IFERROR(__xludf.DUMMYFUNCTION("""COMPUTED_VALUE"""),0.0)</f>
        <v>0</v>
      </c>
      <c r="M163" s="3">
        <f>IFERROR(__xludf.DUMMYFUNCTION("""COMPUTED_VALUE"""),0.0)</f>
        <v>0</v>
      </c>
      <c r="N163" s="3">
        <f>IFERROR(__xludf.DUMMYFUNCTION("""COMPUTED_VALUE"""),0.0)</f>
        <v>0</v>
      </c>
      <c r="O163" s="3">
        <f>IFERROR(__xludf.DUMMYFUNCTION("""COMPUTED_VALUE"""),0.0)</f>
        <v>0</v>
      </c>
      <c r="P163" s="3">
        <f>IFERROR(__xludf.DUMMYFUNCTION("""COMPUTED_VALUE"""),0.0)</f>
        <v>0</v>
      </c>
      <c r="Q163" s="3">
        <f>IFERROR(__xludf.DUMMYFUNCTION("""COMPUTED_VALUE"""),0.0)</f>
        <v>0</v>
      </c>
      <c r="R163" s="3">
        <f>IFERROR(__xludf.DUMMYFUNCTION("""COMPUTED_VALUE"""),0.0)</f>
        <v>0</v>
      </c>
      <c r="S163" s="3">
        <f>IFERROR(__xludf.DUMMYFUNCTION("""COMPUTED_VALUE"""),0.0)</f>
        <v>0</v>
      </c>
      <c r="T163" s="3">
        <f>IFERROR(__xludf.DUMMYFUNCTION("""COMPUTED_VALUE"""),0.0)</f>
        <v>0</v>
      </c>
      <c r="U163" s="3">
        <f>IFERROR(__xludf.DUMMYFUNCTION("""COMPUTED_VALUE"""),0.0)</f>
        <v>0</v>
      </c>
      <c r="V163" s="3">
        <f>IFERROR(__xludf.DUMMYFUNCTION("""COMPUTED_VALUE"""),0.0)</f>
        <v>0</v>
      </c>
      <c r="W163" s="3">
        <f>IFERROR(__xludf.DUMMYFUNCTION("""COMPUTED_VALUE"""),0.0)</f>
        <v>0</v>
      </c>
      <c r="X163" s="3">
        <f>IFERROR(__xludf.DUMMYFUNCTION("""COMPUTED_VALUE"""),0.0)</f>
        <v>0</v>
      </c>
      <c r="Y163" s="3">
        <f>IFERROR(__xludf.DUMMYFUNCTION("""COMPUTED_VALUE"""),0.0)</f>
        <v>0</v>
      </c>
      <c r="Z163" s="3">
        <f>IFERROR(__xludf.DUMMYFUNCTION("""COMPUTED_VALUE"""),0.0)</f>
        <v>0</v>
      </c>
      <c r="AA163" s="3">
        <f>IFERROR(__xludf.DUMMYFUNCTION("""COMPUTED_VALUE"""),0.0)</f>
        <v>0</v>
      </c>
      <c r="AB163" s="3">
        <f>IFERROR(__xludf.DUMMYFUNCTION("""COMPUTED_VALUE"""),0.0)</f>
        <v>0</v>
      </c>
      <c r="AC163" s="3">
        <f>IFERROR(__xludf.DUMMYFUNCTION("""COMPUTED_VALUE"""),0.0)</f>
        <v>0</v>
      </c>
      <c r="AD163" s="3">
        <f>IFERROR(__xludf.DUMMYFUNCTION("""COMPUTED_VALUE"""),0.0)</f>
        <v>0</v>
      </c>
      <c r="AE163" s="3">
        <f>IFERROR(__xludf.DUMMYFUNCTION("""COMPUTED_VALUE"""),0.0)</f>
        <v>0</v>
      </c>
      <c r="AF163" s="3">
        <f>IFERROR(__xludf.DUMMYFUNCTION("""COMPUTED_VALUE"""),0.0)</f>
        <v>0</v>
      </c>
      <c r="AG163" s="3">
        <f>IFERROR(__xludf.DUMMYFUNCTION("""COMPUTED_VALUE"""),0.0)</f>
        <v>0</v>
      </c>
      <c r="AH163" s="3">
        <f>IFERROR(__xludf.DUMMYFUNCTION("""COMPUTED_VALUE"""),0.0)</f>
        <v>0</v>
      </c>
      <c r="AI163" s="3">
        <f>IFERROR(__xludf.DUMMYFUNCTION("""COMPUTED_VALUE"""),0.0)</f>
        <v>0</v>
      </c>
      <c r="AJ163" s="3">
        <f>IFERROR(__xludf.DUMMYFUNCTION("""COMPUTED_VALUE"""),0.0)</f>
        <v>0</v>
      </c>
      <c r="AK163" s="3">
        <f>IFERROR(__xludf.DUMMYFUNCTION("""COMPUTED_VALUE"""),0.0)</f>
        <v>0</v>
      </c>
      <c r="AL163" s="3">
        <f>IFERROR(__xludf.DUMMYFUNCTION("""COMPUTED_VALUE"""),0.0)</f>
        <v>0</v>
      </c>
      <c r="AM163" s="3">
        <f>IFERROR(__xludf.DUMMYFUNCTION("""COMPUTED_VALUE"""),0.0)</f>
        <v>0</v>
      </c>
      <c r="AN163" s="3">
        <f>IFERROR(__xludf.DUMMYFUNCTION("""COMPUTED_VALUE"""),0.0)</f>
        <v>0</v>
      </c>
      <c r="AO163" s="3">
        <f>IFERROR(__xludf.DUMMYFUNCTION("""COMPUTED_VALUE"""),0.0)</f>
        <v>0</v>
      </c>
      <c r="AP163" s="3">
        <f>IFERROR(__xludf.DUMMYFUNCTION("""COMPUTED_VALUE"""),0.0)</f>
        <v>0</v>
      </c>
      <c r="AQ163" s="3">
        <f>IFERROR(__xludf.DUMMYFUNCTION("""COMPUTED_VALUE"""),0.0)</f>
        <v>0</v>
      </c>
      <c r="AR163" s="3">
        <f>IFERROR(__xludf.DUMMYFUNCTION("""COMPUTED_VALUE"""),0.0)</f>
        <v>0</v>
      </c>
      <c r="AS163" s="3">
        <f>IFERROR(__xludf.DUMMYFUNCTION("""COMPUTED_VALUE"""),0.0)</f>
        <v>0</v>
      </c>
      <c r="AT163" s="3">
        <f>IFERROR(__xludf.DUMMYFUNCTION("""COMPUTED_VALUE"""),0.0)</f>
        <v>0</v>
      </c>
      <c r="AU163" s="3">
        <f>IFERROR(__xludf.DUMMYFUNCTION("""COMPUTED_VALUE"""),0.0)</f>
        <v>0</v>
      </c>
      <c r="AV163" s="3">
        <f>IFERROR(__xludf.DUMMYFUNCTION("""COMPUTED_VALUE"""),0.0)</f>
        <v>0</v>
      </c>
      <c r="AW163" s="3">
        <f>IFERROR(__xludf.DUMMYFUNCTION("""COMPUTED_VALUE"""),0.0)</f>
        <v>0</v>
      </c>
      <c r="AX163" s="3">
        <f>IFERROR(__xludf.DUMMYFUNCTION("""COMPUTED_VALUE"""),0.0)</f>
        <v>0</v>
      </c>
      <c r="AY163" s="3">
        <f>IFERROR(__xludf.DUMMYFUNCTION("""COMPUTED_VALUE"""),0.0)</f>
        <v>0</v>
      </c>
      <c r="AZ163" s="3">
        <f>IFERROR(__xludf.DUMMYFUNCTION("""COMPUTED_VALUE"""),0.0)</f>
        <v>0</v>
      </c>
      <c r="BA163" s="3">
        <f>IFERROR(__xludf.DUMMYFUNCTION("""COMPUTED_VALUE"""),0.0)</f>
        <v>0</v>
      </c>
      <c r="BB163" s="3">
        <f>IFERROR(__xludf.DUMMYFUNCTION("""COMPUTED_VALUE"""),0.0)</f>
        <v>0</v>
      </c>
      <c r="BC163" s="3">
        <f>IFERROR(__xludf.DUMMYFUNCTION("""COMPUTED_VALUE"""),0.0)</f>
        <v>0</v>
      </c>
      <c r="BD163" s="3">
        <f>IFERROR(__xludf.DUMMYFUNCTION("""COMPUTED_VALUE"""),0.0)</f>
        <v>0</v>
      </c>
      <c r="BE163" s="3">
        <f>IFERROR(__xludf.DUMMYFUNCTION("""COMPUTED_VALUE"""),0.0)</f>
        <v>0</v>
      </c>
      <c r="BF163" s="3">
        <f>IFERROR(__xludf.DUMMYFUNCTION("""COMPUTED_VALUE"""),0.0)</f>
        <v>0</v>
      </c>
      <c r="BG163" s="3">
        <f>IFERROR(__xludf.DUMMYFUNCTION("""COMPUTED_VALUE"""),0.0)</f>
        <v>0</v>
      </c>
      <c r="BH163" s="3">
        <f>IFERROR(__xludf.DUMMYFUNCTION("""COMPUTED_VALUE"""),0.0)</f>
        <v>0</v>
      </c>
      <c r="BI163" s="3">
        <f>IFERROR(__xludf.DUMMYFUNCTION("""COMPUTED_VALUE"""),0.0)</f>
        <v>0</v>
      </c>
      <c r="BJ163" s="3">
        <f>IFERROR(__xludf.DUMMYFUNCTION("""COMPUTED_VALUE"""),0.0)</f>
        <v>0</v>
      </c>
      <c r="BK163" s="3">
        <f>IFERROR(__xludf.DUMMYFUNCTION("""COMPUTED_VALUE"""),0.0)</f>
        <v>0</v>
      </c>
      <c r="BL163" s="3">
        <f>IFERROR(__xludf.DUMMYFUNCTION("""COMPUTED_VALUE"""),0.0)</f>
        <v>0</v>
      </c>
      <c r="BM163" s="3">
        <f>IFERROR(__xludf.DUMMYFUNCTION("""COMPUTED_VALUE"""),0.0)</f>
        <v>0</v>
      </c>
      <c r="BN163" s="3">
        <f>IFERROR(__xludf.DUMMYFUNCTION("""COMPUTED_VALUE"""),0.0)</f>
        <v>0</v>
      </c>
      <c r="BO163" s="3">
        <f>IFERROR(__xludf.DUMMYFUNCTION("""COMPUTED_VALUE"""),2.0)</f>
        <v>2</v>
      </c>
      <c r="BP163" s="3">
        <f>IFERROR(__xludf.DUMMYFUNCTION("""COMPUTED_VALUE"""),2.0)</f>
        <v>2</v>
      </c>
      <c r="BQ163" s="3">
        <f>IFERROR(__xludf.DUMMYFUNCTION("""COMPUTED_VALUE"""),2.0)</f>
        <v>2</v>
      </c>
      <c r="BR163" s="3">
        <f>IFERROR(__xludf.DUMMYFUNCTION("""COMPUTED_VALUE"""),2.0)</f>
        <v>2</v>
      </c>
      <c r="BS163" s="3">
        <f>IFERROR(__xludf.DUMMYFUNCTION("""COMPUTED_VALUE"""),2.0)</f>
        <v>2</v>
      </c>
      <c r="BT163" s="3">
        <f>IFERROR(__xludf.DUMMYFUNCTION("""COMPUTED_VALUE"""),2.0)</f>
        <v>2</v>
      </c>
      <c r="BU163" s="3">
        <f>IFERROR(__xludf.DUMMYFUNCTION("""COMPUTED_VALUE"""),2.0)</f>
        <v>2</v>
      </c>
      <c r="BV163" s="3">
        <f>IFERROR(__xludf.DUMMYFUNCTION("""COMPUTED_VALUE"""),2.0)</f>
        <v>2</v>
      </c>
      <c r="BW163" s="3">
        <f>IFERROR(__xludf.DUMMYFUNCTION("""COMPUTED_VALUE"""),2.0)</f>
        <v>2</v>
      </c>
      <c r="BX163" s="3">
        <f>IFERROR(__xludf.DUMMYFUNCTION("""COMPUTED_VALUE"""),3.0)</f>
        <v>3</v>
      </c>
      <c r="BY163" s="3">
        <f>IFERROR(__xludf.DUMMYFUNCTION("""COMPUTED_VALUE"""),3.0)</f>
        <v>3</v>
      </c>
      <c r="BZ163" s="3">
        <f>IFERROR(__xludf.DUMMYFUNCTION("""COMPUTED_VALUE"""),3.0)</f>
        <v>3</v>
      </c>
      <c r="CA163" s="3">
        <f>IFERROR(__xludf.DUMMYFUNCTION("""COMPUTED_VALUE"""),3.0)</f>
        <v>3</v>
      </c>
      <c r="CB163" s="3">
        <f>IFERROR(__xludf.DUMMYFUNCTION("""COMPUTED_VALUE"""),3.0)</f>
        <v>3</v>
      </c>
    </row>
    <row r="164">
      <c r="A164" s="3" t="str">
        <f>IFERROR(__xludf.DUMMYFUNCTION("""COMPUTED_VALUE"""),"")</f>
        <v/>
      </c>
      <c r="B164" s="3" t="str">
        <f>IFERROR(__xludf.DUMMYFUNCTION("""COMPUTED_VALUE"""),"Nepal")</f>
        <v>Nepal</v>
      </c>
      <c r="C164" s="3">
        <f>IFERROR(__xludf.DUMMYFUNCTION("""COMPUTED_VALUE"""),28.1667)</f>
        <v>28.1667</v>
      </c>
      <c r="D164" s="3">
        <f>IFERROR(__xludf.DUMMYFUNCTION("""COMPUTED_VALUE"""),84.25)</f>
        <v>84.25</v>
      </c>
      <c r="E164" s="3">
        <f>IFERROR(__xludf.DUMMYFUNCTION("""COMPUTED_VALUE"""),0.0)</f>
        <v>0</v>
      </c>
      <c r="F164" s="3">
        <f>IFERROR(__xludf.DUMMYFUNCTION("""COMPUTED_VALUE"""),0.0)</f>
        <v>0</v>
      </c>
      <c r="G164" s="3">
        <f>IFERROR(__xludf.DUMMYFUNCTION("""COMPUTED_VALUE"""),0.0)</f>
        <v>0</v>
      </c>
      <c r="H164" s="3">
        <f>IFERROR(__xludf.DUMMYFUNCTION("""COMPUTED_VALUE"""),0.0)</f>
        <v>0</v>
      </c>
      <c r="I164" s="3">
        <f>IFERROR(__xludf.DUMMYFUNCTION("""COMPUTED_VALUE"""),0.0)</f>
        <v>0</v>
      </c>
      <c r="J164" s="3">
        <f>IFERROR(__xludf.DUMMYFUNCTION("""COMPUTED_VALUE"""),0.0)</f>
        <v>0</v>
      </c>
      <c r="K164" s="3">
        <f>IFERROR(__xludf.DUMMYFUNCTION("""COMPUTED_VALUE"""),0.0)</f>
        <v>0</v>
      </c>
      <c r="L164" s="3">
        <f>IFERROR(__xludf.DUMMYFUNCTION("""COMPUTED_VALUE"""),0.0)</f>
        <v>0</v>
      </c>
      <c r="M164" s="3">
        <f>IFERROR(__xludf.DUMMYFUNCTION("""COMPUTED_VALUE"""),0.0)</f>
        <v>0</v>
      </c>
      <c r="N164" s="3">
        <f>IFERROR(__xludf.DUMMYFUNCTION("""COMPUTED_VALUE"""),0.0)</f>
        <v>0</v>
      </c>
      <c r="O164" s="3">
        <f>IFERROR(__xludf.DUMMYFUNCTION("""COMPUTED_VALUE"""),0.0)</f>
        <v>0</v>
      </c>
      <c r="P164" s="3">
        <f>IFERROR(__xludf.DUMMYFUNCTION("""COMPUTED_VALUE"""),0.0)</f>
        <v>0</v>
      </c>
      <c r="Q164" s="3">
        <f>IFERROR(__xludf.DUMMYFUNCTION("""COMPUTED_VALUE"""),0.0)</f>
        <v>0</v>
      </c>
      <c r="R164" s="3">
        <f>IFERROR(__xludf.DUMMYFUNCTION("""COMPUTED_VALUE"""),0.0)</f>
        <v>0</v>
      </c>
      <c r="S164" s="3">
        <f>IFERROR(__xludf.DUMMYFUNCTION("""COMPUTED_VALUE"""),0.0)</f>
        <v>0</v>
      </c>
      <c r="T164" s="3">
        <f>IFERROR(__xludf.DUMMYFUNCTION("""COMPUTED_VALUE"""),0.0)</f>
        <v>0</v>
      </c>
      <c r="U164" s="3">
        <f>IFERROR(__xludf.DUMMYFUNCTION("""COMPUTED_VALUE"""),0.0)</f>
        <v>0</v>
      </c>
      <c r="V164" s="3">
        <f>IFERROR(__xludf.DUMMYFUNCTION("""COMPUTED_VALUE"""),0.0)</f>
        <v>0</v>
      </c>
      <c r="W164" s="3">
        <f>IFERROR(__xludf.DUMMYFUNCTION("""COMPUTED_VALUE"""),0.0)</f>
        <v>0</v>
      </c>
      <c r="X164" s="3">
        <f>IFERROR(__xludf.DUMMYFUNCTION("""COMPUTED_VALUE"""),0.0)</f>
        <v>0</v>
      </c>
      <c r="Y164" s="3">
        <f>IFERROR(__xludf.DUMMYFUNCTION("""COMPUTED_VALUE"""),0.0)</f>
        <v>0</v>
      </c>
      <c r="Z164" s="3">
        <f>IFERROR(__xludf.DUMMYFUNCTION("""COMPUTED_VALUE"""),1.0)</f>
        <v>1</v>
      </c>
      <c r="AA164" s="3">
        <f>IFERROR(__xludf.DUMMYFUNCTION("""COMPUTED_VALUE"""),1.0)</f>
        <v>1</v>
      </c>
      <c r="AB164" s="3">
        <f>IFERROR(__xludf.DUMMYFUNCTION("""COMPUTED_VALUE"""),1.0)</f>
        <v>1</v>
      </c>
      <c r="AC164" s="3">
        <f>IFERROR(__xludf.DUMMYFUNCTION("""COMPUTED_VALUE"""),1.0)</f>
        <v>1</v>
      </c>
      <c r="AD164" s="3">
        <f>IFERROR(__xludf.DUMMYFUNCTION("""COMPUTED_VALUE"""),1.0)</f>
        <v>1</v>
      </c>
      <c r="AE164" s="3">
        <f>IFERROR(__xludf.DUMMYFUNCTION("""COMPUTED_VALUE"""),1.0)</f>
        <v>1</v>
      </c>
      <c r="AF164" s="3">
        <f>IFERROR(__xludf.DUMMYFUNCTION("""COMPUTED_VALUE"""),1.0)</f>
        <v>1</v>
      </c>
      <c r="AG164" s="3">
        <f>IFERROR(__xludf.DUMMYFUNCTION("""COMPUTED_VALUE"""),1.0)</f>
        <v>1</v>
      </c>
      <c r="AH164" s="3">
        <f>IFERROR(__xludf.DUMMYFUNCTION("""COMPUTED_VALUE"""),1.0)</f>
        <v>1</v>
      </c>
      <c r="AI164" s="3">
        <f>IFERROR(__xludf.DUMMYFUNCTION("""COMPUTED_VALUE"""),1.0)</f>
        <v>1</v>
      </c>
      <c r="AJ164" s="3">
        <f>IFERROR(__xludf.DUMMYFUNCTION("""COMPUTED_VALUE"""),1.0)</f>
        <v>1</v>
      </c>
      <c r="AK164" s="3">
        <f>IFERROR(__xludf.DUMMYFUNCTION("""COMPUTED_VALUE"""),1.0)</f>
        <v>1</v>
      </c>
      <c r="AL164" s="3">
        <f>IFERROR(__xludf.DUMMYFUNCTION("""COMPUTED_VALUE"""),1.0)</f>
        <v>1</v>
      </c>
      <c r="AM164" s="3">
        <f>IFERROR(__xludf.DUMMYFUNCTION("""COMPUTED_VALUE"""),1.0)</f>
        <v>1</v>
      </c>
      <c r="AN164" s="3">
        <f>IFERROR(__xludf.DUMMYFUNCTION("""COMPUTED_VALUE"""),1.0)</f>
        <v>1</v>
      </c>
      <c r="AO164" s="3">
        <f>IFERROR(__xludf.DUMMYFUNCTION("""COMPUTED_VALUE"""),1.0)</f>
        <v>1</v>
      </c>
      <c r="AP164" s="3">
        <f>IFERROR(__xludf.DUMMYFUNCTION("""COMPUTED_VALUE"""),1.0)</f>
        <v>1</v>
      </c>
      <c r="AQ164" s="3">
        <f>IFERROR(__xludf.DUMMYFUNCTION("""COMPUTED_VALUE"""),1.0)</f>
        <v>1</v>
      </c>
      <c r="AR164" s="3">
        <f>IFERROR(__xludf.DUMMYFUNCTION("""COMPUTED_VALUE"""),1.0)</f>
        <v>1</v>
      </c>
      <c r="AS164" s="3">
        <f>IFERROR(__xludf.DUMMYFUNCTION("""COMPUTED_VALUE"""),1.0)</f>
        <v>1</v>
      </c>
      <c r="AT164" s="3">
        <f>IFERROR(__xludf.DUMMYFUNCTION("""COMPUTED_VALUE"""),1.0)</f>
        <v>1</v>
      </c>
      <c r="AU164" s="3">
        <f>IFERROR(__xludf.DUMMYFUNCTION("""COMPUTED_VALUE"""),1.0)</f>
        <v>1</v>
      </c>
      <c r="AV164" s="3">
        <f>IFERROR(__xludf.DUMMYFUNCTION("""COMPUTED_VALUE"""),1.0)</f>
        <v>1</v>
      </c>
      <c r="AW164" s="3">
        <f>IFERROR(__xludf.DUMMYFUNCTION("""COMPUTED_VALUE"""),1.0)</f>
        <v>1</v>
      </c>
      <c r="AX164" s="3">
        <f>IFERROR(__xludf.DUMMYFUNCTION("""COMPUTED_VALUE"""),1.0)</f>
        <v>1</v>
      </c>
      <c r="AY164" s="3">
        <f>IFERROR(__xludf.DUMMYFUNCTION("""COMPUTED_VALUE"""),1.0)</f>
        <v>1</v>
      </c>
      <c r="AZ164" s="3">
        <f>IFERROR(__xludf.DUMMYFUNCTION("""COMPUTED_VALUE"""),1.0)</f>
        <v>1</v>
      </c>
      <c r="BA164" s="3">
        <f>IFERROR(__xludf.DUMMYFUNCTION("""COMPUTED_VALUE"""),1.0)</f>
        <v>1</v>
      </c>
      <c r="BB164" s="3">
        <f>IFERROR(__xludf.DUMMYFUNCTION("""COMPUTED_VALUE"""),1.0)</f>
        <v>1</v>
      </c>
      <c r="BC164" s="3">
        <f>IFERROR(__xludf.DUMMYFUNCTION("""COMPUTED_VALUE"""),1.0)</f>
        <v>1</v>
      </c>
      <c r="BD164" s="3">
        <f>IFERROR(__xludf.DUMMYFUNCTION("""COMPUTED_VALUE"""),1.0)</f>
        <v>1</v>
      </c>
      <c r="BE164" s="3">
        <f>IFERROR(__xludf.DUMMYFUNCTION("""COMPUTED_VALUE"""),1.0)</f>
        <v>1</v>
      </c>
      <c r="BF164" s="3">
        <f>IFERROR(__xludf.DUMMYFUNCTION("""COMPUTED_VALUE"""),1.0)</f>
        <v>1</v>
      </c>
      <c r="BG164" s="3">
        <f>IFERROR(__xludf.DUMMYFUNCTION("""COMPUTED_VALUE"""),1.0)</f>
        <v>1</v>
      </c>
      <c r="BH164" s="3">
        <f>IFERROR(__xludf.DUMMYFUNCTION("""COMPUTED_VALUE"""),1.0)</f>
        <v>1</v>
      </c>
      <c r="BI164" s="3">
        <f>IFERROR(__xludf.DUMMYFUNCTION("""COMPUTED_VALUE"""),1.0)</f>
        <v>1</v>
      </c>
      <c r="BJ164" s="3">
        <f>IFERROR(__xludf.DUMMYFUNCTION("""COMPUTED_VALUE"""),1.0)</f>
        <v>1</v>
      </c>
      <c r="BK164" s="3">
        <f>IFERROR(__xludf.DUMMYFUNCTION("""COMPUTED_VALUE"""),1.0)</f>
        <v>1</v>
      </c>
      <c r="BL164" s="3">
        <f>IFERROR(__xludf.DUMMYFUNCTION("""COMPUTED_VALUE"""),1.0)</f>
        <v>1</v>
      </c>
      <c r="BM164" s="3">
        <f>IFERROR(__xludf.DUMMYFUNCTION("""COMPUTED_VALUE"""),1.0)</f>
        <v>1</v>
      </c>
      <c r="BN164" s="3">
        <f>IFERROR(__xludf.DUMMYFUNCTION("""COMPUTED_VALUE"""),1.0)</f>
        <v>1</v>
      </c>
      <c r="BO164" s="3">
        <f>IFERROR(__xludf.DUMMYFUNCTION("""COMPUTED_VALUE"""),1.0)</f>
        <v>1</v>
      </c>
      <c r="BP164" s="3">
        <f>IFERROR(__xludf.DUMMYFUNCTION("""COMPUTED_VALUE"""),1.0)</f>
        <v>1</v>
      </c>
      <c r="BQ164" s="3">
        <f>IFERROR(__xludf.DUMMYFUNCTION("""COMPUTED_VALUE"""),1.0)</f>
        <v>1</v>
      </c>
      <c r="BR164" s="3">
        <f>IFERROR(__xludf.DUMMYFUNCTION("""COMPUTED_VALUE"""),1.0)</f>
        <v>1</v>
      </c>
      <c r="BS164" s="3">
        <f>IFERROR(__xludf.DUMMYFUNCTION("""COMPUTED_VALUE"""),1.0)</f>
        <v>1</v>
      </c>
      <c r="BT164" s="3">
        <f>IFERROR(__xludf.DUMMYFUNCTION("""COMPUTED_VALUE"""),1.0)</f>
        <v>1</v>
      </c>
      <c r="BU164" s="3">
        <f>IFERROR(__xludf.DUMMYFUNCTION("""COMPUTED_VALUE"""),1.0)</f>
        <v>1</v>
      </c>
      <c r="BV164" s="3">
        <f>IFERROR(__xludf.DUMMYFUNCTION("""COMPUTED_VALUE"""),1.0)</f>
        <v>1</v>
      </c>
      <c r="BW164" s="3">
        <f>IFERROR(__xludf.DUMMYFUNCTION("""COMPUTED_VALUE"""),1.0)</f>
        <v>1</v>
      </c>
      <c r="BX164" s="3">
        <f>IFERROR(__xludf.DUMMYFUNCTION("""COMPUTED_VALUE"""),1.0)</f>
        <v>1</v>
      </c>
      <c r="BY164" s="3">
        <f>IFERROR(__xludf.DUMMYFUNCTION("""COMPUTED_VALUE"""),1.0)</f>
        <v>1</v>
      </c>
      <c r="BZ164" s="3">
        <f>IFERROR(__xludf.DUMMYFUNCTION("""COMPUTED_VALUE"""),1.0)</f>
        <v>1</v>
      </c>
      <c r="CA164" s="3">
        <f>IFERROR(__xludf.DUMMYFUNCTION("""COMPUTED_VALUE"""),1.0)</f>
        <v>1</v>
      </c>
      <c r="CB164" s="3">
        <f>IFERROR(__xludf.DUMMYFUNCTION("""COMPUTED_VALUE"""),1.0)</f>
        <v>1</v>
      </c>
    </row>
    <row r="165">
      <c r="A165" s="3" t="str">
        <f>IFERROR(__xludf.DUMMYFUNCTION("""COMPUTED_VALUE"""),"Aruba")</f>
        <v>Aruba</v>
      </c>
      <c r="B165" s="3" t="str">
        <f>IFERROR(__xludf.DUMMYFUNCTION("""COMPUTED_VALUE"""),"Netherlands")</f>
        <v>Netherlands</v>
      </c>
      <c r="C165" s="3">
        <f>IFERROR(__xludf.DUMMYFUNCTION("""COMPUTED_VALUE"""),12.5186)</f>
        <v>12.5186</v>
      </c>
      <c r="D165" s="3">
        <f>IFERROR(__xludf.DUMMYFUNCTION("""COMPUTED_VALUE"""),-70.0358)</f>
        <v>-70.0358</v>
      </c>
      <c r="E165" s="3">
        <f>IFERROR(__xludf.DUMMYFUNCTION("""COMPUTED_VALUE"""),0.0)</f>
        <v>0</v>
      </c>
      <c r="F165" s="3">
        <f>IFERROR(__xludf.DUMMYFUNCTION("""COMPUTED_VALUE"""),0.0)</f>
        <v>0</v>
      </c>
      <c r="G165" s="3">
        <f>IFERROR(__xludf.DUMMYFUNCTION("""COMPUTED_VALUE"""),0.0)</f>
        <v>0</v>
      </c>
      <c r="H165" s="3">
        <f>IFERROR(__xludf.DUMMYFUNCTION("""COMPUTED_VALUE"""),0.0)</f>
        <v>0</v>
      </c>
      <c r="I165" s="3">
        <f>IFERROR(__xludf.DUMMYFUNCTION("""COMPUTED_VALUE"""),0.0)</f>
        <v>0</v>
      </c>
      <c r="J165" s="3">
        <f>IFERROR(__xludf.DUMMYFUNCTION("""COMPUTED_VALUE"""),0.0)</f>
        <v>0</v>
      </c>
      <c r="K165" s="3">
        <f>IFERROR(__xludf.DUMMYFUNCTION("""COMPUTED_VALUE"""),0.0)</f>
        <v>0</v>
      </c>
      <c r="L165" s="3">
        <f>IFERROR(__xludf.DUMMYFUNCTION("""COMPUTED_VALUE"""),0.0)</f>
        <v>0</v>
      </c>
      <c r="M165" s="3">
        <f>IFERROR(__xludf.DUMMYFUNCTION("""COMPUTED_VALUE"""),0.0)</f>
        <v>0</v>
      </c>
      <c r="N165" s="3">
        <f>IFERROR(__xludf.DUMMYFUNCTION("""COMPUTED_VALUE"""),0.0)</f>
        <v>0</v>
      </c>
      <c r="O165" s="3">
        <f>IFERROR(__xludf.DUMMYFUNCTION("""COMPUTED_VALUE"""),0.0)</f>
        <v>0</v>
      </c>
      <c r="P165" s="3">
        <f>IFERROR(__xludf.DUMMYFUNCTION("""COMPUTED_VALUE"""),0.0)</f>
        <v>0</v>
      </c>
      <c r="Q165" s="3">
        <f>IFERROR(__xludf.DUMMYFUNCTION("""COMPUTED_VALUE"""),0.0)</f>
        <v>0</v>
      </c>
      <c r="R165" s="3">
        <f>IFERROR(__xludf.DUMMYFUNCTION("""COMPUTED_VALUE"""),0.0)</f>
        <v>0</v>
      </c>
      <c r="S165" s="3">
        <f>IFERROR(__xludf.DUMMYFUNCTION("""COMPUTED_VALUE"""),0.0)</f>
        <v>0</v>
      </c>
      <c r="T165" s="3">
        <f>IFERROR(__xludf.DUMMYFUNCTION("""COMPUTED_VALUE"""),0.0)</f>
        <v>0</v>
      </c>
      <c r="U165" s="3">
        <f>IFERROR(__xludf.DUMMYFUNCTION("""COMPUTED_VALUE"""),0.0)</f>
        <v>0</v>
      </c>
      <c r="V165" s="3">
        <f>IFERROR(__xludf.DUMMYFUNCTION("""COMPUTED_VALUE"""),0.0)</f>
        <v>0</v>
      </c>
      <c r="W165" s="3">
        <f>IFERROR(__xludf.DUMMYFUNCTION("""COMPUTED_VALUE"""),0.0)</f>
        <v>0</v>
      </c>
      <c r="X165" s="3">
        <f>IFERROR(__xludf.DUMMYFUNCTION("""COMPUTED_VALUE"""),0.0)</f>
        <v>0</v>
      </c>
      <c r="Y165" s="3">
        <f>IFERROR(__xludf.DUMMYFUNCTION("""COMPUTED_VALUE"""),0.0)</f>
        <v>0</v>
      </c>
      <c r="Z165" s="3">
        <f>IFERROR(__xludf.DUMMYFUNCTION("""COMPUTED_VALUE"""),0.0)</f>
        <v>0</v>
      </c>
      <c r="AA165" s="3">
        <f>IFERROR(__xludf.DUMMYFUNCTION("""COMPUTED_VALUE"""),0.0)</f>
        <v>0</v>
      </c>
      <c r="AB165" s="3">
        <f>IFERROR(__xludf.DUMMYFUNCTION("""COMPUTED_VALUE"""),0.0)</f>
        <v>0</v>
      </c>
      <c r="AC165" s="3">
        <f>IFERROR(__xludf.DUMMYFUNCTION("""COMPUTED_VALUE"""),0.0)</f>
        <v>0</v>
      </c>
      <c r="AD165" s="3">
        <f>IFERROR(__xludf.DUMMYFUNCTION("""COMPUTED_VALUE"""),0.0)</f>
        <v>0</v>
      </c>
      <c r="AE165" s="3">
        <f>IFERROR(__xludf.DUMMYFUNCTION("""COMPUTED_VALUE"""),0.0)</f>
        <v>0</v>
      </c>
      <c r="AF165" s="3">
        <f>IFERROR(__xludf.DUMMYFUNCTION("""COMPUTED_VALUE"""),0.0)</f>
        <v>0</v>
      </c>
      <c r="AG165" s="3">
        <f>IFERROR(__xludf.DUMMYFUNCTION("""COMPUTED_VALUE"""),0.0)</f>
        <v>0</v>
      </c>
      <c r="AH165" s="3">
        <f>IFERROR(__xludf.DUMMYFUNCTION("""COMPUTED_VALUE"""),0.0)</f>
        <v>0</v>
      </c>
      <c r="AI165" s="3">
        <f>IFERROR(__xludf.DUMMYFUNCTION("""COMPUTED_VALUE"""),0.0)</f>
        <v>0</v>
      </c>
      <c r="AJ165" s="3">
        <f>IFERROR(__xludf.DUMMYFUNCTION("""COMPUTED_VALUE"""),0.0)</f>
        <v>0</v>
      </c>
      <c r="AK165" s="3">
        <f>IFERROR(__xludf.DUMMYFUNCTION("""COMPUTED_VALUE"""),0.0)</f>
        <v>0</v>
      </c>
      <c r="AL165" s="3">
        <f>IFERROR(__xludf.DUMMYFUNCTION("""COMPUTED_VALUE"""),0.0)</f>
        <v>0</v>
      </c>
      <c r="AM165" s="3">
        <f>IFERROR(__xludf.DUMMYFUNCTION("""COMPUTED_VALUE"""),0.0)</f>
        <v>0</v>
      </c>
      <c r="AN165" s="3">
        <f>IFERROR(__xludf.DUMMYFUNCTION("""COMPUTED_VALUE"""),0.0)</f>
        <v>0</v>
      </c>
      <c r="AO165" s="3">
        <f>IFERROR(__xludf.DUMMYFUNCTION("""COMPUTED_VALUE"""),0.0)</f>
        <v>0</v>
      </c>
      <c r="AP165" s="3">
        <f>IFERROR(__xludf.DUMMYFUNCTION("""COMPUTED_VALUE"""),0.0)</f>
        <v>0</v>
      </c>
      <c r="AQ165" s="3">
        <f>IFERROR(__xludf.DUMMYFUNCTION("""COMPUTED_VALUE"""),0.0)</f>
        <v>0</v>
      </c>
      <c r="AR165" s="3">
        <f>IFERROR(__xludf.DUMMYFUNCTION("""COMPUTED_VALUE"""),0.0)</f>
        <v>0</v>
      </c>
      <c r="AS165" s="3">
        <f>IFERROR(__xludf.DUMMYFUNCTION("""COMPUTED_VALUE"""),0.0)</f>
        <v>0</v>
      </c>
      <c r="AT165" s="3">
        <f>IFERROR(__xludf.DUMMYFUNCTION("""COMPUTED_VALUE"""),0.0)</f>
        <v>0</v>
      </c>
      <c r="AU165" s="3">
        <f>IFERROR(__xludf.DUMMYFUNCTION("""COMPUTED_VALUE"""),0.0)</f>
        <v>0</v>
      </c>
      <c r="AV165" s="3">
        <f>IFERROR(__xludf.DUMMYFUNCTION("""COMPUTED_VALUE"""),0.0)</f>
        <v>0</v>
      </c>
      <c r="AW165" s="3">
        <f>IFERROR(__xludf.DUMMYFUNCTION("""COMPUTED_VALUE"""),0.0)</f>
        <v>0</v>
      </c>
      <c r="AX165" s="3">
        <f>IFERROR(__xludf.DUMMYFUNCTION("""COMPUTED_VALUE"""),0.0)</f>
        <v>0</v>
      </c>
      <c r="AY165" s="3">
        <f>IFERROR(__xludf.DUMMYFUNCTION("""COMPUTED_VALUE"""),0.0)</f>
        <v>0</v>
      </c>
      <c r="AZ165" s="3">
        <f>IFERROR(__xludf.DUMMYFUNCTION("""COMPUTED_VALUE"""),0.0)</f>
        <v>0</v>
      </c>
      <c r="BA165" s="3">
        <f>IFERROR(__xludf.DUMMYFUNCTION("""COMPUTED_VALUE"""),0.0)</f>
        <v>0</v>
      </c>
      <c r="BB165" s="3">
        <f>IFERROR(__xludf.DUMMYFUNCTION("""COMPUTED_VALUE"""),0.0)</f>
        <v>0</v>
      </c>
      <c r="BC165" s="3">
        <f>IFERROR(__xludf.DUMMYFUNCTION("""COMPUTED_VALUE"""),0.0)</f>
        <v>0</v>
      </c>
      <c r="BD165" s="3">
        <f>IFERROR(__xludf.DUMMYFUNCTION("""COMPUTED_VALUE"""),0.0)</f>
        <v>0</v>
      </c>
      <c r="BE165" s="3">
        <f>IFERROR(__xludf.DUMMYFUNCTION("""COMPUTED_VALUE"""),0.0)</f>
        <v>0</v>
      </c>
      <c r="BF165" s="3">
        <f>IFERROR(__xludf.DUMMYFUNCTION("""COMPUTED_VALUE"""),0.0)</f>
        <v>0</v>
      </c>
      <c r="BG165" s="3">
        <f>IFERROR(__xludf.DUMMYFUNCTION("""COMPUTED_VALUE"""),0.0)</f>
        <v>0</v>
      </c>
      <c r="BH165" s="3">
        <f>IFERROR(__xludf.DUMMYFUNCTION("""COMPUTED_VALUE"""),0.0)</f>
        <v>0</v>
      </c>
      <c r="BI165" s="3">
        <f>IFERROR(__xludf.DUMMYFUNCTION("""COMPUTED_VALUE"""),0.0)</f>
        <v>0</v>
      </c>
      <c r="BJ165" s="3">
        <f>IFERROR(__xludf.DUMMYFUNCTION("""COMPUTED_VALUE"""),0.0)</f>
        <v>0</v>
      </c>
      <c r="BK165" s="3">
        <f>IFERROR(__xludf.DUMMYFUNCTION("""COMPUTED_VALUE"""),0.0)</f>
        <v>0</v>
      </c>
      <c r="BL165" s="3">
        <f>IFERROR(__xludf.DUMMYFUNCTION("""COMPUTED_VALUE"""),0.0)</f>
        <v>0</v>
      </c>
      <c r="BM165" s="3">
        <f>IFERROR(__xludf.DUMMYFUNCTION("""COMPUTED_VALUE"""),0.0)</f>
        <v>0</v>
      </c>
      <c r="BN165" s="3">
        <f>IFERROR(__xludf.DUMMYFUNCTION("""COMPUTED_VALUE"""),0.0)</f>
        <v>0</v>
      </c>
      <c r="BO165" s="3">
        <f>IFERROR(__xludf.DUMMYFUNCTION("""COMPUTED_VALUE"""),1.0)</f>
        <v>1</v>
      </c>
      <c r="BP165" s="3">
        <f>IFERROR(__xludf.DUMMYFUNCTION("""COMPUTED_VALUE"""),1.0)</f>
        <v>1</v>
      </c>
      <c r="BQ165" s="3">
        <f>IFERROR(__xludf.DUMMYFUNCTION("""COMPUTED_VALUE"""),1.0)</f>
        <v>1</v>
      </c>
      <c r="BR165" s="3">
        <f>IFERROR(__xludf.DUMMYFUNCTION("""COMPUTED_VALUE"""),1.0)</f>
        <v>1</v>
      </c>
      <c r="BS165" s="3">
        <f>IFERROR(__xludf.DUMMYFUNCTION("""COMPUTED_VALUE"""),1.0)</f>
        <v>1</v>
      </c>
      <c r="BT165" s="3">
        <f>IFERROR(__xludf.DUMMYFUNCTION("""COMPUTED_VALUE"""),1.0)</f>
        <v>1</v>
      </c>
      <c r="BU165" s="3">
        <f>IFERROR(__xludf.DUMMYFUNCTION("""COMPUTED_VALUE"""),1.0)</f>
        <v>1</v>
      </c>
      <c r="BV165" s="3">
        <f>IFERROR(__xludf.DUMMYFUNCTION("""COMPUTED_VALUE"""),1.0)</f>
        <v>1</v>
      </c>
      <c r="BW165" s="3">
        <f>IFERROR(__xludf.DUMMYFUNCTION("""COMPUTED_VALUE"""),1.0)</f>
        <v>1</v>
      </c>
      <c r="BX165" s="3">
        <f>IFERROR(__xludf.DUMMYFUNCTION("""COMPUTED_VALUE"""),1.0)</f>
        <v>1</v>
      </c>
      <c r="BY165" s="3">
        <f>IFERROR(__xludf.DUMMYFUNCTION("""COMPUTED_VALUE"""),1.0)</f>
        <v>1</v>
      </c>
      <c r="BZ165" s="3">
        <f>IFERROR(__xludf.DUMMYFUNCTION("""COMPUTED_VALUE"""),1.0)</f>
        <v>1</v>
      </c>
      <c r="CA165" s="3">
        <f>IFERROR(__xludf.DUMMYFUNCTION("""COMPUTED_VALUE"""),1.0)</f>
        <v>1</v>
      </c>
      <c r="CB165" s="3">
        <f>IFERROR(__xludf.DUMMYFUNCTION("""COMPUTED_VALUE"""),2.0)</f>
        <v>2</v>
      </c>
    </row>
    <row r="166">
      <c r="A166" s="3" t="str">
        <f>IFERROR(__xludf.DUMMYFUNCTION("""COMPUTED_VALUE"""),"Curacao")</f>
        <v>Curacao</v>
      </c>
      <c r="B166" s="3" t="str">
        <f>IFERROR(__xludf.DUMMYFUNCTION("""COMPUTED_VALUE"""),"Netherlands")</f>
        <v>Netherlands</v>
      </c>
      <c r="C166" s="3">
        <f>IFERROR(__xludf.DUMMYFUNCTION("""COMPUTED_VALUE"""),12.1696)</f>
        <v>12.1696</v>
      </c>
      <c r="D166" s="3">
        <f>IFERROR(__xludf.DUMMYFUNCTION("""COMPUTED_VALUE"""),-68.99)</f>
        <v>-68.99</v>
      </c>
      <c r="E166" s="3">
        <f>IFERROR(__xludf.DUMMYFUNCTION("""COMPUTED_VALUE"""),0.0)</f>
        <v>0</v>
      </c>
      <c r="F166" s="3">
        <f>IFERROR(__xludf.DUMMYFUNCTION("""COMPUTED_VALUE"""),0.0)</f>
        <v>0</v>
      </c>
      <c r="G166" s="3">
        <f>IFERROR(__xludf.DUMMYFUNCTION("""COMPUTED_VALUE"""),0.0)</f>
        <v>0</v>
      </c>
      <c r="H166" s="3">
        <f>IFERROR(__xludf.DUMMYFUNCTION("""COMPUTED_VALUE"""),0.0)</f>
        <v>0</v>
      </c>
      <c r="I166" s="3">
        <f>IFERROR(__xludf.DUMMYFUNCTION("""COMPUTED_VALUE"""),0.0)</f>
        <v>0</v>
      </c>
      <c r="J166" s="3">
        <f>IFERROR(__xludf.DUMMYFUNCTION("""COMPUTED_VALUE"""),0.0)</f>
        <v>0</v>
      </c>
      <c r="K166" s="3">
        <f>IFERROR(__xludf.DUMMYFUNCTION("""COMPUTED_VALUE"""),0.0)</f>
        <v>0</v>
      </c>
      <c r="L166" s="3">
        <f>IFERROR(__xludf.DUMMYFUNCTION("""COMPUTED_VALUE"""),0.0)</f>
        <v>0</v>
      </c>
      <c r="M166" s="3">
        <f>IFERROR(__xludf.DUMMYFUNCTION("""COMPUTED_VALUE"""),0.0)</f>
        <v>0</v>
      </c>
      <c r="N166" s="3">
        <f>IFERROR(__xludf.DUMMYFUNCTION("""COMPUTED_VALUE"""),0.0)</f>
        <v>0</v>
      </c>
      <c r="O166" s="3">
        <f>IFERROR(__xludf.DUMMYFUNCTION("""COMPUTED_VALUE"""),0.0)</f>
        <v>0</v>
      </c>
      <c r="P166" s="3">
        <f>IFERROR(__xludf.DUMMYFUNCTION("""COMPUTED_VALUE"""),0.0)</f>
        <v>0</v>
      </c>
      <c r="Q166" s="3">
        <f>IFERROR(__xludf.DUMMYFUNCTION("""COMPUTED_VALUE"""),0.0)</f>
        <v>0</v>
      </c>
      <c r="R166" s="3">
        <f>IFERROR(__xludf.DUMMYFUNCTION("""COMPUTED_VALUE"""),0.0)</f>
        <v>0</v>
      </c>
      <c r="S166" s="3">
        <f>IFERROR(__xludf.DUMMYFUNCTION("""COMPUTED_VALUE"""),0.0)</f>
        <v>0</v>
      </c>
      <c r="T166" s="3">
        <f>IFERROR(__xludf.DUMMYFUNCTION("""COMPUTED_VALUE"""),0.0)</f>
        <v>0</v>
      </c>
      <c r="U166" s="3">
        <f>IFERROR(__xludf.DUMMYFUNCTION("""COMPUTED_VALUE"""),0.0)</f>
        <v>0</v>
      </c>
      <c r="V166" s="3">
        <f>IFERROR(__xludf.DUMMYFUNCTION("""COMPUTED_VALUE"""),0.0)</f>
        <v>0</v>
      </c>
      <c r="W166" s="3">
        <f>IFERROR(__xludf.DUMMYFUNCTION("""COMPUTED_VALUE"""),0.0)</f>
        <v>0</v>
      </c>
      <c r="X166" s="3">
        <f>IFERROR(__xludf.DUMMYFUNCTION("""COMPUTED_VALUE"""),0.0)</f>
        <v>0</v>
      </c>
      <c r="Y166" s="3">
        <f>IFERROR(__xludf.DUMMYFUNCTION("""COMPUTED_VALUE"""),0.0)</f>
        <v>0</v>
      </c>
      <c r="Z166" s="3">
        <f>IFERROR(__xludf.DUMMYFUNCTION("""COMPUTED_VALUE"""),0.0)</f>
        <v>0</v>
      </c>
      <c r="AA166" s="3">
        <f>IFERROR(__xludf.DUMMYFUNCTION("""COMPUTED_VALUE"""),0.0)</f>
        <v>0</v>
      </c>
      <c r="AB166" s="3">
        <f>IFERROR(__xludf.DUMMYFUNCTION("""COMPUTED_VALUE"""),0.0)</f>
        <v>0</v>
      </c>
      <c r="AC166" s="3">
        <f>IFERROR(__xludf.DUMMYFUNCTION("""COMPUTED_VALUE"""),0.0)</f>
        <v>0</v>
      </c>
      <c r="AD166" s="3">
        <f>IFERROR(__xludf.DUMMYFUNCTION("""COMPUTED_VALUE"""),0.0)</f>
        <v>0</v>
      </c>
      <c r="AE166" s="3">
        <f>IFERROR(__xludf.DUMMYFUNCTION("""COMPUTED_VALUE"""),0.0)</f>
        <v>0</v>
      </c>
      <c r="AF166" s="3">
        <f>IFERROR(__xludf.DUMMYFUNCTION("""COMPUTED_VALUE"""),0.0)</f>
        <v>0</v>
      </c>
      <c r="AG166" s="3">
        <f>IFERROR(__xludf.DUMMYFUNCTION("""COMPUTED_VALUE"""),0.0)</f>
        <v>0</v>
      </c>
      <c r="AH166" s="3">
        <f>IFERROR(__xludf.DUMMYFUNCTION("""COMPUTED_VALUE"""),0.0)</f>
        <v>0</v>
      </c>
      <c r="AI166" s="3">
        <f>IFERROR(__xludf.DUMMYFUNCTION("""COMPUTED_VALUE"""),0.0)</f>
        <v>0</v>
      </c>
      <c r="AJ166" s="3">
        <f>IFERROR(__xludf.DUMMYFUNCTION("""COMPUTED_VALUE"""),0.0)</f>
        <v>0</v>
      </c>
      <c r="AK166" s="3">
        <f>IFERROR(__xludf.DUMMYFUNCTION("""COMPUTED_VALUE"""),0.0)</f>
        <v>0</v>
      </c>
      <c r="AL166" s="3">
        <f>IFERROR(__xludf.DUMMYFUNCTION("""COMPUTED_VALUE"""),0.0)</f>
        <v>0</v>
      </c>
      <c r="AM166" s="3">
        <f>IFERROR(__xludf.DUMMYFUNCTION("""COMPUTED_VALUE"""),0.0)</f>
        <v>0</v>
      </c>
      <c r="AN166" s="3">
        <f>IFERROR(__xludf.DUMMYFUNCTION("""COMPUTED_VALUE"""),0.0)</f>
        <v>0</v>
      </c>
      <c r="AO166" s="3">
        <f>IFERROR(__xludf.DUMMYFUNCTION("""COMPUTED_VALUE"""),0.0)</f>
        <v>0</v>
      </c>
      <c r="AP166" s="3">
        <f>IFERROR(__xludf.DUMMYFUNCTION("""COMPUTED_VALUE"""),0.0)</f>
        <v>0</v>
      </c>
      <c r="AQ166" s="3">
        <f>IFERROR(__xludf.DUMMYFUNCTION("""COMPUTED_VALUE"""),0.0)</f>
        <v>0</v>
      </c>
      <c r="AR166" s="3">
        <f>IFERROR(__xludf.DUMMYFUNCTION("""COMPUTED_VALUE"""),0.0)</f>
        <v>0</v>
      </c>
      <c r="AS166" s="3">
        <f>IFERROR(__xludf.DUMMYFUNCTION("""COMPUTED_VALUE"""),0.0)</f>
        <v>0</v>
      </c>
      <c r="AT166" s="3">
        <f>IFERROR(__xludf.DUMMYFUNCTION("""COMPUTED_VALUE"""),0.0)</f>
        <v>0</v>
      </c>
      <c r="AU166" s="3">
        <f>IFERROR(__xludf.DUMMYFUNCTION("""COMPUTED_VALUE"""),0.0)</f>
        <v>0</v>
      </c>
      <c r="AV166" s="3">
        <f>IFERROR(__xludf.DUMMYFUNCTION("""COMPUTED_VALUE"""),0.0)</f>
        <v>0</v>
      </c>
      <c r="AW166" s="3">
        <f>IFERROR(__xludf.DUMMYFUNCTION("""COMPUTED_VALUE"""),0.0)</f>
        <v>0</v>
      </c>
      <c r="AX166" s="3">
        <f>IFERROR(__xludf.DUMMYFUNCTION("""COMPUTED_VALUE"""),0.0)</f>
        <v>0</v>
      </c>
      <c r="AY166" s="3">
        <f>IFERROR(__xludf.DUMMYFUNCTION("""COMPUTED_VALUE"""),0.0)</f>
        <v>0</v>
      </c>
      <c r="AZ166" s="3">
        <f>IFERROR(__xludf.DUMMYFUNCTION("""COMPUTED_VALUE"""),0.0)</f>
        <v>0</v>
      </c>
      <c r="BA166" s="3">
        <f>IFERROR(__xludf.DUMMYFUNCTION("""COMPUTED_VALUE"""),0.0)</f>
        <v>0</v>
      </c>
      <c r="BB166" s="3">
        <f>IFERROR(__xludf.DUMMYFUNCTION("""COMPUTED_VALUE"""),0.0)</f>
        <v>0</v>
      </c>
      <c r="BC166" s="3">
        <f>IFERROR(__xludf.DUMMYFUNCTION("""COMPUTED_VALUE"""),0.0)</f>
        <v>0</v>
      </c>
      <c r="BD166" s="3">
        <f>IFERROR(__xludf.DUMMYFUNCTION("""COMPUTED_VALUE"""),0.0)</f>
        <v>0</v>
      </c>
      <c r="BE166" s="3">
        <f>IFERROR(__xludf.DUMMYFUNCTION("""COMPUTED_VALUE"""),0.0)</f>
        <v>0</v>
      </c>
      <c r="BF166" s="3">
        <f>IFERROR(__xludf.DUMMYFUNCTION("""COMPUTED_VALUE"""),0.0)</f>
        <v>0</v>
      </c>
      <c r="BG166" s="3">
        <f>IFERROR(__xludf.DUMMYFUNCTION("""COMPUTED_VALUE"""),0.0)</f>
        <v>0</v>
      </c>
      <c r="BH166" s="3">
        <f>IFERROR(__xludf.DUMMYFUNCTION("""COMPUTED_VALUE"""),0.0)</f>
        <v>0</v>
      </c>
      <c r="BI166" s="3">
        <f>IFERROR(__xludf.DUMMYFUNCTION("""COMPUTED_VALUE"""),0.0)</f>
        <v>0</v>
      </c>
      <c r="BJ166" s="3">
        <f>IFERROR(__xludf.DUMMYFUNCTION("""COMPUTED_VALUE"""),0.0)</f>
        <v>0</v>
      </c>
      <c r="BK166" s="3">
        <f>IFERROR(__xludf.DUMMYFUNCTION("""COMPUTED_VALUE"""),0.0)</f>
        <v>0</v>
      </c>
      <c r="BL166" s="3">
        <f>IFERROR(__xludf.DUMMYFUNCTION("""COMPUTED_VALUE"""),0.0)</f>
        <v>0</v>
      </c>
      <c r="BM166" s="3">
        <f>IFERROR(__xludf.DUMMYFUNCTION("""COMPUTED_VALUE"""),0.0)</f>
        <v>0</v>
      </c>
      <c r="BN166" s="3">
        <f>IFERROR(__xludf.DUMMYFUNCTION("""COMPUTED_VALUE"""),0.0)</f>
        <v>0</v>
      </c>
      <c r="BO166" s="3">
        <f>IFERROR(__xludf.DUMMYFUNCTION("""COMPUTED_VALUE"""),0.0)</f>
        <v>0</v>
      </c>
      <c r="BP166" s="3">
        <f>IFERROR(__xludf.DUMMYFUNCTION("""COMPUTED_VALUE"""),0.0)</f>
        <v>0</v>
      </c>
      <c r="BQ166" s="3">
        <f>IFERROR(__xludf.DUMMYFUNCTION("""COMPUTED_VALUE"""),2.0)</f>
        <v>2</v>
      </c>
      <c r="BR166" s="3">
        <f>IFERROR(__xludf.DUMMYFUNCTION("""COMPUTED_VALUE"""),2.0)</f>
        <v>2</v>
      </c>
      <c r="BS166" s="3">
        <f>IFERROR(__xludf.DUMMYFUNCTION("""COMPUTED_VALUE"""),2.0)</f>
        <v>2</v>
      </c>
      <c r="BT166" s="3">
        <f>IFERROR(__xludf.DUMMYFUNCTION("""COMPUTED_VALUE"""),2.0)</f>
        <v>2</v>
      </c>
      <c r="BU166" s="3">
        <f>IFERROR(__xludf.DUMMYFUNCTION("""COMPUTED_VALUE"""),2.0)</f>
        <v>2</v>
      </c>
      <c r="BV166" s="3">
        <f>IFERROR(__xludf.DUMMYFUNCTION("""COMPUTED_VALUE"""),2.0)</f>
        <v>2</v>
      </c>
      <c r="BW166" s="3">
        <f>IFERROR(__xludf.DUMMYFUNCTION("""COMPUTED_VALUE"""),3.0)</f>
        <v>3</v>
      </c>
      <c r="BX166" s="3">
        <f>IFERROR(__xludf.DUMMYFUNCTION("""COMPUTED_VALUE"""),3.0)</f>
        <v>3</v>
      </c>
      <c r="BY166" s="3">
        <f>IFERROR(__xludf.DUMMYFUNCTION("""COMPUTED_VALUE"""),3.0)</f>
        <v>3</v>
      </c>
      <c r="BZ166" s="3">
        <f>IFERROR(__xludf.DUMMYFUNCTION("""COMPUTED_VALUE"""),5.0)</f>
        <v>5</v>
      </c>
      <c r="CA166" s="3">
        <f>IFERROR(__xludf.DUMMYFUNCTION("""COMPUTED_VALUE"""),5.0)</f>
        <v>5</v>
      </c>
      <c r="CB166" s="3">
        <f>IFERROR(__xludf.DUMMYFUNCTION("""COMPUTED_VALUE"""),5.0)</f>
        <v>5</v>
      </c>
    </row>
    <row r="167">
      <c r="A167" s="3" t="str">
        <f>IFERROR(__xludf.DUMMYFUNCTION("""COMPUTED_VALUE"""),"Sint Maarten")</f>
        <v>Sint Maarten</v>
      </c>
      <c r="B167" s="3" t="str">
        <f>IFERROR(__xludf.DUMMYFUNCTION("""COMPUTED_VALUE"""),"Netherlands")</f>
        <v>Netherlands</v>
      </c>
      <c r="C167" s="3">
        <f>IFERROR(__xludf.DUMMYFUNCTION("""COMPUTED_VALUE"""),18.0425)</f>
        <v>18.0425</v>
      </c>
      <c r="D167" s="3">
        <f>IFERROR(__xludf.DUMMYFUNCTION("""COMPUTED_VALUE"""),-63.0548)</f>
        <v>-63.0548</v>
      </c>
      <c r="E167" s="3">
        <f>IFERROR(__xludf.DUMMYFUNCTION("""COMPUTED_VALUE"""),0.0)</f>
        <v>0</v>
      </c>
      <c r="F167" s="3">
        <f>IFERROR(__xludf.DUMMYFUNCTION("""COMPUTED_VALUE"""),0.0)</f>
        <v>0</v>
      </c>
      <c r="G167" s="3">
        <f>IFERROR(__xludf.DUMMYFUNCTION("""COMPUTED_VALUE"""),0.0)</f>
        <v>0</v>
      </c>
      <c r="H167" s="3">
        <f>IFERROR(__xludf.DUMMYFUNCTION("""COMPUTED_VALUE"""),0.0)</f>
        <v>0</v>
      </c>
      <c r="I167" s="3">
        <f>IFERROR(__xludf.DUMMYFUNCTION("""COMPUTED_VALUE"""),0.0)</f>
        <v>0</v>
      </c>
      <c r="J167" s="3">
        <f>IFERROR(__xludf.DUMMYFUNCTION("""COMPUTED_VALUE"""),0.0)</f>
        <v>0</v>
      </c>
      <c r="K167" s="3">
        <f>IFERROR(__xludf.DUMMYFUNCTION("""COMPUTED_VALUE"""),0.0)</f>
        <v>0</v>
      </c>
      <c r="L167" s="3">
        <f>IFERROR(__xludf.DUMMYFUNCTION("""COMPUTED_VALUE"""),0.0)</f>
        <v>0</v>
      </c>
      <c r="M167" s="3">
        <f>IFERROR(__xludf.DUMMYFUNCTION("""COMPUTED_VALUE"""),0.0)</f>
        <v>0</v>
      </c>
      <c r="N167" s="3">
        <f>IFERROR(__xludf.DUMMYFUNCTION("""COMPUTED_VALUE"""),0.0)</f>
        <v>0</v>
      </c>
      <c r="O167" s="3">
        <f>IFERROR(__xludf.DUMMYFUNCTION("""COMPUTED_VALUE"""),0.0)</f>
        <v>0</v>
      </c>
      <c r="P167" s="3">
        <f>IFERROR(__xludf.DUMMYFUNCTION("""COMPUTED_VALUE"""),0.0)</f>
        <v>0</v>
      </c>
      <c r="Q167" s="3">
        <f>IFERROR(__xludf.DUMMYFUNCTION("""COMPUTED_VALUE"""),0.0)</f>
        <v>0</v>
      </c>
      <c r="R167" s="3">
        <f>IFERROR(__xludf.DUMMYFUNCTION("""COMPUTED_VALUE"""),0.0)</f>
        <v>0</v>
      </c>
      <c r="S167" s="3">
        <f>IFERROR(__xludf.DUMMYFUNCTION("""COMPUTED_VALUE"""),0.0)</f>
        <v>0</v>
      </c>
      <c r="T167" s="3">
        <f>IFERROR(__xludf.DUMMYFUNCTION("""COMPUTED_VALUE"""),0.0)</f>
        <v>0</v>
      </c>
      <c r="U167" s="3">
        <f>IFERROR(__xludf.DUMMYFUNCTION("""COMPUTED_VALUE"""),0.0)</f>
        <v>0</v>
      </c>
      <c r="V167" s="3">
        <f>IFERROR(__xludf.DUMMYFUNCTION("""COMPUTED_VALUE"""),0.0)</f>
        <v>0</v>
      </c>
      <c r="W167" s="3">
        <f>IFERROR(__xludf.DUMMYFUNCTION("""COMPUTED_VALUE"""),0.0)</f>
        <v>0</v>
      </c>
      <c r="X167" s="3">
        <f>IFERROR(__xludf.DUMMYFUNCTION("""COMPUTED_VALUE"""),0.0)</f>
        <v>0</v>
      </c>
      <c r="Y167" s="3">
        <f>IFERROR(__xludf.DUMMYFUNCTION("""COMPUTED_VALUE"""),0.0)</f>
        <v>0</v>
      </c>
      <c r="Z167" s="3">
        <f>IFERROR(__xludf.DUMMYFUNCTION("""COMPUTED_VALUE"""),0.0)</f>
        <v>0</v>
      </c>
      <c r="AA167" s="3">
        <f>IFERROR(__xludf.DUMMYFUNCTION("""COMPUTED_VALUE"""),0.0)</f>
        <v>0</v>
      </c>
      <c r="AB167" s="3">
        <f>IFERROR(__xludf.DUMMYFUNCTION("""COMPUTED_VALUE"""),0.0)</f>
        <v>0</v>
      </c>
      <c r="AC167" s="3">
        <f>IFERROR(__xludf.DUMMYFUNCTION("""COMPUTED_VALUE"""),0.0)</f>
        <v>0</v>
      </c>
      <c r="AD167" s="3">
        <f>IFERROR(__xludf.DUMMYFUNCTION("""COMPUTED_VALUE"""),0.0)</f>
        <v>0</v>
      </c>
      <c r="AE167" s="3">
        <f>IFERROR(__xludf.DUMMYFUNCTION("""COMPUTED_VALUE"""),0.0)</f>
        <v>0</v>
      </c>
      <c r="AF167" s="3">
        <f>IFERROR(__xludf.DUMMYFUNCTION("""COMPUTED_VALUE"""),0.0)</f>
        <v>0</v>
      </c>
      <c r="AG167" s="3">
        <f>IFERROR(__xludf.DUMMYFUNCTION("""COMPUTED_VALUE"""),0.0)</f>
        <v>0</v>
      </c>
      <c r="AH167" s="3">
        <f>IFERROR(__xludf.DUMMYFUNCTION("""COMPUTED_VALUE"""),0.0)</f>
        <v>0</v>
      </c>
      <c r="AI167" s="3">
        <f>IFERROR(__xludf.DUMMYFUNCTION("""COMPUTED_VALUE"""),0.0)</f>
        <v>0</v>
      </c>
      <c r="AJ167" s="3">
        <f>IFERROR(__xludf.DUMMYFUNCTION("""COMPUTED_VALUE"""),0.0)</f>
        <v>0</v>
      </c>
      <c r="AK167" s="3">
        <f>IFERROR(__xludf.DUMMYFUNCTION("""COMPUTED_VALUE"""),0.0)</f>
        <v>0</v>
      </c>
      <c r="AL167" s="3">
        <f>IFERROR(__xludf.DUMMYFUNCTION("""COMPUTED_VALUE"""),0.0)</f>
        <v>0</v>
      </c>
      <c r="AM167" s="3">
        <f>IFERROR(__xludf.DUMMYFUNCTION("""COMPUTED_VALUE"""),0.0)</f>
        <v>0</v>
      </c>
      <c r="AN167" s="3">
        <f>IFERROR(__xludf.DUMMYFUNCTION("""COMPUTED_VALUE"""),0.0)</f>
        <v>0</v>
      </c>
      <c r="AO167" s="3">
        <f>IFERROR(__xludf.DUMMYFUNCTION("""COMPUTED_VALUE"""),0.0)</f>
        <v>0</v>
      </c>
      <c r="AP167" s="3">
        <f>IFERROR(__xludf.DUMMYFUNCTION("""COMPUTED_VALUE"""),0.0)</f>
        <v>0</v>
      </c>
      <c r="AQ167" s="3">
        <f>IFERROR(__xludf.DUMMYFUNCTION("""COMPUTED_VALUE"""),0.0)</f>
        <v>0</v>
      </c>
      <c r="AR167" s="3">
        <f>IFERROR(__xludf.DUMMYFUNCTION("""COMPUTED_VALUE"""),0.0)</f>
        <v>0</v>
      </c>
      <c r="AS167" s="3">
        <f>IFERROR(__xludf.DUMMYFUNCTION("""COMPUTED_VALUE"""),0.0)</f>
        <v>0</v>
      </c>
      <c r="AT167" s="3">
        <f>IFERROR(__xludf.DUMMYFUNCTION("""COMPUTED_VALUE"""),0.0)</f>
        <v>0</v>
      </c>
      <c r="AU167" s="3">
        <f>IFERROR(__xludf.DUMMYFUNCTION("""COMPUTED_VALUE"""),0.0)</f>
        <v>0</v>
      </c>
      <c r="AV167" s="3">
        <f>IFERROR(__xludf.DUMMYFUNCTION("""COMPUTED_VALUE"""),0.0)</f>
        <v>0</v>
      </c>
      <c r="AW167" s="3">
        <f>IFERROR(__xludf.DUMMYFUNCTION("""COMPUTED_VALUE"""),0.0)</f>
        <v>0</v>
      </c>
      <c r="AX167" s="3">
        <f>IFERROR(__xludf.DUMMYFUNCTION("""COMPUTED_VALUE"""),0.0)</f>
        <v>0</v>
      </c>
      <c r="AY167" s="3">
        <f>IFERROR(__xludf.DUMMYFUNCTION("""COMPUTED_VALUE"""),0.0)</f>
        <v>0</v>
      </c>
      <c r="AZ167" s="3">
        <f>IFERROR(__xludf.DUMMYFUNCTION("""COMPUTED_VALUE"""),0.0)</f>
        <v>0</v>
      </c>
      <c r="BA167" s="3">
        <f>IFERROR(__xludf.DUMMYFUNCTION("""COMPUTED_VALUE"""),0.0)</f>
        <v>0</v>
      </c>
      <c r="BB167" s="3">
        <f>IFERROR(__xludf.DUMMYFUNCTION("""COMPUTED_VALUE"""),0.0)</f>
        <v>0</v>
      </c>
      <c r="BC167" s="3">
        <f>IFERROR(__xludf.DUMMYFUNCTION("""COMPUTED_VALUE"""),0.0)</f>
        <v>0</v>
      </c>
      <c r="BD167" s="3">
        <f>IFERROR(__xludf.DUMMYFUNCTION("""COMPUTED_VALUE"""),0.0)</f>
        <v>0</v>
      </c>
      <c r="BE167" s="3">
        <f>IFERROR(__xludf.DUMMYFUNCTION("""COMPUTED_VALUE"""),0.0)</f>
        <v>0</v>
      </c>
      <c r="BF167" s="3">
        <f>IFERROR(__xludf.DUMMYFUNCTION("""COMPUTED_VALUE"""),0.0)</f>
        <v>0</v>
      </c>
      <c r="BG167" s="3">
        <f>IFERROR(__xludf.DUMMYFUNCTION("""COMPUTED_VALUE"""),0.0)</f>
        <v>0</v>
      </c>
      <c r="BH167" s="3">
        <f>IFERROR(__xludf.DUMMYFUNCTION("""COMPUTED_VALUE"""),0.0)</f>
        <v>0</v>
      </c>
      <c r="BI167" s="3">
        <f>IFERROR(__xludf.DUMMYFUNCTION("""COMPUTED_VALUE"""),0.0)</f>
        <v>0</v>
      </c>
      <c r="BJ167" s="3">
        <f>IFERROR(__xludf.DUMMYFUNCTION("""COMPUTED_VALUE"""),0.0)</f>
        <v>0</v>
      </c>
      <c r="BK167" s="3">
        <f>IFERROR(__xludf.DUMMYFUNCTION("""COMPUTED_VALUE"""),0.0)</f>
        <v>0</v>
      </c>
      <c r="BL167" s="3">
        <f>IFERROR(__xludf.DUMMYFUNCTION("""COMPUTED_VALUE"""),0.0)</f>
        <v>0</v>
      </c>
      <c r="BM167" s="3">
        <f>IFERROR(__xludf.DUMMYFUNCTION("""COMPUTED_VALUE"""),0.0)</f>
        <v>0</v>
      </c>
      <c r="BN167" s="3">
        <f>IFERROR(__xludf.DUMMYFUNCTION("""COMPUTED_VALUE"""),0.0)</f>
        <v>0</v>
      </c>
      <c r="BO167" s="3">
        <f>IFERROR(__xludf.DUMMYFUNCTION("""COMPUTED_VALUE"""),0.0)</f>
        <v>0</v>
      </c>
      <c r="BP167" s="3">
        <f>IFERROR(__xludf.DUMMYFUNCTION("""COMPUTED_VALUE"""),0.0)</f>
        <v>0</v>
      </c>
      <c r="BQ167" s="3">
        <f>IFERROR(__xludf.DUMMYFUNCTION("""COMPUTED_VALUE"""),0.0)</f>
        <v>0</v>
      </c>
      <c r="BR167" s="3">
        <f>IFERROR(__xludf.DUMMYFUNCTION("""COMPUTED_VALUE"""),0.0)</f>
        <v>0</v>
      </c>
      <c r="BS167" s="3">
        <f>IFERROR(__xludf.DUMMYFUNCTION("""COMPUTED_VALUE"""),0.0)</f>
        <v>0</v>
      </c>
      <c r="BT167" s="3">
        <f>IFERROR(__xludf.DUMMYFUNCTION("""COMPUTED_VALUE"""),0.0)</f>
        <v>0</v>
      </c>
      <c r="BU167" s="3">
        <f>IFERROR(__xludf.DUMMYFUNCTION("""COMPUTED_VALUE"""),0.0)</f>
        <v>0</v>
      </c>
      <c r="BV167" s="3">
        <f>IFERROR(__xludf.DUMMYFUNCTION("""COMPUTED_VALUE"""),0.0)</f>
        <v>0</v>
      </c>
      <c r="BW167" s="3">
        <f>IFERROR(__xludf.DUMMYFUNCTION("""COMPUTED_VALUE"""),6.0)</f>
        <v>6</v>
      </c>
      <c r="BX167" s="3">
        <f>IFERROR(__xludf.DUMMYFUNCTION("""COMPUTED_VALUE"""),6.0)</f>
        <v>6</v>
      </c>
      <c r="BY167" s="3">
        <f>IFERROR(__xludf.DUMMYFUNCTION("""COMPUTED_VALUE"""),6.0)</f>
        <v>6</v>
      </c>
      <c r="BZ167" s="3">
        <f>IFERROR(__xludf.DUMMYFUNCTION("""COMPUTED_VALUE"""),6.0)</f>
        <v>6</v>
      </c>
      <c r="CA167" s="3">
        <f>IFERROR(__xludf.DUMMYFUNCTION("""COMPUTED_VALUE"""),1.0)</f>
        <v>1</v>
      </c>
      <c r="CB167" s="3">
        <f>IFERROR(__xludf.DUMMYFUNCTION("""COMPUTED_VALUE"""),1.0)</f>
        <v>1</v>
      </c>
    </row>
    <row r="168">
      <c r="A168" s="3" t="str">
        <f>IFERROR(__xludf.DUMMYFUNCTION("""COMPUTED_VALUE"""),"")</f>
        <v/>
      </c>
      <c r="B168" s="3" t="str">
        <f>IFERROR(__xludf.DUMMYFUNCTION("""COMPUTED_VALUE"""),"Netherlands")</f>
        <v>Netherlands</v>
      </c>
      <c r="C168" s="3">
        <f>IFERROR(__xludf.DUMMYFUNCTION("""COMPUTED_VALUE"""),52.1326)</f>
        <v>52.1326</v>
      </c>
      <c r="D168" s="3">
        <f>IFERROR(__xludf.DUMMYFUNCTION("""COMPUTED_VALUE"""),5.2913)</f>
        <v>5.2913</v>
      </c>
      <c r="E168" s="3">
        <f>IFERROR(__xludf.DUMMYFUNCTION("""COMPUTED_VALUE"""),0.0)</f>
        <v>0</v>
      </c>
      <c r="F168" s="3">
        <f>IFERROR(__xludf.DUMMYFUNCTION("""COMPUTED_VALUE"""),0.0)</f>
        <v>0</v>
      </c>
      <c r="G168" s="3">
        <f>IFERROR(__xludf.DUMMYFUNCTION("""COMPUTED_VALUE"""),0.0)</f>
        <v>0</v>
      </c>
      <c r="H168" s="3">
        <f>IFERROR(__xludf.DUMMYFUNCTION("""COMPUTED_VALUE"""),0.0)</f>
        <v>0</v>
      </c>
      <c r="I168" s="3">
        <f>IFERROR(__xludf.DUMMYFUNCTION("""COMPUTED_VALUE"""),0.0)</f>
        <v>0</v>
      </c>
      <c r="J168" s="3">
        <f>IFERROR(__xludf.DUMMYFUNCTION("""COMPUTED_VALUE"""),0.0)</f>
        <v>0</v>
      </c>
      <c r="K168" s="3">
        <f>IFERROR(__xludf.DUMMYFUNCTION("""COMPUTED_VALUE"""),0.0)</f>
        <v>0</v>
      </c>
      <c r="L168" s="3">
        <f>IFERROR(__xludf.DUMMYFUNCTION("""COMPUTED_VALUE"""),0.0)</f>
        <v>0</v>
      </c>
      <c r="M168" s="3">
        <f>IFERROR(__xludf.DUMMYFUNCTION("""COMPUTED_VALUE"""),0.0)</f>
        <v>0</v>
      </c>
      <c r="N168" s="3">
        <f>IFERROR(__xludf.DUMMYFUNCTION("""COMPUTED_VALUE"""),0.0)</f>
        <v>0</v>
      </c>
      <c r="O168" s="3">
        <f>IFERROR(__xludf.DUMMYFUNCTION("""COMPUTED_VALUE"""),0.0)</f>
        <v>0</v>
      </c>
      <c r="P168" s="3">
        <f>IFERROR(__xludf.DUMMYFUNCTION("""COMPUTED_VALUE"""),0.0)</f>
        <v>0</v>
      </c>
      <c r="Q168" s="3">
        <f>IFERROR(__xludf.DUMMYFUNCTION("""COMPUTED_VALUE"""),0.0)</f>
        <v>0</v>
      </c>
      <c r="R168" s="3">
        <f>IFERROR(__xludf.DUMMYFUNCTION("""COMPUTED_VALUE"""),0.0)</f>
        <v>0</v>
      </c>
      <c r="S168" s="3">
        <f>IFERROR(__xludf.DUMMYFUNCTION("""COMPUTED_VALUE"""),0.0)</f>
        <v>0</v>
      </c>
      <c r="T168" s="3">
        <f>IFERROR(__xludf.DUMMYFUNCTION("""COMPUTED_VALUE"""),0.0)</f>
        <v>0</v>
      </c>
      <c r="U168" s="3">
        <f>IFERROR(__xludf.DUMMYFUNCTION("""COMPUTED_VALUE"""),0.0)</f>
        <v>0</v>
      </c>
      <c r="V168" s="3">
        <f>IFERROR(__xludf.DUMMYFUNCTION("""COMPUTED_VALUE"""),0.0)</f>
        <v>0</v>
      </c>
      <c r="W168" s="3">
        <f>IFERROR(__xludf.DUMMYFUNCTION("""COMPUTED_VALUE"""),0.0)</f>
        <v>0</v>
      </c>
      <c r="X168" s="3">
        <f>IFERROR(__xludf.DUMMYFUNCTION("""COMPUTED_VALUE"""),0.0)</f>
        <v>0</v>
      </c>
      <c r="Y168" s="3">
        <f>IFERROR(__xludf.DUMMYFUNCTION("""COMPUTED_VALUE"""),0.0)</f>
        <v>0</v>
      </c>
      <c r="Z168" s="3">
        <f>IFERROR(__xludf.DUMMYFUNCTION("""COMPUTED_VALUE"""),0.0)</f>
        <v>0</v>
      </c>
      <c r="AA168" s="3">
        <f>IFERROR(__xludf.DUMMYFUNCTION("""COMPUTED_VALUE"""),0.0)</f>
        <v>0</v>
      </c>
      <c r="AB168" s="3">
        <f>IFERROR(__xludf.DUMMYFUNCTION("""COMPUTED_VALUE"""),0.0)</f>
        <v>0</v>
      </c>
      <c r="AC168" s="3">
        <f>IFERROR(__xludf.DUMMYFUNCTION("""COMPUTED_VALUE"""),0.0)</f>
        <v>0</v>
      </c>
      <c r="AD168" s="3">
        <f>IFERROR(__xludf.DUMMYFUNCTION("""COMPUTED_VALUE"""),0.0)</f>
        <v>0</v>
      </c>
      <c r="AE168" s="3">
        <f>IFERROR(__xludf.DUMMYFUNCTION("""COMPUTED_VALUE"""),0.0)</f>
        <v>0</v>
      </c>
      <c r="AF168" s="3">
        <f>IFERROR(__xludf.DUMMYFUNCTION("""COMPUTED_VALUE"""),0.0)</f>
        <v>0</v>
      </c>
      <c r="AG168" s="3">
        <f>IFERROR(__xludf.DUMMYFUNCTION("""COMPUTED_VALUE"""),0.0)</f>
        <v>0</v>
      </c>
      <c r="AH168" s="3">
        <f>IFERROR(__xludf.DUMMYFUNCTION("""COMPUTED_VALUE"""),0.0)</f>
        <v>0</v>
      </c>
      <c r="AI168" s="3">
        <f>IFERROR(__xludf.DUMMYFUNCTION("""COMPUTED_VALUE"""),0.0)</f>
        <v>0</v>
      </c>
      <c r="AJ168" s="3">
        <f>IFERROR(__xludf.DUMMYFUNCTION("""COMPUTED_VALUE"""),0.0)</f>
        <v>0</v>
      </c>
      <c r="AK168" s="3">
        <f>IFERROR(__xludf.DUMMYFUNCTION("""COMPUTED_VALUE"""),0.0)</f>
        <v>0</v>
      </c>
      <c r="AL168" s="3">
        <f>IFERROR(__xludf.DUMMYFUNCTION("""COMPUTED_VALUE"""),0.0)</f>
        <v>0</v>
      </c>
      <c r="AM168" s="3">
        <f>IFERROR(__xludf.DUMMYFUNCTION("""COMPUTED_VALUE"""),0.0)</f>
        <v>0</v>
      </c>
      <c r="AN168" s="3">
        <f>IFERROR(__xludf.DUMMYFUNCTION("""COMPUTED_VALUE"""),0.0)</f>
        <v>0</v>
      </c>
      <c r="AO168" s="3">
        <f>IFERROR(__xludf.DUMMYFUNCTION("""COMPUTED_VALUE"""),0.0)</f>
        <v>0</v>
      </c>
      <c r="AP168" s="3">
        <f>IFERROR(__xludf.DUMMYFUNCTION("""COMPUTED_VALUE"""),0.0)</f>
        <v>0</v>
      </c>
      <c r="AQ168" s="3">
        <f>IFERROR(__xludf.DUMMYFUNCTION("""COMPUTED_VALUE"""),0.0)</f>
        <v>0</v>
      </c>
      <c r="AR168" s="3">
        <f>IFERROR(__xludf.DUMMYFUNCTION("""COMPUTED_VALUE"""),0.0)</f>
        <v>0</v>
      </c>
      <c r="AS168" s="3">
        <f>IFERROR(__xludf.DUMMYFUNCTION("""COMPUTED_VALUE"""),0.0)</f>
        <v>0</v>
      </c>
      <c r="AT168" s="3">
        <f>IFERROR(__xludf.DUMMYFUNCTION("""COMPUTED_VALUE"""),0.0)</f>
        <v>0</v>
      </c>
      <c r="AU168" s="3">
        <f>IFERROR(__xludf.DUMMYFUNCTION("""COMPUTED_VALUE"""),0.0)</f>
        <v>0</v>
      </c>
      <c r="AV168" s="3">
        <f>IFERROR(__xludf.DUMMYFUNCTION("""COMPUTED_VALUE"""),0.0)</f>
        <v>0</v>
      </c>
      <c r="AW168" s="3">
        <f>IFERROR(__xludf.DUMMYFUNCTION("""COMPUTED_VALUE"""),0.0)</f>
        <v>0</v>
      </c>
      <c r="AX168" s="3">
        <f>IFERROR(__xludf.DUMMYFUNCTION("""COMPUTED_VALUE"""),0.0)</f>
        <v>0</v>
      </c>
      <c r="AY168" s="3">
        <f>IFERROR(__xludf.DUMMYFUNCTION("""COMPUTED_VALUE"""),0.0)</f>
        <v>0</v>
      </c>
      <c r="AZ168" s="3">
        <f>IFERROR(__xludf.DUMMYFUNCTION("""COMPUTED_VALUE"""),0.0)</f>
        <v>0</v>
      </c>
      <c r="BA168" s="3">
        <f>IFERROR(__xludf.DUMMYFUNCTION("""COMPUTED_VALUE"""),0.0)</f>
        <v>0</v>
      </c>
      <c r="BB168" s="3">
        <f>IFERROR(__xludf.DUMMYFUNCTION("""COMPUTED_VALUE"""),0.0)</f>
        <v>0</v>
      </c>
      <c r="BC168" s="3">
        <f>IFERROR(__xludf.DUMMYFUNCTION("""COMPUTED_VALUE"""),0.0)</f>
        <v>0</v>
      </c>
      <c r="BD168" s="3">
        <f>IFERROR(__xludf.DUMMYFUNCTION("""COMPUTED_VALUE"""),0.0)</f>
        <v>0</v>
      </c>
      <c r="BE168" s="3">
        <f>IFERROR(__xludf.DUMMYFUNCTION("""COMPUTED_VALUE"""),2.0)</f>
        <v>2</v>
      </c>
      <c r="BF168" s="3">
        <f>IFERROR(__xludf.DUMMYFUNCTION("""COMPUTED_VALUE"""),2.0)</f>
        <v>2</v>
      </c>
      <c r="BG168" s="3">
        <f>IFERROR(__xludf.DUMMYFUNCTION("""COMPUTED_VALUE"""),2.0)</f>
        <v>2</v>
      </c>
      <c r="BH168" s="3">
        <f>IFERROR(__xludf.DUMMYFUNCTION("""COMPUTED_VALUE"""),2.0)</f>
        <v>2</v>
      </c>
      <c r="BI168" s="3">
        <f>IFERROR(__xludf.DUMMYFUNCTION("""COMPUTED_VALUE"""),2.0)</f>
        <v>2</v>
      </c>
      <c r="BJ168" s="3">
        <f>IFERROR(__xludf.DUMMYFUNCTION("""COMPUTED_VALUE"""),2.0)</f>
        <v>2</v>
      </c>
      <c r="BK168" s="3">
        <f>IFERROR(__xludf.DUMMYFUNCTION("""COMPUTED_VALUE"""),2.0)</f>
        <v>2</v>
      </c>
      <c r="BL168" s="3">
        <f>IFERROR(__xludf.DUMMYFUNCTION("""COMPUTED_VALUE"""),2.0)</f>
        <v>2</v>
      </c>
      <c r="BM168" s="3">
        <f>IFERROR(__xludf.DUMMYFUNCTION("""COMPUTED_VALUE"""),2.0)</f>
        <v>2</v>
      </c>
      <c r="BN168" s="3">
        <f>IFERROR(__xludf.DUMMYFUNCTION("""COMPUTED_VALUE"""),2.0)</f>
        <v>2</v>
      </c>
      <c r="BO168" s="3">
        <f>IFERROR(__xludf.DUMMYFUNCTION("""COMPUTED_VALUE"""),2.0)</f>
        <v>2</v>
      </c>
      <c r="BP168" s="3">
        <f>IFERROR(__xludf.DUMMYFUNCTION("""COMPUTED_VALUE"""),3.0)</f>
        <v>3</v>
      </c>
      <c r="BQ168" s="3">
        <f>IFERROR(__xludf.DUMMYFUNCTION("""COMPUTED_VALUE"""),3.0)</f>
        <v>3</v>
      </c>
      <c r="BR168" s="3">
        <f>IFERROR(__xludf.DUMMYFUNCTION("""COMPUTED_VALUE"""),3.0)</f>
        <v>3</v>
      </c>
      <c r="BS168" s="3">
        <f>IFERROR(__xludf.DUMMYFUNCTION("""COMPUTED_VALUE"""),3.0)</f>
        <v>3</v>
      </c>
      <c r="BT168" s="3">
        <f>IFERROR(__xludf.DUMMYFUNCTION("""COMPUTED_VALUE"""),250.0)</f>
        <v>250</v>
      </c>
      <c r="BU168" s="3">
        <f>IFERROR(__xludf.DUMMYFUNCTION("""COMPUTED_VALUE"""),250.0)</f>
        <v>250</v>
      </c>
      <c r="BV168" s="3">
        <f>IFERROR(__xludf.DUMMYFUNCTION("""COMPUTED_VALUE"""),250.0)</f>
        <v>250</v>
      </c>
      <c r="BW168" s="3">
        <f>IFERROR(__xludf.DUMMYFUNCTION("""COMPUTED_VALUE"""),250.0)</f>
        <v>250</v>
      </c>
      <c r="BX168" s="3">
        <f>IFERROR(__xludf.DUMMYFUNCTION("""COMPUTED_VALUE"""),250.0)</f>
        <v>250</v>
      </c>
      <c r="BY168" s="3">
        <f>IFERROR(__xludf.DUMMYFUNCTION("""COMPUTED_VALUE"""),250.0)</f>
        <v>250</v>
      </c>
      <c r="BZ168" s="3">
        <f>IFERROR(__xludf.DUMMYFUNCTION("""COMPUTED_VALUE"""),250.0)</f>
        <v>250</v>
      </c>
      <c r="CA168" s="3">
        <f>IFERROR(__xludf.DUMMYFUNCTION("""COMPUTED_VALUE"""),250.0)</f>
        <v>250</v>
      </c>
      <c r="CB168" s="3">
        <f>IFERROR(__xludf.DUMMYFUNCTION("""COMPUTED_VALUE"""),250.0)</f>
        <v>250</v>
      </c>
    </row>
    <row r="169">
      <c r="A169" s="3" t="str">
        <f>IFERROR(__xludf.DUMMYFUNCTION("""COMPUTED_VALUE"""),"")</f>
        <v/>
      </c>
      <c r="B169" s="3" t="str">
        <f>IFERROR(__xludf.DUMMYFUNCTION("""COMPUTED_VALUE"""),"New Zealand")</f>
        <v>New Zealand</v>
      </c>
      <c r="C169" s="3">
        <f>IFERROR(__xludf.DUMMYFUNCTION("""COMPUTED_VALUE"""),-40.9006)</f>
        <v>-40.9006</v>
      </c>
      <c r="D169" s="3">
        <f>IFERROR(__xludf.DUMMYFUNCTION("""COMPUTED_VALUE"""),174.886)</f>
        <v>174.886</v>
      </c>
      <c r="E169" s="3">
        <f>IFERROR(__xludf.DUMMYFUNCTION("""COMPUTED_VALUE"""),0.0)</f>
        <v>0</v>
      </c>
      <c r="F169" s="3">
        <f>IFERROR(__xludf.DUMMYFUNCTION("""COMPUTED_VALUE"""),0.0)</f>
        <v>0</v>
      </c>
      <c r="G169" s="3">
        <f>IFERROR(__xludf.DUMMYFUNCTION("""COMPUTED_VALUE"""),0.0)</f>
        <v>0</v>
      </c>
      <c r="H169" s="3">
        <f>IFERROR(__xludf.DUMMYFUNCTION("""COMPUTED_VALUE"""),0.0)</f>
        <v>0</v>
      </c>
      <c r="I169" s="3">
        <f>IFERROR(__xludf.DUMMYFUNCTION("""COMPUTED_VALUE"""),0.0)</f>
        <v>0</v>
      </c>
      <c r="J169" s="3">
        <f>IFERROR(__xludf.DUMMYFUNCTION("""COMPUTED_VALUE"""),0.0)</f>
        <v>0</v>
      </c>
      <c r="K169" s="3">
        <f>IFERROR(__xludf.DUMMYFUNCTION("""COMPUTED_VALUE"""),0.0)</f>
        <v>0</v>
      </c>
      <c r="L169" s="3">
        <f>IFERROR(__xludf.DUMMYFUNCTION("""COMPUTED_VALUE"""),0.0)</f>
        <v>0</v>
      </c>
      <c r="M169" s="3">
        <f>IFERROR(__xludf.DUMMYFUNCTION("""COMPUTED_VALUE"""),0.0)</f>
        <v>0</v>
      </c>
      <c r="N169" s="3">
        <f>IFERROR(__xludf.DUMMYFUNCTION("""COMPUTED_VALUE"""),0.0)</f>
        <v>0</v>
      </c>
      <c r="O169" s="3">
        <f>IFERROR(__xludf.DUMMYFUNCTION("""COMPUTED_VALUE"""),0.0)</f>
        <v>0</v>
      </c>
      <c r="P169" s="3">
        <f>IFERROR(__xludf.DUMMYFUNCTION("""COMPUTED_VALUE"""),0.0)</f>
        <v>0</v>
      </c>
      <c r="Q169" s="3">
        <f>IFERROR(__xludf.DUMMYFUNCTION("""COMPUTED_VALUE"""),0.0)</f>
        <v>0</v>
      </c>
      <c r="R169" s="3">
        <f>IFERROR(__xludf.DUMMYFUNCTION("""COMPUTED_VALUE"""),0.0)</f>
        <v>0</v>
      </c>
      <c r="S169" s="3">
        <f>IFERROR(__xludf.DUMMYFUNCTION("""COMPUTED_VALUE"""),0.0)</f>
        <v>0</v>
      </c>
      <c r="T169" s="3">
        <f>IFERROR(__xludf.DUMMYFUNCTION("""COMPUTED_VALUE"""),0.0)</f>
        <v>0</v>
      </c>
      <c r="U169" s="3">
        <f>IFERROR(__xludf.DUMMYFUNCTION("""COMPUTED_VALUE"""),0.0)</f>
        <v>0</v>
      </c>
      <c r="V169" s="3">
        <f>IFERROR(__xludf.DUMMYFUNCTION("""COMPUTED_VALUE"""),0.0)</f>
        <v>0</v>
      </c>
      <c r="W169" s="3">
        <f>IFERROR(__xludf.DUMMYFUNCTION("""COMPUTED_VALUE"""),0.0)</f>
        <v>0</v>
      </c>
      <c r="X169" s="3">
        <f>IFERROR(__xludf.DUMMYFUNCTION("""COMPUTED_VALUE"""),0.0)</f>
        <v>0</v>
      </c>
      <c r="Y169" s="3">
        <f>IFERROR(__xludf.DUMMYFUNCTION("""COMPUTED_VALUE"""),0.0)</f>
        <v>0</v>
      </c>
      <c r="Z169" s="3">
        <f>IFERROR(__xludf.DUMMYFUNCTION("""COMPUTED_VALUE"""),0.0)</f>
        <v>0</v>
      </c>
      <c r="AA169" s="3">
        <f>IFERROR(__xludf.DUMMYFUNCTION("""COMPUTED_VALUE"""),0.0)</f>
        <v>0</v>
      </c>
      <c r="AB169" s="3">
        <f>IFERROR(__xludf.DUMMYFUNCTION("""COMPUTED_VALUE"""),0.0)</f>
        <v>0</v>
      </c>
      <c r="AC169" s="3">
        <f>IFERROR(__xludf.DUMMYFUNCTION("""COMPUTED_VALUE"""),0.0)</f>
        <v>0</v>
      </c>
      <c r="AD169" s="3">
        <f>IFERROR(__xludf.DUMMYFUNCTION("""COMPUTED_VALUE"""),0.0)</f>
        <v>0</v>
      </c>
      <c r="AE169" s="3">
        <f>IFERROR(__xludf.DUMMYFUNCTION("""COMPUTED_VALUE"""),0.0)</f>
        <v>0</v>
      </c>
      <c r="AF169" s="3">
        <f>IFERROR(__xludf.DUMMYFUNCTION("""COMPUTED_VALUE"""),0.0)</f>
        <v>0</v>
      </c>
      <c r="AG169" s="3">
        <f>IFERROR(__xludf.DUMMYFUNCTION("""COMPUTED_VALUE"""),0.0)</f>
        <v>0</v>
      </c>
      <c r="AH169" s="3">
        <f>IFERROR(__xludf.DUMMYFUNCTION("""COMPUTED_VALUE"""),0.0)</f>
        <v>0</v>
      </c>
      <c r="AI169" s="3">
        <f>IFERROR(__xludf.DUMMYFUNCTION("""COMPUTED_VALUE"""),0.0)</f>
        <v>0</v>
      </c>
      <c r="AJ169" s="3">
        <f>IFERROR(__xludf.DUMMYFUNCTION("""COMPUTED_VALUE"""),0.0)</f>
        <v>0</v>
      </c>
      <c r="AK169" s="3">
        <f>IFERROR(__xludf.DUMMYFUNCTION("""COMPUTED_VALUE"""),0.0)</f>
        <v>0</v>
      </c>
      <c r="AL169" s="3">
        <f>IFERROR(__xludf.DUMMYFUNCTION("""COMPUTED_VALUE"""),0.0)</f>
        <v>0</v>
      </c>
      <c r="AM169" s="3">
        <f>IFERROR(__xludf.DUMMYFUNCTION("""COMPUTED_VALUE"""),0.0)</f>
        <v>0</v>
      </c>
      <c r="AN169" s="3">
        <f>IFERROR(__xludf.DUMMYFUNCTION("""COMPUTED_VALUE"""),0.0)</f>
        <v>0</v>
      </c>
      <c r="AO169" s="3">
        <f>IFERROR(__xludf.DUMMYFUNCTION("""COMPUTED_VALUE"""),0.0)</f>
        <v>0</v>
      </c>
      <c r="AP169" s="3">
        <f>IFERROR(__xludf.DUMMYFUNCTION("""COMPUTED_VALUE"""),0.0)</f>
        <v>0</v>
      </c>
      <c r="AQ169" s="3">
        <f>IFERROR(__xludf.DUMMYFUNCTION("""COMPUTED_VALUE"""),0.0)</f>
        <v>0</v>
      </c>
      <c r="AR169" s="3">
        <f>IFERROR(__xludf.DUMMYFUNCTION("""COMPUTED_VALUE"""),0.0)</f>
        <v>0</v>
      </c>
      <c r="AS169" s="3">
        <f>IFERROR(__xludf.DUMMYFUNCTION("""COMPUTED_VALUE"""),0.0)</f>
        <v>0</v>
      </c>
      <c r="AT169" s="3">
        <f>IFERROR(__xludf.DUMMYFUNCTION("""COMPUTED_VALUE"""),0.0)</f>
        <v>0</v>
      </c>
      <c r="AU169" s="3">
        <f>IFERROR(__xludf.DUMMYFUNCTION("""COMPUTED_VALUE"""),0.0)</f>
        <v>0</v>
      </c>
      <c r="AV169" s="3">
        <f>IFERROR(__xludf.DUMMYFUNCTION("""COMPUTED_VALUE"""),0.0)</f>
        <v>0</v>
      </c>
      <c r="AW169" s="3">
        <f>IFERROR(__xludf.DUMMYFUNCTION("""COMPUTED_VALUE"""),0.0)</f>
        <v>0</v>
      </c>
      <c r="AX169" s="3">
        <f>IFERROR(__xludf.DUMMYFUNCTION("""COMPUTED_VALUE"""),0.0)</f>
        <v>0</v>
      </c>
      <c r="AY169" s="3">
        <f>IFERROR(__xludf.DUMMYFUNCTION("""COMPUTED_VALUE"""),0.0)</f>
        <v>0</v>
      </c>
      <c r="AZ169" s="3">
        <f>IFERROR(__xludf.DUMMYFUNCTION("""COMPUTED_VALUE"""),0.0)</f>
        <v>0</v>
      </c>
      <c r="BA169" s="3">
        <f>IFERROR(__xludf.DUMMYFUNCTION("""COMPUTED_VALUE"""),0.0)</f>
        <v>0</v>
      </c>
      <c r="BB169" s="3">
        <f>IFERROR(__xludf.DUMMYFUNCTION("""COMPUTED_VALUE"""),0.0)</f>
        <v>0</v>
      </c>
      <c r="BC169" s="3">
        <f>IFERROR(__xludf.DUMMYFUNCTION("""COMPUTED_VALUE"""),0.0)</f>
        <v>0</v>
      </c>
      <c r="BD169" s="3">
        <f>IFERROR(__xludf.DUMMYFUNCTION("""COMPUTED_VALUE"""),0.0)</f>
        <v>0</v>
      </c>
      <c r="BE169" s="3">
        <f>IFERROR(__xludf.DUMMYFUNCTION("""COMPUTED_VALUE"""),0.0)</f>
        <v>0</v>
      </c>
      <c r="BF169" s="3">
        <f>IFERROR(__xludf.DUMMYFUNCTION("""COMPUTED_VALUE"""),0.0)</f>
        <v>0</v>
      </c>
      <c r="BG169" s="3">
        <f>IFERROR(__xludf.DUMMYFUNCTION("""COMPUTED_VALUE"""),0.0)</f>
        <v>0</v>
      </c>
      <c r="BH169" s="3">
        <f>IFERROR(__xludf.DUMMYFUNCTION("""COMPUTED_VALUE"""),0.0)</f>
        <v>0</v>
      </c>
      <c r="BI169" s="3">
        <f>IFERROR(__xludf.DUMMYFUNCTION("""COMPUTED_VALUE"""),0.0)</f>
        <v>0</v>
      </c>
      <c r="BJ169" s="3">
        <f>IFERROR(__xludf.DUMMYFUNCTION("""COMPUTED_VALUE"""),0.0)</f>
        <v>0</v>
      </c>
      <c r="BK169" s="3">
        <f>IFERROR(__xludf.DUMMYFUNCTION("""COMPUTED_VALUE"""),0.0)</f>
        <v>0</v>
      </c>
      <c r="BL169" s="3">
        <f>IFERROR(__xludf.DUMMYFUNCTION("""COMPUTED_VALUE"""),0.0)</f>
        <v>0</v>
      </c>
      <c r="BM169" s="3">
        <f>IFERROR(__xludf.DUMMYFUNCTION("""COMPUTED_VALUE"""),0.0)</f>
        <v>0</v>
      </c>
      <c r="BN169" s="3">
        <f>IFERROR(__xludf.DUMMYFUNCTION("""COMPUTED_VALUE"""),0.0)</f>
        <v>0</v>
      </c>
      <c r="BO169" s="3">
        <f>IFERROR(__xludf.DUMMYFUNCTION("""COMPUTED_VALUE"""),12.0)</f>
        <v>12</v>
      </c>
      <c r="BP169" s="3">
        <f>IFERROR(__xludf.DUMMYFUNCTION("""COMPUTED_VALUE"""),22.0)</f>
        <v>22</v>
      </c>
      <c r="BQ169" s="3">
        <f>IFERROR(__xludf.DUMMYFUNCTION("""COMPUTED_VALUE"""),27.0)</f>
        <v>27</v>
      </c>
      <c r="BR169" s="3">
        <f>IFERROR(__xludf.DUMMYFUNCTION("""COMPUTED_VALUE"""),37.0)</f>
        <v>37</v>
      </c>
      <c r="BS169" s="3">
        <f>IFERROR(__xludf.DUMMYFUNCTION("""COMPUTED_VALUE"""),50.0)</f>
        <v>50</v>
      </c>
      <c r="BT169" s="3">
        <f>IFERROR(__xludf.DUMMYFUNCTION("""COMPUTED_VALUE"""),56.0)</f>
        <v>56</v>
      </c>
      <c r="BU169" s="3">
        <f>IFERROR(__xludf.DUMMYFUNCTION("""COMPUTED_VALUE"""),63.0)</f>
        <v>63</v>
      </c>
      <c r="BV169" s="3">
        <f>IFERROR(__xludf.DUMMYFUNCTION("""COMPUTED_VALUE"""),74.0)</f>
        <v>74</v>
      </c>
      <c r="BW169" s="3">
        <f>IFERROR(__xludf.DUMMYFUNCTION("""COMPUTED_VALUE"""),83.0)</f>
        <v>83</v>
      </c>
      <c r="BX169" s="3">
        <f>IFERROR(__xludf.DUMMYFUNCTION("""COMPUTED_VALUE"""),92.0)</f>
        <v>92</v>
      </c>
      <c r="BY169" s="3">
        <f>IFERROR(__xludf.DUMMYFUNCTION("""COMPUTED_VALUE"""),103.0)</f>
        <v>103</v>
      </c>
      <c r="BZ169" s="3">
        <f>IFERROR(__xludf.DUMMYFUNCTION("""COMPUTED_VALUE"""),127.0)</f>
        <v>127</v>
      </c>
      <c r="CA169" s="3">
        <f>IFERROR(__xludf.DUMMYFUNCTION("""COMPUTED_VALUE"""),156.0)</f>
        <v>156</v>
      </c>
      <c r="CB169" s="3">
        <f>IFERROR(__xludf.DUMMYFUNCTION("""COMPUTED_VALUE"""),176.0)</f>
        <v>176</v>
      </c>
    </row>
    <row r="170">
      <c r="A170" s="3" t="str">
        <f>IFERROR(__xludf.DUMMYFUNCTION("""COMPUTED_VALUE"""),"")</f>
        <v/>
      </c>
      <c r="B170" s="3" t="str">
        <f>IFERROR(__xludf.DUMMYFUNCTION("""COMPUTED_VALUE"""),"Nicaragua")</f>
        <v>Nicaragua</v>
      </c>
      <c r="C170" s="3">
        <f>IFERROR(__xludf.DUMMYFUNCTION("""COMPUTED_VALUE"""),12.8654)</f>
        <v>12.8654</v>
      </c>
      <c r="D170" s="3">
        <f>IFERROR(__xludf.DUMMYFUNCTION("""COMPUTED_VALUE"""),-85.2072)</f>
        <v>-85.2072</v>
      </c>
      <c r="E170" s="3">
        <f>IFERROR(__xludf.DUMMYFUNCTION("""COMPUTED_VALUE"""),0.0)</f>
        <v>0</v>
      </c>
      <c r="F170" s="3">
        <f>IFERROR(__xludf.DUMMYFUNCTION("""COMPUTED_VALUE"""),0.0)</f>
        <v>0</v>
      </c>
      <c r="G170" s="3">
        <f>IFERROR(__xludf.DUMMYFUNCTION("""COMPUTED_VALUE"""),0.0)</f>
        <v>0</v>
      </c>
      <c r="H170" s="3">
        <f>IFERROR(__xludf.DUMMYFUNCTION("""COMPUTED_VALUE"""),0.0)</f>
        <v>0</v>
      </c>
      <c r="I170" s="3">
        <f>IFERROR(__xludf.DUMMYFUNCTION("""COMPUTED_VALUE"""),0.0)</f>
        <v>0</v>
      </c>
      <c r="J170" s="3">
        <f>IFERROR(__xludf.DUMMYFUNCTION("""COMPUTED_VALUE"""),0.0)</f>
        <v>0</v>
      </c>
      <c r="K170" s="3">
        <f>IFERROR(__xludf.DUMMYFUNCTION("""COMPUTED_VALUE"""),0.0)</f>
        <v>0</v>
      </c>
      <c r="L170" s="3">
        <f>IFERROR(__xludf.DUMMYFUNCTION("""COMPUTED_VALUE"""),0.0)</f>
        <v>0</v>
      </c>
      <c r="M170" s="3">
        <f>IFERROR(__xludf.DUMMYFUNCTION("""COMPUTED_VALUE"""),0.0)</f>
        <v>0</v>
      </c>
      <c r="N170" s="3">
        <f>IFERROR(__xludf.DUMMYFUNCTION("""COMPUTED_VALUE"""),0.0)</f>
        <v>0</v>
      </c>
      <c r="O170" s="3">
        <f>IFERROR(__xludf.DUMMYFUNCTION("""COMPUTED_VALUE"""),0.0)</f>
        <v>0</v>
      </c>
      <c r="P170" s="3">
        <f>IFERROR(__xludf.DUMMYFUNCTION("""COMPUTED_VALUE"""),0.0)</f>
        <v>0</v>
      </c>
      <c r="Q170" s="3">
        <f>IFERROR(__xludf.DUMMYFUNCTION("""COMPUTED_VALUE"""),0.0)</f>
        <v>0</v>
      </c>
      <c r="R170" s="3">
        <f>IFERROR(__xludf.DUMMYFUNCTION("""COMPUTED_VALUE"""),0.0)</f>
        <v>0</v>
      </c>
      <c r="S170" s="3">
        <f>IFERROR(__xludf.DUMMYFUNCTION("""COMPUTED_VALUE"""),0.0)</f>
        <v>0</v>
      </c>
      <c r="T170" s="3">
        <f>IFERROR(__xludf.DUMMYFUNCTION("""COMPUTED_VALUE"""),0.0)</f>
        <v>0</v>
      </c>
      <c r="U170" s="3">
        <f>IFERROR(__xludf.DUMMYFUNCTION("""COMPUTED_VALUE"""),0.0)</f>
        <v>0</v>
      </c>
      <c r="V170" s="3">
        <f>IFERROR(__xludf.DUMMYFUNCTION("""COMPUTED_VALUE"""),0.0)</f>
        <v>0</v>
      </c>
      <c r="W170" s="3">
        <f>IFERROR(__xludf.DUMMYFUNCTION("""COMPUTED_VALUE"""),0.0)</f>
        <v>0</v>
      </c>
      <c r="X170" s="3">
        <f>IFERROR(__xludf.DUMMYFUNCTION("""COMPUTED_VALUE"""),0.0)</f>
        <v>0</v>
      </c>
      <c r="Y170" s="3">
        <f>IFERROR(__xludf.DUMMYFUNCTION("""COMPUTED_VALUE"""),0.0)</f>
        <v>0</v>
      </c>
      <c r="Z170" s="3">
        <f>IFERROR(__xludf.DUMMYFUNCTION("""COMPUTED_VALUE"""),0.0)</f>
        <v>0</v>
      </c>
      <c r="AA170" s="3">
        <f>IFERROR(__xludf.DUMMYFUNCTION("""COMPUTED_VALUE"""),0.0)</f>
        <v>0</v>
      </c>
      <c r="AB170" s="3">
        <f>IFERROR(__xludf.DUMMYFUNCTION("""COMPUTED_VALUE"""),0.0)</f>
        <v>0</v>
      </c>
      <c r="AC170" s="3">
        <f>IFERROR(__xludf.DUMMYFUNCTION("""COMPUTED_VALUE"""),0.0)</f>
        <v>0</v>
      </c>
      <c r="AD170" s="3">
        <f>IFERROR(__xludf.DUMMYFUNCTION("""COMPUTED_VALUE"""),0.0)</f>
        <v>0</v>
      </c>
      <c r="AE170" s="3">
        <f>IFERROR(__xludf.DUMMYFUNCTION("""COMPUTED_VALUE"""),0.0)</f>
        <v>0</v>
      </c>
      <c r="AF170" s="3">
        <f>IFERROR(__xludf.DUMMYFUNCTION("""COMPUTED_VALUE"""),0.0)</f>
        <v>0</v>
      </c>
      <c r="AG170" s="3">
        <f>IFERROR(__xludf.DUMMYFUNCTION("""COMPUTED_VALUE"""),0.0)</f>
        <v>0</v>
      </c>
      <c r="AH170" s="3">
        <f>IFERROR(__xludf.DUMMYFUNCTION("""COMPUTED_VALUE"""),0.0)</f>
        <v>0</v>
      </c>
      <c r="AI170" s="3">
        <f>IFERROR(__xludf.DUMMYFUNCTION("""COMPUTED_VALUE"""),0.0)</f>
        <v>0</v>
      </c>
      <c r="AJ170" s="3">
        <f>IFERROR(__xludf.DUMMYFUNCTION("""COMPUTED_VALUE"""),0.0)</f>
        <v>0</v>
      </c>
      <c r="AK170" s="3">
        <f>IFERROR(__xludf.DUMMYFUNCTION("""COMPUTED_VALUE"""),0.0)</f>
        <v>0</v>
      </c>
      <c r="AL170" s="3">
        <f>IFERROR(__xludf.DUMMYFUNCTION("""COMPUTED_VALUE"""),0.0)</f>
        <v>0</v>
      </c>
      <c r="AM170" s="3">
        <f>IFERROR(__xludf.DUMMYFUNCTION("""COMPUTED_VALUE"""),0.0)</f>
        <v>0</v>
      </c>
      <c r="AN170" s="3">
        <f>IFERROR(__xludf.DUMMYFUNCTION("""COMPUTED_VALUE"""),0.0)</f>
        <v>0</v>
      </c>
      <c r="AO170" s="3">
        <f>IFERROR(__xludf.DUMMYFUNCTION("""COMPUTED_VALUE"""),0.0)</f>
        <v>0</v>
      </c>
      <c r="AP170" s="3">
        <f>IFERROR(__xludf.DUMMYFUNCTION("""COMPUTED_VALUE"""),0.0)</f>
        <v>0</v>
      </c>
      <c r="AQ170" s="3">
        <f>IFERROR(__xludf.DUMMYFUNCTION("""COMPUTED_VALUE"""),0.0)</f>
        <v>0</v>
      </c>
      <c r="AR170" s="3">
        <f>IFERROR(__xludf.DUMMYFUNCTION("""COMPUTED_VALUE"""),0.0)</f>
        <v>0</v>
      </c>
      <c r="AS170" s="3">
        <f>IFERROR(__xludf.DUMMYFUNCTION("""COMPUTED_VALUE"""),0.0)</f>
        <v>0</v>
      </c>
      <c r="AT170" s="3">
        <f>IFERROR(__xludf.DUMMYFUNCTION("""COMPUTED_VALUE"""),0.0)</f>
        <v>0</v>
      </c>
      <c r="AU170" s="3">
        <f>IFERROR(__xludf.DUMMYFUNCTION("""COMPUTED_VALUE"""),0.0)</f>
        <v>0</v>
      </c>
      <c r="AV170" s="3">
        <f>IFERROR(__xludf.DUMMYFUNCTION("""COMPUTED_VALUE"""),0.0)</f>
        <v>0</v>
      </c>
      <c r="AW170" s="3">
        <f>IFERROR(__xludf.DUMMYFUNCTION("""COMPUTED_VALUE"""),0.0)</f>
        <v>0</v>
      </c>
      <c r="AX170" s="3">
        <f>IFERROR(__xludf.DUMMYFUNCTION("""COMPUTED_VALUE"""),0.0)</f>
        <v>0</v>
      </c>
      <c r="AY170" s="3">
        <f>IFERROR(__xludf.DUMMYFUNCTION("""COMPUTED_VALUE"""),0.0)</f>
        <v>0</v>
      </c>
      <c r="AZ170" s="3">
        <f>IFERROR(__xludf.DUMMYFUNCTION("""COMPUTED_VALUE"""),0.0)</f>
        <v>0</v>
      </c>
      <c r="BA170" s="3">
        <f>IFERROR(__xludf.DUMMYFUNCTION("""COMPUTED_VALUE"""),0.0)</f>
        <v>0</v>
      </c>
      <c r="BB170" s="3">
        <f>IFERROR(__xludf.DUMMYFUNCTION("""COMPUTED_VALUE"""),0.0)</f>
        <v>0</v>
      </c>
      <c r="BC170" s="3">
        <f>IFERROR(__xludf.DUMMYFUNCTION("""COMPUTED_VALUE"""),0.0)</f>
        <v>0</v>
      </c>
      <c r="BD170" s="3">
        <f>IFERROR(__xludf.DUMMYFUNCTION("""COMPUTED_VALUE"""),0.0)</f>
        <v>0</v>
      </c>
      <c r="BE170" s="3">
        <f>IFERROR(__xludf.DUMMYFUNCTION("""COMPUTED_VALUE"""),0.0)</f>
        <v>0</v>
      </c>
      <c r="BF170" s="3">
        <f>IFERROR(__xludf.DUMMYFUNCTION("""COMPUTED_VALUE"""),0.0)</f>
        <v>0</v>
      </c>
      <c r="BG170" s="3">
        <f>IFERROR(__xludf.DUMMYFUNCTION("""COMPUTED_VALUE"""),0.0)</f>
        <v>0</v>
      </c>
      <c r="BH170" s="3">
        <f>IFERROR(__xludf.DUMMYFUNCTION("""COMPUTED_VALUE"""),0.0)</f>
        <v>0</v>
      </c>
      <c r="BI170" s="3">
        <f>IFERROR(__xludf.DUMMYFUNCTION("""COMPUTED_VALUE"""),0.0)</f>
        <v>0</v>
      </c>
      <c r="BJ170" s="3">
        <f>IFERROR(__xludf.DUMMYFUNCTION("""COMPUTED_VALUE"""),0.0)</f>
        <v>0</v>
      </c>
      <c r="BK170" s="3">
        <f>IFERROR(__xludf.DUMMYFUNCTION("""COMPUTED_VALUE"""),0.0)</f>
        <v>0</v>
      </c>
      <c r="BL170" s="3">
        <f>IFERROR(__xludf.DUMMYFUNCTION("""COMPUTED_VALUE"""),0.0)</f>
        <v>0</v>
      </c>
      <c r="BM170" s="3">
        <f>IFERROR(__xludf.DUMMYFUNCTION("""COMPUTED_VALUE"""),0.0)</f>
        <v>0</v>
      </c>
      <c r="BN170" s="3">
        <f>IFERROR(__xludf.DUMMYFUNCTION("""COMPUTED_VALUE"""),0.0)</f>
        <v>0</v>
      </c>
      <c r="BO170" s="3">
        <f>IFERROR(__xludf.DUMMYFUNCTION("""COMPUTED_VALUE"""),0.0)</f>
        <v>0</v>
      </c>
      <c r="BP170" s="3">
        <f>IFERROR(__xludf.DUMMYFUNCTION("""COMPUTED_VALUE"""),0.0)</f>
        <v>0</v>
      </c>
      <c r="BQ170" s="3">
        <f>IFERROR(__xludf.DUMMYFUNCTION("""COMPUTED_VALUE"""),0.0)</f>
        <v>0</v>
      </c>
      <c r="BR170" s="3">
        <f>IFERROR(__xludf.DUMMYFUNCTION("""COMPUTED_VALUE"""),0.0)</f>
        <v>0</v>
      </c>
      <c r="BS170" s="3">
        <f>IFERROR(__xludf.DUMMYFUNCTION("""COMPUTED_VALUE"""),0.0)</f>
        <v>0</v>
      </c>
      <c r="BT170" s="3">
        <f>IFERROR(__xludf.DUMMYFUNCTION("""COMPUTED_VALUE"""),0.0)</f>
        <v>0</v>
      </c>
      <c r="BU170" s="3">
        <f>IFERROR(__xludf.DUMMYFUNCTION("""COMPUTED_VALUE"""),0.0)</f>
        <v>0</v>
      </c>
      <c r="BV170" s="3">
        <f>IFERROR(__xludf.DUMMYFUNCTION("""COMPUTED_VALUE"""),0.0)</f>
        <v>0</v>
      </c>
      <c r="BW170" s="3">
        <f>IFERROR(__xludf.DUMMYFUNCTION("""COMPUTED_VALUE"""),0.0)</f>
        <v>0</v>
      </c>
      <c r="BX170" s="3">
        <f>IFERROR(__xludf.DUMMYFUNCTION("""COMPUTED_VALUE"""),0.0)</f>
        <v>0</v>
      </c>
      <c r="BY170" s="3">
        <f>IFERROR(__xludf.DUMMYFUNCTION("""COMPUTED_VALUE"""),0.0)</f>
        <v>0</v>
      </c>
      <c r="BZ170" s="3">
        <f>IFERROR(__xludf.DUMMYFUNCTION("""COMPUTED_VALUE"""),0.0)</f>
        <v>0</v>
      </c>
      <c r="CA170" s="3">
        <f>IFERROR(__xludf.DUMMYFUNCTION("""COMPUTED_VALUE"""),0.0)</f>
        <v>0</v>
      </c>
      <c r="CB170" s="3">
        <f>IFERROR(__xludf.DUMMYFUNCTION("""COMPUTED_VALUE"""),0.0)</f>
        <v>0</v>
      </c>
    </row>
    <row r="171">
      <c r="A171" s="3" t="str">
        <f>IFERROR(__xludf.DUMMYFUNCTION("""COMPUTED_VALUE"""),"")</f>
        <v/>
      </c>
      <c r="B171" s="3" t="str">
        <f>IFERROR(__xludf.DUMMYFUNCTION("""COMPUTED_VALUE"""),"Niger")</f>
        <v>Niger</v>
      </c>
      <c r="C171" s="3">
        <f>IFERROR(__xludf.DUMMYFUNCTION("""COMPUTED_VALUE"""),17.6078)</f>
        <v>17.6078</v>
      </c>
      <c r="D171" s="3">
        <f>IFERROR(__xludf.DUMMYFUNCTION("""COMPUTED_VALUE"""),8.0817)</f>
        <v>8.0817</v>
      </c>
      <c r="E171" s="3">
        <f>IFERROR(__xludf.DUMMYFUNCTION("""COMPUTED_VALUE"""),0.0)</f>
        <v>0</v>
      </c>
      <c r="F171" s="3">
        <f>IFERROR(__xludf.DUMMYFUNCTION("""COMPUTED_VALUE"""),0.0)</f>
        <v>0</v>
      </c>
      <c r="G171" s="3">
        <f>IFERROR(__xludf.DUMMYFUNCTION("""COMPUTED_VALUE"""),0.0)</f>
        <v>0</v>
      </c>
      <c r="H171" s="3">
        <f>IFERROR(__xludf.DUMMYFUNCTION("""COMPUTED_VALUE"""),0.0)</f>
        <v>0</v>
      </c>
      <c r="I171" s="3">
        <f>IFERROR(__xludf.DUMMYFUNCTION("""COMPUTED_VALUE"""),0.0)</f>
        <v>0</v>
      </c>
      <c r="J171" s="3">
        <f>IFERROR(__xludf.DUMMYFUNCTION("""COMPUTED_VALUE"""),0.0)</f>
        <v>0</v>
      </c>
      <c r="K171" s="3">
        <f>IFERROR(__xludf.DUMMYFUNCTION("""COMPUTED_VALUE"""),0.0)</f>
        <v>0</v>
      </c>
      <c r="L171" s="3">
        <f>IFERROR(__xludf.DUMMYFUNCTION("""COMPUTED_VALUE"""),0.0)</f>
        <v>0</v>
      </c>
      <c r="M171" s="3">
        <f>IFERROR(__xludf.DUMMYFUNCTION("""COMPUTED_VALUE"""),0.0)</f>
        <v>0</v>
      </c>
      <c r="N171" s="3">
        <f>IFERROR(__xludf.DUMMYFUNCTION("""COMPUTED_VALUE"""),0.0)</f>
        <v>0</v>
      </c>
      <c r="O171" s="3">
        <f>IFERROR(__xludf.DUMMYFUNCTION("""COMPUTED_VALUE"""),0.0)</f>
        <v>0</v>
      </c>
      <c r="P171" s="3">
        <f>IFERROR(__xludf.DUMMYFUNCTION("""COMPUTED_VALUE"""),0.0)</f>
        <v>0</v>
      </c>
      <c r="Q171" s="3">
        <f>IFERROR(__xludf.DUMMYFUNCTION("""COMPUTED_VALUE"""),0.0)</f>
        <v>0</v>
      </c>
      <c r="R171" s="3">
        <f>IFERROR(__xludf.DUMMYFUNCTION("""COMPUTED_VALUE"""),0.0)</f>
        <v>0</v>
      </c>
      <c r="S171" s="3">
        <f>IFERROR(__xludf.DUMMYFUNCTION("""COMPUTED_VALUE"""),0.0)</f>
        <v>0</v>
      </c>
      <c r="T171" s="3">
        <f>IFERROR(__xludf.DUMMYFUNCTION("""COMPUTED_VALUE"""),0.0)</f>
        <v>0</v>
      </c>
      <c r="U171" s="3">
        <f>IFERROR(__xludf.DUMMYFUNCTION("""COMPUTED_VALUE"""),0.0)</f>
        <v>0</v>
      </c>
      <c r="V171" s="3">
        <f>IFERROR(__xludf.DUMMYFUNCTION("""COMPUTED_VALUE"""),0.0)</f>
        <v>0</v>
      </c>
      <c r="W171" s="3">
        <f>IFERROR(__xludf.DUMMYFUNCTION("""COMPUTED_VALUE"""),0.0)</f>
        <v>0</v>
      </c>
      <c r="X171" s="3">
        <f>IFERROR(__xludf.DUMMYFUNCTION("""COMPUTED_VALUE"""),0.0)</f>
        <v>0</v>
      </c>
      <c r="Y171" s="3">
        <f>IFERROR(__xludf.DUMMYFUNCTION("""COMPUTED_VALUE"""),0.0)</f>
        <v>0</v>
      </c>
      <c r="Z171" s="3">
        <f>IFERROR(__xludf.DUMMYFUNCTION("""COMPUTED_VALUE"""),0.0)</f>
        <v>0</v>
      </c>
      <c r="AA171" s="3">
        <f>IFERROR(__xludf.DUMMYFUNCTION("""COMPUTED_VALUE"""),0.0)</f>
        <v>0</v>
      </c>
      <c r="AB171" s="3">
        <f>IFERROR(__xludf.DUMMYFUNCTION("""COMPUTED_VALUE"""),0.0)</f>
        <v>0</v>
      </c>
      <c r="AC171" s="3">
        <f>IFERROR(__xludf.DUMMYFUNCTION("""COMPUTED_VALUE"""),0.0)</f>
        <v>0</v>
      </c>
      <c r="AD171" s="3">
        <f>IFERROR(__xludf.DUMMYFUNCTION("""COMPUTED_VALUE"""),0.0)</f>
        <v>0</v>
      </c>
      <c r="AE171" s="3">
        <f>IFERROR(__xludf.DUMMYFUNCTION("""COMPUTED_VALUE"""),0.0)</f>
        <v>0</v>
      </c>
      <c r="AF171" s="3">
        <f>IFERROR(__xludf.DUMMYFUNCTION("""COMPUTED_VALUE"""),0.0)</f>
        <v>0</v>
      </c>
      <c r="AG171" s="3">
        <f>IFERROR(__xludf.DUMMYFUNCTION("""COMPUTED_VALUE"""),0.0)</f>
        <v>0</v>
      </c>
      <c r="AH171" s="3">
        <f>IFERROR(__xludf.DUMMYFUNCTION("""COMPUTED_VALUE"""),0.0)</f>
        <v>0</v>
      </c>
      <c r="AI171" s="3">
        <f>IFERROR(__xludf.DUMMYFUNCTION("""COMPUTED_VALUE"""),0.0)</f>
        <v>0</v>
      </c>
      <c r="AJ171" s="3">
        <f>IFERROR(__xludf.DUMMYFUNCTION("""COMPUTED_VALUE"""),0.0)</f>
        <v>0</v>
      </c>
      <c r="AK171" s="3">
        <f>IFERROR(__xludf.DUMMYFUNCTION("""COMPUTED_VALUE"""),0.0)</f>
        <v>0</v>
      </c>
      <c r="AL171" s="3">
        <f>IFERROR(__xludf.DUMMYFUNCTION("""COMPUTED_VALUE"""),0.0)</f>
        <v>0</v>
      </c>
      <c r="AM171" s="3">
        <f>IFERROR(__xludf.DUMMYFUNCTION("""COMPUTED_VALUE"""),0.0)</f>
        <v>0</v>
      </c>
      <c r="AN171" s="3">
        <f>IFERROR(__xludf.DUMMYFUNCTION("""COMPUTED_VALUE"""),0.0)</f>
        <v>0</v>
      </c>
      <c r="AO171" s="3">
        <f>IFERROR(__xludf.DUMMYFUNCTION("""COMPUTED_VALUE"""),0.0)</f>
        <v>0</v>
      </c>
      <c r="AP171" s="3">
        <f>IFERROR(__xludf.DUMMYFUNCTION("""COMPUTED_VALUE"""),0.0)</f>
        <v>0</v>
      </c>
      <c r="AQ171" s="3">
        <f>IFERROR(__xludf.DUMMYFUNCTION("""COMPUTED_VALUE"""),0.0)</f>
        <v>0</v>
      </c>
      <c r="AR171" s="3">
        <f>IFERROR(__xludf.DUMMYFUNCTION("""COMPUTED_VALUE"""),0.0)</f>
        <v>0</v>
      </c>
      <c r="AS171" s="3">
        <f>IFERROR(__xludf.DUMMYFUNCTION("""COMPUTED_VALUE"""),0.0)</f>
        <v>0</v>
      </c>
      <c r="AT171" s="3">
        <f>IFERROR(__xludf.DUMMYFUNCTION("""COMPUTED_VALUE"""),0.0)</f>
        <v>0</v>
      </c>
      <c r="AU171" s="3">
        <f>IFERROR(__xludf.DUMMYFUNCTION("""COMPUTED_VALUE"""),0.0)</f>
        <v>0</v>
      </c>
      <c r="AV171" s="3">
        <f>IFERROR(__xludf.DUMMYFUNCTION("""COMPUTED_VALUE"""),0.0)</f>
        <v>0</v>
      </c>
      <c r="AW171" s="3">
        <f>IFERROR(__xludf.DUMMYFUNCTION("""COMPUTED_VALUE"""),0.0)</f>
        <v>0</v>
      </c>
      <c r="AX171" s="3">
        <f>IFERROR(__xludf.DUMMYFUNCTION("""COMPUTED_VALUE"""),0.0)</f>
        <v>0</v>
      </c>
      <c r="AY171" s="3">
        <f>IFERROR(__xludf.DUMMYFUNCTION("""COMPUTED_VALUE"""),0.0)</f>
        <v>0</v>
      </c>
      <c r="AZ171" s="3">
        <f>IFERROR(__xludf.DUMMYFUNCTION("""COMPUTED_VALUE"""),0.0)</f>
        <v>0</v>
      </c>
      <c r="BA171" s="3">
        <f>IFERROR(__xludf.DUMMYFUNCTION("""COMPUTED_VALUE"""),0.0)</f>
        <v>0</v>
      </c>
      <c r="BB171" s="3">
        <f>IFERROR(__xludf.DUMMYFUNCTION("""COMPUTED_VALUE"""),0.0)</f>
        <v>0</v>
      </c>
      <c r="BC171" s="3">
        <f>IFERROR(__xludf.DUMMYFUNCTION("""COMPUTED_VALUE"""),0.0)</f>
        <v>0</v>
      </c>
      <c r="BD171" s="3">
        <f>IFERROR(__xludf.DUMMYFUNCTION("""COMPUTED_VALUE"""),0.0)</f>
        <v>0</v>
      </c>
      <c r="BE171" s="3">
        <f>IFERROR(__xludf.DUMMYFUNCTION("""COMPUTED_VALUE"""),0.0)</f>
        <v>0</v>
      </c>
      <c r="BF171" s="3">
        <f>IFERROR(__xludf.DUMMYFUNCTION("""COMPUTED_VALUE"""),0.0)</f>
        <v>0</v>
      </c>
      <c r="BG171" s="3">
        <f>IFERROR(__xludf.DUMMYFUNCTION("""COMPUTED_VALUE"""),0.0)</f>
        <v>0</v>
      </c>
      <c r="BH171" s="3">
        <f>IFERROR(__xludf.DUMMYFUNCTION("""COMPUTED_VALUE"""),0.0)</f>
        <v>0</v>
      </c>
      <c r="BI171" s="3">
        <f>IFERROR(__xludf.DUMMYFUNCTION("""COMPUTED_VALUE"""),0.0)</f>
        <v>0</v>
      </c>
      <c r="BJ171" s="3">
        <f>IFERROR(__xludf.DUMMYFUNCTION("""COMPUTED_VALUE"""),0.0)</f>
        <v>0</v>
      </c>
      <c r="BK171" s="3">
        <f>IFERROR(__xludf.DUMMYFUNCTION("""COMPUTED_VALUE"""),0.0)</f>
        <v>0</v>
      </c>
      <c r="BL171" s="3">
        <f>IFERROR(__xludf.DUMMYFUNCTION("""COMPUTED_VALUE"""),0.0)</f>
        <v>0</v>
      </c>
      <c r="BM171" s="3">
        <f>IFERROR(__xludf.DUMMYFUNCTION("""COMPUTED_VALUE"""),0.0)</f>
        <v>0</v>
      </c>
      <c r="BN171" s="3">
        <f>IFERROR(__xludf.DUMMYFUNCTION("""COMPUTED_VALUE"""),0.0)</f>
        <v>0</v>
      </c>
      <c r="BO171" s="3">
        <f>IFERROR(__xludf.DUMMYFUNCTION("""COMPUTED_VALUE"""),0.0)</f>
        <v>0</v>
      </c>
      <c r="BP171" s="3">
        <f>IFERROR(__xludf.DUMMYFUNCTION("""COMPUTED_VALUE"""),0.0)</f>
        <v>0</v>
      </c>
      <c r="BQ171" s="3">
        <f>IFERROR(__xludf.DUMMYFUNCTION("""COMPUTED_VALUE"""),0.0)</f>
        <v>0</v>
      </c>
      <c r="BR171" s="3">
        <f>IFERROR(__xludf.DUMMYFUNCTION("""COMPUTED_VALUE"""),0.0)</f>
        <v>0</v>
      </c>
      <c r="BS171" s="3">
        <f>IFERROR(__xludf.DUMMYFUNCTION("""COMPUTED_VALUE"""),0.0)</f>
        <v>0</v>
      </c>
      <c r="BT171" s="3">
        <f>IFERROR(__xludf.DUMMYFUNCTION("""COMPUTED_VALUE"""),0.0)</f>
        <v>0</v>
      </c>
      <c r="BU171" s="3">
        <f>IFERROR(__xludf.DUMMYFUNCTION("""COMPUTED_VALUE"""),0.0)</f>
        <v>0</v>
      </c>
      <c r="BV171" s="3">
        <f>IFERROR(__xludf.DUMMYFUNCTION("""COMPUTED_VALUE"""),0.0)</f>
        <v>0</v>
      </c>
      <c r="BW171" s="3">
        <f>IFERROR(__xludf.DUMMYFUNCTION("""COMPUTED_VALUE"""),0.0)</f>
        <v>0</v>
      </c>
      <c r="BX171" s="3">
        <f>IFERROR(__xludf.DUMMYFUNCTION("""COMPUTED_VALUE"""),0.0)</f>
        <v>0</v>
      </c>
      <c r="BY171" s="3">
        <f>IFERROR(__xludf.DUMMYFUNCTION("""COMPUTED_VALUE"""),0.0)</f>
        <v>0</v>
      </c>
      <c r="BZ171" s="3">
        <f>IFERROR(__xludf.DUMMYFUNCTION("""COMPUTED_VALUE"""),0.0)</f>
        <v>0</v>
      </c>
      <c r="CA171" s="3">
        <f>IFERROR(__xludf.DUMMYFUNCTION("""COMPUTED_VALUE"""),13.0)</f>
        <v>13</v>
      </c>
      <c r="CB171" s="3">
        <f>IFERROR(__xludf.DUMMYFUNCTION("""COMPUTED_VALUE"""),26.0)</f>
        <v>26</v>
      </c>
    </row>
    <row r="172">
      <c r="A172" s="3" t="str">
        <f>IFERROR(__xludf.DUMMYFUNCTION("""COMPUTED_VALUE"""),"")</f>
        <v/>
      </c>
      <c r="B172" s="3" t="str">
        <f>IFERROR(__xludf.DUMMYFUNCTION("""COMPUTED_VALUE"""),"Nigeria")</f>
        <v>Nigeria</v>
      </c>
      <c r="C172" s="3">
        <f>IFERROR(__xludf.DUMMYFUNCTION("""COMPUTED_VALUE"""),9.082)</f>
        <v>9.082</v>
      </c>
      <c r="D172" s="3">
        <f>IFERROR(__xludf.DUMMYFUNCTION("""COMPUTED_VALUE"""),8.6753)</f>
        <v>8.6753</v>
      </c>
      <c r="E172" s="3">
        <f>IFERROR(__xludf.DUMMYFUNCTION("""COMPUTED_VALUE"""),0.0)</f>
        <v>0</v>
      </c>
      <c r="F172" s="3">
        <f>IFERROR(__xludf.DUMMYFUNCTION("""COMPUTED_VALUE"""),0.0)</f>
        <v>0</v>
      </c>
      <c r="G172" s="3">
        <f>IFERROR(__xludf.DUMMYFUNCTION("""COMPUTED_VALUE"""),0.0)</f>
        <v>0</v>
      </c>
      <c r="H172" s="3">
        <f>IFERROR(__xludf.DUMMYFUNCTION("""COMPUTED_VALUE"""),0.0)</f>
        <v>0</v>
      </c>
      <c r="I172" s="3">
        <f>IFERROR(__xludf.DUMMYFUNCTION("""COMPUTED_VALUE"""),0.0)</f>
        <v>0</v>
      </c>
      <c r="J172" s="3">
        <f>IFERROR(__xludf.DUMMYFUNCTION("""COMPUTED_VALUE"""),0.0)</f>
        <v>0</v>
      </c>
      <c r="K172" s="3">
        <f>IFERROR(__xludf.DUMMYFUNCTION("""COMPUTED_VALUE"""),0.0)</f>
        <v>0</v>
      </c>
      <c r="L172" s="3">
        <f>IFERROR(__xludf.DUMMYFUNCTION("""COMPUTED_VALUE"""),0.0)</f>
        <v>0</v>
      </c>
      <c r="M172" s="3">
        <f>IFERROR(__xludf.DUMMYFUNCTION("""COMPUTED_VALUE"""),0.0)</f>
        <v>0</v>
      </c>
      <c r="N172" s="3">
        <f>IFERROR(__xludf.DUMMYFUNCTION("""COMPUTED_VALUE"""),0.0)</f>
        <v>0</v>
      </c>
      <c r="O172" s="3">
        <f>IFERROR(__xludf.DUMMYFUNCTION("""COMPUTED_VALUE"""),0.0)</f>
        <v>0</v>
      </c>
      <c r="P172" s="3">
        <f>IFERROR(__xludf.DUMMYFUNCTION("""COMPUTED_VALUE"""),0.0)</f>
        <v>0</v>
      </c>
      <c r="Q172" s="3">
        <f>IFERROR(__xludf.DUMMYFUNCTION("""COMPUTED_VALUE"""),0.0)</f>
        <v>0</v>
      </c>
      <c r="R172" s="3">
        <f>IFERROR(__xludf.DUMMYFUNCTION("""COMPUTED_VALUE"""),0.0)</f>
        <v>0</v>
      </c>
      <c r="S172" s="3">
        <f>IFERROR(__xludf.DUMMYFUNCTION("""COMPUTED_VALUE"""),0.0)</f>
        <v>0</v>
      </c>
      <c r="T172" s="3">
        <f>IFERROR(__xludf.DUMMYFUNCTION("""COMPUTED_VALUE"""),0.0)</f>
        <v>0</v>
      </c>
      <c r="U172" s="3">
        <f>IFERROR(__xludf.DUMMYFUNCTION("""COMPUTED_VALUE"""),0.0)</f>
        <v>0</v>
      </c>
      <c r="V172" s="3">
        <f>IFERROR(__xludf.DUMMYFUNCTION("""COMPUTED_VALUE"""),0.0)</f>
        <v>0</v>
      </c>
      <c r="W172" s="3">
        <f>IFERROR(__xludf.DUMMYFUNCTION("""COMPUTED_VALUE"""),0.0)</f>
        <v>0</v>
      </c>
      <c r="X172" s="3">
        <f>IFERROR(__xludf.DUMMYFUNCTION("""COMPUTED_VALUE"""),0.0)</f>
        <v>0</v>
      </c>
      <c r="Y172" s="3">
        <f>IFERROR(__xludf.DUMMYFUNCTION("""COMPUTED_VALUE"""),0.0)</f>
        <v>0</v>
      </c>
      <c r="Z172" s="3">
        <f>IFERROR(__xludf.DUMMYFUNCTION("""COMPUTED_VALUE"""),0.0)</f>
        <v>0</v>
      </c>
      <c r="AA172" s="3">
        <f>IFERROR(__xludf.DUMMYFUNCTION("""COMPUTED_VALUE"""),0.0)</f>
        <v>0</v>
      </c>
      <c r="AB172" s="3">
        <f>IFERROR(__xludf.DUMMYFUNCTION("""COMPUTED_VALUE"""),0.0)</f>
        <v>0</v>
      </c>
      <c r="AC172" s="3">
        <f>IFERROR(__xludf.DUMMYFUNCTION("""COMPUTED_VALUE"""),0.0)</f>
        <v>0</v>
      </c>
      <c r="AD172" s="3">
        <f>IFERROR(__xludf.DUMMYFUNCTION("""COMPUTED_VALUE"""),0.0)</f>
        <v>0</v>
      </c>
      <c r="AE172" s="3">
        <f>IFERROR(__xludf.DUMMYFUNCTION("""COMPUTED_VALUE"""),0.0)</f>
        <v>0</v>
      </c>
      <c r="AF172" s="3">
        <f>IFERROR(__xludf.DUMMYFUNCTION("""COMPUTED_VALUE"""),0.0)</f>
        <v>0</v>
      </c>
      <c r="AG172" s="3">
        <f>IFERROR(__xludf.DUMMYFUNCTION("""COMPUTED_VALUE"""),0.0)</f>
        <v>0</v>
      </c>
      <c r="AH172" s="3">
        <f>IFERROR(__xludf.DUMMYFUNCTION("""COMPUTED_VALUE"""),0.0)</f>
        <v>0</v>
      </c>
      <c r="AI172" s="3">
        <f>IFERROR(__xludf.DUMMYFUNCTION("""COMPUTED_VALUE"""),0.0)</f>
        <v>0</v>
      </c>
      <c r="AJ172" s="3">
        <f>IFERROR(__xludf.DUMMYFUNCTION("""COMPUTED_VALUE"""),0.0)</f>
        <v>0</v>
      </c>
      <c r="AK172" s="3">
        <f>IFERROR(__xludf.DUMMYFUNCTION("""COMPUTED_VALUE"""),0.0)</f>
        <v>0</v>
      </c>
      <c r="AL172" s="3">
        <f>IFERROR(__xludf.DUMMYFUNCTION("""COMPUTED_VALUE"""),0.0)</f>
        <v>0</v>
      </c>
      <c r="AM172" s="3">
        <f>IFERROR(__xludf.DUMMYFUNCTION("""COMPUTED_VALUE"""),0.0)</f>
        <v>0</v>
      </c>
      <c r="AN172" s="3">
        <f>IFERROR(__xludf.DUMMYFUNCTION("""COMPUTED_VALUE"""),0.0)</f>
        <v>0</v>
      </c>
      <c r="AO172" s="3">
        <f>IFERROR(__xludf.DUMMYFUNCTION("""COMPUTED_VALUE"""),0.0)</f>
        <v>0</v>
      </c>
      <c r="AP172" s="3">
        <f>IFERROR(__xludf.DUMMYFUNCTION("""COMPUTED_VALUE"""),0.0)</f>
        <v>0</v>
      </c>
      <c r="AQ172" s="3">
        <f>IFERROR(__xludf.DUMMYFUNCTION("""COMPUTED_VALUE"""),0.0)</f>
        <v>0</v>
      </c>
      <c r="AR172" s="3">
        <f>IFERROR(__xludf.DUMMYFUNCTION("""COMPUTED_VALUE"""),0.0)</f>
        <v>0</v>
      </c>
      <c r="AS172" s="3">
        <f>IFERROR(__xludf.DUMMYFUNCTION("""COMPUTED_VALUE"""),0.0)</f>
        <v>0</v>
      </c>
      <c r="AT172" s="3">
        <f>IFERROR(__xludf.DUMMYFUNCTION("""COMPUTED_VALUE"""),0.0)</f>
        <v>0</v>
      </c>
      <c r="AU172" s="3">
        <f>IFERROR(__xludf.DUMMYFUNCTION("""COMPUTED_VALUE"""),0.0)</f>
        <v>0</v>
      </c>
      <c r="AV172" s="3">
        <f>IFERROR(__xludf.DUMMYFUNCTION("""COMPUTED_VALUE"""),0.0)</f>
        <v>0</v>
      </c>
      <c r="AW172" s="3">
        <f>IFERROR(__xludf.DUMMYFUNCTION("""COMPUTED_VALUE"""),0.0)</f>
        <v>0</v>
      </c>
      <c r="AX172" s="3">
        <f>IFERROR(__xludf.DUMMYFUNCTION("""COMPUTED_VALUE"""),0.0)</f>
        <v>0</v>
      </c>
      <c r="AY172" s="3">
        <f>IFERROR(__xludf.DUMMYFUNCTION("""COMPUTED_VALUE"""),0.0)</f>
        <v>0</v>
      </c>
      <c r="AZ172" s="3">
        <f>IFERROR(__xludf.DUMMYFUNCTION("""COMPUTED_VALUE"""),0.0)</f>
        <v>0</v>
      </c>
      <c r="BA172" s="3">
        <f>IFERROR(__xludf.DUMMYFUNCTION("""COMPUTED_VALUE"""),0.0)</f>
        <v>0</v>
      </c>
      <c r="BB172" s="3">
        <f>IFERROR(__xludf.DUMMYFUNCTION("""COMPUTED_VALUE"""),0.0)</f>
        <v>0</v>
      </c>
      <c r="BC172" s="3">
        <f>IFERROR(__xludf.DUMMYFUNCTION("""COMPUTED_VALUE"""),0.0)</f>
        <v>0</v>
      </c>
      <c r="BD172" s="3">
        <f>IFERROR(__xludf.DUMMYFUNCTION("""COMPUTED_VALUE"""),0.0)</f>
        <v>0</v>
      </c>
      <c r="BE172" s="3">
        <f>IFERROR(__xludf.DUMMYFUNCTION("""COMPUTED_VALUE"""),0.0)</f>
        <v>0</v>
      </c>
      <c r="BF172" s="3">
        <f>IFERROR(__xludf.DUMMYFUNCTION("""COMPUTED_VALUE"""),0.0)</f>
        <v>0</v>
      </c>
      <c r="BG172" s="3">
        <f>IFERROR(__xludf.DUMMYFUNCTION("""COMPUTED_VALUE"""),0.0)</f>
        <v>0</v>
      </c>
      <c r="BH172" s="3">
        <f>IFERROR(__xludf.DUMMYFUNCTION("""COMPUTED_VALUE"""),0.0)</f>
        <v>0</v>
      </c>
      <c r="BI172" s="3">
        <f>IFERROR(__xludf.DUMMYFUNCTION("""COMPUTED_VALUE"""),1.0)</f>
        <v>1</v>
      </c>
      <c r="BJ172" s="3">
        <f>IFERROR(__xludf.DUMMYFUNCTION("""COMPUTED_VALUE"""),1.0)</f>
        <v>1</v>
      </c>
      <c r="BK172" s="3">
        <f>IFERROR(__xludf.DUMMYFUNCTION("""COMPUTED_VALUE"""),1.0)</f>
        <v>1</v>
      </c>
      <c r="BL172" s="3">
        <f>IFERROR(__xludf.DUMMYFUNCTION("""COMPUTED_VALUE"""),1.0)</f>
        <v>1</v>
      </c>
      <c r="BM172" s="3">
        <f>IFERROR(__xludf.DUMMYFUNCTION("""COMPUTED_VALUE"""),2.0)</f>
        <v>2</v>
      </c>
      <c r="BN172" s="3">
        <f>IFERROR(__xludf.DUMMYFUNCTION("""COMPUTED_VALUE"""),2.0)</f>
        <v>2</v>
      </c>
      <c r="BO172" s="3">
        <f>IFERROR(__xludf.DUMMYFUNCTION("""COMPUTED_VALUE"""),2.0)</f>
        <v>2</v>
      </c>
      <c r="BP172" s="3">
        <f>IFERROR(__xludf.DUMMYFUNCTION("""COMPUTED_VALUE"""),2.0)</f>
        <v>2</v>
      </c>
      <c r="BQ172" s="3">
        <f>IFERROR(__xludf.DUMMYFUNCTION("""COMPUTED_VALUE"""),2.0)</f>
        <v>2</v>
      </c>
      <c r="BR172" s="3">
        <f>IFERROR(__xludf.DUMMYFUNCTION("""COMPUTED_VALUE"""),3.0)</f>
        <v>3</v>
      </c>
      <c r="BS172" s="3">
        <f>IFERROR(__xludf.DUMMYFUNCTION("""COMPUTED_VALUE"""),3.0)</f>
        <v>3</v>
      </c>
      <c r="BT172" s="3">
        <f>IFERROR(__xludf.DUMMYFUNCTION("""COMPUTED_VALUE"""),3.0)</f>
        <v>3</v>
      </c>
      <c r="BU172" s="3">
        <f>IFERROR(__xludf.DUMMYFUNCTION("""COMPUTED_VALUE"""),8.0)</f>
        <v>8</v>
      </c>
      <c r="BV172" s="3">
        <f>IFERROR(__xludf.DUMMYFUNCTION("""COMPUTED_VALUE"""),8.0)</f>
        <v>8</v>
      </c>
      <c r="BW172" s="3">
        <f>IFERROR(__xludf.DUMMYFUNCTION("""COMPUTED_VALUE"""),9.0)</f>
        <v>9</v>
      </c>
      <c r="BX172" s="3">
        <f>IFERROR(__xludf.DUMMYFUNCTION("""COMPUTED_VALUE"""),20.0)</f>
        <v>20</v>
      </c>
      <c r="BY172" s="3">
        <f>IFERROR(__xludf.DUMMYFUNCTION("""COMPUTED_VALUE"""),25.0)</f>
        <v>25</v>
      </c>
      <c r="BZ172" s="3">
        <f>IFERROR(__xludf.DUMMYFUNCTION("""COMPUTED_VALUE"""),25.0)</f>
        <v>25</v>
      </c>
      <c r="CA172" s="3">
        <f>IFERROR(__xludf.DUMMYFUNCTION("""COMPUTED_VALUE"""),33.0)</f>
        <v>33</v>
      </c>
      <c r="CB172" s="3">
        <f>IFERROR(__xludf.DUMMYFUNCTION("""COMPUTED_VALUE"""),35.0)</f>
        <v>35</v>
      </c>
    </row>
    <row r="173">
      <c r="A173" s="3" t="str">
        <f>IFERROR(__xludf.DUMMYFUNCTION("""COMPUTED_VALUE"""),"")</f>
        <v/>
      </c>
      <c r="B173" s="3" t="str">
        <f>IFERROR(__xludf.DUMMYFUNCTION("""COMPUTED_VALUE"""),"North Macedonia")</f>
        <v>North Macedonia</v>
      </c>
      <c r="C173" s="3">
        <f>IFERROR(__xludf.DUMMYFUNCTION("""COMPUTED_VALUE"""),41.6086)</f>
        <v>41.6086</v>
      </c>
      <c r="D173" s="3">
        <f>IFERROR(__xludf.DUMMYFUNCTION("""COMPUTED_VALUE"""),21.7453)</f>
        <v>21.7453</v>
      </c>
      <c r="E173" s="3">
        <f>IFERROR(__xludf.DUMMYFUNCTION("""COMPUTED_VALUE"""),0.0)</f>
        <v>0</v>
      </c>
      <c r="F173" s="3">
        <f>IFERROR(__xludf.DUMMYFUNCTION("""COMPUTED_VALUE"""),0.0)</f>
        <v>0</v>
      </c>
      <c r="G173" s="3">
        <f>IFERROR(__xludf.DUMMYFUNCTION("""COMPUTED_VALUE"""),0.0)</f>
        <v>0</v>
      </c>
      <c r="H173" s="3">
        <f>IFERROR(__xludf.DUMMYFUNCTION("""COMPUTED_VALUE"""),0.0)</f>
        <v>0</v>
      </c>
      <c r="I173" s="3">
        <f>IFERROR(__xludf.DUMMYFUNCTION("""COMPUTED_VALUE"""),0.0)</f>
        <v>0</v>
      </c>
      <c r="J173" s="3">
        <f>IFERROR(__xludf.DUMMYFUNCTION("""COMPUTED_VALUE"""),0.0)</f>
        <v>0</v>
      </c>
      <c r="K173" s="3">
        <f>IFERROR(__xludf.DUMMYFUNCTION("""COMPUTED_VALUE"""),0.0)</f>
        <v>0</v>
      </c>
      <c r="L173" s="3">
        <f>IFERROR(__xludf.DUMMYFUNCTION("""COMPUTED_VALUE"""),0.0)</f>
        <v>0</v>
      </c>
      <c r="M173" s="3">
        <f>IFERROR(__xludf.DUMMYFUNCTION("""COMPUTED_VALUE"""),0.0)</f>
        <v>0</v>
      </c>
      <c r="N173" s="3">
        <f>IFERROR(__xludf.DUMMYFUNCTION("""COMPUTED_VALUE"""),0.0)</f>
        <v>0</v>
      </c>
      <c r="O173" s="3">
        <f>IFERROR(__xludf.DUMMYFUNCTION("""COMPUTED_VALUE"""),0.0)</f>
        <v>0</v>
      </c>
      <c r="P173" s="3">
        <f>IFERROR(__xludf.DUMMYFUNCTION("""COMPUTED_VALUE"""),0.0)</f>
        <v>0</v>
      </c>
      <c r="Q173" s="3">
        <f>IFERROR(__xludf.DUMMYFUNCTION("""COMPUTED_VALUE"""),0.0)</f>
        <v>0</v>
      </c>
      <c r="R173" s="3">
        <f>IFERROR(__xludf.DUMMYFUNCTION("""COMPUTED_VALUE"""),0.0)</f>
        <v>0</v>
      </c>
      <c r="S173" s="3">
        <f>IFERROR(__xludf.DUMMYFUNCTION("""COMPUTED_VALUE"""),0.0)</f>
        <v>0</v>
      </c>
      <c r="T173" s="3">
        <f>IFERROR(__xludf.DUMMYFUNCTION("""COMPUTED_VALUE"""),0.0)</f>
        <v>0</v>
      </c>
      <c r="U173" s="3">
        <f>IFERROR(__xludf.DUMMYFUNCTION("""COMPUTED_VALUE"""),0.0)</f>
        <v>0</v>
      </c>
      <c r="V173" s="3">
        <f>IFERROR(__xludf.DUMMYFUNCTION("""COMPUTED_VALUE"""),0.0)</f>
        <v>0</v>
      </c>
      <c r="W173" s="3">
        <f>IFERROR(__xludf.DUMMYFUNCTION("""COMPUTED_VALUE"""),0.0)</f>
        <v>0</v>
      </c>
      <c r="X173" s="3">
        <f>IFERROR(__xludf.DUMMYFUNCTION("""COMPUTED_VALUE"""),0.0)</f>
        <v>0</v>
      </c>
      <c r="Y173" s="3">
        <f>IFERROR(__xludf.DUMMYFUNCTION("""COMPUTED_VALUE"""),0.0)</f>
        <v>0</v>
      </c>
      <c r="Z173" s="3">
        <f>IFERROR(__xludf.DUMMYFUNCTION("""COMPUTED_VALUE"""),0.0)</f>
        <v>0</v>
      </c>
      <c r="AA173" s="3">
        <f>IFERROR(__xludf.DUMMYFUNCTION("""COMPUTED_VALUE"""),0.0)</f>
        <v>0</v>
      </c>
      <c r="AB173" s="3">
        <f>IFERROR(__xludf.DUMMYFUNCTION("""COMPUTED_VALUE"""),0.0)</f>
        <v>0</v>
      </c>
      <c r="AC173" s="3">
        <f>IFERROR(__xludf.DUMMYFUNCTION("""COMPUTED_VALUE"""),0.0)</f>
        <v>0</v>
      </c>
      <c r="AD173" s="3">
        <f>IFERROR(__xludf.DUMMYFUNCTION("""COMPUTED_VALUE"""),0.0)</f>
        <v>0</v>
      </c>
      <c r="AE173" s="3">
        <f>IFERROR(__xludf.DUMMYFUNCTION("""COMPUTED_VALUE"""),0.0)</f>
        <v>0</v>
      </c>
      <c r="AF173" s="3">
        <f>IFERROR(__xludf.DUMMYFUNCTION("""COMPUTED_VALUE"""),0.0)</f>
        <v>0</v>
      </c>
      <c r="AG173" s="3">
        <f>IFERROR(__xludf.DUMMYFUNCTION("""COMPUTED_VALUE"""),0.0)</f>
        <v>0</v>
      </c>
      <c r="AH173" s="3">
        <f>IFERROR(__xludf.DUMMYFUNCTION("""COMPUTED_VALUE"""),0.0)</f>
        <v>0</v>
      </c>
      <c r="AI173" s="3">
        <f>IFERROR(__xludf.DUMMYFUNCTION("""COMPUTED_VALUE"""),0.0)</f>
        <v>0</v>
      </c>
      <c r="AJ173" s="3">
        <f>IFERROR(__xludf.DUMMYFUNCTION("""COMPUTED_VALUE"""),0.0)</f>
        <v>0</v>
      </c>
      <c r="AK173" s="3">
        <f>IFERROR(__xludf.DUMMYFUNCTION("""COMPUTED_VALUE"""),0.0)</f>
        <v>0</v>
      </c>
      <c r="AL173" s="3">
        <f>IFERROR(__xludf.DUMMYFUNCTION("""COMPUTED_VALUE"""),0.0)</f>
        <v>0</v>
      </c>
      <c r="AM173" s="3">
        <f>IFERROR(__xludf.DUMMYFUNCTION("""COMPUTED_VALUE"""),0.0)</f>
        <v>0</v>
      </c>
      <c r="AN173" s="3">
        <f>IFERROR(__xludf.DUMMYFUNCTION("""COMPUTED_VALUE"""),0.0)</f>
        <v>0</v>
      </c>
      <c r="AO173" s="3">
        <f>IFERROR(__xludf.DUMMYFUNCTION("""COMPUTED_VALUE"""),0.0)</f>
        <v>0</v>
      </c>
      <c r="AP173" s="3">
        <f>IFERROR(__xludf.DUMMYFUNCTION("""COMPUTED_VALUE"""),0.0)</f>
        <v>0</v>
      </c>
      <c r="AQ173" s="3">
        <f>IFERROR(__xludf.DUMMYFUNCTION("""COMPUTED_VALUE"""),0.0)</f>
        <v>0</v>
      </c>
      <c r="AR173" s="3">
        <f>IFERROR(__xludf.DUMMYFUNCTION("""COMPUTED_VALUE"""),0.0)</f>
        <v>0</v>
      </c>
      <c r="AS173" s="3">
        <f>IFERROR(__xludf.DUMMYFUNCTION("""COMPUTED_VALUE"""),0.0)</f>
        <v>0</v>
      </c>
      <c r="AT173" s="3">
        <f>IFERROR(__xludf.DUMMYFUNCTION("""COMPUTED_VALUE"""),0.0)</f>
        <v>0</v>
      </c>
      <c r="AU173" s="3">
        <f>IFERROR(__xludf.DUMMYFUNCTION("""COMPUTED_VALUE"""),0.0)</f>
        <v>0</v>
      </c>
      <c r="AV173" s="3">
        <f>IFERROR(__xludf.DUMMYFUNCTION("""COMPUTED_VALUE"""),0.0)</f>
        <v>0</v>
      </c>
      <c r="AW173" s="3">
        <f>IFERROR(__xludf.DUMMYFUNCTION("""COMPUTED_VALUE"""),0.0)</f>
        <v>0</v>
      </c>
      <c r="AX173" s="3">
        <f>IFERROR(__xludf.DUMMYFUNCTION("""COMPUTED_VALUE"""),0.0)</f>
        <v>0</v>
      </c>
      <c r="AY173" s="3">
        <f>IFERROR(__xludf.DUMMYFUNCTION("""COMPUTED_VALUE"""),0.0)</f>
        <v>0</v>
      </c>
      <c r="AZ173" s="3">
        <f>IFERROR(__xludf.DUMMYFUNCTION("""COMPUTED_VALUE"""),0.0)</f>
        <v>0</v>
      </c>
      <c r="BA173" s="3">
        <f>IFERROR(__xludf.DUMMYFUNCTION("""COMPUTED_VALUE"""),0.0)</f>
        <v>0</v>
      </c>
      <c r="BB173" s="3">
        <f>IFERROR(__xludf.DUMMYFUNCTION("""COMPUTED_VALUE"""),0.0)</f>
        <v>0</v>
      </c>
      <c r="BC173" s="3">
        <f>IFERROR(__xludf.DUMMYFUNCTION("""COMPUTED_VALUE"""),0.0)</f>
        <v>0</v>
      </c>
      <c r="BD173" s="3">
        <f>IFERROR(__xludf.DUMMYFUNCTION("""COMPUTED_VALUE"""),1.0)</f>
        <v>1</v>
      </c>
      <c r="BE173" s="3">
        <f>IFERROR(__xludf.DUMMYFUNCTION("""COMPUTED_VALUE"""),1.0)</f>
        <v>1</v>
      </c>
      <c r="BF173" s="3">
        <f>IFERROR(__xludf.DUMMYFUNCTION("""COMPUTED_VALUE"""),1.0)</f>
        <v>1</v>
      </c>
      <c r="BG173" s="3">
        <f>IFERROR(__xludf.DUMMYFUNCTION("""COMPUTED_VALUE"""),1.0)</f>
        <v>1</v>
      </c>
      <c r="BH173" s="3">
        <f>IFERROR(__xludf.DUMMYFUNCTION("""COMPUTED_VALUE"""),1.0)</f>
        <v>1</v>
      </c>
      <c r="BI173" s="3">
        <f>IFERROR(__xludf.DUMMYFUNCTION("""COMPUTED_VALUE"""),1.0)</f>
        <v>1</v>
      </c>
      <c r="BJ173" s="3">
        <f>IFERROR(__xludf.DUMMYFUNCTION("""COMPUTED_VALUE"""),1.0)</f>
        <v>1</v>
      </c>
      <c r="BK173" s="3">
        <f>IFERROR(__xludf.DUMMYFUNCTION("""COMPUTED_VALUE"""),1.0)</f>
        <v>1</v>
      </c>
      <c r="BL173" s="3">
        <f>IFERROR(__xludf.DUMMYFUNCTION("""COMPUTED_VALUE"""),1.0)</f>
        <v>1</v>
      </c>
      <c r="BM173" s="3">
        <f>IFERROR(__xludf.DUMMYFUNCTION("""COMPUTED_VALUE"""),1.0)</f>
        <v>1</v>
      </c>
      <c r="BN173" s="3">
        <f>IFERROR(__xludf.DUMMYFUNCTION("""COMPUTED_VALUE"""),1.0)</f>
        <v>1</v>
      </c>
      <c r="BO173" s="3">
        <f>IFERROR(__xludf.DUMMYFUNCTION("""COMPUTED_VALUE"""),1.0)</f>
        <v>1</v>
      </c>
      <c r="BP173" s="3">
        <f>IFERROR(__xludf.DUMMYFUNCTION("""COMPUTED_VALUE"""),1.0)</f>
        <v>1</v>
      </c>
      <c r="BQ173" s="3">
        <f>IFERROR(__xludf.DUMMYFUNCTION("""COMPUTED_VALUE"""),3.0)</f>
        <v>3</v>
      </c>
      <c r="BR173" s="3">
        <f>IFERROR(__xludf.DUMMYFUNCTION("""COMPUTED_VALUE"""),3.0)</f>
        <v>3</v>
      </c>
      <c r="BS173" s="3">
        <f>IFERROR(__xludf.DUMMYFUNCTION("""COMPUTED_VALUE"""),3.0)</f>
        <v>3</v>
      </c>
      <c r="BT173" s="3">
        <f>IFERROR(__xludf.DUMMYFUNCTION("""COMPUTED_VALUE"""),3.0)</f>
        <v>3</v>
      </c>
      <c r="BU173" s="3">
        <f>IFERROR(__xludf.DUMMYFUNCTION("""COMPUTED_VALUE"""),12.0)</f>
        <v>12</v>
      </c>
      <c r="BV173" s="3">
        <f>IFERROR(__xludf.DUMMYFUNCTION("""COMPUTED_VALUE"""),12.0)</f>
        <v>12</v>
      </c>
      <c r="BW173" s="3">
        <f>IFERROR(__xludf.DUMMYFUNCTION("""COMPUTED_VALUE"""),17.0)</f>
        <v>17</v>
      </c>
      <c r="BX173" s="3">
        <f>IFERROR(__xludf.DUMMYFUNCTION("""COMPUTED_VALUE"""),17.0)</f>
        <v>17</v>
      </c>
      <c r="BY173" s="3">
        <f>IFERROR(__xludf.DUMMYFUNCTION("""COMPUTED_VALUE"""),20.0)</f>
        <v>20</v>
      </c>
      <c r="BZ173" s="3">
        <f>IFERROR(__xludf.DUMMYFUNCTION("""COMPUTED_VALUE"""),20.0)</f>
        <v>20</v>
      </c>
      <c r="CA173" s="3">
        <f>IFERROR(__xludf.DUMMYFUNCTION("""COMPUTED_VALUE"""),23.0)</f>
        <v>23</v>
      </c>
      <c r="CB173" s="3">
        <f>IFERROR(__xludf.DUMMYFUNCTION("""COMPUTED_VALUE"""),30.0)</f>
        <v>30</v>
      </c>
    </row>
    <row r="174">
      <c r="A174" s="3" t="str">
        <f>IFERROR(__xludf.DUMMYFUNCTION("""COMPUTED_VALUE"""),"")</f>
        <v/>
      </c>
      <c r="B174" s="3" t="str">
        <f>IFERROR(__xludf.DUMMYFUNCTION("""COMPUTED_VALUE"""),"Norway")</f>
        <v>Norway</v>
      </c>
      <c r="C174" s="3">
        <f>IFERROR(__xludf.DUMMYFUNCTION("""COMPUTED_VALUE"""),60.472)</f>
        <v>60.472</v>
      </c>
      <c r="D174" s="3">
        <f>IFERROR(__xludf.DUMMYFUNCTION("""COMPUTED_VALUE"""),8.4689)</f>
        <v>8.4689</v>
      </c>
      <c r="E174" s="3">
        <f>IFERROR(__xludf.DUMMYFUNCTION("""COMPUTED_VALUE"""),0.0)</f>
        <v>0</v>
      </c>
      <c r="F174" s="3">
        <f>IFERROR(__xludf.DUMMYFUNCTION("""COMPUTED_VALUE"""),0.0)</f>
        <v>0</v>
      </c>
      <c r="G174" s="3">
        <f>IFERROR(__xludf.DUMMYFUNCTION("""COMPUTED_VALUE"""),0.0)</f>
        <v>0</v>
      </c>
      <c r="H174" s="3">
        <f>IFERROR(__xludf.DUMMYFUNCTION("""COMPUTED_VALUE"""),0.0)</f>
        <v>0</v>
      </c>
      <c r="I174" s="3">
        <f>IFERROR(__xludf.DUMMYFUNCTION("""COMPUTED_VALUE"""),0.0)</f>
        <v>0</v>
      </c>
      <c r="J174" s="3">
        <f>IFERROR(__xludf.DUMMYFUNCTION("""COMPUTED_VALUE"""),0.0)</f>
        <v>0</v>
      </c>
      <c r="K174" s="3">
        <f>IFERROR(__xludf.DUMMYFUNCTION("""COMPUTED_VALUE"""),0.0)</f>
        <v>0</v>
      </c>
      <c r="L174" s="3">
        <f>IFERROR(__xludf.DUMMYFUNCTION("""COMPUTED_VALUE"""),0.0)</f>
        <v>0</v>
      </c>
      <c r="M174" s="3">
        <f>IFERROR(__xludf.DUMMYFUNCTION("""COMPUTED_VALUE"""),0.0)</f>
        <v>0</v>
      </c>
      <c r="N174" s="3">
        <f>IFERROR(__xludf.DUMMYFUNCTION("""COMPUTED_VALUE"""),0.0)</f>
        <v>0</v>
      </c>
      <c r="O174" s="3">
        <f>IFERROR(__xludf.DUMMYFUNCTION("""COMPUTED_VALUE"""),0.0)</f>
        <v>0</v>
      </c>
      <c r="P174" s="3">
        <f>IFERROR(__xludf.DUMMYFUNCTION("""COMPUTED_VALUE"""),0.0)</f>
        <v>0</v>
      </c>
      <c r="Q174" s="3">
        <f>IFERROR(__xludf.DUMMYFUNCTION("""COMPUTED_VALUE"""),0.0)</f>
        <v>0</v>
      </c>
      <c r="R174" s="3">
        <f>IFERROR(__xludf.DUMMYFUNCTION("""COMPUTED_VALUE"""),0.0)</f>
        <v>0</v>
      </c>
      <c r="S174" s="3">
        <f>IFERROR(__xludf.DUMMYFUNCTION("""COMPUTED_VALUE"""),0.0)</f>
        <v>0</v>
      </c>
      <c r="T174" s="3">
        <f>IFERROR(__xludf.DUMMYFUNCTION("""COMPUTED_VALUE"""),0.0)</f>
        <v>0</v>
      </c>
      <c r="U174" s="3">
        <f>IFERROR(__xludf.DUMMYFUNCTION("""COMPUTED_VALUE"""),0.0)</f>
        <v>0</v>
      </c>
      <c r="V174" s="3">
        <f>IFERROR(__xludf.DUMMYFUNCTION("""COMPUTED_VALUE"""),0.0)</f>
        <v>0</v>
      </c>
      <c r="W174" s="3">
        <f>IFERROR(__xludf.DUMMYFUNCTION("""COMPUTED_VALUE"""),0.0)</f>
        <v>0</v>
      </c>
      <c r="X174" s="3">
        <f>IFERROR(__xludf.DUMMYFUNCTION("""COMPUTED_VALUE"""),0.0)</f>
        <v>0</v>
      </c>
      <c r="Y174" s="3">
        <f>IFERROR(__xludf.DUMMYFUNCTION("""COMPUTED_VALUE"""),0.0)</f>
        <v>0</v>
      </c>
      <c r="Z174" s="3">
        <f>IFERROR(__xludf.DUMMYFUNCTION("""COMPUTED_VALUE"""),0.0)</f>
        <v>0</v>
      </c>
      <c r="AA174" s="3">
        <f>IFERROR(__xludf.DUMMYFUNCTION("""COMPUTED_VALUE"""),0.0)</f>
        <v>0</v>
      </c>
      <c r="AB174" s="3">
        <f>IFERROR(__xludf.DUMMYFUNCTION("""COMPUTED_VALUE"""),0.0)</f>
        <v>0</v>
      </c>
      <c r="AC174" s="3">
        <f>IFERROR(__xludf.DUMMYFUNCTION("""COMPUTED_VALUE"""),0.0)</f>
        <v>0</v>
      </c>
      <c r="AD174" s="3">
        <f>IFERROR(__xludf.DUMMYFUNCTION("""COMPUTED_VALUE"""),0.0)</f>
        <v>0</v>
      </c>
      <c r="AE174" s="3">
        <f>IFERROR(__xludf.DUMMYFUNCTION("""COMPUTED_VALUE"""),0.0)</f>
        <v>0</v>
      </c>
      <c r="AF174" s="3">
        <f>IFERROR(__xludf.DUMMYFUNCTION("""COMPUTED_VALUE"""),0.0)</f>
        <v>0</v>
      </c>
      <c r="AG174" s="3">
        <f>IFERROR(__xludf.DUMMYFUNCTION("""COMPUTED_VALUE"""),0.0)</f>
        <v>0</v>
      </c>
      <c r="AH174" s="3">
        <f>IFERROR(__xludf.DUMMYFUNCTION("""COMPUTED_VALUE"""),0.0)</f>
        <v>0</v>
      </c>
      <c r="AI174" s="3">
        <f>IFERROR(__xludf.DUMMYFUNCTION("""COMPUTED_VALUE"""),0.0)</f>
        <v>0</v>
      </c>
      <c r="AJ174" s="3">
        <f>IFERROR(__xludf.DUMMYFUNCTION("""COMPUTED_VALUE"""),0.0)</f>
        <v>0</v>
      </c>
      <c r="AK174" s="3">
        <f>IFERROR(__xludf.DUMMYFUNCTION("""COMPUTED_VALUE"""),0.0)</f>
        <v>0</v>
      </c>
      <c r="AL174" s="3">
        <f>IFERROR(__xludf.DUMMYFUNCTION("""COMPUTED_VALUE"""),0.0)</f>
        <v>0</v>
      </c>
      <c r="AM174" s="3">
        <f>IFERROR(__xludf.DUMMYFUNCTION("""COMPUTED_VALUE"""),0.0)</f>
        <v>0</v>
      </c>
      <c r="AN174" s="3">
        <f>IFERROR(__xludf.DUMMYFUNCTION("""COMPUTED_VALUE"""),0.0)</f>
        <v>0</v>
      </c>
      <c r="AO174" s="3">
        <f>IFERROR(__xludf.DUMMYFUNCTION("""COMPUTED_VALUE"""),0.0)</f>
        <v>0</v>
      </c>
      <c r="AP174" s="3">
        <f>IFERROR(__xludf.DUMMYFUNCTION("""COMPUTED_VALUE"""),0.0)</f>
        <v>0</v>
      </c>
      <c r="AQ174" s="3">
        <f>IFERROR(__xludf.DUMMYFUNCTION("""COMPUTED_VALUE"""),0.0)</f>
        <v>0</v>
      </c>
      <c r="AR174" s="3">
        <f>IFERROR(__xludf.DUMMYFUNCTION("""COMPUTED_VALUE"""),0.0)</f>
        <v>0</v>
      </c>
      <c r="AS174" s="3">
        <f>IFERROR(__xludf.DUMMYFUNCTION("""COMPUTED_VALUE"""),0.0)</f>
        <v>0</v>
      </c>
      <c r="AT174" s="3">
        <f>IFERROR(__xludf.DUMMYFUNCTION("""COMPUTED_VALUE"""),0.0)</f>
        <v>0</v>
      </c>
      <c r="AU174" s="3">
        <f>IFERROR(__xludf.DUMMYFUNCTION("""COMPUTED_VALUE"""),0.0)</f>
        <v>0</v>
      </c>
      <c r="AV174" s="3">
        <f>IFERROR(__xludf.DUMMYFUNCTION("""COMPUTED_VALUE"""),0.0)</f>
        <v>0</v>
      </c>
      <c r="AW174" s="3">
        <f>IFERROR(__xludf.DUMMYFUNCTION("""COMPUTED_VALUE"""),0.0)</f>
        <v>0</v>
      </c>
      <c r="AX174" s="3">
        <f>IFERROR(__xludf.DUMMYFUNCTION("""COMPUTED_VALUE"""),0.0)</f>
        <v>0</v>
      </c>
      <c r="AY174" s="3">
        <f>IFERROR(__xludf.DUMMYFUNCTION("""COMPUTED_VALUE"""),0.0)</f>
        <v>0</v>
      </c>
      <c r="AZ174" s="3">
        <f>IFERROR(__xludf.DUMMYFUNCTION("""COMPUTED_VALUE"""),1.0)</f>
        <v>1</v>
      </c>
      <c r="BA174" s="3">
        <f>IFERROR(__xludf.DUMMYFUNCTION("""COMPUTED_VALUE"""),1.0)</f>
        <v>1</v>
      </c>
      <c r="BB174" s="3">
        <f>IFERROR(__xludf.DUMMYFUNCTION("""COMPUTED_VALUE"""),1.0)</f>
        <v>1</v>
      </c>
      <c r="BC174" s="3">
        <f>IFERROR(__xludf.DUMMYFUNCTION("""COMPUTED_VALUE"""),1.0)</f>
        <v>1</v>
      </c>
      <c r="BD174" s="3">
        <f>IFERROR(__xludf.DUMMYFUNCTION("""COMPUTED_VALUE"""),1.0)</f>
        <v>1</v>
      </c>
      <c r="BE174" s="3">
        <f>IFERROR(__xludf.DUMMYFUNCTION("""COMPUTED_VALUE"""),1.0)</f>
        <v>1</v>
      </c>
      <c r="BF174" s="3">
        <f>IFERROR(__xludf.DUMMYFUNCTION("""COMPUTED_VALUE"""),1.0)</f>
        <v>1</v>
      </c>
      <c r="BG174" s="3">
        <f>IFERROR(__xludf.DUMMYFUNCTION("""COMPUTED_VALUE"""),1.0)</f>
        <v>1</v>
      </c>
      <c r="BH174" s="3">
        <f>IFERROR(__xludf.DUMMYFUNCTION("""COMPUTED_VALUE"""),1.0)</f>
        <v>1</v>
      </c>
      <c r="BI174" s="3">
        <f>IFERROR(__xludf.DUMMYFUNCTION("""COMPUTED_VALUE"""),1.0)</f>
        <v>1</v>
      </c>
      <c r="BJ174" s="3">
        <f>IFERROR(__xludf.DUMMYFUNCTION("""COMPUTED_VALUE"""),1.0)</f>
        <v>1</v>
      </c>
      <c r="BK174" s="3">
        <f>IFERROR(__xludf.DUMMYFUNCTION("""COMPUTED_VALUE"""),1.0)</f>
        <v>1</v>
      </c>
      <c r="BL174" s="3">
        <f>IFERROR(__xludf.DUMMYFUNCTION("""COMPUTED_VALUE"""),1.0)</f>
        <v>1</v>
      </c>
      <c r="BM174" s="3">
        <f>IFERROR(__xludf.DUMMYFUNCTION("""COMPUTED_VALUE"""),1.0)</f>
        <v>1</v>
      </c>
      <c r="BN174" s="3">
        <f>IFERROR(__xludf.DUMMYFUNCTION("""COMPUTED_VALUE"""),1.0)</f>
        <v>1</v>
      </c>
      <c r="BO174" s="3">
        <f>IFERROR(__xludf.DUMMYFUNCTION("""COMPUTED_VALUE"""),6.0)</f>
        <v>6</v>
      </c>
      <c r="BP174" s="3">
        <f>IFERROR(__xludf.DUMMYFUNCTION("""COMPUTED_VALUE"""),6.0)</f>
        <v>6</v>
      </c>
      <c r="BQ174" s="3">
        <f>IFERROR(__xludf.DUMMYFUNCTION("""COMPUTED_VALUE"""),6.0)</f>
        <v>6</v>
      </c>
      <c r="BR174" s="3">
        <f>IFERROR(__xludf.DUMMYFUNCTION("""COMPUTED_VALUE"""),6.0)</f>
        <v>6</v>
      </c>
      <c r="BS174" s="3">
        <f>IFERROR(__xludf.DUMMYFUNCTION("""COMPUTED_VALUE"""),7.0)</f>
        <v>7</v>
      </c>
      <c r="BT174" s="3">
        <f>IFERROR(__xludf.DUMMYFUNCTION("""COMPUTED_VALUE"""),7.0)</f>
        <v>7</v>
      </c>
      <c r="BU174" s="3">
        <f>IFERROR(__xludf.DUMMYFUNCTION("""COMPUTED_VALUE"""),12.0)</f>
        <v>12</v>
      </c>
      <c r="BV174" s="3">
        <f>IFERROR(__xludf.DUMMYFUNCTION("""COMPUTED_VALUE"""),13.0)</f>
        <v>13</v>
      </c>
      <c r="BW174" s="3">
        <f>IFERROR(__xludf.DUMMYFUNCTION("""COMPUTED_VALUE"""),13.0)</f>
        <v>13</v>
      </c>
      <c r="BX174" s="3">
        <f>IFERROR(__xludf.DUMMYFUNCTION("""COMPUTED_VALUE"""),32.0)</f>
        <v>32</v>
      </c>
      <c r="BY174" s="3">
        <f>IFERROR(__xludf.DUMMYFUNCTION("""COMPUTED_VALUE"""),32.0)</f>
        <v>32</v>
      </c>
      <c r="BZ174" s="3">
        <f>IFERROR(__xludf.DUMMYFUNCTION("""COMPUTED_VALUE"""),32.0)</f>
        <v>32</v>
      </c>
      <c r="CA174" s="3">
        <f>IFERROR(__xludf.DUMMYFUNCTION("""COMPUTED_VALUE"""),32.0)</f>
        <v>32</v>
      </c>
      <c r="CB174" s="3">
        <f>IFERROR(__xludf.DUMMYFUNCTION("""COMPUTED_VALUE"""),32.0)</f>
        <v>32</v>
      </c>
    </row>
    <row r="175">
      <c r="A175" s="3" t="str">
        <f>IFERROR(__xludf.DUMMYFUNCTION("""COMPUTED_VALUE"""),"")</f>
        <v/>
      </c>
      <c r="B175" s="3" t="str">
        <f>IFERROR(__xludf.DUMMYFUNCTION("""COMPUTED_VALUE"""),"Oman")</f>
        <v>Oman</v>
      </c>
      <c r="C175" s="3">
        <f>IFERROR(__xludf.DUMMYFUNCTION("""COMPUTED_VALUE"""),21.0)</f>
        <v>21</v>
      </c>
      <c r="D175" s="3">
        <f>IFERROR(__xludf.DUMMYFUNCTION("""COMPUTED_VALUE"""),57.0)</f>
        <v>57</v>
      </c>
      <c r="E175" s="3">
        <f>IFERROR(__xludf.DUMMYFUNCTION("""COMPUTED_VALUE"""),0.0)</f>
        <v>0</v>
      </c>
      <c r="F175" s="3">
        <f>IFERROR(__xludf.DUMMYFUNCTION("""COMPUTED_VALUE"""),0.0)</f>
        <v>0</v>
      </c>
      <c r="G175" s="3">
        <f>IFERROR(__xludf.DUMMYFUNCTION("""COMPUTED_VALUE"""),0.0)</f>
        <v>0</v>
      </c>
      <c r="H175" s="3">
        <f>IFERROR(__xludf.DUMMYFUNCTION("""COMPUTED_VALUE"""),0.0)</f>
        <v>0</v>
      </c>
      <c r="I175" s="3">
        <f>IFERROR(__xludf.DUMMYFUNCTION("""COMPUTED_VALUE"""),0.0)</f>
        <v>0</v>
      </c>
      <c r="J175" s="3">
        <f>IFERROR(__xludf.DUMMYFUNCTION("""COMPUTED_VALUE"""),0.0)</f>
        <v>0</v>
      </c>
      <c r="K175" s="3">
        <f>IFERROR(__xludf.DUMMYFUNCTION("""COMPUTED_VALUE"""),0.0)</f>
        <v>0</v>
      </c>
      <c r="L175" s="3">
        <f>IFERROR(__xludf.DUMMYFUNCTION("""COMPUTED_VALUE"""),0.0)</f>
        <v>0</v>
      </c>
      <c r="M175" s="3">
        <f>IFERROR(__xludf.DUMMYFUNCTION("""COMPUTED_VALUE"""),0.0)</f>
        <v>0</v>
      </c>
      <c r="N175" s="3">
        <f>IFERROR(__xludf.DUMMYFUNCTION("""COMPUTED_VALUE"""),0.0)</f>
        <v>0</v>
      </c>
      <c r="O175" s="3">
        <f>IFERROR(__xludf.DUMMYFUNCTION("""COMPUTED_VALUE"""),0.0)</f>
        <v>0</v>
      </c>
      <c r="P175" s="3">
        <f>IFERROR(__xludf.DUMMYFUNCTION("""COMPUTED_VALUE"""),0.0)</f>
        <v>0</v>
      </c>
      <c r="Q175" s="3">
        <f>IFERROR(__xludf.DUMMYFUNCTION("""COMPUTED_VALUE"""),0.0)</f>
        <v>0</v>
      </c>
      <c r="R175" s="3">
        <f>IFERROR(__xludf.DUMMYFUNCTION("""COMPUTED_VALUE"""),0.0)</f>
        <v>0</v>
      </c>
      <c r="S175" s="3">
        <f>IFERROR(__xludf.DUMMYFUNCTION("""COMPUTED_VALUE"""),0.0)</f>
        <v>0</v>
      </c>
      <c r="T175" s="3">
        <f>IFERROR(__xludf.DUMMYFUNCTION("""COMPUTED_VALUE"""),0.0)</f>
        <v>0</v>
      </c>
      <c r="U175" s="3">
        <f>IFERROR(__xludf.DUMMYFUNCTION("""COMPUTED_VALUE"""),0.0)</f>
        <v>0</v>
      </c>
      <c r="V175" s="3">
        <f>IFERROR(__xludf.DUMMYFUNCTION("""COMPUTED_VALUE"""),0.0)</f>
        <v>0</v>
      </c>
      <c r="W175" s="3">
        <f>IFERROR(__xludf.DUMMYFUNCTION("""COMPUTED_VALUE"""),0.0)</f>
        <v>0</v>
      </c>
      <c r="X175" s="3">
        <f>IFERROR(__xludf.DUMMYFUNCTION("""COMPUTED_VALUE"""),0.0)</f>
        <v>0</v>
      </c>
      <c r="Y175" s="3">
        <f>IFERROR(__xludf.DUMMYFUNCTION("""COMPUTED_VALUE"""),0.0)</f>
        <v>0</v>
      </c>
      <c r="Z175" s="3">
        <f>IFERROR(__xludf.DUMMYFUNCTION("""COMPUTED_VALUE"""),0.0)</f>
        <v>0</v>
      </c>
      <c r="AA175" s="3">
        <f>IFERROR(__xludf.DUMMYFUNCTION("""COMPUTED_VALUE"""),0.0)</f>
        <v>0</v>
      </c>
      <c r="AB175" s="3">
        <f>IFERROR(__xludf.DUMMYFUNCTION("""COMPUTED_VALUE"""),0.0)</f>
        <v>0</v>
      </c>
      <c r="AC175" s="3">
        <f>IFERROR(__xludf.DUMMYFUNCTION("""COMPUTED_VALUE"""),0.0)</f>
        <v>0</v>
      </c>
      <c r="AD175" s="3">
        <f>IFERROR(__xludf.DUMMYFUNCTION("""COMPUTED_VALUE"""),0.0)</f>
        <v>0</v>
      </c>
      <c r="AE175" s="3">
        <f>IFERROR(__xludf.DUMMYFUNCTION("""COMPUTED_VALUE"""),0.0)</f>
        <v>0</v>
      </c>
      <c r="AF175" s="3">
        <f>IFERROR(__xludf.DUMMYFUNCTION("""COMPUTED_VALUE"""),0.0)</f>
        <v>0</v>
      </c>
      <c r="AG175" s="3">
        <f>IFERROR(__xludf.DUMMYFUNCTION("""COMPUTED_VALUE"""),0.0)</f>
        <v>0</v>
      </c>
      <c r="AH175" s="3">
        <f>IFERROR(__xludf.DUMMYFUNCTION("""COMPUTED_VALUE"""),0.0)</f>
        <v>0</v>
      </c>
      <c r="AI175" s="3">
        <f>IFERROR(__xludf.DUMMYFUNCTION("""COMPUTED_VALUE"""),0.0)</f>
        <v>0</v>
      </c>
      <c r="AJ175" s="3">
        <f>IFERROR(__xludf.DUMMYFUNCTION("""COMPUTED_VALUE"""),0.0)</f>
        <v>0</v>
      </c>
      <c r="AK175" s="3">
        <f>IFERROR(__xludf.DUMMYFUNCTION("""COMPUTED_VALUE"""),0.0)</f>
        <v>0</v>
      </c>
      <c r="AL175" s="3">
        <f>IFERROR(__xludf.DUMMYFUNCTION("""COMPUTED_VALUE"""),0.0)</f>
        <v>0</v>
      </c>
      <c r="AM175" s="3">
        <f>IFERROR(__xludf.DUMMYFUNCTION("""COMPUTED_VALUE"""),0.0)</f>
        <v>0</v>
      </c>
      <c r="AN175" s="3">
        <f>IFERROR(__xludf.DUMMYFUNCTION("""COMPUTED_VALUE"""),0.0)</f>
        <v>0</v>
      </c>
      <c r="AO175" s="3">
        <f>IFERROR(__xludf.DUMMYFUNCTION("""COMPUTED_VALUE"""),0.0)</f>
        <v>0</v>
      </c>
      <c r="AP175" s="3">
        <f>IFERROR(__xludf.DUMMYFUNCTION("""COMPUTED_VALUE"""),0.0)</f>
        <v>0</v>
      </c>
      <c r="AQ175" s="3">
        <f>IFERROR(__xludf.DUMMYFUNCTION("""COMPUTED_VALUE"""),1.0)</f>
        <v>1</v>
      </c>
      <c r="AR175" s="3">
        <f>IFERROR(__xludf.DUMMYFUNCTION("""COMPUTED_VALUE"""),1.0)</f>
        <v>1</v>
      </c>
      <c r="AS175" s="3">
        <f>IFERROR(__xludf.DUMMYFUNCTION("""COMPUTED_VALUE"""),1.0)</f>
        <v>1</v>
      </c>
      <c r="AT175" s="3">
        <f>IFERROR(__xludf.DUMMYFUNCTION("""COMPUTED_VALUE"""),2.0)</f>
        <v>2</v>
      </c>
      <c r="AU175" s="3">
        <f>IFERROR(__xludf.DUMMYFUNCTION("""COMPUTED_VALUE"""),2.0)</f>
        <v>2</v>
      </c>
      <c r="AV175" s="3">
        <f>IFERROR(__xludf.DUMMYFUNCTION("""COMPUTED_VALUE"""),2.0)</f>
        <v>2</v>
      </c>
      <c r="AW175" s="3">
        <f>IFERROR(__xludf.DUMMYFUNCTION("""COMPUTED_VALUE"""),2.0)</f>
        <v>2</v>
      </c>
      <c r="AX175" s="3">
        <f>IFERROR(__xludf.DUMMYFUNCTION("""COMPUTED_VALUE"""),2.0)</f>
        <v>2</v>
      </c>
      <c r="AY175" s="3">
        <f>IFERROR(__xludf.DUMMYFUNCTION("""COMPUTED_VALUE"""),2.0)</f>
        <v>2</v>
      </c>
      <c r="AZ175" s="3">
        <f>IFERROR(__xludf.DUMMYFUNCTION("""COMPUTED_VALUE"""),2.0)</f>
        <v>2</v>
      </c>
      <c r="BA175" s="3">
        <f>IFERROR(__xludf.DUMMYFUNCTION("""COMPUTED_VALUE"""),9.0)</f>
        <v>9</v>
      </c>
      <c r="BB175" s="3">
        <f>IFERROR(__xludf.DUMMYFUNCTION("""COMPUTED_VALUE"""),9.0)</f>
        <v>9</v>
      </c>
      <c r="BC175" s="3">
        <f>IFERROR(__xludf.DUMMYFUNCTION("""COMPUTED_VALUE"""),9.0)</f>
        <v>9</v>
      </c>
      <c r="BD175" s="3">
        <f>IFERROR(__xludf.DUMMYFUNCTION("""COMPUTED_VALUE"""),9.0)</f>
        <v>9</v>
      </c>
      <c r="BE175" s="3">
        <f>IFERROR(__xludf.DUMMYFUNCTION("""COMPUTED_VALUE"""),9.0)</f>
        <v>9</v>
      </c>
      <c r="BF175" s="3">
        <f>IFERROR(__xludf.DUMMYFUNCTION("""COMPUTED_VALUE"""),9.0)</f>
        <v>9</v>
      </c>
      <c r="BG175" s="3">
        <f>IFERROR(__xludf.DUMMYFUNCTION("""COMPUTED_VALUE"""),9.0)</f>
        <v>9</v>
      </c>
      <c r="BH175" s="3">
        <f>IFERROR(__xludf.DUMMYFUNCTION("""COMPUTED_VALUE"""),9.0)</f>
        <v>9</v>
      </c>
      <c r="BI175" s="3">
        <f>IFERROR(__xludf.DUMMYFUNCTION("""COMPUTED_VALUE"""),12.0)</f>
        <v>12</v>
      </c>
      <c r="BJ175" s="3">
        <f>IFERROR(__xludf.DUMMYFUNCTION("""COMPUTED_VALUE"""),12.0)</f>
        <v>12</v>
      </c>
      <c r="BK175" s="3">
        <f>IFERROR(__xludf.DUMMYFUNCTION("""COMPUTED_VALUE"""),12.0)</f>
        <v>12</v>
      </c>
      <c r="BL175" s="3">
        <f>IFERROR(__xludf.DUMMYFUNCTION("""COMPUTED_VALUE"""),12.0)</f>
        <v>12</v>
      </c>
      <c r="BM175" s="3">
        <f>IFERROR(__xludf.DUMMYFUNCTION("""COMPUTED_VALUE"""),17.0)</f>
        <v>17</v>
      </c>
      <c r="BN175" s="3">
        <f>IFERROR(__xludf.DUMMYFUNCTION("""COMPUTED_VALUE"""),17.0)</f>
        <v>17</v>
      </c>
      <c r="BO175" s="3">
        <f>IFERROR(__xludf.DUMMYFUNCTION("""COMPUTED_VALUE"""),17.0)</f>
        <v>17</v>
      </c>
      <c r="BP175" s="3">
        <f>IFERROR(__xludf.DUMMYFUNCTION("""COMPUTED_VALUE"""),17.0)</f>
        <v>17</v>
      </c>
      <c r="BQ175" s="3">
        <f>IFERROR(__xludf.DUMMYFUNCTION("""COMPUTED_VALUE"""),23.0)</f>
        <v>23</v>
      </c>
      <c r="BR175" s="3">
        <f>IFERROR(__xludf.DUMMYFUNCTION("""COMPUTED_VALUE"""),23.0)</f>
        <v>23</v>
      </c>
      <c r="BS175" s="3">
        <f>IFERROR(__xludf.DUMMYFUNCTION("""COMPUTED_VALUE"""),23.0)</f>
        <v>23</v>
      </c>
      <c r="BT175" s="3">
        <f>IFERROR(__xludf.DUMMYFUNCTION("""COMPUTED_VALUE"""),23.0)</f>
        <v>23</v>
      </c>
      <c r="BU175" s="3">
        <f>IFERROR(__xludf.DUMMYFUNCTION("""COMPUTED_VALUE"""),29.0)</f>
        <v>29</v>
      </c>
      <c r="BV175" s="3">
        <f>IFERROR(__xludf.DUMMYFUNCTION("""COMPUTED_VALUE"""),34.0)</f>
        <v>34</v>
      </c>
      <c r="BW175" s="3">
        <f>IFERROR(__xludf.DUMMYFUNCTION("""COMPUTED_VALUE"""),34.0)</f>
        <v>34</v>
      </c>
      <c r="BX175" s="3">
        <f>IFERROR(__xludf.DUMMYFUNCTION("""COMPUTED_VALUE"""),57.0)</f>
        <v>57</v>
      </c>
      <c r="BY175" s="3">
        <f>IFERROR(__xludf.DUMMYFUNCTION("""COMPUTED_VALUE"""),57.0)</f>
        <v>57</v>
      </c>
      <c r="BZ175" s="3">
        <f>IFERROR(__xludf.DUMMYFUNCTION("""COMPUTED_VALUE"""),61.0)</f>
        <v>61</v>
      </c>
      <c r="CA175" s="3">
        <f>IFERROR(__xludf.DUMMYFUNCTION("""COMPUTED_VALUE"""),61.0)</f>
        <v>61</v>
      </c>
      <c r="CB175" s="3">
        <f>IFERROR(__xludf.DUMMYFUNCTION("""COMPUTED_VALUE"""),61.0)</f>
        <v>61</v>
      </c>
    </row>
    <row r="176">
      <c r="A176" s="3" t="str">
        <f>IFERROR(__xludf.DUMMYFUNCTION("""COMPUTED_VALUE"""),"")</f>
        <v/>
      </c>
      <c r="B176" s="3" t="str">
        <f>IFERROR(__xludf.DUMMYFUNCTION("""COMPUTED_VALUE"""),"Pakistan")</f>
        <v>Pakistan</v>
      </c>
      <c r="C176" s="3">
        <f>IFERROR(__xludf.DUMMYFUNCTION("""COMPUTED_VALUE"""),30.3753)</f>
        <v>30.3753</v>
      </c>
      <c r="D176" s="3">
        <f>IFERROR(__xludf.DUMMYFUNCTION("""COMPUTED_VALUE"""),69.3451)</f>
        <v>69.3451</v>
      </c>
      <c r="E176" s="3">
        <f>IFERROR(__xludf.DUMMYFUNCTION("""COMPUTED_VALUE"""),0.0)</f>
        <v>0</v>
      </c>
      <c r="F176" s="3">
        <f>IFERROR(__xludf.DUMMYFUNCTION("""COMPUTED_VALUE"""),0.0)</f>
        <v>0</v>
      </c>
      <c r="G176" s="3">
        <f>IFERROR(__xludf.DUMMYFUNCTION("""COMPUTED_VALUE"""),0.0)</f>
        <v>0</v>
      </c>
      <c r="H176" s="3">
        <f>IFERROR(__xludf.DUMMYFUNCTION("""COMPUTED_VALUE"""),0.0)</f>
        <v>0</v>
      </c>
      <c r="I176" s="3">
        <f>IFERROR(__xludf.DUMMYFUNCTION("""COMPUTED_VALUE"""),0.0)</f>
        <v>0</v>
      </c>
      <c r="J176" s="3">
        <f>IFERROR(__xludf.DUMMYFUNCTION("""COMPUTED_VALUE"""),0.0)</f>
        <v>0</v>
      </c>
      <c r="K176" s="3">
        <f>IFERROR(__xludf.DUMMYFUNCTION("""COMPUTED_VALUE"""),0.0)</f>
        <v>0</v>
      </c>
      <c r="L176" s="3">
        <f>IFERROR(__xludf.DUMMYFUNCTION("""COMPUTED_VALUE"""),0.0)</f>
        <v>0</v>
      </c>
      <c r="M176" s="3">
        <f>IFERROR(__xludf.DUMMYFUNCTION("""COMPUTED_VALUE"""),0.0)</f>
        <v>0</v>
      </c>
      <c r="N176" s="3">
        <f>IFERROR(__xludf.DUMMYFUNCTION("""COMPUTED_VALUE"""),0.0)</f>
        <v>0</v>
      </c>
      <c r="O176" s="3">
        <f>IFERROR(__xludf.DUMMYFUNCTION("""COMPUTED_VALUE"""),0.0)</f>
        <v>0</v>
      </c>
      <c r="P176" s="3">
        <f>IFERROR(__xludf.DUMMYFUNCTION("""COMPUTED_VALUE"""),0.0)</f>
        <v>0</v>
      </c>
      <c r="Q176" s="3">
        <f>IFERROR(__xludf.DUMMYFUNCTION("""COMPUTED_VALUE"""),0.0)</f>
        <v>0</v>
      </c>
      <c r="R176" s="3">
        <f>IFERROR(__xludf.DUMMYFUNCTION("""COMPUTED_VALUE"""),0.0)</f>
        <v>0</v>
      </c>
      <c r="S176" s="3">
        <f>IFERROR(__xludf.DUMMYFUNCTION("""COMPUTED_VALUE"""),0.0)</f>
        <v>0</v>
      </c>
      <c r="T176" s="3">
        <f>IFERROR(__xludf.DUMMYFUNCTION("""COMPUTED_VALUE"""),0.0)</f>
        <v>0</v>
      </c>
      <c r="U176" s="3">
        <f>IFERROR(__xludf.DUMMYFUNCTION("""COMPUTED_VALUE"""),0.0)</f>
        <v>0</v>
      </c>
      <c r="V176" s="3">
        <f>IFERROR(__xludf.DUMMYFUNCTION("""COMPUTED_VALUE"""),0.0)</f>
        <v>0</v>
      </c>
      <c r="W176" s="3">
        <f>IFERROR(__xludf.DUMMYFUNCTION("""COMPUTED_VALUE"""),0.0)</f>
        <v>0</v>
      </c>
      <c r="X176" s="3">
        <f>IFERROR(__xludf.DUMMYFUNCTION("""COMPUTED_VALUE"""),0.0)</f>
        <v>0</v>
      </c>
      <c r="Y176" s="3">
        <f>IFERROR(__xludf.DUMMYFUNCTION("""COMPUTED_VALUE"""),0.0)</f>
        <v>0</v>
      </c>
      <c r="Z176" s="3">
        <f>IFERROR(__xludf.DUMMYFUNCTION("""COMPUTED_VALUE"""),0.0)</f>
        <v>0</v>
      </c>
      <c r="AA176" s="3">
        <f>IFERROR(__xludf.DUMMYFUNCTION("""COMPUTED_VALUE"""),0.0)</f>
        <v>0</v>
      </c>
      <c r="AB176" s="3">
        <f>IFERROR(__xludf.DUMMYFUNCTION("""COMPUTED_VALUE"""),0.0)</f>
        <v>0</v>
      </c>
      <c r="AC176" s="3">
        <f>IFERROR(__xludf.DUMMYFUNCTION("""COMPUTED_VALUE"""),0.0)</f>
        <v>0</v>
      </c>
      <c r="AD176" s="3">
        <f>IFERROR(__xludf.DUMMYFUNCTION("""COMPUTED_VALUE"""),0.0)</f>
        <v>0</v>
      </c>
      <c r="AE176" s="3">
        <f>IFERROR(__xludf.DUMMYFUNCTION("""COMPUTED_VALUE"""),0.0)</f>
        <v>0</v>
      </c>
      <c r="AF176" s="3">
        <f>IFERROR(__xludf.DUMMYFUNCTION("""COMPUTED_VALUE"""),0.0)</f>
        <v>0</v>
      </c>
      <c r="AG176" s="3">
        <f>IFERROR(__xludf.DUMMYFUNCTION("""COMPUTED_VALUE"""),0.0)</f>
        <v>0</v>
      </c>
      <c r="AH176" s="3">
        <f>IFERROR(__xludf.DUMMYFUNCTION("""COMPUTED_VALUE"""),0.0)</f>
        <v>0</v>
      </c>
      <c r="AI176" s="3">
        <f>IFERROR(__xludf.DUMMYFUNCTION("""COMPUTED_VALUE"""),0.0)</f>
        <v>0</v>
      </c>
      <c r="AJ176" s="3">
        <f>IFERROR(__xludf.DUMMYFUNCTION("""COMPUTED_VALUE"""),0.0)</f>
        <v>0</v>
      </c>
      <c r="AK176" s="3">
        <f>IFERROR(__xludf.DUMMYFUNCTION("""COMPUTED_VALUE"""),0.0)</f>
        <v>0</v>
      </c>
      <c r="AL176" s="3">
        <f>IFERROR(__xludf.DUMMYFUNCTION("""COMPUTED_VALUE"""),0.0)</f>
        <v>0</v>
      </c>
      <c r="AM176" s="3">
        <f>IFERROR(__xludf.DUMMYFUNCTION("""COMPUTED_VALUE"""),0.0)</f>
        <v>0</v>
      </c>
      <c r="AN176" s="3">
        <f>IFERROR(__xludf.DUMMYFUNCTION("""COMPUTED_VALUE"""),0.0)</f>
        <v>0</v>
      </c>
      <c r="AO176" s="3">
        <f>IFERROR(__xludf.DUMMYFUNCTION("""COMPUTED_VALUE"""),0.0)</f>
        <v>0</v>
      </c>
      <c r="AP176" s="3">
        <f>IFERROR(__xludf.DUMMYFUNCTION("""COMPUTED_VALUE"""),0.0)</f>
        <v>0</v>
      </c>
      <c r="AQ176" s="3">
        <f>IFERROR(__xludf.DUMMYFUNCTION("""COMPUTED_VALUE"""),0.0)</f>
        <v>0</v>
      </c>
      <c r="AR176" s="3">
        <f>IFERROR(__xludf.DUMMYFUNCTION("""COMPUTED_VALUE"""),0.0)</f>
        <v>0</v>
      </c>
      <c r="AS176" s="3">
        <f>IFERROR(__xludf.DUMMYFUNCTION("""COMPUTED_VALUE"""),0.0)</f>
        <v>0</v>
      </c>
      <c r="AT176" s="3">
        <f>IFERROR(__xludf.DUMMYFUNCTION("""COMPUTED_VALUE"""),0.0)</f>
        <v>0</v>
      </c>
      <c r="AU176" s="3">
        <f>IFERROR(__xludf.DUMMYFUNCTION("""COMPUTED_VALUE"""),0.0)</f>
        <v>0</v>
      </c>
      <c r="AV176" s="3">
        <f>IFERROR(__xludf.DUMMYFUNCTION("""COMPUTED_VALUE"""),0.0)</f>
        <v>0</v>
      </c>
      <c r="AW176" s="3">
        <f>IFERROR(__xludf.DUMMYFUNCTION("""COMPUTED_VALUE"""),0.0)</f>
        <v>0</v>
      </c>
      <c r="AX176" s="3">
        <f>IFERROR(__xludf.DUMMYFUNCTION("""COMPUTED_VALUE"""),0.0)</f>
        <v>0</v>
      </c>
      <c r="AY176" s="3">
        <f>IFERROR(__xludf.DUMMYFUNCTION("""COMPUTED_VALUE"""),1.0)</f>
        <v>1</v>
      </c>
      <c r="AZ176" s="3">
        <f>IFERROR(__xludf.DUMMYFUNCTION("""COMPUTED_VALUE"""),1.0)</f>
        <v>1</v>
      </c>
      <c r="BA176" s="3">
        <f>IFERROR(__xludf.DUMMYFUNCTION("""COMPUTED_VALUE"""),1.0)</f>
        <v>1</v>
      </c>
      <c r="BB176" s="3">
        <f>IFERROR(__xludf.DUMMYFUNCTION("""COMPUTED_VALUE"""),2.0)</f>
        <v>2</v>
      </c>
      <c r="BC176" s="3">
        <f>IFERROR(__xludf.DUMMYFUNCTION("""COMPUTED_VALUE"""),2.0)</f>
        <v>2</v>
      </c>
      <c r="BD176" s="3">
        <f>IFERROR(__xludf.DUMMYFUNCTION("""COMPUTED_VALUE"""),2.0)</f>
        <v>2</v>
      </c>
      <c r="BE176" s="3">
        <f>IFERROR(__xludf.DUMMYFUNCTION("""COMPUTED_VALUE"""),2.0)</f>
        <v>2</v>
      </c>
      <c r="BF176" s="3">
        <f>IFERROR(__xludf.DUMMYFUNCTION("""COMPUTED_VALUE"""),2.0)</f>
        <v>2</v>
      </c>
      <c r="BG176" s="3">
        <f>IFERROR(__xludf.DUMMYFUNCTION("""COMPUTED_VALUE"""),2.0)</f>
        <v>2</v>
      </c>
      <c r="BH176" s="3">
        <f>IFERROR(__xludf.DUMMYFUNCTION("""COMPUTED_VALUE"""),2.0)</f>
        <v>2</v>
      </c>
      <c r="BI176" s="3">
        <f>IFERROR(__xludf.DUMMYFUNCTION("""COMPUTED_VALUE"""),2.0)</f>
        <v>2</v>
      </c>
      <c r="BJ176" s="3">
        <f>IFERROR(__xludf.DUMMYFUNCTION("""COMPUTED_VALUE"""),13.0)</f>
        <v>13</v>
      </c>
      <c r="BK176" s="3">
        <f>IFERROR(__xludf.DUMMYFUNCTION("""COMPUTED_VALUE"""),13.0)</f>
        <v>13</v>
      </c>
      <c r="BL176" s="3">
        <f>IFERROR(__xludf.DUMMYFUNCTION("""COMPUTED_VALUE"""),13.0)</f>
        <v>13</v>
      </c>
      <c r="BM176" s="3">
        <f>IFERROR(__xludf.DUMMYFUNCTION("""COMPUTED_VALUE"""),5.0)</f>
        <v>5</v>
      </c>
      <c r="BN176" s="3">
        <f>IFERROR(__xludf.DUMMYFUNCTION("""COMPUTED_VALUE"""),5.0)</f>
        <v>5</v>
      </c>
      <c r="BO176" s="3">
        <f>IFERROR(__xludf.DUMMYFUNCTION("""COMPUTED_VALUE"""),18.0)</f>
        <v>18</v>
      </c>
      <c r="BP176" s="3">
        <f>IFERROR(__xludf.DUMMYFUNCTION("""COMPUTED_VALUE"""),21.0)</f>
        <v>21</v>
      </c>
      <c r="BQ176" s="3">
        <f>IFERROR(__xludf.DUMMYFUNCTION("""COMPUTED_VALUE"""),21.0)</f>
        <v>21</v>
      </c>
      <c r="BR176" s="3">
        <f>IFERROR(__xludf.DUMMYFUNCTION("""COMPUTED_VALUE"""),23.0)</f>
        <v>23</v>
      </c>
      <c r="BS176" s="3">
        <f>IFERROR(__xludf.DUMMYFUNCTION("""COMPUTED_VALUE"""),29.0)</f>
        <v>29</v>
      </c>
      <c r="BT176" s="3">
        <f>IFERROR(__xludf.DUMMYFUNCTION("""COMPUTED_VALUE"""),29.0)</f>
        <v>29</v>
      </c>
      <c r="BU176" s="3">
        <f>IFERROR(__xludf.DUMMYFUNCTION("""COMPUTED_VALUE"""),76.0)</f>
        <v>76</v>
      </c>
      <c r="BV176" s="3">
        <f>IFERROR(__xludf.DUMMYFUNCTION("""COMPUTED_VALUE"""),76.0)</f>
        <v>76</v>
      </c>
      <c r="BW176" s="3">
        <f>IFERROR(__xludf.DUMMYFUNCTION("""COMPUTED_VALUE"""),94.0)</f>
        <v>94</v>
      </c>
      <c r="BX176" s="3">
        <f>IFERROR(__xludf.DUMMYFUNCTION("""COMPUTED_VALUE"""),125.0)</f>
        <v>125</v>
      </c>
      <c r="BY176" s="3">
        <f>IFERROR(__xludf.DUMMYFUNCTION("""COMPUTED_VALUE"""),126.0)</f>
        <v>126</v>
      </c>
      <c r="BZ176" s="3">
        <f>IFERROR(__xludf.DUMMYFUNCTION("""COMPUTED_VALUE"""),131.0)</f>
        <v>131</v>
      </c>
      <c r="CA176" s="3">
        <f>IFERROR(__xludf.DUMMYFUNCTION("""COMPUTED_VALUE"""),211.0)</f>
        <v>211</v>
      </c>
      <c r="CB176" s="3">
        <f>IFERROR(__xludf.DUMMYFUNCTION("""COMPUTED_VALUE"""),259.0)</f>
        <v>259</v>
      </c>
    </row>
    <row r="177">
      <c r="A177" s="3" t="str">
        <f>IFERROR(__xludf.DUMMYFUNCTION("""COMPUTED_VALUE"""),"")</f>
        <v/>
      </c>
      <c r="B177" s="3" t="str">
        <f>IFERROR(__xludf.DUMMYFUNCTION("""COMPUTED_VALUE"""),"Panama")</f>
        <v>Panama</v>
      </c>
      <c r="C177" s="3">
        <f>IFERROR(__xludf.DUMMYFUNCTION("""COMPUTED_VALUE"""),8.538)</f>
        <v>8.538</v>
      </c>
      <c r="D177" s="3">
        <f>IFERROR(__xludf.DUMMYFUNCTION("""COMPUTED_VALUE"""),-80.7821)</f>
        <v>-80.7821</v>
      </c>
      <c r="E177" s="3">
        <f>IFERROR(__xludf.DUMMYFUNCTION("""COMPUTED_VALUE"""),0.0)</f>
        <v>0</v>
      </c>
      <c r="F177" s="3">
        <f>IFERROR(__xludf.DUMMYFUNCTION("""COMPUTED_VALUE"""),0.0)</f>
        <v>0</v>
      </c>
      <c r="G177" s="3">
        <f>IFERROR(__xludf.DUMMYFUNCTION("""COMPUTED_VALUE"""),0.0)</f>
        <v>0</v>
      </c>
      <c r="H177" s="3">
        <f>IFERROR(__xludf.DUMMYFUNCTION("""COMPUTED_VALUE"""),0.0)</f>
        <v>0</v>
      </c>
      <c r="I177" s="3">
        <f>IFERROR(__xludf.DUMMYFUNCTION("""COMPUTED_VALUE"""),0.0)</f>
        <v>0</v>
      </c>
      <c r="J177" s="3">
        <f>IFERROR(__xludf.DUMMYFUNCTION("""COMPUTED_VALUE"""),0.0)</f>
        <v>0</v>
      </c>
      <c r="K177" s="3">
        <f>IFERROR(__xludf.DUMMYFUNCTION("""COMPUTED_VALUE"""),0.0)</f>
        <v>0</v>
      </c>
      <c r="L177" s="3">
        <f>IFERROR(__xludf.DUMMYFUNCTION("""COMPUTED_VALUE"""),0.0)</f>
        <v>0</v>
      </c>
      <c r="M177" s="3">
        <f>IFERROR(__xludf.DUMMYFUNCTION("""COMPUTED_VALUE"""),0.0)</f>
        <v>0</v>
      </c>
      <c r="N177" s="3">
        <f>IFERROR(__xludf.DUMMYFUNCTION("""COMPUTED_VALUE"""),0.0)</f>
        <v>0</v>
      </c>
      <c r="O177" s="3">
        <f>IFERROR(__xludf.DUMMYFUNCTION("""COMPUTED_VALUE"""),0.0)</f>
        <v>0</v>
      </c>
      <c r="P177" s="3">
        <f>IFERROR(__xludf.DUMMYFUNCTION("""COMPUTED_VALUE"""),0.0)</f>
        <v>0</v>
      </c>
      <c r="Q177" s="3">
        <f>IFERROR(__xludf.DUMMYFUNCTION("""COMPUTED_VALUE"""),0.0)</f>
        <v>0</v>
      </c>
      <c r="R177" s="3">
        <f>IFERROR(__xludf.DUMMYFUNCTION("""COMPUTED_VALUE"""),0.0)</f>
        <v>0</v>
      </c>
      <c r="S177" s="3">
        <f>IFERROR(__xludf.DUMMYFUNCTION("""COMPUTED_VALUE"""),0.0)</f>
        <v>0</v>
      </c>
      <c r="T177" s="3">
        <f>IFERROR(__xludf.DUMMYFUNCTION("""COMPUTED_VALUE"""),0.0)</f>
        <v>0</v>
      </c>
      <c r="U177" s="3">
        <f>IFERROR(__xludf.DUMMYFUNCTION("""COMPUTED_VALUE"""),0.0)</f>
        <v>0</v>
      </c>
      <c r="V177" s="3">
        <f>IFERROR(__xludf.DUMMYFUNCTION("""COMPUTED_VALUE"""),0.0)</f>
        <v>0</v>
      </c>
      <c r="W177" s="3">
        <f>IFERROR(__xludf.DUMMYFUNCTION("""COMPUTED_VALUE"""),0.0)</f>
        <v>0</v>
      </c>
      <c r="X177" s="3">
        <f>IFERROR(__xludf.DUMMYFUNCTION("""COMPUTED_VALUE"""),0.0)</f>
        <v>0</v>
      </c>
      <c r="Y177" s="3">
        <f>IFERROR(__xludf.DUMMYFUNCTION("""COMPUTED_VALUE"""),0.0)</f>
        <v>0</v>
      </c>
      <c r="Z177" s="3">
        <f>IFERROR(__xludf.DUMMYFUNCTION("""COMPUTED_VALUE"""),0.0)</f>
        <v>0</v>
      </c>
      <c r="AA177" s="3">
        <f>IFERROR(__xludf.DUMMYFUNCTION("""COMPUTED_VALUE"""),0.0)</f>
        <v>0</v>
      </c>
      <c r="AB177" s="3">
        <f>IFERROR(__xludf.DUMMYFUNCTION("""COMPUTED_VALUE"""),0.0)</f>
        <v>0</v>
      </c>
      <c r="AC177" s="3">
        <f>IFERROR(__xludf.DUMMYFUNCTION("""COMPUTED_VALUE"""),0.0)</f>
        <v>0</v>
      </c>
      <c r="AD177" s="3">
        <f>IFERROR(__xludf.DUMMYFUNCTION("""COMPUTED_VALUE"""),0.0)</f>
        <v>0</v>
      </c>
      <c r="AE177" s="3">
        <f>IFERROR(__xludf.DUMMYFUNCTION("""COMPUTED_VALUE"""),0.0)</f>
        <v>0</v>
      </c>
      <c r="AF177" s="3">
        <f>IFERROR(__xludf.DUMMYFUNCTION("""COMPUTED_VALUE"""),0.0)</f>
        <v>0</v>
      </c>
      <c r="AG177" s="3">
        <f>IFERROR(__xludf.DUMMYFUNCTION("""COMPUTED_VALUE"""),0.0)</f>
        <v>0</v>
      </c>
      <c r="AH177" s="3">
        <f>IFERROR(__xludf.DUMMYFUNCTION("""COMPUTED_VALUE"""),0.0)</f>
        <v>0</v>
      </c>
      <c r="AI177" s="3">
        <f>IFERROR(__xludf.DUMMYFUNCTION("""COMPUTED_VALUE"""),0.0)</f>
        <v>0</v>
      </c>
      <c r="AJ177" s="3">
        <f>IFERROR(__xludf.DUMMYFUNCTION("""COMPUTED_VALUE"""),0.0)</f>
        <v>0</v>
      </c>
      <c r="AK177" s="3">
        <f>IFERROR(__xludf.DUMMYFUNCTION("""COMPUTED_VALUE"""),0.0)</f>
        <v>0</v>
      </c>
      <c r="AL177" s="3">
        <f>IFERROR(__xludf.DUMMYFUNCTION("""COMPUTED_VALUE"""),0.0)</f>
        <v>0</v>
      </c>
      <c r="AM177" s="3">
        <f>IFERROR(__xludf.DUMMYFUNCTION("""COMPUTED_VALUE"""),0.0)</f>
        <v>0</v>
      </c>
      <c r="AN177" s="3">
        <f>IFERROR(__xludf.DUMMYFUNCTION("""COMPUTED_VALUE"""),0.0)</f>
        <v>0</v>
      </c>
      <c r="AO177" s="3">
        <f>IFERROR(__xludf.DUMMYFUNCTION("""COMPUTED_VALUE"""),0.0)</f>
        <v>0</v>
      </c>
      <c r="AP177" s="3">
        <f>IFERROR(__xludf.DUMMYFUNCTION("""COMPUTED_VALUE"""),0.0)</f>
        <v>0</v>
      </c>
      <c r="AQ177" s="3">
        <f>IFERROR(__xludf.DUMMYFUNCTION("""COMPUTED_VALUE"""),0.0)</f>
        <v>0</v>
      </c>
      <c r="AR177" s="3">
        <f>IFERROR(__xludf.DUMMYFUNCTION("""COMPUTED_VALUE"""),0.0)</f>
        <v>0</v>
      </c>
      <c r="AS177" s="3">
        <f>IFERROR(__xludf.DUMMYFUNCTION("""COMPUTED_VALUE"""),0.0)</f>
        <v>0</v>
      </c>
      <c r="AT177" s="3">
        <f>IFERROR(__xludf.DUMMYFUNCTION("""COMPUTED_VALUE"""),0.0)</f>
        <v>0</v>
      </c>
      <c r="AU177" s="3">
        <f>IFERROR(__xludf.DUMMYFUNCTION("""COMPUTED_VALUE"""),0.0)</f>
        <v>0</v>
      </c>
      <c r="AV177" s="3">
        <f>IFERROR(__xludf.DUMMYFUNCTION("""COMPUTED_VALUE"""),0.0)</f>
        <v>0</v>
      </c>
      <c r="AW177" s="3">
        <f>IFERROR(__xludf.DUMMYFUNCTION("""COMPUTED_VALUE"""),0.0)</f>
        <v>0</v>
      </c>
      <c r="AX177" s="3">
        <f>IFERROR(__xludf.DUMMYFUNCTION("""COMPUTED_VALUE"""),0.0)</f>
        <v>0</v>
      </c>
      <c r="AY177" s="3">
        <f>IFERROR(__xludf.DUMMYFUNCTION("""COMPUTED_VALUE"""),0.0)</f>
        <v>0</v>
      </c>
      <c r="AZ177" s="3">
        <f>IFERROR(__xludf.DUMMYFUNCTION("""COMPUTED_VALUE"""),0.0)</f>
        <v>0</v>
      </c>
      <c r="BA177" s="3">
        <f>IFERROR(__xludf.DUMMYFUNCTION("""COMPUTED_VALUE"""),0.0)</f>
        <v>0</v>
      </c>
      <c r="BB177" s="3">
        <f>IFERROR(__xludf.DUMMYFUNCTION("""COMPUTED_VALUE"""),0.0)</f>
        <v>0</v>
      </c>
      <c r="BC177" s="3">
        <f>IFERROR(__xludf.DUMMYFUNCTION("""COMPUTED_VALUE"""),0.0)</f>
        <v>0</v>
      </c>
      <c r="BD177" s="3">
        <f>IFERROR(__xludf.DUMMYFUNCTION("""COMPUTED_VALUE"""),0.0)</f>
        <v>0</v>
      </c>
      <c r="BE177" s="3">
        <f>IFERROR(__xludf.DUMMYFUNCTION("""COMPUTED_VALUE"""),0.0)</f>
        <v>0</v>
      </c>
      <c r="BF177" s="3">
        <f>IFERROR(__xludf.DUMMYFUNCTION("""COMPUTED_VALUE"""),0.0)</f>
        <v>0</v>
      </c>
      <c r="BG177" s="3">
        <f>IFERROR(__xludf.DUMMYFUNCTION("""COMPUTED_VALUE"""),0.0)</f>
        <v>0</v>
      </c>
      <c r="BH177" s="3">
        <f>IFERROR(__xludf.DUMMYFUNCTION("""COMPUTED_VALUE"""),0.0)</f>
        <v>0</v>
      </c>
      <c r="BI177" s="3">
        <f>IFERROR(__xludf.DUMMYFUNCTION("""COMPUTED_VALUE"""),0.0)</f>
        <v>0</v>
      </c>
      <c r="BJ177" s="3">
        <f>IFERROR(__xludf.DUMMYFUNCTION("""COMPUTED_VALUE"""),0.0)</f>
        <v>0</v>
      </c>
      <c r="BK177" s="3">
        <f>IFERROR(__xludf.DUMMYFUNCTION("""COMPUTED_VALUE"""),0.0)</f>
        <v>0</v>
      </c>
      <c r="BL177" s="3">
        <f>IFERROR(__xludf.DUMMYFUNCTION("""COMPUTED_VALUE"""),0.0)</f>
        <v>0</v>
      </c>
      <c r="BM177" s="3">
        <f>IFERROR(__xludf.DUMMYFUNCTION("""COMPUTED_VALUE"""),0.0)</f>
        <v>0</v>
      </c>
      <c r="BN177" s="3">
        <f>IFERROR(__xludf.DUMMYFUNCTION("""COMPUTED_VALUE"""),0.0)</f>
        <v>0</v>
      </c>
      <c r="BO177" s="3">
        <f>IFERROR(__xludf.DUMMYFUNCTION("""COMPUTED_VALUE"""),1.0)</f>
        <v>1</v>
      </c>
      <c r="BP177" s="3">
        <f>IFERROR(__xludf.DUMMYFUNCTION("""COMPUTED_VALUE"""),1.0)</f>
        <v>1</v>
      </c>
      <c r="BQ177" s="3">
        <f>IFERROR(__xludf.DUMMYFUNCTION("""COMPUTED_VALUE"""),2.0)</f>
        <v>2</v>
      </c>
      <c r="BR177" s="3">
        <f>IFERROR(__xludf.DUMMYFUNCTION("""COMPUTED_VALUE"""),2.0)</f>
        <v>2</v>
      </c>
      <c r="BS177" s="3">
        <f>IFERROR(__xludf.DUMMYFUNCTION("""COMPUTED_VALUE"""),2.0)</f>
        <v>2</v>
      </c>
      <c r="BT177" s="3">
        <f>IFERROR(__xludf.DUMMYFUNCTION("""COMPUTED_VALUE"""),4.0)</f>
        <v>4</v>
      </c>
      <c r="BU177" s="3">
        <f>IFERROR(__xludf.DUMMYFUNCTION("""COMPUTED_VALUE"""),4.0)</f>
        <v>4</v>
      </c>
      <c r="BV177" s="3">
        <f>IFERROR(__xludf.DUMMYFUNCTION("""COMPUTED_VALUE"""),9.0)</f>
        <v>9</v>
      </c>
      <c r="BW177" s="3">
        <f>IFERROR(__xludf.DUMMYFUNCTION("""COMPUTED_VALUE"""),9.0)</f>
        <v>9</v>
      </c>
      <c r="BX177" s="3">
        <f>IFERROR(__xludf.DUMMYFUNCTION("""COMPUTED_VALUE"""),9.0)</f>
        <v>9</v>
      </c>
      <c r="BY177" s="3">
        <f>IFERROR(__xludf.DUMMYFUNCTION("""COMPUTED_VALUE"""),10.0)</f>
        <v>10</v>
      </c>
      <c r="BZ177" s="3">
        <f>IFERROR(__xludf.DUMMYFUNCTION("""COMPUTED_VALUE"""),13.0)</f>
        <v>13</v>
      </c>
      <c r="CA177" s="3">
        <f>IFERROR(__xludf.DUMMYFUNCTION("""COMPUTED_VALUE"""),13.0)</f>
        <v>13</v>
      </c>
      <c r="CB177" s="3">
        <f>IFERROR(__xludf.DUMMYFUNCTION("""COMPUTED_VALUE"""),13.0)</f>
        <v>13</v>
      </c>
    </row>
    <row r="178">
      <c r="A178" s="3" t="str">
        <f>IFERROR(__xludf.DUMMYFUNCTION("""COMPUTED_VALUE"""),"")</f>
        <v/>
      </c>
      <c r="B178" s="3" t="str">
        <f>IFERROR(__xludf.DUMMYFUNCTION("""COMPUTED_VALUE"""),"Papua New Guinea")</f>
        <v>Papua New Guinea</v>
      </c>
      <c r="C178" s="3">
        <f>IFERROR(__xludf.DUMMYFUNCTION("""COMPUTED_VALUE"""),-6.315)</f>
        <v>-6.315</v>
      </c>
      <c r="D178" s="3">
        <f>IFERROR(__xludf.DUMMYFUNCTION("""COMPUTED_VALUE"""),143.9555)</f>
        <v>143.9555</v>
      </c>
      <c r="E178" s="3">
        <f>IFERROR(__xludf.DUMMYFUNCTION("""COMPUTED_VALUE"""),0.0)</f>
        <v>0</v>
      </c>
      <c r="F178" s="3">
        <f>IFERROR(__xludf.DUMMYFUNCTION("""COMPUTED_VALUE"""),0.0)</f>
        <v>0</v>
      </c>
      <c r="G178" s="3">
        <f>IFERROR(__xludf.DUMMYFUNCTION("""COMPUTED_VALUE"""),0.0)</f>
        <v>0</v>
      </c>
      <c r="H178" s="3">
        <f>IFERROR(__xludf.DUMMYFUNCTION("""COMPUTED_VALUE"""),0.0)</f>
        <v>0</v>
      </c>
      <c r="I178" s="3">
        <f>IFERROR(__xludf.DUMMYFUNCTION("""COMPUTED_VALUE"""),0.0)</f>
        <v>0</v>
      </c>
      <c r="J178" s="3">
        <f>IFERROR(__xludf.DUMMYFUNCTION("""COMPUTED_VALUE"""),0.0)</f>
        <v>0</v>
      </c>
      <c r="K178" s="3">
        <f>IFERROR(__xludf.DUMMYFUNCTION("""COMPUTED_VALUE"""),0.0)</f>
        <v>0</v>
      </c>
      <c r="L178" s="3">
        <f>IFERROR(__xludf.DUMMYFUNCTION("""COMPUTED_VALUE"""),0.0)</f>
        <v>0</v>
      </c>
      <c r="M178" s="3">
        <f>IFERROR(__xludf.DUMMYFUNCTION("""COMPUTED_VALUE"""),0.0)</f>
        <v>0</v>
      </c>
      <c r="N178" s="3">
        <f>IFERROR(__xludf.DUMMYFUNCTION("""COMPUTED_VALUE"""),0.0)</f>
        <v>0</v>
      </c>
      <c r="O178" s="3">
        <f>IFERROR(__xludf.DUMMYFUNCTION("""COMPUTED_VALUE"""),0.0)</f>
        <v>0</v>
      </c>
      <c r="P178" s="3">
        <f>IFERROR(__xludf.DUMMYFUNCTION("""COMPUTED_VALUE"""),0.0)</f>
        <v>0</v>
      </c>
      <c r="Q178" s="3">
        <f>IFERROR(__xludf.DUMMYFUNCTION("""COMPUTED_VALUE"""),0.0)</f>
        <v>0</v>
      </c>
      <c r="R178" s="3">
        <f>IFERROR(__xludf.DUMMYFUNCTION("""COMPUTED_VALUE"""),0.0)</f>
        <v>0</v>
      </c>
      <c r="S178" s="3">
        <f>IFERROR(__xludf.DUMMYFUNCTION("""COMPUTED_VALUE"""),0.0)</f>
        <v>0</v>
      </c>
      <c r="T178" s="3">
        <f>IFERROR(__xludf.DUMMYFUNCTION("""COMPUTED_VALUE"""),0.0)</f>
        <v>0</v>
      </c>
      <c r="U178" s="3">
        <f>IFERROR(__xludf.DUMMYFUNCTION("""COMPUTED_VALUE"""),0.0)</f>
        <v>0</v>
      </c>
      <c r="V178" s="3">
        <f>IFERROR(__xludf.DUMMYFUNCTION("""COMPUTED_VALUE"""),0.0)</f>
        <v>0</v>
      </c>
      <c r="W178" s="3">
        <f>IFERROR(__xludf.DUMMYFUNCTION("""COMPUTED_VALUE"""),0.0)</f>
        <v>0</v>
      </c>
      <c r="X178" s="3">
        <f>IFERROR(__xludf.DUMMYFUNCTION("""COMPUTED_VALUE"""),0.0)</f>
        <v>0</v>
      </c>
      <c r="Y178" s="3">
        <f>IFERROR(__xludf.DUMMYFUNCTION("""COMPUTED_VALUE"""),0.0)</f>
        <v>0</v>
      </c>
      <c r="Z178" s="3">
        <f>IFERROR(__xludf.DUMMYFUNCTION("""COMPUTED_VALUE"""),0.0)</f>
        <v>0</v>
      </c>
      <c r="AA178" s="3">
        <f>IFERROR(__xludf.DUMMYFUNCTION("""COMPUTED_VALUE"""),0.0)</f>
        <v>0</v>
      </c>
      <c r="AB178" s="3">
        <f>IFERROR(__xludf.DUMMYFUNCTION("""COMPUTED_VALUE"""),0.0)</f>
        <v>0</v>
      </c>
      <c r="AC178" s="3">
        <f>IFERROR(__xludf.DUMMYFUNCTION("""COMPUTED_VALUE"""),0.0)</f>
        <v>0</v>
      </c>
      <c r="AD178" s="3">
        <f>IFERROR(__xludf.DUMMYFUNCTION("""COMPUTED_VALUE"""),0.0)</f>
        <v>0</v>
      </c>
      <c r="AE178" s="3">
        <f>IFERROR(__xludf.DUMMYFUNCTION("""COMPUTED_VALUE"""),0.0)</f>
        <v>0</v>
      </c>
      <c r="AF178" s="3">
        <f>IFERROR(__xludf.DUMMYFUNCTION("""COMPUTED_VALUE"""),0.0)</f>
        <v>0</v>
      </c>
      <c r="AG178" s="3">
        <f>IFERROR(__xludf.DUMMYFUNCTION("""COMPUTED_VALUE"""),0.0)</f>
        <v>0</v>
      </c>
      <c r="AH178" s="3">
        <f>IFERROR(__xludf.DUMMYFUNCTION("""COMPUTED_VALUE"""),0.0)</f>
        <v>0</v>
      </c>
      <c r="AI178" s="3">
        <f>IFERROR(__xludf.DUMMYFUNCTION("""COMPUTED_VALUE"""),0.0)</f>
        <v>0</v>
      </c>
      <c r="AJ178" s="3">
        <f>IFERROR(__xludf.DUMMYFUNCTION("""COMPUTED_VALUE"""),0.0)</f>
        <v>0</v>
      </c>
      <c r="AK178" s="3">
        <f>IFERROR(__xludf.DUMMYFUNCTION("""COMPUTED_VALUE"""),0.0)</f>
        <v>0</v>
      </c>
      <c r="AL178" s="3">
        <f>IFERROR(__xludf.DUMMYFUNCTION("""COMPUTED_VALUE"""),0.0)</f>
        <v>0</v>
      </c>
      <c r="AM178" s="3">
        <f>IFERROR(__xludf.DUMMYFUNCTION("""COMPUTED_VALUE"""),0.0)</f>
        <v>0</v>
      </c>
      <c r="AN178" s="3">
        <f>IFERROR(__xludf.DUMMYFUNCTION("""COMPUTED_VALUE"""),0.0)</f>
        <v>0</v>
      </c>
      <c r="AO178" s="3">
        <f>IFERROR(__xludf.DUMMYFUNCTION("""COMPUTED_VALUE"""),0.0)</f>
        <v>0</v>
      </c>
      <c r="AP178" s="3">
        <f>IFERROR(__xludf.DUMMYFUNCTION("""COMPUTED_VALUE"""),0.0)</f>
        <v>0</v>
      </c>
      <c r="AQ178" s="3">
        <f>IFERROR(__xludf.DUMMYFUNCTION("""COMPUTED_VALUE"""),0.0)</f>
        <v>0</v>
      </c>
      <c r="AR178" s="3">
        <f>IFERROR(__xludf.DUMMYFUNCTION("""COMPUTED_VALUE"""),0.0)</f>
        <v>0</v>
      </c>
      <c r="AS178" s="3">
        <f>IFERROR(__xludf.DUMMYFUNCTION("""COMPUTED_VALUE"""),0.0)</f>
        <v>0</v>
      </c>
      <c r="AT178" s="3">
        <f>IFERROR(__xludf.DUMMYFUNCTION("""COMPUTED_VALUE"""),0.0)</f>
        <v>0</v>
      </c>
      <c r="AU178" s="3">
        <f>IFERROR(__xludf.DUMMYFUNCTION("""COMPUTED_VALUE"""),0.0)</f>
        <v>0</v>
      </c>
      <c r="AV178" s="3">
        <f>IFERROR(__xludf.DUMMYFUNCTION("""COMPUTED_VALUE"""),0.0)</f>
        <v>0</v>
      </c>
      <c r="AW178" s="3">
        <f>IFERROR(__xludf.DUMMYFUNCTION("""COMPUTED_VALUE"""),0.0)</f>
        <v>0</v>
      </c>
      <c r="AX178" s="3">
        <f>IFERROR(__xludf.DUMMYFUNCTION("""COMPUTED_VALUE"""),0.0)</f>
        <v>0</v>
      </c>
      <c r="AY178" s="3">
        <f>IFERROR(__xludf.DUMMYFUNCTION("""COMPUTED_VALUE"""),0.0)</f>
        <v>0</v>
      </c>
      <c r="AZ178" s="3">
        <f>IFERROR(__xludf.DUMMYFUNCTION("""COMPUTED_VALUE"""),0.0)</f>
        <v>0</v>
      </c>
      <c r="BA178" s="3">
        <f>IFERROR(__xludf.DUMMYFUNCTION("""COMPUTED_VALUE"""),0.0)</f>
        <v>0</v>
      </c>
      <c r="BB178" s="3">
        <f>IFERROR(__xludf.DUMMYFUNCTION("""COMPUTED_VALUE"""),0.0)</f>
        <v>0</v>
      </c>
      <c r="BC178" s="3">
        <f>IFERROR(__xludf.DUMMYFUNCTION("""COMPUTED_VALUE"""),0.0)</f>
        <v>0</v>
      </c>
      <c r="BD178" s="3">
        <f>IFERROR(__xludf.DUMMYFUNCTION("""COMPUTED_VALUE"""),0.0)</f>
        <v>0</v>
      </c>
      <c r="BE178" s="3">
        <f>IFERROR(__xludf.DUMMYFUNCTION("""COMPUTED_VALUE"""),0.0)</f>
        <v>0</v>
      </c>
      <c r="BF178" s="3">
        <f>IFERROR(__xludf.DUMMYFUNCTION("""COMPUTED_VALUE"""),0.0)</f>
        <v>0</v>
      </c>
      <c r="BG178" s="3">
        <f>IFERROR(__xludf.DUMMYFUNCTION("""COMPUTED_VALUE"""),0.0)</f>
        <v>0</v>
      </c>
      <c r="BH178" s="3">
        <f>IFERROR(__xludf.DUMMYFUNCTION("""COMPUTED_VALUE"""),0.0)</f>
        <v>0</v>
      </c>
      <c r="BI178" s="3">
        <f>IFERROR(__xludf.DUMMYFUNCTION("""COMPUTED_VALUE"""),0.0)</f>
        <v>0</v>
      </c>
      <c r="BJ178" s="3">
        <f>IFERROR(__xludf.DUMMYFUNCTION("""COMPUTED_VALUE"""),0.0)</f>
        <v>0</v>
      </c>
      <c r="BK178" s="3">
        <f>IFERROR(__xludf.DUMMYFUNCTION("""COMPUTED_VALUE"""),0.0)</f>
        <v>0</v>
      </c>
      <c r="BL178" s="3">
        <f>IFERROR(__xludf.DUMMYFUNCTION("""COMPUTED_VALUE"""),0.0)</f>
        <v>0</v>
      </c>
      <c r="BM178" s="3">
        <f>IFERROR(__xludf.DUMMYFUNCTION("""COMPUTED_VALUE"""),0.0)</f>
        <v>0</v>
      </c>
      <c r="BN178" s="3">
        <f>IFERROR(__xludf.DUMMYFUNCTION("""COMPUTED_VALUE"""),0.0)</f>
        <v>0</v>
      </c>
      <c r="BO178" s="3">
        <f>IFERROR(__xludf.DUMMYFUNCTION("""COMPUTED_VALUE"""),0.0)</f>
        <v>0</v>
      </c>
      <c r="BP178" s="3">
        <f>IFERROR(__xludf.DUMMYFUNCTION("""COMPUTED_VALUE"""),0.0)</f>
        <v>0</v>
      </c>
      <c r="BQ178" s="3">
        <f>IFERROR(__xludf.DUMMYFUNCTION("""COMPUTED_VALUE"""),0.0)</f>
        <v>0</v>
      </c>
      <c r="BR178" s="3">
        <f>IFERROR(__xludf.DUMMYFUNCTION("""COMPUTED_VALUE"""),0.0)</f>
        <v>0</v>
      </c>
      <c r="BS178" s="3">
        <f>IFERROR(__xludf.DUMMYFUNCTION("""COMPUTED_VALUE"""),0.0)</f>
        <v>0</v>
      </c>
      <c r="BT178" s="3">
        <f>IFERROR(__xludf.DUMMYFUNCTION("""COMPUTED_VALUE"""),0.0)</f>
        <v>0</v>
      </c>
      <c r="BU178" s="3">
        <f>IFERROR(__xludf.DUMMYFUNCTION("""COMPUTED_VALUE"""),0.0)</f>
        <v>0</v>
      </c>
      <c r="BV178" s="3">
        <f>IFERROR(__xludf.DUMMYFUNCTION("""COMPUTED_VALUE"""),0.0)</f>
        <v>0</v>
      </c>
      <c r="BW178" s="3">
        <f>IFERROR(__xludf.DUMMYFUNCTION("""COMPUTED_VALUE"""),0.0)</f>
        <v>0</v>
      </c>
      <c r="BX178" s="3">
        <f>IFERROR(__xludf.DUMMYFUNCTION("""COMPUTED_VALUE"""),0.0)</f>
        <v>0</v>
      </c>
      <c r="BY178" s="3">
        <f>IFERROR(__xludf.DUMMYFUNCTION("""COMPUTED_VALUE"""),0.0)</f>
        <v>0</v>
      </c>
      <c r="BZ178" s="3">
        <f>IFERROR(__xludf.DUMMYFUNCTION("""COMPUTED_VALUE"""),0.0)</f>
        <v>0</v>
      </c>
      <c r="CA178" s="3">
        <f>IFERROR(__xludf.DUMMYFUNCTION("""COMPUTED_VALUE"""),0.0)</f>
        <v>0</v>
      </c>
      <c r="CB178" s="3">
        <f>IFERROR(__xludf.DUMMYFUNCTION("""COMPUTED_VALUE"""),0.0)</f>
        <v>0</v>
      </c>
    </row>
    <row r="179">
      <c r="A179" s="3" t="str">
        <f>IFERROR(__xludf.DUMMYFUNCTION("""COMPUTED_VALUE"""),"")</f>
        <v/>
      </c>
      <c r="B179" s="3" t="str">
        <f>IFERROR(__xludf.DUMMYFUNCTION("""COMPUTED_VALUE"""),"Paraguay")</f>
        <v>Paraguay</v>
      </c>
      <c r="C179" s="3">
        <f>IFERROR(__xludf.DUMMYFUNCTION("""COMPUTED_VALUE"""),-23.4425)</f>
        <v>-23.4425</v>
      </c>
      <c r="D179" s="3">
        <f>IFERROR(__xludf.DUMMYFUNCTION("""COMPUTED_VALUE"""),-58.4438)</f>
        <v>-58.4438</v>
      </c>
      <c r="E179" s="3">
        <f>IFERROR(__xludf.DUMMYFUNCTION("""COMPUTED_VALUE"""),0.0)</f>
        <v>0</v>
      </c>
      <c r="F179" s="3">
        <f>IFERROR(__xludf.DUMMYFUNCTION("""COMPUTED_VALUE"""),0.0)</f>
        <v>0</v>
      </c>
      <c r="G179" s="3">
        <f>IFERROR(__xludf.DUMMYFUNCTION("""COMPUTED_VALUE"""),0.0)</f>
        <v>0</v>
      </c>
      <c r="H179" s="3">
        <f>IFERROR(__xludf.DUMMYFUNCTION("""COMPUTED_VALUE"""),0.0)</f>
        <v>0</v>
      </c>
      <c r="I179" s="3">
        <f>IFERROR(__xludf.DUMMYFUNCTION("""COMPUTED_VALUE"""),0.0)</f>
        <v>0</v>
      </c>
      <c r="J179" s="3">
        <f>IFERROR(__xludf.DUMMYFUNCTION("""COMPUTED_VALUE"""),0.0)</f>
        <v>0</v>
      </c>
      <c r="K179" s="3">
        <f>IFERROR(__xludf.DUMMYFUNCTION("""COMPUTED_VALUE"""),0.0)</f>
        <v>0</v>
      </c>
      <c r="L179" s="3">
        <f>IFERROR(__xludf.DUMMYFUNCTION("""COMPUTED_VALUE"""),0.0)</f>
        <v>0</v>
      </c>
      <c r="M179" s="3">
        <f>IFERROR(__xludf.DUMMYFUNCTION("""COMPUTED_VALUE"""),0.0)</f>
        <v>0</v>
      </c>
      <c r="N179" s="3">
        <f>IFERROR(__xludf.DUMMYFUNCTION("""COMPUTED_VALUE"""),0.0)</f>
        <v>0</v>
      </c>
      <c r="O179" s="3">
        <f>IFERROR(__xludf.DUMMYFUNCTION("""COMPUTED_VALUE"""),0.0)</f>
        <v>0</v>
      </c>
      <c r="P179" s="3">
        <f>IFERROR(__xludf.DUMMYFUNCTION("""COMPUTED_VALUE"""),0.0)</f>
        <v>0</v>
      </c>
      <c r="Q179" s="3">
        <f>IFERROR(__xludf.DUMMYFUNCTION("""COMPUTED_VALUE"""),0.0)</f>
        <v>0</v>
      </c>
      <c r="R179" s="3">
        <f>IFERROR(__xludf.DUMMYFUNCTION("""COMPUTED_VALUE"""),0.0)</f>
        <v>0</v>
      </c>
      <c r="S179" s="3">
        <f>IFERROR(__xludf.DUMMYFUNCTION("""COMPUTED_VALUE"""),0.0)</f>
        <v>0</v>
      </c>
      <c r="T179" s="3">
        <f>IFERROR(__xludf.DUMMYFUNCTION("""COMPUTED_VALUE"""),0.0)</f>
        <v>0</v>
      </c>
      <c r="U179" s="3">
        <f>IFERROR(__xludf.DUMMYFUNCTION("""COMPUTED_VALUE"""),0.0)</f>
        <v>0</v>
      </c>
      <c r="V179" s="3">
        <f>IFERROR(__xludf.DUMMYFUNCTION("""COMPUTED_VALUE"""),0.0)</f>
        <v>0</v>
      </c>
      <c r="W179" s="3">
        <f>IFERROR(__xludf.DUMMYFUNCTION("""COMPUTED_VALUE"""),0.0)</f>
        <v>0</v>
      </c>
      <c r="X179" s="3">
        <f>IFERROR(__xludf.DUMMYFUNCTION("""COMPUTED_VALUE"""),0.0)</f>
        <v>0</v>
      </c>
      <c r="Y179" s="3">
        <f>IFERROR(__xludf.DUMMYFUNCTION("""COMPUTED_VALUE"""),0.0)</f>
        <v>0</v>
      </c>
      <c r="Z179" s="3">
        <f>IFERROR(__xludf.DUMMYFUNCTION("""COMPUTED_VALUE"""),0.0)</f>
        <v>0</v>
      </c>
      <c r="AA179" s="3">
        <f>IFERROR(__xludf.DUMMYFUNCTION("""COMPUTED_VALUE"""),0.0)</f>
        <v>0</v>
      </c>
      <c r="AB179" s="3">
        <f>IFERROR(__xludf.DUMMYFUNCTION("""COMPUTED_VALUE"""),0.0)</f>
        <v>0</v>
      </c>
      <c r="AC179" s="3">
        <f>IFERROR(__xludf.DUMMYFUNCTION("""COMPUTED_VALUE"""),0.0)</f>
        <v>0</v>
      </c>
      <c r="AD179" s="3">
        <f>IFERROR(__xludf.DUMMYFUNCTION("""COMPUTED_VALUE"""),0.0)</f>
        <v>0</v>
      </c>
      <c r="AE179" s="3">
        <f>IFERROR(__xludf.DUMMYFUNCTION("""COMPUTED_VALUE"""),0.0)</f>
        <v>0</v>
      </c>
      <c r="AF179" s="3">
        <f>IFERROR(__xludf.DUMMYFUNCTION("""COMPUTED_VALUE"""),0.0)</f>
        <v>0</v>
      </c>
      <c r="AG179" s="3">
        <f>IFERROR(__xludf.DUMMYFUNCTION("""COMPUTED_VALUE"""),0.0)</f>
        <v>0</v>
      </c>
      <c r="AH179" s="3">
        <f>IFERROR(__xludf.DUMMYFUNCTION("""COMPUTED_VALUE"""),0.0)</f>
        <v>0</v>
      </c>
      <c r="AI179" s="3">
        <f>IFERROR(__xludf.DUMMYFUNCTION("""COMPUTED_VALUE"""),0.0)</f>
        <v>0</v>
      </c>
      <c r="AJ179" s="3">
        <f>IFERROR(__xludf.DUMMYFUNCTION("""COMPUTED_VALUE"""),0.0)</f>
        <v>0</v>
      </c>
      <c r="AK179" s="3">
        <f>IFERROR(__xludf.DUMMYFUNCTION("""COMPUTED_VALUE"""),0.0)</f>
        <v>0</v>
      </c>
      <c r="AL179" s="3">
        <f>IFERROR(__xludf.DUMMYFUNCTION("""COMPUTED_VALUE"""),0.0)</f>
        <v>0</v>
      </c>
      <c r="AM179" s="3">
        <f>IFERROR(__xludf.DUMMYFUNCTION("""COMPUTED_VALUE"""),0.0)</f>
        <v>0</v>
      </c>
      <c r="AN179" s="3">
        <f>IFERROR(__xludf.DUMMYFUNCTION("""COMPUTED_VALUE"""),0.0)</f>
        <v>0</v>
      </c>
      <c r="AO179" s="3">
        <f>IFERROR(__xludf.DUMMYFUNCTION("""COMPUTED_VALUE"""),0.0)</f>
        <v>0</v>
      </c>
      <c r="AP179" s="3">
        <f>IFERROR(__xludf.DUMMYFUNCTION("""COMPUTED_VALUE"""),0.0)</f>
        <v>0</v>
      </c>
      <c r="AQ179" s="3">
        <f>IFERROR(__xludf.DUMMYFUNCTION("""COMPUTED_VALUE"""),0.0)</f>
        <v>0</v>
      </c>
      <c r="AR179" s="3">
        <f>IFERROR(__xludf.DUMMYFUNCTION("""COMPUTED_VALUE"""),0.0)</f>
        <v>0</v>
      </c>
      <c r="AS179" s="3">
        <f>IFERROR(__xludf.DUMMYFUNCTION("""COMPUTED_VALUE"""),0.0)</f>
        <v>0</v>
      </c>
      <c r="AT179" s="3">
        <f>IFERROR(__xludf.DUMMYFUNCTION("""COMPUTED_VALUE"""),0.0)</f>
        <v>0</v>
      </c>
      <c r="AU179" s="3">
        <f>IFERROR(__xludf.DUMMYFUNCTION("""COMPUTED_VALUE"""),0.0)</f>
        <v>0</v>
      </c>
      <c r="AV179" s="3">
        <f>IFERROR(__xludf.DUMMYFUNCTION("""COMPUTED_VALUE"""),0.0)</f>
        <v>0</v>
      </c>
      <c r="AW179" s="3">
        <f>IFERROR(__xludf.DUMMYFUNCTION("""COMPUTED_VALUE"""),0.0)</f>
        <v>0</v>
      </c>
      <c r="AX179" s="3">
        <f>IFERROR(__xludf.DUMMYFUNCTION("""COMPUTED_VALUE"""),0.0)</f>
        <v>0</v>
      </c>
      <c r="AY179" s="3">
        <f>IFERROR(__xludf.DUMMYFUNCTION("""COMPUTED_VALUE"""),0.0)</f>
        <v>0</v>
      </c>
      <c r="AZ179" s="3">
        <f>IFERROR(__xludf.DUMMYFUNCTION("""COMPUTED_VALUE"""),0.0)</f>
        <v>0</v>
      </c>
      <c r="BA179" s="3">
        <f>IFERROR(__xludf.DUMMYFUNCTION("""COMPUTED_VALUE"""),0.0)</f>
        <v>0</v>
      </c>
      <c r="BB179" s="3">
        <f>IFERROR(__xludf.DUMMYFUNCTION("""COMPUTED_VALUE"""),0.0)</f>
        <v>0</v>
      </c>
      <c r="BC179" s="3">
        <f>IFERROR(__xludf.DUMMYFUNCTION("""COMPUTED_VALUE"""),0.0)</f>
        <v>0</v>
      </c>
      <c r="BD179" s="3">
        <f>IFERROR(__xludf.DUMMYFUNCTION("""COMPUTED_VALUE"""),0.0)</f>
        <v>0</v>
      </c>
      <c r="BE179" s="3">
        <f>IFERROR(__xludf.DUMMYFUNCTION("""COMPUTED_VALUE"""),0.0)</f>
        <v>0</v>
      </c>
      <c r="BF179" s="3">
        <f>IFERROR(__xludf.DUMMYFUNCTION("""COMPUTED_VALUE"""),0.0)</f>
        <v>0</v>
      </c>
      <c r="BG179" s="3">
        <f>IFERROR(__xludf.DUMMYFUNCTION("""COMPUTED_VALUE"""),0.0)</f>
        <v>0</v>
      </c>
      <c r="BH179" s="3">
        <f>IFERROR(__xludf.DUMMYFUNCTION("""COMPUTED_VALUE"""),0.0)</f>
        <v>0</v>
      </c>
      <c r="BI179" s="3">
        <f>IFERROR(__xludf.DUMMYFUNCTION("""COMPUTED_VALUE"""),0.0)</f>
        <v>0</v>
      </c>
      <c r="BJ179" s="3">
        <f>IFERROR(__xludf.DUMMYFUNCTION("""COMPUTED_VALUE"""),0.0)</f>
        <v>0</v>
      </c>
      <c r="BK179" s="3">
        <f>IFERROR(__xludf.DUMMYFUNCTION("""COMPUTED_VALUE"""),0.0)</f>
        <v>0</v>
      </c>
      <c r="BL179" s="3">
        <f>IFERROR(__xludf.DUMMYFUNCTION("""COMPUTED_VALUE"""),0.0)</f>
        <v>0</v>
      </c>
      <c r="BM179" s="3">
        <f>IFERROR(__xludf.DUMMYFUNCTION("""COMPUTED_VALUE"""),0.0)</f>
        <v>0</v>
      </c>
      <c r="BN179" s="3">
        <f>IFERROR(__xludf.DUMMYFUNCTION("""COMPUTED_VALUE"""),0.0)</f>
        <v>0</v>
      </c>
      <c r="BO179" s="3">
        <f>IFERROR(__xludf.DUMMYFUNCTION("""COMPUTED_VALUE"""),0.0)</f>
        <v>0</v>
      </c>
      <c r="BP179" s="3">
        <f>IFERROR(__xludf.DUMMYFUNCTION("""COMPUTED_VALUE"""),0.0)</f>
        <v>0</v>
      </c>
      <c r="BQ179" s="3">
        <f>IFERROR(__xludf.DUMMYFUNCTION("""COMPUTED_VALUE"""),0.0)</f>
        <v>0</v>
      </c>
      <c r="BR179" s="3">
        <f>IFERROR(__xludf.DUMMYFUNCTION("""COMPUTED_VALUE"""),1.0)</f>
        <v>1</v>
      </c>
      <c r="BS179" s="3">
        <f>IFERROR(__xludf.DUMMYFUNCTION("""COMPUTED_VALUE"""),1.0)</f>
        <v>1</v>
      </c>
      <c r="BT179" s="3">
        <f>IFERROR(__xludf.DUMMYFUNCTION("""COMPUTED_VALUE"""),1.0)</f>
        <v>1</v>
      </c>
      <c r="BU179" s="3">
        <f>IFERROR(__xludf.DUMMYFUNCTION("""COMPUTED_VALUE"""),1.0)</f>
        <v>1</v>
      </c>
      <c r="BV179" s="3">
        <f>IFERROR(__xludf.DUMMYFUNCTION("""COMPUTED_VALUE"""),1.0)</f>
        <v>1</v>
      </c>
      <c r="BW179" s="3">
        <f>IFERROR(__xludf.DUMMYFUNCTION("""COMPUTED_VALUE"""),1.0)</f>
        <v>1</v>
      </c>
      <c r="BX179" s="3">
        <f>IFERROR(__xludf.DUMMYFUNCTION("""COMPUTED_VALUE"""),2.0)</f>
        <v>2</v>
      </c>
      <c r="BY179" s="3">
        <f>IFERROR(__xludf.DUMMYFUNCTION("""COMPUTED_VALUE"""),6.0)</f>
        <v>6</v>
      </c>
      <c r="BZ179" s="3">
        <f>IFERROR(__xludf.DUMMYFUNCTION("""COMPUTED_VALUE"""),12.0)</f>
        <v>12</v>
      </c>
      <c r="CA179" s="3">
        <f>IFERROR(__xludf.DUMMYFUNCTION("""COMPUTED_VALUE"""),12.0)</f>
        <v>12</v>
      </c>
      <c r="CB179" s="3">
        <f>IFERROR(__xludf.DUMMYFUNCTION("""COMPUTED_VALUE"""),12.0)</f>
        <v>12</v>
      </c>
    </row>
    <row r="180">
      <c r="A180" s="3" t="str">
        <f>IFERROR(__xludf.DUMMYFUNCTION("""COMPUTED_VALUE"""),"")</f>
        <v/>
      </c>
      <c r="B180" s="3" t="str">
        <f>IFERROR(__xludf.DUMMYFUNCTION("""COMPUTED_VALUE"""),"Peru")</f>
        <v>Peru</v>
      </c>
      <c r="C180" s="3">
        <f>IFERROR(__xludf.DUMMYFUNCTION("""COMPUTED_VALUE"""),-9.19)</f>
        <v>-9.19</v>
      </c>
      <c r="D180" s="3">
        <f>IFERROR(__xludf.DUMMYFUNCTION("""COMPUTED_VALUE"""),-75.0152)</f>
        <v>-75.0152</v>
      </c>
      <c r="E180" s="3">
        <f>IFERROR(__xludf.DUMMYFUNCTION("""COMPUTED_VALUE"""),0.0)</f>
        <v>0</v>
      </c>
      <c r="F180" s="3">
        <f>IFERROR(__xludf.DUMMYFUNCTION("""COMPUTED_VALUE"""),0.0)</f>
        <v>0</v>
      </c>
      <c r="G180" s="3">
        <f>IFERROR(__xludf.DUMMYFUNCTION("""COMPUTED_VALUE"""),0.0)</f>
        <v>0</v>
      </c>
      <c r="H180" s="3">
        <f>IFERROR(__xludf.DUMMYFUNCTION("""COMPUTED_VALUE"""),0.0)</f>
        <v>0</v>
      </c>
      <c r="I180" s="3">
        <f>IFERROR(__xludf.DUMMYFUNCTION("""COMPUTED_VALUE"""),0.0)</f>
        <v>0</v>
      </c>
      <c r="J180" s="3">
        <f>IFERROR(__xludf.DUMMYFUNCTION("""COMPUTED_VALUE"""),0.0)</f>
        <v>0</v>
      </c>
      <c r="K180" s="3">
        <f>IFERROR(__xludf.DUMMYFUNCTION("""COMPUTED_VALUE"""),0.0)</f>
        <v>0</v>
      </c>
      <c r="L180" s="3">
        <f>IFERROR(__xludf.DUMMYFUNCTION("""COMPUTED_VALUE"""),0.0)</f>
        <v>0</v>
      </c>
      <c r="M180" s="3">
        <f>IFERROR(__xludf.DUMMYFUNCTION("""COMPUTED_VALUE"""),0.0)</f>
        <v>0</v>
      </c>
      <c r="N180" s="3">
        <f>IFERROR(__xludf.DUMMYFUNCTION("""COMPUTED_VALUE"""),0.0)</f>
        <v>0</v>
      </c>
      <c r="O180" s="3">
        <f>IFERROR(__xludf.DUMMYFUNCTION("""COMPUTED_VALUE"""),0.0)</f>
        <v>0</v>
      </c>
      <c r="P180" s="3">
        <f>IFERROR(__xludf.DUMMYFUNCTION("""COMPUTED_VALUE"""),0.0)</f>
        <v>0</v>
      </c>
      <c r="Q180" s="3">
        <f>IFERROR(__xludf.DUMMYFUNCTION("""COMPUTED_VALUE"""),0.0)</f>
        <v>0</v>
      </c>
      <c r="R180" s="3">
        <f>IFERROR(__xludf.DUMMYFUNCTION("""COMPUTED_VALUE"""),0.0)</f>
        <v>0</v>
      </c>
      <c r="S180" s="3">
        <f>IFERROR(__xludf.DUMMYFUNCTION("""COMPUTED_VALUE"""),0.0)</f>
        <v>0</v>
      </c>
      <c r="T180" s="3">
        <f>IFERROR(__xludf.DUMMYFUNCTION("""COMPUTED_VALUE"""),0.0)</f>
        <v>0</v>
      </c>
      <c r="U180" s="3">
        <f>IFERROR(__xludf.DUMMYFUNCTION("""COMPUTED_VALUE"""),0.0)</f>
        <v>0</v>
      </c>
      <c r="V180" s="3">
        <f>IFERROR(__xludf.DUMMYFUNCTION("""COMPUTED_VALUE"""),0.0)</f>
        <v>0</v>
      </c>
      <c r="W180" s="3">
        <f>IFERROR(__xludf.DUMMYFUNCTION("""COMPUTED_VALUE"""),0.0)</f>
        <v>0</v>
      </c>
      <c r="X180" s="3">
        <f>IFERROR(__xludf.DUMMYFUNCTION("""COMPUTED_VALUE"""),0.0)</f>
        <v>0</v>
      </c>
      <c r="Y180" s="3">
        <f>IFERROR(__xludf.DUMMYFUNCTION("""COMPUTED_VALUE"""),0.0)</f>
        <v>0</v>
      </c>
      <c r="Z180" s="3">
        <f>IFERROR(__xludf.DUMMYFUNCTION("""COMPUTED_VALUE"""),0.0)</f>
        <v>0</v>
      </c>
      <c r="AA180" s="3">
        <f>IFERROR(__xludf.DUMMYFUNCTION("""COMPUTED_VALUE"""),0.0)</f>
        <v>0</v>
      </c>
      <c r="AB180" s="3">
        <f>IFERROR(__xludf.DUMMYFUNCTION("""COMPUTED_VALUE"""),0.0)</f>
        <v>0</v>
      </c>
      <c r="AC180" s="3">
        <f>IFERROR(__xludf.DUMMYFUNCTION("""COMPUTED_VALUE"""),0.0)</f>
        <v>0</v>
      </c>
      <c r="AD180" s="3">
        <f>IFERROR(__xludf.DUMMYFUNCTION("""COMPUTED_VALUE"""),0.0)</f>
        <v>0</v>
      </c>
      <c r="AE180" s="3">
        <f>IFERROR(__xludf.DUMMYFUNCTION("""COMPUTED_VALUE"""),0.0)</f>
        <v>0</v>
      </c>
      <c r="AF180" s="3">
        <f>IFERROR(__xludf.DUMMYFUNCTION("""COMPUTED_VALUE"""),0.0)</f>
        <v>0</v>
      </c>
      <c r="AG180" s="3">
        <f>IFERROR(__xludf.DUMMYFUNCTION("""COMPUTED_VALUE"""),0.0)</f>
        <v>0</v>
      </c>
      <c r="AH180" s="3">
        <f>IFERROR(__xludf.DUMMYFUNCTION("""COMPUTED_VALUE"""),0.0)</f>
        <v>0</v>
      </c>
      <c r="AI180" s="3">
        <f>IFERROR(__xludf.DUMMYFUNCTION("""COMPUTED_VALUE"""),0.0)</f>
        <v>0</v>
      </c>
      <c r="AJ180" s="3">
        <f>IFERROR(__xludf.DUMMYFUNCTION("""COMPUTED_VALUE"""),0.0)</f>
        <v>0</v>
      </c>
      <c r="AK180" s="3">
        <f>IFERROR(__xludf.DUMMYFUNCTION("""COMPUTED_VALUE"""),0.0)</f>
        <v>0</v>
      </c>
      <c r="AL180" s="3">
        <f>IFERROR(__xludf.DUMMYFUNCTION("""COMPUTED_VALUE"""),0.0)</f>
        <v>0</v>
      </c>
      <c r="AM180" s="3">
        <f>IFERROR(__xludf.DUMMYFUNCTION("""COMPUTED_VALUE"""),0.0)</f>
        <v>0</v>
      </c>
      <c r="AN180" s="3">
        <f>IFERROR(__xludf.DUMMYFUNCTION("""COMPUTED_VALUE"""),0.0)</f>
        <v>0</v>
      </c>
      <c r="AO180" s="3">
        <f>IFERROR(__xludf.DUMMYFUNCTION("""COMPUTED_VALUE"""),0.0)</f>
        <v>0</v>
      </c>
      <c r="AP180" s="3">
        <f>IFERROR(__xludf.DUMMYFUNCTION("""COMPUTED_VALUE"""),0.0)</f>
        <v>0</v>
      </c>
      <c r="AQ180" s="3">
        <f>IFERROR(__xludf.DUMMYFUNCTION("""COMPUTED_VALUE"""),0.0)</f>
        <v>0</v>
      </c>
      <c r="AR180" s="3">
        <f>IFERROR(__xludf.DUMMYFUNCTION("""COMPUTED_VALUE"""),0.0)</f>
        <v>0</v>
      </c>
      <c r="AS180" s="3">
        <f>IFERROR(__xludf.DUMMYFUNCTION("""COMPUTED_VALUE"""),0.0)</f>
        <v>0</v>
      </c>
      <c r="AT180" s="3">
        <f>IFERROR(__xludf.DUMMYFUNCTION("""COMPUTED_VALUE"""),0.0)</f>
        <v>0</v>
      </c>
      <c r="AU180" s="3">
        <f>IFERROR(__xludf.DUMMYFUNCTION("""COMPUTED_VALUE"""),0.0)</f>
        <v>0</v>
      </c>
      <c r="AV180" s="3">
        <f>IFERROR(__xludf.DUMMYFUNCTION("""COMPUTED_VALUE"""),0.0)</f>
        <v>0</v>
      </c>
      <c r="AW180" s="3">
        <f>IFERROR(__xludf.DUMMYFUNCTION("""COMPUTED_VALUE"""),0.0)</f>
        <v>0</v>
      </c>
      <c r="AX180" s="3">
        <f>IFERROR(__xludf.DUMMYFUNCTION("""COMPUTED_VALUE"""),0.0)</f>
        <v>0</v>
      </c>
      <c r="AY180" s="3">
        <f>IFERROR(__xludf.DUMMYFUNCTION("""COMPUTED_VALUE"""),0.0)</f>
        <v>0</v>
      </c>
      <c r="AZ180" s="3">
        <f>IFERROR(__xludf.DUMMYFUNCTION("""COMPUTED_VALUE"""),0.0)</f>
        <v>0</v>
      </c>
      <c r="BA180" s="3">
        <f>IFERROR(__xludf.DUMMYFUNCTION("""COMPUTED_VALUE"""),0.0)</f>
        <v>0</v>
      </c>
      <c r="BB180" s="3">
        <f>IFERROR(__xludf.DUMMYFUNCTION("""COMPUTED_VALUE"""),0.0)</f>
        <v>0</v>
      </c>
      <c r="BC180" s="3">
        <f>IFERROR(__xludf.DUMMYFUNCTION("""COMPUTED_VALUE"""),0.0)</f>
        <v>0</v>
      </c>
      <c r="BD180" s="3">
        <f>IFERROR(__xludf.DUMMYFUNCTION("""COMPUTED_VALUE"""),0.0)</f>
        <v>0</v>
      </c>
      <c r="BE180" s="3">
        <f>IFERROR(__xludf.DUMMYFUNCTION("""COMPUTED_VALUE"""),0.0)</f>
        <v>0</v>
      </c>
      <c r="BF180" s="3">
        <f>IFERROR(__xludf.DUMMYFUNCTION("""COMPUTED_VALUE"""),0.0)</f>
        <v>0</v>
      </c>
      <c r="BG180" s="3">
        <f>IFERROR(__xludf.DUMMYFUNCTION("""COMPUTED_VALUE"""),0.0)</f>
        <v>0</v>
      </c>
      <c r="BH180" s="3">
        <f>IFERROR(__xludf.DUMMYFUNCTION("""COMPUTED_VALUE"""),1.0)</f>
        <v>1</v>
      </c>
      <c r="BI180" s="3">
        <f>IFERROR(__xludf.DUMMYFUNCTION("""COMPUTED_VALUE"""),1.0)</f>
        <v>1</v>
      </c>
      <c r="BJ180" s="3">
        <f>IFERROR(__xludf.DUMMYFUNCTION("""COMPUTED_VALUE"""),1.0)</f>
        <v>1</v>
      </c>
      <c r="BK180" s="3">
        <f>IFERROR(__xludf.DUMMYFUNCTION("""COMPUTED_VALUE"""),1.0)</f>
        <v>1</v>
      </c>
      <c r="BL180" s="3">
        <f>IFERROR(__xludf.DUMMYFUNCTION("""COMPUTED_VALUE"""),1.0)</f>
        <v>1</v>
      </c>
      <c r="BM180" s="3">
        <f>IFERROR(__xludf.DUMMYFUNCTION("""COMPUTED_VALUE"""),1.0)</f>
        <v>1</v>
      </c>
      <c r="BN180" s="3">
        <f>IFERROR(__xludf.DUMMYFUNCTION("""COMPUTED_VALUE"""),1.0)</f>
        <v>1</v>
      </c>
      <c r="BO180" s="3">
        <f>IFERROR(__xludf.DUMMYFUNCTION("""COMPUTED_VALUE"""),1.0)</f>
        <v>1</v>
      </c>
      <c r="BP180" s="3">
        <f>IFERROR(__xludf.DUMMYFUNCTION("""COMPUTED_VALUE"""),1.0)</f>
        <v>1</v>
      </c>
      <c r="BQ180" s="3">
        <f>IFERROR(__xludf.DUMMYFUNCTION("""COMPUTED_VALUE"""),14.0)</f>
        <v>14</v>
      </c>
      <c r="BR180" s="3">
        <f>IFERROR(__xludf.DUMMYFUNCTION("""COMPUTED_VALUE"""),16.0)</f>
        <v>16</v>
      </c>
      <c r="BS180" s="3">
        <f>IFERROR(__xludf.DUMMYFUNCTION("""COMPUTED_VALUE"""),16.0)</f>
        <v>16</v>
      </c>
      <c r="BT180" s="3">
        <f>IFERROR(__xludf.DUMMYFUNCTION("""COMPUTED_VALUE"""),16.0)</f>
        <v>16</v>
      </c>
      <c r="BU180" s="3">
        <f>IFERROR(__xludf.DUMMYFUNCTION("""COMPUTED_VALUE"""),53.0)</f>
        <v>53</v>
      </c>
      <c r="BV180" s="3">
        <f>IFERROR(__xludf.DUMMYFUNCTION("""COMPUTED_VALUE"""),394.0)</f>
        <v>394</v>
      </c>
      <c r="BW180" s="3">
        <f>IFERROR(__xludf.DUMMYFUNCTION("""COMPUTED_VALUE"""),394.0)</f>
        <v>394</v>
      </c>
      <c r="BX180" s="3">
        <f>IFERROR(__xludf.DUMMYFUNCTION("""COMPUTED_VALUE"""),537.0)</f>
        <v>537</v>
      </c>
      <c r="BY180" s="3">
        <f>IFERROR(__xludf.DUMMYFUNCTION("""COMPUTED_VALUE"""),537.0)</f>
        <v>537</v>
      </c>
      <c r="BZ180" s="3">
        <f>IFERROR(__xludf.DUMMYFUNCTION("""COMPUTED_VALUE"""),914.0)</f>
        <v>914</v>
      </c>
      <c r="CA180" s="3">
        <f>IFERROR(__xludf.DUMMYFUNCTION("""COMPUTED_VALUE"""),989.0)</f>
        <v>989</v>
      </c>
      <c r="CB180" s="3">
        <f>IFERROR(__xludf.DUMMYFUNCTION("""COMPUTED_VALUE"""),997.0)</f>
        <v>997</v>
      </c>
    </row>
    <row r="181">
      <c r="A181" s="3" t="str">
        <f>IFERROR(__xludf.DUMMYFUNCTION("""COMPUTED_VALUE"""),"")</f>
        <v/>
      </c>
      <c r="B181" s="3" t="str">
        <f>IFERROR(__xludf.DUMMYFUNCTION("""COMPUTED_VALUE"""),"Philippines")</f>
        <v>Philippines</v>
      </c>
      <c r="C181" s="3">
        <f>IFERROR(__xludf.DUMMYFUNCTION("""COMPUTED_VALUE"""),13.0)</f>
        <v>13</v>
      </c>
      <c r="D181" s="3">
        <f>IFERROR(__xludf.DUMMYFUNCTION("""COMPUTED_VALUE"""),122.0)</f>
        <v>122</v>
      </c>
      <c r="E181" s="3">
        <f>IFERROR(__xludf.DUMMYFUNCTION("""COMPUTED_VALUE"""),0.0)</f>
        <v>0</v>
      </c>
      <c r="F181" s="3">
        <f>IFERROR(__xludf.DUMMYFUNCTION("""COMPUTED_VALUE"""),0.0)</f>
        <v>0</v>
      </c>
      <c r="G181" s="3">
        <f>IFERROR(__xludf.DUMMYFUNCTION("""COMPUTED_VALUE"""),0.0)</f>
        <v>0</v>
      </c>
      <c r="H181" s="3">
        <f>IFERROR(__xludf.DUMMYFUNCTION("""COMPUTED_VALUE"""),0.0)</f>
        <v>0</v>
      </c>
      <c r="I181" s="3">
        <f>IFERROR(__xludf.DUMMYFUNCTION("""COMPUTED_VALUE"""),0.0)</f>
        <v>0</v>
      </c>
      <c r="J181" s="3">
        <f>IFERROR(__xludf.DUMMYFUNCTION("""COMPUTED_VALUE"""),0.0)</f>
        <v>0</v>
      </c>
      <c r="K181" s="3">
        <f>IFERROR(__xludf.DUMMYFUNCTION("""COMPUTED_VALUE"""),0.0)</f>
        <v>0</v>
      </c>
      <c r="L181" s="3">
        <f>IFERROR(__xludf.DUMMYFUNCTION("""COMPUTED_VALUE"""),0.0)</f>
        <v>0</v>
      </c>
      <c r="M181" s="3">
        <f>IFERROR(__xludf.DUMMYFUNCTION("""COMPUTED_VALUE"""),0.0)</f>
        <v>0</v>
      </c>
      <c r="N181" s="3">
        <f>IFERROR(__xludf.DUMMYFUNCTION("""COMPUTED_VALUE"""),0.0)</f>
        <v>0</v>
      </c>
      <c r="O181" s="3">
        <f>IFERROR(__xludf.DUMMYFUNCTION("""COMPUTED_VALUE"""),0.0)</f>
        <v>0</v>
      </c>
      <c r="P181" s="3">
        <f>IFERROR(__xludf.DUMMYFUNCTION("""COMPUTED_VALUE"""),0.0)</f>
        <v>0</v>
      </c>
      <c r="Q181" s="3">
        <f>IFERROR(__xludf.DUMMYFUNCTION("""COMPUTED_VALUE"""),0.0)</f>
        <v>0</v>
      </c>
      <c r="R181" s="3">
        <f>IFERROR(__xludf.DUMMYFUNCTION("""COMPUTED_VALUE"""),0.0)</f>
        <v>0</v>
      </c>
      <c r="S181" s="3">
        <f>IFERROR(__xludf.DUMMYFUNCTION("""COMPUTED_VALUE"""),0.0)</f>
        <v>0</v>
      </c>
      <c r="T181" s="3">
        <f>IFERROR(__xludf.DUMMYFUNCTION("""COMPUTED_VALUE"""),0.0)</f>
        <v>0</v>
      </c>
      <c r="U181" s="3">
        <f>IFERROR(__xludf.DUMMYFUNCTION("""COMPUTED_VALUE"""),0.0)</f>
        <v>0</v>
      </c>
      <c r="V181" s="3">
        <f>IFERROR(__xludf.DUMMYFUNCTION("""COMPUTED_VALUE"""),0.0)</f>
        <v>0</v>
      </c>
      <c r="W181" s="3">
        <f>IFERROR(__xludf.DUMMYFUNCTION("""COMPUTED_VALUE"""),0.0)</f>
        <v>0</v>
      </c>
      <c r="X181" s="3">
        <f>IFERROR(__xludf.DUMMYFUNCTION("""COMPUTED_VALUE"""),0.0)</f>
        <v>0</v>
      </c>
      <c r="Y181" s="3">
        <f>IFERROR(__xludf.DUMMYFUNCTION("""COMPUTED_VALUE"""),0.0)</f>
        <v>0</v>
      </c>
      <c r="Z181" s="3">
        <f>IFERROR(__xludf.DUMMYFUNCTION("""COMPUTED_VALUE"""),1.0)</f>
        <v>1</v>
      </c>
      <c r="AA181" s="3">
        <f>IFERROR(__xludf.DUMMYFUNCTION("""COMPUTED_VALUE"""),1.0)</f>
        <v>1</v>
      </c>
      <c r="AB181" s="3">
        <f>IFERROR(__xludf.DUMMYFUNCTION("""COMPUTED_VALUE"""),1.0)</f>
        <v>1</v>
      </c>
      <c r="AC181" s="3">
        <f>IFERROR(__xludf.DUMMYFUNCTION("""COMPUTED_VALUE"""),1.0)</f>
        <v>1</v>
      </c>
      <c r="AD181" s="3">
        <f>IFERROR(__xludf.DUMMYFUNCTION("""COMPUTED_VALUE"""),1.0)</f>
        <v>1</v>
      </c>
      <c r="AE181" s="3">
        <f>IFERROR(__xludf.DUMMYFUNCTION("""COMPUTED_VALUE"""),1.0)</f>
        <v>1</v>
      </c>
      <c r="AF181" s="3">
        <f>IFERROR(__xludf.DUMMYFUNCTION("""COMPUTED_VALUE"""),1.0)</f>
        <v>1</v>
      </c>
      <c r="AG181" s="3">
        <f>IFERROR(__xludf.DUMMYFUNCTION("""COMPUTED_VALUE"""),1.0)</f>
        <v>1</v>
      </c>
      <c r="AH181" s="3">
        <f>IFERROR(__xludf.DUMMYFUNCTION("""COMPUTED_VALUE"""),1.0)</f>
        <v>1</v>
      </c>
      <c r="AI181" s="3">
        <f>IFERROR(__xludf.DUMMYFUNCTION("""COMPUTED_VALUE"""),1.0)</f>
        <v>1</v>
      </c>
      <c r="AJ181" s="3">
        <f>IFERROR(__xludf.DUMMYFUNCTION("""COMPUTED_VALUE"""),1.0)</f>
        <v>1</v>
      </c>
      <c r="AK181" s="3">
        <f>IFERROR(__xludf.DUMMYFUNCTION("""COMPUTED_VALUE"""),1.0)</f>
        <v>1</v>
      </c>
      <c r="AL181" s="3">
        <f>IFERROR(__xludf.DUMMYFUNCTION("""COMPUTED_VALUE"""),1.0)</f>
        <v>1</v>
      </c>
      <c r="AM181" s="3">
        <f>IFERROR(__xludf.DUMMYFUNCTION("""COMPUTED_VALUE"""),1.0)</f>
        <v>1</v>
      </c>
      <c r="AN181" s="3">
        <f>IFERROR(__xludf.DUMMYFUNCTION("""COMPUTED_VALUE"""),1.0)</f>
        <v>1</v>
      </c>
      <c r="AO181" s="3">
        <f>IFERROR(__xludf.DUMMYFUNCTION("""COMPUTED_VALUE"""),1.0)</f>
        <v>1</v>
      </c>
      <c r="AP181" s="3">
        <f>IFERROR(__xludf.DUMMYFUNCTION("""COMPUTED_VALUE"""),1.0)</f>
        <v>1</v>
      </c>
      <c r="AQ181" s="3">
        <f>IFERROR(__xludf.DUMMYFUNCTION("""COMPUTED_VALUE"""),1.0)</f>
        <v>1</v>
      </c>
      <c r="AR181" s="3">
        <f>IFERROR(__xludf.DUMMYFUNCTION("""COMPUTED_VALUE"""),1.0)</f>
        <v>1</v>
      </c>
      <c r="AS181" s="3">
        <f>IFERROR(__xludf.DUMMYFUNCTION("""COMPUTED_VALUE"""),1.0)</f>
        <v>1</v>
      </c>
      <c r="AT181" s="3">
        <f>IFERROR(__xludf.DUMMYFUNCTION("""COMPUTED_VALUE"""),1.0)</f>
        <v>1</v>
      </c>
      <c r="AU181" s="3">
        <f>IFERROR(__xludf.DUMMYFUNCTION("""COMPUTED_VALUE"""),1.0)</f>
        <v>1</v>
      </c>
      <c r="AV181" s="3">
        <f>IFERROR(__xludf.DUMMYFUNCTION("""COMPUTED_VALUE"""),1.0)</f>
        <v>1</v>
      </c>
      <c r="AW181" s="3">
        <f>IFERROR(__xludf.DUMMYFUNCTION("""COMPUTED_VALUE"""),1.0)</f>
        <v>1</v>
      </c>
      <c r="AX181" s="3">
        <f>IFERROR(__xludf.DUMMYFUNCTION("""COMPUTED_VALUE"""),1.0)</f>
        <v>1</v>
      </c>
      <c r="AY181" s="3">
        <f>IFERROR(__xludf.DUMMYFUNCTION("""COMPUTED_VALUE"""),1.0)</f>
        <v>1</v>
      </c>
      <c r="AZ181" s="3">
        <f>IFERROR(__xludf.DUMMYFUNCTION("""COMPUTED_VALUE"""),1.0)</f>
        <v>1</v>
      </c>
      <c r="BA181" s="3">
        <f>IFERROR(__xludf.DUMMYFUNCTION("""COMPUTED_VALUE"""),2.0)</f>
        <v>2</v>
      </c>
      <c r="BB181" s="3">
        <f>IFERROR(__xludf.DUMMYFUNCTION("""COMPUTED_VALUE"""),2.0)</f>
        <v>2</v>
      </c>
      <c r="BC181" s="3">
        <f>IFERROR(__xludf.DUMMYFUNCTION("""COMPUTED_VALUE"""),2.0)</f>
        <v>2</v>
      </c>
      <c r="BD181" s="3">
        <f>IFERROR(__xludf.DUMMYFUNCTION("""COMPUTED_VALUE"""),2.0)</f>
        <v>2</v>
      </c>
      <c r="BE181" s="3">
        <f>IFERROR(__xludf.DUMMYFUNCTION("""COMPUTED_VALUE"""),2.0)</f>
        <v>2</v>
      </c>
      <c r="BF181" s="3">
        <f>IFERROR(__xludf.DUMMYFUNCTION("""COMPUTED_VALUE"""),2.0)</f>
        <v>2</v>
      </c>
      <c r="BG181" s="3">
        <f>IFERROR(__xludf.DUMMYFUNCTION("""COMPUTED_VALUE"""),2.0)</f>
        <v>2</v>
      </c>
      <c r="BH181" s="3">
        <f>IFERROR(__xludf.DUMMYFUNCTION("""COMPUTED_VALUE"""),5.0)</f>
        <v>5</v>
      </c>
      <c r="BI181" s="3">
        <f>IFERROR(__xludf.DUMMYFUNCTION("""COMPUTED_VALUE"""),5.0)</f>
        <v>5</v>
      </c>
      <c r="BJ181" s="3">
        <f>IFERROR(__xludf.DUMMYFUNCTION("""COMPUTED_VALUE"""),8.0)</f>
        <v>8</v>
      </c>
      <c r="BK181" s="3">
        <f>IFERROR(__xludf.DUMMYFUNCTION("""COMPUTED_VALUE"""),8.0)</f>
        <v>8</v>
      </c>
      <c r="BL181" s="3">
        <f>IFERROR(__xludf.DUMMYFUNCTION("""COMPUTED_VALUE"""),13.0)</f>
        <v>13</v>
      </c>
      <c r="BM181" s="3">
        <f>IFERROR(__xludf.DUMMYFUNCTION("""COMPUTED_VALUE"""),17.0)</f>
        <v>17</v>
      </c>
      <c r="BN181" s="3">
        <f>IFERROR(__xludf.DUMMYFUNCTION("""COMPUTED_VALUE"""),17.0)</f>
        <v>17</v>
      </c>
      <c r="BO181" s="3">
        <f>IFERROR(__xludf.DUMMYFUNCTION("""COMPUTED_VALUE"""),20.0)</f>
        <v>20</v>
      </c>
      <c r="BP181" s="3">
        <f>IFERROR(__xludf.DUMMYFUNCTION("""COMPUTED_VALUE"""),26.0)</f>
        <v>26</v>
      </c>
      <c r="BQ181" s="3">
        <f>IFERROR(__xludf.DUMMYFUNCTION("""COMPUTED_VALUE"""),28.0)</f>
        <v>28</v>
      </c>
      <c r="BR181" s="3">
        <f>IFERROR(__xludf.DUMMYFUNCTION("""COMPUTED_VALUE"""),31.0)</f>
        <v>31</v>
      </c>
      <c r="BS181" s="3">
        <f>IFERROR(__xludf.DUMMYFUNCTION("""COMPUTED_VALUE"""),35.0)</f>
        <v>35</v>
      </c>
      <c r="BT181" s="3">
        <f>IFERROR(__xludf.DUMMYFUNCTION("""COMPUTED_VALUE"""),42.0)</f>
        <v>42</v>
      </c>
      <c r="BU181" s="3">
        <f>IFERROR(__xludf.DUMMYFUNCTION("""COMPUTED_VALUE"""),42.0)</f>
        <v>42</v>
      </c>
      <c r="BV181" s="3">
        <f>IFERROR(__xludf.DUMMYFUNCTION("""COMPUTED_VALUE"""),49.0)</f>
        <v>49</v>
      </c>
      <c r="BW181" s="3">
        <f>IFERROR(__xludf.DUMMYFUNCTION("""COMPUTED_VALUE"""),50.0)</f>
        <v>50</v>
      </c>
      <c r="BX181" s="3">
        <f>IFERROR(__xludf.DUMMYFUNCTION("""COMPUTED_VALUE"""),51.0)</f>
        <v>51</v>
      </c>
      <c r="BY181" s="3">
        <f>IFERROR(__xludf.DUMMYFUNCTION("""COMPUTED_VALUE"""),52.0)</f>
        <v>52</v>
      </c>
      <c r="BZ181" s="3">
        <f>IFERROR(__xludf.DUMMYFUNCTION("""COMPUTED_VALUE"""),57.0)</f>
        <v>57</v>
      </c>
      <c r="CA181" s="3">
        <f>IFERROR(__xludf.DUMMYFUNCTION("""COMPUTED_VALUE"""),64.0)</f>
        <v>64</v>
      </c>
      <c r="CB181" s="3">
        <f>IFERROR(__xludf.DUMMYFUNCTION("""COMPUTED_VALUE"""),73.0)</f>
        <v>73</v>
      </c>
    </row>
    <row r="182">
      <c r="A182" s="3" t="str">
        <f>IFERROR(__xludf.DUMMYFUNCTION("""COMPUTED_VALUE"""),"")</f>
        <v/>
      </c>
      <c r="B182" s="3" t="str">
        <f>IFERROR(__xludf.DUMMYFUNCTION("""COMPUTED_VALUE"""),"Poland")</f>
        <v>Poland</v>
      </c>
      <c r="C182" s="3">
        <f>IFERROR(__xludf.DUMMYFUNCTION("""COMPUTED_VALUE"""),51.9194)</f>
        <v>51.9194</v>
      </c>
      <c r="D182" s="3">
        <f>IFERROR(__xludf.DUMMYFUNCTION("""COMPUTED_VALUE"""),19.1451)</f>
        <v>19.1451</v>
      </c>
      <c r="E182" s="3">
        <f>IFERROR(__xludf.DUMMYFUNCTION("""COMPUTED_VALUE"""),0.0)</f>
        <v>0</v>
      </c>
      <c r="F182" s="3">
        <f>IFERROR(__xludf.DUMMYFUNCTION("""COMPUTED_VALUE"""),0.0)</f>
        <v>0</v>
      </c>
      <c r="G182" s="3">
        <f>IFERROR(__xludf.DUMMYFUNCTION("""COMPUTED_VALUE"""),0.0)</f>
        <v>0</v>
      </c>
      <c r="H182" s="3">
        <f>IFERROR(__xludf.DUMMYFUNCTION("""COMPUTED_VALUE"""),0.0)</f>
        <v>0</v>
      </c>
      <c r="I182" s="3">
        <f>IFERROR(__xludf.DUMMYFUNCTION("""COMPUTED_VALUE"""),0.0)</f>
        <v>0</v>
      </c>
      <c r="J182" s="3">
        <f>IFERROR(__xludf.DUMMYFUNCTION("""COMPUTED_VALUE"""),0.0)</f>
        <v>0</v>
      </c>
      <c r="K182" s="3">
        <f>IFERROR(__xludf.DUMMYFUNCTION("""COMPUTED_VALUE"""),0.0)</f>
        <v>0</v>
      </c>
      <c r="L182" s="3">
        <f>IFERROR(__xludf.DUMMYFUNCTION("""COMPUTED_VALUE"""),0.0)</f>
        <v>0</v>
      </c>
      <c r="M182" s="3">
        <f>IFERROR(__xludf.DUMMYFUNCTION("""COMPUTED_VALUE"""),0.0)</f>
        <v>0</v>
      </c>
      <c r="N182" s="3">
        <f>IFERROR(__xludf.DUMMYFUNCTION("""COMPUTED_VALUE"""),0.0)</f>
        <v>0</v>
      </c>
      <c r="O182" s="3">
        <f>IFERROR(__xludf.DUMMYFUNCTION("""COMPUTED_VALUE"""),0.0)</f>
        <v>0</v>
      </c>
      <c r="P182" s="3">
        <f>IFERROR(__xludf.DUMMYFUNCTION("""COMPUTED_VALUE"""),0.0)</f>
        <v>0</v>
      </c>
      <c r="Q182" s="3">
        <f>IFERROR(__xludf.DUMMYFUNCTION("""COMPUTED_VALUE"""),0.0)</f>
        <v>0</v>
      </c>
      <c r="R182" s="3">
        <f>IFERROR(__xludf.DUMMYFUNCTION("""COMPUTED_VALUE"""),0.0)</f>
        <v>0</v>
      </c>
      <c r="S182" s="3">
        <f>IFERROR(__xludf.DUMMYFUNCTION("""COMPUTED_VALUE"""),0.0)</f>
        <v>0</v>
      </c>
      <c r="T182" s="3">
        <f>IFERROR(__xludf.DUMMYFUNCTION("""COMPUTED_VALUE"""),0.0)</f>
        <v>0</v>
      </c>
      <c r="U182" s="3">
        <f>IFERROR(__xludf.DUMMYFUNCTION("""COMPUTED_VALUE"""),0.0)</f>
        <v>0</v>
      </c>
      <c r="V182" s="3">
        <f>IFERROR(__xludf.DUMMYFUNCTION("""COMPUTED_VALUE"""),0.0)</f>
        <v>0</v>
      </c>
      <c r="W182" s="3">
        <f>IFERROR(__xludf.DUMMYFUNCTION("""COMPUTED_VALUE"""),0.0)</f>
        <v>0</v>
      </c>
      <c r="X182" s="3">
        <f>IFERROR(__xludf.DUMMYFUNCTION("""COMPUTED_VALUE"""),0.0)</f>
        <v>0</v>
      </c>
      <c r="Y182" s="3">
        <f>IFERROR(__xludf.DUMMYFUNCTION("""COMPUTED_VALUE"""),0.0)</f>
        <v>0</v>
      </c>
      <c r="Z182" s="3">
        <f>IFERROR(__xludf.DUMMYFUNCTION("""COMPUTED_VALUE"""),0.0)</f>
        <v>0</v>
      </c>
      <c r="AA182" s="3">
        <f>IFERROR(__xludf.DUMMYFUNCTION("""COMPUTED_VALUE"""),0.0)</f>
        <v>0</v>
      </c>
      <c r="AB182" s="3">
        <f>IFERROR(__xludf.DUMMYFUNCTION("""COMPUTED_VALUE"""),0.0)</f>
        <v>0</v>
      </c>
      <c r="AC182" s="3">
        <f>IFERROR(__xludf.DUMMYFUNCTION("""COMPUTED_VALUE"""),0.0)</f>
        <v>0</v>
      </c>
      <c r="AD182" s="3">
        <f>IFERROR(__xludf.DUMMYFUNCTION("""COMPUTED_VALUE"""),0.0)</f>
        <v>0</v>
      </c>
      <c r="AE182" s="3">
        <f>IFERROR(__xludf.DUMMYFUNCTION("""COMPUTED_VALUE"""),0.0)</f>
        <v>0</v>
      </c>
      <c r="AF182" s="3">
        <f>IFERROR(__xludf.DUMMYFUNCTION("""COMPUTED_VALUE"""),0.0)</f>
        <v>0</v>
      </c>
      <c r="AG182" s="3">
        <f>IFERROR(__xludf.DUMMYFUNCTION("""COMPUTED_VALUE"""),0.0)</f>
        <v>0</v>
      </c>
      <c r="AH182" s="3">
        <f>IFERROR(__xludf.DUMMYFUNCTION("""COMPUTED_VALUE"""),0.0)</f>
        <v>0</v>
      </c>
      <c r="AI182" s="3">
        <f>IFERROR(__xludf.DUMMYFUNCTION("""COMPUTED_VALUE"""),0.0)</f>
        <v>0</v>
      </c>
      <c r="AJ182" s="3">
        <f>IFERROR(__xludf.DUMMYFUNCTION("""COMPUTED_VALUE"""),0.0)</f>
        <v>0</v>
      </c>
      <c r="AK182" s="3">
        <f>IFERROR(__xludf.DUMMYFUNCTION("""COMPUTED_VALUE"""),0.0)</f>
        <v>0</v>
      </c>
      <c r="AL182" s="3">
        <f>IFERROR(__xludf.DUMMYFUNCTION("""COMPUTED_VALUE"""),0.0)</f>
        <v>0</v>
      </c>
      <c r="AM182" s="3">
        <f>IFERROR(__xludf.DUMMYFUNCTION("""COMPUTED_VALUE"""),0.0)</f>
        <v>0</v>
      </c>
      <c r="AN182" s="3">
        <f>IFERROR(__xludf.DUMMYFUNCTION("""COMPUTED_VALUE"""),0.0)</f>
        <v>0</v>
      </c>
      <c r="AO182" s="3">
        <f>IFERROR(__xludf.DUMMYFUNCTION("""COMPUTED_VALUE"""),0.0)</f>
        <v>0</v>
      </c>
      <c r="AP182" s="3">
        <f>IFERROR(__xludf.DUMMYFUNCTION("""COMPUTED_VALUE"""),0.0)</f>
        <v>0</v>
      </c>
      <c r="AQ182" s="3">
        <f>IFERROR(__xludf.DUMMYFUNCTION("""COMPUTED_VALUE"""),0.0)</f>
        <v>0</v>
      </c>
      <c r="AR182" s="3">
        <f>IFERROR(__xludf.DUMMYFUNCTION("""COMPUTED_VALUE"""),0.0)</f>
        <v>0</v>
      </c>
      <c r="AS182" s="3">
        <f>IFERROR(__xludf.DUMMYFUNCTION("""COMPUTED_VALUE"""),0.0)</f>
        <v>0</v>
      </c>
      <c r="AT182" s="3">
        <f>IFERROR(__xludf.DUMMYFUNCTION("""COMPUTED_VALUE"""),0.0)</f>
        <v>0</v>
      </c>
      <c r="AU182" s="3">
        <f>IFERROR(__xludf.DUMMYFUNCTION("""COMPUTED_VALUE"""),0.0)</f>
        <v>0</v>
      </c>
      <c r="AV182" s="3">
        <f>IFERROR(__xludf.DUMMYFUNCTION("""COMPUTED_VALUE"""),0.0)</f>
        <v>0</v>
      </c>
      <c r="AW182" s="3">
        <f>IFERROR(__xludf.DUMMYFUNCTION("""COMPUTED_VALUE"""),0.0)</f>
        <v>0</v>
      </c>
      <c r="AX182" s="3">
        <f>IFERROR(__xludf.DUMMYFUNCTION("""COMPUTED_VALUE"""),0.0)</f>
        <v>0</v>
      </c>
      <c r="AY182" s="3">
        <f>IFERROR(__xludf.DUMMYFUNCTION("""COMPUTED_VALUE"""),0.0)</f>
        <v>0</v>
      </c>
      <c r="AZ182" s="3">
        <f>IFERROR(__xludf.DUMMYFUNCTION("""COMPUTED_VALUE"""),0.0)</f>
        <v>0</v>
      </c>
      <c r="BA182" s="3">
        <f>IFERROR(__xludf.DUMMYFUNCTION("""COMPUTED_VALUE"""),0.0)</f>
        <v>0</v>
      </c>
      <c r="BB182" s="3">
        <f>IFERROR(__xludf.DUMMYFUNCTION("""COMPUTED_VALUE"""),0.0)</f>
        <v>0</v>
      </c>
      <c r="BC182" s="3">
        <f>IFERROR(__xludf.DUMMYFUNCTION("""COMPUTED_VALUE"""),0.0)</f>
        <v>0</v>
      </c>
      <c r="BD182" s="3">
        <f>IFERROR(__xludf.DUMMYFUNCTION("""COMPUTED_VALUE"""),0.0)</f>
        <v>0</v>
      </c>
      <c r="BE182" s="3">
        <f>IFERROR(__xludf.DUMMYFUNCTION("""COMPUTED_VALUE"""),0.0)</f>
        <v>0</v>
      </c>
      <c r="BF182" s="3">
        <f>IFERROR(__xludf.DUMMYFUNCTION("""COMPUTED_VALUE"""),0.0)</f>
        <v>0</v>
      </c>
      <c r="BG182" s="3">
        <f>IFERROR(__xludf.DUMMYFUNCTION("""COMPUTED_VALUE"""),13.0)</f>
        <v>13</v>
      </c>
      <c r="BH182" s="3">
        <f>IFERROR(__xludf.DUMMYFUNCTION("""COMPUTED_VALUE"""),13.0)</f>
        <v>13</v>
      </c>
      <c r="BI182" s="3">
        <f>IFERROR(__xludf.DUMMYFUNCTION("""COMPUTED_VALUE"""),13.0)</f>
        <v>13</v>
      </c>
      <c r="BJ182" s="3">
        <f>IFERROR(__xludf.DUMMYFUNCTION("""COMPUTED_VALUE"""),1.0)</f>
        <v>1</v>
      </c>
      <c r="BK182" s="3">
        <f>IFERROR(__xludf.DUMMYFUNCTION("""COMPUTED_VALUE"""),1.0)</f>
        <v>1</v>
      </c>
      <c r="BL182" s="3">
        <f>IFERROR(__xludf.DUMMYFUNCTION("""COMPUTED_VALUE"""),1.0)</f>
        <v>1</v>
      </c>
      <c r="BM182" s="3">
        <f>IFERROR(__xludf.DUMMYFUNCTION("""COMPUTED_VALUE"""),1.0)</f>
        <v>1</v>
      </c>
      <c r="BN182" s="3">
        <f>IFERROR(__xludf.DUMMYFUNCTION("""COMPUTED_VALUE"""),1.0)</f>
        <v>1</v>
      </c>
      <c r="BO182" s="3">
        <f>IFERROR(__xludf.DUMMYFUNCTION("""COMPUTED_VALUE"""),1.0)</f>
        <v>1</v>
      </c>
      <c r="BP182" s="3">
        <f>IFERROR(__xludf.DUMMYFUNCTION("""COMPUTED_VALUE"""),7.0)</f>
        <v>7</v>
      </c>
      <c r="BQ182" s="3">
        <f>IFERROR(__xludf.DUMMYFUNCTION("""COMPUTED_VALUE"""),7.0)</f>
        <v>7</v>
      </c>
      <c r="BR182" s="3">
        <f>IFERROR(__xludf.DUMMYFUNCTION("""COMPUTED_VALUE"""),7.0)</f>
        <v>7</v>
      </c>
      <c r="BS182" s="3">
        <f>IFERROR(__xludf.DUMMYFUNCTION("""COMPUTED_VALUE"""),7.0)</f>
        <v>7</v>
      </c>
      <c r="BT182" s="3">
        <f>IFERROR(__xludf.DUMMYFUNCTION("""COMPUTED_VALUE"""),7.0)</f>
        <v>7</v>
      </c>
      <c r="BU182" s="3">
        <f>IFERROR(__xludf.DUMMYFUNCTION("""COMPUTED_VALUE"""),7.0)</f>
        <v>7</v>
      </c>
      <c r="BV182" s="3">
        <f>IFERROR(__xludf.DUMMYFUNCTION("""COMPUTED_VALUE"""),7.0)</f>
        <v>7</v>
      </c>
      <c r="BW182" s="3">
        <f>IFERROR(__xludf.DUMMYFUNCTION("""COMPUTED_VALUE"""),47.0)</f>
        <v>47</v>
      </c>
      <c r="BX182" s="3">
        <f>IFERROR(__xludf.DUMMYFUNCTION("""COMPUTED_VALUE"""),56.0)</f>
        <v>56</v>
      </c>
      <c r="BY182" s="3">
        <f>IFERROR(__xludf.DUMMYFUNCTION("""COMPUTED_VALUE"""),56.0)</f>
        <v>56</v>
      </c>
      <c r="BZ182" s="3">
        <f>IFERROR(__xludf.DUMMYFUNCTION("""COMPUTED_VALUE"""),116.0)</f>
        <v>116</v>
      </c>
      <c r="CA182" s="3">
        <f>IFERROR(__xludf.DUMMYFUNCTION("""COMPUTED_VALUE"""),134.0)</f>
        <v>134</v>
      </c>
      <c r="CB182" s="3">
        <f>IFERROR(__xludf.DUMMYFUNCTION("""COMPUTED_VALUE"""),162.0)</f>
        <v>162</v>
      </c>
    </row>
    <row r="183">
      <c r="A183" s="3" t="str">
        <f>IFERROR(__xludf.DUMMYFUNCTION("""COMPUTED_VALUE"""),"")</f>
        <v/>
      </c>
      <c r="B183" s="3" t="str">
        <f>IFERROR(__xludf.DUMMYFUNCTION("""COMPUTED_VALUE"""),"Portugal")</f>
        <v>Portugal</v>
      </c>
      <c r="C183" s="3">
        <f>IFERROR(__xludf.DUMMYFUNCTION("""COMPUTED_VALUE"""),39.3999)</f>
        <v>39.3999</v>
      </c>
      <c r="D183" s="3">
        <f>IFERROR(__xludf.DUMMYFUNCTION("""COMPUTED_VALUE"""),-8.2245)</f>
        <v>-8.2245</v>
      </c>
      <c r="E183" s="3">
        <f>IFERROR(__xludf.DUMMYFUNCTION("""COMPUTED_VALUE"""),0.0)</f>
        <v>0</v>
      </c>
      <c r="F183" s="3">
        <f>IFERROR(__xludf.DUMMYFUNCTION("""COMPUTED_VALUE"""),0.0)</f>
        <v>0</v>
      </c>
      <c r="G183" s="3">
        <f>IFERROR(__xludf.DUMMYFUNCTION("""COMPUTED_VALUE"""),0.0)</f>
        <v>0</v>
      </c>
      <c r="H183" s="3">
        <f>IFERROR(__xludf.DUMMYFUNCTION("""COMPUTED_VALUE"""),0.0)</f>
        <v>0</v>
      </c>
      <c r="I183" s="3">
        <f>IFERROR(__xludf.DUMMYFUNCTION("""COMPUTED_VALUE"""),0.0)</f>
        <v>0</v>
      </c>
      <c r="J183" s="3">
        <f>IFERROR(__xludf.DUMMYFUNCTION("""COMPUTED_VALUE"""),0.0)</f>
        <v>0</v>
      </c>
      <c r="K183" s="3">
        <f>IFERROR(__xludf.DUMMYFUNCTION("""COMPUTED_VALUE"""),0.0)</f>
        <v>0</v>
      </c>
      <c r="L183" s="3">
        <f>IFERROR(__xludf.DUMMYFUNCTION("""COMPUTED_VALUE"""),0.0)</f>
        <v>0</v>
      </c>
      <c r="M183" s="3">
        <f>IFERROR(__xludf.DUMMYFUNCTION("""COMPUTED_VALUE"""),0.0)</f>
        <v>0</v>
      </c>
      <c r="N183" s="3">
        <f>IFERROR(__xludf.DUMMYFUNCTION("""COMPUTED_VALUE"""),0.0)</f>
        <v>0</v>
      </c>
      <c r="O183" s="3">
        <f>IFERROR(__xludf.DUMMYFUNCTION("""COMPUTED_VALUE"""),0.0)</f>
        <v>0</v>
      </c>
      <c r="P183" s="3">
        <f>IFERROR(__xludf.DUMMYFUNCTION("""COMPUTED_VALUE"""),0.0)</f>
        <v>0</v>
      </c>
      <c r="Q183" s="3">
        <f>IFERROR(__xludf.DUMMYFUNCTION("""COMPUTED_VALUE"""),0.0)</f>
        <v>0</v>
      </c>
      <c r="R183" s="3">
        <f>IFERROR(__xludf.DUMMYFUNCTION("""COMPUTED_VALUE"""),0.0)</f>
        <v>0</v>
      </c>
      <c r="S183" s="3">
        <f>IFERROR(__xludf.DUMMYFUNCTION("""COMPUTED_VALUE"""),0.0)</f>
        <v>0</v>
      </c>
      <c r="T183" s="3">
        <f>IFERROR(__xludf.DUMMYFUNCTION("""COMPUTED_VALUE"""),0.0)</f>
        <v>0</v>
      </c>
      <c r="U183" s="3">
        <f>IFERROR(__xludf.DUMMYFUNCTION("""COMPUTED_VALUE"""),0.0)</f>
        <v>0</v>
      </c>
      <c r="V183" s="3">
        <f>IFERROR(__xludf.DUMMYFUNCTION("""COMPUTED_VALUE"""),0.0)</f>
        <v>0</v>
      </c>
      <c r="W183" s="3">
        <f>IFERROR(__xludf.DUMMYFUNCTION("""COMPUTED_VALUE"""),0.0)</f>
        <v>0</v>
      </c>
      <c r="X183" s="3">
        <f>IFERROR(__xludf.DUMMYFUNCTION("""COMPUTED_VALUE"""),0.0)</f>
        <v>0</v>
      </c>
      <c r="Y183" s="3">
        <f>IFERROR(__xludf.DUMMYFUNCTION("""COMPUTED_VALUE"""),0.0)</f>
        <v>0</v>
      </c>
      <c r="Z183" s="3">
        <f>IFERROR(__xludf.DUMMYFUNCTION("""COMPUTED_VALUE"""),0.0)</f>
        <v>0</v>
      </c>
      <c r="AA183" s="3">
        <f>IFERROR(__xludf.DUMMYFUNCTION("""COMPUTED_VALUE"""),0.0)</f>
        <v>0</v>
      </c>
      <c r="AB183" s="3">
        <f>IFERROR(__xludf.DUMMYFUNCTION("""COMPUTED_VALUE"""),0.0)</f>
        <v>0</v>
      </c>
      <c r="AC183" s="3">
        <f>IFERROR(__xludf.DUMMYFUNCTION("""COMPUTED_VALUE"""),0.0)</f>
        <v>0</v>
      </c>
      <c r="AD183" s="3">
        <f>IFERROR(__xludf.DUMMYFUNCTION("""COMPUTED_VALUE"""),0.0)</f>
        <v>0</v>
      </c>
      <c r="AE183" s="3">
        <f>IFERROR(__xludf.DUMMYFUNCTION("""COMPUTED_VALUE"""),0.0)</f>
        <v>0</v>
      </c>
      <c r="AF183" s="3">
        <f>IFERROR(__xludf.DUMMYFUNCTION("""COMPUTED_VALUE"""),0.0)</f>
        <v>0</v>
      </c>
      <c r="AG183" s="3">
        <f>IFERROR(__xludf.DUMMYFUNCTION("""COMPUTED_VALUE"""),0.0)</f>
        <v>0</v>
      </c>
      <c r="AH183" s="3">
        <f>IFERROR(__xludf.DUMMYFUNCTION("""COMPUTED_VALUE"""),0.0)</f>
        <v>0</v>
      </c>
      <c r="AI183" s="3">
        <f>IFERROR(__xludf.DUMMYFUNCTION("""COMPUTED_VALUE"""),0.0)</f>
        <v>0</v>
      </c>
      <c r="AJ183" s="3">
        <f>IFERROR(__xludf.DUMMYFUNCTION("""COMPUTED_VALUE"""),0.0)</f>
        <v>0</v>
      </c>
      <c r="AK183" s="3">
        <f>IFERROR(__xludf.DUMMYFUNCTION("""COMPUTED_VALUE"""),0.0)</f>
        <v>0</v>
      </c>
      <c r="AL183" s="3">
        <f>IFERROR(__xludf.DUMMYFUNCTION("""COMPUTED_VALUE"""),0.0)</f>
        <v>0</v>
      </c>
      <c r="AM183" s="3">
        <f>IFERROR(__xludf.DUMMYFUNCTION("""COMPUTED_VALUE"""),0.0)</f>
        <v>0</v>
      </c>
      <c r="AN183" s="3">
        <f>IFERROR(__xludf.DUMMYFUNCTION("""COMPUTED_VALUE"""),0.0)</f>
        <v>0</v>
      </c>
      <c r="AO183" s="3">
        <f>IFERROR(__xludf.DUMMYFUNCTION("""COMPUTED_VALUE"""),0.0)</f>
        <v>0</v>
      </c>
      <c r="AP183" s="3">
        <f>IFERROR(__xludf.DUMMYFUNCTION("""COMPUTED_VALUE"""),0.0)</f>
        <v>0</v>
      </c>
      <c r="AQ183" s="3">
        <f>IFERROR(__xludf.DUMMYFUNCTION("""COMPUTED_VALUE"""),0.0)</f>
        <v>0</v>
      </c>
      <c r="AR183" s="3">
        <f>IFERROR(__xludf.DUMMYFUNCTION("""COMPUTED_VALUE"""),0.0)</f>
        <v>0</v>
      </c>
      <c r="AS183" s="3">
        <f>IFERROR(__xludf.DUMMYFUNCTION("""COMPUTED_VALUE"""),0.0)</f>
        <v>0</v>
      </c>
      <c r="AT183" s="3">
        <f>IFERROR(__xludf.DUMMYFUNCTION("""COMPUTED_VALUE"""),0.0)</f>
        <v>0</v>
      </c>
      <c r="AU183" s="3">
        <f>IFERROR(__xludf.DUMMYFUNCTION("""COMPUTED_VALUE"""),0.0)</f>
        <v>0</v>
      </c>
      <c r="AV183" s="3">
        <f>IFERROR(__xludf.DUMMYFUNCTION("""COMPUTED_VALUE"""),0.0)</f>
        <v>0</v>
      </c>
      <c r="AW183" s="3">
        <f>IFERROR(__xludf.DUMMYFUNCTION("""COMPUTED_VALUE"""),0.0)</f>
        <v>0</v>
      </c>
      <c r="AX183" s="3">
        <f>IFERROR(__xludf.DUMMYFUNCTION("""COMPUTED_VALUE"""),0.0)</f>
        <v>0</v>
      </c>
      <c r="AY183" s="3">
        <f>IFERROR(__xludf.DUMMYFUNCTION("""COMPUTED_VALUE"""),0.0)</f>
        <v>0</v>
      </c>
      <c r="AZ183" s="3">
        <f>IFERROR(__xludf.DUMMYFUNCTION("""COMPUTED_VALUE"""),0.0)</f>
        <v>0</v>
      </c>
      <c r="BA183" s="3">
        <f>IFERROR(__xludf.DUMMYFUNCTION("""COMPUTED_VALUE"""),0.0)</f>
        <v>0</v>
      </c>
      <c r="BB183" s="3">
        <f>IFERROR(__xludf.DUMMYFUNCTION("""COMPUTED_VALUE"""),0.0)</f>
        <v>0</v>
      </c>
      <c r="BC183" s="3">
        <f>IFERROR(__xludf.DUMMYFUNCTION("""COMPUTED_VALUE"""),0.0)</f>
        <v>0</v>
      </c>
      <c r="BD183" s="3">
        <f>IFERROR(__xludf.DUMMYFUNCTION("""COMPUTED_VALUE"""),1.0)</f>
        <v>1</v>
      </c>
      <c r="BE183" s="3">
        <f>IFERROR(__xludf.DUMMYFUNCTION("""COMPUTED_VALUE"""),2.0)</f>
        <v>2</v>
      </c>
      <c r="BF183" s="3">
        <f>IFERROR(__xludf.DUMMYFUNCTION("""COMPUTED_VALUE"""),2.0)</f>
        <v>2</v>
      </c>
      <c r="BG183" s="3">
        <f>IFERROR(__xludf.DUMMYFUNCTION("""COMPUTED_VALUE"""),3.0)</f>
        <v>3</v>
      </c>
      <c r="BH183" s="3">
        <f>IFERROR(__xludf.DUMMYFUNCTION("""COMPUTED_VALUE"""),3.0)</f>
        <v>3</v>
      </c>
      <c r="BI183" s="3">
        <f>IFERROR(__xludf.DUMMYFUNCTION("""COMPUTED_VALUE"""),3.0)</f>
        <v>3</v>
      </c>
      <c r="BJ183" s="3">
        <f>IFERROR(__xludf.DUMMYFUNCTION("""COMPUTED_VALUE"""),3.0)</f>
        <v>3</v>
      </c>
      <c r="BK183" s="3">
        <f>IFERROR(__xludf.DUMMYFUNCTION("""COMPUTED_VALUE"""),5.0)</f>
        <v>5</v>
      </c>
      <c r="BL183" s="3">
        <f>IFERROR(__xludf.DUMMYFUNCTION("""COMPUTED_VALUE"""),5.0)</f>
        <v>5</v>
      </c>
      <c r="BM183" s="3">
        <f>IFERROR(__xludf.DUMMYFUNCTION("""COMPUTED_VALUE"""),5.0)</f>
        <v>5</v>
      </c>
      <c r="BN183" s="3">
        <f>IFERROR(__xludf.DUMMYFUNCTION("""COMPUTED_VALUE"""),5.0)</f>
        <v>5</v>
      </c>
      <c r="BO183" s="3">
        <f>IFERROR(__xludf.DUMMYFUNCTION("""COMPUTED_VALUE"""),22.0)</f>
        <v>22</v>
      </c>
      <c r="BP183" s="3">
        <f>IFERROR(__xludf.DUMMYFUNCTION("""COMPUTED_VALUE"""),22.0)</f>
        <v>22</v>
      </c>
      <c r="BQ183" s="3">
        <f>IFERROR(__xludf.DUMMYFUNCTION("""COMPUTED_VALUE"""),43.0)</f>
        <v>43</v>
      </c>
      <c r="BR183" s="3">
        <f>IFERROR(__xludf.DUMMYFUNCTION("""COMPUTED_VALUE"""),43.0)</f>
        <v>43</v>
      </c>
      <c r="BS183" s="3">
        <f>IFERROR(__xludf.DUMMYFUNCTION("""COMPUTED_VALUE"""),43.0)</f>
        <v>43</v>
      </c>
      <c r="BT183" s="3">
        <f>IFERROR(__xludf.DUMMYFUNCTION("""COMPUTED_VALUE"""),43.0)</f>
        <v>43</v>
      </c>
      <c r="BU183" s="3">
        <f>IFERROR(__xludf.DUMMYFUNCTION("""COMPUTED_VALUE"""),43.0)</f>
        <v>43</v>
      </c>
      <c r="BV183" s="3">
        <f>IFERROR(__xludf.DUMMYFUNCTION("""COMPUTED_VALUE"""),43.0)</f>
        <v>43</v>
      </c>
      <c r="BW183" s="3">
        <f>IFERROR(__xludf.DUMMYFUNCTION("""COMPUTED_VALUE"""),43.0)</f>
        <v>43</v>
      </c>
      <c r="BX183" s="3">
        <f>IFERROR(__xludf.DUMMYFUNCTION("""COMPUTED_VALUE"""),68.0)</f>
        <v>68</v>
      </c>
      <c r="BY183" s="3">
        <f>IFERROR(__xludf.DUMMYFUNCTION("""COMPUTED_VALUE"""),68.0)</f>
        <v>68</v>
      </c>
      <c r="BZ183" s="3">
        <f>IFERROR(__xludf.DUMMYFUNCTION("""COMPUTED_VALUE"""),75.0)</f>
        <v>75</v>
      </c>
      <c r="CA183" s="3">
        <f>IFERROR(__xludf.DUMMYFUNCTION("""COMPUTED_VALUE"""),75.0)</f>
        <v>75</v>
      </c>
      <c r="CB183" s="3">
        <f>IFERROR(__xludf.DUMMYFUNCTION("""COMPUTED_VALUE"""),140.0)</f>
        <v>140</v>
      </c>
    </row>
    <row r="184">
      <c r="A184" s="3" t="str">
        <f>IFERROR(__xludf.DUMMYFUNCTION("""COMPUTED_VALUE"""),"")</f>
        <v/>
      </c>
      <c r="B184" s="3" t="str">
        <f>IFERROR(__xludf.DUMMYFUNCTION("""COMPUTED_VALUE"""),"Qatar")</f>
        <v>Qatar</v>
      </c>
      <c r="C184" s="3">
        <f>IFERROR(__xludf.DUMMYFUNCTION("""COMPUTED_VALUE"""),25.3548)</f>
        <v>25.3548</v>
      </c>
      <c r="D184" s="3">
        <f>IFERROR(__xludf.DUMMYFUNCTION("""COMPUTED_VALUE"""),51.1839)</f>
        <v>51.1839</v>
      </c>
      <c r="E184" s="3">
        <f>IFERROR(__xludf.DUMMYFUNCTION("""COMPUTED_VALUE"""),0.0)</f>
        <v>0</v>
      </c>
      <c r="F184" s="3">
        <f>IFERROR(__xludf.DUMMYFUNCTION("""COMPUTED_VALUE"""),0.0)</f>
        <v>0</v>
      </c>
      <c r="G184" s="3">
        <f>IFERROR(__xludf.DUMMYFUNCTION("""COMPUTED_VALUE"""),0.0)</f>
        <v>0</v>
      </c>
      <c r="H184" s="3">
        <f>IFERROR(__xludf.DUMMYFUNCTION("""COMPUTED_VALUE"""),0.0)</f>
        <v>0</v>
      </c>
      <c r="I184" s="3">
        <f>IFERROR(__xludf.DUMMYFUNCTION("""COMPUTED_VALUE"""),0.0)</f>
        <v>0</v>
      </c>
      <c r="J184" s="3">
        <f>IFERROR(__xludf.DUMMYFUNCTION("""COMPUTED_VALUE"""),0.0)</f>
        <v>0</v>
      </c>
      <c r="K184" s="3">
        <f>IFERROR(__xludf.DUMMYFUNCTION("""COMPUTED_VALUE"""),0.0)</f>
        <v>0</v>
      </c>
      <c r="L184" s="3">
        <f>IFERROR(__xludf.DUMMYFUNCTION("""COMPUTED_VALUE"""),0.0)</f>
        <v>0</v>
      </c>
      <c r="M184" s="3">
        <f>IFERROR(__xludf.DUMMYFUNCTION("""COMPUTED_VALUE"""),0.0)</f>
        <v>0</v>
      </c>
      <c r="N184" s="3">
        <f>IFERROR(__xludf.DUMMYFUNCTION("""COMPUTED_VALUE"""),0.0)</f>
        <v>0</v>
      </c>
      <c r="O184" s="3">
        <f>IFERROR(__xludf.DUMMYFUNCTION("""COMPUTED_VALUE"""),0.0)</f>
        <v>0</v>
      </c>
      <c r="P184" s="3">
        <f>IFERROR(__xludf.DUMMYFUNCTION("""COMPUTED_VALUE"""),0.0)</f>
        <v>0</v>
      </c>
      <c r="Q184" s="3">
        <f>IFERROR(__xludf.DUMMYFUNCTION("""COMPUTED_VALUE"""),0.0)</f>
        <v>0</v>
      </c>
      <c r="R184" s="3">
        <f>IFERROR(__xludf.DUMMYFUNCTION("""COMPUTED_VALUE"""),0.0)</f>
        <v>0</v>
      </c>
      <c r="S184" s="3">
        <f>IFERROR(__xludf.DUMMYFUNCTION("""COMPUTED_VALUE"""),0.0)</f>
        <v>0</v>
      </c>
      <c r="T184" s="3">
        <f>IFERROR(__xludf.DUMMYFUNCTION("""COMPUTED_VALUE"""),0.0)</f>
        <v>0</v>
      </c>
      <c r="U184" s="3">
        <f>IFERROR(__xludf.DUMMYFUNCTION("""COMPUTED_VALUE"""),0.0)</f>
        <v>0</v>
      </c>
      <c r="V184" s="3">
        <f>IFERROR(__xludf.DUMMYFUNCTION("""COMPUTED_VALUE"""),0.0)</f>
        <v>0</v>
      </c>
      <c r="W184" s="3">
        <f>IFERROR(__xludf.DUMMYFUNCTION("""COMPUTED_VALUE"""),0.0)</f>
        <v>0</v>
      </c>
      <c r="X184" s="3">
        <f>IFERROR(__xludf.DUMMYFUNCTION("""COMPUTED_VALUE"""),0.0)</f>
        <v>0</v>
      </c>
      <c r="Y184" s="3">
        <f>IFERROR(__xludf.DUMMYFUNCTION("""COMPUTED_VALUE"""),0.0)</f>
        <v>0</v>
      </c>
      <c r="Z184" s="3">
        <f>IFERROR(__xludf.DUMMYFUNCTION("""COMPUTED_VALUE"""),0.0)</f>
        <v>0</v>
      </c>
      <c r="AA184" s="3">
        <f>IFERROR(__xludf.DUMMYFUNCTION("""COMPUTED_VALUE"""),0.0)</f>
        <v>0</v>
      </c>
      <c r="AB184" s="3">
        <f>IFERROR(__xludf.DUMMYFUNCTION("""COMPUTED_VALUE"""),0.0)</f>
        <v>0</v>
      </c>
      <c r="AC184" s="3">
        <f>IFERROR(__xludf.DUMMYFUNCTION("""COMPUTED_VALUE"""),0.0)</f>
        <v>0</v>
      </c>
      <c r="AD184" s="3">
        <f>IFERROR(__xludf.DUMMYFUNCTION("""COMPUTED_VALUE"""),0.0)</f>
        <v>0</v>
      </c>
      <c r="AE184" s="3">
        <f>IFERROR(__xludf.DUMMYFUNCTION("""COMPUTED_VALUE"""),0.0)</f>
        <v>0</v>
      </c>
      <c r="AF184" s="3">
        <f>IFERROR(__xludf.DUMMYFUNCTION("""COMPUTED_VALUE"""),0.0)</f>
        <v>0</v>
      </c>
      <c r="AG184" s="3">
        <f>IFERROR(__xludf.DUMMYFUNCTION("""COMPUTED_VALUE"""),0.0)</f>
        <v>0</v>
      </c>
      <c r="AH184" s="3">
        <f>IFERROR(__xludf.DUMMYFUNCTION("""COMPUTED_VALUE"""),0.0)</f>
        <v>0</v>
      </c>
      <c r="AI184" s="3">
        <f>IFERROR(__xludf.DUMMYFUNCTION("""COMPUTED_VALUE"""),0.0)</f>
        <v>0</v>
      </c>
      <c r="AJ184" s="3">
        <f>IFERROR(__xludf.DUMMYFUNCTION("""COMPUTED_VALUE"""),0.0)</f>
        <v>0</v>
      </c>
      <c r="AK184" s="3">
        <f>IFERROR(__xludf.DUMMYFUNCTION("""COMPUTED_VALUE"""),0.0)</f>
        <v>0</v>
      </c>
      <c r="AL184" s="3">
        <f>IFERROR(__xludf.DUMMYFUNCTION("""COMPUTED_VALUE"""),0.0)</f>
        <v>0</v>
      </c>
      <c r="AM184" s="3">
        <f>IFERROR(__xludf.DUMMYFUNCTION("""COMPUTED_VALUE"""),0.0)</f>
        <v>0</v>
      </c>
      <c r="AN184" s="3">
        <f>IFERROR(__xludf.DUMMYFUNCTION("""COMPUTED_VALUE"""),0.0)</f>
        <v>0</v>
      </c>
      <c r="AO184" s="3">
        <f>IFERROR(__xludf.DUMMYFUNCTION("""COMPUTED_VALUE"""),0.0)</f>
        <v>0</v>
      </c>
      <c r="AP184" s="3">
        <f>IFERROR(__xludf.DUMMYFUNCTION("""COMPUTED_VALUE"""),0.0)</f>
        <v>0</v>
      </c>
      <c r="AQ184" s="3">
        <f>IFERROR(__xludf.DUMMYFUNCTION("""COMPUTED_VALUE"""),0.0)</f>
        <v>0</v>
      </c>
      <c r="AR184" s="3">
        <f>IFERROR(__xludf.DUMMYFUNCTION("""COMPUTED_VALUE"""),0.0)</f>
        <v>0</v>
      </c>
      <c r="AS184" s="3">
        <f>IFERROR(__xludf.DUMMYFUNCTION("""COMPUTED_VALUE"""),0.0)</f>
        <v>0</v>
      </c>
      <c r="AT184" s="3">
        <f>IFERROR(__xludf.DUMMYFUNCTION("""COMPUTED_VALUE"""),0.0)</f>
        <v>0</v>
      </c>
      <c r="AU184" s="3">
        <f>IFERROR(__xludf.DUMMYFUNCTION("""COMPUTED_VALUE"""),0.0)</f>
        <v>0</v>
      </c>
      <c r="AV184" s="3">
        <f>IFERROR(__xludf.DUMMYFUNCTION("""COMPUTED_VALUE"""),0.0)</f>
        <v>0</v>
      </c>
      <c r="AW184" s="3">
        <f>IFERROR(__xludf.DUMMYFUNCTION("""COMPUTED_VALUE"""),0.0)</f>
        <v>0</v>
      </c>
      <c r="AX184" s="3">
        <f>IFERROR(__xludf.DUMMYFUNCTION("""COMPUTED_VALUE"""),0.0)</f>
        <v>0</v>
      </c>
      <c r="AY184" s="3">
        <f>IFERROR(__xludf.DUMMYFUNCTION("""COMPUTED_VALUE"""),0.0)</f>
        <v>0</v>
      </c>
      <c r="AZ184" s="3">
        <f>IFERROR(__xludf.DUMMYFUNCTION("""COMPUTED_VALUE"""),0.0)</f>
        <v>0</v>
      </c>
      <c r="BA184" s="3">
        <f>IFERROR(__xludf.DUMMYFUNCTION("""COMPUTED_VALUE"""),0.0)</f>
        <v>0</v>
      </c>
      <c r="BB184" s="3">
        <f>IFERROR(__xludf.DUMMYFUNCTION("""COMPUTED_VALUE"""),0.0)</f>
        <v>0</v>
      </c>
      <c r="BC184" s="3">
        <f>IFERROR(__xludf.DUMMYFUNCTION("""COMPUTED_VALUE"""),0.0)</f>
        <v>0</v>
      </c>
      <c r="BD184" s="3">
        <f>IFERROR(__xludf.DUMMYFUNCTION("""COMPUTED_VALUE"""),0.0)</f>
        <v>0</v>
      </c>
      <c r="BE184" s="3">
        <f>IFERROR(__xludf.DUMMYFUNCTION("""COMPUTED_VALUE"""),4.0)</f>
        <v>4</v>
      </c>
      <c r="BF184" s="3">
        <f>IFERROR(__xludf.DUMMYFUNCTION("""COMPUTED_VALUE"""),4.0)</f>
        <v>4</v>
      </c>
      <c r="BG184" s="3">
        <f>IFERROR(__xludf.DUMMYFUNCTION("""COMPUTED_VALUE"""),4.0)</f>
        <v>4</v>
      </c>
      <c r="BH184" s="3">
        <f>IFERROR(__xludf.DUMMYFUNCTION("""COMPUTED_VALUE"""),4.0)</f>
        <v>4</v>
      </c>
      <c r="BI184" s="3">
        <f>IFERROR(__xludf.DUMMYFUNCTION("""COMPUTED_VALUE"""),4.0)</f>
        <v>4</v>
      </c>
      <c r="BJ184" s="3">
        <f>IFERROR(__xludf.DUMMYFUNCTION("""COMPUTED_VALUE"""),4.0)</f>
        <v>4</v>
      </c>
      <c r="BK184" s="3">
        <f>IFERROR(__xludf.DUMMYFUNCTION("""COMPUTED_VALUE"""),10.0)</f>
        <v>10</v>
      </c>
      <c r="BL184" s="3">
        <f>IFERROR(__xludf.DUMMYFUNCTION("""COMPUTED_VALUE"""),27.0)</f>
        <v>27</v>
      </c>
      <c r="BM184" s="3">
        <f>IFERROR(__xludf.DUMMYFUNCTION("""COMPUTED_VALUE"""),33.0)</f>
        <v>33</v>
      </c>
      <c r="BN184" s="3">
        <f>IFERROR(__xludf.DUMMYFUNCTION("""COMPUTED_VALUE"""),33.0)</f>
        <v>33</v>
      </c>
      <c r="BO184" s="3">
        <f>IFERROR(__xludf.DUMMYFUNCTION("""COMPUTED_VALUE"""),41.0)</f>
        <v>41</v>
      </c>
      <c r="BP184" s="3">
        <f>IFERROR(__xludf.DUMMYFUNCTION("""COMPUTED_VALUE"""),41.0)</f>
        <v>41</v>
      </c>
      <c r="BQ184" s="3">
        <f>IFERROR(__xludf.DUMMYFUNCTION("""COMPUTED_VALUE"""),43.0)</f>
        <v>43</v>
      </c>
      <c r="BR184" s="3">
        <f>IFERROR(__xludf.DUMMYFUNCTION("""COMPUTED_VALUE"""),43.0)</f>
        <v>43</v>
      </c>
      <c r="BS184" s="3">
        <f>IFERROR(__xludf.DUMMYFUNCTION("""COMPUTED_VALUE"""),45.0)</f>
        <v>45</v>
      </c>
      <c r="BT184" s="3">
        <f>IFERROR(__xludf.DUMMYFUNCTION("""COMPUTED_VALUE"""),48.0)</f>
        <v>48</v>
      </c>
      <c r="BU184" s="3">
        <f>IFERROR(__xludf.DUMMYFUNCTION("""COMPUTED_VALUE"""),51.0)</f>
        <v>51</v>
      </c>
      <c r="BV184" s="3">
        <f>IFERROR(__xludf.DUMMYFUNCTION("""COMPUTED_VALUE"""),62.0)</f>
        <v>62</v>
      </c>
      <c r="BW184" s="3">
        <f>IFERROR(__xludf.DUMMYFUNCTION("""COMPUTED_VALUE"""),71.0)</f>
        <v>71</v>
      </c>
      <c r="BX184" s="3">
        <f>IFERROR(__xludf.DUMMYFUNCTION("""COMPUTED_VALUE"""),72.0)</f>
        <v>72</v>
      </c>
      <c r="BY184" s="3">
        <f>IFERROR(__xludf.DUMMYFUNCTION("""COMPUTED_VALUE"""),93.0)</f>
        <v>93</v>
      </c>
      <c r="BZ184" s="3">
        <f>IFERROR(__xludf.DUMMYFUNCTION("""COMPUTED_VALUE"""),109.0)</f>
        <v>109</v>
      </c>
      <c r="CA184" s="3">
        <f>IFERROR(__xludf.DUMMYFUNCTION("""COMPUTED_VALUE"""),123.0)</f>
        <v>123</v>
      </c>
      <c r="CB184" s="3">
        <f>IFERROR(__xludf.DUMMYFUNCTION("""COMPUTED_VALUE"""),131.0)</f>
        <v>131</v>
      </c>
    </row>
    <row r="185">
      <c r="A185" s="3" t="str">
        <f>IFERROR(__xludf.DUMMYFUNCTION("""COMPUTED_VALUE"""),"")</f>
        <v/>
      </c>
      <c r="B185" s="3" t="str">
        <f>IFERROR(__xludf.DUMMYFUNCTION("""COMPUTED_VALUE"""),"Romania")</f>
        <v>Romania</v>
      </c>
      <c r="C185" s="3">
        <f>IFERROR(__xludf.DUMMYFUNCTION("""COMPUTED_VALUE"""),45.9432)</f>
        <v>45.9432</v>
      </c>
      <c r="D185" s="3">
        <f>IFERROR(__xludf.DUMMYFUNCTION("""COMPUTED_VALUE"""),24.9668)</f>
        <v>24.9668</v>
      </c>
      <c r="E185" s="3">
        <f>IFERROR(__xludf.DUMMYFUNCTION("""COMPUTED_VALUE"""),0.0)</f>
        <v>0</v>
      </c>
      <c r="F185" s="3">
        <f>IFERROR(__xludf.DUMMYFUNCTION("""COMPUTED_VALUE"""),0.0)</f>
        <v>0</v>
      </c>
      <c r="G185" s="3">
        <f>IFERROR(__xludf.DUMMYFUNCTION("""COMPUTED_VALUE"""),0.0)</f>
        <v>0</v>
      </c>
      <c r="H185" s="3">
        <f>IFERROR(__xludf.DUMMYFUNCTION("""COMPUTED_VALUE"""),0.0)</f>
        <v>0</v>
      </c>
      <c r="I185" s="3">
        <f>IFERROR(__xludf.DUMMYFUNCTION("""COMPUTED_VALUE"""),0.0)</f>
        <v>0</v>
      </c>
      <c r="J185" s="3">
        <f>IFERROR(__xludf.DUMMYFUNCTION("""COMPUTED_VALUE"""),0.0)</f>
        <v>0</v>
      </c>
      <c r="K185" s="3">
        <f>IFERROR(__xludf.DUMMYFUNCTION("""COMPUTED_VALUE"""),0.0)</f>
        <v>0</v>
      </c>
      <c r="L185" s="3">
        <f>IFERROR(__xludf.DUMMYFUNCTION("""COMPUTED_VALUE"""),0.0)</f>
        <v>0</v>
      </c>
      <c r="M185" s="3">
        <f>IFERROR(__xludf.DUMMYFUNCTION("""COMPUTED_VALUE"""),0.0)</f>
        <v>0</v>
      </c>
      <c r="N185" s="3">
        <f>IFERROR(__xludf.DUMMYFUNCTION("""COMPUTED_VALUE"""),0.0)</f>
        <v>0</v>
      </c>
      <c r="O185" s="3">
        <f>IFERROR(__xludf.DUMMYFUNCTION("""COMPUTED_VALUE"""),0.0)</f>
        <v>0</v>
      </c>
      <c r="P185" s="3">
        <f>IFERROR(__xludf.DUMMYFUNCTION("""COMPUTED_VALUE"""),0.0)</f>
        <v>0</v>
      </c>
      <c r="Q185" s="3">
        <f>IFERROR(__xludf.DUMMYFUNCTION("""COMPUTED_VALUE"""),0.0)</f>
        <v>0</v>
      </c>
      <c r="R185" s="3">
        <f>IFERROR(__xludf.DUMMYFUNCTION("""COMPUTED_VALUE"""),0.0)</f>
        <v>0</v>
      </c>
      <c r="S185" s="3">
        <f>IFERROR(__xludf.DUMMYFUNCTION("""COMPUTED_VALUE"""),0.0)</f>
        <v>0</v>
      </c>
      <c r="T185" s="3">
        <f>IFERROR(__xludf.DUMMYFUNCTION("""COMPUTED_VALUE"""),0.0)</f>
        <v>0</v>
      </c>
      <c r="U185" s="3">
        <f>IFERROR(__xludf.DUMMYFUNCTION("""COMPUTED_VALUE"""),0.0)</f>
        <v>0</v>
      </c>
      <c r="V185" s="3">
        <f>IFERROR(__xludf.DUMMYFUNCTION("""COMPUTED_VALUE"""),0.0)</f>
        <v>0</v>
      </c>
      <c r="W185" s="3">
        <f>IFERROR(__xludf.DUMMYFUNCTION("""COMPUTED_VALUE"""),0.0)</f>
        <v>0</v>
      </c>
      <c r="X185" s="3">
        <f>IFERROR(__xludf.DUMMYFUNCTION("""COMPUTED_VALUE"""),0.0)</f>
        <v>0</v>
      </c>
      <c r="Y185" s="3">
        <f>IFERROR(__xludf.DUMMYFUNCTION("""COMPUTED_VALUE"""),0.0)</f>
        <v>0</v>
      </c>
      <c r="Z185" s="3">
        <f>IFERROR(__xludf.DUMMYFUNCTION("""COMPUTED_VALUE"""),0.0)</f>
        <v>0</v>
      </c>
      <c r="AA185" s="3">
        <f>IFERROR(__xludf.DUMMYFUNCTION("""COMPUTED_VALUE"""),0.0)</f>
        <v>0</v>
      </c>
      <c r="AB185" s="3">
        <f>IFERROR(__xludf.DUMMYFUNCTION("""COMPUTED_VALUE"""),0.0)</f>
        <v>0</v>
      </c>
      <c r="AC185" s="3">
        <f>IFERROR(__xludf.DUMMYFUNCTION("""COMPUTED_VALUE"""),0.0)</f>
        <v>0</v>
      </c>
      <c r="AD185" s="3">
        <f>IFERROR(__xludf.DUMMYFUNCTION("""COMPUTED_VALUE"""),0.0)</f>
        <v>0</v>
      </c>
      <c r="AE185" s="3">
        <f>IFERROR(__xludf.DUMMYFUNCTION("""COMPUTED_VALUE"""),0.0)</f>
        <v>0</v>
      </c>
      <c r="AF185" s="3">
        <f>IFERROR(__xludf.DUMMYFUNCTION("""COMPUTED_VALUE"""),0.0)</f>
        <v>0</v>
      </c>
      <c r="AG185" s="3">
        <f>IFERROR(__xludf.DUMMYFUNCTION("""COMPUTED_VALUE"""),0.0)</f>
        <v>0</v>
      </c>
      <c r="AH185" s="3">
        <f>IFERROR(__xludf.DUMMYFUNCTION("""COMPUTED_VALUE"""),0.0)</f>
        <v>0</v>
      </c>
      <c r="AI185" s="3">
        <f>IFERROR(__xludf.DUMMYFUNCTION("""COMPUTED_VALUE"""),0.0)</f>
        <v>0</v>
      </c>
      <c r="AJ185" s="3">
        <f>IFERROR(__xludf.DUMMYFUNCTION("""COMPUTED_VALUE"""),0.0)</f>
        <v>0</v>
      </c>
      <c r="AK185" s="3">
        <f>IFERROR(__xludf.DUMMYFUNCTION("""COMPUTED_VALUE"""),0.0)</f>
        <v>0</v>
      </c>
      <c r="AL185" s="3">
        <f>IFERROR(__xludf.DUMMYFUNCTION("""COMPUTED_VALUE"""),0.0)</f>
        <v>0</v>
      </c>
      <c r="AM185" s="3">
        <f>IFERROR(__xludf.DUMMYFUNCTION("""COMPUTED_VALUE"""),0.0)</f>
        <v>0</v>
      </c>
      <c r="AN185" s="3">
        <f>IFERROR(__xludf.DUMMYFUNCTION("""COMPUTED_VALUE"""),0.0)</f>
        <v>0</v>
      </c>
      <c r="AO185" s="3">
        <f>IFERROR(__xludf.DUMMYFUNCTION("""COMPUTED_VALUE"""),0.0)</f>
        <v>0</v>
      </c>
      <c r="AP185" s="3">
        <f>IFERROR(__xludf.DUMMYFUNCTION("""COMPUTED_VALUE"""),0.0)</f>
        <v>0</v>
      </c>
      <c r="AQ185" s="3">
        <f>IFERROR(__xludf.DUMMYFUNCTION("""COMPUTED_VALUE"""),0.0)</f>
        <v>0</v>
      </c>
      <c r="AR185" s="3">
        <f>IFERROR(__xludf.DUMMYFUNCTION("""COMPUTED_VALUE"""),0.0)</f>
        <v>0</v>
      </c>
      <c r="AS185" s="3">
        <f>IFERROR(__xludf.DUMMYFUNCTION("""COMPUTED_VALUE"""),0.0)</f>
        <v>0</v>
      </c>
      <c r="AT185" s="3">
        <f>IFERROR(__xludf.DUMMYFUNCTION("""COMPUTED_VALUE"""),0.0)</f>
        <v>0</v>
      </c>
      <c r="AU185" s="3">
        <f>IFERROR(__xludf.DUMMYFUNCTION("""COMPUTED_VALUE"""),1.0)</f>
        <v>1</v>
      </c>
      <c r="AV185" s="3">
        <f>IFERROR(__xludf.DUMMYFUNCTION("""COMPUTED_VALUE"""),1.0)</f>
        <v>1</v>
      </c>
      <c r="AW185" s="3">
        <f>IFERROR(__xludf.DUMMYFUNCTION("""COMPUTED_VALUE"""),1.0)</f>
        <v>1</v>
      </c>
      <c r="AX185" s="3">
        <f>IFERROR(__xludf.DUMMYFUNCTION("""COMPUTED_VALUE"""),3.0)</f>
        <v>3</v>
      </c>
      <c r="AY185" s="3">
        <f>IFERROR(__xludf.DUMMYFUNCTION("""COMPUTED_VALUE"""),3.0)</f>
        <v>3</v>
      </c>
      <c r="AZ185" s="3">
        <f>IFERROR(__xludf.DUMMYFUNCTION("""COMPUTED_VALUE"""),3.0)</f>
        <v>3</v>
      </c>
      <c r="BA185" s="3">
        <f>IFERROR(__xludf.DUMMYFUNCTION("""COMPUTED_VALUE"""),3.0)</f>
        <v>3</v>
      </c>
      <c r="BB185" s="3">
        <f>IFERROR(__xludf.DUMMYFUNCTION("""COMPUTED_VALUE"""),6.0)</f>
        <v>6</v>
      </c>
      <c r="BC185" s="3">
        <f>IFERROR(__xludf.DUMMYFUNCTION("""COMPUTED_VALUE"""),6.0)</f>
        <v>6</v>
      </c>
      <c r="BD185" s="3">
        <f>IFERROR(__xludf.DUMMYFUNCTION("""COMPUTED_VALUE"""),7.0)</f>
        <v>7</v>
      </c>
      <c r="BE185" s="3">
        <f>IFERROR(__xludf.DUMMYFUNCTION("""COMPUTED_VALUE"""),9.0)</f>
        <v>9</v>
      </c>
      <c r="BF185" s="3">
        <f>IFERROR(__xludf.DUMMYFUNCTION("""COMPUTED_VALUE"""),9.0)</f>
        <v>9</v>
      </c>
      <c r="BG185" s="3">
        <f>IFERROR(__xludf.DUMMYFUNCTION("""COMPUTED_VALUE"""),9.0)</f>
        <v>9</v>
      </c>
      <c r="BH185" s="3">
        <f>IFERROR(__xludf.DUMMYFUNCTION("""COMPUTED_VALUE"""),16.0)</f>
        <v>16</v>
      </c>
      <c r="BI185" s="3">
        <f>IFERROR(__xludf.DUMMYFUNCTION("""COMPUTED_VALUE"""),19.0)</f>
        <v>19</v>
      </c>
      <c r="BJ185" s="3">
        <f>IFERROR(__xludf.DUMMYFUNCTION("""COMPUTED_VALUE"""),25.0)</f>
        <v>25</v>
      </c>
      <c r="BK185" s="3">
        <f>IFERROR(__xludf.DUMMYFUNCTION("""COMPUTED_VALUE"""),25.0)</f>
        <v>25</v>
      </c>
      <c r="BL185" s="3">
        <f>IFERROR(__xludf.DUMMYFUNCTION("""COMPUTED_VALUE"""),52.0)</f>
        <v>52</v>
      </c>
      <c r="BM185" s="3">
        <f>IFERROR(__xludf.DUMMYFUNCTION("""COMPUTED_VALUE"""),64.0)</f>
        <v>64</v>
      </c>
      <c r="BN185" s="3">
        <f>IFERROR(__xludf.DUMMYFUNCTION("""COMPUTED_VALUE"""),64.0)</f>
        <v>64</v>
      </c>
      <c r="BO185" s="3">
        <f>IFERROR(__xludf.DUMMYFUNCTION("""COMPUTED_VALUE"""),79.0)</f>
        <v>79</v>
      </c>
      <c r="BP185" s="3">
        <f>IFERROR(__xludf.DUMMYFUNCTION("""COMPUTED_VALUE"""),86.0)</f>
        <v>86</v>
      </c>
      <c r="BQ185" s="3">
        <f>IFERROR(__xludf.DUMMYFUNCTION("""COMPUTED_VALUE"""),94.0)</f>
        <v>94</v>
      </c>
      <c r="BR185" s="3">
        <f>IFERROR(__xludf.DUMMYFUNCTION("""COMPUTED_VALUE"""),115.0)</f>
        <v>115</v>
      </c>
      <c r="BS185" s="3">
        <f>IFERROR(__xludf.DUMMYFUNCTION("""COMPUTED_VALUE"""),139.0)</f>
        <v>139</v>
      </c>
      <c r="BT185" s="3">
        <f>IFERROR(__xludf.DUMMYFUNCTION("""COMPUTED_VALUE"""),206.0)</f>
        <v>206</v>
      </c>
      <c r="BU185" s="3">
        <f>IFERROR(__xludf.DUMMYFUNCTION("""COMPUTED_VALUE"""),209.0)</f>
        <v>209</v>
      </c>
      <c r="BV185" s="3">
        <f>IFERROR(__xludf.DUMMYFUNCTION("""COMPUTED_VALUE"""),220.0)</f>
        <v>220</v>
      </c>
      <c r="BW185" s="3">
        <f>IFERROR(__xludf.DUMMYFUNCTION("""COMPUTED_VALUE"""),252.0)</f>
        <v>252</v>
      </c>
      <c r="BX185" s="3">
        <f>IFERROR(__xludf.DUMMYFUNCTION("""COMPUTED_VALUE"""),267.0)</f>
        <v>267</v>
      </c>
      <c r="BY185" s="3">
        <f>IFERROR(__xludf.DUMMYFUNCTION("""COMPUTED_VALUE"""),283.0)</f>
        <v>283</v>
      </c>
      <c r="BZ185" s="3">
        <f>IFERROR(__xludf.DUMMYFUNCTION("""COMPUTED_VALUE"""),329.0)</f>
        <v>329</v>
      </c>
      <c r="CA185" s="3">
        <f>IFERROR(__xludf.DUMMYFUNCTION("""COMPUTED_VALUE"""),374.0)</f>
        <v>374</v>
      </c>
      <c r="CB185" s="3">
        <f>IFERROR(__xludf.DUMMYFUNCTION("""COMPUTED_VALUE"""),406.0)</f>
        <v>406</v>
      </c>
    </row>
    <row r="186">
      <c r="A186" s="3" t="str">
        <f>IFERROR(__xludf.DUMMYFUNCTION("""COMPUTED_VALUE"""),"")</f>
        <v/>
      </c>
      <c r="B186" s="3" t="str">
        <f>IFERROR(__xludf.DUMMYFUNCTION("""COMPUTED_VALUE"""),"Russia")</f>
        <v>Russia</v>
      </c>
      <c r="C186" s="3">
        <f>IFERROR(__xludf.DUMMYFUNCTION("""COMPUTED_VALUE"""),60.0)</f>
        <v>60</v>
      </c>
      <c r="D186" s="3">
        <f>IFERROR(__xludf.DUMMYFUNCTION("""COMPUTED_VALUE"""),90.0)</f>
        <v>90</v>
      </c>
      <c r="E186" s="3">
        <f>IFERROR(__xludf.DUMMYFUNCTION("""COMPUTED_VALUE"""),0.0)</f>
        <v>0</v>
      </c>
      <c r="F186" s="3">
        <f>IFERROR(__xludf.DUMMYFUNCTION("""COMPUTED_VALUE"""),0.0)</f>
        <v>0</v>
      </c>
      <c r="G186" s="3">
        <f>IFERROR(__xludf.DUMMYFUNCTION("""COMPUTED_VALUE"""),0.0)</f>
        <v>0</v>
      </c>
      <c r="H186" s="3">
        <f>IFERROR(__xludf.DUMMYFUNCTION("""COMPUTED_VALUE"""),0.0)</f>
        <v>0</v>
      </c>
      <c r="I186" s="3">
        <f>IFERROR(__xludf.DUMMYFUNCTION("""COMPUTED_VALUE"""),0.0)</f>
        <v>0</v>
      </c>
      <c r="J186" s="3">
        <f>IFERROR(__xludf.DUMMYFUNCTION("""COMPUTED_VALUE"""),0.0)</f>
        <v>0</v>
      </c>
      <c r="K186" s="3">
        <f>IFERROR(__xludf.DUMMYFUNCTION("""COMPUTED_VALUE"""),0.0)</f>
        <v>0</v>
      </c>
      <c r="L186" s="3">
        <f>IFERROR(__xludf.DUMMYFUNCTION("""COMPUTED_VALUE"""),0.0)</f>
        <v>0</v>
      </c>
      <c r="M186" s="3">
        <f>IFERROR(__xludf.DUMMYFUNCTION("""COMPUTED_VALUE"""),0.0)</f>
        <v>0</v>
      </c>
      <c r="N186" s="3">
        <f>IFERROR(__xludf.DUMMYFUNCTION("""COMPUTED_VALUE"""),0.0)</f>
        <v>0</v>
      </c>
      <c r="O186" s="3">
        <f>IFERROR(__xludf.DUMMYFUNCTION("""COMPUTED_VALUE"""),0.0)</f>
        <v>0</v>
      </c>
      <c r="P186" s="3">
        <f>IFERROR(__xludf.DUMMYFUNCTION("""COMPUTED_VALUE"""),0.0)</f>
        <v>0</v>
      </c>
      <c r="Q186" s="3">
        <f>IFERROR(__xludf.DUMMYFUNCTION("""COMPUTED_VALUE"""),0.0)</f>
        <v>0</v>
      </c>
      <c r="R186" s="3">
        <f>IFERROR(__xludf.DUMMYFUNCTION("""COMPUTED_VALUE"""),0.0)</f>
        <v>0</v>
      </c>
      <c r="S186" s="3">
        <f>IFERROR(__xludf.DUMMYFUNCTION("""COMPUTED_VALUE"""),0.0)</f>
        <v>0</v>
      </c>
      <c r="T186" s="3">
        <f>IFERROR(__xludf.DUMMYFUNCTION("""COMPUTED_VALUE"""),0.0)</f>
        <v>0</v>
      </c>
      <c r="U186" s="3">
        <f>IFERROR(__xludf.DUMMYFUNCTION("""COMPUTED_VALUE"""),0.0)</f>
        <v>0</v>
      </c>
      <c r="V186" s="3">
        <f>IFERROR(__xludf.DUMMYFUNCTION("""COMPUTED_VALUE"""),0.0)</f>
        <v>0</v>
      </c>
      <c r="W186" s="3">
        <f>IFERROR(__xludf.DUMMYFUNCTION("""COMPUTED_VALUE"""),0.0)</f>
        <v>0</v>
      </c>
      <c r="X186" s="3">
        <f>IFERROR(__xludf.DUMMYFUNCTION("""COMPUTED_VALUE"""),0.0)</f>
        <v>0</v>
      </c>
      <c r="Y186" s="3">
        <f>IFERROR(__xludf.DUMMYFUNCTION("""COMPUTED_VALUE"""),0.0)</f>
        <v>0</v>
      </c>
      <c r="Z186" s="3">
        <f>IFERROR(__xludf.DUMMYFUNCTION("""COMPUTED_VALUE"""),2.0)</f>
        <v>2</v>
      </c>
      <c r="AA186" s="3">
        <f>IFERROR(__xludf.DUMMYFUNCTION("""COMPUTED_VALUE"""),2.0)</f>
        <v>2</v>
      </c>
      <c r="AB186" s="3">
        <f>IFERROR(__xludf.DUMMYFUNCTION("""COMPUTED_VALUE"""),2.0)</f>
        <v>2</v>
      </c>
      <c r="AC186" s="3">
        <f>IFERROR(__xludf.DUMMYFUNCTION("""COMPUTED_VALUE"""),2.0)</f>
        <v>2</v>
      </c>
      <c r="AD186" s="3">
        <f>IFERROR(__xludf.DUMMYFUNCTION("""COMPUTED_VALUE"""),2.0)</f>
        <v>2</v>
      </c>
      <c r="AE186" s="3">
        <f>IFERROR(__xludf.DUMMYFUNCTION("""COMPUTED_VALUE"""),2.0)</f>
        <v>2</v>
      </c>
      <c r="AF186" s="3">
        <f>IFERROR(__xludf.DUMMYFUNCTION("""COMPUTED_VALUE"""),2.0)</f>
        <v>2</v>
      </c>
      <c r="AG186" s="3">
        <f>IFERROR(__xludf.DUMMYFUNCTION("""COMPUTED_VALUE"""),2.0)</f>
        <v>2</v>
      </c>
      <c r="AH186" s="3">
        <f>IFERROR(__xludf.DUMMYFUNCTION("""COMPUTED_VALUE"""),2.0)</f>
        <v>2</v>
      </c>
      <c r="AI186" s="3">
        <f>IFERROR(__xludf.DUMMYFUNCTION("""COMPUTED_VALUE"""),2.0)</f>
        <v>2</v>
      </c>
      <c r="AJ186" s="3">
        <f>IFERROR(__xludf.DUMMYFUNCTION("""COMPUTED_VALUE"""),2.0)</f>
        <v>2</v>
      </c>
      <c r="AK186" s="3">
        <f>IFERROR(__xludf.DUMMYFUNCTION("""COMPUTED_VALUE"""),2.0)</f>
        <v>2</v>
      </c>
      <c r="AL186" s="3">
        <f>IFERROR(__xludf.DUMMYFUNCTION("""COMPUTED_VALUE"""),2.0)</f>
        <v>2</v>
      </c>
      <c r="AM186" s="3">
        <f>IFERROR(__xludf.DUMMYFUNCTION("""COMPUTED_VALUE"""),2.0)</f>
        <v>2</v>
      </c>
      <c r="AN186" s="3">
        <f>IFERROR(__xludf.DUMMYFUNCTION("""COMPUTED_VALUE"""),2.0)</f>
        <v>2</v>
      </c>
      <c r="AO186" s="3">
        <f>IFERROR(__xludf.DUMMYFUNCTION("""COMPUTED_VALUE"""),2.0)</f>
        <v>2</v>
      </c>
      <c r="AP186" s="3">
        <f>IFERROR(__xludf.DUMMYFUNCTION("""COMPUTED_VALUE"""),2.0)</f>
        <v>2</v>
      </c>
      <c r="AQ186" s="3">
        <f>IFERROR(__xludf.DUMMYFUNCTION("""COMPUTED_VALUE"""),2.0)</f>
        <v>2</v>
      </c>
      <c r="AR186" s="3">
        <f>IFERROR(__xludf.DUMMYFUNCTION("""COMPUTED_VALUE"""),2.0)</f>
        <v>2</v>
      </c>
      <c r="AS186" s="3">
        <f>IFERROR(__xludf.DUMMYFUNCTION("""COMPUTED_VALUE"""),2.0)</f>
        <v>2</v>
      </c>
      <c r="AT186" s="3">
        <f>IFERROR(__xludf.DUMMYFUNCTION("""COMPUTED_VALUE"""),2.0)</f>
        <v>2</v>
      </c>
      <c r="AU186" s="3">
        <f>IFERROR(__xludf.DUMMYFUNCTION("""COMPUTED_VALUE"""),2.0)</f>
        <v>2</v>
      </c>
      <c r="AV186" s="3">
        <f>IFERROR(__xludf.DUMMYFUNCTION("""COMPUTED_VALUE"""),2.0)</f>
        <v>2</v>
      </c>
      <c r="AW186" s="3">
        <f>IFERROR(__xludf.DUMMYFUNCTION("""COMPUTED_VALUE"""),2.0)</f>
        <v>2</v>
      </c>
      <c r="AX186" s="3">
        <f>IFERROR(__xludf.DUMMYFUNCTION("""COMPUTED_VALUE"""),2.0)</f>
        <v>2</v>
      </c>
      <c r="AY186" s="3">
        <f>IFERROR(__xludf.DUMMYFUNCTION("""COMPUTED_VALUE"""),3.0)</f>
        <v>3</v>
      </c>
      <c r="AZ186" s="3">
        <f>IFERROR(__xludf.DUMMYFUNCTION("""COMPUTED_VALUE"""),3.0)</f>
        <v>3</v>
      </c>
      <c r="BA186" s="3">
        <f>IFERROR(__xludf.DUMMYFUNCTION("""COMPUTED_VALUE"""),3.0)</f>
        <v>3</v>
      </c>
      <c r="BB186" s="3">
        <f>IFERROR(__xludf.DUMMYFUNCTION("""COMPUTED_VALUE"""),3.0)</f>
        <v>3</v>
      </c>
      <c r="BC186" s="3">
        <f>IFERROR(__xludf.DUMMYFUNCTION("""COMPUTED_VALUE"""),3.0)</f>
        <v>3</v>
      </c>
      <c r="BD186" s="3">
        <f>IFERROR(__xludf.DUMMYFUNCTION("""COMPUTED_VALUE"""),3.0)</f>
        <v>3</v>
      </c>
      <c r="BE186" s="3">
        <f>IFERROR(__xludf.DUMMYFUNCTION("""COMPUTED_VALUE"""),8.0)</f>
        <v>8</v>
      </c>
      <c r="BF186" s="3">
        <f>IFERROR(__xludf.DUMMYFUNCTION("""COMPUTED_VALUE"""),8.0)</f>
        <v>8</v>
      </c>
      <c r="BG186" s="3">
        <f>IFERROR(__xludf.DUMMYFUNCTION("""COMPUTED_VALUE"""),8.0)</f>
        <v>8</v>
      </c>
      <c r="BH186" s="3">
        <f>IFERROR(__xludf.DUMMYFUNCTION("""COMPUTED_VALUE"""),8.0)</f>
        <v>8</v>
      </c>
      <c r="BI186" s="3">
        <f>IFERROR(__xludf.DUMMYFUNCTION("""COMPUTED_VALUE"""),8.0)</f>
        <v>8</v>
      </c>
      <c r="BJ186" s="3">
        <f>IFERROR(__xludf.DUMMYFUNCTION("""COMPUTED_VALUE"""),9.0)</f>
        <v>9</v>
      </c>
      <c r="BK186" s="3">
        <f>IFERROR(__xludf.DUMMYFUNCTION("""COMPUTED_VALUE"""),9.0)</f>
        <v>9</v>
      </c>
      <c r="BL186" s="3">
        <f>IFERROR(__xludf.DUMMYFUNCTION("""COMPUTED_VALUE"""),12.0)</f>
        <v>12</v>
      </c>
      <c r="BM186" s="3">
        <f>IFERROR(__xludf.DUMMYFUNCTION("""COMPUTED_VALUE"""),16.0)</f>
        <v>16</v>
      </c>
      <c r="BN186" s="3">
        <f>IFERROR(__xludf.DUMMYFUNCTION("""COMPUTED_VALUE"""),16.0)</f>
        <v>16</v>
      </c>
      <c r="BO186" s="3">
        <f>IFERROR(__xludf.DUMMYFUNCTION("""COMPUTED_VALUE"""),22.0)</f>
        <v>22</v>
      </c>
      <c r="BP186" s="3">
        <f>IFERROR(__xludf.DUMMYFUNCTION("""COMPUTED_VALUE"""),29.0)</f>
        <v>29</v>
      </c>
      <c r="BQ186" s="3">
        <f>IFERROR(__xludf.DUMMYFUNCTION("""COMPUTED_VALUE"""),38.0)</f>
        <v>38</v>
      </c>
      <c r="BR186" s="3">
        <f>IFERROR(__xludf.DUMMYFUNCTION("""COMPUTED_VALUE"""),45.0)</f>
        <v>45</v>
      </c>
      <c r="BS186" s="3">
        <f>IFERROR(__xludf.DUMMYFUNCTION("""COMPUTED_VALUE"""),49.0)</f>
        <v>49</v>
      </c>
      <c r="BT186" s="3">
        <f>IFERROR(__xludf.DUMMYFUNCTION("""COMPUTED_VALUE"""),64.0)</f>
        <v>64</v>
      </c>
      <c r="BU186" s="3">
        <f>IFERROR(__xludf.DUMMYFUNCTION("""COMPUTED_VALUE"""),66.0)</f>
        <v>66</v>
      </c>
      <c r="BV186" s="3">
        <f>IFERROR(__xludf.DUMMYFUNCTION("""COMPUTED_VALUE"""),121.0)</f>
        <v>121</v>
      </c>
      <c r="BW186" s="3">
        <f>IFERROR(__xludf.DUMMYFUNCTION("""COMPUTED_VALUE"""),190.0)</f>
        <v>190</v>
      </c>
      <c r="BX186" s="3">
        <f>IFERROR(__xludf.DUMMYFUNCTION("""COMPUTED_VALUE"""),235.0)</f>
        <v>235</v>
      </c>
      <c r="BY186" s="3">
        <f>IFERROR(__xludf.DUMMYFUNCTION("""COMPUTED_VALUE"""),281.0)</f>
        <v>281</v>
      </c>
      <c r="BZ186" s="3">
        <f>IFERROR(__xludf.DUMMYFUNCTION("""COMPUTED_VALUE"""),333.0)</f>
        <v>333</v>
      </c>
      <c r="CA186" s="3">
        <f>IFERROR(__xludf.DUMMYFUNCTION("""COMPUTED_VALUE"""),355.0)</f>
        <v>355</v>
      </c>
      <c r="CB186" s="3">
        <f>IFERROR(__xludf.DUMMYFUNCTION("""COMPUTED_VALUE"""),406.0)</f>
        <v>406</v>
      </c>
    </row>
    <row r="187">
      <c r="A187" s="3" t="str">
        <f>IFERROR(__xludf.DUMMYFUNCTION("""COMPUTED_VALUE"""),"")</f>
        <v/>
      </c>
      <c r="B187" s="3" t="str">
        <f>IFERROR(__xludf.DUMMYFUNCTION("""COMPUTED_VALUE"""),"Rwanda")</f>
        <v>Rwanda</v>
      </c>
      <c r="C187" s="3">
        <f>IFERROR(__xludf.DUMMYFUNCTION("""COMPUTED_VALUE"""),-1.9403)</f>
        <v>-1.9403</v>
      </c>
      <c r="D187" s="3">
        <f>IFERROR(__xludf.DUMMYFUNCTION("""COMPUTED_VALUE"""),29.8739)</f>
        <v>29.8739</v>
      </c>
      <c r="E187" s="3">
        <f>IFERROR(__xludf.DUMMYFUNCTION("""COMPUTED_VALUE"""),0.0)</f>
        <v>0</v>
      </c>
      <c r="F187" s="3">
        <f>IFERROR(__xludf.DUMMYFUNCTION("""COMPUTED_VALUE"""),0.0)</f>
        <v>0</v>
      </c>
      <c r="G187" s="3">
        <f>IFERROR(__xludf.DUMMYFUNCTION("""COMPUTED_VALUE"""),0.0)</f>
        <v>0</v>
      </c>
      <c r="H187" s="3">
        <f>IFERROR(__xludf.DUMMYFUNCTION("""COMPUTED_VALUE"""),0.0)</f>
        <v>0</v>
      </c>
      <c r="I187" s="3">
        <f>IFERROR(__xludf.DUMMYFUNCTION("""COMPUTED_VALUE"""),0.0)</f>
        <v>0</v>
      </c>
      <c r="J187" s="3">
        <f>IFERROR(__xludf.DUMMYFUNCTION("""COMPUTED_VALUE"""),0.0)</f>
        <v>0</v>
      </c>
      <c r="K187" s="3">
        <f>IFERROR(__xludf.DUMMYFUNCTION("""COMPUTED_VALUE"""),0.0)</f>
        <v>0</v>
      </c>
      <c r="L187" s="3">
        <f>IFERROR(__xludf.DUMMYFUNCTION("""COMPUTED_VALUE"""),0.0)</f>
        <v>0</v>
      </c>
      <c r="M187" s="3">
        <f>IFERROR(__xludf.DUMMYFUNCTION("""COMPUTED_VALUE"""),0.0)</f>
        <v>0</v>
      </c>
      <c r="N187" s="3">
        <f>IFERROR(__xludf.DUMMYFUNCTION("""COMPUTED_VALUE"""),0.0)</f>
        <v>0</v>
      </c>
      <c r="O187" s="3">
        <f>IFERROR(__xludf.DUMMYFUNCTION("""COMPUTED_VALUE"""),0.0)</f>
        <v>0</v>
      </c>
      <c r="P187" s="3">
        <f>IFERROR(__xludf.DUMMYFUNCTION("""COMPUTED_VALUE"""),0.0)</f>
        <v>0</v>
      </c>
      <c r="Q187" s="3">
        <f>IFERROR(__xludf.DUMMYFUNCTION("""COMPUTED_VALUE"""),0.0)</f>
        <v>0</v>
      </c>
      <c r="R187" s="3">
        <f>IFERROR(__xludf.DUMMYFUNCTION("""COMPUTED_VALUE"""),0.0)</f>
        <v>0</v>
      </c>
      <c r="S187" s="3">
        <f>IFERROR(__xludf.DUMMYFUNCTION("""COMPUTED_VALUE"""),0.0)</f>
        <v>0</v>
      </c>
      <c r="T187" s="3">
        <f>IFERROR(__xludf.DUMMYFUNCTION("""COMPUTED_VALUE"""),0.0)</f>
        <v>0</v>
      </c>
      <c r="U187" s="3">
        <f>IFERROR(__xludf.DUMMYFUNCTION("""COMPUTED_VALUE"""),0.0)</f>
        <v>0</v>
      </c>
      <c r="V187" s="3">
        <f>IFERROR(__xludf.DUMMYFUNCTION("""COMPUTED_VALUE"""),0.0)</f>
        <v>0</v>
      </c>
      <c r="W187" s="3">
        <f>IFERROR(__xludf.DUMMYFUNCTION("""COMPUTED_VALUE"""),0.0)</f>
        <v>0</v>
      </c>
      <c r="X187" s="3">
        <f>IFERROR(__xludf.DUMMYFUNCTION("""COMPUTED_VALUE"""),0.0)</f>
        <v>0</v>
      </c>
      <c r="Y187" s="3">
        <f>IFERROR(__xludf.DUMMYFUNCTION("""COMPUTED_VALUE"""),0.0)</f>
        <v>0</v>
      </c>
      <c r="Z187" s="3">
        <f>IFERROR(__xludf.DUMMYFUNCTION("""COMPUTED_VALUE"""),0.0)</f>
        <v>0</v>
      </c>
      <c r="AA187" s="3">
        <f>IFERROR(__xludf.DUMMYFUNCTION("""COMPUTED_VALUE"""),0.0)</f>
        <v>0</v>
      </c>
      <c r="AB187" s="3">
        <f>IFERROR(__xludf.DUMMYFUNCTION("""COMPUTED_VALUE"""),0.0)</f>
        <v>0</v>
      </c>
      <c r="AC187" s="3">
        <f>IFERROR(__xludf.DUMMYFUNCTION("""COMPUTED_VALUE"""),0.0)</f>
        <v>0</v>
      </c>
      <c r="AD187" s="3">
        <f>IFERROR(__xludf.DUMMYFUNCTION("""COMPUTED_VALUE"""),0.0)</f>
        <v>0</v>
      </c>
      <c r="AE187" s="3">
        <f>IFERROR(__xludf.DUMMYFUNCTION("""COMPUTED_VALUE"""),0.0)</f>
        <v>0</v>
      </c>
      <c r="AF187" s="3">
        <f>IFERROR(__xludf.DUMMYFUNCTION("""COMPUTED_VALUE"""),0.0)</f>
        <v>0</v>
      </c>
      <c r="AG187" s="3">
        <f>IFERROR(__xludf.DUMMYFUNCTION("""COMPUTED_VALUE"""),0.0)</f>
        <v>0</v>
      </c>
      <c r="AH187" s="3">
        <f>IFERROR(__xludf.DUMMYFUNCTION("""COMPUTED_VALUE"""),0.0)</f>
        <v>0</v>
      </c>
      <c r="AI187" s="3">
        <f>IFERROR(__xludf.DUMMYFUNCTION("""COMPUTED_VALUE"""),0.0)</f>
        <v>0</v>
      </c>
      <c r="AJ187" s="3">
        <f>IFERROR(__xludf.DUMMYFUNCTION("""COMPUTED_VALUE"""),0.0)</f>
        <v>0</v>
      </c>
      <c r="AK187" s="3">
        <f>IFERROR(__xludf.DUMMYFUNCTION("""COMPUTED_VALUE"""),0.0)</f>
        <v>0</v>
      </c>
      <c r="AL187" s="3">
        <f>IFERROR(__xludf.DUMMYFUNCTION("""COMPUTED_VALUE"""),0.0)</f>
        <v>0</v>
      </c>
      <c r="AM187" s="3">
        <f>IFERROR(__xludf.DUMMYFUNCTION("""COMPUTED_VALUE"""),0.0)</f>
        <v>0</v>
      </c>
      <c r="AN187" s="3">
        <f>IFERROR(__xludf.DUMMYFUNCTION("""COMPUTED_VALUE"""),0.0)</f>
        <v>0</v>
      </c>
      <c r="AO187" s="3">
        <f>IFERROR(__xludf.DUMMYFUNCTION("""COMPUTED_VALUE"""),0.0)</f>
        <v>0</v>
      </c>
      <c r="AP187" s="3">
        <f>IFERROR(__xludf.DUMMYFUNCTION("""COMPUTED_VALUE"""),0.0)</f>
        <v>0</v>
      </c>
      <c r="AQ187" s="3">
        <f>IFERROR(__xludf.DUMMYFUNCTION("""COMPUTED_VALUE"""),0.0)</f>
        <v>0</v>
      </c>
      <c r="AR187" s="3">
        <f>IFERROR(__xludf.DUMMYFUNCTION("""COMPUTED_VALUE"""),0.0)</f>
        <v>0</v>
      </c>
      <c r="AS187" s="3">
        <f>IFERROR(__xludf.DUMMYFUNCTION("""COMPUTED_VALUE"""),0.0)</f>
        <v>0</v>
      </c>
      <c r="AT187" s="3">
        <f>IFERROR(__xludf.DUMMYFUNCTION("""COMPUTED_VALUE"""),0.0)</f>
        <v>0</v>
      </c>
      <c r="AU187" s="3">
        <f>IFERROR(__xludf.DUMMYFUNCTION("""COMPUTED_VALUE"""),0.0)</f>
        <v>0</v>
      </c>
      <c r="AV187" s="3">
        <f>IFERROR(__xludf.DUMMYFUNCTION("""COMPUTED_VALUE"""),0.0)</f>
        <v>0</v>
      </c>
      <c r="AW187" s="3">
        <f>IFERROR(__xludf.DUMMYFUNCTION("""COMPUTED_VALUE"""),0.0)</f>
        <v>0</v>
      </c>
      <c r="AX187" s="3">
        <f>IFERROR(__xludf.DUMMYFUNCTION("""COMPUTED_VALUE"""),0.0)</f>
        <v>0</v>
      </c>
      <c r="AY187" s="3">
        <f>IFERROR(__xludf.DUMMYFUNCTION("""COMPUTED_VALUE"""),0.0)</f>
        <v>0</v>
      </c>
      <c r="AZ187" s="3">
        <f>IFERROR(__xludf.DUMMYFUNCTION("""COMPUTED_VALUE"""),0.0)</f>
        <v>0</v>
      </c>
      <c r="BA187" s="3">
        <f>IFERROR(__xludf.DUMMYFUNCTION("""COMPUTED_VALUE"""),0.0)</f>
        <v>0</v>
      </c>
      <c r="BB187" s="3">
        <f>IFERROR(__xludf.DUMMYFUNCTION("""COMPUTED_VALUE"""),0.0)</f>
        <v>0</v>
      </c>
      <c r="BC187" s="3">
        <f>IFERROR(__xludf.DUMMYFUNCTION("""COMPUTED_VALUE"""),0.0)</f>
        <v>0</v>
      </c>
      <c r="BD187" s="3">
        <f>IFERROR(__xludf.DUMMYFUNCTION("""COMPUTED_VALUE"""),0.0)</f>
        <v>0</v>
      </c>
      <c r="BE187" s="3">
        <f>IFERROR(__xludf.DUMMYFUNCTION("""COMPUTED_VALUE"""),0.0)</f>
        <v>0</v>
      </c>
      <c r="BF187" s="3">
        <f>IFERROR(__xludf.DUMMYFUNCTION("""COMPUTED_VALUE"""),0.0)</f>
        <v>0</v>
      </c>
      <c r="BG187" s="3">
        <f>IFERROR(__xludf.DUMMYFUNCTION("""COMPUTED_VALUE"""),0.0)</f>
        <v>0</v>
      </c>
      <c r="BH187" s="3">
        <f>IFERROR(__xludf.DUMMYFUNCTION("""COMPUTED_VALUE"""),0.0)</f>
        <v>0</v>
      </c>
      <c r="BI187" s="3">
        <f>IFERROR(__xludf.DUMMYFUNCTION("""COMPUTED_VALUE"""),0.0)</f>
        <v>0</v>
      </c>
      <c r="BJ187" s="3">
        <f>IFERROR(__xludf.DUMMYFUNCTION("""COMPUTED_VALUE"""),0.0)</f>
        <v>0</v>
      </c>
      <c r="BK187" s="3">
        <f>IFERROR(__xludf.DUMMYFUNCTION("""COMPUTED_VALUE"""),0.0)</f>
        <v>0</v>
      </c>
      <c r="BL187" s="3">
        <f>IFERROR(__xludf.DUMMYFUNCTION("""COMPUTED_VALUE"""),0.0)</f>
        <v>0</v>
      </c>
      <c r="BM187" s="3">
        <f>IFERROR(__xludf.DUMMYFUNCTION("""COMPUTED_VALUE"""),0.0)</f>
        <v>0</v>
      </c>
      <c r="BN187" s="3">
        <f>IFERROR(__xludf.DUMMYFUNCTION("""COMPUTED_VALUE"""),0.0)</f>
        <v>0</v>
      </c>
      <c r="BO187" s="3">
        <f>IFERROR(__xludf.DUMMYFUNCTION("""COMPUTED_VALUE"""),0.0)</f>
        <v>0</v>
      </c>
      <c r="BP187" s="3">
        <f>IFERROR(__xludf.DUMMYFUNCTION("""COMPUTED_VALUE"""),0.0)</f>
        <v>0</v>
      </c>
      <c r="BQ187" s="3">
        <f>IFERROR(__xludf.DUMMYFUNCTION("""COMPUTED_VALUE"""),0.0)</f>
        <v>0</v>
      </c>
      <c r="BR187" s="3">
        <f>IFERROR(__xludf.DUMMYFUNCTION("""COMPUTED_VALUE"""),0.0)</f>
        <v>0</v>
      </c>
      <c r="BS187" s="3">
        <f>IFERROR(__xludf.DUMMYFUNCTION("""COMPUTED_VALUE"""),0.0)</f>
        <v>0</v>
      </c>
      <c r="BT187" s="3">
        <f>IFERROR(__xludf.DUMMYFUNCTION("""COMPUTED_VALUE"""),0.0)</f>
        <v>0</v>
      </c>
      <c r="BU187" s="3">
        <f>IFERROR(__xludf.DUMMYFUNCTION("""COMPUTED_VALUE"""),0.0)</f>
        <v>0</v>
      </c>
      <c r="BV187" s="3">
        <f>IFERROR(__xludf.DUMMYFUNCTION("""COMPUTED_VALUE"""),0.0)</f>
        <v>0</v>
      </c>
      <c r="BW187" s="3">
        <f>IFERROR(__xludf.DUMMYFUNCTION("""COMPUTED_VALUE"""),0.0)</f>
        <v>0</v>
      </c>
      <c r="BX187" s="3">
        <f>IFERROR(__xludf.DUMMYFUNCTION("""COMPUTED_VALUE"""),0.0)</f>
        <v>0</v>
      </c>
      <c r="BY187" s="3">
        <f>IFERROR(__xludf.DUMMYFUNCTION("""COMPUTED_VALUE"""),0.0)</f>
        <v>0</v>
      </c>
      <c r="BZ187" s="3">
        <f>IFERROR(__xludf.DUMMYFUNCTION("""COMPUTED_VALUE"""),0.0)</f>
        <v>0</v>
      </c>
      <c r="CA187" s="3">
        <f>IFERROR(__xludf.DUMMYFUNCTION("""COMPUTED_VALUE"""),4.0)</f>
        <v>4</v>
      </c>
      <c r="CB187" s="3">
        <f>IFERROR(__xludf.DUMMYFUNCTION("""COMPUTED_VALUE"""),4.0)</f>
        <v>4</v>
      </c>
    </row>
    <row r="188">
      <c r="A188" s="3" t="str">
        <f>IFERROR(__xludf.DUMMYFUNCTION("""COMPUTED_VALUE"""),"")</f>
        <v/>
      </c>
      <c r="B188" s="3" t="str">
        <f>IFERROR(__xludf.DUMMYFUNCTION("""COMPUTED_VALUE"""),"Saint Kitts and Nevis")</f>
        <v>Saint Kitts and Nevis</v>
      </c>
      <c r="C188" s="3">
        <f>IFERROR(__xludf.DUMMYFUNCTION("""COMPUTED_VALUE"""),17.357822)</f>
        <v>17.357822</v>
      </c>
      <c r="D188" s="3">
        <f>IFERROR(__xludf.DUMMYFUNCTION("""COMPUTED_VALUE"""),-62.782998)</f>
        <v>-62.782998</v>
      </c>
      <c r="E188" s="3">
        <f>IFERROR(__xludf.DUMMYFUNCTION("""COMPUTED_VALUE"""),0.0)</f>
        <v>0</v>
      </c>
      <c r="F188" s="3">
        <f>IFERROR(__xludf.DUMMYFUNCTION("""COMPUTED_VALUE"""),0.0)</f>
        <v>0</v>
      </c>
      <c r="G188" s="3">
        <f>IFERROR(__xludf.DUMMYFUNCTION("""COMPUTED_VALUE"""),0.0)</f>
        <v>0</v>
      </c>
      <c r="H188" s="3">
        <f>IFERROR(__xludf.DUMMYFUNCTION("""COMPUTED_VALUE"""),0.0)</f>
        <v>0</v>
      </c>
      <c r="I188" s="3">
        <f>IFERROR(__xludf.DUMMYFUNCTION("""COMPUTED_VALUE"""),0.0)</f>
        <v>0</v>
      </c>
      <c r="J188" s="3">
        <f>IFERROR(__xludf.DUMMYFUNCTION("""COMPUTED_VALUE"""),0.0)</f>
        <v>0</v>
      </c>
      <c r="K188" s="3">
        <f>IFERROR(__xludf.DUMMYFUNCTION("""COMPUTED_VALUE"""),0.0)</f>
        <v>0</v>
      </c>
      <c r="L188" s="3">
        <f>IFERROR(__xludf.DUMMYFUNCTION("""COMPUTED_VALUE"""),0.0)</f>
        <v>0</v>
      </c>
      <c r="M188" s="3">
        <f>IFERROR(__xludf.DUMMYFUNCTION("""COMPUTED_VALUE"""),0.0)</f>
        <v>0</v>
      </c>
      <c r="N188" s="3">
        <f>IFERROR(__xludf.DUMMYFUNCTION("""COMPUTED_VALUE"""),0.0)</f>
        <v>0</v>
      </c>
      <c r="O188" s="3">
        <f>IFERROR(__xludf.DUMMYFUNCTION("""COMPUTED_VALUE"""),0.0)</f>
        <v>0</v>
      </c>
      <c r="P188" s="3">
        <f>IFERROR(__xludf.DUMMYFUNCTION("""COMPUTED_VALUE"""),0.0)</f>
        <v>0</v>
      </c>
      <c r="Q188" s="3">
        <f>IFERROR(__xludf.DUMMYFUNCTION("""COMPUTED_VALUE"""),0.0)</f>
        <v>0</v>
      </c>
      <c r="R188" s="3">
        <f>IFERROR(__xludf.DUMMYFUNCTION("""COMPUTED_VALUE"""),0.0)</f>
        <v>0</v>
      </c>
      <c r="S188" s="3">
        <f>IFERROR(__xludf.DUMMYFUNCTION("""COMPUTED_VALUE"""),0.0)</f>
        <v>0</v>
      </c>
      <c r="T188" s="3">
        <f>IFERROR(__xludf.DUMMYFUNCTION("""COMPUTED_VALUE"""),0.0)</f>
        <v>0</v>
      </c>
      <c r="U188" s="3">
        <f>IFERROR(__xludf.DUMMYFUNCTION("""COMPUTED_VALUE"""),0.0)</f>
        <v>0</v>
      </c>
      <c r="V188" s="3">
        <f>IFERROR(__xludf.DUMMYFUNCTION("""COMPUTED_VALUE"""),0.0)</f>
        <v>0</v>
      </c>
      <c r="W188" s="3">
        <f>IFERROR(__xludf.DUMMYFUNCTION("""COMPUTED_VALUE"""),0.0)</f>
        <v>0</v>
      </c>
      <c r="X188" s="3">
        <f>IFERROR(__xludf.DUMMYFUNCTION("""COMPUTED_VALUE"""),0.0)</f>
        <v>0</v>
      </c>
      <c r="Y188" s="3">
        <f>IFERROR(__xludf.DUMMYFUNCTION("""COMPUTED_VALUE"""),0.0)</f>
        <v>0</v>
      </c>
      <c r="Z188" s="3">
        <f>IFERROR(__xludf.DUMMYFUNCTION("""COMPUTED_VALUE"""),0.0)</f>
        <v>0</v>
      </c>
      <c r="AA188" s="3">
        <f>IFERROR(__xludf.DUMMYFUNCTION("""COMPUTED_VALUE"""),0.0)</f>
        <v>0</v>
      </c>
      <c r="AB188" s="3">
        <f>IFERROR(__xludf.DUMMYFUNCTION("""COMPUTED_VALUE"""),0.0)</f>
        <v>0</v>
      </c>
      <c r="AC188" s="3">
        <f>IFERROR(__xludf.DUMMYFUNCTION("""COMPUTED_VALUE"""),0.0)</f>
        <v>0</v>
      </c>
      <c r="AD188" s="3">
        <f>IFERROR(__xludf.DUMMYFUNCTION("""COMPUTED_VALUE"""),0.0)</f>
        <v>0</v>
      </c>
      <c r="AE188" s="3">
        <f>IFERROR(__xludf.DUMMYFUNCTION("""COMPUTED_VALUE"""),0.0)</f>
        <v>0</v>
      </c>
      <c r="AF188" s="3">
        <f>IFERROR(__xludf.DUMMYFUNCTION("""COMPUTED_VALUE"""),0.0)</f>
        <v>0</v>
      </c>
      <c r="AG188" s="3">
        <f>IFERROR(__xludf.DUMMYFUNCTION("""COMPUTED_VALUE"""),0.0)</f>
        <v>0</v>
      </c>
      <c r="AH188" s="3">
        <f>IFERROR(__xludf.DUMMYFUNCTION("""COMPUTED_VALUE"""),0.0)</f>
        <v>0</v>
      </c>
      <c r="AI188" s="3">
        <f>IFERROR(__xludf.DUMMYFUNCTION("""COMPUTED_VALUE"""),0.0)</f>
        <v>0</v>
      </c>
      <c r="AJ188" s="3">
        <f>IFERROR(__xludf.DUMMYFUNCTION("""COMPUTED_VALUE"""),0.0)</f>
        <v>0</v>
      </c>
      <c r="AK188" s="3">
        <f>IFERROR(__xludf.DUMMYFUNCTION("""COMPUTED_VALUE"""),0.0)</f>
        <v>0</v>
      </c>
      <c r="AL188" s="3">
        <f>IFERROR(__xludf.DUMMYFUNCTION("""COMPUTED_VALUE"""),0.0)</f>
        <v>0</v>
      </c>
      <c r="AM188" s="3">
        <f>IFERROR(__xludf.DUMMYFUNCTION("""COMPUTED_VALUE"""),0.0)</f>
        <v>0</v>
      </c>
      <c r="AN188" s="3">
        <f>IFERROR(__xludf.DUMMYFUNCTION("""COMPUTED_VALUE"""),0.0)</f>
        <v>0</v>
      </c>
      <c r="AO188" s="3">
        <f>IFERROR(__xludf.DUMMYFUNCTION("""COMPUTED_VALUE"""),0.0)</f>
        <v>0</v>
      </c>
      <c r="AP188" s="3">
        <f>IFERROR(__xludf.DUMMYFUNCTION("""COMPUTED_VALUE"""),0.0)</f>
        <v>0</v>
      </c>
      <c r="AQ188" s="3">
        <f>IFERROR(__xludf.DUMMYFUNCTION("""COMPUTED_VALUE"""),0.0)</f>
        <v>0</v>
      </c>
      <c r="AR188" s="3">
        <f>IFERROR(__xludf.DUMMYFUNCTION("""COMPUTED_VALUE"""),0.0)</f>
        <v>0</v>
      </c>
      <c r="AS188" s="3">
        <f>IFERROR(__xludf.DUMMYFUNCTION("""COMPUTED_VALUE"""),0.0)</f>
        <v>0</v>
      </c>
      <c r="AT188" s="3">
        <f>IFERROR(__xludf.DUMMYFUNCTION("""COMPUTED_VALUE"""),0.0)</f>
        <v>0</v>
      </c>
      <c r="AU188" s="3">
        <f>IFERROR(__xludf.DUMMYFUNCTION("""COMPUTED_VALUE"""),0.0)</f>
        <v>0</v>
      </c>
      <c r="AV188" s="3">
        <f>IFERROR(__xludf.DUMMYFUNCTION("""COMPUTED_VALUE"""),0.0)</f>
        <v>0</v>
      </c>
      <c r="AW188" s="3">
        <f>IFERROR(__xludf.DUMMYFUNCTION("""COMPUTED_VALUE"""),0.0)</f>
        <v>0</v>
      </c>
      <c r="AX188" s="3">
        <f>IFERROR(__xludf.DUMMYFUNCTION("""COMPUTED_VALUE"""),0.0)</f>
        <v>0</v>
      </c>
      <c r="AY188" s="3">
        <f>IFERROR(__xludf.DUMMYFUNCTION("""COMPUTED_VALUE"""),0.0)</f>
        <v>0</v>
      </c>
      <c r="AZ188" s="3">
        <f>IFERROR(__xludf.DUMMYFUNCTION("""COMPUTED_VALUE"""),0.0)</f>
        <v>0</v>
      </c>
      <c r="BA188" s="3">
        <f>IFERROR(__xludf.DUMMYFUNCTION("""COMPUTED_VALUE"""),0.0)</f>
        <v>0</v>
      </c>
      <c r="BB188" s="3">
        <f>IFERROR(__xludf.DUMMYFUNCTION("""COMPUTED_VALUE"""),0.0)</f>
        <v>0</v>
      </c>
      <c r="BC188" s="3">
        <f>IFERROR(__xludf.DUMMYFUNCTION("""COMPUTED_VALUE"""),0.0)</f>
        <v>0</v>
      </c>
      <c r="BD188" s="3">
        <f>IFERROR(__xludf.DUMMYFUNCTION("""COMPUTED_VALUE"""),0.0)</f>
        <v>0</v>
      </c>
      <c r="BE188" s="3">
        <f>IFERROR(__xludf.DUMMYFUNCTION("""COMPUTED_VALUE"""),0.0)</f>
        <v>0</v>
      </c>
      <c r="BF188" s="3">
        <f>IFERROR(__xludf.DUMMYFUNCTION("""COMPUTED_VALUE"""),0.0)</f>
        <v>0</v>
      </c>
      <c r="BG188" s="3">
        <f>IFERROR(__xludf.DUMMYFUNCTION("""COMPUTED_VALUE"""),0.0)</f>
        <v>0</v>
      </c>
      <c r="BH188" s="3">
        <f>IFERROR(__xludf.DUMMYFUNCTION("""COMPUTED_VALUE"""),0.0)</f>
        <v>0</v>
      </c>
      <c r="BI188" s="3">
        <f>IFERROR(__xludf.DUMMYFUNCTION("""COMPUTED_VALUE"""),0.0)</f>
        <v>0</v>
      </c>
      <c r="BJ188" s="3">
        <f>IFERROR(__xludf.DUMMYFUNCTION("""COMPUTED_VALUE"""),0.0)</f>
        <v>0</v>
      </c>
      <c r="BK188" s="3">
        <f>IFERROR(__xludf.DUMMYFUNCTION("""COMPUTED_VALUE"""),0.0)</f>
        <v>0</v>
      </c>
      <c r="BL188" s="3">
        <f>IFERROR(__xludf.DUMMYFUNCTION("""COMPUTED_VALUE"""),0.0)</f>
        <v>0</v>
      </c>
      <c r="BM188" s="3">
        <f>IFERROR(__xludf.DUMMYFUNCTION("""COMPUTED_VALUE"""),0.0)</f>
        <v>0</v>
      </c>
      <c r="BN188" s="3">
        <f>IFERROR(__xludf.DUMMYFUNCTION("""COMPUTED_VALUE"""),0.0)</f>
        <v>0</v>
      </c>
      <c r="BO188" s="3">
        <f>IFERROR(__xludf.DUMMYFUNCTION("""COMPUTED_VALUE"""),0.0)</f>
        <v>0</v>
      </c>
      <c r="BP188" s="3">
        <f>IFERROR(__xludf.DUMMYFUNCTION("""COMPUTED_VALUE"""),0.0)</f>
        <v>0</v>
      </c>
      <c r="BQ188" s="3">
        <f>IFERROR(__xludf.DUMMYFUNCTION("""COMPUTED_VALUE"""),0.0)</f>
        <v>0</v>
      </c>
      <c r="BR188" s="3">
        <f>IFERROR(__xludf.DUMMYFUNCTION("""COMPUTED_VALUE"""),0.0)</f>
        <v>0</v>
      </c>
      <c r="BS188" s="3">
        <f>IFERROR(__xludf.DUMMYFUNCTION("""COMPUTED_VALUE"""),0.0)</f>
        <v>0</v>
      </c>
      <c r="BT188" s="3">
        <f>IFERROR(__xludf.DUMMYFUNCTION("""COMPUTED_VALUE"""),0.0)</f>
        <v>0</v>
      </c>
      <c r="BU188" s="3">
        <f>IFERROR(__xludf.DUMMYFUNCTION("""COMPUTED_VALUE"""),0.0)</f>
        <v>0</v>
      </c>
      <c r="BV188" s="3">
        <f>IFERROR(__xludf.DUMMYFUNCTION("""COMPUTED_VALUE"""),0.0)</f>
        <v>0</v>
      </c>
      <c r="BW188" s="3">
        <f>IFERROR(__xludf.DUMMYFUNCTION("""COMPUTED_VALUE"""),0.0)</f>
        <v>0</v>
      </c>
      <c r="BX188" s="3">
        <f>IFERROR(__xludf.DUMMYFUNCTION("""COMPUTED_VALUE"""),0.0)</f>
        <v>0</v>
      </c>
      <c r="BY188" s="3">
        <f>IFERROR(__xludf.DUMMYFUNCTION("""COMPUTED_VALUE"""),0.0)</f>
        <v>0</v>
      </c>
      <c r="BZ188" s="3">
        <f>IFERROR(__xludf.DUMMYFUNCTION("""COMPUTED_VALUE"""),0.0)</f>
        <v>0</v>
      </c>
      <c r="CA188" s="3">
        <f>IFERROR(__xludf.DUMMYFUNCTION("""COMPUTED_VALUE"""),0.0)</f>
        <v>0</v>
      </c>
      <c r="CB188" s="3">
        <f>IFERROR(__xludf.DUMMYFUNCTION("""COMPUTED_VALUE"""),0.0)</f>
        <v>0</v>
      </c>
    </row>
    <row r="189">
      <c r="A189" s="3" t="str">
        <f>IFERROR(__xludf.DUMMYFUNCTION("""COMPUTED_VALUE"""),"")</f>
        <v/>
      </c>
      <c r="B189" s="3" t="str">
        <f>IFERROR(__xludf.DUMMYFUNCTION("""COMPUTED_VALUE"""),"Saint Lucia")</f>
        <v>Saint Lucia</v>
      </c>
      <c r="C189" s="3">
        <f>IFERROR(__xludf.DUMMYFUNCTION("""COMPUTED_VALUE"""),13.9094)</f>
        <v>13.9094</v>
      </c>
      <c r="D189" s="3">
        <f>IFERROR(__xludf.DUMMYFUNCTION("""COMPUTED_VALUE"""),-60.9789)</f>
        <v>-60.9789</v>
      </c>
      <c r="E189" s="3">
        <f>IFERROR(__xludf.DUMMYFUNCTION("""COMPUTED_VALUE"""),0.0)</f>
        <v>0</v>
      </c>
      <c r="F189" s="3">
        <f>IFERROR(__xludf.DUMMYFUNCTION("""COMPUTED_VALUE"""),0.0)</f>
        <v>0</v>
      </c>
      <c r="G189" s="3">
        <f>IFERROR(__xludf.DUMMYFUNCTION("""COMPUTED_VALUE"""),0.0)</f>
        <v>0</v>
      </c>
      <c r="H189" s="3">
        <f>IFERROR(__xludf.DUMMYFUNCTION("""COMPUTED_VALUE"""),0.0)</f>
        <v>0</v>
      </c>
      <c r="I189" s="3">
        <f>IFERROR(__xludf.DUMMYFUNCTION("""COMPUTED_VALUE"""),0.0)</f>
        <v>0</v>
      </c>
      <c r="J189" s="3">
        <f>IFERROR(__xludf.DUMMYFUNCTION("""COMPUTED_VALUE"""),0.0)</f>
        <v>0</v>
      </c>
      <c r="K189" s="3">
        <f>IFERROR(__xludf.DUMMYFUNCTION("""COMPUTED_VALUE"""),0.0)</f>
        <v>0</v>
      </c>
      <c r="L189" s="3">
        <f>IFERROR(__xludf.DUMMYFUNCTION("""COMPUTED_VALUE"""),0.0)</f>
        <v>0</v>
      </c>
      <c r="M189" s="3">
        <f>IFERROR(__xludf.DUMMYFUNCTION("""COMPUTED_VALUE"""),0.0)</f>
        <v>0</v>
      </c>
      <c r="N189" s="3">
        <f>IFERROR(__xludf.DUMMYFUNCTION("""COMPUTED_VALUE"""),0.0)</f>
        <v>0</v>
      </c>
      <c r="O189" s="3">
        <f>IFERROR(__xludf.DUMMYFUNCTION("""COMPUTED_VALUE"""),0.0)</f>
        <v>0</v>
      </c>
      <c r="P189" s="3">
        <f>IFERROR(__xludf.DUMMYFUNCTION("""COMPUTED_VALUE"""),0.0)</f>
        <v>0</v>
      </c>
      <c r="Q189" s="3">
        <f>IFERROR(__xludf.DUMMYFUNCTION("""COMPUTED_VALUE"""),0.0)</f>
        <v>0</v>
      </c>
      <c r="R189" s="3">
        <f>IFERROR(__xludf.DUMMYFUNCTION("""COMPUTED_VALUE"""),0.0)</f>
        <v>0</v>
      </c>
      <c r="S189" s="3">
        <f>IFERROR(__xludf.DUMMYFUNCTION("""COMPUTED_VALUE"""),0.0)</f>
        <v>0</v>
      </c>
      <c r="T189" s="3">
        <f>IFERROR(__xludf.DUMMYFUNCTION("""COMPUTED_VALUE"""),0.0)</f>
        <v>0</v>
      </c>
      <c r="U189" s="3">
        <f>IFERROR(__xludf.DUMMYFUNCTION("""COMPUTED_VALUE"""),0.0)</f>
        <v>0</v>
      </c>
      <c r="V189" s="3">
        <f>IFERROR(__xludf.DUMMYFUNCTION("""COMPUTED_VALUE"""),0.0)</f>
        <v>0</v>
      </c>
      <c r="W189" s="3">
        <f>IFERROR(__xludf.DUMMYFUNCTION("""COMPUTED_VALUE"""),0.0)</f>
        <v>0</v>
      </c>
      <c r="X189" s="3">
        <f>IFERROR(__xludf.DUMMYFUNCTION("""COMPUTED_VALUE"""),0.0)</f>
        <v>0</v>
      </c>
      <c r="Y189" s="3">
        <f>IFERROR(__xludf.DUMMYFUNCTION("""COMPUTED_VALUE"""),0.0)</f>
        <v>0</v>
      </c>
      <c r="Z189" s="3">
        <f>IFERROR(__xludf.DUMMYFUNCTION("""COMPUTED_VALUE"""),0.0)</f>
        <v>0</v>
      </c>
      <c r="AA189" s="3">
        <f>IFERROR(__xludf.DUMMYFUNCTION("""COMPUTED_VALUE"""),0.0)</f>
        <v>0</v>
      </c>
      <c r="AB189" s="3">
        <f>IFERROR(__xludf.DUMMYFUNCTION("""COMPUTED_VALUE"""),0.0)</f>
        <v>0</v>
      </c>
      <c r="AC189" s="3">
        <f>IFERROR(__xludf.DUMMYFUNCTION("""COMPUTED_VALUE"""),0.0)</f>
        <v>0</v>
      </c>
      <c r="AD189" s="3">
        <f>IFERROR(__xludf.DUMMYFUNCTION("""COMPUTED_VALUE"""),0.0)</f>
        <v>0</v>
      </c>
      <c r="AE189" s="3">
        <f>IFERROR(__xludf.DUMMYFUNCTION("""COMPUTED_VALUE"""),0.0)</f>
        <v>0</v>
      </c>
      <c r="AF189" s="3">
        <f>IFERROR(__xludf.DUMMYFUNCTION("""COMPUTED_VALUE"""),0.0)</f>
        <v>0</v>
      </c>
      <c r="AG189" s="3">
        <f>IFERROR(__xludf.DUMMYFUNCTION("""COMPUTED_VALUE"""),0.0)</f>
        <v>0</v>
      </c>
      <c r="AH189" s="3">
        <f>IFERROR(__xludf.DUMMYFUNCTION("""COMPUTED_VALUE"""),0.0)</f>
        <v>0</v>
      </c>
      <c r="AI189" s="3">
        <f>IFERROR(__xludf.DUMMYFUNCTION("""COMPUTED_VALUE"""),0.0)</f>
        <v>0</v>
      </c>
      <c r="AJ189" s="3">
        <f>IFERROR(__xludf.DUMMYFUNCTION("""COMPUTED_VALUE"""),0.0)</f>
        <v>0</v>
      </c>
      <c r="AK189" s="3">
        <f>IFERROR(__xludf.DUMMYFUNCTION("""COMPUTED_VALUE"""),0.0)</f>
        <v>0</v>
      </c>
      <c r="AL189" s="3">
        <f>IFERROR(__xludf.DUMMYFUNCTION("""COMPUTED_VALUE"""),0.0)</f>
        <v>0</v>
      </c>
      <c r="AM189" s="3">
        <f>IFERROR(__xludf.DUMMYFUNCTION("""COMPUTED_VALUE"""),0.0)</f>
        <v>0</v>
      </c>
      <c r="AN189" s="3">
        <f>IFERROR(__xludf.DUMMYFUNCTION("""COMPUTED_VALUE"""),0.0)</f>
        <v>0</v>
      </c>
      <c r="AO189" s="3">
        <f>IFERROR(__xludf.DUMMYFUNCTION("""COMPUTED_VALUE"""),0.0)</f>
        <v>0</v>
      </c>
      <c r="AP189" s="3">
        <f>IFERROR(__xludf.DUMMYFUNCTION("""COMPUTED_VALUE"""),0.0)</f>
        <v>0</v>
      </c>
      <c r="AQ189" s="3">
        <f>IFERROR(__xludf.DUMMYFUNCTION("""COMPUTED_VALUE"""),0.0)</f>
        <v>0</v>
      </c>
      <c r="AR189" s="3">
        <f>IFERROR(__xludf.DUMMYFUNCTION("""COMPUTED_VALUE"""),0.0)</f>
        <v>0</v>
      </c>
      <c r="AS189" s="3">
        <f>IFERROR(__xludf.DUMMYFUNCTION("""COMPUTED_VALUE"""),0.0)</f>
        <v>0</v>
      </c>
      <c r="AT189" s="3">
        <f>IFERROR(__xludf.DUMMYFUNCTION("""COMPUTED_VALUE"""),0.0)</f>
        <v>0</v>
      </c>
      <c r="AU189" s="3">
        <f>IFERROR(__xludf.DUMMYFUNCTION("""COMPUTED_VALUE"""),0.0)</f>
        <v>0</v>
      </c>
      <c r="AV189" s="3">
        <f>IFERROR(__xludf.DUMMYFUNCTION("""COMPUTED_VALUE"""),0.0)</f>
        <v>0</v>
      </c>
      <c r="AW189" s="3">
        <f>IFERROR(__xludf.DUMMYFUNCTION("""COMPUTED_VALUE"""),0.0)</f>
        <v>0</v>
      </c>
      <c r="AX189" s="3">
        <f>IFERROR(__xludf.DUMMYFUNCTION("""COMPUTED_VALUE"""),0.0)</f>
        <v>0</v>
      </c>
      <c r="AY189" s="3">
        <f>IFERROR(__xludf.DUMMYFUNCTION("""COMPUTED_VALUE"""),0.0)</f>
        <v>0</v>
      </c>
      <c r="AZ189" s="3">
        <f>IFERROR(__xludf.DUMMYFUNCTION("""COMPUTED_VALUE"""),0.0)</f>
        <v>0</v>
      </c>
      <c r="BA189" s="3">
        <f>IFERROR(__xludf.DUMMYFUNCTION("""COMPUTED_VALUE"""),0.0)</f>
        <v>0</v>
      </c>
      <c r="BB189" s="3">
        <f>IFERROR(__xludf.DUMMYFUNCTION("""COMPUTED_VALUE"""),0.0)</f>
        <v>0</v>
      </c>
      <c r="BC189" s="3">
        <f>IFERROR(__xludf.DUMMYFUNCTION("""COMPUTED_VALUE"""),0.0)</f>
        <v>0</v>
      </c>
      <c r="BD189" s="3">
        <f>IFERROR(__xludf.DUMMYFUNCTION("""COMPUTED_VALUE"""),0.0)</f>
        <v>0</v>
      </c>
      <c r="BE189" s="3">
        <f>IFERROR(__xludf.DUMMYFUNCTION("""COMPUTED_VALUE"""),0.0)</f>
        <v>0</v>
      </c>
      <c r="BF189" s="3">
        <f>IFERROR(__xludf.DUMMYFUNCTION("""COMPUTED_VALUE"""),0.0)</f>
        <v>0</v>
      </c>
      <c r="BG189" s="3">
        <f>IFERROR(__xludf.DUMMYFUNCTION("""COMPUTED_VALUE"""),0.0)</f>
        <v>0</v>
      </c>
      <c r="BH189" s="3">
        <f>IFERROR(__xludf.DUMMYFUNCTION("""COMPUTED_VALUE"""),0.0)</f>
        <v>0</v>
      </c>
      <c r="BI189" s="3">
        <f>IFERROR(__xludf.DUMMYFUNCTION("""COMPUTED_VALUE"""),0.0)</f>
        <v>0</v>
      </c>
      <c r="BJ189" s="3">
        <f>IFERROR(__xludf.DUMMYFUNCTION("""COMPUTED_VALUE"""),0.0)</f>
        <v>0</v>
      </c>
      <c r="BK189" s="3">
        <f>IFERROR(__xludf.DUMMYFUNCTION("""COMPUTED_VALUE"""),0.0)</f>
        <v>0</v>
      </c>
      <c r="BL189" s="3">
        <f>IFERROR(__xludf.DUMMYFUNCTION("""COMPUTED_VALUE"""),0.0)</f>
        <v>0</v>
      </c>
      <c r="BM189" s="3">
        <f>IFERROR(__xludf.DUMMYFUNCTION("""COMPUTED_VALUE"""),0.0)</f>
        <v>0</v>
      </c>
      <c r="BN189" s="3">
        <f>IFERROR(__xludf.DUMMYFUNCTION("""COMPUTED_VALUE"""),0.0)</f>
        <v>0</v>
      </c>
      <c r="BO189" s="3">
        <f>IFERROR(__xludf.DUMMYFUNCTION("""COMPUTED_VALUE"""),0.0)</f>
        <v>0</v>
      </c>
      <c r="BP189" s="3">
        <f>IFERROR(__xludf.DUMMYFUNCTION("""COMPUTED_VALUE"""),0.0)</f>
        <v>0</v>
      </c>
      <c r="BQ189" s="3">
        <f>IFERROR(__xludf.DUMMYFUNCTION("""COMPUTED_VALUE"""),0.0)</f>
        <v>0</v>
      </c>
      <c r="BR189" s="3">
        <f>IFERROR(__xludf.DUMMYFUNCTION("""COMPUTED_VALUE"""),1.0)</f>
        <v>1</v>
      </c>
      <c r="BS189" s="3">
        <f>IFERROR(__xludf.DUMMYFUNCTION("""COMPUTED_VALUE"""),1.0)</f>
        <v>1</v>
      </c>
      <c r="BT189" s="3">
        <f>IFERROR(__xludf.DUMMYFUNCTION("""COMPUTED_VALUE"""),1.0)</f>
        <v>1</v>
      </c>
      <c r="BU189" s="3">
        <f>IFERROR(__xludf.DUMMYFUNCTION("""COMPUTED_VALUE"""),1.0)</f>
        <v>1</v>
      </c>
      <c r="BV189" s="3">
        <f>IFERROR(__xludf.DUMMYFUNCTION("""COMPUTED_VALUE"""),1.0)</f>
        <v>1</v>
      </c>
      <c r="BW189" s="3">
        <f>IFERROR(__xludf.DUMMYFUNCTION("""COMPUTED_VALUE"""),1.0)</f>
        <v>1</v>
      </c>
      <c r="BX189" s="3">
        <f>IFERROR(__xludf.DUMMYFUNCTION("""COMPUTED_VALUE"""),1.0)</f>
        <v>1</v>
      </c>
      <c r="BY189" s="3">
        <f>IFERROR(__xludf.DUMMYFUNCTION("""COMPUTED_VALUE"""),1.0)</f>
        <v>1</v>
      </c>
      <c r="BZ189" s="3">
        <f>IFERROR(__xludf.DUMMYFUNCTION("""COMPUTED_VALUE"""),1.0)</f>
        <v>1</v>
      </c>
      <c r="CA189" s="3">
        <f>IFERROR(__xludf.DUMMYFUNCTION("""COMPUTED_VALUE"""),1.0)</f>
        <v>1</v>
      </c>
      <c r="CB189" s="3">
        <f>IFERROR(__xludf.DUMMYFUNCTION("""COMPUTED_VALUE"""),1.0)</f>
        <v>1</v>
      </c>
    </row>
    <row r="190">
      <c r="A190" s="3" t="str">
        <f>IFERROR(__xludf.DUMMYFUNCTION("""COMPUTED_VALUE"""),"")</f>
        <v/>
      </c>
      <c r="B190" s="3" t="str">
        <f>IFERROR(__xludf.DUMMYFUNCTION("""COMPUTED_VALUE"""),"Saint Vincent and the Grenadines")</f>
        <v>Saint Vincent and the Grenadines</v>
      </c>
      <c r="C190" s="3">
        <f>IFERROR(__xludf.DUMMYFUNCTION("""COMPUTED_VALUE"""),12.9843)</f>
        <v>12.9843</v>
      </c>
      <c r="D190" s="3">
        <f>IFERROR(__xludf.DUMMYFUNCTION("""COMPUTED_VALUE"""),-61.2872)</f>
        <v>-61.2872</v>
      </c>
      <c r="E190" s="3">
        <f>IFERROR(__xludf.DUMMYFUNCTION("""COMPUTED_VALUE"""),0.0)</f>
        <v>0</v>
      </c>
      <c r="F190" s="3">
        <f>IFERROR(__xludf.DUMMYFUNCTION("""COMPUTED_VALUE"""),0.0)</f>
        <v>0</v>
      </c>
      <c r="G190" s="3">
        <f>IFERROR(__xludf.DUMMYFUNCTION("""COMPUTED_VALUE"""),0.0)</f>
        <v>0</v>
      </c>
      <c r="H190" s="3">
        <f>IFERROR(__xludf.DUMMYFUNCTION("""COMPUTED_VALUE"""),0.0)</f>
        <v>0</v>
      </c>
      <c r="I190" s="3">
        <f>IFERROR(__xludf.DUMMYFUNCTION("""COMPUTED_VALUE"""),0.0)</f>
        <v>0</v>
      </c>
      <c r="J190" s="3">
        <f>IFERROR(__xludf.DUMMYFUNCTION("""COMPUTED_VALUE"""),0.0)</f>
        <v>0</v>
      </c>
      <c r="K190" s="3">
        <f>IFERROR(__xludf.DUMMYFUNCTION("""COMPUTED_VALUE"""),0.0)</f>
        <v>0</v>
      </c>
      <c r="L190" s="3">
        <f>IFERROR(__xludf.DUMMYFUNCTION("""COMPUTED_VALUE"""),0.0)</f>
        <v>0</v>
      </c>
      <c r="M190" s="3">
        <f>IFERROR(__xludf.DUMMYFUNCTION("""COMPUTED_VALUE"""),0.0)</f>
        <v>0</v>
      </c>
      <c r="N190" s="3">
        <f>IFERROR(__xludf.DUMMYFUNCTION("""COMPUTED_VALUE"""),0.0)</f>
        <v>0</v>
      </c>
      <c r="O190" s="3">
        <f>IFERROR(__xludf.DUMMYFUNCTION("""COMPUTED_VALUE"""),0.0)</f>
        <v>0</v>
      </c>
      <c r="P190" s="3">
        <f>IFERROR(__xludf.DUMMYFUNCTION("""COMPUTED_VALUE"""),0.0)</f>
        <v>0</v>
      </c>
      <c r="Q190" s="3">
        <f>IFERROR(__xludf.DUMMYFUNCTION("""COMPUTED_VALUE"""),0.0)</f>
        <v>0</v>
      </c>
      <c r="R190" s="3">
        <f>IFERROR(__xludf.DUMMYFUNCTION("""COMPUTED_VALUE"""),0.0)</f>
        <v>0</v>
      </c>
      <c r="S190" s="3">
        <f>IFERROR(__xludf.DUMMYFUNCTION("""COMPUTED_VALUE"""),0.0)</f>
        <v>0</v>
      </c>
      <c r="T190" s="3">
        <f>IFERROR(__xludf.DUMMYFUNCTION("""COMPUTED_VALUE"""),0.0)</f>
        <v>0</v>
      </c>
      <c r="U190" s="3">
        <f>IFERROR(__xludf.DUMMYFUNCTION("""COMPUTED_VALUE"""),0.0)</f>
        <v>0</v>
      </c>
      <c r="V190" s="3">
        <f>IFERROR(__xludf.DUMMYFUNCTION("""COMPUTED_VALUE"""),0.0)</f>
        <v>0</v>
      </c>
      <c r="W190" s="3">
        <f>IFERROR(__xludf.DUMMYFUNCTION("""COMPUTED_VALUE"""),0.0)</f>
        <v>0</v>
      </c>
      <c r="X190" s="3">
        <f>IFERROR(__xludf.DUMMYFUNCTION("""COMPUTED_VALUE"""),0.0)</f>
        <v>0</v>
      </c>
      <c r="Y190" s="3">
        <f>IFERROR(__xludf.DUMMYFUNCTION("""COMPUTED_VALUE"""),0.0)</f>
        <v>0</v>
      </c>
      <c r="Z190" s="3">
        <f>IFERROR(__xludf.DUMMYFUNCTION("""COMPUTED_VALUE"""),0.0)</f>
        <v>0</v>
      </c>
      <c r="AA190" s="3">
        <f>IFERROR(__xludf.DUMMYFUNCTION("""COMPUTED_VALUE"""),0.0)</f>
        <v>0</v>
      </c>
      <c r="AB190" s="3">
        <f>IFERROR(__xludf.DUMMYFUNCTION("""COMPUTED_VALUE"""),0.0)</f>
        <v>0</v>
      </c>
      <c r="AC190" s="3">
        <f>IFERROR(__xludf.DUMMYFUNCTION("""COMPUTED_VALUE"""),0.0)</f>
        <v>0</v>
      </c>
      <c r="AD190" s="3">
        <f>IFERROR(__xludf.DUMMYFUNCTION("""COMPUTED_VALUE"""),0.0)</f>
        <v>0</v>
      </c>
      <c r="AE190" s="3">
        <f>IFERROR(__xludf.DUMMYFUNCTION("""COMPUTED_VALUE"""),0.0)</f>
        <v>0</v>
      </c>
      <c r="AF190" s="3">
        <f>IFERROR(__xludf.DUMMYFUNCTION("""COMPUTED_VALUE"""),0.0)</f>
        <v>0</v>
      </c>
      <c r="AG190" s="3">
        <f>IFERROR(__xludf.DUMMYFUNCTION("""COMPUTED_VALUE"""),0.0)</f>
        <v>0</v>
      </c>
      <c r="AH190" s="3">
        <f>IFERROR(__xludf.DUMMYFUNCTION("""COMPUTED_VALUE"""),0.0)</f>
        <v>0</v>
      </c>
      <c r="AI190" s="3">
        <f>IFERROR(__xludf.DUMMYFUNCTION("""COMPUTED_VALUE"""),0.0)</f>
        <v>0</v>
      </c>
      <c r="AJ190" s="3">
        <f>IFERROR(__xludf.DUMMYFUNCTION("""COMPUTED_VALUE"""),0.0)</f>
        <v>0</v>
      </c>
      <c r="AK190" s="3">
        <f>IFERROR(__xludf.DUMMYFUNCTION("""COMPUTED_VALUE"""),0.0)</f>
        <v>0</v>
      </c>
      <c r="AL190" s="3">
        <f>IFERROR(__xludf.DUMMYFUNCTION("""COMPUTED_VALUE"""),0.0)</f>
        <v>0</v>
      </c>
      <c r="AM190" s="3">
        <f>IFERROR(__xludf.DUMMYFUNCTION("""COMPUTED_VALUE"""),0.0)</f>
        <v>0</v>
      </c>
      <c r="AN190" s="3">
        <f>IFERROR(__xludf.DUMMYFUNCTION("""COMPUTED_VALUE"""),0.0)</f>
        <v>0</v>
      </c>
      <c r="AO190" s="3">
        <f>IFERROR(__xludf.DUMMYFUNCTION("""COMPUTED_VALUE"""),0.0)</f>
        <v>0</v>
      </c>
      <c r="AP190" s="3">
        <f>IFERROR(__xludf.DUMMYFUNCTION("""COMPUTED_VALUE"""),0.0)</f>
        <v>0</v>
      </c>
      <c r="AQ190" s="3">
        <f>IFERROR(__xludf.DUMMYFUNCTION("""COMPUTED_VALUE"""),0.0)</f>
        <v>0</v>
      </c>
      <c r="AR190" s="3">
        <f>IFERROR(__xludf.DUMMYFUNCTION("""COMPUTED_VALUE"""),0.0)</f>
        <v>0</v>
      </c>
      <c r="AS190" s="3">
        <f>IFERROR(__xludf.DUMMYFUNCTION("""COMPUTED_VALUE"""),0.0)</f>
        <v>0</v>
      </c>
      <c r="AT190" s="3">
        <f>IFERROR(__xludf.DUMMYFUNCTION("""COMPUTED_VALUE"""),0.0)</f>
        <v>0</v>
      </c>
      <c r="AU190" s="3">
        <f>IFERROR(__xludf.DUMMYFUNCTION("""COMPUTED_VALUE"""),0.0)</f>
        <v>0</v>
      </c>
      <c r="AV190" s="3">
        <f>IFERROR(__xludf.DUMMYFUNCTION("""COMPUTED_VALUE"""),0.0)</f>
        <v>0</v>
      </c>
      <c r="AW190" s="3">
        <f>IFERROR(__xludf.DUMMYFUNCTION("""COMPUTED_VALUE"""),0.0)</f>
        <v>0</v>
      </c>
      <c r="AX190" s="3">
        <f>IFERROR(__xludf.DUMMYFUNCTION("""COMPUTED_VALUE"""),0.0)</f>
        <v>0</v>
      </c>
      <c r="AY190" s="3">
        <f>IFERROR(__xludf.DUMMYFUNCTION("""COMPUTED_VALUE"""),0.0)</f>
        <v>0</v>
      </c>
      <c r="AZ190" s="3">
        <f>IFERROR(__xludf.DUMMYFUNCTION("""COMPUTED_VALUE"""),0.0)</f>
        <v>0</v>
      </c>
      <c r="BA190" s="3">
        <f>IFERROR(__xludf.DUMMYFUNCTION("""COMPUTED_VALUE"""),0.0)</f>
        <v>0</v>
      </c>
      <c r="BB190" s="3">
        <f>IFERROR(__xludf.DUMMYFUNCTION("""COMPUTED_VALUE"""),0.0)</f>
        <v>0</v>
      </c>
      <c r="BC190" s="3">
        <f>IFERROR(__xludf.DUMMYFUNCTION("""COMPUTED_VALUE"""),0.0)</f>
        <v>0</v>
      </c>
      <c r="BD190" s="3">
        <f>IFERROR(__xludf.DUMMYFUNCTION("""COMPUTED_VALUE"""),0.0)</f>
        <v>0</v>
      </c>
      <c r="BE190" s="3">
        <f>IFERROR(__xludf.DUMMYFUNCTION("""COMPUTED_VALUE"""),0.0)</f>
        <v>0</v>
      </c>
      <c r="BF190" s="3">
        <f>IFERROR(__xludf.DUMMYFUNCTION("""COMPUTED_VALUE"""),0.0)</f>
        <v>0</v>
      </c>
      <c r="BG190" s="3">
        <f>IFERROR(__xludf.DUMMYFUNCTION("""COMPUTED_VALUE"""),0.0)</f>
        <v>0</v>
      </c>
      <c r="BH190" s="3">
        <f>IFERROR(__xludf.DUMMYFUNCTION("""COMPUTED_VALUE"""),0.0)</f>
        <v>0</v>
      </c>
      <c r="BI190" s="3">
        <f>IFERROR(__xludf.DUMMYFUNCTION("""COMPUTED_VALUE"""),0.0)</f>
        <v>0</v>
      </c>
      <c r="BJ190" s="3">
        <f>IFERROR(__xludf.DUMMYFUNCTION("""COMPUTED_VALUE"""),0.0)</f>
        <v>0</v>
      </c>
      <c r="BK190" s="3">
        <f>IFERROR(__xludf.DUMMYFUNCTION("""COMPUTED_VALUE"""),0.0)</f>
        <v>0</v>
      </c>
      <c r="BL190" s="3">
        <f>IFERROR(__xludf.DUMMYFUNCTION("""COMPUTED_VALUE"""),0.0)</f>
        <v>0</v>
      </c>
      <c r="BM190" s="3">
        <f>IFERROR(__xludf.DUMMYFUNCTION("""COMPUTED_VALUE"""),0.0)</f>
        <v>0</v>
      </c>
      <c r="BN190" s="3">
        <f>IFERROR(__xludf.DUMMYFUNCTION("""COMPUTED_VALUE"""),0.0)</f>
        <v>0</v>
      </c>
      <c r="BO190" s="3">
        <f>IFERROR(__xludf.DUMMYFUNCTION("""COMPUTED_VALUE"""),0.0)</f>
        <v>0</v>
      </c>
      <c r="BP190" s="3">
        <f>IFERROR(__xludf.DUMMYFUNCTION("""COMPUTED_VALUE"""),0.0)</f>
        <v>0</v>
      </c>
      <c r="BQ190" s="3">
        <f>IFERROR(__xludf.DUMMYFUNCTION("""COMPUTED_VALUE"""),0.0)</f>
        <v>0</v>
      </c>
      <c r="BR190" s="3">
        <f>IFERROR(__xludf.DUMMYFUNCTION("""COMPUTED_VALUE"""),0.0)</f>
        <v>0</v>
      </c>
      <c r="BS190" s="3">
        <f>IFERROR(__xludf.DUMMYFUNCTION("""COMPUTED_VALUE"""),1.0)</f>
        <v>1</v>
      </c>
      <c r="BT190" s="3">
        <f>IFERROR(__xludf.DUMMYFUNCTION("""COMPUTED_VALUE"""),1.0)</f>
        <v>1</v>
      </c>
      <c r="BU190" s="3">
        <f>IFERROR(__xludf.DUMMYFUNCTION("""COMPUTED_VALUE"""),1.0)</f>
        <v>1</v>
      </c>
      <c r="BV190" s="3">
        <f>IFERROR(__xludf.DUMMYFUNCTION("""COMPUTED_VALUE"""),1.0)</f>
        <v>1</v>
      </c>
      <c r="BW190" s="3">
        <f>IFERROR(__xludf.DUMMYFUNCTION("""COMPUTED_VALUE"""),1.0)</f>
        <v>1</v>
      </c>
      <c r="BX190" s="3">
        <f>IFERROR(__xludf.DUMMYFUNCTION("""COMPUTED_VALUE"""),1.0)</f>
        <v>1</v>
      </c>
      <c r="BY190" s="3">
        <f>IFERROR(__xludf.DUMMYFUNCTION("""COMPUTED_VALUE"""),1.0)</f>
        <v>1</v>
      </c>
      <c r="BZ190" s="3">
        <f>IFERROR(__xludf.DUMMYFUNCTION("""COMPUTED_VALUE"""),1.0)</f>
        <v>1</v>
      </c>
      <c r="CA190" s="3">
        <f>IFERROR(__xludf.DUMMYFUNCTION("""COMPUTED_VALUE"""),1.0)</f>
        <v>1</v>
      </c>
      <c r="CB190" s="3">
        <f>IFERROR(__xludf.DUMMYFUNCTION("""COMPUTED_VALUE"""),1.0)</f>
        <v>1</v>
      </c>
    </row>
    <row r="191">
      <c r="A191" s="3" t="str">
        <f>IFERROR(__xludf.DUMMYFUNCTION("""COMPUTED_VALUE"""),"")</f>
        <v/>
      </c>
      <c r="B191" s="3" t="str">
        <f>IFERROR(__xludf.DUMMYFUNCTION("""COMPUTED_VALUE"""),"San Marino")</f>
        <v>San Marino</v>
      </c>
      <c r="C191" s="3">
        <f>IFERROR(__xludf.DUMMYFUNCTION("""COMPUTED_VALUE"""),43.9424)</f>
        <v>43.9424</v>
      </c>
      <c r="D191" s="3">
        <f>IFERROR(__xludf.DUMMYFUNCTION("""COMPUTED_VALUE"""),12.4578)</f>
        <v>12.4578</v>
      </c>
      <c r="E191" s="3">
        <f>IFERROR(__xludf.DUMMYFUNCTION("""COMPUTED_VALUE"""),0.0)</f>
        <v>0</v>
      </c>
      <c r="F191" s="3">
        <f>IFERROR(__xludf.DUMMYFUNCTION("""COMPUTED_VALUE"""),0.0)</f>
        <v>0</v>
      </c>
      <c r="G191" s="3">
        <f>IFERROR(__xludf.DUMMYFUNCTION("""COMPUTED_VALUE"""),0.0)</f>
        <v>0</v>
      </c>
      <c r="H191" s="3">
        <f>IFERROR(__xludf.DUMMYFUNCTION("""COMPUTED_VALUE"""),0.0)</f>
        <v>0</v>
      </c>
      <c r="I191" s="3">
        <f>IFERROR(__xludf.DUMMYFUNCTION("""COMPUTED_VALUE"""),0.0)</f>
        <v>0</v>
      </c>
      <c r="J191" s="3">
        <f>IFERROR(__xludf.DUMMYFUNCTION("""COMPUTED_VALUE"""),0.0)</f>
        <v>0</v>
      </c>
      <c r="K191" s="3">
        <f>IFERROR(__xludf.DUMMYFUNCTION("""COMPUTED_VALUE"""),0.0)</f>
        <v>0</v>
      </c>
      <c r="L191" s="3">
        <f>IFERROR(__xludf.DUMMYFUNCTION("""COMPUTED_VALUE"""),0.0)</f>
        <v>0</v>
      </c>
      <c r="M191" s="3">
        <f>IFERROR(__xludf.DUMMYFUNCTION("""COMPUTED_VALUE"""),0.0)</f>
        <v>0</v>
      </c>
      <c r="N191" s="3">
        <f>IFERROR(__xludf.DUMMYFUNCTION("""COMPUTED_VALUE"""),0.0)</f>
        <v>0</v>
      </c>
      <c r="O191" s="3">
        <f>IFERROR(__xludf.DUMMYFUNCTION("""COMPUTED_VALUE"""),0.0)</f>
        <v>0</v>
      </c>
      <c r="P191" s="3">
        <f>IFERROR(__xludf.DUMMYFUNCTION("""COMPUTED_VALUE"""),0.0)</f>
        <v>0</v>
      </c>
      <c r="Q191" s="3">
        <f>IFERROR(__xludf.DUMMYFUNCTION("""COMPUTED_VALUE"""),0.0)</f>
        <v>0</v>
      </c>
      <c r="R191" s="3">
        <f>IFERROR(__xludf.DUMMYFUNCTION("""COMPUTED_VALUE"""),0.0)</f>
        <v>0</v>
      </c>
      <c r="S191" s="3">
        <f>IFERROR(__xludf.DUMMYFUNCTION("""COMPUTED_VALUE"""),0.0)</f>
        <v>0</v>
      </c>
      <c r="T191" s="3">
        <f>IFERROR(__xludf.DUMMYFUNCTION("""COMPUTED_VALUE"""),0.0)</f>
        <v>0</v>
      </c>
      <c r="U191" s="3">
        <f>IFERROR(__xludf.DUMMYFUNCTION("""COMPUTED_VALUE"""),0.0)</f>
        <v>0</v>
      </c>
      <c r="V191" s="3">
        <f>IFERROR(__xludf.DUMMYFUNCTION("""COMPUTED_VALUE"""),0.0)</f>
        <v>0</v>
      </c>
      <c r="W191" s="3">
        <f>IFERROR(__xludf.DUMMYFUNCTION("""COMPUTED_VALUE"""),0.0)</f>
        <v>0</v>
      </c>
      <c r="X191" s="3">
        <f>IFERROR(__xludf.DUMMYFUNCTION("""COMPUTED_VALUE"""),0.0)</f>
        <v>0</v>
      </c>
      <c r="Y191" s="3">
        <f>IFERROR(__xludf.DUMMYFUNCTION("""COMPUTED_VALUE"""),0.0)</f>
        <v>0</v>
      </c>
      <c r="Z191" s="3">
        <f>IFERROR(__xludf.DUMMYFUNCTION("""COMPUTED_VALUE"""),0.0)</f>
        <v>0</v>
      </c>
      <c r="AA191" s="3">
        <f>IFERROR(__xludf.DUMMYFUNCTION("""COMPUTED_VALUE"""),0.0)</f>
        <v>0</v>
      </c>
      <c r="AB191" s="3">
        <f>IFERROR(__xludf.DUMMYFUNCTION("""COMPUTED_VALUE"""),0.0)</f>
        <v>0</v>
      </c>
      <c r="AC191" s="3">
        <f>IFERROR(__xludf.DUMMYFUNCTION("""COMPUTED_VALUE"""),0.0)</f>
        <v>0</v>
      </c>
      <c r="AD191" s="3">
        <f>IFERROR(__xludf.DUMMYFUNCTION("""COMPUTED_VALUE"""),0.0)</f>
        <v>0</v>
      </c>
      <c r="AE191" s="3">
        <f>IFERROR(__xludf.DUMMYFUNCTION("""COMPUTED_VALUE"""),0.0)</f>
        <v>0</v>
      </c>
      <c r="AF191" s="3">
        <f>IFERROR(__xludf.DUMMYFUNCTION("""COMPUTED_VALUE"""),0.0)</f>
        <v>0</v>
      </c>
      <c r="AG191" s="3">
        <f>IFERROR(__xludf.DUMMYFUNCTION("""COMPUTED_VALUE"""),0.0)</f>
        <v>0</v>
      </c>
      <c r="AH191" s="3">
        <f>IFERROR(__xludf.DUMMYFUNCTION("""COMPUTED_VALUE"""),0.0)</f>
        <v>0</v>
      </c>
      <c r="AI191" s="3">
        <f>IFERROR(__xludf.DUMMYFUNCTION("""COMPUTED_VALUE"""),0.0)</f>
        <v>0</v>
      </c>
      <c r="AJ191" s="3">
        <f>IFERROR(__xludf.DUMMYFUNCTION("""COMPUTED_VALUE"""),0.0)</f>
        <v>0</v>
      </c>
      <c r="AK191" s="3">
        <f>IFERROR(__xludf.DUMMYFUNCTION("""COMPUTED_VALUE"""),0.0)</f>
        <v>0</v>
      </c>
      <c r="AL191" s="3">
        <f>IFERROR(__xludf.DUMMYFUNCTION("""COMPUTED_VALUE"""),0.0)</f>
        <v>0</v>
      </c>
      <c r="AM191" s="3">
        <f>IFERROR(__xludf.DUMMYFUNCTION("""COMPUTED_VALUE"""),0.0)</f>
        <v>0</v>
      </c>
      <c r="AN191" s="3">
        <f>IFERROR(__xludf.DUMMYFUNCTION("""COMPUTED_VALUE"""),0.0)</f>
        <v>0</v>
      </c>
      <c r="AO191" s="3">
        <f>IFERROR(__xludf.DUMMYFUNCTION("""COMPUTED_VALUE"""),0.0)</f>
        <v>0</v>
      </c>
      <c r="AP191" s="3">
        <f>IFERROR(__xludf.DUMMYFUNCTION("""COMPUTED_VALUE"""),0.0)</f>
        <v>0</v>
      </c>
      <c r="AQ191" s="3">
        <f>IFERROR(__xludf.DUMMYFUNCTION("""COMPUTED_VALUE"""),0.0)</f>
        <v>0</v>
      </c>
      <c r="AR191" s="3">
        <f>IFERROR(__xludf.DUMMYFUNCTION("""COMPUTED_VALUE"""),0.0)</f>
        <v>0</v>
      </c>
      <c r="AS191" s="3">
        <f>IFERROR(__xludf.DUMMYFUNCTION("""COMPUTED_VALUE"""),0.0)</f>
        <v>0</v>
      </c>
      <c r="AT191" s="3">
        <f>IFERROR(__xludf.DUMMYFUNCTION("""COMPUTED_VALUE"""),0.0)</f>
        <v>0</v>
      </c>
      <c r="AU191" s="3">
        <f>IFERROR(__xludf.DUMMYFUNCTION("""COMPUTED_VALUE"""),0.0)</f>
        <v>0</v>
      </c>
      <c r="AV191" s="3">
        <f>IFERROR(__xludf.DUMMYFUNCTION("""COMPUTED_VALUE"""),0.0)</f>
        <v>0</v>
      </c>
      <c r="AW191" s="3">
        <f>IFERROR(__xludf.DUMMYFUNCTION("""COMPUTED_VALUE"""),0.0)</f>
        <v>0</v>
      </c>
      <c r="AX191" s="3">
        <f>IFERROR(__xludf.DUMMYFUNCTION("""COMPUTED_VALUE"""),0.0)</f>
        <v>0</v>
      </c>
      <c r="AY191" s="3">
        <f>IFERROR(__xludf.DUMMYFUNCTION("""COMPUTED_VALUE"""),0.0)</f>
        <v>0</v>
      </c>
      <c r="AZ191" s="3">
        <f>IFERROR(__xludf.DUMMYFUNCTION("""COMPUTED_VALUE"""),0.0)</f>
        <v>0</v>
      </c>
      <c r="BA191" s="3">
        <f>IFERROR(__xludf.DUMMYFUNCTION("""COMPUTED_VALUE"""),0.0)</f>
        <v>0</v>
      </c>
      <c r="BB191" s="3">
        <f>IFERROR(__xludf.DUMMYFUNCTION("""COMPUTED_VALUE"""),0.0)</f>
        <v>0</v>
      </c>
      <c r="BC191" s="3">
        <f>IFERROR(__xludf.DUMMYFUNCTION("""COMPUTED_VALUE"""),0.0)</f>
        <v>0</v>
      </c>
      <c r="BD191" s="3">
        <f>IFERROR(__xludf.DUMMYFUNCTION("""COMPUTED_VALUE"""),0.0)</f>
        <v>0</v>
      </c>
      <c r="BE191" s="3">
        <f>IFERROR(__xludf.DUMMYFUNCTION("""COMPUTED_VALUE"""),4.0)</f>
        <v>4</v>
      </c>
      <c r="BF191" s="3">
        <f>IFERROR(__xludf.DUMMYFUNCTION("""COMPUTED_VALUE"""),4.0)</f>
        <v>4</v>
      </c>
      <c r="BG191" s="3">
        <f>IFERROR(__xludf.DUMMYFUNCTION("""COMPUTED_VALUE"""),4.0)</f>
        <v>4</v>
      </c>
      <c r="BH191" s="3">
        <f>IFERROR(__xludf.DUMMYFUNCTION("""COMPUTED_VALUE"""),4.0)</f>
        <v>4</v>
      </c>
      <c r="BI191" s="3">
        <f>IFERROR(__xludf.DUMMYFUNCTION("""COMPUTED_VALUE"""),4.0)</f>
        <v>4</v>
      </c>
      <c r="BJ191" s="3">
        <f>IFERROR(__xludf.DUMMYFUNCTION("""COMPUTED_VALUE"""),4.0)</f>
        <v>4</v>
      </c>
      <c r="BK191" s="3">
        <f>IFERROR(__xludf.DUMMYFUNCTION("""COMPUTED_VALUE"""),4.0)</f>
        <v>4</v>
      </c>
      <c r="BL191" s="3">
        <f>IFERROR(__xludf.DUMMYFUNCTION("""COMPUTED_VALUE"""),4.0)</f>
        <v>4</v>
      </c>
      <c r="BM191" s="3">
        <f>IFERROR(__xludf.DUMMYFUNCTION("""COMPUTED_VALUE"""),4.0)</f>
        <v>4</v>
      </c>
      <c r="BN191" s="3">
        <f>IFERROR(__xludf.DUMMYFUNCTION("""COMPUTED_VALUE"""),4.0)</f>
        <v>4</v>
      </c>
      <c r="BO191" s="3">
        <f>IFERROR(__xludf.DUMMYFUNCTION("""COMPUTED_VALUE"""),4.0)</f>
        <v>4</v>
      </c>
      <c r="BP191" s="3">
        <f>IFERROR(__xludf.DUMMYFUNCTION("""COMPUTED_VALUE"""),4.0)</f>
        <v>4</v>
      </c>
      <c r="BQ191" s="3">
        <f>IFERROR(__xludf.DUMMYFUNCTION("""COMPUTED_VALUE"""),4.0)</f>
        <v>4</v>
      </c>
      <c r="BR191" s="3">
        <f>IFERROR(__xludf.DUMMYFUNCTION("""COMPUTED_VALUE"""),4.0)</f>
        <v>4</v>
      </c>
      <c r="BS191" s="3">
        <f>IFERROR(__xludf.DUMMYFUNCTION("""COMPUTED_VALUE"""),6.0)</f>
        <v>6</v>
      </c>
      <c r="BT191" s="3">
        <f>IFERROR(__xludf.DUMMYFUNCTION("""COMPUTED_VALUE"""),6.0)</f>
        <v>6</v>
      </c>
      <c r="BU191" s="3">
        <f>IFERROR(__xludf.DUMMYFUNCTION("""COMPUTED_VALUE"""),13.0)</f>
        <v>13</v>
      </c>
      <c r="BV191" s="3">
        <f>IFERROR(__xludf.DUMMYFUNCTION("""COMPUTED_VALUE"""),13.0)</f>
        <v>13</v>
      </c>
      <c r="BW191" s="3">
        <f>IFERROR(__xludf.DUMMYFUNCTION("""COMPUTED_VALUE"""),13.0)</f>
        <v>13</v>
      </c>
      <c r="BX191" s="3">
        <f>IFERROR(__xludf.DUMMYFUNCTION("""COMPUTED_VALUE"""),21.0)</f>
        <v>21</v>
      </c>
      <c r="BY191" s="3">
        <f>IFERROR(__xludf.DUMMYFUNCTION("""COMPUTED_VALUE"""),21.0)</f>
        <v>21</v>
      </c>
      <c r="BZ191" s="3">
        <f>IFERROR(__xludf.DUMMYFUNCTION("""COMPUTED_VALUE"""),27.0)</f>
        <v>27</v>
      </c>
      <c r="CA191" s="3">
        <f>IFERROR(__xludf.DUMMYFUNCTION("""COMPUTED_VALUE"""),35.0)</f>
        <v>35</v>
      </c>
      <c r="CB191" s="3">
        <f>IFERROR(__xludf.DUMMYFUNCTION("""COMPUTED_VALUE"""),35.0)</f>
        <v>35</v>
      </c>
    </row>
    <row r="192">
      <c r="A192" s="3" t="str">
        <f>IFERROR(__xludf.DUMMYFUNCTION("""COMPUTED_VALUE"""),"")</f>
        <v/>
      </c>
      <c r="B192" s="3" t="str">
        <f>IFERROR(__xludf.DUMMYFUNCTION("""COMPUTED_VALUE"""),"Saudi Arabia")</f>
        <v>Saudi Arabia</v>
      </c>
      <c r="C192" s="3">
        <f>IFERROR(__xludf.DUMMYFUNCTION("""COMPUTED_VALUE"""),24.0)</f>
        <v>24</v>
      </c>
      <c r="D192" s="3">
        <f>IFERROR(__xludf.DUMMYFUNCTION("""COMPUTED_VALUE"""),45.0)</f>
        <v>45</v>
      </c>
      <c r="E192" s="3">
        <f>IFERROR(__xludf.DUMMYFUNCTION("""COMPUTED_VALUE"""),0.0)</f>
        <v>0</v>
      </c>
      <c r="F192" s="3">
        <f>IFERROR(__xludf.DUMMYFUNCTION("""COMPUTED_VALUE"""),0.0)</f>
        <v>0</v>
      </c>
      <c r="G192" s="3">
        <f>IFERROR(__xludf.DUMMYFUNCTION("""COMPUTED_VALUE"""),0.0)</f>
        <v>0</v>
      </c>
      <c r="H192" s="3">
        <f>IFERROR(__xludf.DUMMYFUNCTION("""COMPUTED_VALUE"""),0.0)</f>
        <v>0</v>
      </c>
      <c r="I192" s="3">
        <f>IFERROR(__xludf.DUMMYFUNCTION("""COMPUTED_VALUE"""),0.0)</f>
        <v>0</v>
      </c>
      <c r="J192" s="3">
        <f>IFERROR(__xludf.DUMMYFUNCTION("""COMPUTED_VALUE"""),0.0)</f>
        <v>0</v>
      </c>
      <c r="K192" s="3">
        <f>IFERROR(__xludf.DUMMYFUNCTION("""COMPUTED_VALUE"""),0.0)</f>
        <v>0</v>
      </c>
      <c r="L192" s="3">
        <f>IFERROR(__xludf.DUMMYFUNCTION("""COMPUTED_VALUE"""),0.0)</f>
        <v>0</v>
      </c>
      <c r="M192" s="3">
        <f>IFERROR(__xludf.DUMMYFUNCTION("""COMPUTED_VALUE"""),0.0)</f>
        <v>0</v>
      </c>
      <c r="N192" s="3">
        <f>IFERROR(__xludf.DUMMYFUNCTION("""COMPUTED_VALUE"""),0.0)</f>
        <v>0</v>
      </c>
      <c r="O192" s="3">
        <f>IFERROR(__xludf.DUMMYFUNCTION("""COMPUTED_VALUE"""),0.0)</f>
        <v>0</v>
      </c>
      <c r="P192" s="3">
        <f>IFERROR(__xludf.DUMMYFUNCTION("""COMPUTED_VALUE"""),0.0)</f>
        <v>0</v>
      </c>
      <c r="Q192" s="3">
        <f>IFERROR(__xludf.DUMMYFUNCTION("""COMPUTED_VALUE"""),0.0)</f>
        <v>0</v>
      </c>
      <c r="R192" s="3">
        <f>IFERROR(__xludf.DUMMYFUNCTION("""COMPUTED_VALUE"""),0.0)</f>
        <v>0</v>
      </c>
      <c r="S192" s="3">
        <f>IFERROR(__xludf.DUMMYFUNCTION("""COMPUTED_VALUE"""),0.0)</f>
        <v>0</v>
      </c>
      <c r="T192" s="3">
        <f>IFERROR(__xludf.DUMMYFUNCTION("""COMPUTED_VALUE"""),0.0)</f>
        <v>0</v>
      </c>
      <c r="U192" s="3">
        <f>IFERROR(__xludf.DUMMYFUNCTION("""COMPUTED_VALUE"""),0.0)</f>
        <v>0</v>
      </c>
      <c r="V192" s="3">
        <f>IFERROR(__xludf.DUMMYFUNCTION("""COMPUTED_VALUE"""),0.0)</f>
        <v>0</v>
      </c>
      <c r="W192" s="3">
        <f>IFERROR(__xludf.DUMMYFUNCTION("""COMPUTED_VALUE"""),0.0)</f>
        <v>0</v>
      </c>
      <c r="X192" s="3">
        <f>IFERROR(__xludf.DUMMYFUNCTION("""COMPUTED_VALUE"""),0.0)</f>
        <v>0</v>
      </c>
      <c r="Y192" s="3">
        <f>IFERROR(__xludf.DUMMYFUNCTION("""COMPUTED_VALUE"""),0.0)</f>
        <v>0</v>
      </c>
      <c r="Z192" s="3">
        <f>IFERROR(__xludf.DUMMYFUNCTION("""COMPUTED_VALUE"""),0.0)</f>
        <v>0</v>
      </c>
      <c r="AA192" s="3">
        <f>IFERROR(__xludf.DUMMYFUNCTION("""COMPUTED_VALUE"""),0.0)</f>
        <v>0</v>
      </c>
      <c r="AB192" s="3">
        <f>IFERROR(__xludf.DUMMYFUNCTION("""COMPUTED_VALUE"""),0.0)</f>
        <v>0</v>
      </c>
      <c r="AC192" s="3">
        <f>IFERROR(__xludf.DUMMYFUNCTION("""COMPUTED_VALUE"""),0.0)</f>
        <v>0</v>
      </c>
      <c r="AD192" s="3">
        <f>IFERROR(__xludf.DUMMYFUNCTION("""COMPUTED_VALUE"""),0.0)</f>
        <v>0</v>
      </c>
      <c r="AE192" s="3">
        <f>IFERROR(__xludf.DUMMYFUNCTION("""COMPUTED_VALUE"""),0.0)</f>
        <v>0</v>
      </c>
      <c r="AF192" s="3">
        <f>IFERROR(__xludf.DUMMYFUNCTION("""COMPUTED_VALUE"""),0.0)</f>
        <v>0</v>
      </c>
      <c r="AG192" s="3">
        <f>IFERROR(__xludf.DUMMYFUNCTION("""COMPUTED_VALUE"""),0.0)</f>
        <v>0</v>
      </c>
      <c r="AH192" s="3">
        <f>IFERROR(__xludf.DUMMYFUNCTION("""COMPUTED_VALUE"""),0.0)</f>
        <v>0</v>
      </c>
      <c r="AI192" s="3">
        <f>IFERROR(__xludf.DUMMYFUNCTION("""COMPUTED_VALUE"""),0.0)</f>
        <v>0</v>
      </c>
      <c r="AJ192" s="3">
        <f>IFERROR(__xludf.DUMMYFUNCTION("""COMPUTED_VALUE"""),0.0)</f>
        <v>0</v>
      </c>
      <c r="AK192" s="3">
        <f>IFERROR(__xludf.DUMMYFUNCTION("""COMPUTED_VALUE"""),0.0)</f>
        <v>0</v>
      </c>
      <c r="AL192" s="3">
        <f>IFERROR(__xludf.DUMMYFUNCTION("""COMPUTED_VALUE"""),0.0)</f>
        <v>0</v>
      </c>
      <c r="AM192" s="3">
        <f>IFERROR(__xludf.DUMMYFUNCTION("""COMPUTED_VALUE"""),0.0)</f>
        <v>0</v>
      </c>
      <c r="AN192" s="3">
        <f>IFERROR(__xludf.DUMMYFUNCTION("""COMPUTED_VALUE"""),0.0)</f>
        <v>0</v>
      </c>
      <c r="AO192" s="3">
        <f>IFERROR(__xludf.DUMMYFUNCTION("""COMPUTED_VALUE"""),0.0)</f>
        <v>0</v>
      </c>
      <c r="AP192" s="3">
        <f>IFERROR(__xludf.DUMMYFUNCTION("""COMPUTED_VALUE"""),0.0)</f>
        <v>0</v>
      </c>
      <c r="AQ192" s="3">
        <f>IFERROR(__xludf.DUMMYFUNCTION("""COMPUTED_VALUE"""),0.0)</f>
        <v>0</v>
      </c>
      <c r="AR192" s="3">
        <f>IFERROR(__xludf.DUMMYFUNCTION("""COMPUTED_VALUE"""),0.0)</f>
        <v>0</v>
      </c>
      <c r="AS192" s="3">
        <f>IFERROR(__xludf.DUMMYFUNCTION("""COMPUTED_VALUE"""),0.0)</f>
        <v>0</v>
      </c>
      <c r="AT192" s="3">
        <f>IFERROR(__xludf.DUMMYFUNCTION("""COMPUTED_VALUE"""),0.0)</f>
        <v>0</v>
      </c>
      <c r="AU192" s="3">
        <f>IFERROR(__xludf.DUMMYFUNCTION("""COMPUTED_VALUE"""),0.0)</f>
        <v>0</v>
      </c>
      <c r="AV192" s="3">
        <f>IFERROR(__xludf.DUMMYFUNCTION("""COMPUTED_VALUE"""),0.0)</f>
        <v>0</v>
      </c>
      <c r="AW192" s="3">
        <f>IFERROR(__xludf.DUMMYFUNCTION("""COMPUTED_VALUE"""),0.0)</f>
        <v>0</v>
      </c>
      <c r="AX192" s="3">
        <f>IFERROR(__xludf.DUMMYFUNCTION("""COMPUTED_VALUE"""),0.0)</f>
        <v>0</v>
      </c>
      <c r="AY192" s="3">
        <f>IFERROR(__xludf.DUMMYFUNCTION("""COMPUTED_VALUE"""),0.0)</f>
        <v>0</v>
      </c>
      <c r="AZ192" s="3">
        <f>IFERROR(__xludf.DUMMYFUNCTION("""COMPUTED_VALUE"""),0.0)</f>
        <v>0</v>
      </c>
      <c r="BA192" s="3">
        <f>IFERROR(__xludf.DUMMYFUNCTION("""COMPUTED_VALUE"""),1.0)</f>
        <v>1</v>
      </c>
      <c r="BB192" s="3">
        <f>IFERROR(__xludf.DUMMYFUNCTION("""COMPUTED_VALUE"""),1.0)</f>
        <v>1</v>
      </c>
      <c r="BC192" s="3">
        <f>IFERROR(__xludf.DUMMYFUNCTION("""COMPUTED_VALUE"""),1.0)</f>
        <v>1</v>
      </c>
      <c r="BD192" s="3">
        <f>IFERROR(__xludf.DUMMYFUNCTION("""COMPUTED_VALUE"""),1.0)</f>
        <v>1</v>
      </c>
      <c r="BE192" s="3">
        <f>IFERROR(__xludf.DUMMYFUNCTION("""COMPUTED_VALUE"""),1.0)</f>
        <v>1</v>
      </c>
      <c r="BF192" s="3">
        <f>IFERROR(__xludf.DUMMYFUNCTION("""COMPUTED_VALUE"""),1.0)</f>
        <v>1</v>
      </c>
      <c r="BG192" s="3">
        <f>IFERROR(__xludf.DUMMYFUNCTION("""COMPUTED_VALUE"""),2.0)</f>
        <v>2</v>
      </c>
      <c r="BH192" s="3">
        <f>IFERROR(__xludf.DUMMYFUNCTION("""COMPUTED_VALUE"""),6.0)</f>
        <v>6</v>
      </c>
      <c r="BI192" s="3">
        <f>IFERROR(__xludf.DUMMYFUNCTION("""COMPUTED_VALUE"""),6.0)</f>
        <v>6</v>
      </c>
      <c r="BJ192" s="3">
        <f>IFERROR(__xludf.DUMMYFUNCTION("""COMPUTED_VALUE"""),6.0)</f>
        <v>6</v>
      </c>
      <c r="BK192" s="3">
        <f>IFERROR(__xludf.DUMMYFUNCTION("""COMPUTED_VALUE"""),8.0)</f>
        <v>8</v>
      </c>
      <c r="BL192" s="3">
        <f>IFERROR(__xludf.DUMMYFUNCTION("""COMPUTED_VALUE"""),16.0)</f>
        <v>16</v>
      </c>
      <c r="BM192" s="3">
        <f>IFERROR(__xludf.DUMMYFUNCTION("""COMPUTED_VALUE"""),16.0)</f>
        <v>16</v>
      </c>
      <c r="BN192" s="3">
        <f>IFERROR(__xludf.DUMMYFUNCTION("""COMPUTED_VALUE"""),16.0)</f>
        <v>16</v>
      </c>
      <c r="BO192" s="3">
        <f>IFERROR(__xludf.DUMMYFUNCTION("""COMPUTED_VALUE"""),28.0)</f>
        <v>28</v>
      </c>
      <c r="BP192" s="3">
        <f>IFERROR(__xludf.DUMMYFUNCTION("""COMPUTED_VALUE"""),29.0)</f>
        <v>29</v>
      </c>
      <c r="BQ192" s="3">
        <f>IFERROR(__xludf.DUMMYFUNCTION("""COMPUTED_VALUE"""),33.0)</f>
        <v>33</v>
      </c>
      <c r="BR192" s="3">
        <f>IFERROR(__xludf.DUMMYFUNCTION("""COMPUTED_VALUE"""),35.0)</f>
        <v>35</v>
      </c>
      <c r="BS192" s="3">
        <f>IFERROR(__xludf.DUMMYFUNCTION("""COMPUTED_VALUE"""),37.0)</f>
        <v>37</v>
      </c>
      <c r="BT192" s="3">
        <f>IFERROR(__xludf.DUMMYFUNCTION("""COMPUTED_VALUE"""),66.0)</f>
        <v>66</v>
      </c>
      <c r="BU192" s="3">
        <f>IFERROR(__xludf.DUMMYFUNCTION("""COMPUTED_VALUE"""),115.0)</f>
        <v>115</v>
      </c>
      <c r="BV192" s="3">
        <f>IFERROR(__xludf.DUMMYFUNCTION("""COMPUTED_VALUE"""),165.0)</f>
        <v>165</v>
      </c>
      <c r="BW192" s="3">
        <f>IFERROR(__xludf.DUMMYFUNCTION("""COMPUTED_VALUE"""),264.0)</f>
        <v>264</v>
      </c>
      <c r="BX192" s="3">
        <f>IFERROR(__xludf.DUMMYFUNCTION("""COMPUTED_VALUE"""),328.0)</f>
        <v>328</v>
      </c>
      <c r="BY192" s="3">
        <f>IFERROR(__xludf.DUMMYFUNCTION("""COMPUTED_VALUE"""),351.0)</f>
        <v>351</v>
      </c>
      <c r="BZ192" s="3">
        <f>IFERROR(__xludf.DUMMYFUNCTION("""COMPUTED_VALUE"""),420.0)</f>
        <v>420</v>
      </c>
      <c r="CA192" s="3">
        <f>IFERROR(__xludf.DUMMYFUNCTION("""COMPUTED_VALUE"""),488.0)</f>
        <v>488</v>
      </c>
      <c r="CB192" s="3">
        <f>IFERROR(__xludf.DUMMYFUNCTION("""COMPUTED_VALUE"""),551.0)</f>
        <v>551</v>
      </c>
    </row>
    <row r="193">
      <c r="A193" s="3" t="str">
        <f>IFERROR(__xludf.DUMMYFUNCTION("""COMPUTED_VALUE"""),"")</f>
        <v/>
      </c>
      <c r="B193" s="3" t="str">
        <f>IFERROR(__xludf.DUMMYFUNCTION("""COMPUTED_VALUE"""),"Senegal")</f>
        <v>Senegal</v>
      </c>
      <c r="C193" s="3">
        <f>IFERROR(__xludf.DUMMYFUNCTION("""COMPUTED_VALUE"""),14.4974)</f>
        <v>14.4974</v>
      </c>
      <c r="D193" s="3">
        <f>IFERROR(__xludf.DUMMYFUNCTION("""COMPUTED_VALUE"""),-14.4524)</f>
        <v>-14.4524</v>
      </c>
      <c r="E193" s="3">
        <f>IFERROR(__xludf.DUMMYFUNCTION("""COMPUTED_VALUE"""),0.0)</f>
        <v>0</v>
      </c>
      <c r="F193" s="3">
        <f>IFERROR(__xludf.DUMMYFUNCTION("""COMPUTED_VALUE"""),0.0)</f>
        <v>0</v>
      </c>
      <c r="G193" s="3">
        <f>IFERROR(__xludf.DUMMYFUNCTION("""COMPUTED_VALUE"""),0.0)</f>
        <v>0</v>
      </c>
      <c r="H193" s="3">
        <f>IFERROR(__xludf.DUMMYFUNCTION("""COMPUTED_VALUE"""),0.0)</f>
        <v>0</v>
      </c>
      <c r="I193" s="3">
        <f>IFERROR(__xludf.DUMMYFUNCTION("""COMPUTED_VALUE"""),0.0)</f>
        <v>0</v>
      </c>
      <c r="J193" s="3">
        <f>IFERROR(__xludf.DUMMYFUNCTION("""COMPUTED_VALUE"""),0.0)</f>
        <v>0</v>
      </c>
      <c r="K193" s="3">
        <f>IFERROR(__xludf.DUMMYFUNCTION("""COMPUTED_VALUE"""),0.0)</f>
        <v>0</v>
      </c>
      <c r="L193" s="3">
        <f>IFERROR(__xludf.DUMMYFUNCTION("""COMPUTED_VALUE"""),0.0)</f>
        <v>0</v>
      </c>
      <c r="M193" s="3">
        <f>IFERROR(__xludf.DUMMYFUNCTION("""COMPUTED_VALUE"""),0.0)</f>
        <v>0</v>
      </c>
      <c r="N193" s="3">
        <f>IFERROR(__xludf.DUMMYFUNCTION("""COMPUTED_VALUE"""),0.0)</f>
        <v>0</v>
      </c>
      <c r="O193" s="3">
        <f>IFERROR(__xludf.DUMMYFUNCTION("""COMPUTED_VALUE"""),0.0)</f>
        <v>0</v>
      </c>
      <c r="P193" s="3">
        <f>IFERROR(__xludf.DUMMYFUNCTION("""COMPUTED_VALUE"""),0.0)</f>
        <v>0</v>
      </c>
      <c r="Q193" s="3">
        <f>IFERROR(__xludf.DUMMYFUNCTION("""COMPUTED_VALUE"""),0.0)</f>
        <v>0</v>
      </c>
      <c r="R193" s="3">
        <f>IFERROR(__xludf.DUMMYFUNCTION("""COMPUTED_VALUE"""),0.0)</f>
        <v>0</v>
      </c>
      <c r="S193" s="3">
        <f>IFERROR(__xludf.DUMMYFUNCTION("""COMPUTED_VALUE"""),0.0)</f>
        <v>0</v>
      </c>
      <c r="T193" s="3">
        <f>IFERROR(__xludf.DUMMYFUNCTION("""COMPUTED_VALUE"""),0.0)</f>
        <v>0</v>
      </c>
      <c r="U193" s="3">
        <f>IFERROR(__xludf.DUMMYFUNCTION("""COMPUTED_VALUE"""),0.0)</f>
        <v>0</v>
      </c>
      <c r="V193" s="3">
        <f>IFERROR(__xludf.DUMMYFUNCTION("""COMPUTED_VALUE"""),0.0)</f>
        <v>0</v>
      </c>
      <c r="W193" s="3">
        <f>IFERROR(__xludf.DUMMYFUNCTION("""COMPUTED_VALUE"""),0.0)</f>
        <v>0</v>
      </c>
      <c r="X193" s="3">
        <f>IFERROR(__xludf.DUMMYFUNCTION("""COMPUTED_VALUE"""),0.0)</f>
        <v>0</v>
      </c>
      <c r="Y193" s="3">
        <f>IFERROR(__xludf.DUMMYFUNCTION("""COMPUTED_VALUE"""),0.0)</f>
        <v>0</v>
      </c>
      <c r="Z193" s="3">
        <f>IFERROR(__xludf.DUMMYFUNCTION("""COMPUTED_VALUE"""),0.0)</f>
        <v>0</v>
      </c>
      <c r="AA193" s="3">
        <f>IFERROR(__xludf.DUMMYFUNCTION("""COMPUTED_VALUE"""),0.0)</f>
        <v>0</v>
      </c>
      <c r="AB193" s="3">
        <f>IFERROR(__xludf.DUMMYFUNCTION("""COMPUTED_VALUE"""),0.0)</f>
        <v>0</v>
      </c>
      <c r="AC193" s="3">
        <f>IFERROR(__xludf.DUMMYFUNCTION("""COMPUTED_VALUE"""),0.0)</f>
        <v>0</v>
      </c>
      <c r="AD193" s="3">
        <f>IFERROR(__xludf.DUMMYFUNCTION("""COMPUTED_VALUE"""),0.0)</f>
        <v>0</v>
      </c>
      <c r="AE193" s="3">
        <f>IFERROR(__xludf.DUMMYFUNCTION("""COMPUTED_VALUE"""),0.0)</f>
        <v>0</v>
      </c>
      <c r="AF193" s="3">
        <f>IFERROR(__xludf.DUMMYFUNCTION("""COMPUTED_VALUE"""),0.0)</f>
        <v>0</v>
      </c>
      <c r="AG193" s="3">
        <f>IFERROR(__xludf.DUMMYFUNCTION("""COMPUTED_VALUE"""),0.0)</f>
        <v>0</v>
      </c>
      <c r="AH193" s="3">
        <f>IFERROR(__xludf.DUMMYFUNCTION("""COMPUTED_VALUE"""),0.0)</f>
        <v>0</v>
      </c>
      <c r="AI193" s="3">
        <f>IFERROR(__xludf.DUMMYFUNCTION("""COMPUTED_VALUE"""),0.0)</f>
        <v>0</v>
      </c>
      <c r="AJ193" s="3">
        <f>IFERROR(__xludf.DUMMYFUNCTION("""COMPUTED_VALUE"""),0.0)</f>
        <v>0</v>
      </c>
      <c r="AK193" s="3">
        <f>IFERROR(__xludf.DUMMYFUNCTION("""COMPUTED_VALUE"""),0.0)</f>
        <v>0</v>
      </c>
      <c r="AL193" s="3">
        <f>IFERROR(__xludf.DUMMYFUNCTION("""COMPUTED_VALUE"""),0.0)</f>
        <v>0</v>
      </c>
      <c r="AM193" s="3">
        <f>IFERROR(__xludf.DUMMYFUNCTION("""COMPUTED_VALUE"""),0.0)</f>
        <v>0</v>
      </c>
      <c r="AN193" s="3">
        <f>IFERROR(__xludf.DUMMYFUNCTION("""COMPUTED_VALUE"""),0.0)</f>
        <v>0</v>
      </c>
      <c r="AO193" s="3">
        <f>IFERROR(__xludf.DUMMYFUNCTION("""COMPUTED_VALUE"""),0.0)</f>
        <v>0</v>
      </c>
      <c r="AP193" s="3">
        <f>IFERROR(__xludf.DUMMYFUNCTION("""COMPUTED_VALUE"""),0.0)</f>
        <v>0</v>
      </c>
      <c r="AQ193" s="3">
        <f>IFERROR(__xludf.DUMMYFUNCTION("""COMPUTED_VALUE"""),0.0)</f>
        <v>0</v>
      </c>
      <c r="AR193" s="3">
        <f>IFERROR(__xludf.DUMMYFUNCTION("""COMPUTED_VALUE"""),0.0)</f>
        <v>0</v>
      </c>
      <c r="AS193" s="3">
        <f>IFERROR(__xludf.DUMMYFUNCTION("""COMPUTED_VALUE"""),0.0)</f>
        <v>0</v>
      </c>
      <c r="AT193" s="3">
        <f>IFERROR(__xludf.DUMMYFUNCTION("""COMPUTED_VALUE"""),0.0)</f>
        <v>0</v>
      </c>
      <c r="AU193" s="3">
        <f>IFERROR(__xludf.DUMMYFUNCTION("""COMPUTED_VALUE"""),0.0)</f>
        <v>0</v>
      </c>
      <c r="AV193" s="3">
        <f>IFERROR(__xludf.DUMMYFUNCTION("""COMPUTED_VALUE"""),0.0)</f>
        <v>0</v>
      </c>
      <c r="AW193" s="3">
        <f>IFERROR(__xludf.DUMMYFUNCTION("""COMPUTED_VALUE"""),0.0)</f>
        <v>0</v>
      </c>
      <c r="AX193" s="3">
        <f>IFERROR(__xludf.DUMMYFUNCTION("""COMPUTED_VALUE"""),0.0)</f>
        <v>0</v>
      </c>
      <c r="AY193" s="3">
        <f>IFERROR(__xludf.DUMMYFUNCTION("""COMPUTED_VALUE"""),1.0)</f>
        <v>1</v>
      </c>
      <c r="AZ193" s="3">
        <f>IFERROR(__xludf.DUMMYFUNCTION("""COMPUTED_VALUE"""),1.0)</f>
        <v>1</v>
      </c>
      <c r="BA193" s="3">
        <f>IFERROR(__xludf.DUMMYFUNCTION("""COMPUTED_VALUE"""),1.0)</f>
        <v>1</v>
      </c>
      <c r="BB193" s="3">
        <f>IFERROR(__xludf.DUMMYFUNCTION("""COMPUTED_VALUE"""),1.0)</f>
        <v>1</v>
      </c>
      <c r="BC193" s="3">
        <f>IFERROR(__xludf.DUMMYFUNCTION("""COMPUTED_VALUE"""),1.0)</f>
        <v>1</v>
      </c>
      <c r="BD193" s="3">
        <f>IFERROR(__xludf.DUMMYFUNCTION("""COMPUTED_VALUE"""),1.0)</f>
        <v>1</v>
      </c>
      <c r="BE193" s="3">
        <f>IFERROR(__xludf.DUMMYFUNCTION("""COMPUTED_VALUE"""),1.0)</f>
        <v>1</v>
      </c>
      <c r="BF193" s="3">
        <f>IFERROR(__xludf.DUMMYFUNCTION("""COMPUTED_VALUE"""),1.0)</f>
        <v>1</v>
      </c>
      <c r="BG193" s="3">
        <f>IFERROR(__xludf.DUMMYFUNCTION("""COMPUTED_VALUE"""),2.0)</f>
        <v>2</v>
      </c>
      <c r="BH193" s="3">
        <f>IFERROR(__xludf.DUMMYFUNCTION("""COMPUTED_VALUE"""),2.0)</f>
        <v>2</v>
      </c>
      <c r="BI193" s="3">
        <f>IFERROR(__xludf.DUMMYFUNCTION("""COMPUTED_VALUE"""),2.0)</f>
        <v>2</v>
      </c>
      <c r="BJ193" s="3">
        <f>IFERROR(__xludf.DUMMYFUNCTION("""COMPUTED_VALUE"""),2.0)</f>
        <v>2</v>
      </c>
      <c r="BK193" s="3">
        <f>IFERROR(__xludf.DUMMYFUNCTION("""COMPUTED_VALUE"""),2.0)</f>
        <v>2</v>
      </c>
      <c r="BL193" s="3">
        <f>IFERROR(__xludf.DUMMYFUNCTION("""COMPUTED_VALUE"""),5.0)</f>
        <v>5</v>
      </c>
      <c r="BM193" s="3">
        <f>IFERROR(__xludf.DUMMYFUNCTION("""COMPUTED_VALUE"""),5.0)</f>
        <v>5</v>
      </c>
      <c r="BN193" s="3">
        <f>IFERROR(__xludf.DUMMYFUNCTION("""COMPUTED_VALUE"""),5.0)</f>
        <v>5</v>
      </c>
      <c r="BO193" s="3">
        <f>IFERROR(__xludf.DUMMYFUNCTION("""COMPUTED_VALUE"""),8.0)</f>
        <v>8</v>
      </c>
      <c r="BP193" s="3">
        <f>IFERROR(__xludf.DUMMYFUNCTION("""COMPUTED_VALUE"""),9.0)</f>
        <v>9</v>
      </c>
      <c r="BQ193" s="3">
        <f>IFERROR(__xludf.DUMMYFUNCTION("""COMPUTED_VALUE"""),9.0)</f>
        <v>9</v>
      </c>
      <c r="BR193" s="3">
        <f>IFERROR(__xludf.DUMMYFUNCTION("""COMPUTED_VALUE"""),11.0)</f>
        <v>11</v>
      </c>
      <c r="BS193" s="3">
        <f>IFERROR(__xludf.DUMMYFUNCTION("""COMPUTED_VALUE"""),18.0)</f>
        <v>18</v>
      </c>
      <c r="BT193" s="3">
        <f>IFERROR(__xludf.DUMMYFUNCTION("""COMPUTED_VALUE"""),27.0)</f>
        <v>27</v>
      </c>
      <c r="BU193" s="3">
        <f>IFERROR(__xludf.DUMMYFUNCTION("""COMPUTED_VALUE"""),27.0)</f>
        <v>27</v>
      </c>
      <c r="BV193" s="3">
        <f>IFERROR(__xludf.DUMMYFUNCTION("""COMPUTED_VALUE"""),40.0)</f>
        <v>40</v>
      </c>
      <c r="BW193" s="3">
        <f>IFERROR(__xludf.DUMMYFUNCTION("""COMPUTED_VALUE"""),45.0)</f>
        <v>45</v>
      </c>
      <c r="BX193" s="3">
        <f>IFERROR(__xludf.DUMMYFUNCTION("""COMPUTED_VALUE"""),55.0)</f>
        <v>55</v>
      </c>
      <c r="BY193" s="3">
        <f>IFERROR(__xludf.DUMMYFUNCTION("""COMPUTED_VALUE"""),66.0)</f>
        <v>66</v>
      </c>
      <c r="BZ193" s="3">
        <f>IFERROR(__xludf.DUMMYFUNCTION("""COMPUTED_VALUE"""),72.0)</f>
        <v>72</v>
      </c>
      <c r="CA193" s="3">
        <f>IFERROR(__xludf.DUMMYFUNCTION("""COMPUTED_VALUE"""),82.0)</f>
        <v>82</v>
      </c>
      <c r="CB193" s="3">
        <f>IFERROR(__xludf.DUMMYFUNCTION("""COMPUTED_VALUE"""),92.0)</f>
        <v>92</v>
      </c>
    </row>
    <row r="194">
      <c r="A194" s="3" t="str">
        <f>IFERROR(__xludf.DUMMYFUNCTION("""COMPUTED_VALUE"""),"")</f>
        <v/>
      </c>
      <c r="B194" s="3" t="str">
        <f>IFERROR(__xludf.DUMMYFUNCTION("""COMPUTED_VALUE"""),"Serbia")</f>
        <v>Serbia</v>
      </c>
      <c r="C194" s="3">
        <f>IFERROR(__xludf.DUMMYFUNCTION("""COMPUTED_VALUE"""),44.0165)</f>
        <v>44.0165</v>
      </c>
      <c r="D194" s="3">
        <f>IFERROR(__xludf.DUMMYFUNCTION("""COMPUTED_VALUE"""),21.0059)</f>
        <v>21.0059</v>
      </c>
      <c r="E194" s="3">
        <f>IFERROR(__xludf.DUMMYFUNCTION("""COMPUTED_VALUE"""),0.0)</f>
        <v>0</v>
      </c>
      <c r="F194" s="3">
        <f>IFERROR(__xludf.DUMMYFUNCTION("""COMPUTED_VALUE"""),0.0)</f>
        <v>0</v>
      </c>
      <c r="G194" s="3">
        <f>IFERROR(__xludf.DUMMYFUNCTION("""COMPUTED_VALUE"""),0.0)</f>
        <v>0</v>
      </c>
      <c r="H194" s="3">
        <f>IFERROR(__xludf.DUMMYFUNCTION("""COMPUTED_VALUE"""),0.0)</f>
        <v>0</v>
      </c>
      <c r="I194" s="3">
        <f>IFERROR(__xludf.DUMMYFUNCTION("""COMPUTED_VALUE"""),0.0)</f>
        <v>0</v>
      </c>
      <c r="J194" s="3">
        <f>IFERROR(__xludf.DUMMYFUNCTION("""COMPUTED_VALUE"""),0.0)</f>
        <v>0</v>
      </c>
      <c r="K194" s="3">
        <f>IFERROR(__xludf.DUMMYFUNCTION("""COMPUTED_VALUE"""),0.0)</f>
        <v>0</v>
      </c>
      <c r="L194" s="3">
        <f>IFERROR(__xludf.DUMMYFUNCTION("""COMPUTED_VALUE"""),0.0)</f>
        <v>0</v>
      </c>
      <c r="M194" s="3">
        <f>IFERROR(__xludf.DUMMYFUNCTION("""COMPUTED_VALUE"""),0.0)</f>
        <v>0</v>
      </c>
      <c r="N194" s="3">
        <f>IFERROR(__xludf.DUMMYFUNCTION("""COMPUTED_VALUE"""),0.0)</f>
        <v>0</v>
      </c>
      <c r="O194" s="3">
        <f>IFERROR(__xludf.DUMMYFUNCTION("""COMPUTED_VALUE"""),0.0)</f>
        <v>0</v>
      </c>
      <c r="P194" s="3">
        <f>IFERROR(__xludf.DUMMYFUNCTION("""COMPUTED_VALUE"""),0.0)</f>
        <v>0</v>
      </c>
      <c r="Q194" s="3">
        <f>IFERROR(__xludf.DUMMYFUNCTION("""COMPUTED_VALUE"""),0.0)</f>
        <v>0</v>
      </c>
      <c r="R194" s="3">
        <f>IFERROR(__xludf.DUMMYFUNCTION("""COMPUTED_VALUE"""),0.0)</f>
        <v>0</v>
      </c>
      <c r="S194" s="3">
        <f>IFERROR(__xludf.DUMMYFUNCTION("""COMPUTED_VALUE"""),0.0)</f>
        <v>0</v>
      </c>
      <c r="T194" s="3">
        <f>IFERROR(__xludf.DUMMYFUNCTION("""COMPUTED_VALUE"""),0.0)</f>
        <v>0</v>
      </c>
      <c r="U194" s="3">
        <f>IFERROR(__xludf.DUMMYFUNCTION("""COMPUTED_VALUE"""),0.0)</f>
        <v>0</v>
      </c>
      <c r="V194" s="3">
        <f>IFERROR(__xludf.DUMMYFUNCTION("""COMPUTED_VALUE"""),0.0)</f>
        <v>0</v>
      </c>
      <c r="W194" s="3">
        <f>IFERROR(__xludf.DUMMYFUNCTION("""COMPUTED_VALUE"""),0.0)</f>
        <v>0</v>
      </c>
      <c r="X194" s="3">
        <f>IFERROR(__xludf.DUMMYFUNCTION("""COMPUTED_VALUE"""),0.0)</f>
        <v>0</v>
      </c>
      <c r="Y194" s="3">
        <f>IFERROR(__xludf.DUMMYFUNCTION("""COMPUTED_VALUE"""),0.0)</f>
        <v>0</v>
      </c>
      <c r="Z194" s="3">
        <f>IFERROR(__xludf.DUMMYFUNCTION("""COMPUTED_VALUE"""),0.0)</f>
        <v>0</v>
      </c>
      <c r="AA194" s="3">
        <f>IFERROR(__xludf.DUMMYFUNCTION("""COMPUTED_VALUE"""),0.0)</f>
        <v>0</v>
      </c>
      <c r="AB194" s="3">
        <f>IFERROR(__xludf.DUMMYFUNCTION("""COMPUTED_VALUE"""),0.0)</f>
        <v>0</v>
      </c>
      <c r="AC194" s="3">
        <f>IFERROR(__xludf.DUMMYFUNCTION("""COMPUTED_VALUE"""),0.0)</f>
        <v>0</v>
      </c>
      <c r="AD194" s="3">
        <f>IFERROR(__xludf.DUMMYFUNCTION("""COMPUTED_VALUE"""),0.0)</f>
        <v>0</v>
      </c>
      <c r="AE194" s="3">
        <f>IFERROR(__xludf.DUMMYFUNCTION("""COMPUTED_VALUE"""),0.0)</f>
        <v>0</v>
      </c>
      <c r="AF194" s="3">
        <f>IFERROR(__xludf.DUMMYFUNCTION("""COMPUTED_VALUE"""),0.0)</f>
        <v>0</v>
      </c>
      <c r="AG194" s="3">
        <f>IFERROR(__xludf.DUMMYFUNCTION("""COMPUTED_VALUE"""),0.0)</f>
        <v>0</v>
      </c>
      <c r="AH194" s="3">
        <f>IFERROR(__xludf.DUMMYFUNCTION("""COMPUTED_VALUE"""),0.0)</f>
        <v>0</v>
      </c>
      <c r="AI194" s="3">
        <f>IFERROR(__xludf.DUMMYFUNCTION("""COMPUTED_VALUE"""),0.0)</f>
        <v>0</v>
      </c>
      <c r="AJ194" s="3">
        <f>IFERROR(__xludf.DUMMYFUNCTION("""COMPUTED_VALUE"""),0.0)</f>
        <v>0</v>
      </c>
      <c r="AK194" s="3">
        <f>IFERROR(__xludf.DUMMYFUNCTION("""COMPUTED_VALUE"""),0.0)</f>
        <v>0</v>
      </c>
      <c r="AL194" s="3">
        <f>IFERROR(__xludf.DUMMYFUNCTION("""COMPUTED_VALUE"""),0.0)</f>
        <v>0</v>
      </c>
      <c r="AM194" s="3">
        <f>IFERROR(__xludf.DUMMYFUNCTION("""COMPUTED_VALUE"""),0.0)</f>
        <v>0</v>
      </c>
      <c r="AN194" s="3">
        <f>IFERROR(__xludf.DUMMYFUNCTION("""COMPUTED_VALUE"""),0.0)</f>
        <v>0</v>
      </c>
      <c r="AO194" s="3">
        <f>IFERROR(__xludf.DUMMYFUNCTION("""COMPUTED_VALUE"""),0.0)</f>
        <v>0</v>
      </c>
      <c r="AP194" s="3">
        <f>IFERROR(__xludf.DUMMYFUNCTION("""COMPUTED_VALUE"""),0.0)</f>
        <v>0</v>
      </c>
      <c r="AQ194" s="3">
        <f>IFERROR(__xludf.DUMMYFUNCTION("""COMPUTED_VALUE"""),0.0)</f>
        <v>0</v>
      </c>
      <c r="AR194" s="3">
        <f>IFERROR(__xludf.DUMMYFUNCTION("""COMPUTED_VALUE"""),0.0)</f>
        <v>0</v>
      </c>
      <c r="AS194" s="3">
        <f>IFERROR(__xludf.DUMMYFUNCTION("""COMPUTED_VALUE"""),0.0)</f>
        <v>0</v>
      </c>
      <c r="AT194" s="3">
        <f>IFERROR(__xludf.DUMMYFUNCTION("""COMPUTED_VALUE"""),0.0)</f>
        <v>0</v>
      </c>
      <c r="AU194" s="3">
        <f>IFERROR(__xludf.DUMMYFUNCTION("""COMPUTED_VALUE"""),0.0)</f>
        <v>0</v>
      </c>
      <c r="AV194" s="3">
        <f>IFERROR(__xludf.DUMMYFUNCTION("""COMPUTED_VALUE"""),0.0)</f>
        <v>0</v>
      </c>
      <c r="AW194" s="3">
        <f>IFERROR(__xludf.DUMMYFUNCTION("""COMPUTED_VALUE"""),0.0)</f>
        <v>0</v>
      </c>
      <c r="AX194" s="3">
        <f>IFERROR(__xludf.DUMMYFUNCTION("""COMPUTED_VALUE"""),0.0)</f>
        <v>0</v>
      </c>
      <c r="AY194" s="3">
        <f>IFERROR(__xludf.DUMMYFUNCTION("""COMPUTED_VALUE"""),0.0)</f>
        <v>0</v>
      </c>
      <c r="AZ194" s="3">
        <f>IFERROR(__xludf.DUMMYFUNCTION("""COMPUTED_VALUE"""),0.0)</f>
        <v>0</v>
      </c>
      <c r="BA194" s="3">
        <f>IFERROR(__xludf.DUMMYFUNCTION("""COMPUTED_VALUE"""),0.0)</f>
        <v>0</v>
      </c>
      <c r="BB194" s="3">
        <f>IFERROR(__xludf.DUMMYFUNCTION("""COMPUTED_VALUE"""),0.0)</f>
        <v>0</v>
      </c>
      <c r="BC194" s="3">
        <f>IFERROR(__xludf.DUMMYFUNCTION("""COMPUTED_VALUE"""),0.0)</f>
        <v>0</v>
      </c>
      <c r="BD194" s="3">
        <f>IFERROR(__xludf.DUMMYFUNCTION("""COMPUTED_VALUE"""),0.0)</f>
        <v>0</v>
      </c>
      <c r="BE194" s="3">
        <f>IFERROR(__xludf.DUMMYFUNCTION("""COMPUTED_VALUE"""),0.0)</f>
        <v>0</v>
      </c>
      <c r="BF194" s="3">
        <f>IFERROR(__xludf.DUMMYFUNCTION("""COMPUTED_VALUE"""),0.0)</f>
        <v>0</v>
      </c>
      <c r="BG194" s="3">
        <f>IFERROR(__xludf.DUMMYFUNCTION("""COMPUTED_VALUE"""),1.0)</f>
        <v>1</v>
      </c>
      <c r="BH194" s="3">
        <f>IFERROR(__xludf.DUMMYFUNCTION("""COMPUTED_VALUE"""),1.0)</f>
        <v>1</v>
      </c>
      <c r="BI194" s="3">
        <f>IFERROR(__xludf.DUMMYFUNCTION("""COMPUTED_VALUE"""),1.0)</f>
        <v>1</v>
      </c>
      <c r="BJ194" s="3">
        <f>IFERROR(__xludf.DUMMYFUNCTION("""COMPUTED_VALUE"""),1.0)</f>
        <v>1</v>
      </c>
      <c r="BK194" s="3">
        <f>IFERROR(__xludf.DUMMYFUNCTION("""COMPUTED_VALUE"""),1.0)</f>
        <v>1</v>
      </c>
      <c r="BL194" s="3">
        <f>IFERROR(__xludf.DUMMYFUNCTION("""COMPUTED_VALUE"""),1.0)</f>
        <v>1</v>
      </c>
      <c r="BM194" s="3">
        <f>IFERROR(__xludf.DUMMYFUNCTION("""COMPUTED_VALUE"""),1.0)</f>
        <v>1</v>
      </c>
      <c r="BN194" s="3">
        <f>IFERROR(__xludf.DUMMYFUNCTION("""COMPUTED_VALUE"""),1.0)</f>
        <v>1</v>
      </c>
      <c r="BO194" s="3">
        <f>IFERROR(__xludf.DUMMYFUNCTION("""COMPUTED_VALUE"""),15.0)</f>
        <v>15</v>
      </c>
      <c r="BP194" s="3">
        <f>IFERROR(__xludf.DUMMYFUNCTION("""COMPUTED_VALUE"""),15.0)</f>
        <v>15</v>
      </c>
      <c r="BQ194" s="3">
        <f>IFERROR(__xludf.DUMMYFUNCTION("""COMPUTED_VALUE"""),0.0)</f>
        <v>0</v>
      </c>
      <c r="BR194" s="3">
        <f>IFERROR(__xludf.DUMMYFUNCTION("""COMPUTED_VALUE"""),0.0)</f>
        <v>0</v>
      </c>
      <c r="BS194" s="3">
        <f>IFERROR(__xludf.DUMMYFUNCTION("""COMPUTED_VALUE"""),0.0)</f>
        <v>0</v>
      </c>
      <c r="BT194" s="3">
        <f>IFERROR(__xludf.DUMMYFUNCTION("""COMPUTED_VALUE"""),0.0)</f>
        <v>0</v>
      </c>
      <c r="BU194" s="3">
        <f>IFERROR(__xludf.DUMMYFUNCTION("""COMPUTED_VALUE"""),0.0)</f>
        <v>0</v>
      </c>
      <c r="BV194" s="3">
        <f>IFERROR(__xludf.DUMMYFUNCTION("""COMPUTED_VALUE"""),0.0)</f>
        <v>0</v>
      </c>
      <c r="BW194" s="3">
        <f>IFERROR(__xludf.DUMMYFUNCTION("""COMPUTED_VALUE"""),0.0)</f>
        <v>0</v>
      </c>
      <c r="BX194" s="3">
        <f>IFERROR(__xludf.DUMMYFUNCTION("""COMPUTED_VALUE"""),0.0)</f>
        <v>0</v>
      </c>
      <c r="BY194" s="3">
        <f>IFERROR(__xludf.DUMMYFUNCTION("""COMPUTED_VALUE"""),0.0)</f>
        <v>0</v>
      </c>
      <c r="BZ194" s="3">
        <f>IFERROR(__xludf.DUMMYFUNCTION("""COMPUTED_VALUE"""),0.0)</f>
        <v>0</v>
      </c>
      <c r="CA194" s="3">
        <f>IFERROR(__xludf.DUMMYFUNCTION("""COMPUTED_VALUE"""),0.0)</f>
        <v>0</v>
      </c>
      <c r="CB194" s="3">
        <f>IFERROR(__xludf.DUMMYFUNCTION("""COMPUTED_VALUE"""),0.0)</f>
        <v>0</v>
      </c>
    </row>
    <row r="195">
      <c r="A195" s="3" t="str">
        <f>IFERROR(__xludf.DUMMYFUNCTION("""COMPUTED_VALUE"""),"")</f>
        <v/>
      </c>
      <c r="B195" s="3" t="str">
        <f>IFERROR(__xludf.DUMMYFUNCTION("""COMPUTED_VALUE"""),"Seychelles")</f>
        <v>Seychelles</v>
      </c>
      <c r="C195" s="3">
        <f>IFERROR(__xludf.DUMMYFUNCTION("""COMPUTED_VALUE"""),-4.6796)</f>
        <v>-4.6796</v>
      </c>
      <c r="D195" s="3">
        <f>IFERROR(__xludf.DUMMYFUNCTION("""COMPUTED_VALUE"""),55.492)</f>
        <v>55.492</v>
      </c>
      <c r="E195" s="3">
        <f>IFERROR(__xludf.DUMMYFUNCTION("""COMPUTED_VALUE"""),0.0)</f>
        <v>0</v>
      </c>
      <c r="F195" s="3">
        <f>IFERROR(__xludf.DUMMYFUNCTION("""COMPUTED_VALUE"""),0.0)</f>
        <v>0</v>
      </c>
      <c r="G195" s="3">
        <f>IFERROR(__xludf.DUMMYFUNCTION("""COMPUTED_VALUE"""),0.0)</f>
        <v>0</v>
      </c>
      <c r="H195" s="3">
        <f>IFERROR(__xludf.DUMMYFUNCTION("""COMPUTED_VALUE"""),0.0)</f>
        <v>0</v>
      </c>
      <c r="I195" s="3">
        <f>IFERROR(__xludf.DUMMYFUNCTION("""COMPUTED_VALUE"""),0.0)</f>
        <v>0</v>
      </c>
      <c r="J195" s="3">
        <f>IFERROR(__xludf.DUMMYFUNCTION("""COMPUTED_VALUE"""),0.0)</f>
        <v>0</v>
      </c>
      <c r="K195" s="3">
        <f>IFERROR(__xludf.DUMMYFUNCTION("""COMPUTED_VALUE"""),0.0)</f>
        <v>0</v>
      </c>
      <c r="L195" s="3">
        <f>IFERROR(__xludf.DUMMYFUNCTION("""COMPUTED_VALUE"""),0.0)</f>
        <v>0</v>
      </c>
      <c r="M195" s="3">
        <f>IFERROR(__xludf.DUMMYFUNCTION("""COMPUTED_VALUE"""),0.0)</f>
        <v>0</v>
      </c>
      <c r="N195" s="3">
        <f>IFERROR(__xludf.DUMMYFUNCTION("""COMPUTED_VALUE"""),0.0)</f>
        <v>0</v>
      </c>
      <c r="O195" s="3">
        <f>IFERROR(__xludf.DUMMYFUNCTION("""COMPUTED_VALUE"""),0.0)</f>
        <v>0</v>
      </c>
      <c r="P195" s="3">
        <f>IFERROR(__xludf.DUMMYFUNCTION("""COMPUTED_VALUE"""),0.0)</f>
        <v>0</v>
      </c>
      <c r="Q195" s="3">
        <f>IFERROR(__xludf.DUMMYFUNCTION("""COMPUTED_VALUE"""),0.0)</f>
        <v>0</v>
      </c>
      <c r="R195" s="3">
        <f>IFERROR(__xludf.DUMMYFUNCTION("""COMPUTED_VALUE"""),0.0)</f>
        <v>0</v>
      </c>
      <c r="S195" s="3">
        <f>IFERROR(__xludf.DUMMYFUNCTION("""COMPUTED_VALUE"""),0.0)</f>
        <v>0</v>
      </c>
      <c r="T195" s="3">
        <f>IFERROR(__xludf.DUMMYFUNCTION("""COMPUTED_VALUE"""),0.0)</f>
        <v>0</v>
      </c>
      <c r="U195" s="3">
        <f>IFERROR(__xludf.DUMMYFUNCTION("""COMPUTED_VALUE"""),0.0)</f>
        <v>0</v>
      </c>
      <c r="V195" s="3">
        <f>IFERROR(__xludf.DUMMYFUNCTION("""COMPUTED_VALUE"""),0.0)</f>
        <v>0</v>
      </c>
      <c r="W195" s="3">
        <f>IFERROR(__xludf.DUMMYFUNCTION("""COMPUTED_VALUE"""),0.0)</f>
        <v>0</v>
      </c>
      <c r="X195" s="3">
        <f>IFERROR(__xludf.DUMMYFUNCTION("""COMPUTED_VALUE"""),0.0)</f>
        <v>0</v>
      </c>
      <c r="Y195" s="3">
        <f>IFERROR(__xludf.DUMMYFUNCTION("""COMPUTED_VALUE"""),0.0)</f>
        <v>0</v>
      </c>
      <c r="Z195" s="3">
        <f>IFERROR(__xludf.DUMMYFUNCTION("""COMPUTED_VALUE"""),0.0)</f>
        <v>0</v>
      </c>
      <c r="AA195" s="3">
        <f>IFERROR(__xludf.DUMMYFUNCTION("""COMPUTED_VALUE"""),0.0)</f>
        <v>0</v>
      </c>
      <c r="AB195" s="3">
        <f>IFERROR(__xludf.DUMMYFUNCTION("""COMPUTED_VALUE"""),0.0)</f>
        <v>0</v>
      </c>
      <c r="AC195" s="3">
        <f>IFERROR(__xludf.DUMMYFUNCTION("""COMPUTED_VALUE"""),0.0)</f>
        <v>0</v>
      </c>
      <c r="AD195" s="3">
        <f>IFERROR(__xludf.DUMMYFUNCTION("""COMPUTED_VALUE"""),0.0)</f>
        <v>0</v>
      </c>
      <c r="AE195" s="3">
        <f>IFERROR(__xludf.DUMMYFUNCTION("""COMPUTED_VALUE"""),0.0)</f>
        <v>0</v>
      </c>
      <c r="AF195" s="3">
        <f>IFERROR(__xludf.DUMMYFUNCTION("""COMPUTED_VALUE"""),0.0)</f>
        <v>0</v>
      </c>
      <c r="AG195" s="3">
        <f>IFERROR(__xludf.DUMMYFUNCTION("""COMPUTED_VALUE"""),0.0)</f>
        <v>0</v>
      </c>
      <c r="AH195" s="3">
        <f>IFERROR(__xludf.DUMMYFUNCTION("""COMPUTED_VALUE"""),0.0)</f>
        <v>0</v>
      </c>
      <c r="AI195" s="3">
        <f>IFERROR(__xludf.DUMMYFUNCTION("""COMPUTED_VALUE"""),0.0)</f>
        <v>0</v>
      </c>
      <c r="AJ195" s="3">
        <f>IFERROR(__xludf.DUMMYFUNCTION("""COMPUTED_VALUE"""),0.0)</f>
        <v>0</v>
      </c>
      <c r="AK195" s="3">
        <f>IFERROR(__xludf.DUMMYFUNCTION("""COMPUTED_VALUE"""),0.0)</f>
        <v>0</v>
      </c>
      <c r="AL195" s="3">
        <f>IFERROR(__xludf.DUMMYFUNCTION("""COMPUTED_VALUE"""),0.0)</f>
        <v>0</v>
      </c>
      <c r="AM195" s="3">
        <f>IFERROR(__xludf.DUMMYFUNCTION("""COMPUTED_VALUE"""),0.0)</f>
        <v>0</v>
      </c>
      <c r="AN195" s="3">
        <f>IFERROR(__xludf.DUMMYFUNCTION("""COMPUTED_VALUE"""),0.0)</f>
        <v>0</v>
      </c>
      <c r="AO195" s="3">
        <f>IFERROR(__xludf.DUMMYFUNCTION("""COMPUTED_VALUE"""),0.0)</f>
        <v>0</v>
      </c>
      <c r="AP195" s="3">
        <f>IFERROR(__xludf.DUMMYFUNCTION("""COMPUTED_VALUE"""),0.0)</f>
        <v>0</v>
      </c>
      <c r="AQ195" s="3">
        <f>IFERROR(__xludf.DUMMYFUNCTION("""COMPUTED_VALUE"""),0.0)</f>
        <v>0</v>
      </c>
      <c r="AR195" s="3">
        <f>IFERROR(__xludf.DUMMYFUNCTION("""COMPUTED_VALUE"""),0.0)</f>
        <v>0</v>
      </c>
      <c r="AS195" s="3">
        <f>IFERROR(__xludf.DUMMYFUNCTION("""COMPUTED_VALUE"""),0.0)</f>
        <v>0</v>
      </c>
      <c r="AT195" s="3">
        <f>IFERROR(__xludf.DUMMYFUNCTION("""COMPUTED_VALUE"""),0.0)</f>
        <v>0</v>
      </c>
      <c r="AU195" s="3">
        <f>IFERROR(__xludf.DUMMYFUNCTION("""COMPUTED_VALUE"""),0.0)</f>
        <v>0</v>
      </c>
      <c r="AV195" s="3">
        <f>IFERROR(__xludf.DUMMYFUNCTION("""COMPUTED_VALUE"""),0.0)</f>
        <v>0</v>
      </c>
      <c r="AW195" s="3">
        <f>IFERROR(__xludf.DUMMYFUNCTION("""COMPUTED_VALUE"""),0.0)</f>
        <v>0</v>
      </c>
      <c r="AX195" s="3">
        <f>IFERROR(__xludf.DUMMYFUNCTION("""COMPUTED_VALUE"""),0.0)</f>
        <v>0</v>
      </c>
      <c r="AY195" s="3">
        <f>IFERROR(__xludf.DUMMYFUNCTION("""COMPUTED_VALUE"""),0.0)</f>
        <v>0</v>
      </c>
      <c r="AZ195" s="3">
        <f>IFERROR(__xludf.DUMMYFUNCTION("""COMPUTED_VALUE"""),0.0)</f>
        <v>0</v>
      </c>
      <c r="BA195" s="3">
        <f>IFERROR(__xludf.DUMMYFUNCTION("""COMPUTED_VALUE"""),0.0)</f>
        <v>0</v>
      </c>
      <c r="BB195" s="3">
        <f>IFERROR(__xludf.DUMMYFUNCTION("""COMPUTED_VALUE"""),0.0)</f>
        <v>0</v>
      </c>
      <c r="BC195" s="3">
        <f>IFERROR(__xludf.DUMMYFUNCTION("""COMPUTED_VALUE"""),0.0)</f>
        <v>0</v>
      </c>
      <c r="BD195" s="3">
        <f>IFERROR(__xludf.DUMMYFUNCTION("""COMPUTED_VALUE"""),0.0)</f>
        <v>0</v>
      </c>
      <c r="BE195" s="3">
        <f>IFERROR(__xludf.DUMMYFUNCTION("""COMPUTED_VALUE"""),0.0)</f>
        <v>0</v>
      </c>
      <c r="BF195" s="3">
        <f>IFERROR(__xludf.DUMMYFUNCTION("""COMPUTED_VALUE"""),0.0)</f>
        <v>0</v>
      </c>
      <c r="BG195" s="3">
        <f>IFERROR(__xludf.DUMMYFUNCTION("""COMPUTED_VALUE"""),0.0)</f>
        <v>0</v>
      </c>
      <c r="BH195" s="3">
        <f>IFERROR(__xludf.DUMMYFUNCTION("""COMPUTED_VALUE"""),0.0)</f>
        <v>0</v>
      </c>
      <c r="BI195" s="3">
        <f>IFERROR(__xludf.DUMMYFUNCTION("""COMPUTED_VALUE"""),0.0)</f>
        <v>0</v>
      </c>
      <c r="BJ195" s="3">
        <f>IFERROR(__xludf.DUMMYFUNCTION("""COMPUTED_VALUE"""),0.0)</f>
        <v>0</v>
      </c>
      <c r="BK195" s="3">
        <f>IFERROR(__xludf.DUMMYFUNCTION("""COMPUTED_VALUE"""),0.0)</f>
        <v>0</v>
      </c>
      <c r="BL195" s="3">
        <f>IFERROR(__xludf.DUMMYFUNCTION("""COMPUTED_VALUE"""),0.0)</f>
        <v>0</v>
      </c>
      <c r="BM195" s="3">
        <f>IFERROR(__xludf.DUMMYFUNCTION("""COMPUTED_VALUE"""),0.0)</f>
        <v>0</v>
      </c>
      <c r="BN195" s="3">
        <f>IFERROR(__xludf.DUMMYFUNCTION("""COMPUTED_VALUE"""),0.0)</f>
        <v>0</v>
      </c>
      <c r="BO195" s="3">
        <f>IFERROR(__xludf.DUMMYFUNCTION("""COMPUTED_VALUE"""),0.0)</f>
        <v>0</v>
      </c>
      <c r="BP195" s="3">
        <f>IFERROR(__xludf.DUMMYFUNCTION("""COMPUTED_VALUE"""),0.0)</f>
        <v>0</v>
      </c>
      <c r="BQ195" s="3">
        <f>IFERROR(__xludf.DUMMYFUNCTION("""COMPUTED_VALUE"""),0.0)</f>
        <v>0</v>
      </c>
      <c r="BR195" s="3">
        <f>IFERROR(__xludf.DUMMYFUNCTION("""COMPUTED_VALUE"""),0.0)</f>
        <v>0</v>
      </c>
      <c r="BS195" s="3">
        <f>IFERROR(__xludf.DUMMYFUNCTION("""COMPUTED_VALUE"""),0.0)</f>
        <v>0</v>
      </c>
      <c r="BT195" s="3">
        <f>IFERROR(__xludf.DUMMYFUNCTION("""COMPUTED_VALUE"""),0.0)</f>
        <v>0</v>
      </c>
      <c r="BU195" s="3">
        <f>IFERROR(__xludf.DUMMYFUNCTION("""COMPUTED_VALUE"""),0.0)</f>
        <v>0</v>
      </c>
      <c r="BV195" s="3">
        <f>IFERROR(__xludf.DUMMYFUNCTION("""COMPUTED_VALUE"""),0.0)</f>
        <v>0</v>
      </c>
      <c r="BW195" s="3">
        <f>IFERROR(__xludf.DUMMYFUNCTION("""COMPUTED_VALUE"""),0.0)</f>
        <v>0</v>
      </c>
      <c r="BX195" s="3">
        <f>IFERROR(__xludf.DUMMYFUNCTION("""COMPUTED_VALUE"""),0.0)</f>
        <v>0</v>
      </c>
      <c r="BY195" s="3">
        <f>IFERROR(__xludf.DUMMYFUNCTION("""COMPUTED_VALUE"""),0.0)</f>
        <v>0</v>
      </c>
      <c r="BZ195" s="3">
        <f>IFERROR(__xludf.DUMMYFUNCTION("""COMPUTED_VALUE"""),0.0)</f>
        <v>0</v>
      </c>
      <c r="CA195" s="3">
        <f>IFERROR(__xludf.DUMMYFUNCTION("""COMPUTED_VALUE"""),0.0)</f>
        <v>0</v>
      </c>
      <c r="CB195" s="3">
        <f>IFERROR(__xludf.DUMMYFUNCTION("""COMPUTED_VALUE"""),0.0)</f>
        <v>0</v>
      </c>
    </row>
    <row r="196">
      <c r="A196" s="3" t="str">
        <f>IFERROR(__xludf.DUMMYFUNCTION("""COMPUTED_VALUE"""),"")</f>
        <v/>
      </c>
      <c r="B196" s="3" t="str">
        <f>IFERROR(__xludf.DUMMYFUNCTION("""COMPUTED_VALUE"""),"Singapore")</f>
        <v>Singapore</v>
      </c>
      <c r="C196" s="3">
        <f>IFERROR(__xludf.DUMMYFUNCTION("""COMPUTED_VALUE"""),1.2833)</f>
        <v>1.2833</v>
      </c>
      <c r="D196" s="3">
        <f>IFERROR(__xludf.DUMMYFUNCTION("""COMPUTED_VALUE"""),103.8333)</f>
        <v>103.8333</v>
      </c>
      <c r="E196" s="3">
        <f>IFERROR(__xludf.DUMMYFUNCTION("""COMPUTED_VALUE"""),0.0)</f>
        <v>0</v>
      </c>
      <c r="F196" s="3">
        <f>IFERROR(__xludf.DUMMYFUNCTION("""COMPUTED_VALUE"""),0.0)</f>
        <v>0</v>
      </c>
      <c r="G196" s="3">
        <f>IFERROR(__xludf.DUMMYFUNCTION("""COMPUTED_VALUE"""),0.0)</f>
        <v>0</v>
      </c>
      <c r="H196" s="3">
        <f>IFERROR(__xludf.DUMMYFUNCTION("""COMPUTED_VALUE"""),0.0)</f>
        <v>0</v>
      </c>
      <c r="I196" s="3">
        <f>IFERROR(__xludf.DUMMYFUNCTION("""COMPUTED_VALUE"""),0.0)</f>
        <v>0</v>
      </c>
      <c r="J196" s="3">
        <f>IFERROR(__xludf.DUMMYFUNCTION("""COMPUTED_VALUE"""),0.0)</f>
        <v>0</v>
      </c>
      <c r="K196" s="3">
        <f>IFERROR(__xludf.DUMMYFUNCTION("""COMPUTED_VALUE"""),0.0)</f>
        <v>0</v>
      </c>
      <c r="L196" s="3">
        <f>IFERROR(__xludf.DUMMYFUNCTION("""COMPUTED_VALUE"""),0.0)</f>
        <v>0</v>
      </c>
      <c r="M196" s="3">
        <f>IFERROR(__xludf.DUMMYFUNCTION("""COMPUTED_VALUE"""),0.0)</f>
        <v>0</v>
      </c>
      <c r="N196" s="3">
        <f>IFERROR(__xludf.DUMMYFUNCTION("""COMPUTED_VALUE"""),0.0)</f>
        <v>0</v>
      </c>
      <c r="O196" s="3">
        <f>IFERROR(__xludf.DUMMYFUNCTION("""COMPUTED_VALUE"""),0.0)</f>
        <v>0</v>
      </c>
      <c r="P196" s="3">
        <f>IFERROR(__xludf.DUMMYFUNCTION("""COMPUTED_VALUE"""),0.0)</f>
        <v>0</v>
      </c>
      <c r="Q196" s="3">
        <f>IFERROR(__xludf.DUMMYFUNCTION("""COMPUTED_VALUE"""),0.0)</f>
        <v>0</v>
      </c>
      <c r="R196" s="3">
        <f>IFERROR(__xludf.DUMMYFUNCTION("""COMPUTED_VALUE"""),0.0)</f>
        <v>0</v>
      </c>
      <c r="S196" s="3">
        <f>IFERROR(__xludf.DUMMYFUNCTION("""COMPUTED_VALUE"""),0.0)</f>
        <v>0</v>
      </c>
      <c r="T196" s="3">
        <f>IFERROR(__xludf.DUMMYFUNCTION("""COMPUTED_VALUE"""),0.0)</f>
        <v>0</v>
      </c>
      <c r="U196" s="3">
        <f>IFERROR(__xludf.DUMMYFUNCTION("""COMPUTED_VALUE"""),0.0)</f>
        <v>0</v>
      </c>
      <c r="V196" s="3">
        <f>IFERROR(__xludf.DUMMYFUNCTION("""COMPUTED_VALUE"""),2.0)</f>
        <v>2</v>
      </c>
      <c r="W196" s="3">
        <f>IFERROR(__xludf.DUMMYFUNCTION("""COMPUTED_VALUE"""),2.0)</f>
        <v>2</v>
      </c>
      <c r="X196" s="3">
        <f>IFERROR(__xludf.DUMMYFUNCTION("""COMPUTED_VALUE"""),2.0)</f>
        <v>2</v>
      </c>
      <c r="Y196" s="3">
        <f>IFERROR(__xludf.DUMMYFUNCTION("""COMPUTED_VALUE"""),9.0)</f>
        <v>9</v>
      </c>
      <c r="Z196" s="3">
        <f>IFERROR(__xludf.DUMMYFUNCTION("""COMPUTED_VALUE"""),15.0)</f>
        <v>15</v>
      </c>
      <c r="AA196" s="3">
        <f>IFERROR(__xludf.DUMMYFUNCTION("""COMPUTED_VALUE"""),15.0)</f>
        <v>15</v>
      </c>
      <c r="AB196" s="3">
        <f>IFERROR(__xludf.DUMMYFUNCTION("""COMPUTED_VALUE"""),17.0)</f>
        <v>17</v>
      </c>
      <c r="AC196" s="3">
        <f>IFERROR(__xludf.DUMMYFUNCTION("""COMPUTED_VALUE"""),18.0)</f>
        <v>18</v>
      </c>
      <c r="AD196" s="3">
        <f>IFERROR(__xludf.DUMMYFUNCTION("""COMPUTED_VALUE"""),18.0)</f>
        <v>18</v>
      </c>
      <c r="AE196" s="3">
        <f>IFERROR(__xludf.DUMMYFUNCTION("""COMPUTED_VALUE"""),24.0)</f>
        <v>24</v>
      </c>
      <c r="AF196" s="3">
        <f>IFERROR(__xludf.DUMMYFUNCTION("""COMPUTED_VALUE"""),29.0)</f>
        <v>29</v>
      </c>
      <c r="AG196" s="3">
        <f>IFERROR(__xludf.DUMMYFUNCTION("""COMPUTED_VALUE"""),34.0)</f>
        <v>34</v>
      </c>
      <c r="AH196" s="3">
        <f>IFERROR(__xludf.DUMMYFUNCTION("""COMPUTED_VALUE"""),34.0)</f>
        <v>34</v>
      </c>
      <c r="AI196" s="3">
        <f>IFERROR(__xludf.DUMMYFUNCTION("""COMPUTED_VALUE"""),37.0)</f>
        <v>37</v>
      </c>
      <c r="AJ196" s="3">
        <f>IFERROR(__xludf.DUMMYFUNCTION("""COMPUTED_VALUE"""),37.0)</f>
        <v>37</v>
      </c>
      <c r="AK196" s="3">
        <f>IFERROR(__xludf.DUMMYFUNCTION("""COMPUTED_VALUE"""),51.0)</f>
        <v>51</v>
      </c>
      <c r="AL196" s="3">
        <f>IFERROR(__xludf.DUMMYFUNCTION("""COMPUTED_VALUE"""),51.0)</f>
        <v>51</v>
      </c>
      <c r="AM196" s="3">
        <f>IFERROR(__xludf.DUMMYFUNCTION("""COMPUTED_VALUE"""),53.0)</f>
        <v>53</v>
      </c>
      <c r="AN196" s="3">
        <f>IFERROR(__xludf.DUMMYFUNCTION("""COMPUTED_VALUE"""),62.0)</f>
        <v>62</v>
      </c>
      <c r="AO196" s="3">
        <f>IFERROR(__xludf.DUMMYFUNCTION("""COMPUTED_VALUE"""),62.0)</f>
        <v>62</v>
      </c>
      <c r="AP196" s="3">
        <f>IFERROR(__xludf.DUMMYFUNCTION("""COMPUTED_VALUE"""),62.0)</f>
        <v>62</v>
      </c>
      <c r="AQ196" s="3">
        <f>IFERROR(__xludf.DUMMYFUNCTION("""COMPUTED_VALUE"""),72.0)</f>
        <v>72</v>
      </c>
      <c r="AR196" s="3">
        <f>IFERROR(__xludf.DUMMYFUNCTION("""COMPUTED_VALUE"""),72.0)</f>
        <v>72</v>
      </c>
      <c r="AS196" s="3">
        <f>IFERROR(__xludf.DUMMYFUNCTION("""COMPUTED_VALUE"""),78.0)</f>
        <v>78</v>
      </c>
      <c r="AT196" s="3">
        <f>IFERROR(__xludf.DUMMYFUNCTION("""COMPUTED_VALUE"""),78.0)</f>
        <v>78</v>
      </c>
      <c r="AU196" s="3">
        <f>IFERROR(__xludf.DUMMYFUNCTION("""COMPUTED_VALUE"""),78.0)</f>
        <v>78</v>
      </c>
      <c r="AV196" s="3">
        <f>IFERROR(__xludf.DUMMYFUNCTION("""COMPUTED_VALUE"""),78.0)</f>
        <v>78</v>
      </c>
      <c r="AW196" s="3">
        <f>IFERROR(__xludf.DUMMYFUNCTION("""COMPUTED_VALUE"""),78.0)</f>
        <v>78</v>
      </c>
      <c r="AX196" s="3">
        <f>IFERROR(__xludf.DUMMYFUNCTION("""COMPUTED_VALUE"""),78.0)</f>
        <v>78</v>
      </c>
      <c r="AY196" s="3">
        <f>IFERROR(__xludf.DUMMYFUNCTION("""COMPUTED_VALUE"""),78.0)</f>
        <v>78</v>
      </c>
      <c r="AZ196" s="3">
        <f>IFERROR(__xludf.DUMMYFUNCTION("""COMPUTED_VALUE"""),78.0)</f>
        <v>78</v>
      </c>
      <c r="BA196" s="3">
        <f>IFERROR(__xludf.DUMMYFUNCTION("""COMPUTED_VALUE"""),78.0)</f>
        <v>78</v>
      </c>
      <c r="BB196" s="3">
        <f>IFERROR(__xludf.DUMMYFUNCTION("""COMPUTED_VALUE"""),96.0)</f>
        <v>96</v>
      </c>
      <c r="BC196" s="3">
        <f>IFERROR(__xludf.DUMMYFUNCTION("""COMPUTED_VALUE"""),96.0)</f>
        <v>96</v>
      </c>
      <c r="BD196" s="3">
        <f>IFERROR(__xludf.DUMMYFUNCTION("""COMPUTED_VALUE"""),97.0)</f>
        <v>97</v>
      </c>
      <c r="BE196" s="3">
        <f>IFERROR(__xludf.DUMMYFUNCTION("""COMPUTED_VALUE"""),105.0)</f>
        <v>105</v>
      </c>
      <c r="BF196" s="3">
        <f>IFERROR(__xludf.DUMMYFUNCTION("""COMPUTED_VALUE"""),105.0)</f>
        <v>105</v>
      </c>
      <c r="BG196" s="3">
        <f>IFERROR(__xludf.DUMMYFUNCTION("""COMPUTED_VALUE"""),109.0)</f>
        <v>109</v>
      </c>
      <c r="BH196" s="3">
        <f>IFERROR(__xludf.DUMMYFUNCTION("""COMPUTED_VALUE"""),114.0)</f>
        <v>114</v>
      </c>
      <c r="BI196" s="3">
        <f>IFERROR(__xludf.DUMMYFUNCTION("""COMPUTED_VALUE"""),114.0)</f>
        <v>114</v>
      </c>
      <c r="BJ196" s="3">
        <f>IFERROR(__xludf.DUMMYFUNCTION("""COMPUTED_VALUE"""),114.0)</f>
        <v>114</v>
      </c>
      <c r="BK196" s="3">
        <f>IFERROR(__xludf.DUMMYFUNCTION("""COMPUTED_VALUE"""),124.0)</f>
        <v>124</v>
      </c>
      <c r="BL196" s="3">
        <f>IFERROR(__xludf.DUMMYFUNCTION("""COMPUTED_VALUE"""),140.0)</f>
        <v>140</v>
      </c>
      <c r="BM196" s="3">
        <f>IFERROR(__xludf.DUMMYFUNCTION("""COMPUTED_VALUE"""),144.0)</f>
        <v>144</v>
      </c>
      <c r="BN196" s="3">
        <f>IFERROR(__xludf.DUMMYFUNCTION("""COMPUTED_VALUE"""),144.0)</f>
        <v>144</v>
      </c>
      <c r="BO196" s="3">
        <f>IFERROR(__xludf.DUMMYFUNCTION("""COMPUTED_VALUE"""),156.0)</f>
        <v>156</v>
      </c>
      <c r="BP196" s="3">
        <f>IFERROR(__xludf.DUMMYFUNCTION("""COMPUTED_VALUE"""),160.0)</f>
        <v>160</v>
      </c>
      <c r="BQ196" s="3">
        <f>IFERROR(__xludf.DUMMYFUNCTION("""COMPUTED_VALUE"""),172.0)</f>
        <v>172</v>
      </c>
      <c r="BR196" s="3">
        <f>IFERROR(__xludf.DUMMYFUNCTION("""COMPUTED_VALUE"""),183.0)</f>
        <v>183</v>
      </c>
      <c r="BS196" s="3">
        <f>IFERROR(__xludf.DUMMYFUNCTION("""COMPUTED_VALUE"""),198.0)</f>
        <v>198</v>
      </c>
      <c r="BT196" s="3">
        <f>IFERROR(__xludf.DUMMYFUNCTION("""COMPUTED_VALUE"""),212.0)</f>
        <v>212</v>
      </c>
      <c r="BU196" s="3">
        <f>IFERROR(__xludf.DUMMYFUNCTION("""COMPUTED_VALUE"""),228.0)</f>
        <v>228</v>
      </c>
      <c r="BV196" s="3">
        <f>IFERROR(__xludf.DUMMYFUNCTION("""COMPUTED_VALUE"""),240.0)</f>
        <v>240</v>
      </c>
      <c r="BW196" s="3">
        <f>IFERROR(__xludf.DUMMYFUNCTION("""COMPUTED_VALUE"""),245.0)</f>
        <v>245</v>
      </c>
      <c r="BX196" s="3">
        <f>IFERROR(__xludf.DUMMYFUNCTION("""COMPUTED_VALUE"""),266.0)</f>
        <v>266</v>
      </c>
      <c r="BY196" s="3">
        <f>IFERROR(__xludf.DUMMYFUNCTION("""COMPUTED_VALUE"""),282.0)</f>
        <v>282</v>
      </c>
      <c r="BZ196" s="3">
        <f>IFERROR(__xludf.DUMMYFUNCTION("""COMPUTED_VALUE"""),297.0)</f>
        <v>297</v>
      </c>
      <c r="CA196" s="3">
        <f>IFERROR(__xludf.DUMMYFUNCTION("""COMPUTED_VALUE"""),320.0)</f>
        <v>320</v>
      </c>
      <c r="CB196" s="3">
        <f>IFERROR(__xludf.DUMMYFUNCTION("""COMPUTED_VALUE"""),344.0)</f>
        <v>344</v>
      </c>
    </row>
    <row r="197">
      <c r="A197" s="3" t="str">
        <f>IFERROR(__xludf.DUMMYFUNCTION("""COMPUTED_VALUE"""),"")</f>
        <v/>
      </c>
      <c r="B197" s="3" t="str">
        <f>IFERROR(__xludf.DUMMYFUNCTION("""COMPUTED_VALUE"""),"Slovakia")</f>
        <v>Slovakia</v>
      </c>
      <c r="C197" s="3">
        <f>IFERROR(__xludf.DUMMYFUNCTION("""COMPUTED_VALUE"""),48.669)</f>
        <v>48.669</v>
      </c>
      <c r="D197" s="3">
        <f>IFERROR(__xludf.DUMMYFUNCTION("""COMPUTED_VALUE"""),19.699)</f>
        <v>19.699</v>
      </c>
      <c r="E197" s="3">
        <f>IFERROR(__xludf.DUMMYFUNCTION("""COMPUTED_VALUE"""),0.0)</f>
        <v>0</v>
      </c>
      <c r="F197" s="3">
        <f>IFERROR(__xludf.DUMMYFUNCTION("""COMPUTED_VALUE"""),0.0)</f>
        <v>0</v>
      </c>
      <c r="G197" s="3">
        <f>IFERROR(__xludf.DUMMYFUNCTION("""COMPUTED_VALUE"""),0.0)</f>
        <v>0</v>
      </c>
      <c r="H197" s="3">
        <f>IFERROR(__xludf.DUMMYFUNCTION("""COMPUTED_VALUE"""),0.0)</f>
        <v>0</v>
      </c>
      <c r="I197" s="3">
        <f>IFERROR(__xludf.DUMMYFUNCTION("""COMPUTED_VALUE"""),0.0)</f>
        <v>0</v>
      </c>
      <c r="J197" s="3">
        <f>IFERROR(__xludf.DUMMYFUNCTION("""COMPUTED_VALUE"""),0.0)</f>
        <v>0</v>
      </c>
      <c r="K197" s="3">
        <f>IFERROR(__xludf.DUMMYFUNCTION("""COMPUTED_VALUE"""),0.0)</f>
        <v>0</v>
      </c>
      <c r="L197" s="3">
        <f>IFERROR(__xludf.DUMMYFUNCTION("""COMPUTED_VALUE"""),0.0)</f>
        <v>0</v>
      </c>
      <c r="M197" s="3">
        <f>IFERROR(__xludf.DUMMYFUNCTION("""COMPUTED_VALUE"""),0.0)</f>
        <v>0</v>
      </c>
      <c r="N197" s="3">
        <f>IFERROR(__xludf.DUMMYFUNCTION("""COMPUTED_VALUE"""),0.0)</f>
        <v>0</v>
      </c>
      <c r="O197" s="3">
        <f>IFERROR(__xludf.DUMMYFUNCTION("""COMPUTED_VALUE"""),0.0)</f>
        <v>0</v>
      </c>
      <c r="P197" s="3">
        <f>IFERROR(__xludf.DUMMYFUNCTION("""COMPUTED_VALUE"""),0.0)</f>
        <v>0</v>
      </c>
      <c r="Q197" s="3">
        <f>IFERROR(__xludf.DUMMYFUNCTION("""COMPUTED_VALUE"""),0.0)</f>
        <v>0</v>
      </c>
      <c r="R197" s="3">
        <f>IFERROR(__xludf.DUMMYFUNCTION("""COMPUTED_VALUE"""),0.0)</f>
        <v>0</v>
      </c>
      <c r="S197" s="3">
        <f>IFERROR(__xludf.DUMMYFUNCTION("""COMPUTED_VALUE"""),0.0)</f>
        <v>0</v>
      </c>
      <c r="T197" s="3">
        <f>IFERROR(__xludf.DUMMYFUNCTION("""COMPUTED_VALUE"""),0.0)</f>
        <v>0</v>
      </c>
      <c r="U197" s="3">
        <f>IFERROR(__xludf.DUMMYFUNCTION("""COMPUTED_VALUE"""),0.0)</f>
        <v>0</v>
      </c>
      <c r="V197" s="3">
        <f>IFERROR(__xludf.DUMMYFUNCTION("""COMPUTED_VALUE"""),0.0)</f>
        <v>0</v>
      </c>
      <c r="W197" s="3">
        <f>IFERROR(__xludf.DUMMYFUNCTION("""COMPUTED_VALUE"""),0.0)</f>
        <v>0</v>
      </c>
      <c r="X197" s="3">
        <f>IFERROR(__xludf.DUMMYFUNCTION("""COMPUTED_VALUE"""),0.0)</f>
        <v>0</v>
      </c>
      <c r="Y197" s="3">
        <f>IFERROR(__xludf.DUMMYFUNCTION("""COMPUTED_VALUE"""),0.0)</f>
        <v>0</v>
      </c>
      <c r="Z197" s="3">
        <f>IFERROR(__xludf.DUMMYFUNCTION("""COMPUTED_VALUE"""),0.0)</f>
        <v>0</v>
      </c>
      <c r="AA197" s="3">
        <f>IFERROR(__xludf.DUMMYFUNCTION("""COMPUTED_VALUE"""),0.0)</f>
        <v>0</v>
      </c>
      <c r="AB197" s="3">
        <f>IFERROR(__xludf.DUMMYFUNCTION("""COMPUTED_VALUE"""),0.0)</f>
        <v>0</v>
      </c>
      <c r="AC197" s="3">
        <f>IFERROR(__xludf.DUMMYFUNCTION("""COMPUTED_VALUE"""),0.0)</f>
        <v>0</v>
      </c>
      <c r="AD197" s="3">
        <f>IFERROR(__xludf.DUMMYFUNCTION("""COMPUTED_VALUE"""),0.0)</f>
        <v>0</v>
      </c>
      <c r="AE197" s="3">
        <f>IFERROR(__xludf.DUMMYFUNCTION("""COMPUTED_VALUE"""),0.0)</f>
        <v>0</v>
      </c>
      <c r="AF197" s="3">
        <f>IFERROR(__xludf.DUMMYFUNCTION("""COMPUTED_VALUE"""),0.0)</f>
        <v>0</v>
      </c>
      <c r="AG197" s="3">
        <f>IFERROR(__xludf.DUMMYFUNCTION("""COMPUTED_VALUE"""),0.0)</f>
        <v>0</v>
      </c>
      <c r="AH197" s="3">
        <f>IFERROR(__xludf.DUMMYFUNCTION("""COMPUTED_VALUE"""),0.0)</f>
        <v>0</v>
      </c>
      <c r="AI197" s="3">
        <f>IFERROR(__xludf.DUMMYFUNCTION("""COMPUTED_VALUE"""),0.0)</f>
        <v>0</v>
      </c>
      <c r="AJ197" s="3">
        <f>IFERROR(__xludf.DUMMYFUNCTION("""COMPUTED_VALUE"""),0.0)</f>
        <v>0</v>
      </c>
      <c r="AK197" s="3">
        <f>IFERROR(__xludf.DUMMYFUNCTION("""COMPUTED_VALUE"""),0.0)</f>
        <v>0</v>
      </c>
      <c r="AL197" s="3">
        <f>IFERROR(__xludf.DUMMYFUNCTION("""COMPUTED_VALUE"""),0.0)</f>
        <v>0</v>
      </c>
      <c r="AM197" s="3">
        <f>IFERROR(__xludf.DUMMYFUNCTION("""COMPUTED_VALUE"""),0.0)</f>
        <v>0</v>
      </c>
      <c r="AN197" s="3">
        <f>IFERROR(__xludf.DUMMYFUNCTION("""COMPUTED_VALUE"""),0.0)</f>
        <v>0</v>
      </c>
      <c r="AO197" s="3">
        <f>IFERROR(__xludf.DUMMYFUNCTION("""COMPUTED_VALUE"""),0.0)</f>
        <v>0</v>
      </c>
      <c r="AP197" s="3">
        <f>IFERROR(__xludf.DUMMYFUNCTION("""COMPUTED_VALUE"""),0.0)</f>
        <v>0</v>
      </c>
      <c r="AQ197" s="3">
        <f>IFERROR(__xludf.DUMMYFUNCTION("""COMPUTED_VALUE"""),0.0)</f>
        <v>0</v>
      </c>
      <c r="AR197" s="3">
        <f>IFERROR(__xludf.DUMMYFUNCTION("""COMPUTED_VALUE"""),0.0)</f>
        <v>0</v>
      </c>
      <c r="AS197" s="3">
        <f>IFERROR(__xludf.DUMMYFUNCTION("""COMPUTED_VALUE"""),0.0)</f>
        <v>0</v>
      </c>
      <c r="AT197" s="3">
        <f>IFERROR(__xludf.DUMMYFUNCTION("""COMPUTED_VALUE"""),0.0)</f>
        <v>0</v>
      </c>
      <c r="AU197" s="3">
        <f>IFERROR(__xludf.DUMMYFUNCTION("""COMPUTED_VALUE"""),0.0)</f>
        <v>0</v>
      </c>
      <c r="AV197" s="3">
        <f>IFERROR(__xludf.DUMMYFUNCTION("""COMPUTED_VALUE"""),0.0)</f>
        <v>0</v>
      </c>
      <c r="AW197" s="3">
        <f>IFERROR(__xludf.DUMMYFUNCTION("""COMPUTED_VALUE"""),0.0)</f>
        <v>0</v>
      </c>
      <c r="AX197" s="3">
        <f>IFERROR(__xludf.DUMMYFUNCTION("""COMPUTED_VALUE"""),0.0)</f>
        <v>0</v>
      </c>
      <c r="AY197" s="3">
        <f>IFERROR(__xludf.DUMMYFUNCTION("""COMPUTED_VALUE"""),0.0)</f>
        <v>0</v>
      </c>
      <c r="AZ197" s="3">
        <f>IFERROR(__xludf.DUMMYFUNCTION("""COMPUTED_VALUE"""),0.0)</f>
        <v>0</v>
      </c>
      <c r="BA197" s="3">
        <f>IFERROR(__xludf.DUMMYFUNCTION("""COMPUTED_VALUE"""),0.0)</f>
        <v>0</v>
      </c>
      <c r="BB197" s="3">
        <f>IFERROR(__xludf.DUMMYFUNCTION("""COMPUTED_VALUE"""),0.0)</f>
        <v>0</v>
      </c>
      <c r="BC197" s="3">
        <f>IFERROR(__xludf.DUMMYFUNCTION("""COMPUTED_VALUE"""),0.0)</f>
        <v>0</v>
      </c>
      <c r="BD197" s="3">
        <f>IFERROR(__xludf.DUMMYFUNCTION("""COMPUTED_VALUE"""),0.0)</f>
        <v>0</v>
      </c>
      <c r="BE197" s="3">
        <f>IFERROR(__xludf.DUMMYFUNCTION("""COMPUTED_VALUE"""),0.0)</f>
        <v>0</v>
      </c>
      <c r="BF197" s="3">
        <f>IFERROR(__xludf.DUMMYFUNCTION("""COMPUTED_VALUE"""),0.0)</f>
        <v>0</v>
      </c>
      <c r="BG197" s="3">
        <f>IFERROR(__xludf.DUMMYFUNCTION("""COMPUTED_VALUE"""),0.0)</f>
        <v>0</v>
      </c>
      <c r="BH197" s="3">
        <f>IFERROR(__xludf.DUMMYFUNCTION("""COMPUTED_VALUE"""),0.0)</f>
        <v>0</v>
      </c>
      <c r="BI197" s="3">
        <f>IFERROR(__xludf.DUMMYFUNCTION("""COMPUTED_VALUE"""),0.0)</f>
        <v>0</v>
      </c>
      <c r="BJ197" s="3">
        <f>IFERROR(__xludf.DUMMYFUNCTION("""COMPUTED_VALUE"""),0.0)</f>
        <v>0</v>
      </c>
      <c r="BK197" s="3">
        <f>IFERROR(__xludf.DUMMYFUNCTION("""COMPUTED_VALUE"""),0.0)</f>
        <v>0</v>
      </c>
      <c r="BL197" s="3">
        <f>IFERROR(__xludf.DUMMYFUNCTION("""COMPUTED_VALUE"""),0.0)</f>
        <v>0</v>
      </c>
      <c r="BM197" s="3">
        <f>IFERROR(__xludf.DUMMYFUNCTION("""COMPUTED_VALUE"""),7.0)</f>
        <v>7</v>
      </c>
      <c r="BN197" s="3">
        <f>IFERROR(__xludf.DUMMYFUNCTION("""COMPUTED_VALUE"""),7.0)</f>
        <v>7</v>
      </c>
      <c r="BO197" s="3">
        <f>IFERROR(__xludf.DUMMYFUNCTION("""COMPUTED_VALUE"""),7.0)</f>
        <v>7</v>
      </c>
      <c r="BP197" s="3">
        <f>IFERROR(__xludf.DUMMYFUNCTION("""COMPUTED_VALUE"""),7.0)</f>
        <v>7</v>
      </c>
      <c r="BQ197" s="3">
        <f>IFERROR(__xludf.DUMMYFUNCTION("""COMPUTED_VALUE"""),2.0)</f>
        <v>2</v>
      </c>
      <c r="BR197" s="3">
        <f>IFERROR(__xludf.DUMMYFUNCTION("""COMPUTED_VALUE"""),2.0)</f>
        <v>2</v>
      </c>
      <c r="BS197" s="3">
        <f>IFERROR(__xludf.DUMMYFUNCTION("""COMPUTED_VALUE"""),2.0)</f>
        <v>2</v>
      </c>
      <c r="BT197" s="3">
        <f>IFERROR(__xludf.DUMMYFUNCTION("""COMPUTED_VALUE"""),2.0)</f>
        <v>2</v>
      </c>
      <c r="BU197" s="3">
        <f>IFERROR(__xludf.DUMMYFUNCTION("""COMPUTED_VALUE"""),7.0)</f>
        <v>7</v>
      </c>
      <c r="BV197" s="3">
        <f>IFERROR(__xludf.DUMMYFUNCTION("""COMPUTED_VALUE"""),3.0)</f>
        <v>3</v>
      </c>
      <c r="BW197" s="3">
        <f>IFERROR(__xludf.DUMMYFUNCTION("""COMPUTED_VALUE"""),3.0)</f>
        <v>3</v>
      </c>
      <c r="BX197" s="3">
        <f>IFERROR(__xludf.DUMMYFUNCTION("""COMPUTED_VALUE"""),5.0)</f>
        <v>5</v>
      </c>
      <c r="BY197" s="3">
        <f>IFERROR(__xludf.DUMMYFUNCTION("""COMPUTED_VALUE"""),10.0)</f>
        <v>10</v>
      </c>
      <c r="BZ197" s="3">
        <f>IFERROR(__xludf.DUMMYFUNCTION("""COMPUTED_VALUE"""),10.0)</f>
        <v>10</v>
      </c>
      <c r="CA197" s="3">
        <f>IFERROR(__xludf.DUMMYFUNCTION("""COMPUTED_VALUE"""),10.0)</f>
        <v>10</v>
      </c>
      <c r="CB197" s="3">
        <f>IFERROR(__xludf.DUMMYFUNCTION("""COMPUTED_VALUE"""),8.0)</f>
        <v>8</v>
      </c>
    </row>
    <row r="198">
      <c r="A198" s="3" t="str">
        <f>IFERROR(__xludf.DUMMYFUNCTION("""COMPUTED_VALUE"""),"")</f>
        <v/>
      </c>
      <c r="B198" s="3" t="str">
        <f>IFERROR(__xludf.DUMMYFUNCTION("""COMPUTED_VALUE"""),"Slovenia")</f>
        <v>Slovenia</v>
      </c>
      <c r="C198" s="3">
        <f>IFERROR(__xludf.DUMMYFUNCTION("""COMPUTED_VALUE"""),46.1512)</f>
        <v>46.1512</v>
      </c>
      <c r="D198" s="3">
        <f>IFERROR(__xludf.DUMMYFUNCTION("""COMPUTED_VALUE"""),14.9955)</f>
        <v>14.9955</v>
      </c>
      <c r="E198" s="3">
        <f>IFERROR(__xludf.DUMMYFUNCTION("""COMPUTED_VALUE"""),0.0)</f>
        <v>0</v>
      </c>
      <c r="F198" s="3">
        <f>IFERROR(__xludf.DUMMYFUNCTION("""COMPUTED_VALUE"""),0.0)</f>
        <v>0</v>
      </c>
      <c r="G198" s="3">
        <f>IFERROR(__xludf.DUMMYFUNCTION("""COMPUTED_VALUE"""),0.0)</f>
        <v>0</v>
      </c>
      <c r="H198" s="3">
        <f>IFERROR(__xludf.DUMMYFUNCTION("""COMPUTED_VALUE"""),0.0)</f>
        <v>0</v>
      </c>
      <c r="I198" s="3">
        <f>IFERROR(__xludf.DUMMYFUNCTION("""COMPUTED_VALUE"""),0.0)</f>
        <v>0</v>
      </c>
      <c r="J198" s="3">
        <f>IFERROR(__xludf.DUMMYFUNCTION("""COMPUTED_VALUE"""),0.0)</f>
        <v>0</v>
      </c>
      <c r="K198" s="3">
        <f>IFERROR(__xludf.DUMMYFUNCTION("""COMPUTED_VALUE"""),0.0)</f>
        <v>0</v>
      </c>
      <c r="L198" s="3">
        <f>IFERROR(__xludf.DUMMYFUNCTION("""COMPUTED_VALUE"""),0.0)</f>
        <v>0</v>
      </c>
      <c r="M198" s="3">
        <f>IFERROR(__xludf.DUMMYFUNCTION("""COMPUTED_VALUE"""),0.0)</f>
        <v>0</v>
      </c>
      <c r="N198" s="3">
        <f>IFERROR(__xludf.DUMMYFUNCTION("""COMPUTED_VALUE"""),0.0)</f>
        <v>0</v>
      </c>
      <c r="O198" s="3">
        <f>IFERROR(__xludf.DUMMYFUNCTION("""COMPUTED_VALUE"""),0.0)</f>
        <v>0</v>
      </c>
      <c r="P198" s="3">
        <f>IFERROR(__xludf.DUMMYFUNCTION("""COMPUTED_VALUE"""),0.0)</f>
        <v>0</v>
      </c>
      <c r="Q198" s="3">
        <f>IFERROR(__xludf.DUMMYFUNCTION("""COMPUTED_VALUE"""),0.0)</f>
        <v>0</v>
      </c>
      <c r="R198" s="3">
        <f>IFERROR(__xludf.DUMMYFUNCTION("""COMPUTED_VALUE"""),0.0)</f>
        <v>0</v>
      </c>
      <c r="S198" s="3">
        <f>IFERROR(__xludf.DUMMYFUNCTION("""COMPUTED_VALUE"""),0.0)</f>
        <v>0</v>
      </c>
      <c r="T198" s="3">
        <f>IFERROR(__xludf.DUMMYFUNCTION("""COMPUTED_VALUE"""),0.0)</f>
        <v>0</v>
      </c>
      <c r="U198" s="3">
        <f>IFERROR(__xludf.DUMMYFUNCTION("""COMPUTED_VALUE"""),0.0)</f>
        <v>0</v>
      </c>
      <c r="V198" s="3">
        <f>IFERROR(__xludf.DUMMYFUNCTION("""COMPUTED_VALUE"""),0.0)</f>
        <v>0</v>
      </c>
      <c r="W198" s="3">
        <f>IFERROR(__xludf.DUMMYFUNCTION("""COMPUTED_VALUE"""),0.0)</f>
        <v>0</v>
      </c>
      <c r="X198" s="3">
        <f>IFERROR(__xludf.DUMMYFUNCTION("""COMPUTED_VALUE"""),0.0)</f>
        <v>0</v>
      </c>
      <c r="Y198" s="3">
        <f>IFERROR(__xludf.DUMMYFUNCTION("""COMPUTED_VALUE"""),0.0)</f>
        <v>0</v>
      </c>
      <c r="Z198" s="3">
        <f>IFERROR(__xludf.DUMMYFUNCTION("""COMPUTED_VALUE"""),0.0)</f>
        <v>0</v>
      </c>
      <c r="AA198" s="3">
        <f>IFERROR(__xludf.DUMMYFUNCTION("""COMPUTED_VALUE"""),0.0)</f>
        <v>0</v>
      </c>
      <c r="AB198" s="3">
        <f>IFERROR(__xludf.DUMMYFUNCTION("""COMPUTED_VALUE"""),0.0)</f>
        <v>0</v>
      </c>
      <c r="AC198" s="3">
        <f>IFERROR(__xludf.DUMMYFUNCTION("""COMPUTED_VALUE"""),0.0)</f>
        <v>0</v>
      </c>
      <c r="AD198" s="3">
        <f>IFERROR(__xludf.DUMMYFUNCTION("""COMPUTED_VALUE"""),0.0)</f>
        <v>0</v>
      </c>
      <c r="AE198" s="3">
        <f>IFERROR(__xludf.DUMMYFUNCTION("""COMPUTED_VALUE"""),0.0)</f>
        <v>0</v>
      </c>
      <c r="AF198" s="3">
        <f>IFERROR(__xludf.DUMMYFUNCTION("""COMPUTED_VALUE"""),0.0)</f>
        <v>0</v>
      </c>
      <c r="AG198" s="3">
        <f>IFERROR(__xludf.DUMMYFUNCTION("""COMPUTED_VALUE"""),0.0)</f>
        <v>0</v>
      </c>
      <c r="AH198" s="3">
        <f>IFERROR(__xludf.DUMMYFUNCTION("""COMPUTED_VALUE"""),0.0)</f>
        <v>0</v>
      </c>
      <c r="AI198" s="3">
        <f>IFERROR(__xludf.DUMMYFUNCTION("""COMPUTED_VALUE"""),0.0)</f>
        <v>0</v>
      </c>
      <c r="AJ198" s="3">
        <f>IFERROR(__xludf.DUMMYFUNCTION("""COMPUTED_VALUE"""),0.0)</f>
        <v>0</v>
      </c>
      <c r="AK198" s="3">
        <f>IFERROR(__xludf.DUMMYFUNCTION("""COMPUTED_VALUE"""),0.0)</f>
        <v>0</v>
      </c>
      <c r="AL198" s="3">
        <f>IFERROR(__xludf.DUMMYFUNCTION("""COMPUTED_VALUE"""),0.0)</f>
        <v>0</v>
      </c>
      <c r="AM198" s="3">
        <f>IFERROR(__xludf.DUMMYFUNCTION("""COMPUTED_VALUE"""),0.0)</f>
        <v>0</v>
      </c>
      <c r="AN198" s="3">
        <f>IFERROR(__xludf.DUMMYFUNCTION("""COMPUTED_VALUE"""),0.0)</f>
        <v>0</v>
      </c>
      <c r="AO198" s="3">
        <f>IFERROR(__xludf.DUMMYFUNCTION("""COMPUTED_VALUE"""),0.0)</f>
        <v>0</v>
      </c>
      <c r="AP198" s="3">
        <f>IFERROR(__xludf.DUMMYFUNCTION("""COMPUTED_VALUE"""),0.0)</f>
        <v>0</v>
      </c>
      <c r="AQ198" s="3">
        <f>IFERROR(__xludf.DUMMYFUNCTION("""COMPUTED_VALUE"""),0.0)</f>
        <v>0</v>
      </c>
      <c r="AR198" s="3">
        <f>IFERROR(__xludf.DUMMYFUNCTION("""COMPUTED_VALUE"""),0.0)</f>
        <v>0</v>
      </c>
      <c r="AS198" s="3">
        <f>IFERROR(__xludf.DUMMYFUNCTION("""COMPUTED_VALUE"""),0.0)</f>
        <v>0</v>
      </c>
      <c r="AT198" s="3">
        <f>IFERROR(__xludf.DUMMYFUNCTION("""COMPUTED_VALUE"""),0.0)</f>
        <v>0</v>
      </c>
      <c r="AU198" s="3">
        <f>IFERROR(__xludf.DUMMYFUNCTION("""COMPUTED_VALUE"""),0.0)</f>
        <v>0</v>
      </c>
      <c r="AV198" s="3">
        <f>IFERROR(__xludf.DUMMYFUNCTION("""COMPUTED_VALUE"""),0.0)</f>
        <v>0</v>
      </c>
      <c r="AW198" s="3">
        <f>IFERROR(__xludf.DUMMYFUNCTION("""COMPUTED_VALUE"""),0.0)</f>
        <v>0</v>
      </c>
      <c r="AX198" s="3">
        <f>IFERROR(__xludf.DUMMYFUNCTION("""COMPUTED_VALUE"""),0.0)</f>
        <v>0</v>
      </c>
      <c r="AY198" s="3">
        <f>IFERROR(__xludf.DUMMYFUNCTION("""COMPUTED_VALUE"""),0.0)</f>
        <v>0</v>
      </c>
      <c r="AZ198" s="3">
        <f>IFERROR(__xludf.DUMMYFUNCTION("""COMPUTED_VALUE"""),0.0)</f>
        <v>0</v>
      </c>
      <c r="BA198" s="3">
        <f>IFERROR(__xludf.DUMMYFUNCTION("""COMPUTED_VALUE"""),0.0)</f>
        <v>0</v>
      </c>
      <c r="BB198" s="3">
        <f>IFERROR(__xludf.DUMMYFUNCTION("""COMPUTED_VALUE"""),0.0)</f>
        <v>0</v>
      </c>
      <c r="BC198" s="3">
        <f>IFERROR(__xludf.DUMMYFUNCTION("""COMPUTED_VALUE"""),0.0)</f>
        <v>0</v>
      </c>
      <c r="BD198" s="3">
        <f>IFERROR(__xludf.DUMMYFUNCTION("""COMPUTED_VALUE"""),0.0)</f>
        <v>0</v>
      </c>
      <c r="BE198" s="3">
        <f>IFERROR(__xludf.DUMMYFUNCTION("""COMPUTED_VALUE"""),0.0)</f>
        <v>0</v>
      </c>
      <c r="BF198" s="3">
        <f>IFERROR(__xludf.DUMMYFUNCTION("""COMPUTED_VALUE"""),0.0)</f>
        <v>0</v>
      </c>
      <c r="BG198" s="3">
        <f>IFERROR(__xludf.DUMMYFUNCTION("""COMPUTED_VALUE"""),0.0)</f>
        <v>0</v>
      </c>
      <c r="BH198" s="3">
        <f>IFERROR(__xludf.DUMMYFUNCTION("""COMPUTED_VALUE"""),0.0)</f>
        <v>0</v>
      </c>
      <c r="BI198" s="3">
        <f>IFERROR(__xludf.DUMMYFUNCTION("""COMPUTED_VALUE"""),0.0)</f>
        <v>0</v>
      </c>
      <c r="BJ198" s="3">
        <f>IFERROR(__xludf.DUMMYFUNCTION("""COMPUTED_VALUE"""),0.0)</f>
        <v>0</v>
      </c>
      <c r="BK198" s="3">
        <f>IFERROR(__xludf.DUMMYFUNCTION("""COMPUTED_VALUE"""),0.0)</f>
        <v>0</v>
      </c>
      <c r="BL198" s="3">
        <f>IFERROR(__xludf.DUMMYFUNCTION("""COMPUTED_VALUE"""),0.0)</f>
        <v>0</v>
      </c>
      <c r="BM198" s="3">
        <f>IFERROR(__xludf.DUMMYFUNCTION("""COMPUTED_VALUE"""),0.0)</f>
        <v>0</v>
      </c>
      <c r="BN198" s="3">
        <f>IFERROR(__xludf.DUMMYFUNCTION("""COMPUTED_VALUE"""),0.0)</f>
        <v>0</v>
      </c>
      <c r="BO198" s="3">
        <f>IFERROR(__xludf.DUMMYFUNCTION("""COMPUTED_VALUE"""),0.0)</f>
        <v>0</v>
      </c>
      <c r="BP198" s="3">
        <f>IFERROR(__xludf.DUMMYFUNCTION("""COMPUTED_VALUE"""),10.0)</f>
        <v>10</v>
      </c>
      <c r="BQ198" s="3">
        <f>IFERROR(__xludf.DUMMYFUNCTION("""COMPUTED_VALUE"""),10.0)</f>
        <v>10</v>
      </c>
      <c r="BR198" s="3">
        <f>IFERROR(__xludf.DUMMYFUNCTION("""COMPUTED_VALUE"""),10.0)</f>
        <v>10</v>
      </c>
      <c r="BS198" s="3">
        <f>IFERROR(__xludf.DUMMYFUNCTION("""COMPUTED_VALUE"""),10.0)</f>
        <v>10</v>
      </c>
      <c r="BT198" s="3">
        <f>IFERROR(__xludf.DUMMYFUNCTION("""COMPUTED_VALUE"""),10.0)</f>
        <v>10</v>
      </c>
      <c r="BU198" s="3">
        <f>IFERROR(__xludf.DUMMYFUNCTION("""COMPUTED_VALUE"""),10.0)</f>
        <v>10</v>
      </c>
      <c r="BV198" s="3">
        <f>IFERROR(__xludf.DUMMYFUNCTION("""COMPUTED_VALUE"""),10.0)</f>
        <v>10</v>
      </c>
      <c r="BW198" s="3">
        <f>IFERROR(__xludf.DUMMYFUNCTION("""COMPUTED_VALUE"""),10.0)</f>
        <v>10</v>
      </c>
      <c r="BX198" s="3">
        <f>IFERROR(__xludf.DUMMYFUNCTION("""COMPUTED_VALUE"""),70.0)</f>
        <v>70</v>
      </c>
      <c r="BY198" s="3">
        <f>IFERROR(__xludf.DUMMYFUNCTION("""COMPUTED_VALUE"""),70.0)</f>
        <v>70</v>
      </c>
      <c r="BZ198" s="3">
        <f>IFERROR(__xludf.DUMMYFUNCTION("""COMPUTED_VALUE"""),79.0)</f>
        <v>79</v>
      </c>
      <c r="CA198" s="3">
        <f>IFERROR(__xludf.DUMMYFUNCTION("""COMPUTED_VALUE"""),79.0)</f>
        <v>79</v>
      </c>
      <c r="CB198" s="3">
        <f>IFERROR(__xludf.DUMMYFUNCTION("""COMPUTED_VALUE"""),102.0)</f>
        <v>102</v>
      </c>
    </row>
    <row r="199">
      <c r="A199" s="3" t="str">
        <f>IFERROR(__xludf.DUMMYFUNCTION("""COMPUTED_VALUE"""),"")</f>
        <v/>
      </c>
      <c r="B199" s="3" t="str">
        <f>IFERROR(__xludf.DUMMYFUNCTION("""COMPUTED_VALUE"""),"Somalia")</f>
        <v>Somalia</v>
      </c>
      <c r="C199" s="3">
        <f>IFERROR(__xludf.DUMMYFUNCTION("""COMPUTED_VALUE"""),5.1521)</f>
        <v>5.1521</v>
      </c>
      <c r="D199" s="3">
        <f>IFERROR(__xludf.DUMMYFUNCTION("""COMPUTED_VALUE"""),46.1996)</f>
        <v>46.1996</v>
      </c>
      <c r="E199" s="3">
        <f>IFERROR(__xludf.DUMMYFUNCTION("""COMPUTED_VALUE"""),0.0)</f>
        <v>0</v>
      </c>
      <c r="F199" s="3">
        <f>IFERROR(__xludf.DUMMYFUNCTION("""COMPUTED_VALUE"""),0.0)</f>
        <v>0</v>
      </c>
      <c r="G199" s="3">
        <f>IFERROR(__xludf.DUMMYFUNCTION("""COMPUTED_VALUE"""),0.0)</f>
        <v>0</v>
      </c>
      <c r="H199" s="3">
        <f>IFERROR(__xludf.DUMMYFUNCTION("""COMPUTED_VALUE"""),0.0)</f>
        <v>0</v>
      </c>
      <c r="I199" s="3">
        <f>IFERROR(__xludf.DUMMYFUNCTION("""COMPUTED_VALUE"""),0.0)</f>
        <v>0</v>
      </c>
      <c r="J199" s="3">
        <f>IFERROR(__xludf.DUMMYFUNCTION("""COMPUTED_VALUE"""),0.0)</f>
        <v>0</v>
      </c>
      <c r="K199" s="3">
        <f>IFERROR(__xludf.DUMMYFUNCTION("""COMPUTED_VALUE"""),0.0)</f>
        <v>0</v>
      </c>
      <c r="L199" s="3">
        <f>IFERROR(__xludf.DUMMYFUNCTION("""COMPUTED_VALUE"""),0.0)</f>
        <v>0</v>
      </c>
      <c r="M199" s="3">
        <f>IFERROR(__xludf.DUMMYFUNCTION("""COMPUTED_VALUE"""),0.0)</f>
        <v>0</v>
      </c>
      <c r="N199" s="3">
        <f>IFERROR(__xludf.DUMMYFUNCTION("""COMPUTED_VALUE"""),0.0)</f>
        <v>0</v>
      </c>
      <c r="O199" s="3">
        <f>IFERROR(__xludf.DUMMYFUNCTION("""COMPUTED_VALUE"""),0.0)</f>
        <v>0</v>
      </c>
      <c r="P199" s="3">
        <f>IFERROR(__xludf.DUMMYFUNCTION("""COMPUTED_VALUE"""),0.0)</f>
        <v>0</v>
      </c>
      <c r="Q199" s="3">
        <f>IFERROR(__xludf.DUMMYFUNCTION("""COMPUTED_VALUE"""),0.0)</f>
        <v>0</v>
      </c>
      <c r="R199" s="3">
        <f>IFERROR(__xludf.DUMMYFUNCTION("""COMPUTED_VALUE"""),0.0)</f>
        <v>0</v>
      </c>
      <c r="S199" s="3">
        <f>IFERROR(__xludf.DUMMYFUNCTION("""COMPUTED_VALUE"""),0.0)</f>
        <v>0</v>
      </c>
      <c r="T199" s="3">
        <f>IFERROR(__xludf.DUMMYFUNCTION("""COMPUTED_VALUE"""),0.0)</f>
        <v>0</v>
      </c>
      <c r="U199" s="3">
        <f>IFERROR(__xludf.DUMMYFUNCTION("""COMPUTED_VALUE"""),0.0)</f>
        <v>0</v>
      </c>
      <c r="V199" s="3">
        <f>IFERROR(__xludf.DUMMYFUNCTION("""COMPUTED_VALUE"""),0.0)</f>
        <v>0</v>
      </c>
      <c r="W199" s="3">
        <f>IFERROR(__xludf.DUMMYFUNCTION("""COMPUTED_VALUE"""),0.0)</f>
        <v>0</v>
      </c>
      <c r="X199" s="3">
        <f>IFERROR(__xludf.DUMMYFUNCTION("""COMPUTED_VALUE"""),0.0)</f>
        <v>0</v>
      </c>
      <c r="Y199" s="3">
        <f>IFERROR(__xludf.DUMMYFUNCTION("""COMPUTED_VALUE"""),0.0)</f>
        <v>0</v>
      </c>
      <c r="Z199" s="3">
        <f>IFERROR(__xludf.DUMMYFUNCTION("""COMPUTED_VALUE"""),0.0)</f>
        <v>0</v>
      </c>
      <c r="AA199" s="3">
        <f>IFERROR(__xludf.DUMMYFUNCTION("""COMPUTED_VALUE"""),0.0)</f>
        <v>0</v>
      </c>
      <c r="AB199" s="3">
        <f>IFERROR(__xludf.DUMMYFUNCTION("""COMPUTED_VALUE"""),0.0)</f>
        <v>0</v>
      </c>
      <c r="AC199" s="3">
        <f>IFERROR(__xludf.DUMMYFUNCTION("""COMPUTED_VALUE"""),0.0)</f>
        <v>0</v>
      </c>
      <c r="AD199" s="3">
        <f>IFERROR(__xludf.DUMMYFUNCTION("""COMPUTED_VALUE"""),0.0)</f>
        <v>0</v>
      </c>
      <c r="AE199" s="3">
        <f>IFERROR(__xludf.DUMMYFUNCTION("""COMPUTED_VALUE"""),0.0)</f>
        <v>0</v>
      </c>
      <c r="AF199" s="3">
        <f>IFERROR(__xludf.DUMMYFUNCTION("""COMPUTED_VALUE"""),0.0)</f>
        <v>0</v>
      </c>
      <c r="AG199" s="3">
        <f>IFERROR(__xludf.DUMMYFUNCTION("""COMPUTED_VALUE"""),0.0)</f>
        <v>0</v>
      </c>
      <c r="AH199" s="3">
        <f>IFERROR(__xludf.DUMMYFUNCTION("""COMPUTED_VALUE"""),0.0)</f>
        <v>0</v>
      </c>
      <c r="AI199" s="3">
        <f>IFERROR(__xludf.DUMMYFUNCTION("""COMPUTED_VALUE"""),0.0)</f>
        <v>0</v>
      </c>
      <c r="AJ199" s="3">
        <f>IFERROR(__xludf.DUMMYFUNCTION("""COMPUTED_VALUE"""),0.0)</f>
        <v>0</v>
      </c>
      <c r="AK199" s="3">
        <f>IFERROR(__xludf.DUMMYFUNCTION("""COMPUTED_VALUE"""),0.0)</f>
        <v>0</v>
      </c>
      <c r="AL199" s="3">
        <f>IFERROR(__xludf.DUMMYFUNCTION("""COMPUTED_VALUE"""),0.0)</f>
        <v>0</v>
      </c>
      <c r="AM199" s="3">
        <f>IFERROR(__xludf.DUMMYFUNCTION("""COMPUTED_VALUE"""),0.0)</f>
        <v>0</v>
      </c>
      <c r="AN199" s="3">
        <f>IFERROR(__xludf.DUMMYFUNCTION("""COMPUTED_VALUE"""),0.0)</f>
        <v>0</v>
      </c>
      <c r="AO199" s="3">
        <f>IFERROR(__xludf.DUMMYFUNCTION("""COMPUTED_VALUE"""),0.0)</f>
        <v>0</v>
      </c>
      <c r="AP199" s="3">
        <f>IFERROR(__xludf.DUMMYFUNCTION("""COMPUTED_VALUE"""),0.0)</f>
        <v>0</v>
      </c>
      <c r="AQ199" s="3">
        <f>IFERROR(__xludf.DUMMYFUNCTION("""COMPUTED_VALUE"""),0.0)</f>
        <v>0</v>
      </c>
      <c r="AR199" s="3">
        <f>IFERROR(__xludf.DUMMYFUNCTION("""COMPUTED_VALUE"""),0.0)</f>
        <v>0</v>
      </c>
      <c r="AS199" s="3">
        <f>IFERROR(__xludf.DUMMYFUNCTION("""COMPUTED_VALUE"""),0.0)</f>
        <v>0</v>
      </c>
      <c r="AT199" s="3">
        <f>IFERROR(__xludf.DUMMYFUNCTION("""COMPUTED_VALUE"""),0.0)</f>
        <v>0</v>
      </c>
      <c r="AU199" s="3">
        <f>IFERROR(__xludf.DUMMYFUNCTION("""COMPUTED_VALUE"""),0.0)</f>
        <v>0</v>
      </c>
      <c r="AV199" s="3">
        <f>IFERROR(__xludf.DUMMYFUNCTION("""COMPUTED_VALUE"""),0.0)</f>
        <v>0</v>
      </c>
      <c r="AW199" s="3">
        <f>IFERROR(__xludf.DUMMYFUNCTION("""COMPUTED_VALUE"""),0.0)</f>
        <v>0</v>
      </c>
      <c r="AX199" s="3">
        <f>IFERROR(__xludf.DUMMYFUNCTION("""COMPUTED_VALUE"""),0.0)</f>
        <v>0</v>
      </c>
      <c r="AY199" s="3">
        <f>IFERROR(__xludf.DUMMYFUNCTION("""COMPUTED_VALUE"""),0.0)</f>
        <v>0</v>
      </c>
      <c r="AZ199" s="3">
        <f>IFERROR(__xludf.DUMMYFUNCTION("""COMPUTED_VALUE"""),0.0)</f>
        <v>0</v>
      </c>
      <c r="BA199" s="3">
        <f>IFERROR(__xludf.DUMMYFUNCTION("""COMPUTED_VALUE"""),0.0)</f>
        <v>0</v>
      </c>
      <c r="BB199" s="3">
        <f>IFERROR(__xludf.DUMMYFUNCTION("""COMPUTED_VALUE"""),0.0)</f>
        <v>0</v>
      </c>
      <c r="BC199" s="3">
        <f>IFERROR(__xludf.DUMMYFUNCTION("""COMPUTED_VALUE"""),0.0)</f>
        <v>0</v>
      </c>
      <c r="BD199" s="3">
        <f>IFERROR(__xludf.DUMMYFUNCTION("""COMPUTED_VALUE"""),0.0)</f>
        <v>0</v>
      </c>
      <c r="BE199" s="3">
        <f>IFERROR(__xludf.DUMMYFUNCTION("""COMPUTED_VALUE"""),0.0)</f>
        <v>0</v>
      </c>
      <c r="BF199" s="3">
        <f>IFERROR(__xludf.DUMMYFUNCTION("""COMPUTED_VALUE"""),0.0)</f>
        <v>0</v>
      </c>
      <c r="BG199" s="3">
        <f>IFERROR(__xludf.DUMMYFUNCTION("""COMPUTED_VALUE"""),0.0)</f>
        <v>0</v>
      </c>
      <c r="BH199" s="3">
        <f>IFERROR(__xludf.DUMMYFUNCTION("""COMPUTED_VALUE"""),0.0)</f>
        <v>0</v>
      </c>
      <c r="BI199" s="3">
        <f>IFERROR(__xludf.DUMMYFUNCTION("""COMPUTED_VALUE"""),0.0)</f>
        <v>0</v>
      </c>
      <c r="BJ199" s="3">
        <f>IFERROR(__xludf.DUMMYFUNCTION("""COMPUTED_VALUE"""),0.0)</f>
        <v>0</v>
      </c>
      <c r="BK199" s="3">
        <f>IFERROR(__xludf.DUMMYFUNCTION("""COMPUTED_VALUE"""),0.0)</f>
        <v>0</v>
      </c>
      <c r="BL199" s="3">
        <f>IFERROR(__xludf.DUMMYFUNCTION("""COMPUTED_VALUE"""),0.0)</f>
        <v>0</v>
      </c>
      <c r="BM199" s="3">
        <f>IFERROR(__xludf.DUMMYFUNCTION("""COMPUTED_VALUE"""),0.0)</f>
        <v>0</v>
      </c>
      <c r="BN199" s="3">
        <f>IFERROR(__xludf.DUMMYFUNCTION("""COMPUTED_VALUE"""),0.0)</f>
        <v>0</v>
      </c>
      <c r="BO199" s="3">
        <f>IFERROR(__xludf.DUMMYFUNCTION("""COMPUTED_VALUE"""),0.0)</f>
        <v>0</v>
      </c>
      <c r="BP199" s="3">
        <f>IFERROR(__xludf.DUMMYFUNCTION("""COMPUTED_VALUE"""),0.0)</f>
        <v>0</v>
      </c>
      <c r="BQ199" s="3">
        <f>IFERROR(__xludf.DUMMYFUNCTION("""COMPUTED_VALUE"""),0.0)</f>
        <v>0</v>
      </c>
      <c r="BR199" s="3">
        <f>IFERROR(__xludf.DUMMYFUNCTION("""COMPUTED_VALUE"""),0.0)</f>
        <v>0</v>
      </c>
      <c r="BS199" s="3">
        <f>IFERROR(__xludf.DUMMYFUNCTION("""COMPUTED_VALUE"""),0.0)</f>
        <v>0</v>
      </c>
      <c r="BT199" s="3">
        <f>IFERROR(__xludf.DUMMYFUNCTION("""COMPUTED_VALUE"""),0.0)</f>
        <v>0</v>
      </c>
      <c r="BU199" s="3">
        <f>IFERROR(__xludf.DUMMYFUNCTION("""COMPUTED_VALUE"""),0.0)</f>
        <v>0</v>
      </c>
      <c r="BV199" s="3">
        <f>IFERROR(__xludf.DUMMYFUNCTION("""COMPUTED_VALUE"""),1.0)</f>
        <v>1</v>
      </c>
      <c r="BW199" s="3">
        <f>IFERROR(__xludf.DUMMYFUNCTION("""COMPUTED_VALUE"""),1.0)</f>
        <v>1</v>
      </c>
      <c r="BX199" s="3">
        <f>IFERROR(__xludf.DUMMYFUNCTION("""COMPUTED_VALUE"""),1.0)</f>
        <v>1</v>
      </c>
      <c r="BY199" s="3">
        <f>IFERROR(__xludf.DUMMYFUNCTION("""COMPUTED_VALUE"""),1.0)</f>
        <v>1</v>
      </c>
      <c r="BZ199" s="3">
        <f>IFERROR(__xludf.DUMMYFUNCTION("""COMPUTED_VALUE"""),1.0)</f>
        <v>1</v>
      </c>
      <c r="CA199" s="3">
        <f>IFERROR(__xludf.DUMMYFUNCTION("""COMPUTED_VALUE"""),1.0)</f>
        <v>1</v>
      </c>
      <c r="CB199" s="3">
        <f>IFERROR(__xludf.DUMMYFUNCTION("""COMPUTED_VALUE"""),1.0)</f>
        <v>1</v>
      </c>
    </row>
    <row r="200">
      <c r="A200" s="3" t="str">
        <f>IFERROR(__xludf.DUMMYFUNCTION("""COMPUTED_VALUE"""),"")</f>
        <v/>
      </c>
      <c r="B200" s="3" t="str">
        <f>IFERROR(__xludf.DUMMYFUNCTION("""COMPUTED_VALUE"""),"South Africa")</f>
        <v>South Africa</v>
      </c>
      <c r="C200" s="3">
        <f>IFERROR(__xludf.DUMMYFUNCTION("""COMPUTED_VALUE"""),-30.5595)</f>
        <v>-30.5595</v>
      </c>
      <c r="D200" s="3">
        <f>IFERROR(__xludf.DUMMYFUNCTION("""COMPUTED_VALUE"""),22.9375)</f>
        <v>22.9375</v>
      </c>
      <c r="E200" s="3">
        <f>IFERROR(__xludf.DUMMYFUNCTION("""COMPUTED_VALUE"""),0.0)</f>
        <v>0</v>
      </c>
      <c r="F200" s="3">
        <f>IFERROR(__xludf.DUMMYFUNCTION("""COMPUTED_VALUE"""),0.0)</f>
        <v>0</v>
      </c>
      <c r="G200" s="3">
        <f>IFERROR(__xludf.DUMMYFUNCTION("""COMPUTED_VALUE"""),0.0)</f>
        <v>0</v>
      </c>
      <c r="H200" s="3">
        <f>IFERROR(__xludf.DUMMYFUNCTION("""COMPUTED_VALUE"""),0.0)</f>
        <v>0</v>
      </c>
      <c r="I200" s="3">
        <f>IFERROR(__xludf.DUMMYFUNCTION("""COMPUTED_VALUE"""),0.0)</f>
        <v>0</v>
      </c>
      <c r="J200" s="3">
        <f>IFERROR(__xludf.DUMMYFUNCTION("""COMPUTED_VALUE"""),0.0)</f>
        <v>0</v>
      </c>
      <c r="K200" s="3">
        <f>IFERROR(__xludf.DUMMYFUNCTION("""COMPUTED_VALUE"""),0.0)</f>
        <v>0</v>
      </c>
      <c r="L200" s="3">
        <f>IFERROR(__xludf.DUMMYFUNCTION("""COMPUTED_VALUE"""),0.0)</f>
        <v>0</v>
      </c>
      <c r="M200" s="3">
        <f>IFERROR(__xludf.DUMMYFUNCTION("""COMPUTED_VALUE"""),0.0)</f>
        <v>0</v>
      </c>
      <c r="N200" s="3">
        <f>IFERROR(__xludf.DUMMYFUNCTION("""COMPUTED_VALUE"""),0.0)</f>
        <v>0</v>
      </c>
      <c r="O200" s="3">
        <f>IFERROR(__xludf.DUMMYFUNCTION("""COMPUTED_VALUE"""),0.0)</f>
        <v>0</v>
      </c>
      <c r="P200" s="3">
        <f>IFERROR(__xludf.DUMMYFUNCTION("""COMPUTED_VALUE"""),0.0)</f>
        <v>0</v>
      </c>
      <c r="Q200" s="3">
        <f>IFERROR(__xludf.DUMMYFUNCTION("""COMPUTED_VALUE"""),0.0)</f>
        <v>0</v>
      </c>
      <c r="R200" s="3">
        <f>IFERROR(__xludf.DUMMYFUNCTION("""COMPUTED_VALUE"""),0.0)</f>
        <v>0</v>
      </c>
      <c r="S200" s="3">
        <f>IFERROR(__xludf.DUMMYFUNCTION("""COMPUTED_VALUE"""),0.0)</f>
        <v>0</v>
      </c>
      <c r="T200" s="3">
        <f>IFERROR(__xludf.DUMMYFUNCTION("""COMPUTED_VALUE"""),0.0)</f>
        <v>0</v>
      </c>
      <c r="U200" s="3">
        <f>IFERROR(__xludf.DUMMYFUNCTION("""COMPUTED_VALUE"""),0.0)</f>
        <v>0</v>
      </c>
      <c r="V200" s="3">
        <f>IFERROR(__xludf.DUMMYFUNCTION("""COMPUTED_VALUE"""),0.0)</f>
        <v>0</v>
      </c>
      <c r="W200" s="3">
        <f>IFERROR(__xludf.DUMMYFUNCTION("""COMPUTED_VALUE"""),0.0)</f>
        <v>0</v>
      </c>
      <c r="X200" s="3">
        <f>IFERROR(__xludf.DUMMYFUNCTION("""COMPUTED_VALUE"""),0.0)</f>
        <v>0</v>
      </c>
      <c r="Y200" s="3">
        <f>IFERROR(__xludf.DUMMYFUNCTION("""COMPUTED_VALUE"""),0.0)</f>
        <v>0</v>
      </c>
      <c r="Z200" s="3">
        <f>IFERROR(__xludf.DUMMYFUNCTION("""COMPUTED_VALUE"""),0.0)</f>
        <v>0</v>
      </c>
      <c r="AA200" s="3">
        <f>IFERROR(__xludf.DUMMYFUNCTION("""COMPUTED_VALUE"""),0.0)</f>
        <v>0</v>
      </c>
      <c r="AB200" s="3">
        <f>IFERROR(__xludf.DUMMYFUNCTION("""COMPUTED_VALUE"""),0.0)</f>
        <v>0</v>
      </c>
      <c r="AC200" s="3">
        <f>IFERROR(__xludf.DUMMYFUNCTION("""COMPUTED_VALUE"""),0.0)</f>
        <v>0</v>
      </c>
      <c r="AD200" s="3">
        <f>IFERROR(__xludf.DUMMYFUNCTION("""COMPUTED_VALUE"""),0.0)</f>
        <v>0</v>
      </c>
      <c r="AE200" s="3">
        <f>IFERROR(__xludf.DUMMYFUNCTION("""COMPUTED_VALUE"""),0.0)</f>
        <v>0</v>
      </c>
      <c r="AF200" s="3">
        <f>IFERROR(__xludf.DUMMYFUNCTION("""COMPUTED_VALUE"""),0.0)</f>
        <v>0</v>
      </c>
      <c r="AG200" s="3">
        <f>IFERROR(__xludf.DUMMYFUNCTION("""COMPUTED_VALUE"""),0.0)</f>
        <v>0</v>
      </c>
      <c r="AH200" s="3">
        <f>IFERROR(__xludf.DUMMYFUNCTION("""COMPUTED_VALUE"""),0.0)</f>
        <v>0</v>
      </c>
      <c r="AI200" s="3">
        <f>IFERROR(__xludf.DUMMYFUNCTION("""COMPUTED_VALUE"""),0.0)</f>
        <v>0</v>
      </c>
      <c r="AJ200" s="3">
        <f>IFERROR(__xludf.DUMMYFUNCTION("""COMPUTED_VALUE"""),0.0)</f>
        <v>0</v>
      </c>
      <c r="AK200" s="3">
        <f>IFERROR(__xludf.DUMMYFUNCTION("""COMPUTED_VALUE"""),0.0)</f>
        <v>0</v>
      </c>
      <c r="AL200" s="3">
        <f>IFERROR(__xludf.DUMMYFUNCTION("""COMPUTED_VALUE"""),0.0)</f>
        <v>0</v>
      </c>
      <c r="AM200" s="3">
        <f>IFERROR(__xludf.DUMMYFUNCTION("""COMPUTED_VALUE"""),0.0)</f>
        <v>0</v>
      </c>
      <c r="AN200" s="3">
        <f>IFERROR(__xludf.DUMMYFUNCTION("""COMPUTED_VALUE"""),0.0)</f>
        <v>0</v>
      </c>
      <c r="AO200" s="3">
        <f>IFERROR(__xludf.DUMMYFUNCTION("""COMPUTED_VALUE"""),0.0)</f>
        <v>0</v>
      </c>
      <c r="AP200" s="3">
        <f>IFERROR(__xludf.DUMMYFUNCTION("""COMPUTED_VALUE"""),0.0)</f>
        <v>0</v>
      </c>
      <c r="AQ200" s="3">
        <f>IFERROR(__xludf.DUMMYFUNCTION("""COMPUTED_VALUE"""),0.0)</f>
        <v>0</v>
      </c>
      <c r="AR200" s="3">
        <f>IFERROR(__xludf.DUMMYFUNCTION("""COMPUTED_VALUE"""),0.0)</f>
        <v>0</v>
      </c>
      <c r="AS200" s="3">
        <f>IFERROR(__xludf.DUMMYFUNCTION("""COMPUTED_VALUE"""),0.0)</f>
        <v>0</v>
      </c>
      <c r="AT200" s="3">
        <f>IFERROR(__xludf.DUMMYFUNCTION("""COMPUTED_VALUE"""),0.0)</f>
        <v>0</v>
      </c>
      <c r="AU200" s="3">
        <f>IFERROR(__xludf.DUMMYFUNCTION("""COMPUTED_VALUE"""),0.0)</f>
        <v>0</v>
      </c>
      <c r="AV200" s="3">
        <f>IFERROR(__xludf.DUMMYFUNCTION("""COMPUTED_VALUE"""),0.0)</f>
        <v>0</v>
      </c>
      <c r="AW200" s="3">
        <f>IFERROR(__xludf.DUMMYFUNCTION("""COMPUTED_VALUE"""),0.0)</f>
        <v>0</v>
      </c>
      <c r="AX200" s="3">
        <f>IFERROR(__xludf.DUMMYFUNCTION("""COMPUTED_VALUE"""),0.0)</f>
        <v>0</v>
      </c>
      <c r="AY200" s="3">
        <f>IFERROR(__xludf.DUMMYFUNCTION("""COMPUTED_VALUE"""),0.0)</f>
        <v>0</v>
      </c>
      <c r="AZ200" s="3">
        <f>IFERROR(__xludf.DUMMYFUNCTION("""COMPUTED_VALUE"""),0.0)</f>
        <v>0</v>
      </c>
      <c r="BA200" s="3">
        <f>IFERROR(__xludf.DUMMYFUNCTION("""COMPUTED_VALUE"""),0.0)</f>
        <v>0</v>
      </c>
      <c r="BB200" s="3">
        <f>IFERROR(__xludf.DUMMYFUNCTION("""COMPUTED_VALUE"""),0.0)</f>
        <v>0</v>
      </c>
      <c r="BC200" s="3">
        <f>IFERROR(__xludf.DUMMYFUNCTION("""COMPUTED_VALUE"""),0.0)</f>
        <v>0</v>
      </c>
      <c r="BD200" s="3">
        <f>IFERROR(__xludf.DUMMYFUNCTION("""COMPUTED_VALUE"""),0.0)</f>
        <v>0</v>
      </c>
      <c r="BE200" s="3">
        <f>IFERROR(__xludf.DUMMYFUNCTION("""COMPUTED_VALUE"""),0.0)</f>
        <v>0</v>
      </c>
      <c r="BF200" s="3">
        <f>IFERROR(__xludf.DUMMYFUNCTION("""COMPUTED_VALUE"""),0.0)</f>
        <v>0</v>
      </c>
      <c r="BG200" s="3">
        <f>IFERROR(__xludf.DUMMYFUNCTION("""COMPUTED_VALUE"""),0.0)</f>
        <v>0</v>
      </c>
      <c r="BH200" s="3">
        <f>IFERROR(__xludf.DUMMYFUNCTION("""COMPUTED_VALUE"""),0.0)</f>
        <v>0</v>
      </c>
      <c r="BI200" s="3">
        <f>IFERROR(__xludf.DUMMYFUNCTION("""COMPUTED_VALUE"""),0.0)</f>
        <v>0</v>
      </c>
      <c r="BJ200" s="3">
        <f>IFERROR(__xludf.DUMMYFUNCTION("""COMPUTED_VALUE"""),0.0)</f>
        <v>0</v>
      </c>
      <c r="BK200" s="3">
        <f>IFERROR(__xludf.DUMMYFUNCTION("""COMPUTED_VALUE"""),0.0)</f>
        <v>0</v>
      </c>
      <c r="BL200" s="3">
        <f>IFERROR(__xludf.DUMMYFUNCTION("""COMPUTED_VALUE"""),0.0)</f>
        <v>0</v>
      </c>
      <c r="BM200" s="3">
        <f>IFERROR(__xludf.DUMMYFUNCTION("""COMPUTED_VALUE"""),0.0)</f>
        <v>0</v>
      </c>
      <c r="BN200" s="3">
        <f>IFERROR(__xludf.DUMMYFUNCTION("""COMPUTED_VALUE"""),0.0)</f>
        <v>0</v>
      </c>
      <c r="BO200" s="3">
        <f>IFERROR(__xludf.DUMMYFUNCTION("""COMPUTED_VALUE"""),4.0)</f>
        <v>4</v>
      </c>
      <c r="BP200" s="3">
        <f>IFERROR(__xludf.DUMMYFUNCTION("""COMPUTED_VALUE"""),12.0)</f>
        <v>12</v>
      </c>
      <c r="BQ200" s="3">
        <f>IFERROR(__xludf.DUMMYFUNCTION("""COMPUTED_VALUE"""),12.0)</f>
        <v>12</v>
      </c>
      <c r="BR200" s="3">
        <f>IFERROR(__xludf.DUMMYFUNCTION("""COMPUTED_VALUE"""),31.0)</f>
        <v>31</v>
      </c>
      <c r="BS200" s="3">
        <f>IFERROR(__xludf.DUMMYFUNCTION("""COMPUTED_VALUE"""),31.0)</f>
        <v>31</v>
      </c>
      <c r="BT200" s="3">
        <f>IFERROR(__xludf.DUMMYFUNCTION("""COMPUTED_VALUE"""),31.0)</f>
        <v>31</v>
      </c>
      <c r="BU200" s="3">
        <f>IFERROR(__xludf.DUMMYFUNCTION("""COMPUTED_VALUE"""),31.0)</f>
        <v>31</v>
      </c>
      <c r="BV200" s="3">
        <f>IFERROR(__xludf.DUMMYFUNCTION("""COMPUTED_VALUE"""),31.0)</f>
        <v>31</v>
      </c>
      <c r="BW200" s="3">
        <f>IFERROR(__xludf.DUMMYFUNCTION("""COMPUTED_VALUE"""),50.0)</f>
        <v>50</v>
      </c>
      <c r="BX200" s="3">
        <f>IFERROR(__xludf.DUMMYFUNCTION("""COMPUTED_VALUE"""),50.0)</f>
        <v>50</v>
      </c>
      <c r="BY200" s="3">
        <f>IFERROR(__xludf.DUMMYFUNCTION("""COMPUTED_VALUE"""),95.0)</f>
        <v>95</v>
      </c>
      <c r="BZ200" s="3">
        <f>IFERROR(__xludf.DUMMYFUNCTION("""COMPUTED_VALUE"""),95.0)</f>
        <v>95</v>
      </c>
      <c r="CA200" s="3">
        <f>IFERROR(__xludf.DUMMYFUNCTION("""COMPUTED_VALUE"""),95.0)</f>
        <v>95</v>
      </c>
      <c r="CB200" s="3">
        <f>IFERROR(__xludf.DUMMYFUNCTION("""COMPUTED_VALUE"""),95.0)</f>
        <v>95</v>
      </c>
    </row>
    <row r="201">
      <c r="A201" s="3" t="str">
        <f>IFERROR(__xludf.DUMMYFUNCTION("""COMPUTED_VALUE"""),"")</f>
        <v/>
      </c>
      <c r="B201" s="3" t="str">
        <f>IFERROR(__xludf.DUMMYFUNCTION("""COMPUTED_VALUE"""),"Spain")</f>
        <v>Spain</v>
      </c>
      <c r="C201" s="3">
        <f>IFERROR(__xludf.DUMMYFUNCTION("""COMPUTED_VALUE"""),40.0)</f>
        <v>40</v>
      </c>
      <c r="D201" s="3">
        <f>IFERROR(__xludf.DUMMYFUNCTION("""COMPUTED_VALUE"""),-4.0)</f>
        <v>-4</v>
      </c>
      <c r="E201" s="3">
        <f>IFERROR(__xludf.DUMMYFUNCTION("""COMPUTED_VALUE"""),0.0)</f>
        <v>0</v>
      </c>
      <c r="F201" s="3">
        <f>IFERROR(__xludf.DUMMYFUNCTION("""COMPUTED_VALUE"""),0.0)</f>
        <v>0</v>
      </c>
      <c r="G201" s="3">
        <f>IFERROR(__xludf.DUMMYFUNCTION("""COMPUTED_VALUE"""),0.0)</f>
        <v>0</v>
      </c>
      <c r="H201" s="3">
        <f>IFERROR(__xludf.DUMMYFUNCTION("""COMPUTED_VALUE"""),0.0)</f>
        <v>0</v>
      </c>
      <c r="I201" s="3">
        <f>IFERROR(__xludf.DUMMYFUNCTION("""COMPUTED_VALUE"""),0.0)</f>
        <v>0</v>
      </c>
      <c r="J201" s="3">
        <f>IFERROR(__xludf.DUMMYFUNCTION("""COMPUTED_VALUE"""),0.0)</f>
        <v>0</v>
      </c>
      <c r="K201" s="3">
        <f>IFERROR(__xludf.DUMMYFUNCTION("""COMPUTED_VALUE"""),0.0)</f>
        <v>0</v>
      </c>
      <c r="L201" s="3">
        <f>IFERROR(__xludf.DUMMYFUNCTION("""COMPUTED_VALUE"""),0.0)</f>
        <v>0</v>
      </c>
      <c r="M201" s="3">
        <f>IFERROR(__xludf.DUMMYFUNCTION("""COMPUTED_VALUE"""),0.0)</f>
        <v>0</v>
      </c>
      <c r="N201" s="3">
        <f>IFERROR(__xludf.DUMMYFUNCTION("""COMPUTED_VALUE"""),0.0)</f>
        <v>0</v>
      </c>
      <c r="O201" s="3">
        <f>IFERROR(__xludf.DUMMYFUNCTION("""COMPUTED_VALUE"""),0.0)</f>
        <v>0</v>
      </c>
      <c r="P201" s="3">
        <f>IFERROR(__xludf.DUMMYFUNCTION("""COMPUTED_VALUE"""),0.0)</f>
        <v>0</v>
      </c>
      <c r="Q201" s="3">
        <f>IFERROR(__xludf.DUMMYFUNCTION("""COMPUTED_VALUE"""),0.0)</f>
        <v>0</v>
      </c>
      <c r="R201" s="3">
        <f>IFERROR(__xludf.DUMMYFUNCTION("""COMPUTED_VALUE"""),0.0)</f>
        <v>0</v>
      </c>
      <c r="S201" s="3">
        <f>IFERROR(__xludf.DUMMYFUNCTION("""COMPUTED_VALUE"""),0.0)</f>
        <v>0</v>
      </c>
      <c r="T201" s="3">
        <f>IFERROR(__xludf.DUMMYFUNCTION("""COMPUTED_VALUE"""),0.0)</f>
        <v>0</v>
      </c>
      <c r="U201" s="3">
        <f>IFERROR(__xludf.DUMMYFUNCTION("""COMPUTED_VALUE"""),0.0)</f>
        <v>0</v>
      </c>
      <c r="V201" s="3">
        <f>IFERROR(__xludf.DUMMYFUNCTION("""COMPUTED_VALUE"""),0.0)</f>
        <v>0</v>
      </c>
      <c r="W201" s="3">
        <f>IFERROR(__xludf.DUMMYFUNCTION("""COMPUTED_VALUE"""),0.0)</f>
        <v>0</v>
      </c>
      <c r="X201" s="3">
        <f>IFERROR(__xludf.DUMMYFUNCTION("""COMPUTED_VALUE"""),0.0)</f>
        <v>0</v>
      </c>
      <c r="Y201" s="3">
        <f>IFERROR(__xludf.DUMMYFUNCTION("""COMPUTED_VALUE"""),0.0)</f>
        <v>0</v>
      </c>
      <c r="Z201" s="3">
        <f>IFERROR(__xludf.DUMMYFUNCTION("""COMPUTED_VALUE"""),0.0)</f>
        <v>0</v>
      </c>
      <c r="AA201" s="3">
        <f>IFERROR(__xludf.DUMMYFUNCTION("""COMPUTED_VALUE"""),0.0)</f>
        <v>0</v>
      </c>
      <c r="AB201" s="3">
        <f>IFERROR(__xludf.DUMMYFUNCTION("""COMPUTED_VALUE"""),0.0)</f>
        <v>0</v>
      </c>
      <c r="AC201" s="3">
        <f>IFERROR(__xludf.DUMMYFUNCTION("""COMPUTED_VALUE"""),2.0)</f>
        <v>2</v>
      </c>
      <c r="AD201" s="3">
        <f>IFERROR(__xludf.DUMMYFUNCTION("""COMPUTED_VALUE"""),2.0)</f>
        <v>2</v>
      </c>
      <c r="AE201" s="3">
        <f>IFERROR(__xludf.DUMMYFUNCTION("""COMPUTED_VALUE"""),2.0)</f>
        <v>2</v>
      </c>
      <c r="AF201" s="3">
        <f>IFERROR(__xludf.DUMMYFUNCTION("""COMPUTED_VALUE"""),2.0)</f>
        <v>2</v>
      </c>
      <c r="AG201" s="3">
        <f>IFERROR(__xludf.DUMMYFUNCTION("""COMPUTED_VALUE"""),2.0)</f>
        <v>2</v>
      </c>
      <c r="AH201" s="3">
        <f>IFERROR(__xludf.DUMMYFUNCTION("""COMPUTED_VALUE"""),2.0)</f>
        <v>2</v>
      </c>
      <c r="AI201" s="3">
        <f>IFERROR(__xludf.DUMMYFUNCTION("""COMPUTED_VALUE"""),2.0)</f>
        <v>2</v>
      </c>
      <c r="AJ201" s="3">
        <f>IFERROR(__xludf.DUMMYFUNCTION("""COMPUTED_VALUE"""),2.0)</f>
        <v>2</v>
      </c>
      <c r="AK201" s="3">
        <f>IFERROR(__xludf.DUMMYFUNCTION("""COMPUTED_VALUE"""),2.0)</f>
        <v>2</v>
      </c>
      <c r="AL201" s="3">
        <f>IFERROR(__xludf.DUMMYFUNCTION("""COMPUTED_VALUE"""),2.0)</f>
        <v>2</v>
      </c>
      <c r="AM201" s="3">
        <f>IFERROR(__xludf.DUMMYFUNCTION("""COMPUTED_VALUE"""),2.0)</f>
        <v>2</v>
      </c>
      <c r="AN201" s="3">
        <f>IFERROR(__xludf.DUMMYFUNCTION("""COMPUTED_VALUE"""),2.0)</f>
        <v>2</v>
      </c>
      <c r="AO201" s="3">
        <f>IFERROR(__xludf.DUMMYFUNCTION("""COMPUTED_VALUE"""),2.0)</f>
        <v>2</v>
      </c>
      <c r="AP201" s="3">
        <f>IFERROR(__xludf.DUMMYFUNCTION("""COMPUTED_VALUE"""),2.0)</f>
        <v>2</v>
      </c>
      <c r="AQ201" s="3">
        <f>IFERROR(__xludf.DUMMYFUNCTION("""COMPUTED_VALUE"""),2.0)</f>
        <v>2</v>
      </c>
      <c r="AR201" s="3">
        <f>IFERROR(__xludf.DUMMYFUNCTION("""COMPUTED_VALUE"""),2.0)</f>
        <v>2</v>
      </c>
      <c r="AS201" s="3">
        <f>IFERROR(__xludf.DUMMYFUNCTION("""COMPUTED_VALUE"""),2.0)</f>
        <v>2</v>
      </c>
      <c r="AT201" s="3">
        <f>IFERROR(__xludf.DUMMYFUNCTION("""COMPUTED_VALUE"""),2.0)</f>
        <v>2</v>
      </c>
      <c r="AU201" s="3">
        <f>IFERROR(__xludf.DUMMYFUNCTION("""COMPUTED_VALUE"""),2.0)</f>
        <v>2</v>
      </c>
      <c r="AV201" s="3">
        <f>IFERROR(__xludf.DUMMYFUNCTION("""COMPUTED_VALUE"""),2.0)</f>
        <v>2</v>
      </c>
      <c r="AW201" s="3">
        <f>IFERROR(__xludf.DUMMYFUNCTION("""COMPUTED_VALUE"""),2.0)</f>
        <v>2</v>
      </c>
      <c r="AX201" s="3">
        <f>IFERROR(__xludf.DUMMYFUNCTION("""COMPUTED_VALUE"""),30.0)</f>
        <v>30</v>
      </c>
      <c r="AY201" s="3">
        <f>IFERROR(__xludf.DUMMYFUNCTION("""COMPUTED_VALUE"""),30.0)</f>
        <v>30</v>
      </c>
      <c r="AZ201" s="3">
        <f>IFERROR(__xludf.DUMMYFUNCTION("""COMPUTED_VALUE"""),32.0)</f>
        <v>32</v>
      </c>
      <c r="BA201" s="3">
        <f>IFERROR(__xludf.DUMMYFUNCTION("""COMPUTED_VALUE"""),32.0)</f>
        <v>32</v>
      </c>
      <c r="BB201" s="3">
        <f>IFERROR(__xludf.DUMMYFUNCTION("""COMPUTED_VALUE"""),183.0)</f>
        <v>183</v>
      </c>
      <c r="BC201" s="3">
        <f>IFERROR(__xludf.DUMMYFUNCTION("""COMPUTED_VALUE"""),183.0)</f>
        <v>183</v>
      </c>
      <c r="BD201" s="3">
        <f>IFERROR(__xludf.DUMMYFUNCTION("""COMPUTED_VALUE"""),193.0)</f>
        <v>193</v>
      </c>
      <c r="BE201" s="3">
        <f>IFERROR(__xludf.DUMMYFUNCTION("""COMPUTED_VALUE"""),517.0)</f>
        <v>517</v>
      </c>
      <c r="BF201" s="3">
        <f>IFERROR(__xludf.DUMMYFUNCTION("""COMPUTED_VALUE"""),517.0)</f>
        <v>517</v>
      </c>
      <c r="BG201" s="3">
        <f>IFERROR(__xludf.DUMMYFUNCTION("""COMPUTED_VALUE"""),530.0)</f>
        <v>530</v>
      </c>
      <c r="BH201" s="3">
        <f>IFERROR(__xludf.DUMMYFUNCTION("""COMPUTED_VALUE"""),1028.0)</f>
        <v>1028</v>
      </c>
      <c r="BI201" s="3">
        <f>IFERROR(__xludf.DUMMYFUNCTION("""COMPUTED_VALUE"""),1081.0)</f>
        <v>1081</v>
      </c>
      <c r="BJ201" s="3">
        <f>IFERROR(__xludf.DUMMYFUNCTION("""COMPUTED_VALUE"""),1107.0)</f>
        <v>1107</v>
      </c>
      <c r="BK201" s="3">
        <f>IFERROR(__xludf.DUMMYFUNCTION("""COMPUTED_VALUE"""),1588.0)</f>
        <v>1588</v>
      </c>
      <c r="BL201" s="3">
        <f>IFERROR(__xludf.DUMMYFUNCTION("""COMPUTED_VALUE"""),2125.0)</f>
        <v>2125</v>
      </c>
      <c r="BM201" s="3">
        <f>IFERROR(__xludf.DUMMYFUNCTION("""COMPUTED_VALUE"""),2575.0)</f>
        <v>2575</v>
      </c>
      <c r="BN201" s="3">
        <f>IFERROR(__xludf.DUMMYFUNCTION("""COMPUTED_VALUE"""),2575.0)</f>
        <v>2575</v>
      </c>
      <c r="BO201" s="3">
        <f>IFERROR(__xludf.DUMMYFUNCTION("""COMPUTED_VALUE"""),3794.0)</f>
        <v>3794</v>
      </c>
      <c r="BP201" s="3">
        <f>IFERROR(__xludf.DUMMYFUNCTION("""COMPUTED_VALUE"""),5367.0)</f>
        <v>5367</v>
      </c>
      <c r="BQ201" s="3">
        <f>IFERROR(__xludf.DUMMYFUNCTION("""COMPUTED_VALUE"""),7015.0)</f>
        <v>7015</v>
      </c>
      <c r="BR201" s="3">
        <f>IFERROR(__xludf.DUMMYFUNCTION("""COMPUTED_VALUE"""),9357.0)</f>
        <v>9357</v>
      </c>
      <c r="BS201" s="3">
        <f>IFERROR(__xludf.DUMMYFUNCTION("""COMPUTED_VALUE"""),12285.0)</f>
        <v>12285</v>
      </c>
      <c r="BT201" s="3">
        <f>IFERROR(__xludf.DUMMYFUNCTION("""COMPUTED_VALUE"""),14709.0)</f>
        <v>14709</v>
      </c>
      <c r="BU201" s="3">
        <f>IFERROR(__xludf.DUMMYFUNCTION("""COMPUTED_VALUE"""),16780.0)</f>
        <v>16780</v>
      </c>
      <c r="BV201" s="3">
        <f>IFERROR(__xludf.DUMMYFUNCTION("""COMPUTED_VALUE"""),19259.0)</f>
        <v>19259</v>
      </c>
      <c r="BW201" s="3">
        <f>IFERROR(__xludf.DUMMYFUNCTION("""COMPUTED_VALUE"""),22647.0)</f>
        <v>22647</v>
      </c>
      <c r="BX201" s="3">
        <f>IFERROR(__xludf.DUMMYFUNCTION("""COMPUTED_VALUE"""),26743.0)</f>
        <v>26743</v>
      </c>
      <c r="BY201" s="3">
        <f>IFERROR(__xludf.DUMMYFUNCTION("""COMPUTED_VALUE"""),30513.0)</f>
        <v>30513</v>
      </c>
      <c r="BZ201" s="3">
        <f>IFERROR(__xludf.DUMMYFUNCTION("""COMPUTED_VALUE"""),34219.0)</f>
        <v>34219</v>
      </c>
      <c r="CA201" s="3">
        <f>IFERROR(__xludf.DUMMYFUNCTION("""COMPUTED_VALUE"""),38080.0)</f>
        <v>38080</v>
      </c>
      <c r="CB201" s="3">
        <f>IFERROR(__xludf.DUMMYFUNCTION("""COMPUTED_VALUE"""),40437.0)</f>
        <v>40437</v>
      </c>
    </row>
    <row r="202">
      <c r="A202" s="3" t="str">
        <f>IFERROR(__xludf.DUMMYFUNCTION("""COMPUTED_VALUE"""),"")</f>
        <v/>
      </c>
      <c r="B202" s="3" t="str">
        <f>IFERROR(__xludf.DUMMYFUNCTION("""COMPUTED_VALUE"""),"Sri Lanka")</f>
        <v>Sri Lanka</v>
      </c>
      <c r="C202" s="3">
        <f>IFERROR(__xludf.DUMMYFUNCTION("""COMPUTED_VALUE"""),7.0)</f>
        <v>7</v>
      </c>
      <c r="D202" s="3">
        <f>IFERROR(__xludf.DUMMYFUNCTION("""COMPUTED_VALUE"""),81.0)</f>
        <v>81</v>
      </c>
      <c r="E202" s="3">
        <f>IFERROR(__xludf.DUMMYFUNCTION("""COMPUTED_VALUE"""),0.0)</f>
        <v>0</v>
      </c>
      <c r="F202" s="3">
        <f>IFERROR(__xludf.DUMMYFUNCTION("""COMPUTED_VALUE"""),0.0)</f>
        <v>0</v>
      </c>
      <c r="G202" s="3">
        <f>IFERROR(__xludf.DUMMYFUNCTION("""COMPUTED_VALUE"""),0.0)</f>
        <v>0</v>
      </c>
      <c r="H202" s="3">
        <f>IFERROR(__xludf.DUMMYFUNCTION("""COMPUTED_VALUE"""),0.0)</f>
        <v>0</v>
      </c>
      <c r="I202" s="3">
        <f>IFERROR(__xludf.DUMMYFUNCTION("""COMPUTED_VALUE"""),0.0)</f>
        <v>0</v>
      </c>
      <c r="J202" s="3">
        <f>IFERROR(__xludf.DUMMYFUNCTION("""COMPUTED_VALUE"""),0.0)</f>
        <v>0</v>
      </c>
      <c r="K202" s="3">
        <f>IFERROR(__xludf.DUMMYFUNCTION("""COMPUTED_VALUE"""),0.0)</f>
        <v>0</v>
      </c>
      <c r="L202" s="3">
        <f>IFERROR(__xludf.DUMMYFUNCTION("""COMPUTED_VALUE"""),0.0)</f>
        <v>0</v>
      </c>
      <c r="M202" s="3">
        <f>IFERROR(__xludf.DUMMYFUNCTION("""COMPUTED_VALUE"""),0.0)</f>
        <v>0</v>
      </c>
      <c r="N202" s="3">
        <f>IFERROR(__xludf.DUMMYFUNCTION("""COMPUTED_VALUE"""),0.0)</f>
        <v>0</v>
      </c>
      <c r="O202" s="3">
        <f>IFERROR(__xludf.DUMMYFUNCTION("""COMPUTED_VALUE"""),0.0)</f>
        <v>0</v>
      </c>
      <c r="P202" s="3">
        <f>IFERROR(__xludf.DUMMYFUNCTION("""COMPUTED_VALUE"""),0.0)</f>
        <v>0</v>
      </c>
      <c r="Q202" s="3">
        <f>IFERROR(__xludf.DUMMYFUNCTION("""COMPUTED_VALUE"""),0.0)</f>
        <v>0</v>
      </c>
      <c r="R202" s="3">
        <f>IFERROR(__xludf.DUMMYFUNCTION("""COMPUTED_VALUE"""),0.0)</f>
        <v>0</v>
      </c>
      <c r="S202" s="3">
        <f>IFERROR(__xludf.DUMMYFUNCTION("""COMPUTED_VALUE"""),0.0)</f>
        <v>0</v>
      </c>
      <c r="T202" s="3">
        <f>IFERROR(__xludf.DUMMYFUNCTION("""COMPUTED_VALUE"""),0.0)</f>
        <v>0</v>
      </c>
      <c r="U202" s="3">
        <f>IFERROR(__xludf.DUMMYFUNCTION("""COMPUTED_VALUE"""),0.0)</f>
        <v>0</v>
      </c>
      <c r="V202" s="3">
        <f>IFERROR(__xludf.DUMMYFUNCTION("""COMPUTED_VALUE"""),1.0)</f>
        <v>1</v>
      </c>
      <c r="W202" s="3">
        <f>IFERROR(__xludf.DUMMYFUNCTION("""COMPUTED_VALUE"""),1.0)</f>
        <v>1</v>
      </c>
      <c r="X202" s="3">
        <f>IFERROR(__xludf.DUMMYFUNCTION("""COMPUTED_VALUE"""),1.0)</f>
        <v>1</v>
      </c>
      <c r="Y202" s="3">
        <f>IFERROR(__xludf.DUMMYFUNCTION("""COMPUTED_VALUE"""),1.0)</f>
        <v>1</v>
      </c>
      <c r="Z202" s="3">
        <f>IFERROR(__xludf.DUMMYFUNCTION("""COMPUTED_VALUE"""),1.0)</f>
        <v>1</v>
      </c>
      <c r="AA202" s="3">
        <f>IFERROR(__xludf.DUMMYFUNCTION("""COMPUTED_VALUE"""),1.0)</f>
        <v>1</v>
      </c>
      <c r="AB202" s="3">
        <f>IFERROR(__xludf.DUMMYFUNCTION("""COMPUTED_VALUE"""),1.0)</f>
        <v>1</v>
      </c>
      <c r="AC202" s="3">
        <f>IFERROR(__xludf.DUMMYFUNCTION("""COMPUTED_VALUE"""),1.0)</f>
        <v>1</v>
      </c>
      <c r="AD202" s="3">
        <f>IFERROR(__xludf.DUMMYFUNCTION("""COMPUTED_VALUE"""),1.0)</f>
        <v>1</v>
      </c>
      <c r="AE202" s="3">
        <f>IFERROR(__xludf.DUMMYFUNCTION("""COMPUTED_VALUE"""),1.0)</f>
        <v>1</v>
      </c>
      <c r="AF202" s="3">
        <f>IFERROR(__xludf.DUMMYFUNCTION("""COMPUTED_VALUE"""),1.0)</f>
        <v>1</v>
      </c>
      <c r="AG202" s="3">
        <f>IFERROR(__xludf.DUMMYFUNCTION("""COMPUTED_VALUE"""),1.0)</f>
        <v>1</v>
      </c>
      <c r="AH202" s="3">
        <f>IFERROR(__xludf.DUMMYFUNCTION("""COMPUTED_VALUE"""),1.0)</f>
        <v>1</v>
      </c>
      <c r="AI202" s="3">
        <f>IFERROR(__xludf.DUMMYFUNCTION("""COMPUTED_VALUE"""),1.0)</f>
        <v>1</v>
      </c>
      <c r="AJ202" s="3">
        <f>IFERROR(__xludf.DUMMYFUNCTION("""COMPUTED_VALUE"""),1.0)</f>
        <v>1</v>
      </c>
      <c r="AK202" s="3">
        <f>IFERROR(__xludf.DUMMYFUNCTION("""COMPUTED_VALUE"""),1.0)</f>
        <v>1</v>
      </c>
      <c r="AL202" s="3">
        <f>IFERROR(__xludf.DUMMYFUNCTION("""COMPUTED_VALUE"""),1.0)</f>
        <v>1</v>
      </c>
      <c r="AM202" s="3">
        <f>IFERROR(__xludf.DUMMYFUNCTION("""COMPUTED_VALUE"""),1.0)</f>
        <v>1</v>
      </c>
      <c r="AN202" s="3">
        <f>IFERROR(__xludf.DUMMYFUNCTION("""COMPUTED_VALUE"""),1.0)</f>
        <v>1</v>
      </c>
      <c r="AO202" s="3">
        <f>IFERROR(__xludf.DUMMYFUNCTION("""COMPUTED_VALUE"""),1.0)</f>
        <v>1</v>
      </c>
      <c r="AP202" s="3">
        <f>IFERROR(__xludf.DUMMYFUNCTION("""COMPUTED_VALUE"""),1.0)</f>
        <v>1</v>
      </c>
      <c r="AQ202" s="3">
        <f>IFERROR(__xludf.DUMMYFUNCTION("""COMPUTED_VALUE"""),1.0)</f>
        <v>1</v>
      </c>
      <c r="AR202" s="3">
        <f>IFERROR(__xludf.DUMMYFUNCTION("""COMPUTED_VALUE"""),1.0)</f>
        <v>1</v>
      </c>
      <c r="AS202" s="3">
        <f>IFERROR(__xludf.DUMMYFUNCTION("""COMPUTED_VALUE"""),1.0)</f>
        <v>1</v>
      </c>
      <c r="AT202" s="3">
        <f>IFERROR(__xludf.DUMMYFUNCTION("""COMPUTED_VALUE"""),1.0)</f>
        <v>1</v>
      </c>
      <c r="AU202" s="3">
        <f>IFERROR(__xludf.DUMMYFUNCTION("""COMPUTED_VALUE"""),1.0)</f>
        <v>1</v>
      </c>
      <c r="AV202" s="3">
        <f>IFERROR(__xludf.DUMMYFUNCTION("""COMPUTED_VALUE"""),1.0)</f>
        <v>1</v>
      </c>
      <c r="AW202" s="3">
        <f>IFERROR(__xludf.DUMMYFUNCTION("""COMPUTED_VALUE"""),1.0)</f>
        <v>1</v>
      </c>
      <c r="AX202" s="3">
        <f>IFERROR(__xludf.DUMMYFUNCTION("""COMPUTED_VALUE"""),1.0)</f>
        <v>1</v>
      </c>
      <c r="AY202" s="3">
        <f>IFERROR(__xludf.DUMMYFUNCTION("""COMPUTED_VALUE"""),1.0)</f>
        <v>1</v>
      </c>
      <c r="AZ202" s="3">
        <f>IFERROR(__xludf.DUMMYFUNCTION("""COMPUTED_VALUE"""),1.0)</f>
        <v>1</v>
      </c>
      <c r="BA202" s="3">
        <f>IFERROR(__xludf.DUMMYFUNCTION("""COMPUTED_VALUE"""),1.0)</f>
        <v>1</v>
      </c>
      <c r="BB202" s="3">
        <f>IFERROR(__xludf.DUMMYFUNCTION("""COMPUTED_VALUE"""),1.0)</f>
        <v>1</v>
      </c>
      <c r="BC202" s="3">
        <f>IFERROR(__xludf.DUMMYFUNCTION("""COMPUTED_VALUE"""),1.0)</f>
        <v>1</v>
      </c>
      <c r="BD202" s="3">
        <f>IFERROR(__xludf.DUMMYFUNCTION("""COMPUTED_VALUE"""),1.0)</f>
        <v>1</v>
      </c>
      <c r="BE202" s="3">
        <f>IFERROR(__xludf.DUMMYFUNCTION("""COMPUTED_VALUE"""),1.0)</f>
        <v>1</v>
      </c>
      <c r="BF202" s="3">
        <f>IFERROR(__xludf.DUMMYFUNCTION("""COMPUTED_VALUE"""),1.0)</f>
        <v>1</v>
      </c>
      <c r="BG202" s="3">
        <f>IFERROR(__xludf.DUMMYFUNCTION("""COMPUTED_VALUE"""),1.0)</f>
        <v>1</v>
      </c>
      <c r="BH202" s="3">
        <f>IFERROR(__xludf.DUMMYFUNCTION("""COMPUTED_VALUE"""),1.0)</f>
        <v>1</v>
      </c>
      <c r="BI202" s="3">
        <f>IFERROR(__xludf.DUMMYFUNCTION("""COMPUTED_VALUE"""),1.0)</f>
        <v>1</v>
      </c>
      <c r="BJ202" s="3">
        <f>IFERROR(__xludf.DUMMYFUNCTION("""COMPUTED_VALUE"""),3.0)</f>
        <v>3</v>
      </c>
      <c r="BK202" s="3">
        <f>IFERROR(__xludf.DUMMYFUNCTION("""COMPUTED_VALUE"""),3.0)</f>
        <v>3</v>
      </c>
      <c r="BL202" s="3">
        <f>IFERROR(__xludf.DUMMYFUNCTION("""COMPUTED_VALUE"""),1.0)</f>
        <v>1</v>
      </c>
      <c r="BM202" s="3">
        <f>IFERROR(__xludf.DUMMYFUNCTION("""COMPUTED_VALUE"""),3.0)</f>
        <v>3</v>
      </c>
      <c r="BN202" s="3">
        <f>IFERROR(__xludf.DUMMYFUNCTION("""COMPUTED_VALUE"""),3.0)</f>
        <v>3</v>
      </c>
      <c r="BO202" s="3">
        <f>IFERROR(__xludf.DUMMYFUNCTION("""COMPUTED_VALUE"""),2.0)</f>
        <v>2</v>
      </c>
      <c r="BP202" s="3">
        <f>IFERROR(__xludf.DUMMYFUNCTION("""COMPUTED_VALUE"""),3.0)</f>
        <v>3</v>
      </c>
      <c r="BQ202" s="3">
        <f>IFERROR(__xludf.DUMMYFUNCTION("""COMPUTED_VALUE"""),7.0)</f>
        <v>7</v>
      </c>
      <c r="BR202" s="3">
        <f>IFERROR(__xludf.DUMMYFUNCTION("""COMPUTED_VALUE"""),7.0)</f>
        <v>7</v>
      </c>
      <c r="BS202" s="3">
        <f>IFERROR(__xludf.DUMMYFUNCTION("""COMPUTED_VALUE"""),9.0)</f>
        <v>9</v>
      </c>
      <c r="BT202" s="3">
        <f>IFERROR(__xludf.DUMMYFUNCTION("""COMPUTED_VALUE"""),11.0)</f>
        <v>11</v>
      </c>
      <c r="BU202" s="3">
        <f>IFERROR(__xludf.DUMMYFUNCTION("""COMPUTED_VALUE"""),15.0)</f>
        <v>15</v>
      </c>
      <c r="BV202" s="3">
        <f>IFERROR(__xludf.DUMMYFUNCTION("""COMPUTED_VALUE"""),17.0)</f>
        <v>17</v>
      </c>
      <c r="BW202" s="3">
        <f>IFERROR(__xludf.DUMMYFUNCTION("""COMPUTED_VALUE"""),21.0)</f>
        <v>21</v>
      </c>
      <c r="BX202" s="3">
        <f>IFERROR(__xludf.DUMMYFUNCTION("""COMPUTED_VALUE"""),21.0)</f>
        <v>21</v>
      </c>
      <c r="BY202" s="3">
        <f>IFERROR(__xludf.DUMMYFUNCTION("""COMPUTED_VALUE"""),24.0)</f>
        <v>24</v>
      </c>
      <c r="BZ202" s="3">
        <f>IFERROR(__xludf.DUMMYFUNCTION("""COMPUTED_VALUE"""),27.0)</f>
        <v>27</v>
      </c>
      <c r="CA202" s="3">
        <f>IFERROR(__xludf.DUMMYFUNCTION("""COMPUTED_VALUE"""),33.0)</f>
        <v>33</v>
      </c>
      <c r="CB202" s="3">
        <f>IFERROR(__xludf.DUMMYFUNCTION("""COMPUTED_VALUE"""),38.0)</f>
        <v>38</v>
      </c>
    </row>
    <row r="203">
      <c r="A203" s="3" t="str">
        <f>IFERROR(__xludf.DUMMYFUNCTION("""COMPUTED_VALUE"""),"")</f>
        <v/>
      </c>
      <c r="B203" s="3" t="str">
        <f>IFERROR(__xludf.DUMMYFUNCTION("""COMPUTED_VALUE"""),"Sudan")</f>
        <v>Sudan</v>
      </c>
      <c r="C203" s="3">
        <f>IFERROR(__xludf.DUMMYFUNCTION("""COMPUTED_VALUE"""),12.8628)</f>
        <v>12.8628</v>
      </c>
      <c r="D203" s="3">
        <f>IFERROR(__xludf.DUMMYFUNCTION("""COMPUTED_VALUE"""),30.2176)</f>
        <v>30.2176</v>
      </c>
      <c r="E203" s="3">
        <f>IFERROR(__xludf.DUMMYFUNCTION("""COMPUTED_VALUE"""),0.0)</f>
        <v>0</v>
      </c>
      <c r="F203" s="3">
        <f>IFERROR(__xludf.DUMMYFUNCTION("""COMPUTED_VALUE"""),0.0)</f>
        <v>0</v>
      </c>
      <c r="G203" s="3">
        <f>IFERROR(__xludf.DUMMYFUNCTION("""COMPUTED_VALUE"""),0.0)</f>
        <v>0</v>
      </c>
      <c r="H203" s="3">
        <f>IFERROR(__xludf.DUMMYFUNCTION("""COMPUTED_VALUE"""),0.0)</f>
        <v>0</v>
      </c>
      <c r="I203" s="3">
        <f>IFERROR(__xludf.DUMMYFUNCTION("""COMPUTED_VALUE"""),0.0)</f>
        <v>0</v>
      </c>
      <c r="J203" s="3">
        <f>IFERROR(__xludf.DUMMYFUNCTION("""COMPUTED_VALUE"""),0.0)</f>
        <v>0</v>
      </c>
      <c r="K203" s="3">
        <f>IFERROR(__xludf.DUMMYFUNCTION("""COMPUTED_VALUE"""),0.0)</f>
        <v>0</v>
      </c>
      <c r="L203" s="3">
        <f>IFERROR(__xludf.DUMMYFUNCTION("""COMPUTED_VALUE"""),0.0)</f>
        <v>0</v>
      </c>
      <c r="M203" s="3">
        <f>IFERROR(__xludf.DUMMYFUNCTION("""COMPUTED_VALUE"""),0.0)</f>
        <v>0</v>
      </c>
      <c r="N203" s="3">
        <f>IFERROR(__xludf.DUMMYFUNCTION("""COMPUTED_VALUE"""),0.0)</f>
        <v>0</v>
      </c>
      <c r="O203" s="3">
        <f>IFERROR(__xludf.DUMMYFUNCTION("""COMPUTED_VALUE"""),0.0)</f>
        <v>0</v>
      </c>
      <c r="P203" s="3">
        <f>IFERROR(__xludf.DUMMYFUNCTION("""COMPUTED_VALUE"""),0.0)</f>
        <v>0</v>
      </c>
      <c r="Q203" s="3">
        <f>IFERROR(__xludf.DUMMYFUNCTION("""COMPUTED_VALUE"""),0.0)</f>
        <v>0</v>
      </c>
      <c r="R203" s="3">
        <f>IFERROR(__xludf.DUMMYFUNCTION("""COMPUTED_VALUE"""),0.0)</f>
        <v>0</v>
      </c>
      <c r="S203" s="3">
        <f>IFERROR(__xludf.DUMMYFUNCTION("""COMPUTED_VALUE"""),0.0)</f>
        <v>0</v>
      </c>
      <c r="T203" s="3">
        <f>IFERROR(__xludf.DUMMYFUNCTION("""COMPUTED_VALUE"""),0.0)</f>
        <v>0</v>
      </c>
      <c r="U203" s="3">
        <f>IFERROR(__xludf.DUMMYFUNCTION("""COMPUTED_VALUE"""),0.0)</f>
        <v>0</v>
      </c>
      <c r="V203" s="3">
        <f>IFERROR(__xludf.DUMMYFUNCTION("""COMPUTED_VALUE"""),0.0)</f>
        <v>0</v>
      </c>
      <c r="W203" s="3">
        <f>IFERROR(__xludf.DUMMYFUNCTION("""COMPUTED_VALUE"""),0.0)</f>
        <v>0</v>
      </c>
      <c r="X203" s="3">
        <f>IFERROR(__xludf.DUMMYFUNCTION("""COMPUTED_VALUE"""),0.0)</f>
        <v>0</v>
      </c>
      <c r="Y203" s="3">
        <f>IFERROR(__xludf.DUMMYFUNCTION("""COMPUTED_VALUE"""),0.0)</f>
        <v>0</v>
      </c>
      <c r="Z203" s="3">
        <f>IFERROR(__xludf.DUMMYFUNCTION("""COMPUTED_VALUE"""),0.0)</f>
        <v>0</v>
      </c>
      <c r="AA203" s="3">
        <f>IFERROR(__xludf.DUMMYFUNCTION("""COMPUTED_VALUE"""),0.0)</f>
        <v>0</v>
      </c>
      <c r="AB203" s="3">
        <f>IFERROR(__xludf.DUMMYFUNCTION("""COMPUTED_VALUE"""),0.0)</f>
        <v>0</v>
      </c>
      <c r="AC203" s="3">
        <f>IFERROR(__xludf.DUMMYFUNCTION("""COMPUTED_VALUE"""),0.0)</f>
        <v>0</v>
      </c>
      <c r="AD203" s="3">
        <f>IFERROR(__xludf.DUMMYFUNCTION("""COMPUTED_VALUE"""),0.0)</f>
        <v>0</v>
      </c>
      <c r="AE203" s="3">
        <f>IFERROR(__xludf.DUMMYFUNCTION("""COMPUTED_VALUE"""),0.0)</f>
        <v>0</v>
      </c>
      <c r="AF203" s="3">
        <f>IFERROR(__xludf.DUMMYFUNCTION("""COMPUTED_VALUE"""),0.0)</f>
        <v>0</v>
      </c>
      <c r="AG203" s="3">
        <f>IFERROR(__xludf.DUMMYFUNCTION("""COMPUTED_VALUE"""),0.0)</f>
        <v>0</v>
      </c>
      <c r="AH203" s="3">
        <f>IFERROR(__xludf.DUMMYFUNCTION("""COMPUTED_VALUE"""),0.0)</f>
        <v>0</v>
      </c>
      <c r="AI203" s="3">
        <f>IFERROR(__xludf.DUMMYFUNCTION("""COMPUTED_VALUE"""),0.0)</f>
        <v>0</v>
      </c>
      <c r="AJ203" s="3">
        <f>IFERROR(__xludf.DUMMYFUNCTION("""COMPUTED_VALUE"""),0.0)</f>
        <v>0</v>
      </c>
      <c r="AK203" s="3">
        <f>IFERROR(__xludf.DUMMYFUNCTION("""COMPUTED_VALUE"""),0.0)</f>
        <v>0</v>
      </c>
      <c r="AL203" s="3">
        <f>IFERROR(__xludf.DUMMYFUNCTION("""COMPUTED_VALUE"""),0.0)</f>
        <v>0</v>
      </c>
      <c r="AM203" s="3">
        <f>IFERROR(__xludf.DUMMYFUNCTION("""COMPUTED_VALUE"""),0.0)</f>
        <v>0</v>
      </c>
      <c r="AN203" s="3">
        <f>IFERROR(__xludf.DUMMYFUNCTION("""COMPUTED_VALUE"""),0.0)</f>
        <v>0</v>
      </c>
      <c r="AO203" s="3">
        <f>IFERROR(__xludf.DUMMYFUNCTION("""COMPUTED_VALUE"""),0.0)</f>
        <v>0</v>
      </c>
      <c r="AP203" s="3">
        <f>IFERROR(__xludf.DUMMYFUNCTION("""COMPUTED_VALUE"""),0.0)</f>
        <v>0</v>
      </c>
      <c r="AQ203" s="3">
        <f>IFERROR(__xludf.DUMMYFUNCTION("""COMPUTED_VALUE"""),0.0)</f>
        <v>0</v>
      </c>
      <c r="AR203" s="3">
        <f>IFERROR(__xludf.DUMMYFUNCTION("""COMPUTED_VALUE"""),0.0)</f>
        <v>0</v>
      </c>
      <c r="AS203" s="3">
        <f>IFERROR(__xludf.DUMMYFUNCTION("""COMPUTED_VALUE"""),0.0)</f>
        <v>0</v>
      </c>
      <c r="AT203" s="3">
        <f>IFERROR(__xludf.DUMMYFUNCTION("""COMPUTED_VALUE"""),0.0)</f>
        <v>0</v>
      </c>
      <c r="AU203" s="3">
        <f>IFERROR(__xludf.DUMMYFUNCTION("""COMPUTED_VALUE"""),0.0)</f>
        <v>0</v>
      </c>
      <c r="AV203" s="3">
        <f>IFERROR(__xludf.DUMMYFUNCTION("""COMPUTED_VALUE"""),0.0)</f>
        <v>0</v>
      </c>
      <c r="AW203" s="3">
        <f>IFERROR(__xludf.DUMMYFUNCTION("""COMPUTED_VALUE"""),0.0)</f>
        <v>0</v>
      </c>
      <c r="AX203" s="3">
        <f>IFERROR(__xludf.DUMMYFUNCTION("""COMPUTED_VALUE"""),0.0)</f>
        <v>0</v>
      </c>
      <c r="AY203" s="3">
        <f>IFERROR(__xludf.DUMMYFUNCTION("""COMPUTED_VALUE"""),0.0)</f>
        <v>0</v>
      </c>
      <c r="AZ203" s="3">
        <f>IFERROR(__xludf.DUMMYFUNCTION("""COMPUTED_VALUE"""),0.0)</f>
        <v>0</v>
      </c>
      <c r="BA203" s="3">
        <f>IFERROR(__xludf.DUMMYFUNCTION("""COMPUTED_VALUE"""),0.0)</f>
        <v>0</v>
      </c>
      <c r="BB203" s="3">
        <f>IFERROR(__xludf.DUMMYFUNCTION("""COMPUTED_VALUE"""),0.0)</f>
        <v>0</v>
      </c>
      <c r="BC203" s="3">
        <f>IFERROR(__xludf.DUMMYFUNCTION("""COMPUTED_VALUE"""),0.0)</f>
        <v>0</v>
      </c>
      <c r="BD203" s="3">
        <f>IFERROR(__xludf.DUMMYFUNCTION("""COMPUTED_VALUE"""),0.0)</f>
        <v>0</v>
      </c>
      <c r="BE203" s="3">
        <f>IFERROR(__xludf.DUMMYFUNCTION("""COMPUTED_VALUE"""),0.0)</f>
        <v>0</v>
      </c>
      <c r="BF203" s="3">
        <f>IFERROR(__xludf.DUMMYFUNCTION("""COMPUTED_VALUE"""),0.0)</f>
        <v>0</v>
      </c>
      <c r="BG203" s="3">
        <f>IFERROR(__xludf.DUMMYFUNCTION("""COMPUTED_VALUE"""),0.0)</f>
        <v>0</v>
      </c>
      <c r="BH203" s="3">
        <f>IFERROR(__xludf.DUMMYFUNCTION("""COMPUTED_VALUE"""),0.0)</f>
        <v>0</v>
      </c>
      <c r="BI203" s="3">
        <f>IFERROR(__xludf.DUMMYFUNCTION("""COMPUTED_VALUE"""),0.0)</f>
        <v>0</v>
      </c>
      <c r="BJ203" s="3">
        <f>IFERROR(__xludf.DUMMYFUNCTION("""COMPUTED_VALUE"""),0.0)</f>
        <v>0</v>
      </c>
      <c r="BK203" s="3">
        <f>IFERROR(__xludf.DUMMYFUNCTION("""COMPUTED_VALUE"""),0.0)</f>
        <v>0</v>
      </c>
      <c r="BL203" s="3">
        <f>IFERROR(__xludf.DUMMYFUNCTION("""COMPUTED_VALUE"""),0.0)</f>
        <v>0</v>
      </c>
      <c r="BM203" s="3">
        <f>IFERROR(__xludf.DUMMYFUNCTION("""COMPUTED_VALUE"""),0.0)</f>
        <v>0</v>
      </c>
      <c r="BN203" s="3">
        <f>IFERROR(__xludf.DUMMYFUNCTION("""COMPUTED_VALUE"""),0.0)</f>
        <v>0</v>
      </c>
      <c r="BO203" s="3">
        <f>IFERROR(__xludf.DUMMYFUNCTION("""COMPUTED_VALUE"""),0.0)</f>
        <v>0</v>
      </c>
      <c r="BP203" s="3">
        <f>IFERROR(__xludf.DUMMYFUNCTION("""COMPUTED_VALUE"""),0.0)</f>
        <v>0</v>
      </c>
      <c r="BQ203" s="3">
        <f>IFERROR(__xludf.DUMMYFUNCTION("""COMPUTED_VALUE"""),0.0)</f>
        <v>0</v>
      </c>
      <c r="BR203" s="3">
        <f>IFERROR(__xludf.DUMMYFUNCTION("""COMPUTED_VALUE"""),0.0)</f>
        <v>0</v>
      </c>
      <c r="BS203" s="3">
        <f>IFERROR(__xludf.DUMMYFUNCTION("""COMPUTED_VALUE"""),0.0)</f>
        <v>0</v>
      </c>
      <c r="BT203" s="3">
        <f>IFERROR(__xludf.DUMMYFUNCTION("""COMPUTED_VALUE"""),0.0)</f>
        <v>0</v>
      </c>
      <c r="BU203" s="3">
        <f>IFERROR(__xludf.DUMMYFUNCTION("""COMPUTED_VALUE"""),0.0)</f>
        <v>0</v>
      </c>
      <c r="BV203" s="3">
        <f>IFERROR(__xludf.DUMMYFUNCTION("""COMPUTED_VALUE"""),1.0)</f>
        <v>1</v>
      </c>
      <c r="BW203" s="3">
        <f>IFERROR(__xludf.DUMMYFUNCTION("""COMPUTED_VALUE"""),2.0)</f>
        <v>2</v>
      </c>
      <c r="BX203" s="3">
        <f>IFERROR(__xludf.DUMMYFUNCTION("""COMPUTED_VALUE"""),2.0)</f>
        <v>2</v>
      </c>
      <c r="BY203" s="3">
        <f>IFERROR(__xludf.DUMMYFUNCTION("""COMPUTED_VALUE"""),2.0)</f>
        <v>2</v>
      </c>
      <c r="BZ203" s="3">
        <f>IFERROR(__xludf.DUMMYFUNCTION("""COMPUTED_VALUE"""),2.0)</f>
        <v>2</v>
      </c>
      <c r="CA203" s="3">
        <f>IFERROR(__xludf.DUMMYFUNCTION("""COMPUTED_VALUE"""),2.0)</f>
        <v>2</v>
      </c>
      <c r="CB203" s="3">
        <f>IFERROR(__xludf.DUMMYFUNCTION("""COMPUTED_VALUE"""),2.0)</f>
        <v>2</v>
      </c>
    </row>
    <row r="204">
      <c r="A204" s="3" t="str">
        <f>IFERROR(__xludf.DUMMYFUNCTION("""COMPUTED_VALUE"""),"")</f>
        <v/>
      </c>
      <c r="B204" s="3" t="str">
        <f>IFERROR(__xludf.DUMMYFUNCTION("""COMPUTED_VALUE"""),"Suriname")</f>
        <v>Suriname</v>
      </c>
      <c r="C204" s="3">
        <f>IFERROR(__xludf.DUMMYFUNCTION("""COMPUTED_VALUE"""),3.9193)</f>
        <v>3.9193</v>
      </c>
      <c r="D204" s="3">
        <f>IFERROR(__xludf.DUMMYFUNCTION("""COMPUTED_VALUE"""),-56.0278)</f>
        <v>-56.0278</v>
      </c>
      <c r="E204" s="3">
        <f>IFERROR(__xludf.DUMMYFUNCTION("""COMPUTED_VALUE"""),0.0)</f>
        <v>0</v>
      </c>
      <c r="F204" s="3">
        <f>IFERROR(__xludf.DUMMYFUNCTION("""COMPUTED_VALUE"""),0.0)</f>
        <v>0</v>
      </c>
      <c r="G204" s="3">
        <f>IFERROR(__xludf.DUMMYFUNCTION("""COMPUTED_VALUE"""),0.0)</f>
        <v>0</v>
      </c>
      <c r="H204" s="3">
        <f>IFERROR(__xludf.DUMMYFUNCTION("""COMPUTED_VALUE"""),0.0)</f>
        <v>0</v>
      </c>
      <c r="I204" s="3">
        <f>IFERROR(__xludf.DUMMYFUNCTION("""COMPUTED_VALUE"""),0.0)</f>
        <v>0</v>
      </c>
      <c r="J204" s="3">
        <f>IFERROR(__xludf.DUMMYFUNCTION("""COMPUTED_VALUE"""),0.0)</f>
        <v>0</v>
      </c>
      <c r="K204" s="3">
        <f>IFERROR(__xludf.DUMMYFUNCTION("""COMPUTED_VALUE"""),0.0)</f>
        <v>0</v>
      </c>
      <c r="L204" s="3">
        <f>IFERROR(__xludf.DUMMYFUNCTION("""COMPUTED_VALUE"""),0.0)</f>
        <v>0</v>
      </c>
      <c r="M204" s="3">
        <f>IFERROR(__xludf.DUMMYFUNCTION("""COMPUTED_VALUE"""),0.0)</f>
        <v>0</v>
      </c>
      <c r="N204" s="3">
        <f>IFERROR(__xludf.DUMMYFUNCTION("""COMPUTED_VALUE"""),0.0)</f>
        <v>0</v>
      </c>
      <c r="O204" s="3">
        <f>IFERROR(__xludf.DUMMYFUNCTION("""COMPUTED_VALUE"""),0.0)</f>
        <v>0</v>
      </c>
      <c r="P204" s="3">
        <f>IFERROR(__xludf.DUMMYFUNCTION("""COMPUTED_VALUE"""),0.0)</f>
        <v>0</v>
      </c>
      <c r="Q204" s="3">
        <f>IFERROR(__xludf.DUMMYFUNCTION("""COMPUTED_VALUE"""),0.0)</f>
        <v>0</v>
      </c>
      <c r="R204" s="3">
        <f>IFERROR(__xludf.DUMMYFUNCTION("""COMPUTED_VALUE"""),0.0)</f>
        <v>0</v>
      </c>
      <c r="S204" s="3">
        <f>IFERROR(__xludf.DUMMYFUNCTION("""COMPUTED_VALUE"""),0.0)</f>
        <v>0</v>
      </c>
      <c r="T204" s="3">
        <f>IFERROR(__xludf.DUMMYFUNCTION("""COMPUTED_VALUE"""),0.0)</f>
        <v>0</v>
      </c>
      <c r="U204" s="3">
        <f>IFERROR(__xludf.DUMMYFUNCTION("""COMPUTED_VALUE"""),0.0)</f>
        <v>0</v>
      </c>
      <c r="V204" s="3">
        <f>IFERROR(__xludf.DUMMYFUNCTION("""COMPUTED_VALUE"""),0.0)</f>
        <v>0</v>
      </c>
      <c r="W204" s="3">
        <f>IFERROR(__xludf.DUMMYFUNCTION("""COMPUTED_VALUE"""),0.0)</f>
        <v>0</v>
      </c>
      <c r="X204" s="3">
        <f>IFERROR(__xludf.DUMMYFUNCTION("""COMPUTED_VALUE"""),0.0)</f>
        <v>0</v>
      </c>
      <c r="Y204" s="3">
        <f>IFERROR(__xludf.DUMMYFUNCTION("""COMPUTED_VALUE"""),0.0)</f>
        <v>0</v>
      </c>
      <c r="Z204" s="3">
        <f>IFERROR(__xludf.DUMMYFUNCTION("""COMPUTED_VALUE"""),0.0)</f>
        <v>0</v>
      </c>
      <c r="AA204" s="3">
        <f>IFERROR(__xludf.DUMMYFUNCTION("""COMPUTED_VALUE"""),0.0)</f>
        <v>0</v>
      </c>
      <c r="AB204" s="3">
        <f>IFERROR(__xludf.DUMMYFUNCTION("""COMPUTED_VALUE"""),0.0)</f>
        <v>0</v>
      </c>
      <c r="AC204" s="3">
        <f>IFERROR(__xludf.DUMMYFUNCTION("""COMPUTED_VALUE"""),0.0)</f>
        <v>0</v>
      </c>
      <c r="AD204" s="3">
        <f>IFERROR(__xludf.DUMMYFUNCTION("""COMPUTED_VALUE"""),0.0)</f>
        <v>0</v>
      </c>
      <c r="AE204" s="3">
        <f>IFERROR(__xludf.DUMMYFUNCTION("""COMPUTED_VALUE"""),0.0)</f>
        <v>0</v>
      </c>
      <c r="AF204" s="3">
        <f>IFERROR(__xludf.DUMMYFUNCTION("""COMPUTED_VALUE"""),0.0)</f>
        <v>0</v>
      </c>
      <c r="AG204" s="3">
        <f>IFERROR(__xludf.DUMMYFUNCTION("""COMPUTED_VALUE"""),0.0)</f>
        <v>0</v>
      </c>
      <c r="AH204" s="3">
        <f>IFERROR(__xludf.DUMMYFUNCTION("""COMPUTED_VALUE"""),0.0)</f>
        <v>0</v>
      </c>
      <c r="AI204" s="3">
        <f>IFERROR(__xludf.DUMMYFUNCTION("""COMPUTED_VALUE"""),0.0)</f>
        <v>0</v>
      </c>
      <c r="AJ204" s="3">
        <f>IFERROR(__xludf.DUMMYFUNCTION("""COMPUTED_VALUE"""),0.0)</f>
        <v>0</v>
      </c>
      <c r="AK204" s="3">
        <f>IFERROR(__xludf.DUMMYFUNCTION("""COMPUTED_VALUE"""),0.0)</f>
        <v>0</v>
      </c>
      <c r="AL204" s="3">
        <f>IFERROR(__xludf.DUMMYFUNCTION("""COMPUTED_VALUE"""),0.0)</f>
        <v>0</v>
      </c>
      <c r="AM204" s="3">
        <f>IFERROR(__xludf.DUMMYFUNCTION("""COMPUTED_VALUE"""),0.0)</f>
        <v>0</v>
      </c>
      <c r="AN204" s="3">
        <f>IFERROR(__xludf.DUMMYFUNCTION("""COMPUTED_VALUE"""),0.0)</f>
        <v>0</v>
      </c>
      <c r="AO204" s="3">
        <f>IFERROR(__xludf.DUMMYFUNCTION("""COMPUTED_VALUE"""),0.0)</f>
        <v>0</v>
      </c>
      <c r="AP204" s="3">
        <f>IFERROR(__xludf.DUMMYFUNCTION("""COMPUTED_VALUE"""),0.0)</f>
        <v>0</v>
      </c>
      <c r="AQ204" s="3">
        <f>IFERROR(__xludf.DUMMYFUNCTION("""COMPUTED_VALUE"""),0.0)</f>
        <v>0</v>
      </c>
      <c r="AR204" s="3">
        <f>IFERROR(__xludf.DUMMYFUNCTION("""COMPUTED_VALUE"""),0.0)</f>
        <v>0</v>
      </c>
      <c r="AS204" s="3">
        <f>IFERROR(__xludf.DUMMYFUNCTION("""COMPUTED_VALUE"""),0.0)</f>
        <v>0</v>
      </c>
      <c r="AT204" s="3">
        <f>IFERROR(__xludf.DUMMYFUNCTION("""COMPUTED_VALUE"""),0.0)</f>
        <v>0</v>
      </c>
      <c r="AU204" s="3">
        <f>IFERROR(__xludf.DUMMYFUNCTION("""COMPUTED_VALUE"""),0.0)</f>
        <v>0</v>
      </c>
      <c r="AV204" s="3">
        <f>IFERROR(__xludf.DUMMYFUNCTION("""COMPUTED_VALUE"""),0.0)</f>
        <v>0</v>
      </c>
      <c r="AW204" s="3">
        <f>IFERROR(__xludf.DUMMYFUNCTION("""COMPUTED_VALUE"""),0.0)</f>
        <v>0</v>
      </c>
      <c r="AX204" s="3">
        <f>IFERROR(__xludf.DUMMYFUNCTION("""COMPUTED_VALUE"""),0.0)</f>
        <v>0</v>
      </c>
      <c r="AY204" s="3">
        <f>IFERROR(__xludf.DUMMYFUNCTION("""COMPUTED_VALUE"""),0.0)</f>
        <v>0</v>
      </c>
      <c r="AZ204" s="3">
        <f>IFERROR(__xludf.DUMMYFUNCTION("""COMPUTED_VALUE"""),0.0)</f>
        <v>0</v>
      </c>
      <c r="BA204" s="3">
        <f>IFERROR(__xludf.DUMMYFUNCTION("""COMPUTED_VALUE"""),0.0)</f>
        <v>0</v>
      </c>
      <c r="BB204" s="3">
        <f>IFERROR(__xludf.DUMMYFUNCTION("""COMPUTED_VALUE"""),0.0)</f>
        <v>0</v>
      </c>
      <c r="BC204" s="3">
        <f>IFERROR(__xludf.DUMMYFUNCTION("""COMPUTED_VALUE"""),0.0)</f>
        <v>0</v>
      </c>
      <c r="BD204" s="3">
        <f>IFERROR(__xludf.DUMMYFUNCTION("""COMPUTED_VALUE"""),0.0)</f>
        <v>0</v>
      </c>
      <c r="BE204" s="3">
        <f>IFERROR(__xludf.DUMMYFUNCTION("""COMPUTED_VALUE"""),0.0)</f>
        <v>0</v>
      </c>
      <c r="BF204" s="3">
        <f>IFERROR(__xludf.DUMMYFUNCTION("""COMPUTED_VALUE"""),0.0)</f>
        <v>0</v>
      </c>
      <c r="BG204" s="3">
        <f>IFERROR(__xludf.DUMMYFUNCTION("""COMPUTED_VALUE"""),0.0)</f>
        <v>0</v>
      </c>
      <c r="BH204" s="3">
        <f>IFERROR(__xludf.DUMMYFUNCTION("""COMPUTED_VALUE"""),0.0)</f>
        <v>0</v>
      </c>
      <c r="BI204" s="3">
        <f>IFERROR(__xludf.DUMMYFUNCTION("""COMPUTED_VALUE"""),0.0)</f>
        <v>0</v>
      </c>
      <c r="BJ204" s="3">
        <f>IFERROR(__xludf.DUMMYFUNCTION("""COMPUTED_VALUE"""),0.0)</f>
        <v>0</v>
      </c>
      <c r="BK204" s="3">
        <f>IFERROR(__xludf.DUMMYFUNCTION("""COMPUTED_VALUE"""),0.0)</f>
        <v>0</v>
      </c>
      <c r="BL204" s="3">
        <f>IFERROR(__xludf.DUMMYFUNCTION("""COMPUTED_VALUE"""),0.0)</f>
        <v>0</v>
      </c>
      <c r="BM204" s="3">
        <f>IFERROR(__xludf.DUMMYFUNCTION("""COMPUTED_VALUE"""),0.0)</f>
        <v>0</v>
      </c>
      <c r="BN204" s="3">
        <f>IFERROR(__xludf.DUMMYFUNCTION("""COMPUTED_VALUE"""),0.0)</f>
        <v>0</v>
      </c>
      <c r="BO204" s="3">
        <f>IFERROR(__xludf.DUMMYFUNCTION("""COMPUTED_VALUE"""),0.0)</f>
        <v>0</v>
      </c>
      <c r="BP204" s="3">
        <f>IFERROR(__xludf.DUMMYFUNCTION("""COMPUTED_VALUE"""),0.0)</f>
        <v>0</v>
      </c>
      <c r="BQ204" s="3">
        <f>IFERROR(__xludf.DUMMYFUNCTION("""COMPUTED_VALUE"""),0.0)</f>
        <v>0</v>
      </c>
      <c r="BR204" s="3">
        <f>IFERROR(__xludf.DUMMYFUNCTION("""COMPUTED_VALUE"""),0.0)</f>
        <v>0</v>
      </c>
      <c r="BS204" s="3">
        <f>IFERROR(__xludf.DUMMYFUNCTION("""COMPUTED_VALUE"""),0.0)</f>
        <v>0</v>
      </c>
      <c r="BT204" s="3">
        <f>IFERROR(__xludf.DUMMYFUNCTION("""COMPUTED_VALUE"""),0.0)</f>
        <v>0</v>
      </c>
      <c r="BU204" s="3">
        <f>IFERROR(__xludf.DUMMYFUNCTION("""COMPUTED_VALUE"""),0.0)</f>
        <v>0</v>
      </c>
      <c r="BV204" s="3">
        <f>IFERROR(__xludf.DUMMYFUNCTION("""COMPUTED_VALUE"""),0.0)</f>
        <v>0</v>
      </c>
      <c r="BW204" s="3">
        <f>IFERROR(__xludf.DUMMYFUNCTION("""COMPUTED_VALUE"""),0.0)</f>
        <v>0</v>
      </c>
      <c r="BX204" s="3">
        <f>IFERROR(__xludf.DUMMYFUNCTION("""COMPUTED_VALUE"""),0.0)</f>
        <v>0</v>
      </c>
      <c r="BY204" s="3">
        <f>IFERROR(__xludf.DUMMYFUNCTION("""COMPUTED_VALUE"""),0.0)</f>
        <v>0</v>
      </c>
      <c r="BZ204" s="3">
        <f>IFERROR(__xludf.DUMMYFUNCTION("""COMPUTED_VALUE"""),0.0)</f>
        <v>0</v>
      </c>
      <c r="CA204" s="3">
        <f>IFERROR(__xludf.DUMMYFUNCTION("""COMPUTED_VALUE"""),0.0)</f>
        <v>0</v>
      </c>
      <c r="CB204" s="3">
        <f>IFERROR(__xludf.DUMMYFUNCTION("""COMPUTED_VALUE"""),0.0)</f>
        <v>0</v>
      </c>
    </row>
    <row r="205">
      <c r="A205" s="3" t="str">
        <f>IFERROR(__xludf.DUMMYFUNCTION("""COMPUTED_VALUE"""),"")</f>
        <v/>
      </c>
      <c r="B205" s="3" t="str">
        <f>IFERROR(__xludf.DUMMYFUNCTION("""COMPUTED_VALUE"""),"Sweden")</f>
        <v>Sweden</v>
      </c>
      <c r="C205" s="3">
        <f>IFERROR(__xludf.DUMMYFUNCTION("""COMPUTED_VALUE"""),63.0)</f>
        <v>63</v>
      </c>
      <c r="D205" s="3">
        <f>IFERROR(__xludf.DUMMYFUNCTION("""COMPUTED_VALUE"""),16.0)</f>
        <v>16</v>
      </c>
      <c r="E205" s="3">
        <f>IFERROR(__xludf.DUMMYFUNCTION("""COMPUTED_VALUE"""),0.0)</f>
        <v>0</v>
      </c>
      <c r="F205" s="3">
        <f>IFERROR(__xludf.DUMMYFUNCTION("""COMPUTED_VALUE"""),0.0)</f>
        <v>0</v>
      </c>
      <c r="G205" s="3">
        <f>IFERROR(__xludf.DUMMYFUNCTION("""COMPUTED_VALUE"""),0.0)</f>
        <v>0</v>
      </c>
      <c r="H205" s="3">
        <f>IFERROR(__xludf.DUMMYFUNCTION("""COMPUTED_VALUE"""),0.0)</f>
        <v>0</v>
      </c>
      <c r="I205" s="3">
        <f>IFERROR(__xludf.DUMMYFUNCTION("""COMPUTED_VALUE"""),0.0)</f>
        <v>0</v>
      </c>
      <c r="J205" s="3">
        <f>IFERROR(__xludf.DUMMYFUNCTION("""COMPUTED_VALUE"""),0.0)</f>
        <v>0</v>
      </c>
      <c r="K205" s="3">
        <f>IFERROR(__xludf.DUMMYFUNCTION("""COMPUTED_VALUE"""),0.0)</f>
        <v>0</v>
      </c>
      <c r="L205" s="3">
        <f>IFERROR(__xludf.DUMMYFUNCTION("""COMPUTED_VALUE"""),0.0)</f>
        <v>0</v>
      </c>
      <c r="M205" s="3">
        <f>IFERROR(__xludf.DUMMYFUNCTION("""COMPUTED_VALUE"""),0.0)</f>
        <v>0</v>
      </c>
      <c r="N205" s="3">
        <f>IFERROR(__xludf.DUMMYFUNCTION("""COMPUTED_VALUE"""),0.0)</f>
        <v>0</v>
      </c>
      <c r="O205" s="3">
        <f>IFERROR(__xludf.DUMMYFUNCTION("""COMPUTED_VALUE"""),0.0)</f>
        <v>0</v>
      </c>
      <c r="P205" s="3">
        <f>IFERROR(__xludf.DUMMYFUNCTION("""COMPUTED_VALUE"""),0.0)</f>
        <v>0</v>
      </c>
      <c r="Q205" s="3">
        <f>IFERROR(__xludf.DUMMYFUNCTION("""COMPUTED_VALUE"""),0.0)</f>
        <v>0</v>
      </c>
      <c r="R205" s="3">
        <f>IFERROR(__xludf.DUMMYFUNCTION("""COMPUTED_VALUE"""),0.0)</f>
        <v>0</v>
      </c>
      <c r="S205" s="3">
        <f>IFERROR(__xludf.DUMMYFUNCTION("""COMPUTED_VALUE"""),0.0)</f>
        <v>0</v>
      </c>
      <c r="T205" s="3">
        <f>IFERROR(__xludf.DUMMYFUNCTION("""COMPUTED_VALUE"""),0.0)</f>
        <v>0</v>
      </c>
      <c r="U205" s="3">
        <f>IFERROR(__xludf.DUMMYFUNCTION("""COMPUTED_VALUE"""),0.0)</f>
        <v>0</v>
      </c>
      <c r="V205" s="3">
        <f>IFERROR(__xludf.DUMMYFUNCTION("""COMPUTED_VALUE"""),0.0)</f>
        <v>0</v>
      </c>
      <c r="W205" s="3">
        <f>IFERROR(__xludf.DUMMYFUNCTION("""COMPUTED_VALUE"""),0.0)</f>
        <v>0</v>
      </c>
      <c r="X205" s="3">
        <f>IFERROR(__xludf.DUMMYFUNCTION("""COMPUTED_VALUE"""),0.0)</f>
        <v>0</v>
      </c>
      <c r="Y205" s="3">
        <f>IFERROR(__xludf.DUMMYFUNCTION("""COMPUTED_VALUE"""),0.0)</f>
        <v>0</v>
      </c>
      <c r="Z205" s="3">
        <f>IFERROR(__xludf.DUMMYFUNCTION("""COMPUTED_VALUE"""),0.0)</f>
        <v>0</v>
      </c>
      <c r="AA205" s="3">
        <f>IFERROR(__xludf.DUMMYFUNCTION("""COMPUTED_VALUE"""),0.0)</f>
        <v>0</v>
      </c>
      <c r="AB205" s="3">
        <f>IFERROR(__xludf.DUMMYFUNCTION("""COMPUTED_VALUE"""),0.0)</f>
        <v>0</v>
      </c>
      <c r="AC205" s="3">
        <f>IFERROR(__xludf.DUMMYFUNCTION("""COMPUTED_VALUE"""),0.0)</f>
        <v>0</v>
      </c>
      <c r="AD205" s="3">
        <f>IFERROR(__xludf.DUMMYFUNCTION("""COMPUTED_VALUE"""),0.0)</f>
        <v>0</v>
      </c>
      <c r="AE205" s="3">
        <f>IFERROR(__xludf.DUMMYFUNCTION("""COMPUTED_VALUE"""),0.0)</f>
        <v>0</v>
      </c>
      <c r="AF205" s="3">
        <f>IFERROR(__xludf.DUMMYFUNCTION("""COMPUTED_VALUE"""),0.0)</f>
        <v>0</v>
      </c>
      <c r="AG205" s="3">
        <f>IFERROR(__xludf.DUMMYFUNCTION("""COMPUTED_VALUE"""),0.0)</f>
        <v>0</v>
      </c>
      <c r="AH205" s="3">
        <f>IFERROR(__xludf.DUMMYFUNCTION("""COMPUTED_VALUE"""),0.0)</f>
        <v>0</v>
      </c>
      <c r="AI205" s="3">
        <f>IFERROR(__xludf.DUMMYFUNCTION("""COMPUTED_VALUE"""),0.0)</f>
        <v>0</v>
      </c>
      <c r="AJ205" s="3">
        <f>IFERROR(__xludf.DUMMYFUNCTION("""COMPUTED_VALUE"""),0.0)</f>
        <v>0</v>
      </c>
      <c r="AK205" s="3">
        <f>IFERROR(__xludf.DUMMYFUNCTION("""COMPUTED_VALUE"""),0.0)</f>
        <v>0</v>
      </c>
      <c r="AL205" s="3">
        <f>IFERROR(__xludf.DUMMYFUNCTION("""COMPUTED_VALUE"""),0.0)</f>
        <v>0</v>
      </c>
      <c r="AM205" s="3">
        <f>IFERROR(__xludf.DUMMYFUNCTION("""COMPUTED_VALUE"""),0.0)</f>
        <v>0</v>
      </c>
      <c r="AN205" s="3">
        <f>IFERROR(__xludf.DUMMYFUNCTION("""COMPUTED_VALUE"""),0.0)</f>
        <v>0</v>
      </c>
      <c r="AO205" s="3">
        <f>IFERROR(__xludf.DUMMYFUNCTION("""COMPUTED_VALUE"""),0.0)</f>
        <v>0</v>
      </c>
      <c r="AP205" s="3">
        <f>IFERROR(__xludf.DUMMYFUNCTION("""COMPUTED_VALUE"""),0.0)</f>
        <v>0</v>
      </c>
      <c r="AQ205" s="3">
        <f>IFERROR(__xludf.DUMMYFUNCTION("""COMPUTED_VALUE"""),0.0)</f>
        <v>0</v>
      </c>
      <c r="AR205" s="3">
        <f>IFERROR(__xludf.DUMMYFUNCTION("""COMPUTED_VALUE"""),0.0)</f>
        <v>0</v>
      </c>
      <c r="AS205" s="3">
        <f>IFERROR(__xludf.DUMMYFUNCTION("""COMPUTED_VALUE"""),0.0)</f>
        <v>0</v>
      </c>
      <c r="AT205" s="3">
        <f>IFERROR(__xludf.DUMMYFUNCTION("""COMPUTED_VALUE"""),0.0)</f>
        <v>0</v>
      </c>
      <c r="AU205" s="3">
        <f>IFERROR(__xludf.DUMMYFUNCTION("""COMPUTED_VALUE"""),0.0)</f>
        <v>0</v>
      </c>
      <c r="AV205" s="3">
        <f>IFERROR(__xludf.DUMMYFUNCTION("""COMPUTED_VALUE"""),0.0)</f>
        <v>0</v>
      </c>
      <c r="AW205" s="3">
        <f>IFERROR(__xludf.DUMMYFUNCTION("""COMPUTED_VALUE"""),0.0)</f>
        <v>0</v>
      </c>
      <c r="AX205" s="3">
        <f>IFERROR(__xludf.DUMMYFUNCTION("""COMPUTED_VALUE"""),0.0)</f>
        <v>0</v>
      </c>
      <c r="AY205" s="3">
        <f>IFERROR(__xludf.DUMMYFUNCTION("""COMPUTED_VALUE"""),0.0)</f>
        <v>0</v>
      </c>
      <c r="AZ205" s="3">
        <f>IFERROR(__xludf.DUMMYFUNCTION("""COMPUTED_VALUE"""),1.0)</f>
        <v>1</v>
      </c>
      <c r="BA205" s="3">
        <f>IFERROR(__xludf.DUMMYFUNCTION("""COMPUTED_VALUE"""),1.0)</f>
        <v>1</v>
      </c>
      <c r="BB205" s="3">
        <f>IFERROR(__xludf.DUMMYFUNCTION("""COMPUTED_VALUE"""),1.0)</f>
        <v>1</v>
      </c>
      <c r="BC205" s="3">
        <f>IFERROR(__xludf.DUMMYFUNCTION("""COMPUTED_VALUE"""),1.0)</f>
        <v>1</v>
      </c>
      <c r="BD205" s="3">
        <f>IFERROR(__xludf.DUMMYFUNCTION("""COMPUTED_VALUE"""),1.0)</f>
        <v>1</v>
      </c>
      <c r="BE205" s="3">
        <f>IFERROR(__xludf.DUMMYFUNCTION("""COMPUTED_VALUE"""),1.0)</f>
        <v>1</v>
      </c>
      <c r="BF205" s="3">
        <f>IFERROR(__xludf.DUMMYFUNCTION("""COMPUTED_VALUE"""),1.0)</f>
        <v>1</v>
      </c>
      <c r="BG205" s="3">
        <f>IFERROR(__xludf.DUMMYFUNCTION("""COMPUTED_VALUE"""),1.0)</f>
        <v>1</v>
      </c>
      <c r="BH205" s="3">
        <f>IFERROR(__xludf.DUMMYFUNCTION("""COMPUTED_VALUE"""),1.0)</f>
        <v>1</v>
      </c>
      <c r="BI205" s="3">
        <f>IFERROR(__xludf.DUMMYFUNCTION("""COMPUTED_VALUE"""),1.0)</f>
        <v>1</v>
      </c>
      <c r="BJ205" s="3">
        <f>IFERROR(__xludf.DUMMYFUNCTION("""COMPUTED_VALUE"""),16.0)</f>
        <v>16</v>
      </c>
      <c r="BK205" s="3">
        <f>IFERROR(__xludf.DUMMYFUNCTION("""COMPUTED_VALUE"""),16.0)</f>
        <v>16</v>
      </c>
      <c r="BL205" s="3">
        <f>IFERROR(__xludf.DUMMYFUNCTION("""COMPUTED_VALUE"""),16.0)</f>
        <v>16</v>
      </c>
      <c r="BM205" s="3">
        <f>IFERROR(__xludf.DUMMYFUNCTION("""COMPUTED_VALUE"""),16.0)</f>
        <v>16</v>
      </c>
      <c r="BN205" s="3">
        <f>IFERROR(__xludf.DUMMYFUNCTION("""COMPUTED_VALUE"""),16.0)</f>
        <v>16</v>
      </c>
      <c r="BO205" s="3">
        <f>IFERROR(__xludf.DUMMYFUNCTION("""COMPUTED_VALUE"""),16.0)</f>
        <v>16</v>
      </c>
      <c r="BP205" s="3">
        <f>IFERROR(__xludf.DUMMYFUNCTION("""COMPUTED_VALUE"""),16.0)</f>
        <v>16</v>
      </c>
      <c r="BQ205" s="3">
        <f>IFERROR(__xludf.DUMMYFUNCTION("""COMPUTED_VALUE"""),16.0)</f>
        <v>16</v>
      </c>
      <c r="BR205" s="3">
        <f>IFERROR(__xludf.DUMMYFUNCTION("""COMPUTED_VALUE"""),16.0)</f>
        <v>16</v>
      </c>
      <c r="BS205" s="3">
        <f>IFERROR(__xludf.DUMMYFUNCTION("""COMPUTED_VALUE"""),16.0)</f>
        <v>16</v>
      </c>
      <c r="BT205" s="3">
        <f>IFERROR(__xludf.DUMMYFUNCTION("""COMPUTED_VALUE"""),16.0)</f>
        <v>16</v>
      </c>
      <c r="BU205" s="3">
        <f>IFERROR(__xludf.DUMMYFUNCTION("""COMPUTED_VALUE"""),16.0)</f>
        <v>16</v>
      </c>
      <c r="BV205" s="3">
        <f>IFERROR(__xludf.DUMMYFUNCTION("""COMPUTED_VALUE"""),16.0)</f>
        <v>16</v>
      </c>
      <c r="BW205" s="3">
        <f>IFERROR(__xludf.DUMMYFUNCTION("""COMPUTED_VALUE"""),103.0)</f>
        <v>103</v>
      </c>
      <c r="BX205" s="3">
        <f>IFERROR(__xludf.DUMMYFUNCTION("""COMPUTED_VALUE"""),103.0)</f>
        <v>103</v>
      </c>
      <c r="BY205" s="3">
        <f>IFERROR(__xludf.DUMMYFUNCTION("""COMPUTED_VALUE"""),205.0)</f>
        <v>205</v>
      </c>
      <c r="BZ205" s="3">
        <f>IFERROR(__xludf.DUMMYFUNCTION("""COMPUTED_VALUE"""),205.0)</f>
        <v>205</v>
      </c>
      <c r="CA205" s="3">
        <f>IFERROR(__xludf.DUMMYFUNCTION("""COMPUTED_VALUE"""),205.0)</f>
        <v>205</v>
      </c>
      <c r="CB205" s="3">
        <f>IFERROR(__xludf.DUMMYFUNCTION("""COMPUTED_VALUE"""),205.0)</f>
        <v>205</v>
      </c>
    </row>
    <row r="206">
      <c r="A206" s="3" t="str">
        <f>IFERROR(__xludf.DUMMYFUNCTION("""COMPUTED_VALUE"""),"")</f>
        <v/>
      </c>
      <c r="B206" s="3" t="str">
        <f>IFERROR(__xludf.DUMMYFUNCTION("""COMPUTED_VALUE"""),"Switzerland")</f>
        <v>Switzerland</v>
      </c>
      <c r="C206" s="3">
        <f>IFERROR(__xludf.DUMMYFUNCTION("""COMPUTED_VALUE"""),46.8182)</f>
        <v>46.8182</v>
      </c>
      <c r="D206" s="3">
        <f>IFERROR(__xludf.DUMMYFUNCTION("""COMPUTED_VALUE"""),8.2275)</f>
        <v>8.2275</v>
      </c>
      <c r="E206" s="3">
        <f>IFERROR(__xludf.DUMMYFUNCTION("""COMPUTED_VALUE"""),0.0)</f>
        <v>0</v>
      </c>
      <c r="F206" s="3">
        <f>IFERROR(__xludf.DUMMYFUNCTION("""COMPUTED_VALUE"""),0.0)</f>
        <v>0</v>
      </c>
      <c r="G206" s="3">
        <f>IFERROR(__xludf.DUMMYFUNCTION("""COMPUTED_VALUE"""),0.0)</f>
        <v>0</v>
      </c>
      <c r="H206" s="3">
        <f>IFERROR(__xludf.DUMMYFUNCTION("""COMPUTED_VALUE"""),0.0)</f>
        <v>0</v>
      </c>
      <c r="I206" s="3">
        <f>IFERROR(__xludf.DUMMYFUNCTION("""COMPUTED_VALUE"""),0.0)</f>
        <v>0</v>
      </c>
      <c r="J206" s="3">
        <f>IFERROR(__xludf.DUMMYFUNCTION("""COMPUTED_VALUE"""),0.0)</f>
        <v>0</v>
      </c>
      <c r="K206" s="3">
        <f>IFERROR(__xludf.DUMMYFUNCTION("""COMPUTED_VALUE"""),0.0)</f>
        <v>0</v>
      </c>
      <c r="L206" s="3">
        <f>IFERROR(__xludf.DUMMYFUNCTION("""COMPUTED_VALUE"""),0.0)</f>
        <v>0</v>
      </c>
      <c r="M206" s="3">
        <f>IFERROR(__xludf.DUMMYFUNCTION("""COMPUTED_VALUE"""),0.0)</f>
        <v>0</v>
      </c>
      <c r="N206" s="3">
        <f>IFERROR(__xludf.DUMMYFUNCTION("""COMPUTED_VALUE"""),0.0)</f>
        <v>0</v>
      </c>
      <c r="O206" s="3">
        <f>IFERROR(__xludf.DUMMYFUNCTION("""COMPUTED_VALUE"""),0.0)</f>
        <v>0</v>
      </c>
      <c r="P206" s="3">
        <f>IFERROR(__xludf.DUMMYFUNCTION("""COMPUTED_VALUE"""),0.0)</f>
        <v>0</v>
      </c>
      <c r="Q206" s="3">
        <f>IFERROR(__xludf.DUMMYFUNCTION("""COMPUTED_VALUE"""),0.0)</f>
        <v>0</v>
      </c>
      <c r="R206" s="3">
        <f>IFERROR(__xludf.DUMMYFUNCTION("""COMPUTED_VALUE"""),0.0)</f>
        <v>0</v>
      </c>
      <c r="S206" s="3">
        <f>IFERROR(__xludf.DUMMYFUNCTION("""COMPUTED_VALUE"""),0.0)</f>
        <v>0</v>
      </c>
      <c r="T206" s="3">
        <f>IFERROR(__xludf.DUMMYFUNCTION("""COMPUTED_VALUE"""),0.0)</f>
        <v>0</v>
      </c>
      <c r="U206" s="3">
        <f>IFERROR(__xludf.DUMMYFUNCTION("""COMPUTED_VALUE"""),0.0)</f>
        <v>0</v>
      </c>
      <c r="V206" s="3">
        <f>IFERROR(__xludf.DUMMYFUNCTION("""COMPUTED_VALUE"""),0.0)</f>
        <v>0</v>
      </c>
      <c r="W206" s="3">
        <f>IFERROR(__xludf.DUMMYFUNCTION("""COMPUTED_VALUE"""),0.0)</f>
        <v>0</v>
      </c>
      <c r="X206" s="3">
        <f>IFERROR(__xludf.DUMMYFUNCTION("""COMPUTED_VALUE"""),0.0)</f>
        <v>0</v>
      </c>
      <c r="Y206" s="3">
        <f>IFERROR(__xludf.DUMMYFUNCTION("""COMPUTED_VALUE"""),0.0)</f>
        <v>0</v>
      </c>
      <c r="Z206" s="3">
        <f>IFERROR(__xludf.DUMMYFUNCTION("""COMPUTED_VALUE"""),0.0)</f>
        <v>0</v>
      </c>
      <c r="AA206" s="3">
        <f>IFERROR(__xludf.DUMMYFUNCTION("""COMPUTED_VALUE"""),0.0)</f>
        <v>0</v>
      </c>
      <c r="AB206" s="3">
        <f>IFERROR(__xludf.DUMMYFUNCTION("""COMPUTED_VALUE"""),0.0)</f>
        <v>0</v>
      </c>
      <c r="AC206" s="3">
        <f>IFERROR(__xludf.DUMMYFUNCTION("""COMPUTED_VALUE"""),0.0)</f>
        <v>0</v>
      </c>
      <c r="AD206" s="3">
        <f>IFERROR(__xludf.DUMMYFUNCTION("""COMPUTED_VALUE"""),0.0)</f>
        <v>0</v>
      </c>
      <c r="AE206" s="3">
        <f>IFERROR(__xludf.DUMMYFUNCTION("""COMPUTED_VALUE"""),0.0)</f>
        <v>0</v>
      </c>
      <c r="AF206" s="3">
        <f>IFERROR(__xludf.DUMMYFUNCTION("""COMPUTED_VALUE"""),0.0)</f>
        <v>0</v>
      </c>
      <c r="AG206" s="3">
        <f>IFERROR(__xludf.DUMMYFUNCTION("""COMPUTED_VALUE"""),0.0)</f>
        <v>0</v>
      </c>
      <c r="AH206" s="3">
        <f>IFERROR(__xludf.DUMMYFUNCTION("""COMPUTED_VALUE"""),0.0)</f>
        <v>0</v>
      </c>
      <c r="AI206" s="3">
        <f>IFERROR(__xludf.DUMMYFUNCTION("""COMPUTED_VALUE"""),0.0)</f>
        <v>0</v>
      </c>
      <c r="AJ206" s="3">
        <f>IFERROR(__xludf.DUMMYFUNCTION("""COMPUTED_VALUE"""),0.0)</f>
        <v>0</v>
      </c>
      <c r="AK206" s="3">
        <f>IFERROR(__xludf.DUMMYFUNCTION("""COMPUTED_VALUE"""),0.0)</f>
        <v>0</v>
      </c>
      <c r="AL206" s="3">
        <f>IFERROR(__xludf.DUMMYFUNCTION("""COMPUTED_VALUE"""),0.0)</f>
        <v>0</v>
      </c>
      <c r="AM206" s="3">
        <f>IFERROR(__xludf.DUMMYFUNCTION("""COMPUTED_VALUE"""),0.0)</f>
        <v>0</v>
      </c>
      <c r="AN206" s="3">
        <f>IFERROR(__xludf.DUMMYFUNCTION("""COMPUTED_VALUE"""),0.0)</f>
        <v>0</v>
      </c>
      <c r="AO206" s="3">
        <f>IFERROR(__xludf.DUMMYFUNCTION("""COMPUTED_VALUE"""),0.0)</f>
        <v>0</v>
      </c>
      <c r="AP206" s="3">
        <f>IFERROR(__xludf.DUMMYFUNCTION("""COMPUTED_VALUE"""),0.0)</f>
        <v>0</v>
      </c>
      <c r="AQ206" s="3">
        <f>IFERROR(__xludf.DUMMYFUNCTION("""COMPUTED_VALUE"""),0.0)</f>
        <v>0</v>
      </c>
      <c r="AR206" s="3">
        <f>IFERROR(__xludf.DUMMYFUNCTION("""COMPUTED_VALUE"""),0.0)</f>
        <v>0</v>
      </c>
      <c r="AS206" s="3">
        <f>IFERROR(__xludf.DUMMYFUNCTION("""COMPUTED_VALUE"""),0.0)</f>
        <v>0</v>
      </c>
      <c r="AT206" s="3">
        <f>IFERROR(__xludf.DUMMYFUNCTION("""COMPUTED_VALUE"""),2.0)</f>
        <v>2</v>
      </c>
      <c r="AU206" s="3">
        <f>IFERROR(__xludf.DUMMYFUNCTION("""COMPUTED_VALUE"""),3.0)</f>
        <v>3</v>
      </c>
      <c r="AV206" s="3">
        <f>IFERROR(__xludf.DUMMYFUNCTION("""COMPUTED_VALUE"""),3.0)</f>
        <v>3</v>
      </c>
      <c r="AW206" s="3">
        <f>IFERROR(__xludf.DUMMYFUNCTION("""COMPUTED_VALUE"""),3.0)</f>
        <v>3</v>
      </c>
      <c r="AX206" s="3">
        <f>IFERROR(__xludf.DUMMYFUNCTION("""COMPUTED_VALUE"""),3.0)</f>
        <v>3</v>
      </c>
      <c r="AY206" s="3">
        <f>IFERROR(__xludf.DUMMYFUNCTION("""COMPUTED_VALUE"""),3.0)</f>
        <v>3</v>
      </c>
      <c r="AZ206" s="3">
        <f>IFERROR(__xludf.DUMMYFUNCTION("""COMPUTED_VALUE"""),3.0)</f>
        <v>3</v>
      </c>
      <c r="BA206" s="3">
        <f>IFERROR(__xludf.DUMMYFUNCTION("""COMPUTED_VALUE"""),3.0)</f>
        <v>3</v>
      </c>
      <c r="BB206" s="3">
        <f>IFERROR(__xludf.DUMMYFUNCTION("""COMPUTED_VALUE"""),4.0)</f>
        <v>4</v>
      </c>
      <c r="BC206" s="3">
        <f>IFERROR(__xludf.DUMMYFUNCTION("""COMPUTED_VALUE"""),4.0)</f>
        <v>4</v>
      </c>
      <c r="BD206" s="3">
        <f>IFERROR(__xludf.DUMMYFUNCTION("""COMPUTED_VALUE"""),4.0)</f>
        <v>4</v>
      </c>
      <c r="BE206" s="3">
        <f>IFERROR(__xludf.DUMMYFUNCTION("""COMPUTED_VALUE"""),4.0)</f>
        <v>4</v>
      </c>
      <c r="BF206" s="3">
        <f>IFERROR(__xludf.DUMMYFUNCTION("""COMPUTED_VALUE"""),4.0)</f>
        <v>4</v>
      </c>
      <c r="BG206" s="3">
        <f>IFERROR(__xludf.DUMMYFUNCTION("""COMPUTED_VALUE"""),4.0)</f>
        <v>4</v>
      </c>
      <c r="BH206" s="3">
        <f>IFERROR(__xludf.DUMMYFUNCTION("""COMPUTED_VALUE"""),4.0)</f>
        <v>4</v>
      </c>
      <c r="BI206" s="3">
        <f>IFERROR(__xludf.DUMMYFUNCTION("""COMPUTED_VALUE"""),15.0)</f>
        <v>15</v>
      </c>
      <c r="BJ206" s="3">
        <f>IFERROR(__xludf.DUMMYFUNCTION("""COMPUTED_VALUE"""),15.0)</f>
        <v>15</v>
      </c>
      <c r="BK206" s="3">
        <f>IFERROR(__xludf.DUMMYFUNCTION("""COMPUTED_VALUE"""),15.0)</f>
        <v>15</v>
      </c>
      <c r="BL206" s="3">
        <f>IFERROR(__xludf.DUMMYFUNCTION("""COMPUTED_VALUE"""),15.0)</f>
        <v>15</v>
      </c>
      <c r="BM206" s="3">
        <f>IFERROR(__xludf.DUMMYFUNCTION("""COMPUTED_VALUE"""),131.0)</f>
        <v>131</v>
      </c>
      <c r="BN206" s="3">
        <f>IFERROR(__xludf.DUMMYFUNCTION("""COMPUTED_VALUE"""),131.0)</f>
        <v>131</v>
      </c>
      <c r="BO206" s="3">
        <f>IFERROR(__xludf.DUMMYFUNCTION("""COMPUTED_VALUE"""),131.0)</f>
        <v>131</v>
      </c>
      <c r="BP206" s="3">
        <f>IFERROR(__xludf.DUMMYFUNCTION("""COMPUTED_VALUE"""),131.0)</f>
        <v>131</v>
      </c>
      <c r="BQ206" s="3">
        <f>IFERROR(__xludf.DUMMYFUNCTION("""COMPUTED_VALUE"""),131.0)</f>
        <v>131</v>
      </c>
      <c r="BR206" s="3">
        <f>IFERROR(__xludf.DUMMYFUNCTION("""COMPUTED_VALUE"""),1530.0)</f>
        <v>1530</v>
      </c>
      <c r="BS206" s="3">
        <f>IFERROR(__xludf.DUMMYFUNCTION("""COMPUTED_VALUE"""),1530.0)</f>
        <v>1530</v>
      </c>
      <c r="BT206" s="3">
        <f>IFERROR(__xludf.DUMMYFUNCTION("""COMPUTED_VALUE"""),1595.0)</f>
        <v>1595</v>
      </c>
      <c r="BU206" s="3">
        <f>IFERROR(__xludf.DUMMYFUNCTION("""COMPUTED_VALUE"""),1823.0)</f>
        <v>1823</v>
      </c>
      <c r="BV206" s="3">
        <f>IFERROR(__xludf.DUMMYFUNCTION("""COMPUTED_VALUE"""),1823.0)</f>
        <v>1823</v>
      </c>
      <c r="BW206" s="3">
        <f>IFERROR(__xludf.DUMMYFUNCTION("""COMPUTED_VALUE"""),2967.0)</f>
        <v>2967</v>
      </c>
      <c r="BX206" s="3">
        <f>IFERROR(__xludf.DUMMYFUNCTION("""COMPUTED_VALUE"""),4013.0)</f>
        <v>4013</v>
      </c>
      <c r="BY206" s="3">
        <f>IFERROR(__xludf.DUMMYFUNCTION("""COMPUTED_VALUE"""),4846.0)</f>
        <v>4846</v>
      </c>
      <c r="BZ206" s="3">
        <f>IFERROR(__xludf.DUMMYFUNCTION("""COMPUTED_VALUE"""),6415.0)</f>
        <v>6415</v>
      </c>
      <c r="CA206" s="3">
        <f>IFERROR(__xludf.DUMMYFUNCTION("""COMPUTED_VALUE"""),6415.0)</f>
        <v>6415</v>
      </c>
      <c r="CB206" s="3">
        <f>IFERROR(__xludf.DUMMYFUNCTION("""COMPUTED_VALUE"""),8056.0)</f>
        <v>8056</v>
      </c>
    </row>
    <row r="207">
      <c r="A207" s="3" t="str">
        <f>IFERROR(__xludf.DUMMYFUNCTION("""COMPUTED_VALUE"""),"")</f>
        <v/>
      </c>
      <c r="B207" s="3" t="str">
        <f>IFERROR(__xludf.DUMMYFUNCTION("""COMPUTED_VALUE"""),"Syria")</f>
        <v>Syria</v>
      </c>
      <c r="C207" s="3">
        <f>IFERROR(__xludf.DUMMYFUNCTION("""COMPUTED_VALUE"""),34.8021)</f>
        <v>34.8021</v>
      </c>
      <c r="D207" s="3">
        <f>IFERROR(__xludf.DUMMYFUNCTION("""COMPUTED_VALUE"""),38.9968)</f>
        <v>38.9968</v>
      </c>
      <c r="E207" s="3">
        <f>IFERROR(__xludf.DUMMYFUNCTION("""COMPUTED_VALUE"""),0.0)</f>
        <v>0</v>
      </c>
      <c r="F207" s="3">
        <f>IFERROR(__xludf.DUMMYFUNCTION("""COMPUTED_VALUE"""),0.0)</f>
        <v>0</v>
      </c>
      <c r="G207" s="3">
        <f>IFERROR(__xludf.DUMMYFUNCTION("""COMPUTED_VALUE"""),0.0)</f>
        <v>0</v>
      </c>
      <c r="H207" s="3">
        <f>IFERROR(__xludf.DUMMYFUNCTION("""COMPUTED_VALUE"""),0.0)</f>
        <v>0</v>
      </c>
      <c r="I207" s="3">
        <f>IFERROR(__xludf.DUMMYFUNCTION("""COMPUTED_VALUE"""),0.0)</f>
        <v>0</v>
      </c>
      <c r="J207" s="3">
        <f>IFERROR(__xludf.DUMMYFUNCTION("""COMPUTED_VALUE"""),0.0)</f>
        <v>0</v>
      </c>
      <c r="K207" s="3">
        <f>IFERROR(__xludf.DUMMYFUNCTION("""COMPUTED_VALUE"""),0.0)</f>
        <v>0</v>
      </c>
      <c r="L207" s="3">
        <f>IFERROR(__xludf.DUMMYFUNCTION("""COMPUTED_VALUE"""),0.0)</f>
        <v>0</v>
      </c>
      <c r="M207" s="3">
        <f>IFERROR(__xludf.DUMMYFUNCTION("""COMPUTED_VALUE"""),0.0)</f>
        <v>0</v>
      </c>
      <c r="N207" s="3">
        <f>IFERROR(__xludf.DUMMYFUNCTION("""COMPUTED_VALUE"""),0.0)</f>
        <v>0</v>
      </c>
      <c r="O207" s="3">
        <f>IFERROR(__xludf.DUMMYFUNCTION("""COMPUTED_VALUE"""),0.0)</f>
        <v>0</v>
      </c>
      <c r="P207" s="3">
        <f>IFERROR(__xludf.DUMMYFUNCTION("""COMPUTED_VALUE"""),0.0)</f>
        <v>0</v>
      </c>
      <c r="Q207" s="3">
        <f>IFERROR(__xludf.DUMMYFUNCTION("""COMPUTED_VALUE"""),0.0)</f>
        <v>0</v>
      </c>
      <c r="R207" s="3">
        <f>IFERROR(__xludf.DUMMYFUNCTION("""COMPUTED_VALUE"""),0.0)</f>
        <v>0</v>
      </c>
      <c r="S207" s="3">
        <f>IFERROR(__xludf.DUMMYFUNCTION("""COMPUTED_VALUE"""),0.0)</f>
        <v>0</v>
      </c>
      <c r="T207" s="3">
        <f>IFERROR(__xludf.DUMMYFUNCTION("""COMPUTED_VALUE"""),0.0)</f>
        <v>0</v>
      </c>
      <c r="U207" s="3">
        <f>IFERROR(__xludf.DUMMYFUNCTION("""COMPUTED_VALUE"""),0.0)</f>
        <v>0</v>
      </c>
      <c r="V207" s="3">
        <f>IFERROR(__xludf.DUMMYFUNCTION("""COMPUTED_VALUE"""),0.0)</f>
        <v>0</v>
      </c>
      <c r="W207" s="3">
        <f>IFERROR(__xludf.DUMMYFUNCTION("""COMPUTED_VALUE"""),0.0)</f>
        <v>0</v>
      </c>
      <c r="X207" s="3">
        <f>IFERROR(__xludf.DUMMYFUNCTION("""COMPUTED_VALUE"""),0.0)</f>
        <v>0</v>
      </c>
      <c r="Y207" s="3">
        <f>IFERROR(__xludf.DUMMYFUNCTION("""COMPUTED_VALUE"""),0.0)</f>
        <v>0</v>
      </c>
      <c r="Z207" s="3">
        <f>IFERROR(__xludf.DUMMYFUNCTION("""COMPUTED_VALUE"""),0.0)</f>
        <v>0</v>
      </c>
      <c r="AA207" s="3">
        <f>IFERROR(__xludf.DUMMYFUNCTION("""COMPUTED_VALUE"""),0.0)</f>
        <v>0</v>
      </c>
      <c r="AB207" s="3">
        <f>IFERROR(__xludf.DUMMYFUNCTION("""COMPUTED_VALUE"""),0.0)</f>
        <v>0</v>
      </c>
      <c r="AC207" s="3">
        <f>IFERROR(__xludf.DUMMYFUNCTION("""COMPUTED_VALUE"""),0.0)</f>
        <v>0</v>
      </c>
      <c r="AD207" s="3">
        <f>IFERROR(__xludf.DUMMYFUNCTION("""COMPUTED_VALUE"""),0.0)</f>
        <v>0</v>
      </c>
      <c r="AE207" s="3">
        <f>IFERROR(__xludf.DUMMYFUNCTION("""COMPUTED_VALUE"""),0.0)</f>
        <v>0</v>
      </c>
      <c r="AF207" s="3">
        <f>IFERROR(__xludf.DUMMYFUNCTION("""COMPUTED_VALUE"""),0.0)</f>
        <v>0</v>
      </c>
      <c r="AG207" s="3">
        <f>IFERROR(__xludf.DUMMYFUNCTION("""COMPUTED_VALUE"""),0.0)</f>
        <v>0</v>
      </c>
      <c r="AH207" s="3">
        <f>IFERROR(__xludf.DUMMYFUNCTION("""COMPUTED_VALUE"""),0.0)</f>
        <v>0</v>
      </c>
      <c r="AI207" s="3">
        <f>IFERROR(__xludf.DUMMYFUNCTION("""COMPUTED_VALUE"""),0.0)</f>
        <v>0</v>
      </c>
      <c r="AJ207" s="3">
        <f>IFERROR(__xludf.DUMMYFUNCTION("""COMPUTED_VALUE"""),0.0)</f>
        <v>0</v>
      </c>
      <c r="AK207" s="3">
        <f>IFERROR(__xludf.DUMMYFUNCTION("""COMPUTED_VALUE"""),0.0)</f>
        <v>0</v>
      </c>
      <c r="AL207" s="3">
        <f>IFERROR(__xludf.DUMMYFUNCTION("""COMPUTED_VALUE"""),0.0)</f>
        <v>0</v>
      </c>
      <c r="AM207" s="3">
        <f>IFERROR(__xludf.DUMMYFUNCTION("""COMPUTED_VALUE"""),0.0)</f>
        <v>0</v>
      </c>
      <c r="AN207" s="3">
        <f>IFERROR(__xludf.DUMMYFUNCTION("""COMPUTED_VALUE"""),0.0)</f>
        <v>0</v>
      </c>
      <c r="AO207" s="3">
        <f>IFERROR(__xludf.DUMMYFUNCTION("""COMPUTED_VALUE"""),0.0)</f>
        <v>0</v>
      </c>
      <c r="AP207" s="3">
        <f>IFERROR(__xludf.DUMMYFUNCTION("""COMPUTED_VALUE"""),0.0)</f>
        <v>0</v>
      </c>
      <c r="AQ207" s="3">
        <f>IFERROR(__xludf.DUMMYFUNCTION("""COMPUTED_VALUE"""),0.0)</f>
        <v>0</v>
      </c>
      <c r="AR207" s="3">
        <f>IFERROR(__xludf.DUMMYFUNCTION("""COMPUTED_VALUE"""),0.0)</f>
        <v>0</v>
      </c>
      <c r="AS207" s="3">
        <f>IFERROR(__xludf.DUMMYFUNCTION("""COMPUTED_VALUE"""),0.0)</f>
        <v>0</v>
      </c>
      <c r="AT207" s="3">
        <f>IFERROR(__xludf.DUMMYFUNCTION("""COMPUTED_VALUE"""),0.0)</f>
        <v>0</v>
      </c>
      <c r="AU207" s="3">
        <f>IFERROR(__xludf.DUMMYFUNCTION("""COMPUTED_VALUE"""),0.0)</f>
        <v>0</v>
      </c>
      <c r="AV207" s="3">
        <f>IFERROR(__xludf.DUMMYFUNCTION("""COMPUTED_VALUE"""),0.0)</f>
        <v>0</v>
      </c>
      <c r="AW207" s="3">
        <f>IFERROR(__xludf.DUMMYFUNCTION("""COMPUTED_VALUE"""),0.0)</f>
        <v>0</v>
      </c>
      <c r="AX207" s="3">
        <f>IFERROR(__xludf.DUMMYFUNCTION("""COMPUTED_VALUE"""),0.0)</f>
        <v>0</v>
      </c>
      <c r="AY207" s="3">
        <f>IFERROR(__xludf.DUMMYFUNCTION("""COMPUTED_VALUE"""),0.0)</f>
        <v>0</v>
      </c>
      <c r="AZ207" s="3">
        <f>IFERROR(__xludf.DUMMYFUNCTION("""COMPUTED_VALUE"""),0.0)</f>
        <v>0</v>
      </c>
      <c r="BA207" s="3">
        <f>IFERROR(__xludf.DUMMYFUNCTION("""COMPUTED_VALUE"""),0.0)</f>
        <v>0</v>
      </c>
      <c r="BB207" s="3">
        <f>IFERROR(__xludf.DUMMYFUNCTION("""COMPUTED_VALUE"""),0.0)</f>
        <v>0</v>
      </c>
      <c r="BC207" s="3">
        <f>IFERROR(__xludf.DUMMYFUNCTION("""COMPUTED_VALUE"""),0.0)</f>
        <v>0</v>
      </c>
      <c r="BD207" s="3">
        <f>IFERROR(__xludf.DUMMYFUNCTION("""COMPUTED_VALUE"""),0.0)</f>
        <v>0</v>
      </c>
      <c r="BE207" s="3">
        <f>IFERROR(__xludf.DUMMYFUNCTION("""COMPUTED_VALUE"""),0.0)</f>
        <v>0</v>
      </c>
      <c r="BF207" s="3">
        <f>IFERROR(__xludf.DUMMYFUNCTION("""COMPUTED_VALUE"""),0.0)</f>
        <v>0</v>
      </c>
      <c r="BG207" s="3">
        <f>IFERROR(__xludf.DUMMYFUNCTION("""COMPUTED_VALUE"""),0.0)</f>
        <v>0</v>
      </c>
      <c r="BH207" s="3">
        <f>IFERROR(__xludf.DUMMYFUNCTION("""COMPUTED_VALUE"""),0.0)</f>
        <v>0</v>
      </c>
      <c r="BI207" s="3">
        <f>IFERROR(__xludf.DUMMYFUNCTION("""COMPUTED_VALUE"""),0.0)</f>
        <v>0</v>
      </c>
      <c r="BJ207" s="3">
        <f>IFERROR(__xludf.DUMMYFUNCTION("""COMPUTED_VALUE"""),0.0)</f>
        <v>0</v>
      </c>
      <c r="BK207" s="3">
        <f>IFERROR(__xludf.DUMMYFUNCTION("""COMPUTED_VALUE"""),0.0)</f>
        <v>0</v>
      </c>
      <c r="BL207" s="3">
        <f>IFERROR(__xludf.DUMMYFUNCTION("""COMPUTED_VALUE"""),0.0)</f>
        <v>0</v>
      </c>
      <c r="BM207" s="3">
        <f>IFERROR(__xludf.DUMMYFUNCTION("""COMPUTED_VALUE"""),0.0)</f>
        <v>0</v>
      </c>
      <c r="BN207" s="3">
        <f>IFERROR(__xludf.DUMMYFUNCTION("""COMPUTED_VALUE"""),0.0)</f>
        <v>0</v>
      </c>
      <c r="BO207" s="3">
        <f>IFERROR(__xludf.DUMMYFUNCTION("""COMPUTED_VALUE"""),0.0)</f>
        <v>0</v>
      </c>
      <c r="BP207" s="3">
        <f>IFERROR(__xludf.DUMMYFUNCTION("""COMPUTED_VALUE"""),0.0)</f>
        <v>0</v>
      </c>
      <c r="BQ207" s="3">
        <f>IFERROR(__xludf.DUMMYFUNCTION("""COMPUTED_VALUE"""),0.0)</f>
        <v>0</v>
      </c>
      <c r="BR207" s="3">
        <f>IFERROR(__xludf.DUMMYFUNCTION("""COMPUTED_VALUE"""),0.0)</f>
        <v>0</v>
      </c>
      <c r="BS207" s="3">
        <f>IFERROR(__xludf.DUMMYFUNCTION("""COMPUTED_VALUE"""),0.0)</f>
        <v>0</v>
      </c>
      <c r="BT207" s="3">
        <f>IFERROR(__xludf.DUMMYFUNCTION("""COMPUTED_VALUE"""),0.0)</f>
        <v>0</v>
      </c>
      <c r="BU207" s="3">
        <f>IFERROR(__xludf.DUMMYFUNCTION("""COMPUTED_VALUE"""),0.0)</f>
        <v>0</v>
      </c>
      <c r="BV207" s="3">
        <f>IFERROR(__xludf.DUMMYFUNCTION("""COMPUTED_VALUE"""),0.0)</f>
        <v>0</v>
      </c>
      <c r="BW207" s="3">
        <f>IFERROR(__xludf.DUMMYFUNCTION("""COMPUTED_VALUE"""),0.0)</f>
        <v>0</v>
      </c>
      <c r="BX207" s="3">
        <f>IFERROR(__xludf.DUMMYFUNCTION("""COMPUTED_VALUE"""),0.0)</f>
        <v>0</v>
      </c>
      <c r="BY207" s="3">
        <f>IFERROR(__xludf.DUMMYFUNCTION("""COMPUTED_VALUE"""),0.0)</f>
        <v>0</v>
      </c>
      <c r="BZ207" s="3">
        <f>IFERROR(__xludf.DUMMYFUNCTION("""COMPUTED_VALUE"""),2.0)</f>
        <v>2</v>
      </c>
      <c r="CA207" s="3">
        <f>IFERROR(__xludf.DUMMYFUNCTION("""COMPUTED_VALUE"""),2.0)</f>
        <v>2</v>
      </c>
      <c r="CB207" s="3">
        <f>IFERROR(__xludf.DUMMYFUNCTION("""COMPUTED_VALUE"""),2.0)</f>
        <v>2</v>
      </c>
    </row>
    <row r="208">
      <c r="A208" s="3" t="str">
        <f>IFERROR(__xludf.DUMMYFUNCTION("""COMPUTED_VALUE"""),"")</f>
        <v/>
      </c>
      <c r="B208" s="3" t="str">
        <f>IFERROR(__xludf.DUMMYFUNCTION("""COMPUTED_VALUE"""),"Taiwan*")</f>
        <v>Taiwan*</v>
      </c>
      <c r="C208" s="3">
        <f>IFERROR(__xludf.DUMMYFUNCTION("""COMPUTED_VALUE"""),23.7)</f>
        <v>23.7</v>
      </c>
      <c r="D208" s="3">
        <f>IFERROR(__xludf.DUMMYFUNCTION("""COMPUTED_VALUE"""),121.0)</f>
        <v>121</v>
      </c>
      <c r="E208" s="3">
        <f>IFERROR(__xludf.DUMMYFUNCTION("""COMPUTED_VALUE"""),0.0)</f>
        <v>0</v>
      </c>
      <c r="F208" s="3">
        <f>IFERROR(__xludf.DUMMYFUNCTION("""COMPUTED_VALUE"""),0.0)</f>
        <v>0</v>
      </c>
      <c r="G208" s="3">
        <f>IFERROR(__xludf.DUMMYFUNCTION("""COMPUTED_VALUE"""),0.0)</f>
        <v>0</v>
      </c>
      <c r="H208" s="3">
        <f>IFERROR(__xludf.DUMMYFUNCTION("""COMPUTED_VALUE"""),0.0)</f>
        <v>0</v>
      </c>
      <c r="I208" s="3">
        <f>IFERROR(__xludf.DUMMYFUNCTION("""COMPUTED_VALUE"""),0.0)</f>
        <v>0</v>
      </c>
      <c r="J208" s="3">
        <f>IFERROR(__xludf.DUMMYFUNCTION("""COMPUTED_VALUE"""),0.0)</f>
        <v>0</v>
      </c>
      <c r="K208" s="3">
        <f>IFERROR(__xludf.DUMMYFUNCTION("""COMPUTED_VALUE"""),0.0)</f>
        <v>0</v>
      </c>
      <c r="L208" s="3">
        <f>IFERROR(__xludf.DUMMYFUNCTION("""COMPUTED_VALUE"""),0.0)</f>
        <v>0</v>
      </c>
      <c r="M208" s="3">
        <f>IFERROR(__xludf.DUMMYFUNCTION("""COMPUTED_VALUE"""),0.0)</f>
        <v>0</v>
      </c>
      <c r="N208" s="3">
        <f>IFERROR(__xludf.DUMMYFUNCTION("""COMPUTED_VALUE"""),0.0)</f>
        <v>0</v>
      </c>
      <c r="O208" s="3">
        <f>IFERROR(__xludf.DUMMYFUNCTION("""COMPUTED_VALUE"""),0.0)</f>
        <v>0</v>
      </c>
      <c r="P208" s="3">
        <f>IFERROR(__xludf.DUMMYFUNCTION("""COMPUTED_VALUE"""),0.0)</f>
        <v>0</v>
      </c>
      <c r="Q208" s="3">
        <f>IFERROR(__xludf.DUMMYFUNCTION("""COMPUTED_VALUE"""),0.0)</f>
        <v>0</v>
      </c>
      <c r="R208" s="3">
        <f>IFERROR(__xludf.DUMMYFUNCTION("""COMPUTED_VALUE"""),0.0)</f>
        <v>0</v>
      </c>
      <c r="S208" s="3">
        <f>IFERROR(__xludf.DUMMYFUNCTION("""COMPUTED_VALUE"""),0.0)</f>
        <v>0</v>
      </c>
      <c r="T208" s="3">
        <f>IFERROR(__xludf.DUMMYFUNCTION("""COMPUTED_VALUE"""),1.0)</f>
        <v>1</v>
      </c>
      <c r="U208" s="3">
        <f>IFERROR(__xludf.DUMMYFUNCTION("""COMPUTED_VALUE"""),1.0)</f>
        <v>1</v>
      </c>
      <c r="V208" s="3">
        <f>IFERROR(__xludf.DUMMYFUNCTION("""COMPUTED_VALUE"""),1.0)</f>
        <v>1</v>
      </c>
      <c r="W208" s="3">
        <f>IFERROR(__xludf.DUMMYFUNCTION("""COMPUTED_VALUE"""),1.0)</f>
        <v>1</v>
      </c>
      <c r="X208" s="3">
        <f>IFERROR(__xludf.DUMMYFUNCTION("""COMPUTED_VALUE"""),1.0)</f>
        <v>1</v>
      </c>
      <c r="Y208" s="3">
        <f>IFERROR(__xludf.DUMMYFUNCTION("""COMPUTED_VALUE"""),1.0)</f>
        <v>1</v>
      </c>
      <c r="Z208" s="3">
        <f>IFERROR(__xludf.DUMMYFUNCTION("""COMPUTED_VALUE"""),1.0)</f>
        <v>1</v>
      </c>
      <c r="AA208" s="3">
        <f>IFERROR(__xludf.DUMMYFUNCTION("""COMPUTED_VALUE"""),1.0)</f>
        <v>1</v>
      </c>
      <c r="AB208" s="3">
        <f>IFERROR(__xludf.DUMMYFUNCTION("""COMPUTED_VALUE"""),2.0)</f>
        <v>2</v>
      </c>
      <c r="AC208" s="3">
        <f>IFERROR(__xludf.DUMMYFUNCTION("""COMPUTED_VALUE"""),2.0)</f>
        <v>2</v>
      </c>
      <c r="AD208" s="3">
        <f>IFERROR(__xludf.DUMMYFUNCTION("""COMPUTED_VALUE"""),2.0)</f>
        <v>2</v>
      </c>
      <c r="AE208" s="3">
        <f>IFERROR(__xludf.DUMMYFUNCTION("""COMPUTED_VALUE"""),2.0)</f>
        <v>2</v>
      </c>
      <c r="AF208" s="3">
        <f>IFERROR(__xludf.DUMMYFUNCTION("""COMPUTED_VALUE"""),2.0)</f>
        <v>2</v>
      </c>
      <c r="AG208" s="3">
        <f>IFERROR(__xludf.DUMMYFUNCTION("""COMPUTED_VALUE"""),2.0)</f>
        <v>2</v>
      </c>
      <c r="AH208" s="3">
        <f>IFERROR(__xludf.DUMMYFUNCTION("""COMPUTED_VALUE"""),2.0)</f>
        <v>2</v>
      </c>
      <c r="AI208" s="3">
        <f>IFERROR(__xludf.DUMMYFUNCTION("""COMPUTED_VALUE"""),2.0)</f>
        <v>2</v>
      </c>
      <c r="AJ208" s="3">
        <f>IFERROR(__xludf.DUMMYFUNCTION("""COMPUTED_VALUE"""),2.0)</f>
        <v>2</v>
      </c>
      <c r="AK208" s="3">
        <f>IFERROR(__xludf.DUMMYFUNCTION("""COMPUTED_VALUE"""),2.0)</f>
        <v>2</v>
      </c>
      <c r="AL208" s="3">
        <f>IFERROR(__xludf.DUMMYFUNCTION("""COMPUTED_VALUE"""),5.0)</f>
        <v>5</v>
      </c>
      <c r="AM208" s="3">
        <f>IFERROR(__xludf.DUMMYFUNCTION("""COMPUTED_VALUE"""),5.0)</f>
        <v>5</v>
      </c>
      <c r="AN208" s="3">
        <f>IFERROR(__xludf.DUMMYFUNCTION("""COMPUTED_VALUE"""),5.0)</f>
        <v>5</v>
      </c>
      <c r="AO208" s="3">
        <f>IFERROR(__xludf.DUMMYFUNCTION("""COMPUTED_VALUE"""),5.0)</f>
        <v>5</v>
      </c>
      <c r="AP208" s="3">
        <f>IFERROR(__xludf.DUMMYFUNCTION("""COMPUTED_VALUE"""),6.0)</f>
        <v>6</v>
      </c>
      <c r="AQ208" s="3">
        <f>IFERROR(__xludf.DUMMYFUNCTION("""COMPUTED_VALUE"""),9.0)</f>
        <v>9</v>
      </c>
      <c r="AR208" s="3">
        <f>IFERROR(__xludf.DUMMYFUNCTION("""COMPUTED_VALUE"""),9.0)</f>
        <v>9</v>
      </c>
      <c r="AS208" s="3">
        <f>IFERROR(__xludf.DUMMYFUNCTION("""COMPUTED_VALUE"""),12.0)</f>
        <v>12</v>
      </c>
      <c r="AT208" s="3">
        <f>IFERROR(__xludf.DUMMYFUNCTION("""COMPUTED_VALUE"""),12.0)</f>
        <v>12</v>
      </c>
      <c r="AU208" s="3">
        <f>IFERROR(__xludf.DUMMYFUNCTION("""COMPUTED_VALUE"""),12.0)</f>
        <v>12</v>
      </c>
      <c r="AV208" s="3">
        <f>IFERROR(__xludf.DUMMYFUNCTION("""COMPUTED_VALUE"""),12.0)</f>
        <v>12</v>
      </c>
      <c r="AW208" s="3">
        <f>IFERROR(__xludf.DUMMYFUNCTION("""COMPUTED_VALUE"""),12.0)</f>
        <v>12</v>
      </c>
      <c r="AX208" s="3">
        <f>IFERROR(__xludf.DUMMYFUNCTION("""COMPUTED_VALUE"""),12.0)</f>
        <v>12</v>
      </c>
      <c r="AY208" s="3">
        <f>IFERROR(__xludf.DUMMYFUNCTION("""COMPUTED_VALUE"""),13.0)</f>
        <v>13</v>
      </c>
      <c r="AZ208" s="3">
        <f>IFERROR(__xludf.DUMMYFUNCTION("""COMPUTED_VALUE"""),15.0)</f>
        <v>15</v>
      </c>
      <c r="BA208" s="3">
        <f>IFERROR(__xludf.DUMMYFUNCTION("""COMPUTED_VALUE"""),17.0)</f>
        <v>17</v>
      </c>
      <c r="BB208" s="3">
        <f>IFERROR(__xludf.DUMMYFUNCTION("""COMPUTED_VALUE"""),17.0)</f>
        <v>17</v>
      </c>
      <c r="BC208" s="3">
        <f>IFERROR(__xludf.DUMMYFUNCTION("""COMPUTED_VALUE"""),20.0)</f>
        <v>20</v>
      </c>
      <c r="BD208" s="3">
        <f>IFERROR(__xludf.DUMMYFUNCTION("""COMPUTED_VALUE"""),20.0)</f>
        <v>20</v>
      </c>
      <c r="BE208" s="3">
        <f>IFERROR(__xludf.DUMMYFUNCTION("""COMPUTED_VALUE"""),20.0)</f>
        <v>20</v>
      </c>
      <c r="BF208" s="3">
        <f>IFERROR(__xludf.DUMMYFUNCTION("""COMPUTED_VALUE"""),20.0)</f>
        <v>20</v>
      </c>
      <c r="BG208" s="3">
        <f>IFERROR(__xludf.DUMMYFUNCTION("""COMPUTED_VALUE"""),20.0)</f>
        <v>20</v>
      </c>
      <c r="BH208" s="3">
        <f>IFERROR(__xludf.DUMMYFUNCTION("""COMPUTED_VALUE"""),22.0)</f>
        <v>22</v>
      </c>
      <c r="BI208" s="3">
        <f>IFERROR(__xludf.DUMMYFUNCTION("""COMPUTED_VALUE"""),22.0)</f>
        <v>22</v>
      </c>
      <c r="BJ208" s="3">
        <f>IFERROR(__xludf.DUMMYFUNCTION("""COMPUTED_VALUE"""),26.0)</f>
        <v>26</v>
      </c>
      <c r="BK208" s="3">
        <f>IFERROR(__xludf.DUMMYFUNCTION("""COMPUTED_VALUE"""),26.0)</f>
        <v>26</v>
      </c>
      <c r="BL208" s="3">
        <f>IFERROR(__xludf.DUMMYFUNCTION("""COMPUTED_VALUE"""),28.0)</f>
        <v>28</v>
      </c>
      <c r="BM208" s="3">
        <f>IFERROR(__xludf.DUMMYFUNCTION("""COMPUTED_VALUE"""),28.0)</f>
        <v>28</v>
      </c>
      <c r="BN208" s="3">
        <f>IFERROR(__xludf.DUMMYFUNCTION("""COMPUTED_VALUE"""),28.0)</f>
        <v>28</v>
      </c>
      <c r="BO208" s="3">
        <f>IFERROR(__xludf.DUMMYFUNCTION("""COMPUTED_VALUE"""),29.0)</f>
        <v>29</v>
      </c>
      <c r="BP208" s="3">
        <f>IFERROR(__xludf.DUMMYFUNCTION("""COMPUTED_VALUE"""),29.0)</f>
        <v>29</v>
      </c>
      <c r="BQ208" s="3">
        <f>IFERROR(__xludf.DUMMYFUNCTION("""COMPUTED_VALUE"""),29.0)</f>
        <v>29</v>
      </c>
      <c r="BR208" s="3">
        <f>IFERROR(__xludf.DUMMYFUNCTION("""COMPUTED_VALUE"""),29.0)</f>
        <v>29</v>
      </c>
      <c r="BS208" s="3">
        <f>IFERROR(__xludf.DUMMYFUNCTION("""COMPUTED_VALUE"""),30.0)</f>
        <v>30</v>
      </c>
      <c r="BT208" s="3">
        <f>IFERROR(__xludf.DUMMYFUNCTION("""COMPUTED_VALUE"""),30.0)</f>
        <v>30</v>
      </c>
      <c r="BU208" s="3">
        <f>IFERROR(__xludf.DUMMYFUNCTION("""COMPUTED_VALUE"""),39.0)</f>
        <v>39</v>
      </c>
      <c r="BV208" s="3">
        <f>IFERROR(__xludf.DUMMYFUNCTION("""COMPUTED_VALUE"""),39.0)</f>
        <v>39</v>
      </c>
      <c r="BW208" s="3">
        <f>IFERROR(__xludf.DUMMYFUNCTION("""COMPUTED_VALUE"""),39.0)</f>
        <v>39</v>
      </c>
      <c r="BX208" s="3">
        <f>IFERROR(__xludf.DUMMYFUNCTION("""COMPUTED_VALUE"""),45.0)</f>
        <v>45</v>
      </c>
      <c r="BY208" s="3">
        <f>IFERROR(__xludf.DUMMYFUNCTION("""COMPUTED_VALUE"""),50.0)</f>
        <v>50</v>
      </c>
      <c r="BZ208" s="3">
        <f>IFERROR(__xludf.DUMMYFUNCTION("""COMPUTED_VALUE"""),50.0)</f>
        <v>50</v>
      </c>
      <c r="CA208" s="3">
        <f>IFERROR(__xludf.DUMMYFUNCTION("""COMPUTED_VALUE"""),50.0)</f>
        <v>50</v>
      </c>
      <c r="CB208" s="3">
        <f>IFERROR(__xludf.DUMMYFUNCTION("""COMPUTED_VALUE"""),57.0)</f>
        <v>57</v>
      </c>
    </row>
    <row r="209">
      <c r="A209" s="3" t="str">
        <f>IFERROR(__xludf.DUMMYFUNCTION("""COMPUTED_VALUE"""),"")</f>
        <v/>
      </c>
      <c r="B209" s="3" t="str">
        <f>IFERROR(__xludf.DUMMYFUNCTION("""COMPUTED_VALUE"""),"Tanzania")</f>
        <v>Tanzania</v>
      </c>
      <c r="C209" s="3">
        <f>IFERROR(__xludf.DUMMYFUNCTION("""COMPUTED_VALUE"""),-6.369)</f>
        <v>-6.369</v>
      </c>
      <c r="D209" s="3">
        <f>IFERROR(__xludf.DUMMYFUNCTION("""COMPUTED_VALUE"""),34.8888)</f>
        <v>34.8888</v>
      </c>
      <c r="E209" s="3">
        <f>IFERROR(__xludf.DUMMYFUNCTION("""COMPUTED_VALUE"""),0.0)</f>
        <v>0</v>
      </c>
      <c r="F209" s="3">
        <f>IFERROR(__xludf.DUMMYFUNCTION("""COMPUTED_VALUE"""),0.0)</f>
        <v>0</v>
      </c>
      <c r="G209" s="3">
        <f>IFERROR(__xludf.DUMMYFUNCTION("""COMPUTED_VALUE"""),0.0)</f>
        <v>0</v>
      </c>
      <c r="H209" s="3">
        <f>IFERROR(__xludf.DUMMYFUNCTION("""COMPUTED_VALUE"""),0.0)</f>
        <v>0</v>
      </c>
      <c r="I209" s="3">
        <f>IFERROR(__xludf.DUMMYFUNCTION("""COMPUTED_VALUE"""),0.0)</f>
        <v>0</v>
      </c>
      <c r="J209" s="3">
        <f>IFERROR(__xludf.DUMMYFUNCTION("""COMPUTED_VALUE"""),0.0)</f>
        <v>0</v>
      </c>
      <c r="K209" s="3">
        <f>IFERROR(__xludf.DUMMYFUNCTION("""COMPUTED_VALUE"""),0.0)</f>
        <v>0</v>
      </c>
      <c r="L209" s="3">
        <f>IFERROR(__xludf.DUMMYFUNCTION("""COMPUTED_VALUE"""),0.0)</f>
        <v>0</v>
      </c>
      <c r="M209" s="3">
        <f>IFERROR(__xludf.DUMMYFUNCTION("""COMPUTED_VALUE"""),0.0)</f>
        <v>0</v>
      </c>
      <c r="N209" s="3">
        <f>IFERROR(__xludf.DUMMYFUNCTION("""COMPUTED_VALUE"""),0.0)</f>
        <v>0</v>
      </c>
      <c r="O209" s="3">
        <f>IFERROR(__xludf.DUMMYFUNCTION("""COMPUTED_VALUE"""),0.0)</f>
        <v>0</v>
      </c>
      <c r="P209" s="3">
        <f>IFERROR(__xludf.DUMMYFUNCTION("""COMPUTED_VALUE"""),0.0)</f>
        <v>0</v>
      </c>
      <c r="Q209" s="3">
        <f>IFERROR(__xludf.DUMMYFUNCTION("""COMPUTED_VALUE"""),0.0)</f>
        <v>0</v>
      </c>
      <c r="R209" s="3">
        <f>IFERROR(__xludf.DUMMYFUNCTION("""COMPUTED_VALUE"""),0.0)</f>
        <v>0</v>
      </c>
      <c r="S209" s="3">
        <f>IFERROR(__xludf.DUMMYFUNCTION("""COMPUTED_VALUE"""),0.0)</f>
        <v>0</v>
      </c>
      <c r="T209" s="3">
        <f>IFERROR(__xludf.DUMMYFUNCTION("""COMPUTED_VALUE"""),0.0)</f>
        <v>0</v>
      </c>
      <c r="U209" s="3">
        <f>IFERROR(__xludf.DUMMYFUNCTION("""COMPUTED_VALUE"""),0.0)</f>
        <v>0</v>
      </c>
      <c r="V209" s="3">
        <f>IFERROR(__xludf.DUMMYFUNCTION("""COMPUTED_VALUE"""),0.0)</f>
        <v>0</v>
      </c>
      <c r="W209" s="3">
        <f>IFERROR(__xludf.DUMMYFUNCTION("""COMPUTED_VALUE"""),0.0)</f>
        <v>0</v>
      </c>
      <c r="X209" s="3">
        <f>IFERROR(__xludf.DUMMYFUNCTION("""COMPUTED_VALUE"""),0.0)</f>
        <v>0</v>
      </c>
      <c r="Y209" s="3">
        <f>IFERROR(__xludf.DUMMYFUNCTION("""COMPUTED_VALUE"""),0.0)</f>
        <v>0</v>
      </c>
      <c r="Z209" s="3">
        <f>IFERROR(__xludf.DUMMYFUNCTION("""COMPUTED_VALUE"""),0.0)</f>
        <v>0</v>
      </c>
      <c r="AA209" s="3">
        <f>IFERROR(__xludf.DUMMYFUNCTION("""COMPUTED_VALUE"""),0.0)</f>
        <v>0</v>
      </c>
      <c r="AB209" s="3">
        <f>IFERROR(__xludf.DUMMYFUNCTION("""COMPUTED_VALUE"""),0.0)</f>
        <v>0</v>
      </c>
      <c r="AC209" s="3">
        <f>IFERROR(__xludf.DUMMYFUNCTION("""COMPUTED_VALUE"""),0.0)</f>
        <v>0</v>
      </c>
      <c r="AD209" s="3">
        <f>IFERROR(__xludf.DUMMYFUNCTION("""COMPUTED_VALUE"""),0.0)</f>
        <v>0</v>
      </c>
      <c r="AE209" s="3">
        <f>IFERROR(__xludf.DUMMYFUNCTION("""COMPUTED_VALUE"""),0.0)</f>
        <v>0</v>
      </c>
      <c r="AF209" s="3">
        <f>IFERROR(__xludf.DUMMYFUNCTION("""COMPUTED_VALUE"""),0.0)</f>
        <v>0</v>
      </c>
      <c r="AG209" s="3">
        <f>IFERROR(__xludf.DUMMYFUNCTION("""COMPUTED_VALUE"""),0.0)</f>
        <v>0</v>
      </c>
      <c r="AH209" s="3">
        <f>IFERROR(__xludf.DUMMYFUNCTION("""COMPUTED_VALUE"""),0.0)</f>
        <v>0</v>
      </c>
      <c r="AI209" s="3">
        <f>IFERROR(__xludf.DUMMYFUNCTION("""COMPUTED_VALUE"""),0.0)</f>
        <v>0</v>
      </c>
      <c r="AJ209" s="3">
        <f>IFERROR(__xludf.DUMMYFUNCTION("""COMPUTED_VALUE"""),0.0)</f>
        <v>0</v>
      </c>
      <c r="AK209" s="3">
        <f>IFERROR(__xludf.DUMMYFUNCTION("""COMPUTED_VALUE"""),0.0)</f>
        <v>0</v>
      </c>
      <c r="AL209" s="3">
        <f>IFERROR(__xludf.DUMMYFUNCTION("""COMPUTED_VALUE"""),0.0)</f>
        <v>0</v>
      </c>
      <c r="AM209" s="3">
        <f>IFERROR(__xludf.DUMMYFUNCTION("""COMPUTED_VALUE"""),0.0)</f>
        <v>0</v>
      </c>
      <c r="AN209" s="3">
        <f>IFERROR(__xludf.DUMMYFUNCTION("""COMPUTED_VALUE"""),0.0)</f>
        <v>0</v>
      </c>
      <c r="AO209" s="3">
        <f>IFERROR(__xludf.DUMMYFUNCTION("""COMPUTED_VALUE"""),0.0)</f>
        <v>0</v>
      </c>
      <c r="AP209" s="3">
        <f>IFERROR(__xludf.DUMMYFUNCTION("""COMPUTED_VALUE"""),0.0)</f>
        <v>0</v>
      </c>
      <c r="AQ209" s="3">
        <f>IFERROR(__xludf.DUMMYFUNCTION("""COMPUTED_VALUE"""),0.0)</f>
        <v>0</v>
      </c>
      <c r="AR209" s="3">
        <f>IFERROR(__xludf.DUMMYFUNCTION("""COMPUTED_VALUE"""),0.0)</f>
        <v>0</v>
      </c>
      <c r="AS209" s="3">
        <f>IFERROR(__xludf.DUMMYFUNCTION("""COMPUTED_VALUE"""),0.0)</f>
        <v>0</v>
      </c>
      <c r="AT209" s="3">
        <f>IFERROR(__xludf.DUMMYFUNCTION("""COMPUTED_VALUE"""),0.0)</f>
        <v>0</v>
      </c>
      <c r="AU209" s="3">
        <f>IFERROR(__xludf.DUMMYFUNCTION("""COMPUTED_VALUE"""),0.0)</f>
        <v>0</v>
      </c>
      <c r="AV209" s="3">
        <f>IFERROR(__xludf.DUMMYFUNCTION("""COMPUTED_VALUE"""),0.0)</f>
        <v>0</v>
      </c>
      <c r="AW209" s="3">
        <f>IFERROR(__xludf.DUMMYFUNCTION("""COMPUTED_VALUE"""),0.0)</f>
        <v>0</v>
      </c>
      <c r="AX209" s="3">
        <f>IFERROR(__xludf.DUMMYFUNCTION("""COMPUTED_VALUE"""),0.0)</f>
        <v>0</v>
      </c>
      <c r="AY209" s="3">
        <f>IFERROR(__xludf.DUMMYFUNCTION("""COMPUTED_VALUE"""),0.0)</f>
        <v>0</v>
      </c>
      <c r="AZ209" s="3">
        <f>IFERROR(__xludf.DUMMYFUNCTION("""COMPUTED_VALUE"""),0.0)</f>
        <v>0</v>
      </c>
      <c r="BA209" s="3">
        <f>IFERROR(__xludf.DUMMYFUNCTION("""COMPUTED_VALUE"""),0.0)</f>
        <v>0</v>
      </c>
      <c r="BB209" s="3">
        <f>IFERROR(__xludf.DUMMYFUNCTION("""COMPUTED_VALUE"""),0.0)</f>
        <v>0</v>
      </c>
      <c r="BC209" s="3">
        <f>IFERROR(__xludf.DUMMYFUNCTION("""COMPUTED_VALUE"""),0.0)</f>
        <v>0</v>
      </c>
      <c r="BD209" s="3">
        <f>IFERROR(__xludf.DUMMYFUNCTION("""COMPUTED_VALUE"""),0.0)</f>
        <v>0</v>
      </c>
      <c r="BE209" s="3">
        <f>IFERROR(__xludf.DUMMYFUNCTION("""COMPUTED_VALUE"""),0.0)</f>
        <v>0</v>
      </c>
      <c r="BF209" s="3">
        <f>IFERROR(__xludf.DUMMYFUNCTION("""COMPUTED_VALUE"""),0.0)</f>
        <v>0</v>
      </c>
      <c r="BG209" s="3">
        <f>IFERROR(__xludf.DUMMYFUNCTION("""COMPUTED_VALUE"""),0.0)</f>
        <v>0</v>
      </c>
      <c r="BH209" s="3">
        <f>IFERROR(__xludf.DUMMYFUNCTION("""COMPUTED_VALUE"""),0.0)</f>
        <v>0</v>
      </c>
      <c r="BI209" s="3">
        <f>IFERROR(__xludf.DUMMYFUNCTION("""COMPUTED_VALUE"""),0.0)</f>
        <v>0</v>
      </c>
      <c r="BJ209" s="3">
        <f>IFERROR(__xludf.DUMMYFUNCTION("""COMPUTED_VALUE"""),0.0)</f>
        <v>0</v>
      </c>
      <c r="BK209" s="3">
        <f>IFERROR(__xludf.DUMMYFUNCTION("""COMPUTED_VALUE"""),0.0)</f>
        <v>0</v>
      </c>
      <c r="BL209" s="3">
        <f>IFERROR(__xludf.DUMMYFUNCTION("""COMPUTED_VALUE"""),0.0)</f>
        <v>0</v>
      </c>
      <c r="BM209" s="3">
        <f>IFERROR(__xludf.DUMMYFUNCTION("""COMPUTED_VALUE"""),0.0)</f>
        <v>0</v>
      </c>
      <c r="BN209" s="3">
        <f>IFERROR(__xludf.DUMMYFUNCTION("""COMPUTED_VALUE"""),0.0)</f>
        <v>0</v>
      </c>
      <c r="BO209" s="3">
        <f>IFERROR(__xludf.DUMMYFUNCTION("""COMPUTED_VALUE"""),0.0)</f>
        <v>0</v>
      </c>
      <c r="BP209" s="3">
        <f>IFERROR(__xludf.DUMMYFUNCTION("""COMPUTED_VALUE"""),0.0)</f>
        <v>0</v>
      </c>
      <c r="BQ209" s="3">
        <f>IFERROR(__xludf.DUMMYFUNCTION("""COMPUTED_VALUE"""),0.0)</f>
        <v>0</v>
      </c>
      <c r="BR209" s="3">
        <f>IFERROR(__xludf.DUMMYFUNCTION("""COMPUTED_VALUE"""),1.0)</f>
        <v>1</v>
      </c>
      <c r="BS209" s="3">
        <f>IFERROR(__xludf.DUMMYFUNCTION("""COMPUTED_VALUE"""),1.0)</f>
        <v>1</v>
      </c>
      <c r="BT209" s="3">
        <f>IFERROR(__xludf.DUMMYFUNCTION("""COMPUTED_VALUE"""),1.0)</f>
        <v>1</v>
      </c>
      <c r="BU209" s="3">
        <f>IFERROR(__xludf.DUMMYFUNCTION("""COMPUTED_VALUE"""),1.0)</f>
        <v>1</v>
      </c>
      <c r="BV209" s="3">
        <f>IFERROR(__xludf.DUMMYFUNCTION("""COMPUTED_VALUE"""),1.0)</f>
        <v>1</v>
      </c>
      <c r="BW209" s="3">
        <f>IFERROR(__xludf.DUMMYFUNCTION("""COMPUTED_VALUE"""),1.0)</f>
        <v>1</v>
      </c>
      <c r="BX209" s="3">
        <f>IFERROR(__xludf.DUMMYFUNCTION("""COMPUTED_VALUE"""),2.0)</f>
        <v>2</v>
      </c>
      <c r="BY209" s="3">
        <f>IFERROR(__xludf.DUMMYFUNCTION("""COMPUTED_VALUE"""),3.0)</f>
        <v>3</v>
      </c>
      <c r="BZ209" s="3">
        <f>IFERROR(__xludf.DUMMYFUNCTION("""COMPUTED_VALUE"""),3.0)</f>
        <v>3</v>
      </c>
      <c r="CA209" s="3">
        <f>IFERROR(__xludf.DUMMYFUNCTION("""COMPUTED_VALUE"""),3.0)</f>
        <v>3</v>
      </c>
      <c r="CB209" s="3">
        <f>IFERROR(__xludf.DUMMYFUNCTION("""COMPUTED_VALUE"""),3.0)</f>
        <v>3</v>
      </c>
    </row>
    <row r="210">
      <c r="A210" s="3" t="str">
        <f>IFERROR(__xludf.DUMMYFUNCTION("""COMPUTED_VALUE"""),"")</f>
        <v/>
      </c>
      <c r="B210" s="3" t="str">
        <f>IFERROR(__xludf.DUMMYFUNCTION("""COMPUTED_VALUE"""),"Thailand")</f>
        <v>Thailand</v>
      </c>
      <c r="C210" s="3">
        <f>IFERROR(__xludf.DUMMYFUNCTION("""COMPUTED_VALUE"""),15.0)</f>
        <v>15</v>
      </c>
      <c r="D210" s="3">
        <f>IFERROR(__xludf.DUMMYFUNCTION("""COMPUTED_VALUE"""),101.0)</f>
        <v>101</v>
      </c>
      <c r="E210" s="3">
        <f>IFERROR(__xludf.DUMMYFUNCTION("""COMPUTED_VALUE"""),0.0)</f>
        <v>0</v>
      </c>
      <c r="F210" s="3">
        <f>IFERROR(__xludf.DUMMYFUNCTION("""COMPUTED_VALUE"""),0.0)</f>
        <v>0</v>
      </c>
      <c r="G210" s="3">
        <f>IFERROR(__xludf.DUMMYFUNCTION("""COMPUTED_VALUE"""),0.0)</f>
        <v>0</v>
      </c>
      <c r="H210" s="3">
        <f>IFERROR(__xludf.DUMMYFUNCTION("""COMPUTED_VALUE"""),0.0)</f>
        <v>0</v>
      </c>
      <c r="I210" s="3">
        <f>IFERROR(__xludf.DUMMYFUNCTION("""COMPUTED_VALUE"""),2.0)</f>
        <v>2</v>
      </c>
      <c r="J210" s="3">
        <f>IFERROR(__xludf.DUMMYFUNCTION("""COMPUTED_VALUE"""),2.0)</f>
        <v>2</v>
      </c>
      <c r="K210" s="3">
        <f>IFERROR(__xludf.DUMMYFUNCTION("""COMPUTED_VALUE"""),5.0)</f>
        <v>5</v>
      </c>
      <c r="L210" s="3">
        <f>IFERROR(__xludf.DUMMYFUNCTION("""COMPUTED_VALUE"""),5.0)</f>
        <v>5</v>
      </c>
      <c r="M210" s="3">
        <f>IFERROR(__xludf.DUMMYFUNCTION("""COMPUTED_VALUE"""),5.0)</f>
        <v>5</v>
      </c>
      <c r="N210" s="3">
        <f>IFERROR(__xludf.DUMMYFUNCTION("""COMPUTED_VALUE"""),5.0)</f>
        <v>5</v>
      </c>
      <c r="O210" s="3">
        <f>IFERROR(__xludf.DUMMYFUNCTION("""COMPUTED_VALUE"""),5.0)</f>
        <v>5</v>
      </c>
      <c r="P210" s="3">
        <f>IFERROR(__xludf.DUMMYFUNCTION("""COMPUTED_VALUE"""),5.0)</f>
        <v>5</v>
      </c>
      <c r="Q210" s="3">
        <f>IFERROR(__xludf.DUMMYFUNCTION("""COMPUTED_VALUE"""),5.0)</f>
        <v>5</v>
      </c>
      <c r="R210" s="3">
        <f>IFERROR(__xludf.DUMMYFUNCTION("""COMPUTED_VALUE"""),5.0)</f>
        <v>5</v>
      </c>
      <c r="S210" s="3">
        <f>IFERROR(__xludf.DUMMYFUNCTION("""COMPUTED_VALUE"""),5.0)</f>
        <v>5</v>
      </c>
      <c r="T210" s="3">
        <f>IFERROR(__xludf.DUMMYFUNCTION("""COMPUTED_VALUE"""),5.0)</f>
        <v>5</v>
      </c>
      <c r="U210" s="3">
        <f>IFERROR(__xludf.DUMMYFUNCTION("""COMPUTED_VALUE"""),5.0)</f>
        <v>5</v>
      </c>
      <c r="V210" s="3">
        <f>IFERROR(__xludf.DUMMYFUNCTION("""COMPUTED_VALUE"""),10.0)</f>
        <v>10</v>
      </c>
      <c r="W210" s="3">
        <f>IFERROR(__xludf.DUMMYFUNCTION("""COMPUTED_VALUE"""),10.0)</f>
        <v>10</v>
      </c>
      <c r="X210" s="3">
        <f>IFERROR(__xludf.DUMMYFUNCTION("""COMPUTED_VALUE"""),10.0)</f>
        <v>10</v>
      </c>
      <c r="Y210" s="3">
        <f>IFERROR(__xludf.DUMMYFUNCTION("""COMPUTED_VALUE"""),10.0)</f>
        <v>10</v>
      </c>
      <c r="Z210" s="3">
        <f>IFERROR(__xludf.DUMMYFUNCTION("""COMPUTED_VALUE"""),10.0)</f>
        <v>10</v>
      </c>
      <c r="AA210" s="3">
        <f>IFERROR(__xludf.DUMMYFUNCTION("""COMPUTED_VALUE"""),12.0)</f>
        <v>12</v>
      </c>
      <c r="AB210" s="3">
        <f>IFERROR(__xludf.DUMMYFUNCTION("""COMPUTED_VALUE"""),12.0)</f>
        <v>12</v>
      </c>
      <c r="AC210" s="3">
        <f>IFERROR(__xludf.DUMMYFUNCTION("""COMPUTED_VALUE"""),12.0)</f>
        <v>12</v>
      </c>
      <c r="AD210" s="3">
        <f>IFERROR(__xludf.DUMMYFUNCTION("""COMPUTED_VALUE"""),14.0)</f>
        <v>14</v>
      </c>
      <c r="AE210" s="3">
        <f>IFERROR(__xludf.DUMMYFUNCTION("""COMPUTED_VALUE"""),15.0)</f>
        <v>15</v>
      </c>
      <c r="AF210" s="3">
        <f>IFERROR(__xludf.DUMMYFUNCTION("""COMPUTED_VALUE"""),15.0)</f>
        <v>15</v>
      </c>
      <c r="AG210" s="3">
        <f>IFERROR(__xludf.DUMMYFUNCTION("""COMPUTED_VALUE"""),15.0)</f>
        <v>15</v>
      </c>
      <c r="AH210" s="3">
        <f>IFERROR(__xludf.DUMMYFUNCTION("""COMPUTED_VALUE"""),15.0)</f>
        <v>15</v>
      </c>
      <c r="AI210" s="3">
        <f>IFERROR(__xludf.DUMMYFUNCTION("""COMPUTED_VALUE"""),17.0)</f>
        <v>17</v>
      </c>
      <c r="AJ210" s="3">
        <f>IFERROR(__xludf.DUMMYFUNCTION("""COMPUTED_VALUE"""),17.0)</f>
        <v>17</v>
      </c>
      <c r="AK210" s="3">
        <f>IFERROR(__xludf.DUMMYFUNCTION("""COMPUTED_VALUE"""),21.0)</f>
        <v>21</v>
      </c>
      <c r="AL210" s="3">
        <f>IFERROR(__xludf.DUMMYFUNCTION("""COMPUTED_VALUE"""),21.0)</f>
        <v>21</v>
      </c>
      <c r="AM210" s="3">
        <f>IFERROR(__xludf.DUMMYFUNCTION("""COMPUTED_VALUE"""),22.0)</f>
        <v>22</v>
      </c>
      <c r="AN210" s="3">
        <f>IFERROR(__xludf.DUMMYFUNCTION("""COMPUTED_VALUE"""),22.0)</f>
        <v>22</v>
      </c>
      <c r="AO210" s="3">
        <f>IFERROR(__xludf.DUMMYFUNCTION("""COMPUTED_VALUE"""),22.0)</f>
        <v>22</v>
      </c>
      <c r="AP210" s="3">
        <f>IFERROR(__xludf.DUMMYFUNCTION("""COMPUTED_VALUE"""),28.0)</f>
        <v>28</v>
      </c>
      <c r="AQ210" s="3">
        <f>IFERROR(__xludf.DUMMYFUNCTION("""COMPUTED_VALUE"""),28.0)</f>
        <v>28</v>
      </c>
      <c r="AR210" s="3">
        <f>IFERROR(__xludf.DUMMYFUNCTION("""COMPUTED_VALUE"""),28.0)</f>
        <v>28</v>
      </c>
      <c r="AS210" s="3">
        <f>IFERROR(__xludf.DUMMYFUNCTION("""COMPUTED_VALUE"""),31.0)</f>
        <v>31</v>
      </c>
      <c r="AT210" s="3">
        <f>IFERROR(__xludf.DUMMYFUNCTION("""COMPUTED_VALUE"""),31.0)</f>
        <v>31</v>
      </c>
      <c r="AU210" s="3">
        <f>IFERROR(__xludf.DUMMYFUNCTION("""COMPUTED_VALUE"""),31.0)</f>
        <v>31</v>
      </c>
      <c r="AV210" s="3">
        <f>IFERROR(__xludf.DUMMYFUNCTION("""COMPUTED_VALUE"""),31.0)</f>
        <v>31</v>
      </c>
      <c r="AW210" s="3">
        <f>IFERROR(__xludf.DUMMYFUNCTION("""COMPUTED_VALUE"""),31.0)</f>
        <v>31</v>
      </c>
      <c r="AX210" s="3">
        <f>IFERROR(__xludf.DUMMYFUNCTION("""COMPUTED_VALUE"""),31.0)</f>
        <v>31</v>
      </c>
      <c r="AY210" s="3">
        <f>IFERROR(__xludf.DUMMYFUNCTION("""COMPUTED_VALUE"""),31.0)</f>
        <v>31</v>
      </c>
      <c r="AZ210" s="3">
        <f>IFERROR(__xludf.DUMMYFUNCTION("""COMPUTED_VALUE"""),31.0)</f>
        <v>31</v>
      </c>
      <c r="BA210" s="3">
        <f>IFERROR(__xludf.DUMMYFUNCTION("""COMPUTED_VALUE"""),33.0)</f>
        <v>33</v>
      </c>
      <c r="BB210" s="3">
        <f>IFERROR(__xludf.DUMMYFUNCTION("""COMPUTED_VALUE"""),34.0)</f>
        <v>34</v>
      </c>
      <c r="BC210" s="3">
        <f>IFERROR(__xludf.DUMMYFUNCTION("""COMPUTED_VALUE"""),34.0)</f>
        <v>34</v>
      </c>
      <c r="BD210" s="3">
        <f>IFERROR(__xludf.DUMMYFUNCTION("""COMPUTED_VALUE"""),35.0)</f>
        <v>35</v>
      </c>
      <c r="BE210" s="3">
        <f>IFERROR(__xludf.DUMMYFUNCTION("""COMPUTED_VALUE"""),35.0)</f>
        <v>35</v>
      </c>
      <c r="BF210" s="3">
        <f>IFERROR(__xludf.DUMMYFUNCTION("""COMPUTED_VALUE"""),35.0)</f>
        <v>35</v>
      </c>
      <c r="BG210" s="3">
        <f>IFERROR(__xludf.DUMMYFUNCTION("""COMPUTED_VALUE"""),35.0)</f>
        <v>35</v>
      </c>
      <c r="BH210" s="3">
        <f>IFERROR(__xludf.DUMMYFUNCTION("""COMPUTED_VALUE"""),41.0)</f>
        <v>41</v>
      </c>
      <c r="BI210" s="3">
        <f>IFERROR(__xludf.DUMMYFUNCTION("""COMPUTED_VALUE"""),42.0)</f>
        <v>42</v>
      </c>
      <c r="BJ210" s="3">
        <f>IFERROR(__xludf.DUMMYFUNCTION("""COMPUTED_VALUE"""),42.0)</f>
        <v>42</v>
      </c>
      <c r="BK210" s="3">
        <f>IFERROR(__xludf.DUMMYFUNCTION("""COMPUTED_VALUE"""),42.0)</f>
        <v>42</v>
      </c>
      <c r="BL210" s="3">
        <f>IFERROR(__xludf.DUMMYFUNCTION("""COMPUTED_VALUE"""),42.0)</f>
        <v>42</v>
      </c>
      <c r="BM210" s="3">
        <f>IFERROR(__xludf.DUMMYFUNCTION("""COMPUTED_VALUE"""),44.0)</f>
        <v>44</v>
      </c>
      <c r="BN210" s="3">
        <f>IFERROR(__xludf.DUMMYFUNCTION("""COMPUTED_VALUE"""),44.0)</f>
        <v>44</v>
      </c>
      <c r="BO210" s="3">
        <f>IFERROR(__xludf.DUMMYFUNCTION("""COMPUTED_VALUE"""),52.0)</f>
        <v>52</v>
      </c>
      <c r="BP210" s="3">
        <f>IFERROR(__xludf.DUMMYFUNCTION("""COMPUTED_VALUE"""),70.0)</f>
        <v>70</v>
      </c>
      <c r="BQ210" s="3">
        <f>IFERROR(__xludf.DUMMYFUNCTION("""COMPUTED_VALUE"""),88.0)</f>
        <v>88</v>
      </c>
      <c r="BR210" s="3">
        <f>IFERROR(__xludf.DUMMYFUNCTION("""COMPUTED_VALUE"""),97.0)</f>
        <v>97</v>
      </c>
      <c r="BS210" s="3">
        <f>IFERROR(__xludf.DUMMYFUNCTION("""COMPUTED_VALUE"""),97.0)</f>
        <v>97</v>
      </c>
      <c r="BT210" s="3">
        <f>IFERROR(__xludf.DUMMYFUNCTION("""COMPUTED_VALUE"""),97.0)</f>
        <v>97</v>
      </c>
      <c r="BU210" s="3">
        <f>IFERROR(__xludf.DUMMYFUNCTION("""COMPUTED_VALUE"""),229.0)</f>
        <v>229</v>
      </c>
      <c r="BV210" s="3">
        <f>IFERROR(__xludf.DUMMYFUNCTION("""COMPUTED_VALUE"""),342.0)</f>
        <v>342</v>
      </c>
      <c r="BW210" s="3">
        <f>IFERROR(__xludf.DUMMYFUNCTION("""COMPUTED_VALUE"""),505.0)</f>
        <v>505</v>
      </c>
      <c r="BX210" s="3">
        <f>IFERROR(__xludf.DUMMYFUNCTION("""COMPUTED_VALUE"""),505.0)</f>
        <v>505</v>
      </c>
      <c r="BY210" s="3">
        <f>IFERROR(__xludf.DUMMYFUNCTION("""COMPUTED_VALUE"""),612.0)</f>
        <v>612</v>
      </c>
      <c r="BZ210" s="3">
        <f>IFERROR(__xludf.DUMMYFUNCTION("""COMPUTED_VALUE"""),674.0)</f>
        <v>674</v>
      </c>
      <c r="CA210" s="3">
        <f>IFERROR(__xludf.DUMMYFUNCTION("""COMPUTED_VALUE"""),793.0)</f>
        <v>793</v>
      </c>
      <c r="CB210" s="3">
        <f>IFERROR(__xludf.DUMMYFUNCTION("""COMPUTED_VALUE"""),793.0)</f>
        <v>793</v>
      </c>
    </row>
    <row r="211">
      <c r="A211" s="3" t="str">
        <f>IFERROR(__xludf.DUMMYFUNCTION("""COMPUTED_VALUE"""),"")</f>
        <v/>
      </c>
      <c r="B211" s="3" t="str">
        <f>IFERROR(__xludf.DUMMYFUNCTION("""COMPUTED_VALUE"""),"Timor-Leste")</f>
        <v>Timor-Leste</v>
      </c>
      <c r="C211" s="3">
        <f>IFERROR(__xludf.DUMMYFUNCTION("""COMPUTED_VALUE"""),-8.8742)</f>
        <v>-8.8742</v>
      </c>
      <c r="D211" s="3">
        <f>IFERROR(__xludf.DUMMYFUNCTION("""COMPUTED_VALUE"""),125.7275)</f>
        <v>125.7275</v>
      </c>
      <c r="E211" s="3">
        <f>IFERROR(__xludf.DUMMYFUNCTION("""COMPUTED_VALUE"""),0.0)</f>
        <v>0</v>
      </c>
      <c r="F211" s="3">
        <f>IFERROR(__xludf.DUMMYFUNCTION("""COMPUTED_VALUE"""),0.0)</f>
        <v>0</v>
      </c>
      <c r="G211" s="3">
        <f>IFERROR(__xludf.DUMMYFUNCTION("""COMPUTED_VALUE"""),0.0)</f>
        <v>0</v>
      </c>
      <c r="H211" s="3">
        <f>IFERROR(__xludf.DUMMYFUNCTION("""COMPUTED_VALUE"""),0.0)</f>
        <v>0</v>
      </c>
      <c r="I211" s="3">
        <f>IFERROR(__xludf.DUMMYFUNCTION("""COMPUTED_VALUE"""),0.0)</f>
        <v>0</v>
      </c>
      <c r="J211" s="3">
        <f>IFERROR(__xludf.DUMMYFUNCTION("""COMPUTED_VALUE"""),0.0)</f>
        <v>0</v>
      </c>
      <c r="K211" s="3">
        <f>IFERROR(__xludf.DUMMYFUNCTION("""COMPUTED_VALUE"""),0.0)</f>
        <v>0</v>
      </c>
      <c r="L211" s="3">
        <f>IFERROR(__xludf.DUMMYFUNCTION("""COMPUTED_VALUE"""),0.0)</f>
        <v>0</v>
      </c>
      <c r="M211" s="3">
        <f>IFERROR(__xludf.DUMMYFUNCTION("""COMPUTED_VALUE"""),0.0)</f>
        <v>0</v>
      </c>
      <c r="N211" s="3">
        <f>IFERROR(__xludf.DUMMYFUNCTION("""COMPUTED_VALUE"""),0.0)</f>
        <v>0</v>
      </c>
      <c r="O211" s="3">
        <f>IFERROR(__xludf.DUMMYFUNCTION("""COMPUTED_VALUE"""),0.0)</f>
        <v>0</v>
      </c>
      <c r="P211" s="3">
        <f>IFERROR(__xludf.DUMMYFUNCTION("""COMPUTED_VALUE"""),0.0)</f>
        <v>0</v>
      </c>
      <c r="Q211" s="3">
        <f>IFERROR(__xludf.DUMMYFUNCTION("""COMPUTED_VALUE"""),0.0)</f>
        <v>0</v>
      </c>
      <c r="R211" s="3">
        <f>IFERROR(__xludf.DUMMYFUNCTION("""COMPUTED_VALUE"""),0.0)</f>
        <v>0</v>
      </c>
      <c r="S211" s="3">
        <f>IFERROR(__xludf.DUMMYFUNCTION("""COMPUTED_VALUE"""),0.0)</f>
        <v>0</v>
      </c>
      <c r="T211" s="3">
        <f>IFERROR(__xludf.DUMMYFUNCTION("""COMPUTED_VALUE"""),0.0)</f>
        <v>0</v>
      </c>
      <c r="U211" s="3">
        <f>IFERROR(__xludf.DUMMYFUNCTION("""COMPUTED_VALUE"""),0.0)</f>
        <v>0</v>
      </c>
      <c r="V211" s="3">
        <f>IFERROR(__xludf.DUMMYFUNCTION("""COMPUTED_VALUE"""),0.0)</f>
        <v>0</v>
      </c>
      <c r="W211" s="3">
        <f>IFERROR(__xludf.DUMMYFUNCTION("""COMPUTED_VALUE"""),0.0)</f>
        <v>0</v>
      </c>
      <c r="X211" s="3">
        <f>IFERROR(__xludf.DUMMYFUNCTION("""COMPUTED_VALUE"""),0.0)</f>
        <v>0</v>
      </c>
      <c r="Y211" s="3">
        <f>IFERROR(__xludf.DUMMYFUNCTION("""COMPUTED_VALUE"""),0.0)</f>
        <v>0</v>
      </c>
      <c r="Z211" s="3">
        <f>IFERROR(__xludf.DUMMYFUNCTION("""COMPUTED_VALUE"""),0.0)</f>
        <v>0</v>
      </c>
      <c r="AA211" s="3">
        <f>IFERROR(__xludf.DUMMYFUNCTION("""COMPUTED_VALUE"""),0.0)</f>
        <v>0</v>
      </c>
      <c r="AB211" s="3">
        <f>IFERROR(__xludf.DUMMYFUNCTION("""COMPUTED_VALUE"""),0.0)</f>
        <v>0</v>
      </c>
      <c r="AC211" s="3">
        <f>IFERROR(__xludf.DUMMYFUNCTION("""COMPUTED_VALUE"""),0.0)</f>
        <v>0</v>
      </c>
      <c r="AD211" s="3">
        <f>IFERROR(__xludf.DUMMYFUNCTION("""COMPUTED_VALUE"""),0.0)</f>
        <v>0</v>
      </c>
      <c r="AE211" s="3">
        <f>IFERROR(__xludf.DUMMYFUNCTION("""COMPUTED_VALUE"""),0.0)</f>
        <v>0</v>
      </c>
      <c r="AF211" s="3">
        <f>IFERROR(__xludf.DUMMYFUNCTION("""COMPUTED_VALUE"""),0.0)</f>
        <v>0</v>
      </c>
      <c r="AG211" s="3">
        <f>IFERROR(__xludf.DUMMYFUNCTION("""COMPUTED_VALUE"""),0.0)</f>
        <v>0</v>
      </c>
      <c r="AH211" s="3">
        <f>IFERROR(__xludf.DUMMYFUNCTION("""COMPUTED_VALUE"""),0.0)</f>
        <v>0</v>
      </c>
      <c r="AI211" s="3">
        <f>IFERROR(__xludf.DUMMYFUNCTION("""COMPUTED_VALUE"""),0.0)</f>
        <v>0</v>
      </c>
      <c r="AJ211" s="3">
        <f>IFERROR(__xludf.DUMMYFUNCTION("""COMPUTED_VALUE"""),0.0)</f>
        <v>0</v>
      </c>
      <c r="AK211" s="3">
        <f>IFERROR(__xludf.DUMMYFUNCTION("""COMPUTED_VALUE"""),0.0)</f>
        <v>0</v>
      </c>
      <c r="AL211" s="3">
        <f>IFERROR(__xludf.DUMMYFUNCTION("""COMPUTED_VALUE"""),0.0)</f>
        <v>0</v>
      </c>
      <c r="AM211" s="3">
        <f>IFERROR(__xludf.DUMMYFUNCTION("""COMPUTED_VALUE"""),0.0)</f>
        <v>0</v>
      </c>
      <c r="AN211" s="3">
        <f>IFERROR(__xludf.DUMMYFUNCTION("""COMPUTED_VALUE"""),0.0)</f>
        <v>0</v>
      </c>
      <c r="AO211" s="3">
        <f>IFERROR(__xludf.DUMMYFUNCTION("""COMPUTED_VALUE"""),0.0)</f>
        <v>0</v>
      </c>
      <c r="AP211" s="3">
        <f>IFERROR(__xludf.DUMMYFUNCTION("""COMPUTED_VALUE"""),0.0)</f>
        <v>0</v>
      </c>
      <c r="AQ211" s="3">
        <f>IFERROR(__xludf.DUMMYFUNCTION("""COMPUTED_VALUE"""),0.0)</f>
        <v>0</v>
      </c>
      <c r="AR211" s="3">
        <f>IFERROR(__xludf.DUMMYFUNCTION("""COMPUTED_VALUE"""),0.0)</f>
        <v>0</v>
      </c>
      <c r="AS211" s="3">
        <f>IFERROR(__xludf.DUMMYFUNCTION("""COMPUTED_VALUE"""),0.0)</f>
        <v>0</v>
      </c>
      <c r="AT211" s="3">
        <f>IFERROR(__xludf.DUMMYFUNCTION("""COMPUTED_VALUE"""),0.0)</f>
        <v>0</v>
      </c>
      <c r="AU211" s="3">
        <f>IFERROR(__xludf.DUMMYFUNCTION("""COMPUTED_VALUE"""),0.0)</f>
        <v>0</v>
      </c>
      <c r="AV211" s="3">
        <f>IFERROR(__xludf.DUMMYFUNCTION("""COMPUTED_VALUE"""),0.0)</f>
        <v>0</v>
      </c>
      <c r="AW211" s="3">
        <f>IFERROR(__xludf.DUMMYFUNCTION("""COMPUTED_VALUE"""),0.0)</f>
        <v>0</v>
      </c>
      <c r="AX211" s="3">
        <f>IFERROR(__xludf.DUMMYFUNCTION("""COMPUTED_VALUE"""),0.0)</f>
        <v>0</v>
      </c>
      <c r="AY211" s="3">
        <f>IFERROR(__xludf.DUMMYFUNCTION("""COMPUTED_VALUE"""),0.0)</f>
        <v>0</v>
      </c>
      <c r="AZ211" s="3">
        <f>IFERROR(__xludf.DUMMYFUNCTION("""COMPUTED_VALUE"""),0.0)</f>
        <v>0</v>
      </c>
      <c r="BA211" s="3">
        <f>IFERROR(__xludf.DUMMYFUNCTION("""COMPUTED_VALUE"""),0.0)</f>
        <v>0</v>
      </c>
      <c r="BB211" s="3">
        <f>IFERROR(__xludf.DUMMYFUNCTION("""COMPUTED_VALUE"""),0.0)</f>
        <v>0</v>
      </c>
      <c r="BC211" s="3">
        <f>IFERROR(__xludf.DUMMYFUNCTION("""COMPUTED_VALUE"""),0.0)</f>
        <v>0</v>
      </c>
      <c r="BD211" s="3">
        <f>IFERROR(__xludf.DUMMYFUNCTION("""COMPUTED_VALUE"""),0.0)</f>
        <v>0</v>
      </c>
      <c r="BE211" s="3">
        <f>IFERROR(__xludf.DUMMYFUNCTION("""COMPUTED_VALUE"""),0.0)</f>
        <v>0</v>
      </c>
      <c r="BF211" s="3">
        <f>IFERROR(__xludf.DUMMYFUNCTION("""COMPUTED_VALUE"""),0.0)</f>
        <v>0</v>
      </c>
      <c r="BG211" s="3">
        <f>IFERROR(__xludf.DUMMYFUNCTION("""COMPUTED_VALUE"""),0.0)</f>
        <v>0</v>
      </c>
      <c r="BH211" s="3">
        <f>IFERROR(__xludf.DUMMYFUNCTION("""COMPUTED_VALUE"""),0.0)</f>
        <v>0</v>
      </c>
      <c r="BI211" s="3">
        <f>IFERROR(__xludf.DUMMYFUNCTION("""COMPUTED_VALUE"""),0.0)</f>
        <v>0</v>
      </c>
      <c r="BJ211" s="3">
        <f>IFERROR(__xludf.DUMMYFUNCTION("""COMPUTED_VALUE"""),0.0)</f>
        <v>0</v>
      </c>
      <c r="BK211" s="3">
        <f>IFERROR(__xludf.DUMMYFUNCTION("""COMPUTED_VALUE"""),0.0)</f>
        <v>0</v>
      </c>
      <c r="BL211" s="3">
        <f>IFERROR(__xludf.DUMMYFUNCTION("""COMPUTED_VALUE"""),0.0)</f>
        <v>0</v>
      </c>
      <c r="BM211" s="3">
        <f>IFERROR(__xludf.DUMMYFUNCTION("""COMPUTED_VALUE"""),0.0)</f>
        <v>0</v>
      </c>
      <c r="BN211" s="3">
        <f>IFERROR(__xludf.DUMMYFUNCTION("""COMPUTED_VALUE"""),0.0)</f>
        <v>0</v>
      </c>
      <c r="BO211" s="3">
        <f>IFERROR(__xludf.DUMMYFUNCTION("""COMPUTED_VALUE"""),0.0)</f>
        <v>0</v>
      </c>
      <c r="BP211" s="3">
        <f>IFERROR(__xludf.DUMMYFUNCTION("""COMPUTED_VALUE"""),0.0)</f>
        <v>0</v>
      </c>
      <c r="BQ211" s="3">
        <f>IFERROR(__xludf.DUMMYFUNCTION("""COMPUTED_VALUE"""),0.0)</f>
        <v>0</v>
      </c>
      <c r="BR211" s="3">
        <f>IFERROR(__xludf.DUMMYFUNCTION("""COMPUTED_VALUE"""),0.0)</f>
        <v>0</v>
      </c>
      <c r="BS211" s="3">
        <f>IFERROR(__xludf.DUMMYFUNCTION("""COMPUTED_VALUE"""),0.0)</f>
        <v>0</v>
      </c>
      <c r="BT211" s="3">
        <f>IFERROR(__xludf.DUMMYFUNCTION("""COMPUTED_VALUE"""),0.0)</f>
        <v>0</v>
      </c>
      <c r="BU211" s="3">
        <f>IFERROR(__xludf.DUMMYFUNCTION("""COMPUTED_VALUE"""),0.0)</f>
        <v>0</v>
      </c>
      <c r="BV211" s="3">
        <f>IFERROR(__xludf.DUMMYFUNCTION("""COMPUTED_VALUE"""),0.0)</f>
        <v>0</v>
      </c>
      <c r="BW211" s="3">
        <f>IFERROR(__xludf.DUMMYFUNCTION("""COMPUTED_VALUE"""),0.0)</f>
        <v>0</v>
      </c>
      <c r="BX211" s="3">
        <f>IFERROR(__xludf.DUMMYFUNCTION("""COMPUTED_VALUE"""),0.0)</f>
        <v>0</v>
      </c>
      <c r="BY211" s="3">
        <f>IFERROR(__xludf.DUMMYFUNCTION("""COMPUTED_VALUE"""),0.0)</f>
        <v>0</v>
      </c>
      <c r="BZ211" s="3">
        <f>IFERROR(__xludf.DUMMYFUNCTION("""COMPUTED_VALUE"""),0.0)</f>
        <v>0</v>
      </c>
      <c r="CA211" s="3">
        <f>IFERROR(__xludf.DUMMYFUNCTION("""COMPUTED_VALUE"""),0.0)</f>
        <v>0</v>
      </c>
      <c r="CB211" s="3">
        <f>IFERROR(__xludf.DUMMYFUNCTION("""COMPUTED_VALUE"""),0.0)</f>
        <v>0</v>
      </c>
    </row>
    <row r="212">
      <c r="A212" s="3" t="str">
        <f>IFERROR(__xludf.DUMMYFUNCTION("""COMPUTED_VALUE"""),"")</f>
        <v/>
      </c>
      <c r="B212" s="3" t="str">
        <f>IFERROR(__xludf.DUMMYFUNCTION("""COMPUTED_VALUE"""),"Togo")</f>
        <v>Togo</v>
      </c>
      <c r="C212" s="3">
        <f>IFERROR(__xludf.DUMMYFUNCTION("""COMPUTED_VALUE"""),8.6195)</f>
        <v>8.6195</v>
      </c>
      <c r="D212" s="3">
        <f>IFERROR(__xludf.DUMMYFUNCTION("""COMPUTED_VALUE"""),0.8248)</f>
        <v>0.8248</v>
      </c>
      <c r="E212" s="3">
        <f>IFERROR(__xludf.DUMMYFUNCTION("""COMPUTED_VALUE"""),0.0)</f>
        <v>0</v>
      </c>
      <c r="F212" s="3">
        <f>IFERROR(__xludf.DUMMYFUNCTION("""COMPUTED_VALUE"""),0.0)</f>
        <v>0</v>
      </c>
      <c r="G212" s="3">
        <f>IFERROR(__xludf.DUMMYFUNCTION("""COMPUTED_VALUE"""),0.0)</f>
        <v>0</v>
      </c>
      <c r="H212" s="3">
        <f>IFERROR(__xludf.DUMMYFUNCTION("""COMPUTED_VALUE"""),0.0)</f>
        <v>0</v>
      </c>
      <c r="I212" s="3">
        <f>IFERROR(__xludf.DUMMYFUNCTION("""COMPUTED_VALUE"""),0.0)</f>
        <v>0</v>
      </c>
      <c r="J212" s="3">
        <f>IFERROR(__xludf.DUMMYFUNCTION("""COMPUTED_VALUE"""),0.0)</f>
        <v>0</v>
      </c>
      <c r="K212" s="3">
        <f>IFERROR(__xludf.DUMMYFUNCTION("""COMPUTED_VALUE"""),0.0)</f>
        <v>0</v>
      </c>
      <c r="L212" s="3">
        <f>IFERROR(__xludf.DUMMYFUNCTION("""COMPUTED_VALUE"""),0.0)</f>
        <v>0</v>
      </c>
      <c r="M212" s="3">
        <f>IFERROR(__xludf.DUMMYFUNCTION("""COMPUTED_VALUE"""),0.0)</f>
        <v>0</v>
      </c>
      <c r="N212" s="3">
        <f>IFERROR(__xludf.DUMMYFUNCTION("""COMPUTED_VALUE"""),0.0)</f>
        <v>0</v>
      </c>
      <c r="O212" s="3">
        <f>IFERROR(__xludf.DUMMYFUNCTION("""COMPUTED_VALUE"""),0.0)</f>
        <v>0</v>
      </c>
      <c r="P212" s="3">
        <f>IFERROR(__xludf.DUMMYFUNCTION("""COMPUTED_VALUE"""),0.0)</f>
        <v>0</v>
      </c>
      <c r="Q212" s="3">
        <f>IFERROR(__xludf.DUMMYFUNCTION("""COMPUTED_VALUE"""),0.0)</f>
        <v>0</v>
      </c>
      <c r="R212" s="3">
        <f>IFERROR(__xludf.DUMMYFUNCTION("""COMPUTED_VALUE"""),0.0)</f>
        <v>0</v>
      </c>
      <c r="S212" s="3">
        <f>IFERROR(__xludf.DUMMYFUNCTION("""COMPUTED_VALUE"""),0.0)</f>
        <v>0</v>
      </c>
      <c r="T212" s="3">
        <f>IFERROR(__xludf.DUMMYFUNCTION("""COMPUTED_VALUE"""),0.0)</f>
        <v>0</v>
      </c>
      <c r="U212" s="3">
        <f>IFERROR(__xludf.DUMMYFUNCTION("""COMPUTED_VALUE"""),0.0)</f>
        <v>0</v>
      </c>
      <c r="V212" s="3">
        <f>IFERROR(__xludf.DUMMYFUNCTION("""COMPUTED_VALUE"""),0.0)</f>
        <v>0</v>
      </c>
      <c r="W212" s="3">
        <f>IFERROR(__xludf.DUMMYFUNCTION("""COMPUTED_VALUE"""),0.0)</f>
        <v>0</v>
      </c>
      <c r="X212" s="3">
        <f>IFERROR(__xludf.DUMMYFUNCTION("""COMPUTED_VALUE"""),0.0)</f>
        <v>0</v>
      </c>
      <c r="Y212" s="3">
        <f>IFERROR(__xludf.DUMMYFUNCTION("""COMPUTED_VALUE"""),0.0)</f>
        <v>0</v>
      </c>
      <c r="Z212" s="3">
        <f>IFERROR(__xludf.DUMMYFUNCTION("""COMPUTED_VALUE"""),0.0)</f>
        <v>0</v>
      </c>
      <c r="AA212" s="3">
        <f>IFERROR(__xludf.DUMMYFUNCTION("""COMPUTED_VALUE"""),0.0)</f>
        <v>0</v>
      </c>
      <c r="AB212" s="3">
        <f>IFERROR(__xludf.DUMMYFUNCTION("""COMPUTED_VALUE"""),0.0)</f>
        <v>0</v>
      </c>
      <c r="AC212" s="3">
        <f>IFERROR(__xludf.DUMMYFUNCTION("""COMPUTED_VALUE"""),0.0)</f>
        <v>0</v>
      </c>
      <c r="AD212" s="3">
        <f>IFERROR(__xludf.DUMMYFUNCTION("""COMPUTED_VALUE"""),0.0)</f>
        <v>0</v>
      </c>
      <c r="AE212" s="3">
        <f>IFERROR(__xludf.DUMMYFUNCTION("""COMPUTED_VALUE"""),0.0)</f>
        <v>0</v>
      </c>
      <c r="AF212" s="3">
        <f>IFERROR(__xludf.DUMMYFUNCTION("""COMPUTED_VALUE"""),0.0)</f>
        <v>0</v>
      </c>
      <c r="AG212" s="3">
        <f>IFERROR(__xludf.DUMMYFUNCTION("""COMPUTED_VALUE"""),0.0)</f>
        <v>0</v>
      </c>
      <c r="AH212" s="3">
        <f>IFERROR(__xludf.DUMMYFUNCTION("""COMPUTED_VALUE"""),0.0)</f>
        <v>0</v>
      </c>
      <c r="AI212" s="3">
        <f>IFERROR(__xludf.DUMMYFUNCTION("""COMPUTED_VALUE"""),0.0)</f>
        <v>0</v>
      </c>
      <c r="AJ212" s="3">
        <f>IFERROR(__xludf.DUMMYFUNCTION("""COMPUTED_VALUE"""),0.0)</f>
        <v>0</v>
      </c>
      <c r="AK212" s="3">
        <f>IFERROR(__xludf.DUMMYFUNCTION("""COMPUTED_VALUE"""),0.0)</f>
        <v>0</v>
      </c>
      <c r="AL212" s="3">
        <f>IFERROR(__xludf.DUMMYFUNCTION("""COMPUTED_VALUE"""),0.0)</f>
        <v>0</v>
      </c>
      <c r="AM212" s="3">
        <f>IFERROR(__xludf.DUMMYFUNCTION("""COMPUTED_VALUE"""),0.0)</f>
        <v>0</v>
      </c>
      <c r="AN212" s="3">
        <f>IFERROR(__xludf.DUMMYFUNCTION("""COMPUTED_VALUE"""),0.0)</f>
        <v>0</v>
      </c>
      <c r="AO212" s="3">
        <f>IFERROR(__xludf.DUMMYFUNCTION("""COMPUTED_VALUE"""),0.0)</f>
        <v>0</v>
      </c>
      <c r="AP212" s="3">
        <f>IFERROR(__xludf.DUMMYFUNCTION("""COMPUTED_VALUE"""),0.0)</f>
        <v>0</v>
      </c>
      <c r="AQ212" s="3">
        <f>IFERROR(__xludf.DUMMYFUNCTION("""COMPUTED_VALUE"""),0.0)</f>
        <v>0</v>
      </c>
      <c r="AR212" s="3">
        <f>IFERROR(__xludf.DUMMYFUNCTION("""COMPUTED_VALUE"""),0.0)</f>
        <v>0</v>
      </c>
      <c r="AS212" s="3">
        <f>IFERROR(__xludf.DUMMYFUNCTION("""COMPUTED_VALUE"""),0.0)</f>
        <v>0</v>
      </c>
      <c r="AT212" s="3">
        <f>IFERROR(__xludf.DUMMYFUNCTION("""COMPUTED_VALUE"""),0.0)</f>
        <v>0</v>
      </c>
      <c r="AU212" s="3">
        <f>IFERROR(__xludf.DUMMYFUNCTION("""COMPUTED_VALUE"""),0.0)</f>
        <v>0</v>
      </c>
      <c r="AV212" s="3">
        <f>IFERROR(__xludf.DUMMYFUNCTION("""COMPUTED_VALUE"""),0.0)</f>
        <v>0</v>
      </c>
      <c r="AW212" s="3">
        <f>IFERROR(__xludf.DUMMYFUNCTION("""COMPUTED_VALUE"""),0.0)</f>
        <v>0</v>
      </c>
      <c r="AX212" s="3">
        <f>IFERROR(__xludf.DUMMYFUNCTION("""COMPUTED_VALUE"""),0.0)</f>
        <v>0</v>
      </c>
      <c r="AY212" s="3">
        <f>IFERROR(__xludf.DUMMYFUNCTION("""COMPUTED_VALUE"""),0.0)</f>
        <v>0</v>
      </c>
      <c r="AZ212" s="3">
        <f>IFERROR(__xludf.DUMMYFUNCTION("""COMPUTED_VALUE"""),0.0)</f>
        <v>0</v>
      </c>
      <c r="BA212" s="3">
        <f>IFERROR(__xludf.DUMMYFUNCTION("""COMPUTED_VALUE"""),0.0)</f>
        <v>0</v>
      </c>
      <c r="BB212" s="3">
        <f>IFERROR(__xludf.DUMMYFUNCTION("""COMPUTED_VALUE"""),0.0)</f>
        <v>0</v>
      </c>
      <c r="BC212" s="3">
        <f>IFERROR(__xludf.DUMMYFUNCTION("""COMPUTED_VALUE"""),0.0)</f>
        <v>0</v>
      </c>
      <c r="BD212" s="3">
        <f>IFERROR(__xludf.DUMMYFUNCTION("""COMPUTED_VALUE"""),0.0)</f>
        <v>0</v>
      </c>
      <c r="BE212" s="3">
        <f>IFERROR(__xludf.DUMMYFUNCTION("""COMPUTED_VALUE"""),0.0)</f>
        <v>0</v>
      </c>
      <c r="BF212" s="3">
        <f>IFERROR(__xludf.DUMMYFUNCTION("""COMPUTED_VALUE"""),0.0)</f>
        <v>0</v>
      </c>
      <c r="BG212" s="3">
        <f>IFERROR(__xludf.DUMMYFUNCTION("""COMPUTED_VALUE"""),0.0)</f>
        <v>0</v>
      </c>
      <c r="BH212" s="3">
        <f>IFERROR(__xludf.DUMMYFUNCTION("""COMPUTED_VALUE"""),0.0)</f>
        <v>0</v>
      </c>
      <c r="BI212" s="3">
        <f>IFERROR(__xludf.DUMMYFUNCTION("""COMPUTED_VALUE"""),0.0)</f>
        <v>0</v>
      </c>
      <c r="BJ212" s="3">
        <f>IFERROR(__xludf.DUMMYFUNCTION("""COMPUTED_VALUE"""),0.0)</f>
        <v>0</v>
      </c>
      <c r="BK212" s="3">
        <f>IFERROR(__xludf.DUMMYFUNCTION("""COMPUTED_VALUE"""),1.0)</f>
        <v>1</v>
      </c>
      <c r="BL212" s="3">
        <f>IFERROR(__xludf.DUMMYFUNCTION("""COMPUTED_VALUE"""),1.0)</f>
        <v>1</v>
      </c>
      <c r="BM212" s="3">
        <f>IFERROR(__xludf.DUMMYFUNCTION("""COMPUTED_VALUE"""),1.0)</f>
        <v>1</v>
      </c>
      <c r="BN212" s="3">
        <f>IFERROR(__xludf.DUMMYFUNCTION("""COMPUTED_VALUE"""),1.0)</f>
        <v>1</v>
      </c>
      <c r="BO212" s="3">
        <f>IFERROR(__xludf.DUMMYFUNCTION("""COMPUTED_VALUE"""),1.0)</f>
        <v>1</v>
      </c>
      <c r="BP212" s="3">
        <f>IFERROR(__xludf.DUMMYFUNCTION("""COMPUTED_VALUE"""),1.0)</f>
        <v>1</v>
      </c>
      <c r="BQ212" s="3">
        <f>IFERROR(__xludf.DUMMYFUNCTION("""COMPUTED_VALUE"""),1.0)</f>
        <v>1</v>
      </c>
      <c r="BR212" s="3">
        <f>IFERROR(__xludf.DUMMYFUNCTION("""COMPUTED_VALUE"""),1.0)</f>
        <v>1</v>
      </c>
      <c r="BS212" s="3">
        <f>IFERROR(__xludf.DUMMYFUNCTION("""COMPUTED_VALUE"""),1.0)</f>
        <v>1</v>
      </c>
      <c r="BT212" s="3">
        <f>IFERROR(__xludf.DUMMYFUNCTION("""COMPUTED_VALUE"""),1.0)</f>
        <v>1</v>
      </c>
      <c r="BU212" s="3">
        <f>IFERROR(__xludf.DUMMYFUNCTION("""COMPUTED_VALUE"""),1.0)</f>
        <v>1</v>
      </c>
      <c r="BV212" s="3">
        <f>IFERROR(__xludf.DUMMYFUNCTION("""COMPUTED_VALUE"""),10.0)</f>
        <v>10</v>
      </c>
      <c r="BW212" s="3">
        <f>IFERROR(__xludf.DUMMYFUNCTION("""COMPUTED_VALUE"""),10.0)</f>
        <v>10</v>
      </c>
      <c r="BX212" s="3">
        <f>IFERROR(__xludf.DUMMYFUNCTION("""COMPUTED_VALUE"""),17.0)</f>
        <v>17</v>
      </c>
      <c r="BY212" s="3">
        <f>IFERROR(__xludf.DUMMYFUNCTION("""COMPUTED_VALUE"""),17.0)</f>
        <v>17</v>
      </c>
      <c r="BZ212" s="3">
        <f>IFERROR(__xludf.DUMMYFUNCTION("""COMPUTED_VALUE"""),17.0)</f>
        <v>17</v>
      </c>
      <c r="CA212" s="3">
        <f>IFERROR(__xludf.DUMMYFUNCTION("""COMPUTED_VALUE"""),20.0)</f>
        <v>20</v>
      </c>
      <c r="CB212" s="3">
        <f>IFERROR(__xludf.DUMMYFUNCTION("""COMPUTED_VALUE"""),23.0)</f>
        <v>23</v>
      </c>
    </row>
    <row r="213">
      <c r="A213" s="3" t="str">
        <f>IFERROR(__xludf.DUMMYFUNCTION("""COMPUTED_VALUE"""),"")</f>
        <v/>
      </c>
      <c r="B213" s="3" t="str">
        <f>IFERROR(__xludf.DUMMYFUNCTION("""COMPUTED_VALUE"""),"Trinidad and Tobago")</f>
        <v>Trinidad and Tobago</v>
      </c>
      <c r="C213" s="3">
        <f>IFERROR(__xludf.DUMMYFUNCTION("""COMPUTED_VALUE"""),10.6918)</f>
        <v>10.6918</v>
      </c>
      <c r="D213" s="3">
        <f>IFERROR(__xludf.DUMMYFUNCTION("""COMPUTED_VALUE"""),-61.2225)</f>
        <v>-61.2225</v>
      </c>
      <c r="E213" s="3">
        <f>IFERROR(__xludf.DUMMYFUNCTION("""COMPUTED_VALUE"""),0.0)</f>
        <v>0</v>
      </c>
      <c r="F213" s="3">
        <f>IFERROR(__xludf.DUMMYFUNCTION("""COMPUTED_VALUE"""),0.0)</f>
        <v>0</v>
      </c>
      <c r="G213" s="3">
        <f>IFERROR(__xludf.DUMMYFUNCTION("""COMPUTED_VALUE"""),0.0)</f>
        <v>0</v>
      </c>
      <c r="H213" s="3">
        <f>IFERROR(__xludf.DUMMYFUNCTION("""COMPUTED_VALUE"""),0.0)</f>
        <v>0</v>
      </c>
      <c r="I213" s="3">
        <f>IFERROR(__xludf.DUMMYFUNCTION("""COMPUTED_VALUE"""),0.0)</f>
        <v>0</v>
      </c>
      <c r="J213" s="3">
        <f>IFERROR(__xludf.DUMMYFUNCTION("""COMPUTED_VALUE"""),0.0)</f>
        <v>0</v>
      </c>
      <c r="K213" s="3">
        <f>IFERROR(__xludf.DUMMYFUNCTION("""COMPUTED_VALUE"""),0.0)</f>
        <v>0</v>
      </c>
      <c r="L213" s="3">
        <f>IFERROR(__xludf.DUMMYFUNCTION("""COMPUTED_VALUE"""),0.0)</f>
        <v>0</v>
      </c>
      <c r="M213" s="3">
        <f>IFERROR(__xludf.DUMMYFUNCTION("""COMPUTED_VALUE"""),0.0)</f>
        <v>0</v>
      </c>
      <c r="N213" s="3">
        <f>IFERROR(__xludf.DUMMYFUNCTION("""COMPUTED_VALUE"""),0.0)</f>
        <v>0</v>
      </c>
      <c r="O213" s="3">
        <f>IFERROR(__xludf.DUMMYFUNCTION("""COMPUTED_VALUE"""),0.0)</f>
        <v>0</v>
      </c>
      <c r="P213" s="3">
        <f>IFERROR(__xludf.DUMMYFUNCTION("""COMPUTED_VALUE"""),0.0)</f>
        <v>0</v>
      </c>
      <c r="Q213" s="3">
        <f>IFERROR(__xludf.DUMMYFUNCTION("""COMPUTED_VALUE"""),0.0)</f>
        <v>0</v>
      </c>
      <c r="R213" s="3">
        <f>IFERROR(__xludf.DUMMYFUNCTION("""COMPUTED_VALUE"""),0.0)</f>
        <v>0</v>
      </c>
      <c r="S213" s="3">
        <f>IFERROR(__xludf.DUMMYFUNCTION("""COMPUTED_VALUE"""),0.0)</f>
        <v>0</v>
      </c>
      <c r="T213" s="3">
        <f>IFERROR(__xludf.DUMMYFUNCTION("""COMPUTED_VALUE"""),0.0)</f>
        <v>0</v>
      </c>
      <c r="U213" s="3">
        <f>IFERROR(__xludf.DUMMYFUNCTION("""COMPUTED_VALUE"""),0.0)</f>
        <v>0</v>
      </c>
      <c r="V213" s="3">
        <f>IFERROR(__xludf.DUMMYFUNCTION("""COMPUTED_VALUE"""),0.0)</f>
        <v>0</v>
      </c>
      <c r="W213" s="3">
        <f>IFERROR(__xludf.DUMMYFUNCTION("""COMPUTED_VALUE"""),0.0)</f>
        <v>0</v>
      </c>
      <c r="X213" s="3">
        <f>IFERROR(__xludf.DUMMYFUNCTION("""COMPUTED_VALUE"""),0.0)</f>
        <v>0</v>
      </c>
      <c r="Y213" s="3">
        <f>IFERROR(__xludf.DUMMYFUNCTION("""COMPUTED_VALUE"""),0.0)</f>
        <v>0</v>
      </c>
      <c r="Z213" s="3">
        <f>IFERROR(__xludf.DUMMYFUNCTION("""COMPUTED_VALUE"""),0.0)</f>
        <v>0</v>
      </c>
      <c r="AA213" s="3">
        <f>IFERROR(__xludf.DUMMYFUNCTION("""COMPUTED_VALUE"""),0.0)</f>
        <v>0</v>
      </c>
      <c r="AB213" s="3">
        <f>IFERROR(__xludf.DUMMYFUNCTION("""COMPUTED_VALUE"""),0.0)</f>
        <v>0</v>
      </c>
      <c r="AC213" s="3">
        <f>IFERROR(__xludf.DUMMYFUNCTION("""COMPUTED_VALUE"""),0.0)</f>
        <v>0</v>
      </c>
      <c r="AD213" s="3">
        <f>IFERROR(__xludf.DUMMYFUNCTION("""COMPUTED_VALUE"""),0.0)</f>
        <v>0</v>
      </c>
      <c r="AE213" s="3">
        <f>IFERROR(__xludf.DUMMYFUNCTION("""COMPUTED_VALUE"""),0.0)</f>
        <v>0</v>
      </c>
      <c r="AF213" s="3">
        <f>IFERROR(__xludf.DUMMYFUNCTION("""COMPUTED_VALUE"""),0.0)</f>
        <v>0</v>
      </c>
      <c r="AG213" s="3">
        <f>IFERROR(__xludf.DUMMYFUNCTION("""COMPUTED_VALUE"""),0.0)</f>
        <v>0</v>
      </c>
      <c r="AH213" s="3">
        <f>IFERROR(__xludf.DUMMYFUNCTION("""COMPUTED_VALUE"""),0.0)</f>
        <v>0</v>
      </c>
      <c r="AI213" s="3">
        <f>IFERROR(__xludf.DUMMYFUNCTION("""COMPUTED_VALUE"""),0.0)</f>
        <v>0</v>
      </c>
      <c r="AJ213" s="3">
        <f>IFERROR(__xludf.DUMMYFUNCTION("""COMPUTED_VALUE"""),0.0)</f>
        <v>0</v>
      </c>
      <c r="AK213" s="3">
        <f>IFERROR(__xludf.DUMMYFUNCTION("""COMPUTED_VALUE"""),0.0)</f>
        <v>0</v>
      </c>
      <c r="AL213" s="3">
        <f>IFERROR(__xludf.DUMMYFUNCTION("""COMPUTED_VALUE"""),0.0)</f>
        <v>0</v>
      </c>
      <c r="AM213" s="3">
        <f>IFERROR(__xludf.DUMMYFUNCTION("""COMPUTED_VALUE"""),0.0)</f>
        <v>0</v>
      </c>
      <c r="AN213" s="3">
        <f>IFERROR(__xludf.DUMMYFUNCTION("""COMPUTED_VALUE"""),0.0)</f>
        <v>0</v>
      </c>
      <c r="AO213" s="3">
        <f>IFERROR(__xludf.DUMMYFUNCTION("""COMPUTED_VALUE"""),0.0)</f>
        <v>0</v>
      </c>
      <c r="AP213" s="3">
        <f>IFERROR(__xludf.DUMMYFUNCTION("""COMPUTED_VALUE"""),0.0)</f>
        <v>0</v>
      </c>
      <c r="AQ213" s="3">
        <f>IFERROR(__xludf.DUMMYFUNCTION("""COMPUTED_VALUE"""),0.0)</f>
        <v>0</v>
      </c>
      <c r="AR213" s="3">
        <f>IFERROR(__xludf.DUMMYFUNCTION("""COMPUTED_VALUE"""),0.0)</f>
        <v>0</v>
      </c>
      <c r="AS213" s="3">
        <f>IFERROR(__xludf.DUMMYFUNCTION("""COMPUTED_VALUE"""),0.0)</f>
        <v>0</v>
      </c>
      <c r="AT213" s="3">
        <f>IFERROR(__xludf.DUMMYFUNCTION("""COMPUTED_VALUE"""),0.0)</f>
        <v>0</v>
      </c>
      <c r="AU213" s="3">
        <f>IFERROR(__xludf.DUMMYFUNCTION("""COMPUTED_VALUE"""),0.0)</f>
        <v>0</v>
      </c>
      <c r="AV213" s="3">
        <f>IFERROR(__xludf.DUMMYFUNCTION("""COMPUTED_VALUE"""),0.0)</f>
        <v>0</v>
      </c>
      <c r="AW213" s="3">
        <f>IFERROR(__xludf.DUMMYFUNCTION("""COMPUTED_VALUE"""),0.0)</f>
        <v>0</v>
      </c>
      <c r="AX213" s="3">
        <f>IFERROR(__xludf.DUMMYFUNCTION("""COMPUTED_VALUE"""),0.0)</f>
        <v>0</v>
      </c>
      <c r="AY213" s="3">
        <f>IFERROR(__xludf.DUMMYFUNCTION("""COMPUTED_VALUE"""),0.0)</f>
        <v>0</v>
      </c>
      <c r="AZ213" s="3">
        <f>IFERROR(__xludf.DUMMYFUNCTION("""COMPUTED_VALUE"""),0.0)</f>
        <v>0</v>
      </c>
      <c r="BA213" s="3">
        <f>IFERROR(__xludf.DUMMYFUNCTION("""COMPUTED_VALUE"""),0.0)</f>
        <v>0</v>
      </c>
      <c r="BB213" s="3">
        <f>IFERROR(__xludf.DUMMYFUNCTION("""COMPUTED_VALUE"""),0.0)</f>
        <v>0</v>
      </c>
      <c r="BC213" s="3">
        <f>IFERROR(__xludf.DUMMYFUNCTION("""COMPUTED_VALUE"""),0.0)</f>
        <v>0</v>
      </c>
      <c r="BD213" s="3">
        <f>IFERROR(__xludf.DUMMYFUNCTION("""COMPUTED_VALUE"""),0.0)</f>
        <v>0</v>
      </c>
      <c r="BE213" s="3">
        <f>IFERROR(__xludf.DUMMYFUNCTION("""COMPUTED_VALUE"""),0.0)</f>
        <v>0</v>
      </c>
      <c r="BF213" s="3">
        <f>IFERROR(__xludf.DUMMYFUNCTION("""COMPUTED_VALUE"""),0.0)</f>
        <v>0</v>
      </c>
      <c r="BG213" s="3">
        <f>IFERROR(__xludf.DUMMYFUNCTION("""COMPUTED_VALUE"""),0.0)</f>
        <v>0</v>
      </c>
      <c r="BH213" s="3">
        <f>IFERROR(__xludf.DUMMYFUNCTION("""COMPUTED_VALUE"""),0.0)</f>
        <v>0</v>
      </c>
      <c r="BI213" s="3">
        <f>IFERROR(__xludf.DUMMYFUNCTION("""COMPUTED_VALUE"""),0.0)</f>
        <v>0</v>
      </c>
      <c r="BJ213" s="3">
        <f>IFERROR(__xludf.DUMMYFUNCTION("""COMPUTED_VALUE"""),0.0)</f>
        <v>0</v>
      </c>
      <c r="BK213" s="3">
        <f>IFERROR(__xludf.DUMMYFUNCTION("""COMPUTED_VALUE"""),0.0)</f>
        <v>0</v>
      </c>
      <c r="BL213" s="3">
        <f>IFERROR(__xludf.DUMMYFUNCTION("""COMPUTED_VALUE"""),1.0)</f>
        <v>1</v>
      </c>
      <c r="BM213" s="3">
        <f>IFERROR(__xludf.DUMMYFUNCTION("""COMPUTED_VALUE"""),1.0)</f>
        <v>1</v>
      </c>
      <c r="BN213" s="3">
        <f>IFERROR(__xludf.DUMMYFUNCTION("""COMPUTED_VALUE"""),1.0)</f>
        <v>1</v>
      </c>
      <c r="BO213" s="3">
        <f>IFERROR(__xludf.DUMMYFUNCTION("""COMPUTED_VALUE"""),0.0)</f>
        <v>0</v>
      </c>
      <c r="BP213" s="3">
        <f>IFERROR(__xludf.DUMMYFUNCTION("""COMPUTED_VALUE"""),0.0)</f>
        <v>0</v>
      </c>
      <c r="BQ213" s="3">
        <f>IFERROR(__xludf.DUMMYFUNCTION("""COMPUTED_VALUE"""),0.0)</f>
        <v>0</v>
      </c>
      <c r="BR213" s="3">
        <f>IFERROR(__xludf.DUMMYFUNCTION("""COMPUTED_VALUE"""),1.0)</f>
        <v>1</v>
      </c>
      <c r="BS213" s="3">
        <f>IFERROR(__xludf.DUMMYFUNCTION("""COMPUTED_VALUE"""),1.0)</f>
        <v>1</v>
      </c>
      <c r="BT213" s="3">
        <f>IFERROR(__xludf.DUMMYFUNCTION("""COMPUTED_VALUE"""),1.0)</f>
        <v>1</v>
      </c>
      <c r="BU213" s="3">
        <f>IFERROR(__xludf.DUMMYFUNCTION("""COMPUTED_VALUE"""),1.0)</f>
        <v>1</v>
      </c>
      <c r="BV213" s="3">
        <f>IFERROR(__xludf.DUMMYFUNCTION("""COMPUTED_VALUE"""),1.0)</f>
        <v>1</v>
      </c>
      <c r="BW213" s="3">
        <f>IFERROR(__xludf.DUMMYFUNCTION("""COMPUTED_VALUE"""),1.0)</f>
        <v>1</v>
      </c>
      <c r="BX213" s="3">
        <f>IFERROR(__xludf.DUMMYFUNCTION("""COMPUTED_VALUE"""),1.0)</f>
        <v>1</v>
      </c>
      <c r="BY213" s="3">
        <f>IFERROR(__xludf.DUMMYFUNCTION("""COMPUTED_VALUE"""),1.0)</f>
        <v>1</v>
      </c>
      <c r="BZ213" s="3">
        <f>IFERROR(__xludf.DUMMYFUNCTION("""COMPUTED_VALUE"""),1.0)</f>
        <v>1</v>
      </c>
      <c r="CA213" s="3">
        <f>IFERROR(__xludf.DUMMYFUNCTION("""COMPUTED_VALUE"""),1.0)</f>
        <v>1</v>
      </c>
      <c r="CB213" s="3">
        <f>IFERROR(__xludf.DUMMYFUNCTION("""COMPUTED_VALUE"""),1.0)</f>
        <v>1</v>
      </c>
    </row>
    <row r="214">
      <c r="A214" s="3" t="str">
        <f>IFERROR(__xludf.DUMMYFUNCTION("""COMPUTED_VALUE"""),"")</f>
        <v/>
      </c>
      <c r="B214" s="3" t="str">
        <f>IFERROR(__xludf.DUMMYFUNCTION("""COMPUTED_VALUE"""),"Tunisia")</f>
        <v>Tunisia</v>
      </c>
      <c r="C214" s="3">
        <f>IFERROR(__xludf.DUMMYFUNCTION("""COMPUTED_VALUE"""),34.0)</f>
        <v>34</v>
      </c>
      <c r="D214" s="3">
        <f>IFERROR(__xludf.DUMMYFUNCTION("""COMPUTED_VALUE"""),9.0)</f>
        <v>9</v>
      </c>
      <c r="E214" s="3">
        <f>IFERROR(__xludf.DUMMYFUNCTION("""COMPUTED_VALUE"""),0.0)</f>
        <v>0</v>
      </c>
      <c r="F214" s="3">
        <f>IFERROR(__xludf.DUMMYFUNCTION("""COMPUTED_VALUE"""),0.0)</f>
        <v>0</v>
      </c>
      <c r="G214" s="3">
        <f>IFERROR(__xludf.DUMMYFUNCTION("""COMPUTED_VALUE"""),0.0)</f>
        <v>0</v>
      </c>
      <c r="H214" s="3">
        <f>IFERROR(__xludf.DUMMYFUNCTION("""COMPUTED_VALUE"""),0.0)</f>
        <v>0</v>
      </c>
      <c r="I214" s="3">
        <f>IFERROR(__xludf.DUMMYFUNCTION("""COMPUTED_VALUE"""),0.0)</f>
        <v>0</v>
      </c>
      <c r="J214" s="3">
        <f>IFERROR(__xludf.DUMMYFUNCTION("""COMPUTED_VALUE"""),0.0)</f>
        <v>0</v>
      </c>
      <c r="K214" s="3">
        <f>IFERROR(__xludf.DUMMYFUNCTION("""COMPUTED_VALUE"""),0.0)</f>
        <v>0</v>
      </c>
      <c r="L214" s="3">
        <f>IFERROR(__xludf.DUMMYFUNCTION("""COMPUTED_VALUE"""),0.0)</f>
        <v>0</v>
      </c>
      <c r="M214" s="3">
        <f>IFERROR(__xludf.DUMMYFUNCTION("""COMPUTED_VALUE"""),0.0)</f>
        <v>0</v>
      </c>
      <c r="N214" s="3">
        <f>IFERROR(__xludf.DUMMYFUNCTION("""COMPUTED_VALUE"""),0.0)</f>
        <v>0</v>
      </c>
      <c r="O214" s="3">
        <f>IFERROR(__xludf.DUMMYFUNCTION("""COMPUTED_VALUE"""),0.0)</f>
        <v>0</v>
      </c>
      <c r="P214" s="3">
        <f>IFERROR(__xludf.DUMMYFUNCTION("""COMPUTED_VALUE"""),0.0)</f>
        <v>0</v>
      </c>
      <c r="Q214" s="3">
        <f>IFERROR(__xludf.DUMMYFUNCTION("""COMPUTED_VALUE"""),0.0)</f>
        <v>0</v>
      </c>
      <c r="R214" s="3">
        <f>IFERROR(__xludf.DUMMYFUNCTION("""COMPUTED_VALUE"""),0.0)</f>
        <v>0</v>
      </c>
      <c r="S214" s="3">
        <f>IFERROR(__xludf.DUMMYFUNCTION("""COMPUTED_VALUE"""),0.0)</f>
        <v>0</v>
      </c>
      <c r="T214" s="3">
        <f>IFERROR(__xludf.DUMMYFUNCTION("""COMPUTED_VALUE"""),0.0)</f>
        <v>0</v>
      </c>
      <c r="U214" s="3">
        <f>IFERROR(__xludf.DUMMYFUNCTION("""COMPUTED_VALUE"""),0.0)</f>
        <v>0</v>
      </c>
      <c r="V214" s="3">
        <f>IFERROR(__xludf.DUMMYFUNCTION("""COMPUTED_VALUE"""),0.0)</f>
        <v>0</v>
      </c>
      <c r="W214" s="3">
        <f>IFERROR(__xludf.DUMMYFUNCTION("""COMPUTED_VALUE"""),0.0)</f>
        <v>0</v>
      </c>
      <c r="X214" s="3">
        <f>IFERROR(__xludf.DUMMYFUNCTION("""COMPUTED_VALUE"""),0.0)</f>
        <v>0</v>
      </c>
      <c r="Y214" s="3">
        <f>IFERROR(__xludf.DUMMYFUNCTION("""COMPUTED_VALUE"""),0.0)</f>
        <v>0</v>
      </c>
      <c r="Z214" s="3">
        <f>IFERROR(__xludf.DUMMYFUNCTION("""COMPUTED_VALUE"""),0.0)</f>
        <v>0</v>
      </c>
      <c r="AA214" s="3">
        <f>IFERROR(__xludf.DUMMYFUNCTION("""COMPUTED_VALUE"""),0.0)</f>
        <v>0</v>
      </c>
      <c r="AB214" s="3">
        <f>IFERROR(__xludf.DUMMYFUNCTION("""COMPUTED_VALUE"""),0.0)</f>
        <v>0</v>
      </c>
      <c r="AC214" s="3">
        <f>IFERROR(__xludf.DUMMYFUNCTION("""COMPUTED_VALUE"""),0.0)</f>
        <v>0</v>
      </c>
      <c r="AD214" s="3">
        <f>IFERROR(__xludf.DUMMYFUNCTION("""COMPUTED_VALUE"""),0.0)</f>
        <v>0</v>
      </c>
      <c r="AE214" s="3">
        <f>IFERROR(__xludf.DUMMYFUNCTION("""COMPUTED_VALUE"""),0.0)</f>
        <v>0</v>
      </c>
      <c r="AF214" s="3">
        <f>IFERROR(__xludf.DUMMYFUNCTION("""COMPUTED_VALUE"""),0.0)</f>
        <v>0</v>
      </c>
      <c r="AG214" s="3">
        <f>IFERROR(__xludf.DUMMYFUNCTION("""COMPUTED_VALUE"""),0.0)</f>
        <v>0</v>
      </c>
      <c r="AH214" s="3">
        <f>IFERROR(__xludf.DUMMYFUNCTION("""COMPUTED_VALUE"""),0.0)</f>
        <v>0</v>
      </c>
      <c r="AI214" s="3">
        <f>IFERROR(__xludf.DUMMYFUNCTION("""COMPUTED_VALUE"""),0.0)</f>
        <v>0</v>
      </c>
      <c r="AJ214" s="3">
        <f>IFERROR(__xludf.DUMMYFUNCTION("""COMPUTED_VALUE"""),0.0)</f>
        <v>0</v>
      </c>
      <c r="AK214" s="3">
        <f>IFERROR(__xludf.DUMMYFUNCTION("""COMPUTED_VALUE"""),0.0)</f>
        <v>0</v>
      </c>
      <c r="AL214" s="3">
        <f>IFERROR(__xludf.DUMMYFUNCTION("""COMPUTED_VALUE"""),0.0)</f>
        <v>0</v>
      </c>
      <c r="AM214" s="3">
        <f>IFERROR(__xludf.DUMMYFUNCTION("""COMPUTED_VALUE"""),0.0)</f>
        <v>0</v>
      </c>
      <c r="AN214" s="3">
        <f>IFERROR(__xludf.DUMMYFUNCTION("""COMPUTED_VALUE"""),0.0)</f>
        <v>0</v>
      </c>
      <c r="AO214" s="3">
        <f>IFERROR(__xludf.DUMMYFUNCTION("""COMPUTED_VALUE"""),0.0)</f>
        <v>0</v>
      </c>
      <c r="AP214" s="3">
        <f>IFERROR(__xludf.DUMMYFUNCTION("""COMPUTED_VALUE"""),0.0)</f>
        <v>0</v>
      </c>
      <c r="AQ214" s="3">
        <f>IFERROR(__xludf.DUMMYFUNCTION("""COMPUTED_VALUE"""),0.0)</f>
        <v>0</v>
      </c>
      <c r="AR214" s="3">
        <f>IFERROR(__xludf.DUMMYFUNCTION("""COMPUTED_VALUE"""),0.0)</f>
        <v>0</v>
      </c>
      <c r="AS214" s="3">
        <f>IFERROR(__xludf.DUMMYFUNCTION("""COMPUTED_VALUE"""),0.0)</f>
        <v>0</v>
      </c>
      <c r="AT214" s="3">
        <f>IFERROR(__xludf.DUMMYFUNCTION("""COMPUTED_VALUE"""),0.0)</f>
        <v>0</v>
      </c>
      <c r="AU214" s="3">
        <f>IFERROR(__xludf.DUMMYFUNCTION("""COMPUTED_VALUE"""),0.0)</f>
        <v>0</v>
      </c>
      <c r="AV214" s="3">
        <f>IFERROR(__xludf.DUMMYFUNCTION("""COMPUTED_VALUE"""),0.0)</f>
        <v>0</v>
      </c>
      <c r="AW214" s="3">
        <f>IFERROR(__xludf.DUMMYFUNCTION("""COMPUTED_VALUE"""),0.0)</f>
        <v>0</v>
      </c>
      <c r="AX214" s="3">
        <f>IFERROR(__xludf.DUMMYFUNCTION("""COMPUTED_VALUE"""),0.0)</f>
        <v>0</v>
      </c>
      <c r="AY214" s="3">
        <f>IFERROR(__xludf.DUMMYFUNCTION("""COMPUTED_VALUE"""),0.0)</f>
        <v>0</v>
      </c>
      <c r="AZ214" s="3">
        <f>IFERROR(__xludf.DUMMYFUNCTION("""COMPUTED_VALUE"""),0.0)</f>
        <v>0</v>
      </c>
      <c r="BA214" s="3">
        <f>IFERROR(__xludf.DUMMYFUNCTION("""COMPUTED_VALUE"""),0.0)</f>
        <v>0</v>
      </c>
      <c r="BB214" s="3">
        <f>IFERROR(__xludf.DUMMYFUNCTION("""COMPUTED_VALUE"""),0.0)</f>
        <v>0</v>
      </c>
      <c r="BC214" s="3">
        <f>IFERROR(__xludf.DUMMYFUNCTION("""COMPUTED_VALUE"""),0.0)</f>
        <v>0</v>
      </c>
      <c r="BD214" s="3">
        <f>IFERROR(__xludf.DUMMYFUNCTION("""COMPUTED_VALUE"""),0.0)</f>
        <v>0</v>
      </c>
      <c r="BE214" s="3">
        <f>IFERROR(__xludf.DUMMYFUNCTION("""COMPUTED_VALUE"""),0.0)</f>
        <v>0</v>
      </c>
      <c r="BF214" s="3">
        <f>IFERROR(__xludf.DUMMYFUNCTION("""COMPUTED_VALUE"""),0.0)</f>
        <v>0</v>
      </c>
      <c r="BG214" s="3">
        <f>IFERROR(__xludf.DUMMYFUNCTION("""COMPUTED_VALUE"""),0.0)</f>
        <v>0</v>
      </c>
      <c r="BH214" s="3">
        <f>IFERROR(__xludf.DUMMYFUNCTION("""COMPUTED_VALUE"""),0.0)</f>
        <v>0</v>
      </c>
      <c r="BI214" s="3">
        <f>IFERROR(__xludf.DUMMYFUNCTION("""COMPUTED_VALUE"""),0.0)</f>
        <v>0</v>
      </c>
      <c r="BJ214" s="3">
        <f>IFERROR(__xludf.DUMMYFUNCTION("""COMPUTED_VALUE"""),0.0)</f>
        <v>0</v>
      </c>
      <c r="BK214" s="3">
        <f>IFERROR(__xludf.DUMMYFUNCTION("""COMPUTED_VALUE"""),0.0)</f>
        <v>0</v>
      </c>
      <c r="BL214" s="3">
        <f>IFERROR(__xludf.DUMMYFUNCTION("""COMPUTED_VALUE"""),0.0)</f>
        <v>0</v>
      </c>
      <c r="BM214" s="3">
        <f>IFERROR(__xludf.DUMMYFUNCTION("""COMPUTED_VALUE"""),1.0)</f>
        <v>1</v>
      </c>
      <c r="BN214" s="3">
        <f>IFERROR(__xludf.DUMMYFUNCTION("""COMPUTED_VALUE"""),1.0)</f>
        <v>1</v>
      </c>
      <c r="BO214" s="3">
        <f>IFERROR(__xludf.DUMMYFUNCTION("""COMPUTED_VALUE"""),1.0)</f>
        <v>1</v>
      </c>
      <c r="BP214" s="3">
        <f>IFERROR(__xludf.DUMMYFUNCTION("""COMPUTED_VALUE"""),2.0)</f>
        <v>2</v>
      </c>
      <c r="BQ214" s="3">
        <f>IFERROR(__xludf.DUMMYFUNCTION("""COMPUTED_VALUE"""),2.0)</f>
        <v>2</v>
      </c>
      <c r="BR214" s="3">
        <f>IFERROR(__xludf.DUMMYFUNCTION("""COMPUTED_VALUE"""),2.0)</f>
        <v>2</v>
      </c>
      <c r="BS214" s="3">
        <f>IFERROR(__xludf.DUMMYFUNCTION("""COMPUTED_VALUE"""),2.0)</f>
        <v>2</v>
      </c>
      <c r="BT214" s="3">
        <f>IFERROR(__xludf.DUMMYFUNCTION("""COMPUTED_VALUE"""),2.0)</f>
        <v>2</v>
      </c>
      <c r="BU214" s="3">
        <f>IFERROR(__xludf.DUMMYFUNCTION("""COMPUTED_VALUE"""),3.0)</f>
        <v>3</v>
      </c>
      <c r="BV214" s="3">
        <f>IFERROR(__xludf.DUMMYFUNCTION("""COMPUTED_VALUE"""),3.0)</f>
        <v>3</v>
      </c>
      <c r="BW214" s="3">
        <f>IFERROR(__xludf.DUMMYFUNCTION("""COMPUTED_VALUE"""),5.0)</f>
        <v>5</v>
      </c>
      <c r="BX214" s="3">
        <f>IFERROR(__xludf.DUMMYFUNCTION("""COMPUTED_VALUE"""),5.0)</f>
        <v>5</v>
      </c>
      <c r="BY214" s="3">
        <f>IFERROR(__xludf.DUMMYFUNCTION("""COMPUTED_VALUE"""),5.0)</f>
        <v>5</v>
      </c>
      <c r="BZ214" s="3">
        <f>IFERROR(__xludf.DUMMYFUNCTION("""COMPUTED_VALUE"""),5.0)</f>
        <v>5</v>
      </c>
      <c r="CA214" s="3">
        <f>IFERROR(__xludf.DUMMYFUNCTION("""COMPUTED_VALUE"""),5.0)</f>
        <v>5</v>
      </c>
      <c r="CB214" s="3">
        <f>IFERROR(__xludf.DUMMYFUNCTION("""COMPUTED_VALUE"""),5.0)</f>
        <v>5</v>
      </c>
    </row>
    <row r="215">
      <c r="A215" s="3" t="str">
        <f>IFERROR(__xludf.DUMMYFUNCTION("""COMPUTED_VALUE"""),"")</f>
        <v/>
      </c>
      <c r="B215" s="3" t="str">
        <f>IFERROR(__xludf.DUMMYFUNCTION("""COMPUTED_VALUE"""),"Turkey")</f>
        <v>Turkey</v>
      </c>
      <c r="C215" s="3">
        <f>IFERROR(__xludf.DUMMYFUNCTION("""COMPUTED_VALUE"""),38.9637)</f>
        <v>38.9637</v>
      </c>
      <c r="D215" s="3">
        <f>IFERROR(__xludf.DUMMYFUNCTION("""COMPUTED_VALUE"""),35.2433)</f>
        <v>35.2433</v>
      </c>
      <c r="E215" s="3">
        <f>IFERROR(__xludf.DUMMYFUNCTION("""COMPUTED_VALUE"""),0.0)</f>
        <v>0</v>
      </c>
      <c r="F215" s="3">
        <f>IFERROR(__xludf.DUMMYFUNCTION("""COMPUTED_VALUE"""),0.0)</f>
        <v>0</v>
      </c>
      <c r="G215" s="3">
        <f>IFERROR(__xludf.DUMMYFUNCTION("""COMPUTED_VALUE"""),0.0)</f>
        <v>0</v>
      </c>
      <c r="H215" s="3">
        <f>IFERROR(__xludf.DUMMYFUNCTION("""COMPUTED_VALUE"""),0.0)</f>
        <v>0</v>
      </c>
      <c r="I215" s="3">
        <f>IFERROR(__xludf.DUMMYFUNCTION("""COMPUTED_VALUE"""),0.0)</f>
        <v>0</v>
      </c>
      <c r="J215" s="3">
        <f>IFERROR(__xludf.DUMMYFUNCTION("""COMPUTED_VALUE"""),0.0)</f>
        <v>0</v>
      </c>
      <c r="K215" s="3">
        <f>IFERROR(__xludf.DUMMYFUNCTION("""COMPUTED_VALUE"""),0.0)</f>
        <v>0</v>
      </c>
      <c r="L215" s="3">
        <f>IFERROR(__xludf.DUMMYFUNCTION("""COMPUTED_VALUE"""),0.0)</f>
        <v>0</v>
      </c>
      <c r="M215" s="3">
        <f>IFERROR(__xludf.DUMMYFUNCTION("""COMPUTED_VALUE"""),0.0)</f>
        <v>0</v>
      </c>
      <c r="N215" s="3">
        <f>IFERROR(__xludf.DUMMYFUNCTION("""COMPUTED_VALUE"""),0.0)</f>
        <v>0</v>
      </c>
      <c r="O215" s="3">
        <f>IFERROR(__xludf.DUMMYFUNCTION("""COMPUTED_VALUE"""),0.0)</f>
        <v>0</v>
      </c>
      <c r="P215" s="3">
        <f>IFERROR(__xludf.DUMMYFUNCTION("""COMPUTED_VALUE"""),0.0)</f>
        <v>0</v>
      </c>
      <c r="Q215" s="3">
        <f>IFERROR(__xludf.DUMMYFUNCTION("""COMPUTED_VALUE"""),0.0)</f>
        <v>0</v>
      </c>
      <c r="R215" s="3">
        <f>IFERROR(__xludf.DUMMYFUNCTION("""COMPUTED_VALUE"""),0.0)</f>
        <v>0</v>
      </c>
      <c r="S215" s="3">
        <f>IFERROR(__xludf.DUMMYFUNCTION("""COMPUTED_VALUE"""),0.0)</f>
        <v>0</v>
      </c>
      <c r="T215" s="3">
        <f>IFERROR(__xludf.DUMMYFUNCTION("""COMPUTED_VALUE"""),0.0)</f>
        <v>0</v>
      </c>
      <c r="U215" s="3">
        <f>IFERROR(__xludf.DUMMYFUNCTION("""COMPUTED_VALUE"""),0.0)</f>
        <v>0</v>
      </c>
      <c r="V215" s="3">
        <f>IFERROR(__xludf.DUMMYFUNCTION("""COMPUTED_VALUE"""),0.0)</f>
        <v>0</v>
      </c>
      <c r="W215" s="3">
        <f>IFERROR(__xludf.DUMMYFUNCTION("""COMPUTED_VALUE"""),0.0)</f>
        <v>0</v>
      </c>
      <c r="X215" s="3">
        <f>IFERROR(__xludf.DUMMYFUNCTION("""COMPUTED_VALUE"""),0.0)</f>
        <v>0</v>
      </c>
      <c r="Y215" s="3">
        <f>IFERROR(__xludf.DUMMYFUNCTION("""COMPUTED_VALUE"""),0.0)</f>
        <v>0</v>
      </c>
      <c r="Z215" s="3">
        <f>IFERROR(__xludf.DUMMYFUNCTION("""COMPUTED_VALUE"""),0.0)</f>
        <v>0</v>
      </c>
      <c r="AA215" s="3">
        <f>IFERROR(__xludf.DUMMYFUNCTION("""COMPUTED_VALUE"""),0.0)</f>
        <v>0</v>
      </c>
      <c r="AB215" s="3">
        <f>IFERROR(__xludf.DUMMYFUNCTION("""COMPUTED_VALUE"""),0.0)</f>
        <v>0</v>
      </c>
      <c r="AC215" s="3">
        <f>IFERROR(__xludf.DUMMYFUNCTION("""COMPUTED_VALUE"""),0.0)</f>
        <v>0</v>
      </c>
      <c r="AD215" s="3">
        <f>IFERROR(__xludf.DUMMYFUNCTION("""COMPUTED_VALUE"""),0.0)</f>
        <v>0</v>
      </c>
      <c r="AE215" s="3">
        <f>IFERROR(__xludf.DUMMYFUNCTION("""COMPUTED_VALUE"""),0.0)</f>
        <v>0</v>
      </c>
      <c r="AF215" s="3">
        <f>IFERROR(__xludf.DUMMYFUNCTION("""COMPUTED_VALUE"""),0.0)</f>
        <v>0</v>
      </c>
      <c r="AG215" s="3">
        <f>IFERROR(__xludf.DUMMYFUNCTION("""COMPUTED_VALUE"""),0.0)</f>
        <v>0</v>
      </c>
      <c r="AH215" s="3">
        <f>IFERROR(__xludf.DUMMYFUNCTION("""COMPUTED_VALUE"""),0.0)</f>
        <v>0</v>
      </c>
      <c r="AI215" s="3">
        <f>IFERROR(__xludf.DUMMYFUNCTION("""COMPUTED_VALUE"""),0.0)</f>
        <v>0</v>
      </c>
      <c r="AJ215" s="3">
        <f>IFERROR(__xludf.DUMMYFUNCTION("""COMPUTED_VALUE"""),0.0)</f>
        <v>0</v>
      </c>
      <c r="AK215" s="3">
        <f>IFERROR(__xludf.DUMMYFUNCTION("""COMPUTED_VALUE"""),0.0)</f>
        <v>0</v>
      </c>
      <c r="AL215" s="3">
        <f>IFERROR(__xludf.DUMMYFUNCTION("""COMPUTED_VALUE"""),0.0)</f>
        <v>0</v>
      </c>
      <c r="AM215" s="3">
        <f>IFERROR(__xludf.DUMMYFUNCTION("""COMPUTED_VALUE"""),0.0)</f>
        <v>0</v>
      </c>
      <c r="AN215" s="3">
        <f>IFERROR(__xludf.DUMMYFUNCTION("""COMPUTED_VALUE"""),0.0)</f>
        <v>0</v>
      </c>
      <c r="AO215" s="3">
        <f>IFERROR(__xludf.DUMMYFUNCTION("""COMPUTED_VALUE"""),0.0)</f>
        <v>0</v>
      </c>
      <c r="AP215" s="3">
        <f>IFERROR(__xludf.DUMMYFUNCTION("""COMPUTED_VALUE"""),0.0)</f>
        <v>0</v>
      </c>
      <c r="AQ215" s="3">
        <f>IFERROR(__xludf.DUMMYFUNCTION("""COMPUTED_VALUE"""),0.0)</f>
        <v>0</v>
      </c>
      <c r="AR215" s="3">
        <f>IFERROR(__xludf.DUMMYFUNCTION("""COMPUTED_VALUE"""),0.0)</f>
        <v>0</v>
      </c>
      <c r="AS215" s="3">
        <f>IFERROR(__xludf.DUMMYFUNCTION("""COMPUTED_VALUE"""),0.0)</f>
        <v>0</v>
      </c>
      <c r="AT215" s="3">
        <f>IFERROR(__xludf.DUMMYFUNCTION("""COMPUTED_VALUE"""),0.0)</f>
        <v>0</v>
      </c>
      <c r="AU215" s="3">
        <f>IFERROR(__xludf.DUMMYFUNCTION("""COMPUTED_VALUE"""),0.0)</f>
        <v>0</v>
      </c>
      <c r="AV215" s="3">
        <f>IFERROR(__xludf.DUMMYFUNCTION("""COMPUTED_VALUE"""),0.0)</f>
        <v>0</v>
      </c>
      <c r="AW215" s="3">
        <f>IFERROR(__xludf.DUMMYFUNCTION("""COMPUTED_VALUE"""),0.0)</f>
        <v>0</v>
      </c>
      <c r="AX215" s="3">
        <f>IFERROR(__xludf.DUMMYFUNCTION("""COMPUTED_VALUE"""),0.0)</f>
        <v>0</v>
      </c>
      <c r="AY215" s="3">
        <f>IFERROR(__xludf.DUMMYFUNCTION("""COMPUTED_VALUE"""),0.0)</f>
        <v>0</v>
      </c>
      <c r="AZ215" s="3">
        <f>IFERROR(__xludf.DUMMYFUNCTION("""COMPUTED_VALUE"""),0.0)</f>
        <v>0</v>
      </c>
      <c r="BA215" s="3">
        <f>IFERROR(__xludf.DUMMYFUNCTION("""COMPUTED_VALUE"""),0.0)</f>
        <v>0</v>
      </c>
      <c r="BB215" s="3">
        <f>IFERROR(__xludf.DUMMYFUNCTION("""COMPUTED_VALUE"""),0.0)</f>
        <v>0</v>
      </c>
      <c r="BC215" s="3">
        <f>IFERROR(__xludf.DUMMYFUNCTION("""COMPUTED_VALUE"""),0.0)</f>
        <v>0</v>
      </c>
      <c r="BD215" s="3">
        <f>IFERROR(__xludf.DUMMYFUNCTION("""COMPUTED_VALUE"""),0.0)</f>
        <v>0</v>
      </c>
      <c r="BE215" s="3">
        <f>IFERROR(__xludf.DUMMYFUNCTION("""COMPUTED_VALUE"""),0.0)</f>
        <v>0</v>
      </c>
      <c r="BF215" s="3">
        <f>IFERROR(__xludf.DUMMYFUNCTION("""COMPUTED_VALUE"""),0.0)</f>
        <v>0</v>
      </c>
      <c r="BG215" s="3">
        <f>IFERROR(__xludf.DUMMYFUNCTION("""COMPUTED_VALUE"""),0.0)</f>
        <v>0</v>
      </c>
      <c r="BH215" s="3">
        <f>IFERROR(__xludf.DUMMYFUNCTION("""COMPUTED_VALUE"""),0.0)</f>
        <v>0</v>
      </c>
      <c r="BI215" s="3">
        <f>IFERROR(__xludf.DUMMYFUNCTION("""COMPUTED_VALUE"""),0.0)</f>
        <v>0</v>
      </c>
      <c r="BJ215" s="3">
        <f>IFERROR(__xludf.DUMMYFUNCTION("""COMPUTED_VALUE"""),0.0)</f>
        <v>0</v>
      </c>
      <c r="BK215" s="3">
        <f>IFERROR(__xludf.DUMMYFUNCTION("""COMPUTED_VALUE"""),0.0)</f>
        <v>0</v>
      </c>
      <c r="BL215" s="3">
        <f>IFERROR(__xludf.DUMMYFUNCTION("""COMPUTED_VALUE"""),0.0)</f>
        <v>0</v>
      </c>
      <c r="BM215" s="3">
        <f>IFERROR(__xludf.DUMMYFUNCTION("""COMPUTED_VALUE"""),0.0)</f>
        <v>0</v>
      </c>
      <c r="BN215" s="3">
        <f>IFERROR(__xludf.DUMMYFUNCTION("""COMPUTED_VALUE"""),0.0)</f>
        <v>0</v>
      </c>
      <c r="BO215" s="3">
        <f>IFERROR(__xludf.DUMMYFUNCTION("""COMPUTED_VALUE"""),0.0)</f>
        <v>0</v>
      </c>
      <c r="BP215" s="3">
        <f>IFERROR(__xludf.DUMMYFUNCTION("""COMPUTED_VALUE"""),26.0)</f>
        <v>26</v>
      </c>
      <c r="BQ215" s="3">
        <f>IFERROR(__xludf.DUMMYFUNCTION("""COMPUTED_VALUE"""),26.0)</f>
        <v>26</v>
      </c>
      <c r="BR215" s="3">
        <f>IFERROR(__xludf.DUMMYFUNCTION("""COMPUTED_VALUE"""),42.0)</f>
        <v>42</v>
      </c>
      <c r="BS215" s="3">
        <f>IFERROR(__xludf.DUMMYFUNCTION("""COMPUTED_VALUE"""),70.0)</f>
        <v>70</v>
      </c>
      <c r="BT215" s="3">
        <f>IFERROR(__xludf.DUMMYFUNCTION("""COMPUTED_VALUE"""),105.0)</f>
        <v>105</v>
      </c>
      <c r="BU215" s="3">
        <f>IFERROR(__xludf.DUMMYFUNCTION("""COMPUTED_VALUE"""),162.0)</f>
        <v>162</v>
      </c>
      <c r="BV215" s="3">
        <f>IFERROR(__xludf.DUMMYFUNCTION("""COMPUTED_VALUE"""),243.0)</f>
        <v>243</v>
      </c>
      <c r="BW215" s="3">
        <f>IFERROR(__xludf.DUMMYFUNCTION("""COMPUTED_VALUE"""),333.0)</f>
        <v>333</v>
      </c>
      <c r="BX215" s="3">
        <f>IFERROR(__xludf.DUMMYFUNCTION("""COMPUTED_VALUE"""),415.0)</f>
        <v>415</v>
      </c>
      <c r="BY215" s="3">
        <f>IFERROR(__xludf.DUMMYFUNCTION("""COMPUTED_VALUE"""),484.0)</f>
        <v>484</v>
      </c>
      <c r="BZ215" s="3">
        <f>IFERROR(__xludf.DUMMYFUNCTION("""COMPUTED_VALUE"""),786.0)</f>
        <v>786</v>
      </c>
      <c r="CA215" s="3">
        <f>IFERROR(__xludf.DUMMYFUNCTION("""COMPUTED_VALUE"""),1042.0)</f>
        <v>1042</v>
      </c>
      <c r="CB215" s="3">
        <f>IFERROR(__xludf.DUMMYFUNCTION("""COMPUTED_VALUE"""),1326.0)</f>
        <v>1326</v>
      </c>
    </row>
    <row r="216">
      <c r="A216" s="3" t="str">
        <f>IFERROR(__xludf.DUMMYFUNCTION("""COMPUTED_VALUE"""),"")</f>
        <v/>
      </c>
      <c r="B216" s="3" t="str">
        <f>IFERROR(__xludf.DUMMYFUNCTION("""COMPUTED_VALUE"""),"Uganda")</f>
        <v>Uganda</v>
      </c>
      <c r="C216" s="3">
        <f>IFERROR(__xludf.DUMMYFUNCTION("""COMPUTED_VALUE"""),1.0)</f>
        <v>1</v>
      </c>
      <c r="D216" s="3">
        <f>IFERROR(__xludf.DUMMYFUNCTION("""COMPUTED_VALUE"""),32.0)</f>
        <v>32</v>
      </c>
      <c r="E216" s="3">
        <f>IFERROR(__xludf.DUMMYFUNCTION("""COMPUTED_VALUE"""),0.0)</f>
        <v>0</v>
      </c>
      <c r="F216" s="3">
        <f>IFERROR(__xludf.DUMMYFUNCTION("""COMPUTED_VALUE"""),0.0)</f>
        <v>0</v>
      </c>
      <c r="G216" s="3">
        <f>IFERROR(__xludf.DUMMYFUNCTION("""COMPUTED_VALUE"""),0.0)</f>
        <v>0</v>
      </c>
      <c r="H216" s="3">
        <f>IFERROR(__xludf.DUMMYFUNCTION("""COMPUTED_VALUE"""),0.0)</f>
        <v>0</v>
      </c>
      <c r="I216" s="3">
        <f>IFERROR(__xludf.DUMMYFUNCTION("""COMPUTED_VALUE"""),0.0)</f>
        <v>0</v>
      </c>
      <c r="J216" s="3">
        <f>IFERROR(__xludf.DUMMYFUNCTION("""COMPUTED_VALUE"""),0.0)</f>
        <v>0</v>
      </c>
      <c r="K216" s="3">
        <f>IFERROR(__xludf.DUMMYFUNCTION("""COMPUTED_VALUE"""),0.0)</f>
        <v>0</v>
      </c>
      <c r="L216" s="3">
        <f>IFERROR(__xludf.DUMMYFUNCTION("""COMPUTED_VALUE"""),0.0)</f>
        <v>0</v>
      </c>
      <c r="M216" s="3">
        <f>IFERROR(__xludf.DUMMYFUNCTION("""COMPUTED_VALUE"""),0.0)</f>
        <v>0</v>
      </c>
      <c r="N216" s="3">
        <f>IFERROR(__xludf.DUMMYFUNCTION("""COMPUTED_VALUE"""),0.0)</f>
        <v>0</v>
      </c>
      <c r="O216" s="3">
        <f>IFERROR(__xludf.DUMMYFUNCTION("""COMPUTED_VALUE"""),0.0)</f>
        <v>0</v>
      </c>
      <c r="P216" s="3">
        <f>IFERROR(__xludf.DUMMYFUNCTION("""COMPUTED_VALUE"""),0.0)</f>
        <v>0</v>
      </c>
      <c r="Q216" s="3">
        <f>IFERROR(__xludf.DUMMYFUNCTION("""COMPUTED_VALUE"""),0.0)</f>
        <v>0</v>
      </c>
      <c r="R216" s="3">
        <f>IFERROR(__xludf.DUMMYFUNCTION("""COMPUTED_VALUE"""),0.0)</f>
        <v>0</v>
      </c>
      <c r="S216" s="3">
        <f>IFERROR(__xludf.DUMMYFUNCTION("""COMPUTED_VALUE"""),0.0)</f>
        <v>0</v>
      </c>
      <c r="T216" s="3">
        <f>IFERROR(__xludf.DUMMYFUNCTION("""COMPUTED_VALUE"""),0.0)</f>
        <v>0</v>
      </c>
      <c r="U216" s="3">
        <f>IFERROR(__xludf.DUMMYFUNCTION("""COMPUTED_VALUE"""),0.0)</f>
        <v>0</v>
      </c>
      <c r="V216" s="3">
        <f>IFERROR(__xludf.DUMMYFUNCTION("""COMPUTED_VALUE"""),0.0)</f>
        <v>0</v>
      </c>
      <c r="W216" s="3">
        <f>IFERROR(__xludf.DUMMYFUNCTION("""COMPUTED_VALUE"""),0.0)</f>
        <v>0</v>
      </c>
      <c r="X216" s="3">
        <f>IFERROR(__xludf.DUMMYFUNCTION("""COMPUTED_VALUE"""),0.0)</f>
        <v>0</v>
      </c>
      <c r="Y216" s="3">
        <f>IFERROR(__xludf.DUMMYFUNCTION("""COMPUTED_VALUE"""),0.0)</f>
        <v>0</v>
      </c>
      <c r="Z216" s="3">
        <f>IFERROR(__xludf.DUMMYFUNCTION("""COMPUTED_VALUE"""),0.0)</f>
        <v>0</v>
      </c>
      <c r="AA216" s="3">
        <f>IFERROR(__xludf.DUMMYFUNCTION("""COMPUTED_VALUE"""),0.0)</f>
        <v>0</v>
      </c>
      <c r="AB216" s="3">
        <f>IFERROR(__xludf.DUMMYFUNCTION("""COMPUTED_VALUE"""),0.0)</f>
        <v>0</v>
      </c>
      <c r="AC216" s="3">
        <f>IFERROR(__xludf.DUMMYFUNCTION("""COMPUTED_VALUE"""),0.0)</f>
        <v>0</v>
      </c>
      <c r="AD216" s="3">
        <f>IFERROR(__xludf.DUMMYFUNCTION("""COMPUTED_VALUE"""),0.0)</f>
        <v>0</v>
      </c>
      <c r="AE216" s="3">
        <f>IFERROR(__xludf.DUMMYFUNCTION("""COMPUTED_VALUE"""),0.0)</f>
        <v>0</v>
      </c>
      <c r="AF216" s="3">
        <f>IFERROR(__xludf.DUMMYFUNCTION("""COMPUTED_VALUE"""),0.0)</f>
        <v>0</v>
      </c>
      <c r="AG216" s="3">
        <f>IFERROR(__xludf.DUMMYFUNCTION("""COMPUTED_VALUE"""),0.0)</f>
        <v>0</v>
      </c>
      <c r="AH216" s="3">
        <f>IFERROR(__xludf.DUMMYFUNCTION("""COMPUTED_VALUE"""),0.0)</f>
        <v>0</v>
      </c>
      <c r="AI216" s="3">
        <f>IFERROR(__xludf.DUMMYFUNCTION("""COMPUTED_VALUE"""),0.0)</f>
        <v>0</v>
      </c>
      <c r="AJ216" s="3">
        <f>IFERROR(__xludf.DUMMYFUNCTION("""COMPUTED_VALUE"""),0.0)</f>
        <v>0</v>
      </c>
      <c r="AK216" s="3">
        <f>IFERROR(__xludf.DUMMYFUNCTION("""COMPUTED_VALUE"""),0.0)</f>
        <v>0</v>
      </c>
      <c r="AL216" s="3">
        <f>IFERROR(__xludf.DUMMYFUNCTION("""COMPUTED_VALUE"""),0.0)</f>
        <v>0</v>
      </c>
      <c r="AM216" s="3">
        <f>IFERROR(__xludf.DUMMYFUNCTION("""COMPUTED_VALUE"""),0.0)</f>
        <v>0</v>
      </c>
      <c r="AN216" s="3">
        <f>IFERROR(__xludf.DUMMYFUNCTION("""COMPUTED_VALUE"""),0.0)</f>
        <v>0</v>
      </c>
      <c r="AO216" s="3">
        <f>IFERROR(__xludf.DUMMYFUNCTION("""COMPUTED_VALUE"""),0.0)</f>
        <v>0</v>
      </c>
      <c r="AP216" s="3">
        <f>IFERROR(__xludf.DUMMYFUNCTION("""COMPUTED_VALUE"""),0.0)</f>
        <v>0</v>
      </c>
      <c r="AQ216" s="3">
        <f>IFERROR(__xludf.DUMMYFUNCTION("""COMPUTED_VALUE"""),0.0)</f>
        <v>0</v>
      </c>
      <c r="AR216" s="3">
        <f>IFERROR(__xludf.DUMMYFUNCTION("""COMPUTED_VALUE"""),0.0)</f>
        <v>0</v>
      </c>
      <c r="AS216" s="3">
        <f>IFERROR(__xludf.DUMMYFUNCTION("""COMPUTED_VALUE"""),0.0)</f>
        <v>0</v>
      </c>
      <c r="AT216" s="3">
        <f>IFERROR(__xludf.DUMMYFUNCTION("""COMPUTED_VALUE"""),0.0)</f>
        <v>0</v>
      </c>
      <c r="AU216" s="3">
        <f>IFERROR(__xludf.DUMMYFUNCTION("""COMPUTED_VALUE"""),0.0)</f>
        <v>0</v>
      </c>
      <c r="AV216" s="3">
        <f>IFERROR(__xludf.DUMMYFUNCTION("""COMPUTED_VALUE"""),0.0)</f>
        <v>0</v>
      </c>
      <c r="AW216" s="3">
        <f>IFERROR(__xludf.DUMMYFUNCTION("""COMPUTED_VALUE"""),0.0)</f>
        <v>0</v>
      </c>
      <c r="AX216" s="3">
        <f>IFERROR(__xludf.DUMMYFUNCTION("""COMPUTED_VALUE"""),0.0)</f>
        <v>0</v>
      </c>
      <c r="AY216" s="3">
        <f>IFERROR(__xludf.DUMMYFUNCTION("""COMPUTED_VALUE"""),0.0)</f>
        <v>0</v>
      </c>
      <c r="AZ216" s="3">
        <f>IFERROR(__xludf.DUMMYFUNCTION("""COMPUTED_VALUE"""),0.0)</f>
        <v>0</v>
      </c>
      <c r="BA216" s="3">
        <f>IFERROR(__xludf.DUMMYFUNCTION("""COMPUTED_VALUE"""),0.0)</f>
        <v>0</v>
      </c>
      <c r="BB216" s="3">
        <f>IFERROR(__xludf.DUMMYFUNCTION("""COMPUTED_VALUE"""),0.0)</f>
        <v>0</v>
      </c>
      <c r="BC216" s="3">
        <f>IFERROR(__xludf.DUMMYFUNCTION("""COMPUTED_VALUE"""),0.0)</f>
        <v>0</v>
      </c>
      <c r="BD216" s="3">
        <f>IFERROR(__xludf.DUMMYFUNCTION("""COMPUTED_VALUE"""),0.0)</f>
        <v>0</v>
      </c>
      <c r="BE216" s="3">
        <f>IFERROR(__xludf.DUMMYFUNCTION("""COMPUTED_VALUE"""),0.0)</f>
        <v>0</v>
      </c>
      <c r="BF216" s="3">
        <f>IFERROR(__xludf.DUMMYFUNCTION("""COMPUTED_VALUE"""),0.0)</f>
        <v>0</v>
      </c>
      <c r="BG216" s="3">
        <f>IFERROR(__xludf.DUMMYFUNCTION("""COMPUTED_VALUE"""),0.0)</f>
        <v>0</v>
      </c>
      <c r="BH216" s="3">
        <f>IFERROR(__xludf.DUMMYFUNCTION("""COMPUTED_VALUE"""),0.0)</f>
        <v>0</v>
      </c>
      <c r="BI216" s="3">
        <f>IFERROR(__xludf.DUMMYFUNCTION("""COMPUTED_VALUE"""),0.0)</f>
        <v>0</v>
      </c>
      <c r="BJ216" s="3">
        <f>IFERROR(__xludf.DUMMYFUNCTION("""COMPUTED_VALUE"""),0.0)</f>
        <v>0</v>
      </c>
      <c r="BK216" s="3">
        <f>IFERROR(__xludf.DUMMYFUNCTION("""COMPUTED_VALUE"""),0.0)</f>
        <v>0</v>
      </c>
      <c r="BL216" s="3">
        <f>IFERROR(__xludf.DUMMYFUNCTION("""COMPUTED_VALUE"""),0.0)</f>
        <v>0</v>
      </c>
      <c r="BM216" s="3">
        <f>IFERROR(__xludf.DUMMYFUNCTION("""COMPUTED_VALUE"""),0.0)</f>
        <v>0</v>
      </c>
      <c r="BN216" s="3">
        <f>IFERROR(__xludf.DUMMYFUNCTION("""COMPUTED_VALUE"""),0.0)</f>
        <v>0</v>
      </c>
      <c r="BO216" s="3">
        <f>IFERROR(__xludf.DUMMYFUNCTION("""COMPUTED_VALUE"""),0.0)</f>
        <v>0</v>
      </c>
      <c r="BP216" s="3">
        <f>IFERROR(__xludf.DUMMYFUNCTION("""COMPUTED_VALUE"""),0.0)</f>
        <v>0</v>
      </c>
      <c r="BQ216" s="3">
        <f>IFERROR(__xludf.DUMMYFUNCTION("""COMPUTED_VALUE"""),0.0)</f>
        <v>0</v>
      </c>
      <c r="BR216" s="3">
        <f>IFERROR(__xludf.DUMMYFUNCTION("""COMPUTED_VALUE"""),0.0)</f>
        <v>0</v>
      </c>
      <c r="BS216" s="3">
        <f>IFERROR(__xludf.DUMMYFUNCTION("""COMPUTED_VALUE"""),0.0)</f>
        <v>0</v>
      </c>
      <c r="BT216" s="3">
        <f>IFERROR(__xludf.DUMMYFUNCTION("""COMPUTED_VALUE"""),0.0)</f>
        <v>0</v>
      </c>
      <c r="BU216" s="3">
        <f>IFERROR(__xludf.DUMMYFUNCTION("""COMPUTED_VALUE"""),0.0)</f>
        <v>0</v>
      </c>
      <c r="BV216" s="3">
        <f>IFERROR(__xludf.DUMMYFUNCTION("""COMPUTED_VALUE"""),0.0)</f>
        <v>0</v>
      </c>
      <c r="BW216" s="3">
        <f>IFERROR(__xludf.DUMMYFUNCTION("""COMPUTED_VALUE"""),0.0)</f>
        <v>0</v>
      </c>
      <c r="BX216" s="3">
        <f>IFERROR(__xludf.DUMMYFUNCTION("""COMPUTED_VALUE"""),0.0)</f>
        <v>0</v>
      </c>
      <c r="BY216" s="3">
        <f>IFERROR(__xludf.DUMMYFUNCTION("""COMPUTED_VALUE"""),0.0)</f>
        <v>0</v>
      </c>
      <c r="BZ216" s="3">
        <f>IFERROR(__xludf.DUMMYFUNCTION("""COMPUTED_VALUE"""),0.0)</f>
        <v>0</v>
      </c>
      <c r="CA216" s="3">
        <f>IFERROR(__xludf.DUMMYFUNCTION("""COMPUTED_VALUE"""),0.0)</f>
        <v>0</v>
      </c>
      <c r="CB216" s="3">
        <f>IFERROR(__xludf.DUMMYFUNCTION("""COMPUTED_VALUE"""),0.0)</f>
        <v>0</v>
      </c>
    </row>
    <row r="217">
      <c r="A217" s="3" t="str">
        <f>IFERROR(__xludf.DUMMYFUNCTION("""COMPUTED_VALUE"""),"")</f>
        <v/>
      </c>
      <c r="B217" s="3" t="str">
        <f>IFERROR(__xludf.DUMMYFUNCTION("""COMPUTED_VALUE"""),"Ukraine")</f>
        <v>Ukraine</v>
      </c>
      <c r="C217" s="3">
        <f>IFERROR(__xludf.DUMMYFUNCTION("""COMPUTED_VALUE"""),48.3794)</f>
        <v>48.3794</v>
      </c>
      <c r="D217" s="3">
        <f>IFERROR(__xludf.DUMMYFUNCTION("""COMPUTED_VALUE"""),31.1656)</f>
        <v>31.1656</v>
      </c>
      <c r="E217" s="3">
        <f>IFERROR(__xludf.DUMMYFUNCTION("""COMPUTED_VALUE"""),0.0)</f>
        <v>0</v>
      </c>
      <c r="F217" s="3">
        <f>IFERROR(__xludf.DUMMYFUNCTION("""COMPUTED_VALUE"""),0.0)</f>
        <v>0</v>
      </c>
      <c r="G217" s="3">
        <f>IFERROR(__xludf.DUMMYFUNCTION("""COMPUTED_VALUE"""),0.0)</f>
        <v>0</v>
      </c>
      <c r="H217" s="3">
        <f>IFERROR(__xludf.DUMMYFUNCTION("""COMPUTED_VALUE"""),0.0)</f>
        <v>0</v>
      </c>
      <c r="I217" s="3">
        <f>IFERROR(__xludf.DUMMYFUNCTION("""COMPUTED_VALUE"""),0.0)</f>
        <v>0</v>
      </c>
      <c r="J217" s="3">
        <f>IFERROR(__xludf.DUMMYFUNCTION("""COMPUTED_VALUE"""),0.0)</f>
        <v>0</v>
      </c>
      <c r="K217" s="3">
        <f>IFERROR(__xludf.DUMMYFUNCTION("""COMPUTED_VALUE"""),0.0)</f>
        <v>0</v>
      </c>
      <c r="L217" s="3">
        <f>IFERROR(__xludf.DUMMYFUNCTION("""COMPUTED_VALUE"""),0.0)</f>
        <v>0</v>
      </c>
      <c r="M217" s="3">
        <f>IFERROR(__xludf.DUMMYFUNCTION("""COMPUTED_VALUE"""),0.0)</f>
        <v>0</v>
      </c>
      <c r="N217" s="3">
        <f>IFERROR(__xludf.DUMMYFUNCTION("""COMPUTED_VALUE"""),0.0)</f>
        <v>0</v>
      </c>
      <c r="O217" s="3">
        <f>IFERROR(__xludf.DUMMYFUNCTION("""COMPUTED_VALUE"""),0.0)</f>
        <v>0</v>
      </c>
      <c r="P217" s="3">
        <f>IFERROR(__xludf.DUMMYFUNCTION("""COMPUTED_VALUE"""),0.0)</f>
        <v>0</v>
      </c>
      <c r="Q217" s="3">
        <f>IFERROR(__xludf.DUMMYFUNCTION("""COMPUTED_VALUE"""),0.0)</f>
        <v>0</v>
      </c>
      <c r="R217" s="3">
        <f>IFERROR(__xludf.DUMMYFUNCTION("""COMPUTED_VALUE"""),0.0)</f>
        <v>0</v>
      </c>
      <c r="S217" s="3">
        <f>IFERROR(__xludf.DUMMYFUNCTION("""COMPUTED_VALUE"""),0.0)</f>
        <v>0</v>
      </c>
      <c r="T217" s="3">
        <f>IFERROR(__xludf.DUMMYFUNCTION("""COMPUTED_VALUE"""),0.0)</f>
        <v>0</v>
      </c>
      <c r="U217" s="3">
        <f>IFERROR(__xludf.DUMMYFUNCTION("""COMPUTED_VALUE"""),0.0)</f>
        <v>0</v>
      </c>
      <c r="V217" s="3">
        <f>IFERROR(__xludf.DUMMYFUNCTION("""COMPUTED_VALUE"""),0.0)</f>
        <v>0</v>
      </c>
      <c r="W217" s="3">
        <f>IFERROR(__xludf.DUMMYFUNCTION("""COMPUTED_VALUE"""),0.0)</f>
        <v>0</v>
      </c>
      <c r="X217" s="3">
        <f>IFERROR(__xludf.DUMMYFUNCTION("""COMPUTED_VALUE"""),0.0)</f>
        <v>0</v>
      </c>
      <c r="Y217" s="3">
        <f>IFERROR(__xludf.DUMMYFUNCTION("""COMPUTED_VALUE"""),0.0)</f>
        <v>0</v>
      </c>
      <c r="Z217" s="3">
        <f>IFERROR(__xludf.DUMMYFUNCTION("""COMPUTED_VALUE"""),0.0)</f>
        <v>0</v>
      </c>
      <c r="AA217" s="3">
        <f>IFERROR(__xludf.DUMMYFUNCTION("""COMPUTED_VALUE"""),0.0)</f>
        <v>0</v>
      </c>
      <c r="AB217" s="3">
        <f>IFERROR(__xludf.DUMMYFUNCTION("""COMPUTED_VALUE"""),0.0)</f>
        <v>0</v>
      </c>
      <c r="AC217" s="3">
        <f>IFERROR(__xludf.DUMMYFUNCTION("""COMPUTED_VALUE"""),0.0)</f>
        <v>0</v>
      </c>
      <c r="AD217" s="3">
        <f>IFERROR(__xludf.DUMMYFUNCTION("""COMPUTED_VALUE"""),0.0)</f>
        <v>0</v>
      </c>
      <c r="AE217" s="3">
        <f>IFERROR(__xludf.DUMMYFUNCTION("""COMPUTED_VALUE"""),0.0)</f>
        <v>0</v>
      </c>
      <c r="AF217" s="3">
        <f>IFERROR(__xludf.DUMMYFUNCTION("""COMPUTED_VALUE"""),0.0)</f>
        <v>0</v>
      </c>
      <c r="AG217" s="3">
        <f>IFERROR(__xludf.DUMMYFUNCTION("""COMPUTED_VALUE"""),0.0)</f>
        <v>0</v>
      </c>
      <c r="AH217" s="3">
        <f>IFERROR(__xludf.DUMMYFUNCTION("""COMPUTED_VALUE"""),0.0)</f>
        <v>0</v>
      </c>
      <c r="AI217" s="3">
        <f>IFERROR(__xludf.DUMMYFUNCTION("""COMPUTED_VALUE"""),0.0)</f>
        <v>0</v>
      </c>
      <c r="AJ217" s="3">
        <f>IFERROR(__xludf.DUMMYFUNCTION("""COMPUTED_VALUE"""),0.0)</f>
        <v>0</v>
      </c>
      <c r="AK217" s="3">
        <f>IFERROR(__xludf.DUMMYFUNCTION("""COMPUTED_VALUE"""),0.0)</f>
        <v>0</v>
      </c>
      <c r="AL217" s="3">
        <f>IFERROR(__xludf.DUMMYFUNCTION("""COMPUTED_VALUE"""),0.0)</f>
        <v>0</v>
      </c>
      <c r="AM217" s="3">
        <f>IFERROR(__xludf.DUMMYFUNCTION("""COMPUTED_VALUE"""),0.0)</f>
        <v>0</v>
      </c>
      <c r="AN217" s="3">
        <f>IFERROR(__xludf.DUMMYFUNCTION("""COMPUTED_VALUE"""),0.0)</f>
        <v>0</v>
      </c>
      <c r="AO217" s="3">
        <f>IFERROR(__xludf.DUMMYFUNCTION("""COMPUTED_VALUE"""),0.0)</f>
        <v>0</v>
      </c>
      <c r="AP217" s="3">
        <f>IFERROR(__xludf.DUMMYFUNCTION("""COMPUTED_VALUE"""),0.0)</f>
        <v>0</v>
      </c>
      <c r="AQ217" s="3">
        <f>IFERROR(__xludf.DUMMYFUNCTION("""COMPUTED_VALUE"""),0.0)</f>
        <v>0</v>
      </c>
      <c r="AR217" s="3">
        <f>IFERROR(__xludf.DUMMYFUNCTION("""COMPUTED_VALUE"""),0.0)</f>
        <v>0</v>
      </c>
      <c r="AS217" s="3">
        <f>IFERROR(__xludf.DUMMYFUNCTION("""COMPUTED_VALUE"""),0.0)</f>
        <v>0</v>
      </c>
      <c r="AT217" s="3">
        <f>IFERROR(__xludf.DUMMYFUNCTION("""COMPUTED_VALUE"""),0.0)</f>
        <v>0</v>
      </c>
      <c r="AU217" s="3">
        <f>IFERROR(__xludf.DUMMYFUNCTION("""COMPUTED_VALUE"""),0.0)</f>
        <v>0</v>
      </c>
      <c r="AV217" s="3">
        <f>IFERROR(__xludf.DUMMYFUNCTION("""COMPUTED_VALUE"""),0.0)</f>
        <v>0</v>
      </c>
      <c r="AW217" s="3">
        <f>IFERROR(__xludf.DUMMYFUNCTION("""COMPUTED_VALUE"""),0.0)</f>
        <v>0</v>
      </c>
      <c r="AX217" s="3">
        <f>IFERROR(__xludf.DUMMYFUNCTION("""COMPUTED_VALUE"""),0.0)</f>
        <v>0</v>
      </c>
      <c r="AY217" s="3">
        <f>IFERROR(__xludf.DUMMYFUNCTION("""COMPUTED_VALUE"""),0.0)</f>
        <v>0</v>
      </c>
      <c r="AZ217" s="3">
        <f>IFERROR(__xludf.DUMMYFUNCTION("""COMPUTED_VALUE"""),0.0)</f>
        <v>0</v>
      </c>
      <c r="BA217" s="3">
        <f>IFERROR(__xludf.DUMMYFUNCTION("""COMPUTED_VALUE"""),0.0)</f>
        <v>0</v>
      </c>
      <c r="BB217" s="3">
        <f>IFERROR(__xludf.DUMMYFUNCTION("""COMPUTED_VALUE"""),0.0)</f>
        <v>0</v>
      </c>
      <c r="BC217" s="3">
        <f>IFERROR(__xludf.DUMMYFUNCTION("""COMPUTED_VALUE"""),0.0)</f>
        <v>0</v>
      </c>
      <c r="BD217" s="3">
        <f>IFERROR(__xludf.DUMMYFUNCTION("""COMPUTED_VALUE"""),0.0)</f>
        <v>0</v>
      </c>
      <c r="BE217" s="3">
        <f>IFERROR(__xludf.DUMMYFUNCTION("""COMPUTED_VALUE"""),0.0)</f>
        <v>0</v>
      </c>
      <c r="BF217" s="3">
        <f>IFERROR(__xludf.DUMMYFUNCTION("""COMPUTED_VALUE"""),0.0)</f>
        <v>0</v>
      </c>
      <c r="BG217" s="3">
        <f>IFERROR(__xludf.DUMMYFUNCTION("""COMPUTED_VALUE"""),0.0)</f>
        <v>0</v>
      </c>
      <c r="BH217" s="3">
        <f>IFERROR(__xludf.DUMMYFUNCTION("""COMPUTED_VALUE"""),0.0)</f>
        <v>0</v>
      </c>
      <c r="BI217" s="3">
        <f>IFERROR(__xludf.DUMMYFUNCTION("""COMPUTED_VALUE"""),0.0)</f>
        <v>0</v>
      </c>
      <c r="BJ217" s="3">
        <f>IFERROR(__xludf.DUMMYFUNCTION("""COMPUTED_VALUE"""),0.0)</f>
        <v>0</v>
      </c>
      <c r="BK217" s="3">
        <f>IFERROR(__xludf.DUMMYFUNCTION("""COMPUTED_VALUE"""),0.0)</f>
        <v>0</v>
      </c>
      <c r="BL217" s="3">
        <f>IFERROR(__xludf.DUMMYFUNCTION("""COMPUTED_VALUE"""),1.0)</f>
        <v>1</v>
      </c>
      <c r="BM217" s="3">
        <f>IFERROR(__xludf.DUMMYFUNCTION("""COMPUTED_VALUE"""),1.0)</f>
        <v>1</v>
      </c>
      <c r="BN217" s="3">
        <f>IFERROR(__xludf.DUMMYFUNCTION("""COMPUTED_VALUE"""),1.0)</f>
        <v>1</v>
      </c>
      <c r="BO217" s="3">
        <f>IFERROR(__xludf.DUMMYFUNCTION("""COMPUTED_VALUE"""),1.0)</f>
        <v>1</v>
      </c>
      <c r="BP217" s="3">
        <f>IFERROR(__xludf.DUMMYFUNCTION("""COMPUTED_VALUE"""),1.0)</f>
        <v>1</v>
      </c>
      <c r="BQ217" s="3">
        <f>IFERROR(__xludf.DUMMYFUNCTION("""COMPUTED_VALUE"""),1.0)</f>
        <v>1</v>
      </c>
      <c r="BR217" s="3">
        <f>IFERROR(__xludf.DUMMYFUNCTION("""COMPUTED_VALUE"""),5.0)</f>
        <v>5</v>
      </c>
      <c r="BS217" s="3">
        <f>IFERROR(__xludf.DUMMYFUNCTION("""COMPUTED_VALUE"""),5.0)</f>
        <v>5</v>
      </c>
      <c r="BT217" s="3">
        <f>IFERROR(__xludf.DUMMYFUNCTION("""COMPUTED_VALUE"""),6.0)</f>
        <v>6</v>
      </c>
      <c r="BU217" s="3">
        <f>IFERROR(__xludf.DUMMYFUNCTION("""COMPUTED_VALUE"""),8.0)</f>
        <v>8</v>
      </c>
      <c r="BV217" s="3">
        <f>IFERROR(__xludf.DUMMYFUNCTION("""COMPUTED_VALUE"""),10.0)</f>
        <v>10</v>
      </c>
      <c r="BW217" s="3">
        <f>IFERROR(__xludf.DUMMYFUNCTION("""COMPUTED_VALUE"""),13.0)</f>
        <v>13</v>
      </c>
      <c r="BX217" s="3">
        <f>IFERROR(__xludf.DUMMYFUNCTION("""COMPUTED_VALUE"""),19.0)</f>
        <v>19</v>
      </c>
      <c r="BY217" s="3">
        <f>IFERROR(__xludf.DUMMYFUNCTION("""COMPUTED_VALUE"""),22.0)</f>
        <v>22</v>
      </c>
      <c r="BZ217" s="3">
        <f>IFERROR(__xludf.DUMMYFUNCTION("""COMPUTED_VALUE"""),25.0)</f>
        <v>25</v>
      </c>
      <c r="CA217" s="3">
        <f>IFERROR(__xludf.DUMMYFUNCTION("""COMPUTED_VALUE"""),28.0)</f>
        <v>28</v>
      </c>
      <c r="CB217" s="3">
        <f>IFERROR(__xludf.DUMMYFUNCTION("""COMPUTED_VALUE"""),28.0)</f>
        <v>28</v>
      </c>
    </row>
    <row r="218">
      <c r="A218" s="3" t="str">
        <f>IFERROR(__xludf.DUMMYFUNCTION("""COMPUTED_VALUE"""),"")</f>
        <v/>
      </c>
      <c r="B218" s="3" t="str">
        <f>IFERROR(__xludf.DUMMYFUNCTION("""COMPUTED_VALUE"""),"United Arab Emirates")</f>
        <v>United Arab Emirates</v>
      </c>
      <c r="C218" s="3">
        <f>IFERROR(__xludf.DUMMYFUNCTION("""COMPUTED_VALUE"""),24.0)</f>
        <v>24</v>
      </c>
      <c r="D218" s="3">
        <f>IFERROR(__xludf.DUMMYFUNCTION("""COMPUTED_VALUE"""),54.0)</f>
        <v>54</v>
      </c>
      <c r="E218" s="3">
        <f>IFERROR(__xludf.DUMMYFUNCTION("""COMPUTED_VALUE"""),0.0)</f>
        <v>0</v>
      </c>
      <c r="F218" s="3">
        <f>IFERROR(__xludf.DUMMYFUNCTION("""COMPUTED_VALUE"""),0.0)</f>
        <v>0</v>
      </c>
      <c r="G218" s="3">
        <f>IFERROR(__xludf.DUMMYFUNCTION("""COMPUTED_VALUE"""),0.0)</f>
        <v>0</v>
      </c>
      <c r="H218" s="3">
        <f>IFERROR(__xludf.DUMMYFUNCTION("""COMPUTED_VALUE"""),0.0)</f>
        <v>0</v>
      </c>
      <c r="I218" s="3">
        <f>IFERROR(__xludf.DUMMYFUNCTION("""COMPUTED_VALUE"""),0.0)</f>
        <v>0</v>
      </c>
      <c r="J218" s="3">
        <f>IFERROR(__xludf.DUMMYFUNCTION("""COMPUTED_VALUE"""),0.0)</f>
        <v>0</v>
      </c>
      <c r="K218" s="3">
        <f>IFERROR(__xludf.DUMMYFUNCTION("""COMPUTED_VALUE"""),0.0)</f>
        <v>0</v>
      </c>
      <c r="L218" s="3">
        <f>IFERROR(__xludf.DUMMYFUNCTION("""COMPUTED_VALUE"""),0.0)</f>
        <v>0</v>
      </c>
      <c r="M218" s="3">
        <f>IFERROR(__xludf.DUMMYFUNCTION("""COMPUTED_VALUE"""),0.0)</f>
        <v>0</v>
      </c>
      <c r="N218" s="3">
        <f>IFERROR(__xludf.DUMMYFUNCTION("""COMPUTED_VALUE"""),0.0)</f>
        <v>0</v>
      </c>
      <c r="O218" s="3">
        <f>IFERROR(__xludf.DUMMYFUNCTION("""COMPUTED_VALUE"""),0.0)</f>
        <v>0</v>
      </c>
      <c r="P218" s="3">
        <f>IFERROR(__xludf.DUMMYFUNCTION("""COMPUTED_VALUE"""),0.0)</f>
        <v>0</v>
      </c>
      <c r="Q218" s="3">
        <f>IFERROR(__xludf.DUMMYFUNCTION("""COMPUTED_VALUE"""),0.0)</f>
        <v>0</v>
      </c>
      <c r="R218" s="3">
        <f>IFERROR(__xludf.DUMMYFUNCTION("""COMPUTED_VALUE"""),0.0)</f>
        <v>0</v>
      </c>
      <c r="S218" s="3">
        <f>IFERROR(__xludf.DUMMYFUNCTION("""COMPUTED_VALUE"""),0.0)</f>
        <v>0</v>
      </c>
      <c r="T218" s="3">
        <f>IFERROR(__xludf.DUMMYFUNCTION("""COMPUTED_VALUE"""),0.0)</f>
        <v>0</v>
      </c>
      <c r="U218" s="3">
        <f>IFERROR(__xludf.DUMMYFUNCTION("""COMPUTED_VALUE"""),0.0)</f>
        <v>0</v>
      </c>
      <c r="V218" s="3">
        <f>IFERROR(__xludf.DUMMYFUNCTION("""COMPUTED_VALUE"""),0.0)</f>
        <v>0</v>
      </c>
      <c r="W218" s="3">
        <f>IFERROR(__xludf.DUMMYFUNCTION("""COMPUTED_VALUE"""),0.0)</f>
        <v>0</v>
      </c>
      <c r="X218" s="3">
        <f>IFERROR(__xludf.DUMMYFUNCTION("""COMPUTED_VALUE"""),0.0)</f>
        <v>0</v>
      </c>
      <c r="Y218" s="3">
        <f>IFERROR(__xludf.DUMMYFUNCTION("""COMPUTED_VALUE"""),0.0)</f>
        <v>0</v>
      </c>
      <c r="Z218" s="3">
        <f>IFERROR(__xludf.DUMMYFUNCTION("""COMPUTED_VALUE"""),1.0)</f>
        <v>1</v>
      </c>
      <c r="AA218" s="3">
        <f>IFERROR(__xludf.DUMMYFUNCTION("""COMPUTED_VALUE"""),1.0)</f>
        <v>1</v>
      </c>
      <c r="AB218" s="3">
        <f>IFERROR(__xludf.DUMMYFUNCTION("""COMPUTED_VALUE"""),1.0)</f>
        <v>1</v>
      </c>
      <c r="AC218" s="3">
        <f>IFERROR(__xludf.DUMMYFUNCTION("""COMPUTED_VALUE"""),3.0)</f>
        <v>3</v>
      </c>
      <c r="AD218" s="3">
        <f>IFERROR(__xludf.DUMMYFUNCTION("""COMPUTED_VALUE"""),4.0)</f>
        <v>4</v>
      </c>
      <c r="AE218" s="3">
        <f>IFERROR(__xludf.DUMMYFUNCTION("""COMPUTED_VALUE"""),4.0)</f>
        <v>4</v>
      </c>
      <c r="AF218" s="3">
        <f>IFERROR(__xludf.DUMMYFUNCTION("""COMPUTED_VALUE"""),4.0)</f>
        <v>4</v>
      </c>
      <c r="AG218" s="3">
        <f>IFERROR(__xludf.DUMMYFUNCTION("""COMPUTED_VALUE"""),4.0)</f>
        <v>4</v>
      </c>
      <c r="AH218" s="3">
        <f>IFERROR(__xludf.DUMMYFUNCTION("""COMPUTED_VALUE"""),4.0)</f>
        <v>4</v>
      </c>
      <c r="AI218" s="3">
        <f>IFERROR(__xludf.DUMMYFUNCTION("""COMPUTED_VALUE"""),4.0)</f>
        <v>4</v>
      </c>
      <c r="AJ218" s="3">
        <f>IFERROR(__xludf.DUMMYFUNCTION("""COMPUTED_VALUE"""),4.0)</f>
        <v>4</v>
      </c>
      <c r="AK218" s="3">
        <f>IFERROR(__xludf.DUMMYFUNCTION("""COMPUTED_VALUE"""),4.0)</f>
        <v>4</v>
      </c>
      <c r="AL218" s="3">
        <f>IFERROR(__xludf.DUMMYFUNCTION("""COMPUTED_VALUE"""),4.0)</f>
        <v>4</v>
      </c>
      <c r="AM218" s="3">
        <f>IFERROR(__xludf.DUMMYFUNCTION("""COMPUTED_VALUE"""),4.0)</f>
        <v>4</v>
      </c>
      <c r="AN218" s="3">
        <f>IFERROR(__xludf.DUMMYFUNCTION("""COMPUTED_VALUE"""),4.0)</f>
        <v>4</v>
      </c>
      <c r="AO218" s="3">
        <f>IFERROR(__xludf.DUMMYFUNCTION("""COMPUTED_VALUE"""),4.0)</f>
        <v>4</v>
      </c>
      <c r="AP218" s="3">
        <f>IFERROR(__xludf.DUMMYFUNCTION("""COMPUTED_VALUE"""),5.0)</f>
        <v>5</v>
      </c>
      <c r="AQ218" s="3">
        <f>IFERROR(__xludf.DUMMYFUNCTION("""COMPUTED_VALUE"""),5.0)</f>
        <v>5</v>
      </c>
      <c r="AR218" s="3">
        <f>IFERROR(__xludf.DUMMYFUNCTION("""COMPUTED_VALUE"""),5.0)</f>
        <v>5</v>
      </c>
      <c r="AS218" s="3">
        <f>IFERROR(__xludf.DUMMYFUNCTION("""COMPUTED_VALUE"""),5.0)</f>
        <v>5</v>
      </c>
      <c r="AT218" s="3">
        <f>IFERROR(__xludf.DUMMYFUNCTION("""COMPUTED_VALUE"""),5.0)</f>
        <v>5</v>
      </c>
      <c r="AU218" s="3">
        <f>IFERROR(__xludf.DUMMYFUNCTION("""COMPUTED_VALUE"""),5.0)</f>
        <v>5</v>
      </c>
      <c r="AV218" s="3">
        <f>IFERROR(__xludf.DUMMYFUNCTION("""COMPUTED_VALUE"""),5.0)</f>
        <v>5</v>
      </c>
      <c r="AW218" s="3">
        <f>IFERROR(__xludf.DUMMYFUNCTION("""COMPUTED_VALUE"""),5.0)</f>
        <v>5</v>
      </c>
      <c r="AX218" s="3">
        <f>IFERROR(__xludf.DUMMYFUNCTION("""COMPUTED_VALUE"""),7.0)</f>
        <v>7</v>
      </c>
      <c r="AY218" s="3">
        <f>IFERROR(__xludf.DUMMYFUNCTION("""COMPUTED_VALUE"""),7.0)</f>
        <v>7</v>
      </c>
      <c r="AZ218" s="3">
        <f>IFERROR(__xludf.DUMMYFUNCTION("""COMPUTED_VALUE"""),7.0)</f>
        <v>7</v>
      </c>
      <c r="BA218" s="3">
        <f>IFERROR(__xludf.DUMMYFUNCTION("""COMPUTED_VALUE"""),12.0)</f>
        <v>12</v>
      </c>
      <c r="BB218" s="3">
        <f>IFERROR(__xludf.DUMMYFUNCTION("""COMPUTED_VALUE"""),17.0)</f>
        <v>17</v>
      </c>
      <c r="BC218" s="3">
        <f>IFERROR(__xludf.DUMMYFUNCTION("""COMPUTED_VALUE"""),17.0)</f>
        <v>17</v>
      </c>
      <c r="BD218" s="3">
        <f>IFERROR(__xludf.DUMMYFUNCTION("""COMPUTED_VALUE"""),17.0)</f>
        <v>17</v>
      </c>
      <c r="BE218" s="3">
        <f>IFERROR(__xludf.DUMMYFUNCTION("""COMPUTED_VALUE"""),17.0)</f>
        <v>17</v>
      </c>
      <c r="BF218" s="3">
        <f>IFERROR(__xludf.DUMMYFUNCTION("""COMPUTED_VALUE"""),23.0)</f>
        <v>23</v>
      </c>
      <c r="BG218" s="3">
        <f>IFERROR(__xludf.DUMMYFUNCTION("""COMPUTED_VALUE"""),23.0)</f>
        <v>23</v>
      </c>
      <c r="BH218" s="3">
        <f>IFERROR(__xludf.DUMMYFUNCTION("""COMPUTED_VALUE"""),23.0)</f>
        <v>23</v>
      </c>
      <c r="BI218" s="3">
        <f>IFERROR(__xludf.DUMMYFUNCTION("""COMPUTED_VALUE"""),26.0)</f>
        <v>26</v>
      </c>
      <c r="BJ218" s="3">
        <f>IFERROR(__xludf.DUMMYFUNCTION("""COMPUTED_VALUE"""),31.0)</f>
        <v>31</v>
      </c>
      <c r="BK218" s="3">
        <f>IFERROR(__xludf.DUMMYFUNCTION("""COMPUTED_VALUE"""),31.0)</f>
        <v>31</v>
      </c>
      <c r="BL218" s="3">
        <f>IFERROR(__xludf.DUMMYFUNCTION("""COMPUTED_VALUE"""),38.0)</f>
        <v>38</v>
      </c>
      <c r="BM218" s="3">
        <f>IFERROR(__xludf.DUMMYFUNCTION("""COMPUTED_VALUE"""),38.0)</f>
        <v>38</v>
      </c>
      <c r="BN218" s="3">
        <f>IFERROR(__xludf.DUMMYFUNCTION("""COMPUTED_VALUE"""),38.0)</f>
        <v>38</v>
      </c>
      <c r="BO218" s="3">
        <f>IFERROR(__xludf.DUMMYFUNCTION("""COMPUTED_VALUE"""),45.0)</f>
        <v>45</v>
      </c>
      <c r="BP218" s="3">
        <f>IFERROR(__xludf.DUMMYFUNCTION("""COMPUTED_VALUE"""),52.0)</f>
        <v>52</v>
      </c>
      <c r="BQ218" s="3">
        <f>IFERROR(__xludf.DUMMYFUNCTION("""COMPUTED_VALUE"""),52.0)</f>
        <v>52</v>
      </c>
      <c r="BR218" s="3">
        <f>IFERROR(__xludf.DUMMYFUNCTION("""COMPUTED_VALUE"""),52.0)</f>
        <v>52</v>
      </c>
      <c r="BS218" s="3">
        <f>IFERROR(__xludf.DUMMYFUNCTION("""COMPUTED_VALUE"""),52.0)</f>
        <v>52</v>
      </c>
      <c r="BT218" s="3">
        <f>IFERROR(__xludf.DUMMYFUNCTION("""COMPUTED_VALUE"""),58.0)</f>
        <v>58</v>
      </c>
      <c r="BU218" s="3">
        <f>IFERROR(__xludf.DUMMYFUNCTION("""COMPUTED_VALUE"""),61.0)</f>
        <v>61</v>
      </c>
      <c r="BV218" s="3">
        <f>IFERROR(__xludf.DUMMYFUNCTION("""COMPUTED_VALUE"""),61.0)</f>
        <v>61</v>
      </c>
      <c r="BW218" s="3">
        <f>IFERROR(__xludf.DUMMYFUNCTION("""COMPUTED_VALUE"""),61.0)</f>
        <v>61</v>
      </c>
      <c r="BX218" s="3">
        <f>IFERROR(__xludf.DUMMYFUNCTION("""COMPUTED_VALUE"""),96.0)</f>
        <v>96</v>
      </c>
      <c r="BY218" s="3">
        <f>IFERROR(__xludf.DUMMYFUNCTION("""COMPUTED_VALUE"""),108.0)</f>
        <v>108</v>
      </c>
      <c r="BZ218" s="3">
        <f>IFERROR(__xludf.DUMMYFUNCTION("""COMPUTED_VALUE"""),125.0)</f>
        <v>125</v>
      </c>
      <c r="CA218" s="3">
        <f>IFERROR(__xludf.DUMMYFUNCTION("""COMPUTED_VALUE"""),144.0)</f>
        <v>144</v>
      </c>
      <c r="CB218" s="3">
        <f>IFERROR(__xludf.DUMMYFUNCTION("""COMPUTED_VALUE"""),167.0)</f>
        <v>167</v>
      </c>
    </row>
    <row r="219">
      <c r="A219" s="3" t="str">
        <f>IFERROR(__xludf.DUMMYFUNCTION("""COMPUTED_VALUE"""),"Bermuda")</f>
        <v>Bermuda</v>
      </c>
      <c r="B219" s="3" t="str">
        <f>IFERROR(__xludf.DUMMYFUNCTION("""COMPUTED_VALUE"""),"United Kingdom")</f>
        <v>United Kingdom</v>
      </c>
      <c r="C219" s="3">
        <f>IFERROR(__xludf.DUMMYFUNCTION("""COMPUTED_VALUE"""),32.3078)</f>
        <v>32.3078</v>
      </c>
      <c r="D219" s="3">
        <f>IFERROR(__xludf.DUMMYFUNCTION("""COMPUTED_VALUE"""),-64.7505)</f>
        <v>-64.7505</v>
      </c>
      <c r="E219" s="3">
        <f>IFERROR(__xludf.DUMMYFUNCTION("""COMPUTED_VALUE"""),0.0)</f>
        <v>0</v>
      </c>
      <c r="F219" s="3">
        <f>IFERROR(__xludf.DUMMYFUNCTION("""COMPUTED_VALUE"""),0.0)</f>
        <v>0</v>
      </c>
      <c r="G219" s="3">
        <f>IFERROR(__xludf.DUMMYFUNCTION("""COMPUTED_VALUE"""),0.0)</f>
        <v>0</v>
      </c>
      <c r="H219" s="3">
        <f>IFERROR(__xludf.DUMMYFUNCTION("""COMPUTED_VALUE"""),0.0)</f>
        <v>0</v>
      </c>
      <c r="I219" s="3">
        <f>IFERROR(__xludf.DUMMYFUNCTION("""COMPUTED_VALUE"""),0.0)</f>
        <v>0</v>
      </c>
      <c r="J219" s="3">
        <f>IFERROR(__xludf.DUMMYFUNCTION("""COMPUTED_VALUE"""),0.0)</f>
        <v>0</v>
      </c>
      <c r="K219" s="3">
        <f>IFERROR(__xludf.DUMMYFUNCTION("""COMPUTED_VALUE"""),0.0)</f>
        <v>0</v>
      </c>
      <c r="L219" s="3">
        <f>IFERROR(__xludf.DUMMYFUNCTION("""COMPUTED_VALUE"""),0.0)</f>
        <v>0</v>
      </c>
      <c r="M219" s="3">
        <f>IFERROR(__xludf.DUMMYFUNCTION("""COMPUTED_VALUE"""),0.0)</f>
        <v>0</v>
      </c>
      <c r="N219" s="3">
        <f>IFERROR(__xludf.DUMMYFUNCTION("""COMPUTED_VALUE"""),0.0)</f>
        <v>0</v>
      </c>
      <c r="O219" s="3">
        <f>IFERROR(__xludf.DUMMYFUNCTION("""COMPUTED_VALUE"""),0.0)</f>
        <v>0</v>
      </c>
      <c r="P219" s="3">
        <f>IFERROR(__xludf.DUMMYFUNCTION("""COMPUTED_VALUE"""),0.0)</f>
        <v>0</v>
      </c>
      <c r="Q219" s="3">
        <f>IFERROR(__xludf.DUMMYFUNCTION("""COMPUTED_VALUE"""),0.0)</f>
        <v>0</v>
      </c>
      <c r="R219" s="3">
        <f>IFERROR(__xludf.DUMMYFUNCTION("""COMPUTED_VALUE"""),0.0)</f>
        <v>0</v>
      </c>
      <c r="S219" s="3">
        <f>IFERROR(__xludf.DUMMYFUNCTION("""COMPUTED_VALUE"""),0.0)</f>
        <v>0</v>
      </c>
      <c r="T219" s="3">
        <f>IFERROR(__xludf.DUMMYFUNCTION("""COMPUTED_VALUE"""),0.0)</f>
        <v>0</v>
      </c>
      <c r="U219" s="3">
        <f>IFERROR(__xludf.DUMMYFUNCTION("""COMPUTED_VALUE"""),0.0)</f>
        <v>0</v>
      </c>
      <c r="V219" s="3">
        <f>IFERROR(__xludf.DUMMYFUNCTION("""COMPUTED_VALUE"""),0.0)</f>
        <v>0</v>
      </c>
      <c r="W219" s="3">
        <f>IFERROR(__xludf.DUMMYFUNCTION("""COMPUTED_VALUE"""),0.0)</f>
        <v>0</v>
      </c>
      <c r="X219" s="3">
        <f>IFERROR(__xludf.DUMMYFUNCTION("""COMPUTED_VALUE"""),0.0)</f>
        <v>0</v>
      </c>
      <c r="Y219" s="3">
        <f>IFERROR(__xludf.DUMMYFUNCTION("""COMPUTED_VALUE"""),0.0)</f>
        <v>0</v>
      </c>
      <c r="Z219" s="3">
        <f>IFERROR(__xludf.DUMMYFUNCTION("""COMPUTED_VALUE"""),0.0)</f>
        <v>0</v>
      </c>
      <c r="AA219" s="3">
        <f>IFERROR(__xludf.DUMMYFUNCTION("""COMPUTED_VALUE"""),0.0)</f>
        <v>0</v>
      </c>
      <c r="AB219" s="3">
        <f>IFERROR(__xludf.DUMMYFUNCTION("""COMPUTED_VALUE"""),0.0)</f>
        <v>0</v>
      </c>
      <c r="AC219" s="3">
        <f>IFERROR(__xludf.DUMMYFUNCTION("""COMPUTED_VALUE"""),0.0)</f>
        <v>0</v>
      </c>
      <c r="AD219" s="3">
        <f>IFERROR(__xludf.DUMMYFUNCTION("""COMPUTED_VALUE"""),0.0)</f>
        <v>0</v>
      </c>
      <c r="AE219" s="3">
        <f>IFERROR(__xludf.DUMMYFUNCTION("""COMPUTED_VALUE"""),0.0)</f>
        <v>0</v>
      </c>
      <c r="AF219" s="3">
        <f>IFERROR(__xludf.DUMMYFUNCTION("""COMPUTED_VALUE"""),0.0)</f>
        <v>0</v>
      </c>
      <c r="AG219" s="3">
        <f>IFERROR(__xludf.DUMMYFUNCTION("""COMPUTED_VALUE"""),0.0)</f>
        <v>0</v>
      </c>
      <c r="AH219" s="3">
        <f>IFERROR(__xludf.DUMMYFUNCTION("""COMPUTED_VALUE"""),0.0)</f>
        <v>0</v>
      </c>
      <c r="AI219" s="3">
        <f>IFERROR(__xludf.DUMMYFUNCTION("""COMPUTED_VALUE"""),0.0)</f>
        <v>0</v>
      </c>
      <c r="AJ219" s="3">
        <f>IFERROR(__xludf.DUMMYFUNCTION("""COMPUTED_VALUE"""),0.0)</f>
        <v>0</v>
      </c>
      <c r="AK219" s="3">
        <f>IFERROR(__xludf.DUMMYFUNCTION("""COMPUTED_VALUE"""),0.0)</f>
        <v>0</v>
      </c>
      <c r="AL219" s="3">
        <f>IFERROR(__xludf.DUMMYFUNCTION("""COMPUTED_VALUE"""),0.0)</f>
        <v>0</v>
      </c>
      <c r="AM219" s="3">
        <f>IFERROR(__xludf.DUMMYFUNCTION("""COMPUTED_VALUE"""),0.0)</f>
        <v>0</v>
      </c>
      <c r="AN219" s="3">
        <f>IFERROR(__xludf.DUMMYFUNCTION("""COMPUTED_VALUE"""),0.0)</f>
        <v>0</v>
      </c>
      <c r="AO219" s="3">
        <f>IFERROR(__xludf.DUMMYFUNCTION("""COMPUTED_VALUE"""),0.0)</f>
        <v>0</v>
      </c>
      <c r="AP219" s="3">
        <f>IFERROR(__xludf.DUMMYFUNCTION("""COMPUTED_VALUE"""),0.0)</f>
        <v>0</v>
      </c>
      <c r="AQ219" s="3">
        <f>IFERROR(__xludf.DUMMYFUNCTION("""COMPUTED_VALUE"""),0.0)</f>
        <v>0</v>
      </c>
      <c r="AR219" s="3">
        <f>IFERROR(__xludf.DUMMYFUNCTION("""COMPUTED_VALUE"""),0.0)</f>
        <v>0</v>
      </c>
      <c r="AS219" s="3">
        <f>IFERROR(__xludf.DUMMYFUNCTION("""COMPUTED_VALUE"""),0.0)</f>
        <v>0</v>
      </c>
      <c r="AT219" s="3">
        <f>IFERROR(__xludf.DUMMYFUNCTION("""COMPUTED_VALUE"""),0.0)</f>
        <v>0</v>
      </c>
      <c r="AU219" s="3">
        <f>IFERROR(__xludf.DUMMYFUNCTION("""COMPUTED_VALUE"""),0.0)</f>
        <v>0</v>
      </c>
      <c r="AV219" s="3">
        <f>IFERROR(__xludf.DUMMYFUNCTION("""COMPUTED_VALUE"""),0.0)</f>
        <v>0</v>
      </c>
      <c r="AW219" s="3">
        <f>IFERROR(__xludf.DUMMYFUNCTION("""COMPUTED_VALUE"""),0.0)</f>
        <v>0</v>
      </c>
      <c r="AX219" s="3">
        <f>IFERROR(__xludf.DUMMYFUNCTION("""COMPUTED_VALUE"""),0.0)</f>
        <v>0</v>
      </c>
      <c r="AY219" s="3">
        <f>IFERROR(__xludf.DUMMYFUNCTION("""COMPUTED_VALUE"""),0.0)</f>
        <v>0</v>
      </c>
      <c r="AZ219" s="3">
        <f>IFERROR(__xludf.DUMMYFUNCTION("""COMPUTED_VALUE"""),0.0)</f>
        <v>0</v>
      </c>
      <c r="BA219" s="3">
        <f>IFERROR(__xludf.DUMMYFUNCTION("""COMPUTED_VALUE"""),0.0)</f>
        <v>0</v>
      </c>
      <c r="BB219" s="3">
        <f>IFERROR(__xludf.DUMMYFUNCTION("""COMPUTED_VALUE"""),0.0)</f>
        <v>0</v>
      </c>
      <c r="BC219" s="3">
        <f>IFERROR(__xludf.DUMMYFUNCTION("""COMPUTED_VALUE"""),0.0)</f>
        <v>0</v>
      </c>
      <c r="BD219" s="3">
        <f>IFERROR(__xludf.DUMMYFUNCTION("""COMPUTED_VALUE"""),0.0)</f>
        <v>0</v>
      </c>
      <c r="BE219" s="3">
        <f>IFERROR(__xludf.DUMMYFUNCTION("""COMPUTED_VALUE"""),0.0)</f>
        <v>0</v>
      </c>
      <c r="BF219" s="3">
        <f>IFERROR(__xludf.DUMMYFUNCTION("""COMPUTED_VALUE"""),0.0)</f>
        <v>0</v>
      </c>
      <c r="BG219" s="3">
        <f>IFERROR(__xludf.DUMMYFUNCTION("""COMPUTED_VALUE"""),0.0)</f>
        <v>0</v>
      </c>
      <c r="BH219" s="3">
        <f>IFERROR(__xludf.DUMMYFUNCTION("""COMPUTED_VALUE"""),0.0)</f>
        <v>0</v>
      </c>
      <c r="BI219" s="3">
        <f>IFERROR(__xludf.DUMMYFUNCTION("""COMPUTED_VALUE"""),0.0)</f>
        <v>0</v>
      </c>
      <c r="BJ219" s="3">
        <f>IFERROR(__xludf.DUMMYFUNCTION("""COMPUTED_VALUE"""),0.0)</f>
        <v>0</v>
      </c>
      <c r="BK219" s="3">
        <f>IFERROR(__xludf.DUMMYFUNCTION("""COMPUTED_VALUE"""),0.0)</f>
        <v>0</v>
      </c>
      <c r="BL219" s="3">
        <f>IFERROR(__xludf.DUMMYFUNCTION("""COMPUTED_VALUE"""),0.0)</f>
        <v>0</v>
      </c>
      <c r="BM219" s="3">
        <f>IFERROR(__xludf.DUMMYFUNCTION("""COMPUTED_VALUE"""),0.0)</f>
        <v>0</v>
      </c>
      <c r="BN219" s="3">
        <f>IFERROR(__xludf.DUMMYFUNCTION("""COMPUTED_VALUE"""),0.0)</f>
        <v>0</v>
      </c>
      <c r="BO219" s="3">
        <f>IFERROR(__xludf.DUMMYFUNCTION("""COMPUTED_VALUE"""),0.0)</f>
        <v>0</v>
      </c>
      <c r="BP219" s="3">
        <f>IFERROR(__xludf.DUMMYFUNCTION("""COMPUTED_VALUE"""),0.0)</f>
        <v>0</v>
      </c>
      <c r="BQ219" s="3">
        <f>IFERROR(__xludf.DUMMYFUNCTION("""COMPUTED_VALUE"""),2.0)</f>
        <v>2</v>
      </c>
      <c r="BR219" s="3">
        <f>IFERROR(__xludf.DUMMYFUNCTION("""COMPUTED_VALUE"""),2.0)</f>
        <v>2</v>
      </c>
      <c r="BS219" s="3">
        <f>IFERROR(__xludf.DUMMYFUNCTION("""COMPUTED_VALUE"""),2.0)</f>
        <v>2</v>
      </c>
      <c r="BT219" s="3">
        <f>IFERROR(__xludf.DUMMYFUNCTION("""COMPUTED_VALUE"""),2.0)</f>
        <v>2</v>
      </c>
      <c r="BU219" s="3">
        <f>IFERROR(__xludf.DUMMYFUNCTION("""COMPUTED_VALUE"""),2.0)</f>
        <v>2</v>
      </c>
      <c r="BV219" s="3">
        <f>IFERROR(__xludf.DUMMYFUNCTION("""COMPUTED_VALUE"""),10.0)</f>
        <v>10</v>
      </c>
      <c r="BW219" s="3">
        <f>IFERROR(__xludf.DUMMYFUNCTION("""COMPUTED_VALUE"""),10.0)</f>
        <v>10</v>
      </c>
      <c r="BX219" s="3">
        <f>IFERROR(__xludf.DUMMYFUNCTION("""COMPUTED_VALUE"""),11.0)</f>
        <v>11</v>
      </c>
      <c r="BY219" s="3">
        <f>IFERROR(__xludf.DUMMYFUNCTION("""COMPUTED_VALUE"""),14.0)</f>
        <v>14</v>
      </c>
      <c r="BZ219" s="3">
        <f>IFERROR(__xludf.DUMMYFUNCTION("""COMPUTED_VALUE"""),14.0)</f>
        <v>14</v>
      </c>
      <c r="CA219" s="3">
        <f>IFERROR(__xludf.DUMMYFUNCTION("""COMPUTED_VALUE"""),14.0)</f>
        <v>14</v>
      </c>
      <c r="CB219" s="3">
        <f>IFERROR(__xludf.DUMMYFUNCTION("""COMPUTED_VALUE"""),17.0)</f>
        <v>17</v>
      </c>
    </row>
    <row r="220">
      <c r="A220" s="3" t="str">
        <f>IFERROR(__xludf.DUMMYFUNCTION("""COMPUTED_VALUE"""),"Cayman Islands")</f>
        <v>Cayman Islands</v>
      </c>
      <c r="B220" s="3" t="str">
        <f>IFERROR(__xludf.DUMMYFUNCTION("""COMPUTED_VALUE"""),"United Kingdom")</f>
        <v>United Kingdom</v>
      </c>
      <c r="C220" s="3">
        <f>IFERROR(__xludf.DUMMYFUNCTION("""COMPUTED_VALUE"""),19.3133)</f>
        <v>19.3133</v>
      </c>
      <c r="D220" s="3">
        <f>IFERROR(__xludf.DUMMYFUNCTION("""COMPUTED_VALUE"""),-81.2546)</f>
        <v>-81.2546</v>
      </c>
      <c r="E220" s="3">
        <f>IFERROR(__xludf.DUMMYFUNCTION("""COMPUTED_VALUE"""),0.0)</f>
        <v>0</v>
      </c>
      <c r="F220" s="3">
        <f>IFERROR(__xludf.DUMMYFUNCTION("""COMPUTED_VALUE"""),0.0)</f>
        <v>0</v>
      </c>
      <c r="G220" s="3">
        <f>IFERROR(__xludf.DUMMYFUNCTION("""COMPUTED_VALUE"""),0.0)</f>
        <v>0</v>
      </c>
      <c r="H220" s="3">
        <f>IFERROR(__xludf.DUMMYFUNCTION("""COMPUTED_VALUE"""),0.0)</f>
        <v>0</v>
      </c>
      <c r="I220" s="3">
        <f>IFERROR(__xludf.DUMMYFUNCTION("""COMPUTED_VALUE"""),0.0)</f>
        <v>0</v>
      </c>
      <c r="J220" s="3">
        <f>IFERROR(__xludf.DUMMYFUNCTION("""COMPUTED_VALUE"""),0.0)</f>
        <v>0</v>
      </c>
      <c r="K220" s="3">
        <f>IFERROR(__xludf.DUMMYFUNCTION("""COMPUTED_VALUE"""),0.0)</f>
        <v>0</v>
      </c>
      <c r="L220" s="3">
        <f>IFERROR(__xludf.DUMMYFUNCTION("""COMPUTED_VALUE"""),0.0)</f>
        <v>0</v>
      </c>
      <c r="M220" s="3">
        <f>IFERROR(__xludf.DUMMYFUNCTION("""COMPUTED_VALUE"""),0.0)</f>
        <v>0</v>
      </c>
      <c r="N220" s="3">
        <f>IFERROR(__xludf.DUMMYFUNCTION("""COMPUTED_VALUE"""),0.0)</f>
        <v>0</v>
      </c>
      <c r="O220" s="3">
        <f>IFERROR(__xludf.DUMMYFUNCTION("""COMPUTED_VALUE"""),0.0)</f>
        <v>0</v>
      </c>
      <c r="P220" s="3">
        <f>IFERROR(__xludf.DUMMYFUNCTION("""COMPUTED_VALUE"""),0.0)</f>
        <v>0</v>
      </c>
      <c r="Q220" s="3">
        <f>IFERROR(__xludf.DUMMYFUNCTION("""COMPUTED_VALUE"""),0.0)</f>
        <v>0</v>
      </c>
      <c r="R220" s="3">
        <f>IFERROR(__xludf.DUMMYFUNCTION("""COMPUTED_VALUE"""),0.0)</f>
        <v>0</v>
      </c>
      <c r="S220" s="3">
        <f>IFERROR(__xludf.DUMMYFUNCTION("""COMPUTED_VALUE"""),0.0)</f>
        <v>0</v>
      </c>
      <c r="T220" s="3">
        <f>IFERROR(__xludf.DUMMYFUNCTION("""COMPUTED_VALUE"""),0.0)</f>
        <v>0</v>
      </c>
      <c r="U220" s="3">
        <f>IFERROR(__xludf.DUMMYFUNCTION("""COMPUTED_VALUE"""),0.0)</f>
        <v>0</v>
      </c>
      <c r="V220" s="3">
        <f>IFERROR(__xludf.DUMMYFUNCTION("""COMPUTED_VALUE"""),0.0)</f>
        <v>0</v>
      </c>
      <c r="W220" s="3">
        <f>IFERROR(__xludf.DUMMYFUNCTION("""COMPUTED_VALUE"""),0.0)</f>
        <v>0</v>
      </c>
      <c r="X220" s="3">
        <f>IFERROR(__xludf.DUMMYFUNCTION("""COMPUTED_VALUE"""),0.0)</f>
        <v>0</v>
      </c>
      <c r="Y220" s="3">
        <f>IFERROR(__xludf.DUMMYFUNCTION("""COMPUTED_VALUE"""),0.0)</f>
        <v>0</v>
      </c>
      <c r="Z220" s="3">
        <f>IFERROR(__xludf.DUMMYFUNCTION("""COMPUTED_VALUE"""),0.0)</f>
        <v>0</v>
      </c>
      <c r="AA220" s="3">
        <f>IFERROR(__xludf.DUMMYFUNCTION("""COMPUTED_VALUE"""),0.0)</f>
        <v>0</v>
      </c>
      <c r="AB220" s="3">
        <f>IFERROR(__xludf.DUMMYFUNCTION("""COMPUTED_VALUE"""),0.0)</f>
        <v>0</v>
      </c>
      <c r="AC220" s="3">
        <f>IFERROR(__xludf.DUMMYFUNCTION("""COMPUTED_VALUE"""),0.0)</f>
        <v>0</v>
      </c>
      <c r="AD220" s="3">
        <f>IFERROR(__xludf.DUMMYFUNCTION("""COMPUTED_VALUE"""),0.0)</f>
        <v>0</v>
      </c>
      <c r="AE220" s="3">
        <f>IFERROR(__xludf.DUMMYFUNCTION("""COMPUTED_VALUE"""),0.0)</f>
        <v>0</v>
      </c>
      <c r="AF220" s="3">
        <f>IFERROR(__xludf.DUMMYFUNCTION("""COMPUTED_VALUE"""),0.0)</f>
        <v>0</v>
      </c>
      <c r="AG220" s="3">
        <f>IFERROR(__xludf.DUMMYFUNCTION("""COMPUTED_VALUE"""),0.0)</f>
        <v>0</v>
      </c>
      <c r="AH220" s="3">
        <f>IFERROR(__xludf.DUMMYFUNCTION("""COMPUTED_VALUE"""),0.0)</f>
        <v>0</v>
      </c>
      <c r="AI220" s="3">
        <f>IFERROR(__xludf.DUMMYFUNCTION("""COMPUTED_VALUE"""),0.0)</f>
        <v>0</v>
      </c>
      <c r="AJ220" s="3">
        <f>IFERROR(__xludf.DUMMYFUNCTION("""COMPUTED_VALUE"""),0.0)</f>
        <v>0</v>
      </c>
      <c r="AK220" s="3">
        <f>IFERROR(__xludf.DUMMYFUNCTION("""COMPUTED_VALUE"""),0.0)</f>
        <v>0</v>
      </c>
      <c r="AL220" s="3">
        <f>IFERROR(__xludf.DUMMYFUNCTION("""COMPUTED_VALUE"""),0.0)</f>
        <v>0</v>
      </c>
      <c r="AM220" s="3">
        <f>IFERROR(__xludf.DUMMYFUNCTION("""COMPUTED_VALUE"""),0.0)</f>
        <v>0</v>
      </c>
      <c r="AN220" s="3">
        <f>IFERROR(__xludf.DUMMYFUNCTION("""COMPUTED_VALUE"""),0.0)</f>
        <v>0</v>
      </c>
      <c r="AO220" s="3">
        <f>IFERROR(__xludf.DUMMYFUNCTION("""COMPUTED_VALUE"""),0.0)</f>
        <v>0</v>
      </c>
      <c r="AP220" s="3">
        <f>IFERROR(__xludf.DUMMYFUNCTION("""COMPUTED_VALUE"""),0.0)</f>
        <v>0</v>
      </c>
      <c r="AQ220" s="3">
        <f>IFERROR(__xludf.DUMMYFUNCTION("""COMPUTED_VALUE"""),0.0)</f>
        <v>0</v>
      </c>
      <c r="AR220" s="3">
        <f>IFERROR(__xludf.DUMMYFUNCTION("""COMPUTED_VALUE"""),0.0)</f>
        <v>0</v>
      </c>
      <c r="AS220" s="3">
        <f>IFERROR(__xludf.DUMMYFUNCTION("""COMPUTED_VALUE"""),0.0)</f>
        <v>0</v>
      </c>
      <c r="AT220" s="3">
        <f>IFERROR(__xludf.DUMMYFUNCTION("""COMPUTED_VALUE"""),0.0)</f>
        <v>0</v>
      </c>
      <c r="AU220" s="3">
        <f>IFERROR(__xludf.DUMMYFUNCTION("""COMPUTED_VALUE"""),0.0)</f>
        <v>0</v>
      </c>
      <c r="AV220" s="3">
        <f>IFERROR(__xludf.DUMMYFUNCTION("""COMPUTED_VALUE"""),0.0)</f>
        <v>0</v>
      </c>
      <c r="AW220" s="3">
        <f>IFERROR(__xludf.DUMMYFUNCTION("""COMPUTED_VALUE"""),0.0)</f>
        <v>0</v>
      </c>
      <c r="AX220" s="3">
        <f>IFERROR(__xludf.DUMMYFUNCTION("""COMPUTED_VALUE"""),0.0)</f>
        <v>0</v>
      </c>
      <c r="AY220" s="3">
        <f>IFERROR(__xludf.DUMMYFUNCTION("""COMPUTED_VALUE"""),0.0)</f>
        <v>0</v>
      </c>
      <c r="AZ220" s="3">
        <f>IFERROR(__xludf.DUMMYFUNCTION("""COMPUTED_VALUE"""),0.0)</f>
        <v>0</v>
      </c>
      <c r="BA220" s="3">
        <f>IFERROR(__xludf.DUMMYFUNCTION("""COMPUTED_VALUE"""),0.0)</f>
        <v>0</v>
      </c>
      <c r="BB220" s="3">
        <f>IFERROR(__xludf.DUMMYFUNCTION("""COMPUTED_VALUE"""),0.0)</f>
        <v>0</v>
      </c>
      <c r="BC220" s="3">
        <f>IFERROR(__xludf.DUMMYFUNCTION("""COMPUTED_VALUE"""),0.0)</f>
        <v>0</v>
      </c>
      <c r="BD220" s="3">
        <f>IFERROR(__xludf.DUMMYFUNCTION("""COMPUTED_VALUE"""),0.0)</f>
        <v>0</v>
      </c>
      <c r="BE220" s="3">
        <f>IFERROR(__xludf.DUMMYFUNCTION("""COMPUTED_VALUE"""),0.0)</f>
        <v>0</v>
      </c>
      <c r="BF220" s="3">
        <f>IFERROR(__xludf.DUMMYFUNCTION("""COMPUTED_VALUE"""),0.0)</f>
        <v>0</v>
      </c>
      <c r="BG220" s="3">
        <f>IFERROR(__xludf.DUMMYFUNCTION("""COMPUTED_VALUE"""),0.0)</f>
        <v>0</v>
      </c>
      <c r="BH220" s="3">
        <f>IFERROR(__xludf.DUMMYFUNCTION("""COMPUTED_VALUE"""),0.0)</f>
        <v>0</v>
      </c>
      <c r="BI220" s="3">
        <f>IFERROR(__xludf.DUMMYFUNCTION("""COMPUTED_VALUE"""),0.0)</f>
        <v>0</v>
      </c>
      <c r="BJ220" s="3">
        <f>IFERROR(__xludf.DUMMYFUNCTION("""COMPUTED_VALUE"""),0.0)</f>
        <v>0</v>
      </c>
      <c r="BK220" s="3">
        <f>IFERROR(__xludf.DUMMYFUNCTION("""COMPUTED_VALUE"""),0.0)</f>
        <v>0</v>
      </c>
      <c r="BL220" s="3">
        <f>IFERROR(__xludf.DUMMYFUNCTION("""COMPUTED_VALUE"""),0.0)</f>
        <v>0</v>
      </c>
      <c r="BM220" s="3">
        <f>IFERROR(__xludf.DUMMYFUNCTION("""COMPUTED_VALUE"""),0.0)</f>
        <v>0</v>
      </c>
      <c r="BN220" s="3">
        <f>IFERROR(__xludf.DUMMYFUNCTION("""COMPUTED_VALUE"""),0.0)</f>
        <v>0</v>
      </c>
      <c r="BO220" s="3">
        <f>IFERROR(__xludf.DUMMYFUNCTION("""COMPUTED_VALUE"""),0.0)</f>
        <v>0</v>
      </c>
      <c r="BP220" s="3">
        <f>IFERROR(__xludf.DUMMYFUNCTION("""COMPUTED_VALUE"""),0.0)</f>
        <v>0</v>
      </c>
      <c r="BQ220" s="3">
        <f>IFERROR(__xludf.DUMMYFUNCTION("""COMPUTED_VALUE"""),0.0)</f>
        <v>0</v>
      </c>
      <c r="BR220" s="3">
        <f>IFERROR(__xludf.DUMMYFUNCTION("""COMPUTED_VALUE"""),0.0)</f>
        <v>0</v>
      </c>
      <c r="BS220" s="3">
        <f>IFERROR(__xludf.DUMMYFUNCTION("""COMPUTED_VALUE"""),0.0)</f>
        <v>0</v>
      </c>
      <c r="BT220" s="3">
        <f>IFERROR(__xludf.DUMMYFUNCTION("""COMPUTED_VALUE"""),0.0)</f>
        <v>0</v>
      </c>
      <c r="BU220" s="3">
        <f>IFERROR(__xludf.DUMMYFUNCTION("""COMPUTED_VALUE"""),0.0)</f>
        <v>0</v>
      </c>
      <c r="BV220" s="3">
        <f>IFERROR(__xludf.DUMMYFUNCTION("""COMPUTED_VALUE"""),0.0)</f>
        <v>0</v>
      </c>
      <c r="BW220" s="3">
        <f>IFERROR(__xludf.DUMMYFUNCTION("""COMPUTED_VALUE"""),0.0)</f>
        <v>0</v>
      </c>
      <c r="BX220" s="3">
        <f>IFERROR(__xludf.DUMMYFUNCTION("""COMPUTED_VALUE"""),0.0)</f>
        <v>0</v>
      </c>
      <c r="BY220" s="3">
        <f>IFERROR(__xludf.DUMMYFUNCTION("""COMPUTED_VALUE"""),0.0)</f>
        <v>0</v>
      </c>
      <c r="BZ220" s="3">
        <f>IFERROR(__xludf.DUMMYFUNCTION("""COMPUTED_VALUE"""),1.0)</f>
        <v>1</v>
      </c>
      <c r="CA220" s="3">
        <f>IFERROR(__xludf.DUMMYFUNCTION("""COMPUTED_VALUE"""),1.0)</f>
        <v>1</v>
      </c>
      <c r="CB220" s="3">
        <f>IFERROR(__xludf.DUMMYFUNCTION("""COMPUTED_VALUE"""),1.0)</f>
        <v>1</v>
      </c>
    </row>
    <row r="221">
      <c r="A221" s="3" t="str">
        <f>IFERROR(__xludf.DUMMYFUNCTION("""COMPUTED_VALUE"""),"Channel Islands")</f>
        <v>Channel Islands</v>
      </c>
      <c r="B221" s="3" t="str">
        <f>IFERROR(__xludf.DUMMYFUNCTION("""COMPUTED_VALUE"""),"United Kingdom")</f>
        <v>United Kingdom</v>
      </c>
      <c r="C221" s="3">
        <f>IFERROR(__xludf.DUMMYFUNCTION("""COMPUTED_VALUE"""),49.3723)</f>
        <v>49.3723</v>
      </c>
      <c r="D221" s="3">
        <f>IFERROR(__xludf.DUMMYFUNCTION("""COMPUTED_VALUE"""),-2.3644)</f>
        <v>-2.3644</v>
      </c>
      <c r="E221" s="3">
        <f>IFERROR(__xludf.DUMMYFUNCTION("""COMPUTED_VALUE"""),0.0)</f>
        <v>0</v>
      </c>
      <c r="F221" s="3">
        <f>IFERROR(__xludf.DUMMYFUNCTION("""COMPUTED_VALUE"""),0.0)</f>
        <v>0</v>
      </c>
      <c r="G221" s="3">
        <f>IFERROR(__xludf.DUMMYFUNCTION("""COMPUTED_VALUE"""),0.0)</f>
        <v>0</v>
      </c>
      <c r="H221" s="3">
        <f>IFERROR(__xludf.DUMMYFUNCTION("""COMPUTED_VALUE"""),0.0)</f>
        <v>0</v>
      </c>
      <c r="I221" s="3">
        <f>IFERROR(__xludf.DUMMYFUNCTION("""COMPUTED_VALUE"""),0.0)</f>
        <v>0</v>
      </c>
      <c r="J221" s="3">
        <f>IFERROR(__xludf.DUMMYFUNCTION("""COMPUTED_VALUE"""),0.0)</f>
        <v>0</v>
      </c>
      <c r="K221" s="3">
        <f>IFERROR(__xludf.DUMMYFUNCTION("""COMPUTED_VALUE"""),0.0)</f>
        <v>0</v>
      </c>
      <c r="L221" s="3">
        <f>IFERROR(__xludf.DUMMYFUNCTION("""COMPUTED_VALUE"""),0.0)</f>
        <v>0</v>
      </c>
      <c r="M221" s="3">
        <f>IFERROR(__xludf.DUMMYFUNCTION("""COMPUTED_VALUE"""),0.0)</f>
        <v>0</v>
      </c>
      <c r="N221" s="3">
        <f>IFERROR(__xludf.DUMMYFUNCTION("""COMPUTED_VALUE"""),0.0)</f>
        <v>0</v>
      </c>
      <c r="O221" s="3">
        <f>IFERROR(__xludf.DUMMYFUNCTION("""COMPUTED_VALUE"""),0.0)</f>
        <v>0</v>
      </c>
      <c r="P221" s="3">
        <f>IFERROR(__xludf.DUMMYFUNCTION("""COMPUTED_VALUE"""),0.0)</f>
        <v>0</v>
      </c>
      <c r="Q221" s="3">
        <f>IFERROR(__xludf.DUMMYFUNCTION("""COMPUTED_VALUE"""),0.0)</f>
        <v>0</v>
      </c>
      <c r="R221" s="3">
        <f>IFERROR(__xludf.DUMMYFUNCTION("""COMPUTED_VALUE"""),0.0)</f>
        <v>0</v>
      </c>
      <c r="S221" s="3">
        <f>IFERROR(__xludf.DUMMYFUNCTION("""COMPUTED_VALUE"""),0.0)</f>
        <v>0</v>
      </c>
      <c r="T221" s="3">
        <f>IFERROR(__xludf.DUMMYFUNCTION("""COMPUTED_VALUE"""),0.0)</f>
        <v>0</v>
      </c>
      <c r="U221" s="3">
        <f>IFERROR(__xludf.DUMMYFUNCTION("""COMPUTED_VALUE"""),0.0)</f>
        <v>0</v>
      </c>
      <c r="V221" s="3">
        <f>IFERROR(__xludf.DUMMYFUNCTION("""COMPUTED_VALUE"""),0.0)</f>
        <v>0</v>
      </c>
      <c r="W221" s="3">
        <f>IFERROR(__xludf.DUMMYFUNCTION("""COMPUTED_VALUE"""),0.0)</f>
        <v>0</v>
      </c>
      <c r="X221" s="3">
        <f>IFERROR(__xludf.DUMMYFUNCTION("""COMPUTED_VALUE"""),0.0)</f>
        <v>0</v>
      </c>
      <c r="Y221" s="3">
        <f>IFERROR(__xludf.DUMMYFUNCTION("""COMPUTED_VALUE"""),0.0)</f>
        <v>0</v>
      </c>
      <c r="Z221" s="3">
        <f>IFERROR(__xludf.DUMMYFUNCTION("""COMPUTED_VALUE"""),0.0)</f>
        <v>0</v>
      </c>
      <c r="AA221" s="3">
        <f>IFERROR(__xludf.DUMMYFUNCTION("""COMPUTED_VALUE"""),0.0)</f>
        <v>0</v>
      </c>
      <c r="AB221" s="3">
        <f>IFERROR(__xludf.DUMMYFUNCTION("""COMPUTED_VALUE"""),0.0)</f>
        <v>0</v>
      </c>
      <c r="AC221" s="3">
        <f>IFERROR(__xludf.DUMMYFUNCTION("""COMPUTED_VALUE"""),0.0)</f>
        <v>0</v>
      </c>
      <c r="AD221" s="3">
        <f>IFERROR(__xludf.DUMMYFUNCTION("""COMPUTED_VALUE"""),0.0)</f>
        <v>0</v>
      </c>
      <c r="AE221" s="3">
        <f>IFERROR(__xludf.DUMMYFUNCTION("""COMPUTED_VALUE"""),0.0)</f>
        <v>0</v>
      </c>
      <c r="AF221" s="3">
        <f>IFERROR(__xludf.DUMMYFUNCTION("""COMPUTED_VALUE"""),0.0)</f>
        <v>0</v>
      </c>
      <c r="AG221" s="3">
        <f>IFERROR(__xludf.DUMMYFUNCTION("""COMPUTED_VALUE"""),0.0)</f>
        <v>0</v>
      </c>
      <c r="AH221" s="3">
        <f>IFERROR(__xludf.DUMMYFUNCTION("""COMPUTED_VALUE"""),0.0)</f>
        <v>0</v>
      </c>
      <c r="AI221" s="3">
        <f>IFERROR(__xludf.DUMMYFUNCTION("""COMPUTED_VALUE"""),0.0)</f>
        <v>0</v>
      </c>
      <c r="AJ221" s="3">
        <f>IFERROR(__xludf.DUMMYFUNCTION("""COMPUTED_VALUE"""),0.0)</f>
        <v>0</v>
      </c>
      <c r="AK221" s="3">
        <f>IFERROR(__xludf.DUMMYFUNCTION("""COMPUTED_VALUE"""),0.0)</f>
        <v>0</v>
      </c>
      <c r="AL221" s="3">
        <f>IFERROR(__xludf.DUMMYFUNCTION("""COMPUTED_VALUE"""),0.0)</f>
        <v>0</v>
      </c>
      <c r="AM221" s="3">
        <f>IFERROR(__xludf.DUMMYFUNCTION("""COMPUTED_VALUE"""),0.0)</f>
        <v>0</v>
      </c>
      <c r="AN221" s="3">
        <f>IFERROR(__xludf.DUMMYFUNCTION("""COMPUTED_VALUE"""),0.0)</f>
        <v>0</v>
      </c>
      <c r="AO221" s="3">
        <f>IFERROR(__xludf.DUMMYFUNCTION("""COMPUTED_VALUE"""),0.0)</f>
        <v>0</v>
      </c>
      <c r="AP221" s="3">
        <f>IFERROR(__xludf.DUMMYFUNCTION("""COMPUTED_VALUE"""),0.0)</f>
        <v>0</v>
      </c>
      <c r="AQ221" s="3">
        <f>IFERROR(__xludf.DUMMYFUNCTION("""COMPUTED_VALUE"""),0.0)</f>
        <v>0</v>
      </c>
      <c r="AR221" s="3">
        <f>IFERROR(__xludf.DUMMYFUNCTION("""COMPUTED_VALUE"""),0.0)</f>
        <v>0</v>
      </c>
      <c r="AS221" s="3">
        <f>IFERROR(__xludf.DUMMYFUNCTION("""COMPUTED_VALUE"""),0.0)</f>
        <v>0</v>
      </c>
      <c r="AT221" s="3">
        <f>IFERROR(__xludf.DUMMYFUNCTION("""COMPUTED_VALUE"""),0.0)</f>
        <v>0</v>
      </c>
      <c r="AU221" s="3">
        <f>IFERROR(__xludf.DUMMYFUNCTION("""COMPUTED_VALUE"""),0.0)</f>
        <v>0</v>
      </c>
      <c r="AV221" s="3">
        <f>IFERROR(__xludf.DUMMYFUNCTION("""COMPUTED_VALUE"""),0.0)</f>
        <v>0</v>
      </c>
      <c r="AW221" s="3">
        <f>IFERROR(__xludf.DUMMYFUNCTION("""COMPUTED_VALUE"""),0.0)</f>
        <v>0</v>
      </c>
      <c r="AX221" s="3">
        <f>IFERROR(__xludf.DUMMYFUNCTION("""COMPUTED_VALUE"""),0.0)</f>
        <v>0</v>
      </c>
      <c r="AY221" s="3">
        <f>IFERROR(__xludf.DUMMYFUNCTION("""COMPUTED_VALUE"""),0.0)</f>
        <v>0</v>
      </c>
      <c r="AZ221" s="3">
        <f>IFERROR(__xludf.DUMMYFUNCTION("""COMPUTED_VALUE"""),0.0)</f>
        <v>0</v>
      </c>
      <c r="BA221" s="3">
        <f>IFERROR(__xludf.DUMMYFUNCTION("""COMPUTED_VALUE"""),0.0)</f>
        <v>0</v>
      </c>
      <c r="BB221" s="3">
        <f>IFERROR(__xludf.DUMMYFUNCTION("""COMPUTED_VALUE"""),0.0)</f>
        <v>0</v>
      </c>
      <c r="BC221" s="3">
        <f>IFERROR(__xludf.DUMMYFUNCTION("""COMPUTED_VALUE"""),0.0)</f>
        <v>0</v>
      </c>
      <c r="BD221" s="3">
        <f>IFERROR(__xludf.DUMMYFUNCTION("""COMPUTED_VALUE"""),0.0)</f>
        <v>0</v>
      </c>
      <c r="BE221" s="3">
        <f>IFERROR(__xludf.DUMMYFUNCTION("""COMPUTED_VALUE"""),0.0)</f>
        <v>0</v>
      </c>
      <c r="BF221" s="3">
        <f>IFERROR(__xludf.DUMMYFUNCTION("""COMPUTED_VALUE"""),0.0)</f>
        <v>0</v>
      </c>
      <c r="BG221" s="3">
        <f>IFERROR(__xludf.DUMMYFUNCTION("""COMPUTED_VALUE"""),0.0)</f>
        <v>0</v>
      </c>
      <c r="BH221" s="3">
        <f>IFERROR(__xludf.DUMMYFUNCTION("""COMPUTED_VALUE"""),0.0)</f>
        <v>0</v>
      </c>
      <c r="BI221" s="3">
        <f>IFERROR(__xludf.DUMMYFUNCTION("""COMPUTED_VALUE"""),0.0)</f>
        <v>0</v>
      </c>
      <c r="BJ221" s="3">
        <f>IFERROR(__xludf.DUMMYFUNCTION("""COMPUTED_VALUE"""),0.0)</f>
        <v>0</v>
      </c>
      <c r="BK221" s="3">
        <f>IFERROR(__xludf.DUMMYFUNCTION("""COMPUTED_VALUE"""),0.0)</f>
        <v>0</v>
      </c>
      <c r="BL221" s="3">
        <f>IFERROR(__xludf.DUMMYFUNCTION("""COMPUTED_VALUE"""),0.0)</f>
        <v>0</v>
      </c>
      <c r="BM221" s="3">
        <f>IFERROR(__xludf.DUMMYFUNCTION("""COMPUTED_VALUE"""),0.0)</f>
        <v>0</v>
      </c>
      <c r="BN221" s="3">
        <f>IFERROR(__xludf.DUMMYFUNCTION("""COMPUTED_VALUE"""),0.0)</f>
        <v>0</v>
      </c>
      <c r="BO221" s="3">
        <f>IFERROR(__xludf.DUMMYFUNCTION("""COMPUTED_VALUE"""),0.0)</f>
        <v>0</v>
      </c>
      <c r="BP221" s="3">
        <f>IFERROR(__xludf.DUMMYFUNCTION("""COMPUTED_VALUE"""),0.0)</f>
        <v>0</v>
      </c>
      <c r="BQ221" s="3">
        <f>IFERROR(__xludf.DUMMYFUNCTION("""COMPUTED_VALUE"""),0.0)</f>
        <v>0</v>
      </c>
      <c r="BR221" s="3">
        <f>IFERROR(__xludf.DUMMYFUNCTION("""COMPUTED_VALUE"""),0.0)</f>
        <v>0</v>
      </c>
      <c r="BS221" s="3">
        <f>IFERROR(__xludf.DUMMYFUNCTION("""COMPUTED_VALUE"""),0.0)</f>
        <v>0</v>
      </c>
      <c r="BT221" s="3">
        <f>IFERROR(__xludf.DUMMYFUNCTION("""COMPUTED_VALUE"""),0.0)</f>
        <v>0</v>
      </c>
      <c r="BU221" s="3">
        <f>IFERROR(__xludf.DUMMYFUNCTION("""COMPUTED_VALUE"""),0.0)</f>
        <v>0</v>
      </c>
      <c r="BV221" s="3">
        <f>IFERROR(__xludf.DUMMYFUNCTION("""COMPUTED_VALUE"""),0.0)</f>
        <v>0</v>
      </c>
      <c r="BW221" s="3">
        <f>IFERROR(__xludf.DUMMYFUNCTION("""COMPUTED_VALUE"""),0.0)</f>
        <v>0</v>
      </c>
      <c r="BX221" s="3">
        <f>IFERROR(__xludf.DUMMYFUNCTION("""COMPUTED_VALUE"""),0.0)</f>
        <v>0</v>
      </c>
      <c r="BY221" s="3">
        <f>IFERROR(__xludf.DUMMYFUNCTION("""COMPUTED_VALUE"""),13.0)</f>
        <v>13</v>
      </c>
      <c r="BZ221" s="3">
        <f>IFERROR(__xludf.DUMMYFUNCTION("""COMPUTED_VALUE"""),13.0)</f>
        <v>13</v>
      </c>
      <c r="CA221" s="3">
        <f>IFERROR(__xludf.DUMMYFUNCTION("""COMPUTED_VALUE"""),27.0)</f>
        <v>27</v>
      </c>
      <c r="CB221" s="3">
        <f>IFERROR(__xludf.DUMMYFUNCTION("""COMPUTED_VALUE"""),27.0)</f>
        <v>27</v>
      </c>
    </row>
    <row r="222">
      <c r="A222" s="3" t="str">
        <f>IFERROR(__xludf.DUMMYFUNCTION("""COMPUTED_VALUE"""),"Gibraltar")</f>
        <v>Gibraltar</v>
      </c>
      <c r="B222" s="3" t="str">
        <f>IFERROR(__xludf.DUMMYFUNCTION("""COMPUTED_VALUE"""),"United Kingdom")</f>
        <v>United Kingdom</v>
      </c>
      <c r="C222" s="3">
        <f>IFERROR(__xludf.DUMMYFUNCTION("""COMPUTED_VALUE"""),36.1408)</f>
        <v>36.1408</v>
      </c>
      <c r="D222" s="3">
        <f>IFERROR(__xludf.DUMMYFUNCTION("""COMPUTED_VALUE"""),-5.3536)</f>
        <v>-5.3536</v>
      </c>
      <c r="E222" s="3">
        <f>IFERROR(__xludf.DUMMYFUNCTION("""COMPUTED_VALUE"""),0.0)</f>
        <v>0</v>
      </c>
      <c r="F222" s="3">
        <f>IFERROR(__xludf.DUMMYFUNCTION("""COMPUTED_VALUE"""),0.0)</f>
        <v>0</v>
      </c>
      <c r="G222" s="3">
        <f>IFERROR(__xludf.DUMMYFUNCTION("""COMPUTED_VALUE"""),0.0)</f>
        <v>0</v>
      </c>
      <c r="H222" s="3">
        <f>IFERROR(__xludf.DUMMYFUNCTION("""COMPUTED_VALUE"""),0.0)</f>
        <v>0</v>
      </c>
      <c r="I222" s="3">
        <f>IFERROR(__xludf.DUMMYFUNCTION("""COMPUTED_VALUE"""),0.0)</f>
        <v>0</v>
      </c>
      <c r="J222" s="3">
        <f>IFERROR(__xludf.DUMMYFUNCTION("""COMPUTED_VALUE"""),0.0)</f>
        <v>0</v>
      </c>
      <c r="K222" s="3">
        <f>IFERROR(__xludf.DUMMYFUNCTION("""COMPUTED_VALUE"""),0.0)</f>
        <v>0</v>
      </c>
      <c r="L222" s="3">
        <f>IFERROR(__xludf.DUMMYFUNCTION("""COMPUTED_VALUE"""),0.0)</f>
        <v>0</v>
      </c>
      <c r="M222" s="3">
        <f>IFERROR(__xludf.DUMMYFUNCTION("""COMPUTED_VALUE"""),0.0)</f>
        <v>0</v>
      </c>
      <c r="N222" s="3">
        <f>IFERROR(__xludf.DUMMYFUNCTION("""COMPUTED_VALUE"""),0.0)</f>
        <v>0</v>
      </c>
      <c r="O222" s="3">
        <f>IFERROR(__xludf.DUMMYFUNCTION("""COMPUTED_VALUE"""),0.0)</f>
        <v>0</v>
      </c>
      <c r="P222" s="3">
        <f>IFERROR(__xludf.DUMMYFUNCTION("""COMPUTED_VALUE"""),0.0)</f>
        <v>0</v>
      </c>
      <c r="Q222" s="3">
        <f>IFERROR(__xludf.DUMMYFUNCTION("""COMPUTED_VALUE"""),0.0)</f>
        <v>0</v>
      </c>
      <c r="R222" s="3">
        <f>IFERROR(__xludf.DUMMYFUNCTION("""COMPUTED_VALUE"""),0.0)</f>
        <v>0</v>
      </c>
      <c r="S222" s="3">
        <f>IFERROR(__xludf.DUMMYFUNCTION("""COMPUTED_VALUE"""),0.0)</f>
        <v>0</v>
      </c>
      <c r="T222" s="3">
        <f>IFERROR(__xludf.DUMMYFUNCTION("""COMPUTED_VALUE"""),0.0)</f>
        <v>0</v>
      </c>
      <c r="U222" s="3">
        <f>IFERROR(__xludf.DUMMYFUNCTION("""COMPUTED_VALUE"""),0.0)</f>
        <v>0</v>
      </c>
      <c r="V222" s="3">
        <f>IFERROR(__xludf.DUMMYFUNCTION("""COMPUTED_VALUE"""),0.0)</f>
        <v>0</v>
      </c>
      <c r="W222" s="3">
        <f>IFERROR(__xludf.DUMMYFUNCTION("""COMPUTED_VALUE"""),0.0)</f>
        <v>0</v>
      </c>
      <c r="X222" s="3">
        <f>IFERROR(__xludf.DUMMYFUNCTION("""COMPUTED_VALUE"""),0.0)</f>
        <v>0</v>
      </c>
      <c r="Y222" s="3">
        <f>IFERROR(__xludf.DUMMYFUNCTION("""COMPUTED_VALUE"""),0.0)</f>
        <v>0</v>
      </c>
      <c r="Z222" s="3">
        <f>IFERROR(__xludf.DUMMYFUNCTION("""COMPUTED_VALUE"""),0.0)</f>
        <v>0</v>
      </c>
      <c r="AA222" s="3">
        <f>IFERROR(__xludf.DUMMYFUNCTION("""COMPUTED_VALUE"""),0.0)</f>
        <v>0</v>
      </c>
      <c r="AB222" s="3">
        <f>IFERROR(__xludf.DUMMYFUNCTION("""COMPUTED_VALUE"""),0.0)</f>
        <v>0</v>
      </c>
      <c r="AC222" s="3">
        <f>IFERROR(__xludf.DUMMYFUNCTION("""COMPUTED_VALUE"""),0.0)</f>
        <v>0</v>
      </c>
      <c r="AD222" s="3">
        <f>IFERROR(__xludf.DUMMYFUNCTION("""COMPUTED_VALUE"""),0.0)</f>
        <v>0</v>
      </c>
      <c r="AE222" s="3">
        <f>IFERROR(__xludf.DUMMYFUNCTION("""COMPUTED_VALUE"""),0.0)</f>
        <v>0</v>
      </c>
      <c r="AF222" s="3">
        <f>IFERROR(__xludf.DUMMYFUNCTION("""COMPUTED_VALUE"""),0.0)</f>
        <v>0</v>
      </c>
      <c r="AG222" s="3">
        <f>IFERROR(__xludf.DUMMYFUNCTION("""COMPUTED_VALUE"""),0.0)</f>
        <v>0</v>
      </c>
      <c r="AH222" s="3">
        <f>IFERROR(__xludf.DUMMYFUNCTION("""COMPUTED_VALUE"""),0.0)</f>
        <v>0</v>
      </c>
      <c r="AI222" s="3">
        <f>IFERROR(__xludf.DUMMYFUNCTION("""COMPUTED_VALUE"""),0.0)</f>
        <v>0</v>
      </c>
      <c r="AJ222" s="3">
        <f>IFERROR(__xludf.DUMMYFUNCTION("""COMPUTED_VALUE"""),0.0)</f>
        <v>0</v>
      </c>
      <c r="AK222" s="3">
        <f>IFERROR(__xludf.DUMMYFUNCTION("""COMPUTED_VALUE"""),0.0)</f>
        <v>0</v>
      </c>
      <c r="AL222" s="3">
        <f>IFERROR(__xludf.DUMMYFUNCTION("""COMPUTED_VALUE"""),0.0)</f>
        <v>0</v>
      </c>
      <c r="AM222" s="3">
        <f>IFERROR(__xludf.DUMMYFUNCTION("""COMPUTED_VALUE"""),0.0)</f>
        <v>0</v>
      </c>
      <c r="AN222" s="3">
        <f>IFERROR(__xludf.DUMMYFUNCTION("""COMPUTED_VALUE"""),0.0)</f>
        <v>0</v>
      </c>
      <c r="AO222" s="3">
        <f>IFERROR(__xludf.DUMMYFUNCTION("""COMPUTED_VALUE"""),0.0)</f>
        <v>0</v>
      </c>
      <c r="AP222" s="3">
        <f>IFERROR(__xludf.DUMMYFUNCTION("""COMPUTED_VALUE"""),0.0)</f>
        <v>0</v>
      </c>
      <c r="AQ222" s="3">
        <f>IFERROR(__xludf.DUMMYFUNCTION("""COMPUTED_VALUE"""),0.0)</f>
        <v>0</v>
      </c>
      <c r="AR222" s="3">
        <f>IFERROR(__xludf.DUMMYFUNCTION("""COMPUTED_VALUE"""),0.0)</f>
        <v>0</v>
      </c>
      <c r="AS222" s="3">
        <f>IFERROR(__xludf.DUMMYFUNCTION("""COMPUTED_VALUE"""),0.0)</f>
        <v>0</v>
      </c>
      <c r="AT222" s="3">
        <f>IFERROR(__xludf.DUMMYFUNCTION("""COMPUTED_VALUE"""),0.0)</f>
        <v>0</v>
      </c>
      <c r="AU222" s="3">
        <f>IFERROR(__xludf.DUMMYFUNCTION("""COMPUTED_VALUE"""),0.0)</f>
        <v>0</v>
      </c>
      <c r="AV222" s="3">
        <f>IFERROR(__xludf.DUMMYFUNCTION("""COMPUTED_VALUE"""),0.0)</f>
        <v>0</v>
      </c>
      <c r="AW222" s="3">
        <f>IFERROR(__xludf.DUMMYFUNCTION("""COMPUTED_VALUE"""),0.0)</f>
        <v>0</v>
      </c>
      <c r="AX222" s="3">
        <f>IFERROR(__xludf.DUMMYFUNCTION("""COMPUTED_VALUE"""),0.0)</f>
        <v>0</v>
      </c>
      <c r="AY222" s="3">
        <f>IFERROR(__xludf.DUMMYFUNCTION("""COMPUTED_VALUE"""),0.0)</f>
        <v>0</v>
      </c>
      <c r="AZ222" s="3">
        <f>IFERROR(__xludf.DUMMYFUNCTION("""COMPUTED_VALUE"""),0.0)</f>
        <v>0</v>
      </c>
      <c r="BA222" s="3">
        <f>IFERROR(__xludf.DUMMYFUNCTION("""COMPUTED_VALUE"""),1.0)</f>
        <v>1</v>
      </c>
      <c r="BB222" s="3">
        <f>IFERROR(__xludf.DUMMYFUNCTION("""COMPUTED_VALUE"""),1.0)</f>
        <v>1</v>
      </c>
      <c r="BC222" s="3">
        <f>IFERROR(__xludf.DUMMYFUNCTION("""COMPUTED_VALUE"""),1.0)</f>
        <v>1</v>
      </c>
      <c r="BD222" s="3">
        <f>IFERROR(__xludf.DUMMYFUNCTION("""COMPUTED_VALUE"""),1.0)</f>
        <v>1</v>
      </c>
      <c r="BE222" s="3">
        <f>IFERROR(__xludf.DUMMYFUNCTION("""COMPUTED_VALUE"""),1.0)</f>
        <v>1</v>
      </c>
      <c r="BF222" s="3">
        <f>IFERROR(__xludf.DUMMYFUNCTION("""COMPUTED_VALUE"""),1.0)</f>
        <v>1</v>
      </c>
      <c r="BG222" s="3">
        <f>IFERROR(__xludf.DUMMYFUNCTION("""COMPUTED_VALUE"""),1.0)</f>
        <v>1</v>
      </c>
      <c r="BH222" s="3">
        <f>IFERROR(__xludf.DUMMYFUNCTION("""COMPUTED_VALUE"""),1.0)</f>
        <v>1</v>
      </c>
      <c r="BI222" s="3">
        <f>IFERROR(__xludf.DUMMYFUNCTION("""COMPUTED_VALUE"""),2.0)</f>
        <v>2</v>
      </c>
      <c r="BJ222" s="3">
        <f>IFERROR(__xludf.DUMMYFUNCTION("""COMPUTED_VALUE"""),2.0)</f>
        <v>2</v>
      </c>
      <c r="BK222" s="3">
        <f>IFERROR(__xludf.DUMMYFUNCTION("""COMPUTED_VALUE"""),2.0)</f>
        <v>2</v>
      </c>
      <c r="BL222" s="3">
        <f>IFERROR(__xludf.DUMMYFUNCTION("""COMPUTED_VALUE"""),2.0)</f>
        <v>2</v>
      </c>
      <c r="BM222" s="3">
        <f>IFERROR(__xludf.DUMMYFUNCTION("""COMPUTED_VALUE"""),2.0)</f>
        <v>2</v>
      </c>
      <c r="BN222" s="3">
        <f>IFERROR(__xludf.DUMMYFUNCTION("""COMPUTED_VALUE"""),2.0)</f>
        <v>2</v>
      </c>
      <c r="BO222" s="3">
        <f>IFERROR(__xludf.DUMMYFUNCTION("""COMPUTED_VALUE"""),5.0)</f>
        <v>5</v>
      </c>
      <c r="BP222" s="3">
        <f>IFERROR(__xludf.DUMMYFUNCTION("""COMPUTED_VALUE"""),5.0)</f>
        <v>5</v>
      </c>
      <c r="BQ222" s="3">
        <f>IFERROR(__xludf.DUMMYFUNCTION("""COMPUTED_VALUE"""),13.0)</f>
        <v>13</v>
      </c>
      <c r="BR222" s="3">
        <f>IFERROR(__xludf.DUMMYFUNCTION("""COMPUTED_VALUE"""),14.0)</f>
        <v>14</v>
      </c>
      <c r="BS222" s="3">
        <f>IFERROR(__xludf.DUMMYFUNCTION("""COMPUTED_VALUE"""),14.0)</f>
        <v>14</v>
      </c>
      <c r="BT222" s="3">
        <f>IFERROR(__xludf.DUMMYFUNCTION("""COMPUTED_VALUE"""),14.0)</f>
        <v>14</v>
      </c>
      <c r="BU222" s="3">
        <f>IFERROR(__xludf.DUMMYFUNCTION("""COMPUTED_VALUE"""),34.0)</f>
        <v>34</v>
      </c>
      <c r="BV222" s="3">
        <f>IFERROR(__xludf.DUMMYFUNCTION("""COMPUTED_VALUE"""),34.0)</f>
        <v>34</v>
      </c>
      <c r="BW222" s="3">
        <f>IFERROR(__xludf.DUMMYFUNCTION("""COMPUTED_VALUE"""),34.0)</f>
        <v>34</v>
      </c>
      <c r="BX222" s="3">
        <f>IFERROR(__xludf.DUMMYFUNCTION("""COMPUTED_VALUE"""),46.0)</f>
        <v>46</v>
      </c>
      <c r="BY222" s="3">
        <f>IFERROR(__xludf.DUMMYFUNCTION("""COMPUTED_VALUE"""),46.0)</f>
        <v>46</v>
      </c>
      <c r="BZ222" s="3">
        <f>IFERROR(__xludf.DUMMYFUNCTION("""COMPUTED_VALUE"""),52.0)</f>
        <v>52</v>
      </c>
      <c r="CA222" s="3">
        <f>IFERROR(__xludf.DUMMYFUNCTION("""COMPUTED_VALUE"""),52.0)</f>
        <v>52</v>
      </c>
      <c r="CB222" s="3">
        <f>IFERROR(__xludf.DUMMYFUNCTION("""COMPUTED_VALUE"""),52.0)</f>
        <v>52</v>
      </c>
    </row>
    <row r="223">
      <c r="A223" s="3" t="str">
        <f>IFERROR(__xludf.DUMMYFUNCTION("""COMPUTED_VALUE"""),"Isle of Man")</f>
        <v>Isle of Man</v>
      </c>
      <c r="B223" s="3" t="str">
        <f>IFERROR(__xludf.DUMMYFUNCTION("""COMPUTED_VALUE"""),"United Kingdom")</f>
        <v>United Kingdom</v>
      </c>
      <c r="C223" s="3">
        <f>IFERROR(__xludf.DUMMYFUNCTION("""COMPUTED_VALUE"""),54.2361)</f>
        <v>54.2361</v>
      </c>
      <c r="D223" s="3">
        <f>IFERROR(__xludf.DUMMYFUNCTION("""COMPUTED_VALUE"""),-4.5481)</f>
        <v>-4.5481</v>
      </c>
      <c r="E223" s="3">
        <f>IFERROR(__xludf.DUMMYFUNCTION("""COMPUTED_VALUE"""),0.0)</f>
        <v>0</v>
      </c>
      <c r="F223" s="3">
        <f>IFERROR(__xludf.DUMMYFUNCTION("""COMPUTED_VALUE"""),0.0)</f>
        <v>0</v>
      </c>
      <c r="G223" s="3">
        <f>IFERROR(__xludf.DUMMYFUNCTION("""COMPUTED_VALUE"""),0.0)</f>
        <v>0</v>
      </c>
      <c r="H223" s="3">
        <f>IFERROR(__xludf.DUMMYFUNCTION("""COMPUTED_VALUE"""),0.0)</f>
        <v>0</v>
      </c>
      <c r="I223" s="3">
        <f>IFERROR(__xludf.DUMMYFUNCTION("""COMPUTED_VALUE"""),0.0)</f>
        <v>0</v>
      </c>
      <c r="J223" s="3">
        <f>IFERROR(__xludf.DUMMYFUNCTION("""COMPUTED_VALUE"""),0.0)</f>
        <v>0</v>
      </c>
      <c r="K223" s="3">
        <f>IFERROR(__xludf.DUMMYFUNCTION("""COMPUTED_VALUE"""),0.0)</f>
        <v>0</v>
      </c>
      <c r="L223" s="3">
        <f>IFERROR(__xludf.DUMMYFUNCTION("""COMPUTED_VALUE"""),0.0)</f>
        <v>0</v>
      </c>
      <c r="M223" s="3">
        <f>IFERROR(__xludf.DUMMYFUNCTION("""COMPUTED_VALUE"""),0.0)</f>
        <v>0</v>
      </c>
      <c r="N223" s="3">
        <f>IFERROR(__xludf.DUMMYFUNCTION("""COMPUTED_VALUE"""),0.0)</f>
        <v>0</v>
      </c>
      <c r="O223" s="3">
        <f>IFERROR(__xludf.DUMMYFUNCTION("""COMPUTED_VALUE"""),0.0)</f>
        <v>0</v>
      </c>
      <c r="P223" s="3">
        <f>IFERROR(__xludf.DUMMYFUNCTION("""COMPUTED_VALUE"""),0.0)</f>
        <v>0</v>
      </c>
      <c r="Q223" s="3">
        <f>IFERROR(__xludf.DUMMYFUNCTION("""COMPUTED_VALUE"""),0.0)</f>
        <v>0</v>
      </c>
      <c r="R223" s="3">
        <f>IFERROR(__xludf.DUMMYFUNCTION("""COMPUTED_VALUE"""),0.0)</f>
        <v>0</v>
      </c>
      <c r="S223" s="3">
        <f>IFERROR(__xludf.DUMMYFUNCTION("""COMPUTED_VALUE"""),0.0)</f>
        <v>0</v>
      </c>
      <c r="T223" s="3">
        <f>IFERROR(__xludf.DUMMYFUNCTION("""COMPUTED_VALUE"""),0.0)</f>
        <v>0</v>
      </c>
      <c r="U223" s="3">
        <f>IFERROR(__xludf.DUMMYFUNCTION("""COMPUTED_VALUE"""),0.0)</f>
        <v>0</v>
      </c>
      <c r="V223" s="3">
        <f>IFERROR(__xludf.DUMMYFUNCTION("""COMPUTED_VALUE"""),0.0)</f>
        <v>0</v>
      </c>
      <c r="W223" s="3">
        <f>IFERROR(__xludf.DUMMYFUNCTION("""COMPUTED_VALUE"""),0.0)</f>
        <v>0</v>
      </c>
      <c r="X223" s="3">
        <f>IFERROR(__xludf.DUMMYFUNCTION("""COMPUTED_VALUE"""),0.0)</f>
        <v>0</v>
      </c>
      <c r="Y223" s="3">
        <f>IFERROR(__xludf.DUMMYFUNCTION("""COMPUTED_VALUE"""),0.0)</f>
        <v>0</v>
      </c>
      <c r="Z223" s="3">
        <f>IFERROR(__xludf.DUMMYFUNCTION("""COMPUTED_VALUE"""),0.0)</f>
        <v>0</v>
      </c>
      <c r="AA223" s="3">
        <f>IFERROR(__xludf.DUMMYFUNCTION("""COMPUTED_VALUE"""),0.0)</f>
        <v>0</v>
      </c>
      <c r="AB223" s="3">
        <f>IFERROR(__xludf.DUMMYFUNCTION("""COMPUTED_VALUE"""),0.0)</f>
        <v>0</v>
      </c>
      <c r="AC223" s="3">
        <f>IFERROR(__xludf.DUMMYFUNCTION("""COMPUTED_VALUE"""),0.0)</f>
        <v>0</v>
      </c>
      <c r="AD223" s="3">
        <f>IFERROR(__xludf.DUMMYFUNCTION("""COMPUTED_VALUE"""),0.0)</f>
        <v>0</v>
      </c>
      <c r="AE223" s="3">
        <f>IFERROR(__xludf.DUMMYFUNCTION("""COMPUTED_VALUE"""),0.0)</f>
        <v>0</v>
      </c>
      <c r="AF223" s="3">
        <f>IFERROR(__xludf.DUMMYFUNCTION("""COMPUTED_VALUE"""),0.0)</f>
        <v>0</v>
      </c>
      <c r="AG223" s="3">
        <f>IFERROR(__xludf.DUMMYFUNCTION("""COMPUTED_VALUE"""),0.0)</f>
        <v>0</v>
      </c>
      <c r="AH223" s="3">
        <f>IFERROR(__xludf.DUMMYFUNCTION("""COMPUTED_VALUE"""),0.0)</f>
        <v>0</v>
      </c>
      <c r="AI223" s="3">
        <f>IFERROR(__xludf.DUMMYFUNCTION("""COMPUTED_VALUE"""),0.0)</f>
        <v>0</v>
      </c>
      <c r="AJ223" s="3">
        <f>IFERROR(__xludf.DUMMYFUNCTION("""COMPUTED_VALUE"""),0.0)</f>
        <v>0</v>
      </c>
      <c r="AK223" s="3">
        <f>IFERROR(__xludf.DUMMYFUNCTION("""COMPUTED_VALUE"""),0.0)</f>
        <v>0</v>
      </c>
      <c r="AL223" s="3">
        <f>IFERROR(__xludf.DUMMYFUNCTION("""COMPUTED_VALUE"""),0.0)</f>
        <v>0</v>
      </c>
      <c r="AM223" s="3">
        <f>IFERROR(__xludf.DUMMYFUNCTION("""COMPUTED_VALUE"""),0.0)</f>
        <v>0</v>
      </c>
      <c r="AN223" s="3">
        <f>IFERROR(__xludf.DUMMYFUNCTION("""COMPUTED_VALUE"""),0.0)</f>
        <v>0</v>
      </c>
      <c r="AO223" s="3">
        <f>IFERROR(__xludf.DUMMYFUNCTION("""COMPUTED_VALUE"""),0.0)</f>
        <v>0</v>
      </c>
      <c r="AP223" s="3">
        <f>IFERROR(__xludf.DUMMYFUNCTION("""COMPUTED_VALUE"""),0.0)</f>
        <v>0</v>
      </c>
      <c r="AQ223" s="3">
        <f>IFERROR(__xludf.DUMMYFUNCTION("""COMPUTED_VALUE"""),0.0)</f>
        <v>0</v>
      </c>
      <c r="AR223" s="3">
        <f>IFERROR(__xludf.DUMMYFUNCTION("""COMPUTED_VALUE"""),0.0)</f>
        <v>0</v>
      </c>
      <c r="AS223" s="3">
        <f>IFERROR(__xludf.DUMMYFUNCTION("""COMPUTED_VALUE"""),0.0)</f>
        <v>0</v>
      </c>
      <c r="AT223" s="3">
        <f>IFERROR(__xludf.DUMMYFUNCTION("""COMPUTED_VALUE"""),0.0)</f>
        <v>0</v>
      </c>
      <c r="AU223" s="3">
        <f>IFERROR(__xludf.DUMMYFUNCTION("""COMPUTED_VALUE"""),0.0)</f>
        <v>0</v>
      </c>
      <c r="AV223" s="3">
        <f>IFERROR(__xludf.DUMMYFUNCTION("""COMPUTED_VALUE"""),0.0)</f>
        <v>0</v>
      </c>
      <c r="AW223" s="3">
        <f>IFERROR(__xludf.DUMMYFUNCTION("""COMPUTED_VALUE"""),0.0)</f>
        <v>0</v>
      </c>
      <c r="AX223" s="3">
        <f>IFERROR(__xludf.DUMMYFUNCTION("""COMPUTED_VALUE"""),0.0)</f>
        <v>0</v>
      </c>
      <c r="AY223" s="3">
        <f>IFERROR(__xludf.DUMMYFUNCTION("""COMPUTED_VALUE"""),0.0)</f>
        <v>0</v>
      </c>
      <c r="AZ223" s="3">
        <f>IFERROR(__xludf.DUMMYFUNCTION("""COMPUTED_VALUE"""),0.0)</f>
        <v>0</v>
      </c>
      <c r="BA223" s="3">
        <f>IFERROR(__xludf.DUMMYFUNCTION("""COMPUTED_VALUE"""),0.0)</f>
        <v>0</v>
      </c>
      <c r="BB223" s="3">
        <f>IFERROR(__xludf.DUMMYFUNCTION("""COMPUTED_VALUE"""),0.0)</f>
        <v>0</v>
      </c>
      <c r="BC223" s="3">
        <f>IFERROR(__xludf.DUMMYFUNCTION("""COMPUTED_VALUE"""),0.0)</f>
        <v>0</v>
      </c>
      <c r="BD223" s="3">
        <f>IFERROR(__xludf.DUMMYFUNCTION("""COMPUTED_VALUE"""),0.0)</f>
        <v>0</v>
      </c>
      <c r="BE223" s="3">
        <f>IFERROR(__xludf.DUMMYFUNCTION("""COMPUTED_VALUE"""),0.0)</f>
        <v>0</v>
      </c>
      <c r="BF223" s="3">
        <f>IFERROR(__xludf.DUMMYFUNCTION("""COMPUTED_VALUE"""),0.0)</f>
        <v>0</v>
      </c>
      <c r="BG223" s="3">
        <f>IFERROR(__xludf.DUMMYFUNCTION("""COMPUTED_VALUE"""),0.0)</f>
        <v>0</v>
      </c>
      <c r="BH223" s="3">
        <f>IFERROR(__xludf.DUMMYFUNCTION("""COMPUTED_VALUE"""),0.0)</f>
        <v>0</v>
      </c>
      <c r="BI223" s="3">
        <f>IFERROR(__xludf.DUMMYFUNCTION("""COMPUTED_VALUE"""),0.0)</f>
        <v>0</v>
      </c>
      <c r="BJ223" s="3">
        <f>IFERROR(__xludf.DUMMYFUNCTION("""COMPUTED_VALUE"""),0.0)</f>
        <v>0</v>
      </c>
      <c r="BK223" s="3">
        <f>IFERROR(__xludf.DUMMYFUNCTION("""COMPUTED_VALUE"""),0.0)</f>
        <v>0</v>
      </c>
      <c r="BL223" s="3">
        <f>IFERROR(__xludf.DUMMYFUNCTION("""COMPUTED_VALUE"""),0.0)</f>
        <v>0</v>
      </c>
      <c r="BM223" s="3">
        <f>IFERROR(__xludf.DUMMYFUNCTION("""COMPUTED_VALUE"""),0.0)</f>
        <v>0</v>
      </c>
      <c r="BN223" s="3">
        <f>IFERROR(__xludf.DUMMYFUNCTION("""COMPUTED_VALUE"""),0.0)</f>
        <v>0</v>
      </c>
      <c r="BO223" s="3">
        <f>IFERROR(__xludf.DUMMYFUNCTION("""COMPUTED_VALUE"""),0.0)</f>
        <v>0</v>
      </c>
      <c r="BP223" s="3">
        <f>IFERROR(__xludf.DUMMYFUNCTION("""COMPUTED_VALUE"""),0.0)</f>
        <v>0</v>
      </c>
      <c r="BQ223" s="3">
        <f>IFERROR(__xludf.DUMMYFUNCTION("""COMPUTED_VALUE"""),0.0)</f>
        <v>0</v>
      </c>
      <c r="BR223" s="3">
        <f>IFERROR(__xludf.DUMMYFUNCTION("""COMPUTED_VALUE"""),0.0)</f>
        <v>0</v>
      </c>
      <c r="BS223" s="3">
        <f>IFERROR(__xludf.DUMMYFUNCTION("""COMPUTED_VALUE"""),0.0)</f>
        <v>0</v>
      </c>
      <c r="BT223" s="3">
        <f>IFERROR(__xludf.DUMMYFUNCTION("""COMPUTED_VALUE"""),0.0)</f>
        <v>0</v>
      </c>
      <c r="BU223" s="3">
        <f>IFERROR(__xludf.DUMMYFUNCTION("""COMPUTED_VALUE"""),0.0)</f>
        <v>0</v>
      </c>
      <c r="BV223" s="3">
        <f>IFERROR(__xludf.DUMMYFUNCTION("""COMPUTED_VALUE"""),0.0)</f>
        <v>0</v>
      </c>
      <c r="BW223" s="3">
        <f>IFERROR(__xludf.DUMMYFUNCTION("""COMPUTED_VALUE"""),0.0)</f>
        <v>0</v>
      </c>
      <c r="BX223" s="3">
        <f>IFERROR(__xludf.DUMMYFUNCTION("""COMPUTED_VALUE"""),0.0)</f>
        <v>0</v>
      </c>
      <c r="BY223" s="3">
        <f>IFERROR(__xludf.DUMMYFUNCTION("""COMPUTED_VALUE"""),0.0)</f>
        <v>0</v>
      </c>
      <c r="BZ223" s="3">
        <f>IFERROR(__xludf.DUMMYFUNCTION("""COMPUTED_VALUE"""),0.0)</f>
        <v>0</v>
      </c>
      <c r="CA223" s="3">
        <f>IFERROR(__xludf.DUMMYFUNCTION("""COMPUTED_VALUE"""),0.0)</f>
        <v>0</v>
      </c>
      <c r="CB223" s="3">
        <f>IFERROR(__xludf.DUMMYFUNCTION("""COMPUTED_VALUE"""),55.0)</f>
        <v>55</v>
      </c>
    </row>
    <row r="224">
      <c r="A224" s="3" t="str">
        <f>IFERROR(__xludf.DUMMYFUNCTION("""COMPUTED_VALUE"""),"Montserrat")</f>
        <v>Montserrat</v>
      </c>
      <c r="B224" s="3" t="str">
        <f>IFERROR(__xludf.DUMMYFUNCTION("""COMPUTED_VALUE"""),"United Kingdom")</f>
        <v>United Kingdom</v>
      </c>
      <c r="C224" s="3">
        <f>IFERROR(__xludf.DUMMYFUNCTION("""COMPUTED_VALUE"""),16.7425)</f>
        <v>16.7425</v>
      </c>
      <c r="D224" s="3">
        <f>IFERROR(__xludf.DUMMYFUNCTION("""COMPUTED_VALUE"""),-62.1874)</f>
        <v>-62.1874</v>
      </c>
      <c r="E224" s="3">
        <f>IFERROR(__xludf.DUMMYFUNCTION("""COMPUTED_VALUE"""),0.0)</f>
        <v>0</v>
      </c>
      <c r="F224" s="3">
        <f>IFERROR(__xludf.DUMMYFUNCTION("""COMPUTED_VALUE"""),0.0)</f>
        <v>0</v>
      </c>
      <c r="G224" s="3">
        <f>IFERROR(__xludf.DUMMYFUNCTION("""COMPUTED_VALUE"""),0.0)</f>
        <v>0</v>
      </c>
      <c r="H224" s="3">
        <f>IFERROR(__xludf.DUMMYFUNCTION("""COMPUTED_VALUE"""),0.0)</f>
        <v>0</v>
      </c>
      <c r="I224" s="3">
        <f>IFERROR(__xludf.DUMMYFUNCTION("""COMPUTED_VALUE"""),0.0)</f>
        <v>0</v>
      </c>
      <c r="J224" s="3">
        <f>IFERROR(__xludf.DUMMYFUNCTION("""COMPUTED_VALUE"""),0.0)</f>
        <v>0</v>
      </c>
      <c r="K224" s="3">
        <f>IFERROR(__xludf.DUMMYFUNCTION("""COMPUTED_VALUE"""),0.0)</f>
        <v>0</v>
      </c>
      <c r="L224" s="3">
        <f>IFERROR(__xludf.DUMMYFUNCTION("""COMPUTED_VALUE"""),0.0)</f>
        <v>0</v>
      </c>
      <c r="M224" s="3">
        <f>IFERROR(__xludf.DUMMYFUNCTION("""COMPUTED_VALUE"""),0.0)</f>
        <v>0</v>
      </c>
      <c r="N224" s="3">
        <f>IFERROR(__xludf.DUMMYFUNCTION("""COMPUTED_VALUE"""),0.0)</f>
        <v>0</v>
      </c>
      <c r="O224" s="3">
        <f>IFERROR(__xludf.DUMMYFUNCTION("""COMPUTED_VALUE"""),0.0)</f>
        <v>0</v>
      </c>
      <c r="P224" s="3">
        <f>IFERROR(__xludf.DUMMYFUNCTION("""COMPUTED_VALUE"""),0.0)</f>
        <v>0</v>
      </c>
      <c r="Q224" s="3">
        <f>IFERROR(__xludf.DUMMYFUNCTION("""COMPUTED_VALUE"""),0.0)</f>
        <v>0</v>
      </c>
      <c r="R224" s="3">
        <f>IFERROR(__xludf.DUMMYFUNCTION("""COMPUTED_VALUE"""),0.0)</f>
        <v>0</v>
      </c>
      <c r="S224" s="3">
        <f>IFERROR(__xludf.DUMMYFUNCTION("""COMPUTED_VALUE"""),0.0)</f>
        <v>0</v>
      </c>
      <c r="T224" s="3">
        <f>IFERROR(__xludf.DUMMYFUNCTION("""COMPUTED_VALUE"""),0.0)</f>
        <v>0</v>
      </c>
      <c r="U224" s="3">
        <f>IFERROR(__xludf.DUMMYFUNCTION("""COMPUTED_VALUE"""),0.0)</f>
        <v>0</v>
      </c>
      <c r="V224" s="3">
        <f>IFERROR(__xludf.DUMMYFUNCTION("""COMPUTED_VALUE"""),0.0)</f>
        <v>0</v>
      </c>
      <c r="W224" s="3">
        <f>IFERROR(__xludf.DUMMYFUNCTION("""COMPUTED_VALUE"""),0.0)</f>
        <v>0</v>
      </c>
      <c r="X224" s="3">
        <f>IFERROR(__xludf.DUMMYFUNCTION("""COMPUTED_VALUE"""),0.0)</f>
        <v>0</v>
      </c>
      <c r="Y224" s="3">
        <f>IFERROR(__xludf.DUMMYFUNCTION("""COMPUTED_VALUE"""),0.0)</f>
        <v>0</v>
      </c>
      <c r="Z224" s="3">
        <f>IFERROR(__xludf.DUMMYFUNCTION("""COMPUTED_VALUE"""),0.0)</f>
        <v>0</v>
      </c>
      <c r="AA224" s="3">
        <f>IFERROR(__xludf.DUMMYFUNCTION("""COMPUTED_VALUE"""),0.0)</f>
        <v>0</v>
      </c>
      <c r="AB224" s="3">
        <f>IFERROR(__xludf.DUMMYFUNCTION("""COMPUTED_VALUE"""),0.0)</f>
        <v>0</v>
      </c>
      <c r="AC224" s="3">
        <f>IFERROR(__xludf.DUMMYFUNCTION("""COMPUTED_VALUE"""),0.0)</f>
        <v>0</v>
      </c>
      <c r="AD224" s="3">
        <f>IFERROR(__xludf.DUMMYFUNCTION("""COMPUTED_VALUE"""),0.0)</f>
        <v>0</v>
      </c>
      <c r="AE224" s="3">
        <f>IFERROR(__xludf.DUMMYFUNCTION("""COMPUTED_VALUE"""),0.0)</f>
        <v>0</v>
      </c>
      <c r="AF224" s="3">
        <f>IFERROR(__xludf.DUMMYFUNCTION("""COMPUTED_VALUE"""),0.0)</f>
        <v>0</v>
      </c>
      <c r="AG224" s="3">
        <f>IFERROR(__xludf.DUMMYFUNCTION("""COMPUTED_VALUE"""),0.0)</f>
        <v>0</v>
      </c>
      <c r="AH224" s="3">
        <f>IFERROR(__xludf.DUMMYFUNCTION("""COMPUTED_VALUE"""),0.0)</f>
        <v>0</v>
      </c>
      <c r="AI224" s="3">
        <f>IFERROR(__xludf.DUMMYFUNCTION("""COMPUTED_VALUE"""),0.0)</f>
        <v>0</v>
      </c>
      <c r="AJ224" s="3">
        <f>IFERROR(__xludf.DUMMYFUNCTION("""COMPUTED_VALUE"""),0.0)</f>
        <v>0</v>
      </c>
      <c r="AK224" s="3">
        <f>IFERROR(__xludf.DUMMYFUNCTION("""COMPUTED_VALUE"""),0.0)</f>
        <v>0</v>
      </c>
      <c r="AL224" s="3">
        <f>IFERROR(__xludf.DUMMYFUNCTION("""COMPUTED_VALUE"""),0.0)</f>
        <v>0</v>
      </c>
      <c r="AM224" s="3">
        <f>IFERROR(__xludf.DUMMYFUNCTION("""COMPUTED_VALUE"""),0.0)</f>
        <v>0</v>
      </c>
      <c r="AN224" s="3">
        <f>IFERROR(__xludf.DUMMYFUNCTION("""COMPUTED_VALUE"""),0.0)</f>
        <v>0</v>
      </c>
      <c r="AO224" s="3">
        <f>IFERROR(__xludf.DUMMYFUNCTION("""COMPUTED_VALUE"""),0.0)</f>
        <v>0</v>
      </c>
      <c r="AP224" s="3">
        <f>IFERROR(__xludf.DUMMYFUNCTION("""COMPUTED_VALUE"""),0.0)</f>
        <v>0</v>
      </c>
      <c r="AQ224" s="3">
        <f>IFERROR(__xludf.DUMMYFUNCTION("""COMPUTED_VALUE"""),0.0)</f>
        <v>0</v>
      </c>
      <c r="AR224" s="3">
        <f>IFERROR(__xludf.DUMMYFUNCTION("""COMPUTED_VALUE"""),0.0)</f>
        <v>0</v>
      </c>
      <c r="AS224" s="3">
        <f>IFERROR(__xludf.DUMMYFUNCTION("""COMPUTED_VALUE"""),0.0)</f>
        <v>0</v>
      </c>
      <c r="AT224" s="3">
        <f>IFERROR(__xludf.DUMMYFUNCTION("""COMPUTED_VALUE"""),0.0)</f>
        <v>0</v>
      </c>
      <c r="AU224" s="3">
        <f>IFERROR(__xludf.DUMMYFUNCTION("""COMPUTED_VALUE"""),0.0)</f>
        <v>0</v>
      </c>
      <c r="AV224" s="3">
        <f>IFERROR(__xludf.DUMMYFUNCTION("""COMPUTED_VALUE"""),0.0)</f>
        <v>0</v>
      </c>
      <c r="AW224" s="3">
        <f>IFERROR(__xludf.DUMMYFUNCTION("""COMPUTED_VALUE"""),0.0)</f>
        <v>0</v>
      </c>
      <c r="AX224" s="3">
        <f>IFERROR(__xludf.DUMMYFUNCTION("""COMPUTED_VALUE"""),0.0)</f>
        <v>0</v>
      </c>
      <c r="AY224" s="3">
        <f>IFERROR(__xludf.DUMMYFUNCTION("""COMPUTED_VALUE"""),0.0)</f>
        <v>0</v>
      </c>
      <c r="AZ224" s="3">
        <f>IFERROR(__xludf.DUMMYFUNCTION("""COMPUTED_VALUE"""),0.0)</f>
        <v>0</v>
      </c>
      <c r="BA224" s="3">
        <f>IFERROR(__xludf.DUMMYFUNCTION("""COMPUTED_VALUE"""),0.0)</f>
        <v>0</v>
      </c>
      <c r="BB224" s="3">
        <f>IFERROR(__xludf.DUMMYFUNCTION("""COMPUTED_VALUE"""),0.0)</f>
        <v>0</v>
      </c>
      <c r="BC224" s="3">
        <f>IFERROR(__xludf.DUMMYFUNCTION("""COMPUTED_VALUE"""),0.0)</f>
        <v>0</v>
      </c>
      <c r="BD224" s="3">
        <f>IFERROR(__xludf.DUMMYFUNCTION("""COMPUTED_VALUE"""),0.0)</f>
        <v>0</v>
      </c>
      <c r="BE224" s="3">
        <f>IFERROR(__xludf.DUMMYFUNCTION("""COMPUTED_VALUE"""),0.0)</f>
        <v>0</v>
      </c>
      <c r="BF224" s="3">
        <f>IFERROR(__xludf.DUMMYFUNCTION("""COMPUTED_VALUE"""),0.0)</f>
        <v>0</v>
      </c>
      <c r="BG224" s="3">
        <f>IFERROR(__xludf.DUMMYFUNCTION("""COMPUTED_VALUE"""),0.0)</f>
        <v>0</v>
      </c>
      <c r="BH224" s="3">
        <f>IFERROR(__xludf.DUMMYFUNCTION("""COMPUTED_VALUE"""),0.0)</f>
        <v>0</v>
      </c>
      <c r="BI224" s="3">
        <f>IFERROR(__xludf.DUMMYFUNCTION("""COMPUTED_VALUE"""),0.0)</f>
        <v>0</v>
      </c>
      <c r="BJ224" s="3">
        <f>IFERROR(__xludf.DUMMYFUNCTION("""COMPUTED_VALUE"""),0.0)</f>
        <v>0</v>
      </c>
      <c r="BK224" s="3">
        <f>IFERROR(__xludf.DUMMYFUNCTION("""COMPUTED_VALUE"""),0.0)</f>
        <v>0</v>
      </c>
      <c r="BL224" s="3">
        <f>IFERROR(__xludf.DUMMYFUNCTION("""COMPUTED_VALUE"""),0.0)</f>
        <v>0</v>
      </c>
      <c r="BM224" s="3">
        <f>IFERROR(__xludf.DUMMYFUNCTION("""COMPUTED_VALUE"""),0.0)</f>
        <v>0</v>
      </c>
      <c r="BN224" s="3">
        <f>IFERROR(__xludf.DUMMYFUNCTION("""COMPUTED_VALUE"""),0.0)</f>
        <v>0</v>
      </c>
      <c r="BO224" s="3">
        <f>IFERROR(__xludf.DUMMYFUNCTION("""COMPUTED_VALUE"""),0.0)</f>
        <v>0</v>
      </c>
      <c r="BP224" s="3">
        <f>IFERROR(__xludf.DUMMYFUNCTION("""COMPUTED_VALUE"""),0.0)</f>
        <v>0</v>
      </c>
      <c r="BQ224" s="3">
        <f>IFERROR(__xludf.DUMMYFUNCTION("""COMPUTED_VALUE"""),0.0)</f>
        <v>0</v>
      </c>
      <c r="BR224" s="3">
        <f>IFERROR(__xludf.DUMMYFUNCTION("""COMPUTED_VALUE"""),0.0)</f>
        <v>0</v>
      </c>
      <c r="BS224" s="3">
        <f>IFERROR(__xludf.DUMMYFUNCTION("""COMPUTED_VALUE"""),0.0)</f>
        <v>0</v>
      </c>
      <c r="BT224" s="3">
        <f>IFERROR(__xludf.DUMMYFUNCTION("""COMPUTED_VALUE"""),0.0)</f>
        <v>0</v>
      </c>
      <c r="BU224" s="3">
        <f>IFERROR(__xludf.DUMMYFUNCTION("""COMPUTED_VALUE"""),0.0)</f>
        <v>0</v>
      </c>
      <c r="BV224" s="3">
        <f>IFERROR(__xludf.DUMMYFUNCTION("""COMPUTED_VALUE"""),0.0)</f>
        <v>0</v>
      </c>
      <c r="BW224" s="3">
        <f>IFERROR(__xludf.DUMMYFUNCTION("""COMPUTED_VALUE"""),0.0)</f>
        <v>0</v>
      </c>
      <c r="BX224" s="3">
        <f>IFERROR(__xludf.DUMMYFUNCTION("""COMPUTED_VALUE"""),0.0)</f>
        <v>0</v>
      </c>
      <c r="BY224" s="3">
        <f>IFERROR(__xludf.DUMMYFUNCTION("""COMPUTED_VALUE"""),0.0)</f>
        <v>0</v>
      </c>
      <c r="BZ224" s="3">
        <f>IFERROR(__xludf.DUMMYFUNCTION("""COMPUTED_VALUE"""),0.0)</f>
        <v>0</v>
      </c>
      <c r="CA224" s="3">
        <f>IFERROR(__xludf.DUMMYFUNCTION("""COMPUTED_VALUE"""),0.0)</f>
        <v>0</v>
      </c>
      <c r="CB224" s="3">
        <f>IFERROR(__xludf.DUMMYFUNCTION("""COMPUTED_VALUE"""),0.0)</f>
        <v>0</v>
      </c>
    </row>
    <row r="225">
      <c r="A225" s="3" t="str">
        <f>IFERROR(__xludf.DUMMYFUNCTION("""COMPUTED_VALUE"""),"")</f>
        <v/>
      </c>
      <c r="B225" s="3" t="str">
        <f>IFERROR(__xludf.DUMMYFUNCTION("""COMPUTED_VALUE"""),"United Kingdom")</f>
        <v>United Kingdom</v>
      </c>
      <c r="C225" s="3">
        <f>IFERROR(__xludf.DUMMYFUNCTION("""COMPUTED_VALUE"""),55.3781)</f>
        <v>55.3781</v>
      </c>
      <c r="D225" s="3">
        <f>IFERROR(__xludf.DUMMYFUNCTION("""COMPUTED_VALUE"""),-3.436)</f>
        <v>-3.436</v>
      </c>
      <c r="E225" s="3">
        <f>IFERROR(__xludf.DUMMYFUNCTION("""COMPUTED_VALUE"""),0.0)</f>
        <v>0</v>
      </c>
      <c r="F225" s="3">
        <f>IFERROR(__xludf.DUMMYFUNCTION("""COMPUTED_VALUE"""),0.0)</f>
        <v>0</v>
      </c>
      <c r="G225" s="3">
        <f>IFERROR(__xludf.DUMMYFUNCTION("""COMPUTED_VALUE"""),0.0)</f>
        <v>0</v>
      </c>
      <c r="H225" s="3">
        <f>IFERROR(__xludf.DUMMYFUNCTION("""COMPUTED_VALUE"""),0.0)</f>
        <v>0</v>
      </c>
      <c r="I225" s="3">
        <f>IFERROR(__xludf.DUMMYFUNCTION("""COMPUTED_VALUE"""),0.0)</f>
        <v>0</v>
      </c>
      <c r="J225" s="3">
        <f>IFERROR(__xludf.DUMMYFUNCTION("""COMPUTED_VALUE"""),0.0)</f>
        <v>0</v>
      </c>
      <c r="K225" s="3">
        <f>IFERROR(__xludf.DUMMYFUNCTION("""COMPUTED_VALUE"""),0.0)</f>
        <v>0</v>
      </c>
      <c r="L225" s="3">
        <f>IFERROR(__xludf.DUMMYFUNCTION("""COMPUTED_VALUE"""),0.0)</f>
        <v>0</v>
      </c>
      <c r="M225" s="3">
        <f>IFERROR(__xludf.DUMMYFUNCTION("""COMPUTED_VALUE"""),0.0)</f>
        <v>0</v>
      </c>
      <c r="N225" s="3">
        <f>IFERROR(__xludf.DUMMYFUNCTION("""COMPUTED_VALUE"""),0.0)</f>
        <v>0</v>
      </c>
      <c r="O225" s="3">
        <f>IFERROR(__xludf.DUMMYFUNCTION("""COMPUTED_VALUE"""),0.0)</f>
        <v>0</v>
      </c>
      <c r="P225" s="3">
        <f>IFERROR(__xludf.DUMMYFUNCTION("""COMPUTED_VALUE"""),0.0)</f>
        <v>0</v>
      </c>
      <c r="Q225" s="3">
        <f>IFERROR(__xludf.DUMMYFUNCTION("""COMPUTED_VALUE"""),0.0)</f>
        <v>0</v>
      </c>
      <c r="R225" s="3">
        <f>IFERROR(__xludf.DUMMYFUNCTION("""COMPUTED_VALUE"""),0.0)</f>
        <v>0</v>
      </c>
      <c r="S225" s="3">
        <f>IFERROR(__xludf.DUMMYFUNCTION("""COMPUTED_VALUE"""),0.0)</f>
        <v>0</v>
      </c>
      <c r="T225" s="3">
        <f>IFERROR(__xludf.DUMMYFUNCTION("""COMPUTED_VALUE"""),0.0)</f>
        <v>0</v>
      </c>
      <c r="U225" s="3">
        <f>IFERROR(__xludf.DUMMYFUNCTION("""COMPUTED_VALUE"""),0.0)</f>
        <v>0</v>
      </c>
      <c r="V225" s="3">
        <f>IFERROR(__xludf.DUMMYFUNCTION("""COMPUTED_VALUE"""),0.0)</f>
        <v>0</v>
      </c>
      <c r="W225" s="3">
        <f>IFERROR(__xludf.DUMMYFUNCTION("""COMPUTED_VALUE"""),0.0)</f>
        <v>0</v>
      </c>
      <c r="X225" s="3">
        <f>IFERROR(__xludf.DUMMYFUNCTION("""COMPUTED_VALUE"""),0.0)</f>
        <v>0</v>
      </c>
      <c r="Y225" s="3">
        <f>IFERROR(__xludf.DUMMYFUNCTION("""COMPUTED_VALUE"""),0.0)</f>
        <v>0</v>
      </c>
      <c r="Z225" s="3">
        <f>IFERROR(__xludf.DUMMYFUNCTION("""COMPUTED_VALUE"""),1.0)</f>
        <v>1</v>
      </c>
      <c r="AA225" s="3">
        <f>IFERROR(__xludf.DUMMYFUNCTION("""COMPUTED_VALUE"""),1.0)</f>
        <v>1</v>
      </c>
      <c r="AB225" s="3">
        <f>IFERROR(__xludf.DUMMYFUNCTION("""COMPUTED_VALUE"""),1.0)</f>
        <v>1</v>
      </c>
      <c r="AC225" s="3">
        <f>IFERROR(__xludf.DUMMYFUNCTION("""COMPUTED_VALUE"""),1.0)</f>
        <v>1</v>
      </c>
      <c r="AD225" s="3">
        <f>IFERROR(__xludf.DUMMYFUNCTION("""COMPUTED_VALUE"""),8.0)</f>
        <v>8</v>
      </c>
      <c r="AE225" s="3">
        <f>IFERROR(__xludf.DUMMYFUNCTION("""COMPUTED_VALUE"""),8.0)</f>
        <v>8</v>
      </c>
      <c r="AF225" s="3">
        <f>IFERROR(__xludf.DUMMYFUNCTION("""COMPUTED_VALUE"""),8.0)</f>
        <v>8</v>
      </c>
      <c r="AG225" s="3">
        <f>IFERROR(__xludf.DUMMYFUNCTION("""COMPUTED_VALUE"""),8.0)</f>
        <v>8</v>
      </c>
      <c r="AH225" s="3">
        <f>IFERROR(__xludf.DUMMYFUNCTION("""COMPUTED_VALUE"""),8.0)</f>
        <v>8</v>
      </c>
      <c r="AI225" s="3">
        <f>IFERROR(__xludf.DUMMYFUNCTION("""COMPUTED_VALUE"""),8.0)</f>
        <v>8</v>
      </c>
      <c r="AJ225" s="3">
        <f>IFERROR(__xludf.DUMMYFUNCTION("""COMPUTED_VALUE"""),8.0)</f>
        <v>8</v>
      </c>
      <c r="AK225" s="3">
        <f>IFERROR(__xludf.DUMMYFUNCTION("""COMPUTED_VALUE"""),8.0)</f>
        <v>8</v>
      </c>
      <c r="AL225" s="3">
        <f>IFERROR(__xludf.DUMMYFUNCTION("""COMPUTED_VALUE"""),8.0)</f>
        <v>8</v>
      </c>
      <c r="AM225" s="3">
        <f>IFERROR(__xludf.DUMMYFUNCTION("""COMPUTED_VALUE"""),8.0)</f>
        <v>8</v>
      </c>
      <c r="AN225" s="3">
        <f>IFERROR(__xludf.DUMMYFUNCTION("""COMPUTED_VALUE"""),8.0)</f>
        <v>8</v>
      </c>
      <c r="AO225" s="3">
        <f>IFERROR(__xludf.DUMMYFUNCTION("""COMPUTED_VALUE"""),8.0)</f>
        <v>8</v>
      </c>
      <c r="AP225" s="3">
        <f>IFERROR(__xludf.DUMMYFUNCTION("""COMPUTED_VALUE"""),8.0)</f>
        <v>8</v>
      </c>
      <c r="AQ225" s="3">
        <f>IFERROR(__xludf.DUMMYFUNCTION("""COMPUTED_VALUE"""),8.0)</f>
        <v>8</v>
      </c>
      <c r="AR225" s="3">
        <f>IFERROR(__xludf.DUMMYFUNCTION("""COMPUTED_VALUE"""),8.0)</f>
        <v>8</v>
      </c>
      <c r="AS225" s="3">
        <f>IFERROR(__xludf.DUMMYFUNCTION("""COMPUTED_VALUE"""),8.0)</f>
        <v>8</v>
      </c>
      <c r="AT225" s="3">
        <f>IFERROR(__xludf.DUMMYFUNCTION("""COMPUTED_VALUE"""),8.0)</f>
        <v>8</v>
      </c>
      <c r="AU225" s="3">
        <f>IFERROR(__xludf.DUMMYFUNCTION("""COMPUTED_VALUE"""),8.0)</f>
        <v>8</v>
      </c>
      <c r="AV225" s="3">
        <f>IFERROR(__xludf.DUMMYFUNCTION("""COMPUTED_VALUE"""),8.0)</f>
        <v>8</v>
      </c>
      <c r="AW225" s="3">
        <f>IFERROR(__xludf.DUMMYFUNCTION("""COMPUTED_VALUE"""),8.0)</f>
        <v>8</v>
      </c>
      <c r="AX225" s="3">
        <f>IFERROR(__xludf.DUMMYFUNCTION("""COMPUTED_VALUE"""),18.0)</f>
        <v>18</v>
      </c>
      <c r="AY225" s="3">
        <f>IFERROR(__xludf.DUMMYFUNCTION("""COMPUTED_VALUE"""),18.0)</f>
        <v>18</v>
      </c>
      <c r="AZ225" s="3">
        <f>IFERROR(__xludf.DUMMYFUNCTION("""COMPUTED_VALUE"""),18.0)</f>
        <v>18</v>
      </c>
      <c r="BA225" s="3">
        <f>IFERROR(__xludf.DUMMYFUNCTION("""COMPUTED_VALUE"""),18.0)</f>
        <v>18</v>
      </c>
      <c r="BB225" s="3">
        <f>IFERROR(__xludf.DUMMYFUNCTION("""COMPUTED_VALUE"""),18.0)</f>
        <v>18</v>
      </c>
      <c r="BC225" s="3">
        <f>IFERROR(__xludf.DUMMYFUNCTION("""COMPUTED_VALUE"""),18.0)</f>
        <v>18</v>
      </c>
      <c r="BD225" s="3">
        <f>IFERROR(__xludf.DUMMYFUNCTION("""COMPUTED_VALUE"""),18.0)</f>
        <v>18</v>
      </c>
      <c r="BE225" s="3">
        <f>IFERROR(__xludf.DUMMYFUNCTION("""COMPUTED_VALUE"""),18.0)</f>
        <v>18</v>
      </c>
      <c r="BF225" s="3">
        <f>IFERROR(__xludf.DUMMYFUNCTION("""COMPUTED_VALUE"""),18.0)</f>
        <v>18</v>
      </c>
      <c r="BG225" s="3">
        <f>IFERROR(__xludf.DUMMYFUNCTION("""COMPUTED_VALUE"""),20.0)</f>
        <v>20</v>
      </c>
      <c r="BH225" s="3">
        <f>IFERROR(__xludf.DUMMYFUNCTION("""COMPUTED_VALUE"""),52.0)</f>
        <v>52</v>
      </c>
      <c r="BI225" s="3">
        <f>IFERROR(__xludf.DUMMYFUNCTION("""COMPUTED_VALUE"""),65.0)</f>
        <v>65</v>
      </c>
      <c r="BJ225" s="3">
        <f>IFERROR(__xludf.DUMMYFUNCTION("""COMPUTED_VALUE"""),65.0)</f>
        <v>65</v>
      </c>
      <c r="BK225" s="3">
        <f>IFERROR(__xludf.DUMMYFUNCTION("""COMPUTED_VALUE"""),65.0)</f>
        <v>65</v>
      </c>
      <c r="BL225" s="3">
        <f>IFERROR(__xludf.DUMMYFUNCTION("""COMPUTED_VALUE"""),65.0)</f>
        <v>65</v>
      </c>
      <c r="BM225" s="3">
        <f>IFERROR(__xludf.DUMMYFUNCTION("""COMPUTED_VALUE"""),65.0)</f>
        <v>65</v>
      </c>
      <c r="BN225" s="3">
        <f>IFERROR(__xludf.DUMMYFUNCTION("""COMPUTED_VALUE"""),65.0)</f>
        <v>65</v>
      </c>
      <c r="BO225" s="3">
        <f>IFERROR(__xludf.DUMMYFUNCTION("""COMPUTED_VALUE"""),135.0)</f>
        <v>135</v>
      </c>
      <c r="BP225" s="3">
        <f>IFERROR(__xludf.DUMMYFUNCTION("""COMPUTED_VALUE"""),135.0)</f>
        <v>135</v>
      </c>
      <c r="BQ225" s="3">
        <f>IFERROR(__xludf.DUMMYFUNCTION("""COMPUTED_VALUE"""),135.0)</f>
        <v>135</v>
      </c>
      <c r="BR225" s="3">
        <f>IFERROR(__xludf.DUMMYFUNCTION("""COMPUTED_VALUE"""),135.0)</f>
        <v>135</v>
      </c>
      <c r="BS225" s="3">
        <f>IFERROR(__xludf.DUMMYFUNCTION("""COMPUTED_VALUE"""),135.0)</f>
        <v>135</v>
      </c>
      <c r="BT225" s="3">
        <f>IFERROR(__xludf.DUMMYFUNCTION("""COMPUTED_VALUE"""),135.0)</f>
        <v>135</v>
      </c>
      <c r="BU225" s="3">
        <f>IFERROR(__xludf.DUMMYFUNCTION("""COMPUTED_VALUE"""),135.0)</f>
        <v>135</v>
      </c>
      <c r="BV225" s="3">
        <f>IFERROR(__xludf.DUMMYFUNCTION("""COMPUTED_VALUE"""),135.0)</f>
        <v>135</v>
      </c>
      <c r="BW225" s="3">
        <f>IFERROR(__xludf.DUMMYFUNCTION("""COMPUTED_VALUE"""),135.0)</f>
        <v>135</v>
      </c>
      <c r="BX225" s="3">
        <f>IFERROR(__xludf.DUMMYFUNCTION("""COMPUTED_VALUE"""),135.0)</f>
        <v>135</v>
      </c>
      <c r="BY225" s="3">
        <f>IFERROR(__xludf.DUMMYFUNCTION("""COMPUTED_VALUE"""),135.0)</f>
        <v>135</v>
      </c>
      <c r="BZ225" s="3">
        <f>IFERROR(__xludf.DUMMYFUNCTION("""COMPUTED_VALUE"""),135.0)</f>
        <v>135</v>
      </c>
      <c r="CA225" s="3">
        <f>IFERROR(__xludf.DUMMYFUNCTION("""COMPUTED_VALUE"""),135.0)</f>
        <v>135</v>
      </c>
      <c r="CB225" s="3">
        <f>IFERROR(__xludf.DUMMYFUNCTION("""COMPUTED_VALUE"""),135.0)</f>
        <v>135</v>
      </c>
    </row>
    <row r="226">
      <c r="A226" s="3" t="str">
        <f>IFERROR(__xludf.DUMMYFUNCTION("""COMPUTED_VALUE"""),"")</f>
        <v/>
      </c>
      <c r="B226" s="3" t="str">
        <f>IFERROR(__xludf.DUMMYFUNCTION("""COMPUTED_VALUE"""),"Uruguay")</f>
        <v>Uruguay</v>
      </c>
      <c r="C226" s="3">
        <f>IFERROR(__xludf.DUMMYFUNCTION("""COMPUTED_VALUE"""),-32.5228)</f>
        <v>-32.5228</v>
      </c>
      <c r="D226" s="3">
        <f>IFERROR(__xludf.DUMMYFUNCTION("""COMPUTED_VALUE"""),-55.7658)</f>
        <v>-55.7658</v>
      </c>
      <c r="E226" s="3">
        <f>IFERROR(__xludf.DUMMYFUNCTION("""COMPUTED_VALUE"""),0.0)</f>
        <v>0</v>
      </c>
      <c r="F226" s="3">
        <f>IFERROR(__xludf.DUMMYFUNCTION("""COMPUTED_VALUE"""),0.0)</f>
        <v>0</v>
      </c>
      <c r="G226" s="3">
        <f>IFERROR(__xludf.DUMMYFUNCTION("""COMPUTED_VALUE"""),0.0)</f>
        <v>0</v>
      </c>
      <c r="H226" s="3">
        <f>IFERROR(__xludf.DUMMYFUNCTION("""COMPUTED_VALUE"""),0.0)</f>
        <v>0</v>
      </c>
      <c r="I226" s="3">
        <f>IFERROR(__xludf.DUMMYFUNCTION("""COMPUTED_VALUE"""),0.0)</f>
        <v>0</v>
      </c>
      <c r="J226" s="3">
        <f>IFERROR(__xludf.DUMMYFUNCTION("""COMPUTED_VALUE"""),0.0)</f>
        <v>0</v>
      </c>
      <c r="K226" s="3">
        <f>IFERROR(__xludf.DUMMYFUNCTION("""COMPUTED_VALUE"""),0.0)</f>
        <v>0</v>
      </c>
      <c r="L226" s="3">
        <f>IFERROR(__xludf.DUMMYFUNCTION("""COMPUTED_VALUE"""),0.0)</f>
        <v>0</v>
      </c>
      <c r="M226" s="3">
        <f>IFERROR(__xludf.DUMMYFUNCTION("""COMPUTED_VALUE"""),0.0)</f>
        <v>0</v>
      </c>
      <c r="N226" s="3">
        <f>IFERROR(__xludf.DUMMYFUNCTION("""COMPUTED_VALUE"""),0.0)</f>
        <v>0</v>
      </c>
      <c r="O226" s="3">
        <f>IFERROR(__xludf.DUMMYFUNCTION("""COMPUTED_VALUE"""),0.0)</f>
        <v>0</v>
      </c>
      <c r="P226" s="3">
        <f>IFERROR(__xludf.DUMMYFUNCTION("""COMPUTED_VALUE"""),0.0)</f>
        <v>0</v>
      </c>
      <c r="Q226" s="3">
        <f>IFERROR(__xludf.DUMMYFUNCTION("""COMPUTED_VALUE"""),0.0)</f>
        <v>0</v>
      </c>
      <c r="R226" s="3">
        <f>IFERROR(__xludf.DUMMYFUNCTION("""COMPUTED_VALUE"""),0.0)</f>
        <v>0</v>
      </c>
      <c r="S226" s="3">
        <f>IFERROR(__xludf.DUMMYFUNCTION("""COMPUTED_VALUE"""),0.0)</f>
        <v>0</v>
      </c>
      <c r="T226" s="3">
        <f>IFERROR(__xludf.DUMMYFUNCTION("""COMPUTED_VALUE"""),0.0)</f>
        <v>0</v>
      </c>
      <c r="U226" s="3">
        <f>IFERROR(__xludf.DUMMYFUNCTION("""COMPUTED_VALUE"""),0.0)</f>
        <v>0</v>
      </c>
      <c r="V226" s="3">
        <f>IFERROR(__xludf.DUMMYFUNCTION("""COMPUTED_VALUE"""),0.0)</f>
        <v>0</v>
      </c>
      <c r="W226" s="3">
        <f>IFERROR(__xludf.DUMMYFUNCTION("""COMPUTED_VALUE"""),0.0)</f>
        <v>0</v>
      </c>
      <c r="X226" s="3">
        <f>IFERROR(__xludf.DUMMYFUNCTION("""COMPUTED_VALUE"""),0.0)</f>
        <v>0</v>
      </c>
      <c r="Y226" s="3">
        <f>IFERROR(__xludf.DUMMYFUNCTION("""COMPUTED_VALUE"""),0.0)</f>
        <v>0</v>
      </c>
      <c r="Z226" s="3">
        <f>IFERROR(__xludf.DUMMYFUNCTION("""COMPUTED_VALUE"""),0.0)</f>
        <v>0</v>
      </c>
      <c r="AA226" s="3">
        <f>IFERROR(__xludf.DUMMYFUNCTION("""COMPUTED_VALUE"""),0.0)</f>
        <v>0</v>
      </c>
      <c r="AB226" s="3">
        <f>IFERROR(__xludf.DUMMYFUNCTION("""COMPUTED_VALUE"""),0.0)</f>
        <v>0</v>
      </c>
      <c r="AC226" s="3">
        <f>IFERROR(__xludf.DUMMYFUNCTION("""COMPUTED_VALUE"""),0.0)</f>
        <v>0</v>
      </c>
      <c r="AD226" s="3">
        <f>IFERROR(__xludf.DUMMYFUNCTION("""COMPUTED_VALUE"""),0.0)</f>
        <v>0</v>
      </c>
      <c r="AE226" s="3">
        <f>IFERROR(__xludf.DUMMYFUNCTION("""COMPUTED_VALUE"""),0.0)</f>
        <v>0</v>
      </c>
      <c r="AF226" s="3">
        <f>IFERROR(__xludf.DUMMYFUNCTION("""COMPUTED_VALUE"""),0.0)</f>
        <v>0</v>
      </c>
      <c r="AG226" s="3">
        <f>IFERROR(__xludf.DUMMYFUNCTION("""COMPUTED_VALUE"""),0.0)</f>
        <v>0</v>
      </c>
      <c r="AH226" s="3">
        <f>IFERROR(__xludf.DUMMYFUNCTION("""COMPUTED_VALUE"""),0.0)</f>
        <v>0</v>
      </c>
      <c r="AI226" s="3">
        <f>IFERROR(__xludf.DUMMYFUNCTION("""COMPUTED_VALUE"""),0.0)</f>
        <v>0</v>
      </c>
      <c r="AJ226" s="3">
        <f>IFERROR(__xludf.DUMMYFUNCTION("""COMPUTED_VALUE"""),0.0)</f>
        <v>0</v>
      </c>
      <c r="AK226" s="3">
        <f>IFERROR(__xludf.DUMMYFUNCTION("""COMPUTED_VALUE"""),0.0)</f>
        <v>0</v>
      </c>
      <c r="AL226" s="3">
        <f>IFERROR(__xludf.DUMMYFUNCTION("""COMPUTED_VALUE"""),0.0)</f>
        <v>0</v>
      </c>
      <c r="AM226" s="3">
        <f>IFERROR(__xludf.DUMMYFUNCTION("""COMPUTED_VALUE"""),0.0)</f>
        <v>0</v>
      </c>
      <c r="AN226" s="3">
        <f>IFERROR(__xludf.DUMMYFUNCTION("""COMPUTED_VALUE"""),0.0)</f>
        <v>0</v>
      </c>
      <c r="AO226" s="3">
        <f>IFERROR(__xludf.DUMMYFUNCTION("""COMPUTED_VALUE"""),0.0)</f>
        <v>0</v>
      </c>
      <c r="AP226" s="3">
        <f>IFERROR(__xludf.DUMMYFUNCTION("""COMPUTED_VALUE"""),0.0)</f>
        <v>0</v>
      </c>
      <c r="AQ226" s="3">
        <f>IFERROR(__xludf.DUMMYFUNCTION("""COMPUTED_VALUE"""),0.0)</f>
        <v>0</v>
      </c>
      <c r="AR226" s="3">
        <f>IFERROR(__xludf.DUMMYFUNCTION("""COMPUTED_VALUE"""),0.0)</f>
        <v>0</v>
      </c>
      <c r="AS226" s="3">
        <f>IFERROR(__xludf.DUMMYFUNCTION("""COMPUTED_VALUE"""),0.0)</f>
        <v>0</v>
      </c>
      <c r="AT226" s="3">
        <f>IFERROR(__xludf.DUMMYFUNCTION("""COMPUTED_VALUE"""),0.0)</f>
        <v>0</v>
      </c>
      <c r="AU226" s="3">
        <f>IFERROR(__xludf.DUMMYFUNCTION("""COMPUTED_VALUE"""),0.0)</f>
        <v>0</v>
      </c>
      <c r="AV226" s="3">
        <f>IFERROR(__xludf.DUMMYFUNCTION("""COMPUTED_VALUE"""),0.0)</f>
        <v>0</v>
      </c>
      <c r="AW226" s="3">
        <f>IFERROR(__xludf.DUMMYFUNCTION("""COMPUTED_VALUE"""),0.0)</f>
        <v>0</v>
      </c>
      <c r="AX226" s="3">
        <f>IFERROR(__xludf.DUMMYFUNCTION("""COMPUTED_VALUE"""),0.0)</f>
        <v>0</v>
      </c>
      <c r="AY226" s="3">
        <f>IFERROR(__xludf.DUMMYFUNCTION("""COMPUTED_VALUE"""),0.0)</f>
        <v>0</v>
      </c>
      <c r="AZ226" s="3">
        <f>IFERROR(__xludf.DUMMYFUNCTION("""COMPUTED_VALUE"""),0.0)</f>
        <v>0</v>
      </c>
      <c r="BA226" s="3">
        <f>IFERROR(__xludf.DUMMYFUNCTION("""COMPUTED_VALUE"""),0.0)</f>
        <v>0</v>
      </c>
      <c r="BB226" s="3">
        <f>IFERROR(__xludf.DUMMYFUNCTION("""COMPUTED_VALUE"""),0.0)</f>
        <v>0</v>
      </c>
      <c r="BC226" s="3">
        <f>IFERROR(__xludf.DUMMYFUNCTION("""COMPUTED_VALUE"""),0.0)</f>
        <v>0</v>
      </c>
      <c r="BD226" s="3">
        <f>IFERROR(__xludf.DUMMYFUNCTION("""COMPUTED_VALUE"""),0.0)</f>
        <v>0</v>
      </c>
      <c r="BE226" s="3">
        <f>IFERROR(__xludf.DUMMYFUNCTION("""COMPUTED_VALUE"""),0.0)</f>
        <v>0</v>
      </c>
      <c r="BF226" s="3">
        <f>IFERROR(__xludf.DUMMYFUNCTION("""COMPUTED_VALUE"""),0.0)</f>
        <v>0</v>
      </c>
      <c r="BG226" s="3">
        <f>IFERROR(__xludf.DUMMYFUNCTION("""COMPUTED_VALUE"""),0.0)</f>
        <v>0</v>
      </c>
      <c r="BH226" s="3">
        <f>IFERROR(__xludf.DUMMYFUNCTION("""COMPUTED_VALUE"""),0.0)</f>
        <v>0</v>
      </c>
      <c r="BI226" s="3">
        <f>IFERROR(__xludf.DUMMYFUNCTION("""COMPUTED_VALUE"""),0.0)</f>
        <v>0</v>
      </c>
      <c r="BJ226" s="3">
        <f>IFERROR(__xludf.DUMMYFUNCTION("""COMPUTED_VALUE"""),0.0)</f>
        <v>0</v>
      </c>
      <c r="BK226" s="3">
        <f>IFERROR(__xludf.DUMMYFUNCTION("""COMPUTED_VALUE"""),0.0)</f>
        <v>0</v>
      </c>
      <c r="BL226" s="3">
        <f>IFERROR(__xludf.DUMMYFUNCTION("""COMPUTED_VALUE"""),0.0)</f>
        <v>0</v>
      </c>
      <c r="BM226" s="3">
        <f>IFERROR(__xludf.DUMMYFUNCTION("""COMPUTED_VALUE"""),0.0)</f>
        <v>0</v>
      </c>
      <c r="BN226" s="3">
        <f>IFERROR(__xludf.DUMMYFUNCTION("""COMPUTED_VALUE"""),0.0)</f>
        <v>0</v>
      </c>
      <c r="BO226" s="3">
        <f>IFERROR(__xludf.DUMMYFUNCTION("""COMPUTED_VALUE"""),0.0)</f>
        <v>0</v>
      </c>
      <c r="BP226" s="3">
        <f>IFERROR(__xludf.DUMMYFUNCTION("""COMPUTED_VALUE"""),0.0)</f>
        <v>0</v>
      </c>
      <c r="BQ226" s="3">
        <f>IFERROR(__xludf.DUMMYFUNCTION("""COMPUTED_VALUE"""),0.0)</f>
        <v>0</v>
      </c>
      <c r="BR226" s="3">
        <f>IFERROR(__xludf.DUMMYFUNCTION("""COMPUTED_VALUE"""),0.0)</f>
        <v>0</v>
      </c>
      <c r="BS226" s="3">
        <f>IFERROR(__xludf.DUMMYFUNCTION("""COMPUTED_VALUE"""),0.0)</f>
        <v>0</v>
      </c>
      <c r="BT226" s="3">
        <f>IFERROR(__xludf.DUMMYFUNCTION("""COMPUTED_VALUE"""),0.0)</f>
        <v>0</v>
      </c>
      <c r="BU226" s="3">
        <f>IFERROR(__xludf.DUMMYFUNCTION("""COMPUTED_VALUE"""),0.0)</f>
        <v>0</v>
      </c>
      <c r="BV226" s="3">
        <f>IFERROR(__xludf.DUMMYFUNCTION("""COMPUTED_VALUE"""),41.0)</f>
        <v>41</v>
      </c>
      <c r="BW226" s="3">
        <f>IFERROR(__xludf.DUMMYFUNCTION("""COMPUTED_VALUE"""),41.0)</f>
        <v>41</v>
      </c>
      <c r="BX226" s="3">
        <f>IFERROR(__xludf.DUMMYFUNCTION("""COMPUTED_VALUE"""),62.0)</f>
        <v>62</v>
      </c>
      <c r="BY226" s="3">
        <f>IFERROR(__xludf.DUMMYFUNCTION("""COMPUTED_VALUE"""),68.0)</f>
        <v>68</v>
      </c>
      <c r="BZ226" s="3">
        <f>IFERROR(__xludf.DUMMYFUNCTION("""COMPUTED_VALUE"""),93.0)</f>
        <v>93</v>
      </c>
      <c r="CA226" s="3">
        <f>IFERROR(__xludf.DUMMYFUNCTION("""COMPUTED_VALUE"""),93.0)</f>
        <v>93</v>
      </c>
      <c r="CB226" s="3">
        <f>IFERROR(__xludf.DUMMYFUNCTION("""COMPUTED_VALUE"""),104.0)</f>
        <v>104</v>
      </c>
    </row>
    <row r="227">
      <c r="A227" s="3" t="str">
        <f>IFERROR(__xludf.DUMMYFUNCTION("""COMPUTED_VALUE"""),"")</f>
        <v/>
      </c>
      <c r="B227" s="3" t="str">
        <f>IFERROR(__xludf.DUMMYFUNCTION("""COMPUTED_VALUE"""),"US")</f>
        <v>US</v>
      </c>
      <c r="C227" s="3">
        <f>IFERROR(__xludf.DUMMYFUNCTION("""COMPUTED_VALUE"""),37.0902)</f>
        <v>37.0902</v>
      </c>
      <c r="D227" s="3">
        <f>IFERROR(__xludf.DUMMYFUNCTION("""COMPUTED_VALUE"""),-95.7129)</f>
        <v>-95.7129</v>
      </c>
      <c r="E227" s="3">
        <f>IFERROR(__xludf.DUMMYFUNCTION("""COMPUTED_VALUE"""),0.0)</f>
        <v>0</v>
      </c>
      <c r="F227" s="3">
        <f>IFERROR(__xludf.DUMMYFUNCTION("""COMPUTED_VALUE"""),0.0)</f>
        <v>0</v>
      </c>
      <c r="G227" s="3">
        <f>IFERROR(__xludf.DUMMYFUNCTION("""COMPUTED_VALUE"""),0.0)</f>
        <v>0</v>
      </c>
      <c r="H227" s="3">
        <f>IFERROR(__xludf.DUMMYFUNCTION("""COMPUTED_VALUE"""),0.0)</f>
        <v>0</v>
      </c>
      <c r="I227" s="3">
        <f>IFERROR(__xludf.DUMMYFUNCTION("""COMPUTED_VALUE"""),0.0)</f>
        <v>0</v>
      </c>
      <c r="J227" s="3">
        <f>IFERROR(__xludf.DUMMYFUNCTION("""COMPUTED_VALUE"""),0.0)</f>
        <v>0</v>
      </c>
      <c r="K227" s="3">
        <f>IFERROR(__xludf.DUMMYFUNCTION("""COMPUTED_VALUE"""),0.0)</f>
        <v>0</v>
      </c>
      <c r="L227" s="3">
        <f>IFERROR(__xludf.DUMMYFUNCTION("""COMPUTED_VALUE"""),0.0)</f>
        <v>0</v>
      </c>
      <c r="M227" s="3">
        <f>IFERROR(__xludf.DUMMYFUNCTION("""COMPUTED_VALUE"""),0.0)</f>
        <v>0</v>
      </c>
      <c r="N227" s="3">
        <f>IFERROR(__xludf.DUMMYFUNCTION("""COMPUTED_VALUE"""),0.0)</f>
        <v>0</v>
      </c>
      <c r="O227" s="3">
        <f>IFERROR(__xludf.DUMMYFUNCTION("""COMPUTED_VALUE"""),0.0)</f>
        <v>0</v>
      </c>
      <c r="P227" s="3">
        <f>IFERROR(__xludf.DUMMYFUNCTION("""COMPUTED_VALUE"""),0.0)</f>
        <v>0</v>
      </c>
      <c r="Q227" s="3">
        <f>IFERROR(__xludf.DUMMYFUNCTION("""COMPUTED_VALUE"""),0.0)</f>
        <v>0</v>
      </c>
      <c r="R227" s="3">
        <f>IFERROR(__xludf.DUMMYFUNCTION("""COMPUTED_VALUE"""),0.0)</f>
        <v>0</v>
      </c>
      <c r="S227" s="3">
        <f>IFERROR(__xludf.DUMMYFUNCTION("""COMPUTED_VALUE"""),0.0)</f>
        <v>0</v>
      </c>
      <c r="T227" s="3">
        <f>IFERROR(__xludf.DUMMYFUNCTION("""COMPUTED_VALUE"""),0.0)</f>
        <v>0</v>
      </c>
      <c r="U227" s="3">
        <f>IFERROR(__xludf.DUMMYFUNCTION("""COMPUTED_VALUE"""),0.0)</f>
        <v>0</v>
      </c>
      <c r="V227" s="3">
        <f>IFERROR(__xludf.DUMMYFUNCTION("""COMPUTED_VALUE"""),0.0)</f>
        <v>0</v>
      </c>
      <c r="W227" s="3">
        <f>IFERROR(__xludf.DUMMYFUNCTION("""COMPUTED_VALUE"""),3.0)</f>
        <v>3</v>
      </c>
      <c r="X227" s="3">
        <f>IFERROR(__xludf.DUMMYFUNCTION("""COMPUTED_VALUE"""),3.0)</f>
        <v>3</v>
      </c>
      <c r="Y227" s="3">
        <f>IFERROR(__xludf.DUMMYFUNCTION("""COMPUTED_VALUE"""),3.0)</f>
        <v>3</v>
      </c>
      <c r="Z227" s="3">
        <f>IFERROR(__xludf.DUMMYFUNCTION("""COMPUTED_VALUE"""),3.0)</f>
        <v>3</v>
      </c>
      <c r="AA227" s="3">
        <f>IFERROR(__xludf.DUMMYFUNCTION("""COMPUTED_VALUE"""),3.0)</f>
        <v>3</v>
      </c>
      <c r="AB227" s="3">
        <f>IFERROR(__xludf.DUMMYFUNCTION("""COMPUTED_VALUE"""),3.0)</f>
        <v>3</v>
      </c>
      <c r="AC227" s="3">
        <f>IFERROR(__xludf.DUMMYFUNCTION("""COMPUTED_VALUE"""),3.0)</f>
        <v>3</v>
      </c>
      <c r="AD227" s="3">
        <f>IFERROR(__xludf.DUMMYFUNCTION("""COMPUTED_VALUE"""),3.0)</f>
        <v>3</v>
      </c>
      <c r="AE227" s="3">
        <f>IFERROR(__xludf.DUMMYFUNCTION("""COMPUTED_VALUE"""),3.0)</f>
        <v>3</v>
      </c>
      <c r="AF227" s="3">
        <f>IFERROR(__xludf.DUMMYFUNCTION("""COMPUTED_VALUE"""),3.0)</f>
        <v>3</v>
      </c>
      <c r="AG227" s="3">
        <f>IFERROR(__xludf.DUMMYFUNCTION("""COMPUTED_VALUE"""),3.0)</f>
        <v>3</v>
      </c>
      <c r="AH227" s="3">
        <f>IFERROR(__xludf.DUMMYFUNCTION("""COMPUTED_VALUE"""),3.0)</f>
        <v>3</v>
      </c>
      <c r="AI227" s="3">
        <f>IFERROR(__xludf.DUMMYFUNCTION("""COMPUTED_VALUE"""),5.0)</f>
        <v>5</v>
      </c>
      <c r="AJ227" s="3">
        <f>IFERROR(__xludf.DUMMYFUNCTION("""COMPUTED_VALUE"""),5.0)</f>
        <v>5</v>
      </c>
      <c r="AK227" s="3">
        <f>IFERROR(__xludf.DUMMYFUNCTION("""COMPUTED_VALUE"""),5.0)</f>
        <v>5</v>
      </c>
      <c r="AL227" s="3">
        <f>IFERROR(__xludf.DUMMYFUNCTION("""COMPUTED_VALUE"""),5.0)</f>
        <v>5</v>
      </c>
      <c r="AM227" s="3">
        <f>IFERROR(__xludf.DUMMYFUNCTION("""COMPUTED_VALUE"""),6.0)</f>
        <v>6</v>
      </c>
      <c r="AN227" s="3">
        <f>IFERROR(__xludf.DUMMYFUNCTION("""COMPUTED_VALUE"""),6.0)</f>
        <v>6</v>
      </c>
      <c r="AO227" s="3">
        <f>IFERROR(__xludf.DUMMYFUNCTION("""COMPUTED_VALUE"""),6.0)</f>
        <v>6</v>
      </c>
      <c r="AP227" s="3">
        <f>IFERROR(__xludf.DUMMYFUNCTION("""COMPUTED_VALUE"""),7.0)</f>
        <v>7</v>
      </c>
      <c r="AQ227" s="3">
        <f>IFERROR(__xludf.DUMMYFUNCTION("""COMPUTED_VALUE"""),7.0)</f>
        <v>7</v>
      </c>
      <c r="AR227" s="3">
        <f>IFERROR(__xludf.DUMMYFUNCTION("""COMPUTED_VALUE"""),7.0)</f>
        <v>7</v>
      </c>
      <c r="AS227" s="3">
        <f>IFERROR(__xludf.DUMMYFUNCTION("""COMPUTED_VALUE"""),7.0)</f>
        <v>7</v>
      </c>
      <c r="AT227" s="3">
        <f>IFERROR(__xludf.DUMMYFUNCTION("""COMPUTED_VALUE"""),7.0)</f>
        <v>7</v>
      </c>
      <c r="AU227" s="3">
        <f>IFERROR(__xludf.DUMMYFUNCTION("""COMPUTED_VALUE"""),7.0)</f>
        <v>7</v>
      </c>
      <c r="AV227" s="3">
        <f>IFERROR(__xludf.DUMMYFUNCTION("""COMPUTED_VALUE"""),7.0)</f>
        <v>7</v>
      </c>
      <c r="AW227" s="3">
        <f>IFERROR(__xludf.DUMMYFUNCTION("""COMPUTED_VALUE"""),7.0)</f>
        <v>7</v>
      </c>
      <c r="AX227" s="3">
        <f>IFERROR(__xludf.DUMMYFUNCTION("""COMPUTED_VALUE"""),7.0)</f>
        <v>7</v>
      </c>
      <c r="AY227" s="3">
        <f>IFERROR(__xludf.DUMMYFUNCTION("""COMPUTED_VALUE"""),7.0)</f>
        <v>7</v>
      </c>
      <c r="AZ227" s="3">
        <f>IFERROR(__xludf.DUMMYFUNCTION("""COMPUTED_VALUE"""),7.0)</f>
        <v>7</v>
      </c>
      <c r="BA227" s="3">
        <f>IFERROR(__xludf.DUMMYFUNCTION("""COMPUTED_VALUE"""),8.0)</f>
        <v>8</v>
      </c>
      <c r="BB227" s="3">
        <f>IFERROR(__xludf.DUMMYFUNCTION("""COMPUTED_VALUE"""),8.0)</f>
        <v>8</v>
      </c>
      <c r="BC227" s="3">
        <f>IFERROR(__xludf.DUMMYFUNCTION("""COMPUTED_VALUE"""),12.0)</f>
        <v>12</v>
      </c>
      <c r="BD227" s="3">
        <f>IFERROR(__xludf.DUMMYFUNCTION("""COMPUTED_VALUE"""),12.0)</f>
        <v>12</v>
      </c>
      <c r="BE227" s="3">
        <f>IFERROR(__xludf.DUMMYFUNCTION("""COMPUTED_VALUE"""),12.0)</f>
        <v>12</v>
      </c>
      <c r="BF227" s="3">
        <f>IFERROR(__xludf.DUMMYFUNCTION("""COMPUTED_VALUE"""),12.0)</f>
        <v>12</v>
      </c>
      <c r="BG227" s="3">
        <f>IFERROR(__xludf.DUMMYFUNCTION("""COMPUTED_VALUE"""),17.0)</f>
        <v>17</v>
      </c>
      <c r="BH227" s="3">
        <f>IFERROR(__xludf.DUMMYFUNCTION("""COMPUTED_VALUE"""),17.0)</f>
        <v>17</v>
      </c>
      <c r="BI227" s="3">
        <f>IFERROR(__xludf.DUMMYFUNCTION("""COMPUTED_VALUE"""),105.0)</f>
        <v>105</v>
      </c>
      <c r="BJ227" s="3">
        <f>IFERROR(__xludf.DUMMYFUNCTION("""COMPUTED_VALUE"""),121.0)</f>
        <v>121</v>
      </c>
      <c r="BK227" s="3">
        <f>IFERROR(__xludf.DUMMYFUNCTION("""COMPUTED_VALUE"""),147.0)</f>
        <v>147</v>
      </c>
      <c r="BL227" s="3">
        <f>IFERROR(__xludf.DUMMYFUNCTION("""COMPUTED_VALUE"""),176.0)</f>
        <v>176</v>
      </c>
      <c r="BM227" s="3">
        <f>IFERROR(__xludf.DUMMYFUNCTION("""COMPUTED_VALUE"""),178.0)</f>
        <v>178</v>
      </c>
      <c r="BN227" s="3">
        <f>IFERROR(__xludf.DUMMYFUNCTION("""COMPUTED_VALUE"""),178.0)</f>
        <v>178</v>
      </c>
      <c r="BO227" s="3">
        <f>IFERROR(__xludf.DUMMYFUNCTION("""COMPUTED_VALUE"""),348.0)</f>
        <v>348</v>
      </c>
      <c r="BP227" s="3">
        <f>IFERROR(__xludf.DUMMYFUNCTION("""COMPUTED_VALUE"""),361.0)</f>
        <v>361</v>
      </c>
      <c r="BQ227" s="3">
        <f>IFERROR(__xludf.DUMMYFUNCTION("""COMPUTED_VALUE"""),681.0)</f>
        <v>681</v>
      </c>
      <c r="BR227" s="3">
        <f>IFERROR(__xludf.DUMMYFUNCTION("""COMPUTED_VALUE"""),869.0)</f>
        <v>869</v>
      </c>
      <c r="BS227" s="3">
        <f>IFERROR(__xludf.DUMMYFUNCTION("""COMPUTED_VALUE"""),1072.0)</f>
        <v>1072</v>
      </c>
      <c r="BT227" s="3">
        <f>IFERROR(__xludf.DUMMYFUNCTION("""COMPUTED_VALUE"""),2665.0)</f>
        <v>2665</v>
      </c>
      <c r="BU227" s="3">
        <f>IFERROR(__xludf.DUMMYFUNCTION("""COMPUTED_VALUE"""),5644.0)</f>
        <v>5644</v>
      </c>
      <c r="BV227" s="3">
        <f>IFERROR(__xludf.DUMMYFUNCTION("""COMPUTED_VALUE"""),7024.0)</f>
        <v>7024</v>
      </c>
      <c r="BW227" s="3">
        <f>IFERROR(__xludf.DUMMYFUNCTION("""COMPUTED_VALUE"""),8474.0)</f>
        <v>8474</v>
      </c>
      <c r="BX227" s="3">
        <f>IFERROR(__xludf.DUMMYFUNCTION("""COMPUTED_VALUE"""),9001.0)</f>
        <v>9001</v>
      </c>
      <c r="BY227" s="3">
        <f>IFERROR(__xludf.DUMMYFUNCTION("""COMPUTED_VALUE"""),9707.0)</f>
        <v>9707</v>
      </c>
      <c r="BZ227" s="3">
        <f>IFERROR(__xludf.DUMMYFUNCTION("""COMPUTED_VALUE"""),14652.0)</f>
        <v>14652</v>
      </c>
      <c r="CA227" s="3">
        <f>IFERROR(__xludf.DUMMYFUNCTION("""COMPUTED_VALUE"""),17448.0)</f>
        <v>17448</v>
      </c>
      <c r="CB227" s="3">
        <f>IFERROR(__xludf.DUMMYFUNCTION("""COMPUTED_VALUE"""),19581.0)</f>
        <v>19581</v>
      </c>
    </row>
    <row r="228">
      <c r="A228" s="3" t="str">
        <f>IFERROR(__xludf.DUMMYFUNCTION("""COMPUTED_VALUE"""),"")</f>
        <v/>
      </c>
      <c r="B228" s="3" t="str">
        <f>IFERROR(__xludf.DUMMYFUNCTION("""COMPUTED_VALUE"""),"Uzbekistan")</f>
        <v>Uzbekistan</v>
      </c>
      <c r="C228" s="3">
        <f>IFERROR(__xludf.DUMMYFUNCTION("""COMPUTED_VALUE"""),41.3775)</f>
        <v>41.3775</v>
      </c>
      <c r="D228" s="3">
        <f>IFERROR(__xludf.DUMMYFUNCTION("""COMPUTED_VALUE"""),64.5853)</f>
        <v>64.5853</v>
      </c>
      <c r="E228" s="3">
        <f>IFERROR(__xludf.DUMMYFUNCTION("""COMPUTED_VALUE"""),0.0)</f>
        <v>0</v>
      </c>
      <c r="F228" s="3">
        <f>IFERROR(__xludf.DUMMYFUNCTION("""COMPUTED_VALUE"""),0.0)</f>
        <v>0</v>
      </c>
      <c r="G228" s="3">
        <f>IFERROR(__xludf.DUMMYFUNCTION("""COMPUTED_VALUE"""),0.0)</f>
        <v>0</v>
      </c>
      <c r="H228" s="3">
        <f>IFERROR(__xludf.DUMMYFUNCTION("""COMPUTED_VALUE"""),0.0)</f>
        <v>0</v>
      </c>
      <c r="I228" s="3">
        <f>IFERROR(__xludf.DUMMYFUNCTION("""COMPUTED_VALUE"""),0.0)</f>
        <v>0</v>
      </c>
      <c r="J228" s="3">
        <f>IFERROR(__xludf.DUMMYFUNCTION("""COMPUTED_VALUE"""),0.0)</f>
        <v>0</v>
      </c>
      <c r="K228" s="3">
        <f>IFERROR(__xludf.DUMMYFUNCTION("""COMPUTED_VALUE"""),0.0)</f>
        <v>0</v>
      </c>
      <c r="L228" s="3">
        <f>IFERROR(__xludf.DUMMYFUNCTION("""COMPUTED_VALUE"""),0.0)</f>
        <v>0</v>
      </c>
      <c r="M228" s="3">
        <f>IFERROR(__xludf.DUMMYFUNCTION("""COMPUTED_VALUE"""),0.0)</f>
        <v>0</v>
      </c>
      <c r="N228" s="3">
        <f>IFERROR(__xludf.DUMMYFUNCTION("""COMPUTED_VALUE"""),0.0)</f>
        <v>0</v>
      </c>
      <c r="O228" s="3">
        <f>IFERROR(__xludf.DUMMYFUNCTION("""COMPUTED_VALUE"""),0.0)</f>
        <v>0</v>
      </c>
      <c r="P228" s="3">
        <f>IFERROR(__xludf.DUMMYFUNCTION("""COMPUTED_VALUE"""),0.0)</f>
        <v>0</v>
      </c>
      <c r="Q228" s="3">
        <f>IFERROR(__xludf.DUMMYFUNCTION("""COMPUTED_VALUE"""),0.0)</f>
        <v>0</v>
      </c>
      <c r="R228" s="3">
        <f>IFERROR(__xludf.DUMMYFUNCTION("""COMPUTED_VALUE"""),0.0)</f>
        <v>0</v>
      </c>
      <c r="S228" s="3">
        <f>IFERROR(__xludf.DUMMYFUNCTION("""COMPUTED_VALUE"""),0.0)</f>
        <v>0</v>
      </c>
      <c r="T228" s="3">
        <f>IFERROR(__xludf.DUMMYFUNCTION("""COMPUTED_VALUE"""),0.0)</f>
        <v>0</v>
      </c>
      <c r="U228" s="3">
        <f>IFERROR(__xludf.DUMMYFUNCTION("""COMPUTED_VALUE"""),0.0)</f>
        <v>0</v>
      </c>
      <c r="V228" s="3">
        <f>IFERROR(__xludf.DUMMYFUNCTION("""COMPUTED_VALUE"""),0.0)</f>
        <v>0</v>
      </c>
      <c r="W228" s="3">
        <f>IFERROR(__xludf.DUMMYFUNCTION("""COMPUTED_VALUE"""),0.0)</f>
        <v>0</v>
      </c>
      <c r="X228" s="3">
        <f>IFERROR(__xludf.DUMMYFUNCTION("""COMPUTED_VALUE"""),0.0)</f>
        <v>0</v>
      </c>
      <c r="Y228" s="3">
        <f>IFERROR(__xludf.DUMMYFUNCTION("""COMPUTED_VALUE"""),0.0)</f>
        <v>0</v>
      </c>
      <c r="Z228" s="3">
        <f>IFERROR(__xludf.DUMMYFUNCTION("""COMPUTED_VALUE"""),0.0)</f>
        <v>0</v>
      </c>
      <c r="AA228" s="3">
        <f>IFERROR(__xludf.DUMMYFUNCTION("""COMPUTED_VALUE"""),0.0)</f>
        <v>0</v>
      </c>
      <c r="AB228" s="3">
        <f>IFERROR(__xludf.DUMMYFUNCTION("""COMPUTED_VALUE"""),0.0)</f>
        <v>0</v>
      </c>
      <c r="AC228" s="3">
        <f>IFERROR(__xludf.DUMMYFUNCTION("""COMPUTED_VALUE"""),0.0)</f>
        <v>0</v>
      </c>
      <c r="AD228" s="3">
        <f>IFERROR(__xludf.DUMMYFUNCTION("""COMPUTED_VALUE"""),0.0)</f>
        <v>0</v>
      </c>
      <c r="AE228" s="3">
        <f>IFERROR(__xludf.DUMMYFUNCTION("""COMPUTED_VALUE"""),0.0)</f>
        <v>0</v>
      </c>
      <c r="AF228" s="3">
        <f>IFERROR(__xludf.DUMMYFUNCTION("""COMPUTED_VALUE"""),0.0)</f>
        <v>0</v>
      </c>
      <c r="AG228" s="3">
        <f>IFERROR(__xludf.DUMMYFUNCTION("""COMPUTED_VALUE"""),0.0)</f>
        <v>0</v>
      </c>
      <c r="AH228" s="3">
        <f>IFERROR(__xludf.DUMMYFUNCTION("""COMPUTED_VALUE"""),0.0)</f>
        <v>0</v>
      </c>
      <c r="AI228" s="3">
        <f>IFERROR(__xludf.DUMMYFUNCTION("""COMPUTED_VALUE"""),0.0)</f>
        <v>0</v>
      </c>
      <c r="AJ228" s="3">
        <f>IFERROR(__xludf.DUMMYFUNCTION("""COMPUTED_VALUE"""),0.0)</f>
        <v>0</v>
      </c>
      <c r="AK228" s="3">
        <f>IFERROR(__xludf.DUMMYFUNCTION("""COMPUTED_VALUE"""),0.0)</f>
        <v>0</v>
      </c>
      <c r="AL228" s="3">
        <f>IFERROR(__xludf.DUMMYFUNCTION("""COMPUTED_VALUE"""),0.0)</f>
        <v>0</v>
      </c>
      <c r="AM228" s="3">
        <f>IFERROR(__xludf.DUMMYFUNCTION("""COMPUTED_VALUE"""),0.0)</f>
        <v>0</v>
      </c>
      <c r="AN228" s="3">
        <f>IFERROR(__xludf.DUMMYFUNCTION("""COMPUTED_VALUE"""),0.0)</f>
        <v>0</v>
      </c>
      <c r="AO228" s="3">
        <f>IFERROR(__xludf.DUMMYFUNCTION("""COMPUTED_VALUE"""),0.0)</f>
        <v>0</v>
      </c>
      <c r="AP228" s="3">
        <f>IFERROR(__xludf.DUMMYFUNCTION("""COMPUTED_VALUE"""),0.0)</f>
        <v>0</v>
      </c>
      <c r="AQ228" s="3">
        <f>IFERROR(__xludf.DUMMYFUNCTION("""COMPUTED_VALUE"""),0.0)</f>
        <v>0</v>
      </c>
      <c r="AR228" s="3">
        <f>IFERROR(__xludf.DUMMYFUNCTION("""COMPUTED_VALUE"""),0.0)</f>
        <v>0</v>
      </c>
      <c r="AS228" s="3">
        <f>IFERROR(__xludf.DUMMYFUNCTION("""COMPUTED_VALUE"""),0.0)</f>
        <v>0</v>
      </c>
      <c r="AT228" s="3">
        <f>IFERROR(__xludf.DUMMYFUNCTION("""COMPUTED_VALUE"""),0.0)</f>
        <v>0</v>
      </c>
      <c r="AU228" s="3">
        <f>IFERROR(__xludf.DUMMYFUNCTION("""COMPUTED_VALUE"""),0.0)</f>
        <v>0</v>
      </c>
      <c r="AV228" s="3">
        <f>IFERROR(__xludf.DUMMYFUNCTION("""COMPUTED_VALUE"""),0.0)</f>
        <v>0</v>
      </c>
      <c r="AW228" s="3">
        <f>IFERROR(__xludf.DUMMYFUNCTION("""COMPUTED_VALUE"""),0.0)</f>
        <v>0</v>
      </c>
      <c r="AX228" s="3">
        <f>IFERROR(__xludf.DUMMYFUNCTION("""COMPUTED_VALUE"""),0.0)</f>
        <v>0</v>
      </c>
      <c r="AY228" s="3">
        <f>IFERROR(__xludf.DUMMYFUNCTION("""COMPUTED_VALUE"""),0.0)</f>
        <v>0</v>
      </c>
      <c r="AZ228" s="3">
        <f>IFERROR(__xludf.DUMMYFUNCTION("""COMPUTED_VALUE"""),0.0)</f>
        <v>0</v>
      </c>
      <c r="BA228" s="3">
        <f>IFERROR(__xludf.DUMMYFUNCTION("""COMPUTED_VALUE"""),0.0)</f>
        <v>0</v>
      </c>
      <c r="BB228" s="3">
        <f>IFERROR(__xludf.DUMMYFUNCTION("""COMPUTED_VALUE"""),0.0)</f>
        <v>0</v>
      </c>
      <c r="BC228" s="3">
        <f>IFERROR(__xludf.DUMMYFUNCTION("""COMPUTED_VALUE"""),0.0)</f>
        <v>0</v>
      </c>
      <c r="BD228" s="3">
        <f>IFERROR(__xludf.DUMMYFUNCTION("""COMPUTED_VALUE"""),0.0)</f>
        <v>0</v>
      </c>
      <c r="BE228" s="3">
        <f>IFERROR(__xludf.DUMMYFUNCTION("""COMPUTED_VALUE"""),0.0)</f>
        <v>0</v>
      </c>
      <c r="BF228" s="3">
        <f>IFERROR(__xludf.DUMMYFUNCTION("""COMPUTED_VALUE"""),0.0)</f>
        <v>0</v>
      </c>
      <c r="BG228" s="3">
        <f>IFERROR(__xludf.DUMMYFUNCTION("""COMPUTED_VALUE"""),0.0)</f>
        <v>0</v>
      </c>
      <c r="BH228" s="3">
        <f>IFERROR(__xludf.DUMMYFUNCTION("""COMPUTED_VALUE"""),0.0)</f>
        <v>0</v>
      </c>
      <c r="BI228" s="3">
        <f>IFERROR(__xludf.DUMMYFUNCTION("""COMPUTED_VALUE"""),0.0)</f>
        <v>0</v>
      </c>
      <c r="BJ228" s="3">
        <f>IFERROR(__xludf.DUMMYFUNCTION("""COMPUTED_VALUE"""),0.0)</f>
        <v>0</v>
      </c>
      <c r="BK228" s="3">
        <f>IFERROR(__xludf.DUMMYFUNCTION("""COMPUTED_VALUE"""),0.0)</f>
        <v>0</v>
      </c>
      <c r="BL228" s="3">
        <f>IFERROR(__xludf.DUMMYFUNCTION("""COMPUTED_VALUE"""),0.0)</f>
        <v>0</v>
      </c>
      <c r="BM228" s="3">
        <f>IFERROR(__xludf.DUMMYFUNCTION("""COMPUTED_VALUE"""),0.0)</f>
        <v>0</v>
      </c>
      <c r="BN228" s="3">
        <f>IFERROR(__xludf.DUMMYFUNCTION("""COMPUTED_VALUE"""),0.0)</f>
        <v>0</v>
      </c>
      <c r="BO228" s="3">
        <f>IFERROR(__xludf.DUMMYFUNCTION("""COMPUTED_VALUE"""),0.0)</f>
        <v>0</v>
      </c>
      <c r="BP228" s="3">
        <f>IFERROR(__xludf.DUMMYFUNCTION("""COMPUTED_VALUE"""),0.0)</f>
        <v>0</v>
      </c>
      <c r="BQ228" s="3">
        <f>IFERROR(__xludf.DUMMYFUNCTION("""COMPUTED_VALUE"""),0.0)</f>
        <v>0</v>
      </c>
      <c r="BR228" s="3">
        <f>IFERROR(__xludf.DUMMYFUNCTION("""COMPUTED_VALUE"""),5.0)</f>
        <v>5</v>
      </c>
      <c r="BS228" s="3">
        <f>IFERROR(__xludf.DUMMYFUNCTION("""COMPUTED_VALUE"""),5.0)</f>
        <v>5</v>
      </c>
      <c r="BT228" s="3">
        <f>IFERROR(__xludf.DUMMYFUNCTION("""COMPUTED_VALUE"""),7.0)</f>
        <v>7</v>
      </c>
      <c r="BU228" s="3">
        <f>IFERROR(__xludf.DUMMYFUNCTION("""COMPUTED_VALUE"""),7.0)</f>
        <v>7</v>
      </c>
      <c r="BV228" s="3">
        <f>IFERROR(__xludf.DUMMYFUNCTION("""COMPUTED_VALUE"""),7.0)</f>
        <v>7</v>
      </c>
      <c r="BW228" s="3">
        <f>IFERROR(__xludf.DUMMYFUNCTION("""COMPUTED_VALUE"""),12.0)</f>
        <v>12</v>
      </c>
      <c r="BX228" s="3">
        <f>IFERROR(__xludf.DUMMYFUNCTION("""COMPUTED_VALUE"""),25.0)</f>
        <v>25</v>
      </c>
      <c r="BY228" s="3">
        <f>IFERROR(__xludf.DUMMYFUNCTION("""COMPUTED_VALUE"""),25.0)</f>
        <v>25</v>
      </c>
      <c r="BZ228" s="3">
        <f>IFERROR(__xludf.DUMMYFUNCTION("""COMPUTED_VALUE"""),25.0)</f>
        <v>25</v>
      </c>
      <c r="CA228" s="3">
        <f>IFERROR(__xludf.DUMMYFUNCTION("""COMPUTED_VALUE"""),30.0)</f>
        <v>30</v>
      </c>
      <c r="CB228" s="3">
        <f>IFERROR(__xludf.DUMMYFUNCTION("""COMPUTED_VALUE"""),30.0)</f>
        <v>30</v>
      </c>
    </row>
    <row r="229">
      <c r="A229" s="3" t="str">
        <f>IFERROR(__xludf.DUMMYFUNCTION("""COMPUTED_VALUE"""),"")</f>
        <v/>
      </c>
      <c r="B229" s="3" t="str">
        <f>IFERROR(__xludf.DUMMYFUNCTION("""COMPUTED_VALUE"""),"Venezuela")</f>
        <v>Venezuela</v>
      </c>
      <c r="C229" s="3">
        <f>IFERROR(__xludf.DUMMYFUNCTION("""COMPUTED_VALUE"""),6.4238)</f>
        <v>6.4238</v>
      </c>
      <c r="D229" s="3">
        <f>IFERROR(__xludf.DUMMYFUNCTION("""COMPUTED_VALUE"""),-66.5897)</f>
        <v>-66.5897</v>
      </c>
      <c r="E229" s="3">
        <f>IFERROR(__xludf.DUMMYFUNCTION("""COMPUTED_VALUE"""),0.0)</f>
        <v>0</v>
      </c>
      <c r="F229" s="3">
        <f>IFERROR(__xludf.DUMMYFUNCTION("""COMPUTED_VALUE"""),0.0)</f>
        <v>0</v>
      </c>
      <c r="G229" s="3">
        <f>IFERROR(__xludf.DUMMYFUNCTION("""COMPUTED_VALUE"""),0.0)</f>
        <v>0</v>
      </c>
      <c r="H229" s="3">
        <f>IFERROR(__xludf.DUMMYFUNCTION("""COMPUTED_VALUE"""),0.0)</f>
        <v>0</v>
      </c>
      <c r="I229" s="3">
        <f>IFERROR(__xludf.DUMMYFUNCTION("""COMPUTED_VALUE"""),0.0)</f>
        <v>0</v>
      </c>
      <c r="J229" s="3">
        <f>IFERROR(__xludf.DUMMYFUNCTION("""COMPUTED_VALUE"""),0.0)</f>
        <v>0</v>
      </c>
      <c r="K229" s="3">
        <f>IFERROR(__xludf.DUMMYFUNCTION("""COMPUTED_VALUE"""),0.0)</f>
        <v>0</v>
      </c>
      <c r="L229" s="3">
        <f>IFERROR(__xludf.DUMMYFUNCTION("""COMPUTED_VALUE"""),0.0)</f>
        <v>0</v>
      </c>
      <c r="M229" s="3">
        <f>IFERROR(__xludf.DUMMYFUNCTION("""COMPUTED_VALUE"""),0.0)</f>
        <v>0</v>
      </c>
      <c r="N229" s="3">
        <f>IFERROR(__xludf.DUMMYFUNCTION("""COMPUTED_VALUE"""),0.0)</f>
        <v>0</v>
      </c>
      <c r="O229" s="3">
        <f>IFERROR(__xludf.DUMMYFUNCTION("""COMPUTED_VALUE"""),0.0)</f>
        <v>0</v>
      </c>
      <c r="P229" s="3">
        <f>IFERROR(__xludf.DUMMYFUNCTION("""COMPUTED_VALUE"""),0.0)</f>
        <v>0</v>
      </c>
      <c r="Q229" s="3">
        <f>IFERROR(__xludf.DUMMYFUNCTION("""COMPUTED_VALUE"""),0.0)</f>
        <v>0</v>
      </c>
      <c r="R229" s="3">
        <f>IFERROR(__xludf.DUMMYFUNCTION("""COMPUTED_VALUE"""),0.0)</f>
        <v>0</v>
      </c>
      <c r="S229" s="3">
        <f>IFERROR(__xludf.DUMMYFUNCTION("""COMPUTED_VALUE"""),0.0)</f>
        <v>0</v>
      </c>
      <c r="T229" s="3">
        <f>IFERROR(__xludf.DUMMYFUNCTION("""COMPUTED_VALUE"""),0.0)</f>
        <v>0</v>
      </c>
      <c r="U229" s="3">
        <f>IFERROR(__xludf.DUMMYFUNCTION("""COMPUTED_VALUE"""),0.0)</f>
        <v>0</v>
      </c>
      <c r="V229" s="3">
        <f>IFERROR(__xludf.DUMMYFUNCTION("""COMPUTED_VALUE"""),0.0)</f>
        <v>0</v>
      </c>
      <c r="W229" s="3">
        <f>IFERROR(__xludf.DUMMYFUNCTION("""COMPUTED_VALUE"""),0.0)</f>
        <v>0</v>
      </c>
      <c r="X229" s="3">
        <f>IFERROR(__xludf.DUMMYFUNCTION("""COMPUTED_VALUE"""),0.0)</f>
        <v>0</v>
      </c>
      <c r="Y229" s="3">
        <f>IFERROR(__xludf.DUMMYFUNCTION("""COMPUTED_VALUE"""),0.0)</f>
        <v>0</v>
      </c>
      <c r="Z229" s="3">
        <f>IFERROR(__xludf.DUMMYFUNCTION("""COMPUTED_VALUE"""),0.0)</f>
        <v>0</v>
      </c>
      <c r="AA229" s="3">
        <f>IFERROR(__xludf.DUMMYFUNCTION("""COMPUTED_VALUE"""),0.0)</f>
        <v>0</v>
      </c>
      <c r="AB229" s="3">
        <f>IFERROR(__xludf.DUMMYFUNCTION("""COMPUTED_VALUE"""),0.0)</f>
        <v>0</v>
      </c>
      <c r="AC229" s="3">
        <f>IFERROR(__xludf.DUMMYFUNCTION("""COMPUTED_VALUE"""),0.0)</f>
        <v>0</v>
      </c>
      <c r="AD229" s="3">
        <f>IFERROR(__xludf.DUMMYFUNCTION("""COMPUTED_VALUE"""),0.0)</f>
        <v>0</v>
      </c>
      <c r="AE229" s="3">
        <f>IFERROR(__xludf.DUMMYFUNCTION("""COMPUTED_VALUE"""),0.0)</f>
        <v>0</v>
      </c>
      <c r="AF229" s="3">
        <f>IFERROR(__xludf.DUMMYFUNCTION("""COMPUTED_VALUE"""),0.0)</f>
        <v>0</v>
      </c>
      <c r="AG229" s="3">
        <f>IFERROR(__xludf.DUMMYFUNCTION("""COMPUTED_VALUE"""),0.0)</f>
        <v>0</v>
      </c>
      <c r="AH229" s="3">
        <f>IFERROR(__xludf.DUMMYFUNCTION("""COMPUTED_VALUE"""),0.0)</f>
        <v>0</v>
      </c>
      <c r="AI229" s="3">
        <f>IFERROR(__xludf.DUMMYFUNCTION("""COMPUTED_VALUE"""),0.0)</f>
        <v>0</v>
      </c>
      <c r="AJ229" s="3">
        <f>IFERROR(__xludf.DUMMYFUNCTION("""COMPUTED_VALUE"""),0.0)</f>
        <v>0</v>
      </c>
      <c r="AK229" s="3">
        <f>IFERROR(__xludf.DUMMYFUNCTION("""COMPUTED_VALUE"""),0.0)</f>
        <v>0</v>
      </c>
      <c r="AL229" s="3">
        <f>IFERROR(__xludf.DUMMYFUNCTION("""COMPUTED_VALUE"""),0.0)</f>
        <v>0</v>
      </c>
      <c r="AM229" s="3">
        <f>IFERROR(__xludf.DUMMYFUNCTION("""COMPUTED_VALUE"""),0.0)</f>
        <v>0</v>
      </c>
      <c r="AN229" s="3">
        <f>IFERROR(__xludf.DUMMYFUNCTION("""COMPUTED_VALUE"""),0.0)</f>
        <v>0</v>
      </c>
      <c r="AO229" s="3">
        <f>IFERROR(__xludf.DUMMYFUNCTION("""COMPUTED_VALUE"""),0.0)</f>
        <v>0</v>
      </c>
      <c r="AP229" s="3">
        <f>IFERROR(__xludf.DUMMYFUNCTION("""COMPUTED_VALUE"""),0.0)</f>
        <v>0</v>
      </c>
      <c r="AQ229" s="3">
        <f>IFERROR(__xludf.DUMMYFUNCTION("""COMPUTED_VALUE"""),0.0)</f>
        <v>0</v>
      </c>
      <c r="AR229" s="3">
        <f>IFERROR(__xludf.DUMMYFUNCTION("""COMPUTED_VALUE"""),0.0)</f>
        <v>0</v>
      </c>
      <c r="AS229" s="3">
        <f>IFERROR(__xludf.DUMMYFUNCTION("""COMPUTED_VALUE"""),0.0)</f>
        <v>0</v>
      </c>
      <c r="AT229" s="3">
        <f>IFERROR(__xludf.DUMMYFUNCTION("""COMPUTED_VALUE"""),0.0)</f>
        <v>0</v>
      </c>
      <c r="AU229" s="3">
        <f>IFERROR(__xludf.DUMMYFUNCTION("""COMPUTED_VALUE"""),0.0)</f>
        <v>0</v>
      </c>
      <c r="AV229" s="3">
        <f>IFERROR(__xludf.DUMMYFUNCTION("""COMPUTED_VALUE"""),0.0)</f>
        <v>0</v>
      </c>
      <c r="AW229" s="3">
        <f>IFERROR(__xludf.DUMMYFUNCTION("""COMPUTED_VALUE"""),0.0)</f>
        <v>0</v>
      </c>
      <c r="AX229" s="3">
        <f>IFERROR(__xludf.DUMMYFUNCTION("""COMPUTED_VALUE"""),0.0)</f>
        <v>0</v>
      </c>
      <c r="AY229" s="3">
        <f>IFERROR(__xludf.DUMMYFUNCTION("""COMPUTED_VALUE"""),0.0)</f>
        <v>0</v>
      </c>
      <c r="AZ229" s="3">
        <f>IFERROR(__xludf.DUMMYFUNCTION("""COMPUTED_VALUE"""),0.0)</f>
        <v>0</v>
      </c>
      <c r="BA229" s="3">
        <f>IFERROR(__xludf.DUMMYFUNCTION("""COMPUTED_VALUE"""),0.0)</f>
        <v>0</v>
      </c>
      <c r="BB229" s="3">
        <f>IFERROR(__xludf.DUMMYFUNCTION("""COMPUTED_VALUE"""),0.0)</f>
        <v>0</v>
      </c>
      <c r="BC229" s="3">
        <f>IFERROR(__xludf.DUMMYFUNCTION("""COMPUTED_VALUE"""),0.0)</f>
        <v>0</v>
      </c>
      <c r="BD229" s="3">
        <f>IFERROR(__xludf.DUMMYFUNCTION("""COMPUTED_VALUE"""),0.0)</f>
        <v>0</v>
      </c>
      <c r="BE229" s="3">
        <f>IFERROR(__xludf.DUMMYFUNCTION("""COMPUTED_VALUE"""),0.0)</f>
        <v>0</v>
      </c>
      <c r="BF229" s="3">
        <f>IFERROR(__xludf.DUMMYFUNCTION("""COMPUTED_VALUE"""),0.0)</f>
        <v>0</v>
      </c>
      <c r="BG229" s="3">
        <f>IFERROR(__xludf.DUMMYFUNCTION("""COMPUTED_VALUE"""),0.0)</f>
        <v>0</v>
      </c>
      <c r="BH229" s="3">
        <f>IFERROR(__xludf.DUMMYFUNCTION("""COMPUTED_VALUE"""),0.0)</f>
        <v>0</v>
      </c>
      <c r="BI229" s="3">
        <f>IFERROR(__xludf.DUMMYFUNCTION("""COMPUTED_VALUE"""),0.0)</f>
        <v>0</v>
      </c>
      <c r="BJ229" s="3">
        <f>IFERROR(__xludf.DUMMYFUNCTION("""COMPUTED_VALUE"""),0.0)</f>
        <v>0</v>
      </c>
      <c r="BK229" s="3">
        <f>IFERROR(__xludf.DUMMYFUNCTION("""COMPUTED_VALUE"""),0.0)</f>
        <v>0</v>
      </c>
      <c r="BL229" s="3">
        <f>IFERROR(__xludf.DUMMYFUNCTION("""COMPUTED_VALUE"""),0.0)</f>
        <v>0</v>
      </c>
      <c r="BM229" s="3">
        <f>IFERROR(__xludf.DUMMYFUNCTION("""COMPUTED_VALUE"""),15.0)</f>
        <v>15</v>
      </c>
      <c r="BN229" s="3">
        <f>IFERROR(__xludf.DUMMYFUNCTION("""COMPUTED_VALUE"""),15.0)</f>
        <v>15</v>
      </c>
      <c r="BO229" s="3">
        <f>IFERROR(__xludf.DUMMYFUNCTION("""COMPUTED_VALUE"""),15.0)</f>
        <v>15</v>
      </c>
      <c r="BP229" s="3">
        <f>IFERROR(__xludf.DUMMYFUNCTION("""COMPUTED_VALUE"""),15.0)</f>
        <v>15</v>
      </c>
      <c r="BQ229" s="3">
        <f>IFERROR(__xludf.DUMMYFUNCTION("""COMPUTED_VALUE"""),15.0)</f>
        <v>15</v>
      </c>
      <c r="BR229" s="3">
        <f>IFERROR(__xludf.DUMMYFUNCTION("""COMPUTED_VALUE"""),31.0)</f>
        <v>31</v>
      </c>
      <c r="BS229" s="3">
        <f>IFERROR(__xludf.DUMMYFUNCTION("""COMPUTED_VALUE"""),39.0)</f>
        <v>39</v>
      </c>
      <c r="BT229" s="3">
        <f>IFERROR(__xludf.DUMMYFUNCTION("""COMPUTED_VALUE"""),39.0)</f>
        <v>39</v>
      </c>
      <c r="BU229" s="3">
        <f>IFERROR(__xludf.DUMMYFUNCTION("""COMPUTED_VALUE"""),39.0)</f>
        <v>39</v>
      </c>
      <c r="BV229" s="3">
        <f>IFERROR(__xludf.DUMMYFUNCTION("""COMPUTED_VALUE"""),39.0)</f>
        <v>39</v>
      </c>
      <c r="BW229" s="3">
        <f>IFERROR(__xludf.DUMMYFUNCTION("""COMPUTED_VALUE"""),41.0)</f>
        <v>41</v>
      </c>
      <c r="BX229" s="3">
        <f>IFERROR(__xludf.DUMMYFUNCTION("""COMPUTED_VALUE"""),43.0)</f>
        <v>43</v>
      </c>
      <c r="BY229" s="3">
        <f>IFERROR(__xludf.DUMMYFUNCTION("""COMPUTED_VALUE"""),52.0)</f>
        <v>52</v>
      </c>
      <c r="BZ229" s="3">
        <f>IFERROR(__xludf.DUMMYFUNCTION("""COMPUTED_VALUE"""),52.0)</f>
        <v>52</v>
      </c>
      <c r="CA229" s="3">
        <f>IFERROR(__xludf.DUMMYFUNCTION("""COMPUTED_VALUE"""),52.0)</f>
        <v>52</v>
      </c>
      <c r="CB229" s="3">
        <f>IFERROR(__xludf.DUMMYFUNCTION("""COMPUTED_VALUE"""),65.0)</f>
        <v>65</v>
      </c>
    </row>
    <row r="230">
      <c r="A230" s="3" t="str">
        <f>IFERROR(__xludf.DUMMYFUNCTION("""COMPUTED_VALUE"""),"")</f>
        <v/>
      </c>
      <c r="B230" s="3" t="str">
        <f>IFERROR(__xludf.DUMMYFUNCTION("""COMPUTED_VALUE"""),"Vietnam")</f>
        <v>Vietnam</v>
      </c>
      <c r="C230" s="3">
        <f>IFERROR(__xludf.DUMMYFUNCTION("""COMPUTED_VALUE"""),16.0)</f>
        <v>16</v>
      </c>
      <c r="D230" s="3">
        <f>IFERROR(__xludf.DUMMYFUNCTION("""COMPUTED_VALUE"""),108.0)</f>
        <v>108</v>
      </c>
      <c r="E230" s="3">
        <f>IFERROR(__xludf.DUMMYFUNCTION("""COMPUTED_VALUE"""),0.0)</f>
        <v>0</v>
      </c>
      <c r="F230" s="3">
        <f>IFERROR(__xludf.DUMMYFUNCTION("""COMPUTED_VALUE"""),0.0)</f>
        <v>0</v>
      </c>
      <c r="G230" s="3">
        <f>IFERROR(__xludf.DUMMYFUNCTION("""COMPUTED_VALUE"""),0.0)</f>
        <v>0</v>
      </c>
      <c r="H230" s="3">
        <f>IFERROR(__xludf.DUMMYFUNCTION("""COMPUTED_VALUE"""),0.0)</f>
        <v>0</v>
      </c>
      <c r="I230" s="3">
        <f>IFERROR(__xludf.DUMMYFUNCTION("""COMPUTED_VALUE"""),0.0)</f>
        <v>0</v>
      </c>
      <c r="J230" s="3">
        <f>IFERROR(__xludf.DUMMYFUNCTION("""COMPUTED_VALUE"""),0.0)</f>
        <v>0</v>
      </c>
      <c r="K230" s="3">
        <f>IFERROR(__xludf.DUMMYFUNCTION("""COMPUTED_VALUE"""),0.0)</f>
        <v>0</v>
      </c>
      <c r="L230" s="3">
        <f>IFERROR(__xludf.DUMMYFUNCTION("""COMPUTED_VALUE"""),0.0)</f>
        <v>0</v>
      </c>
      <c r="M230" s="3">
        <f>IFERROR(__xludf.DUMMYFUNCTION("""COMPUTED_VALUE"""),0.0)</f>
        <v>0</v>
      </c>
      <c r="N230" s="3">
        <f>IFERROR(__xludf.DUMMYFUNCTION("""COMPUTED_VALUE"""),0.0)</f>
        <v>0</v>
      </c>
      <c r="O230" s="3">
        <f>IFERROR(__xludf.DUMMYFUNCTION("""COMPUTED_VALUE"""),1.0)</f>
        <v>1</v>
      </c>
      <c r="P230" s="3">
        <f>IFERROR(__xludf.DUMMYFUNCTION("""COMPUTED_VALUE"""),1.0)</f>
        <v>1</v>
      </c>
      <c r="Q230" s="3">
        <f>IFERROR(__xludf.DUMMYFUNCTION("""COMPUTED_VALUE"""),1.0)</f>
        <v>1</v>
      </c>
      <c r="R230" s="3">
        <f>IFERROR(__xludf.DUMMYFUNCTION("""COMPUTED_VALUE"""),1.0)</f>
        <v>1</v>
      </c>
      <c r="S230" s="3">
        <f>IFERROR(__xludf.DUMMYFUNCTION("""COMPUTED_VALUE"""),1.0)</f>
        <v>1</v>
      </c>
      <c r="T230" s="3">
        <f>IFERROR(__xludf.DUMMYFUNCTION("""COMPUTED_VALUE"""),1.0)</f>
        <v>1</v>
      </c>
      <c r="U230" s="3">
        <f>IFERROR(__xludf.DUMMYFUNCTION("""COMPUTED_VALUE"""),1.0)</f>
        <v>1</v>
      </c>
      <c r="V230" s="3">
        <f>IFERROR(__xludf.DUMMYFUNCTION("""COMPUTED_VALUE"""),1.0)</f>
        <v>1</v>
      </c>
      <c r="W230" s="3">
        <f>IFERROR(__xludf.DUMMYFUNCTION("""COMPUTED_VALUE"""),1.0)</f>
        <v>1</v>
      </c>
      <c r="X230" s="3">
        <f>IFERROR(__xludf.DUMMYFUNCTION("""COMPUTED_VALUE"""),1.0)</f>
        <v>1</v>
      </c>
      <c r="Y230" s="3">
        <f>IFERROR(__xludf.DUMMYFUNCTION("""COMPUTED_VALUE"""),6.0)</f>
        <v>6</v>
      </c>
      <c r="Z230" s="3">
        <f>IFERROR(__xludf.DUMMYFUNCTION("""COMPUTED_VALUE"""),6.0)</f>
        <v>6</v>
      </c>
      <c r="AA230" s="3">
        <f>IFERROR(__xludf.DUMMYFUNCTION("""COMPUTED_VALUE"""),7.0)</f>
        <v>7</v>
      </c>
      <c r="AB230" s="3">
        <f>IFERROR(__xludf.DUMMYFUNCTION("""COMPUTED_VALUE"""),7.0)</f>
        <v>7</v>
      </c>
      <c r="AC230" s="3">
        <f>IFERROR(__xludf.DUMMYFUNCTION("""COMPUTED_VALUE"""),7.0)</f>
        <v>7</v>
      </c>
      <c r="AD230" s="3">
        <f>IFERROR(__xludf.DUMMYFUNCTION("""COMPUTED_VALUE"""),7.0)</f>
        <v>7</v>
      </c>
      <c r="AE230" s="3">
        <f>IFERROR(__xludf.DUMMYFUNCTION("""COMPUTED_VALUE"""),7.0)</f>
        <v>7</v>
      </c>
      <c r="AF230" s="3">
        <f>IFERROR(__xludf.DUMMYFUNCTION("""COMPUTED_VALUE"""),7.0)</f>
        <v>7</v>
      </c>
      <c r="AG230" s="3">
        <f>IFERROR(__xludf.DUMMYFUNCTION("""COMPUTED_VALUE"""),7.0)</f>
        <v>7</v>
      </c>
      <c r="AH230" s="3">
        <f>IFERROR(__xludf.DUMMYFUNCTION("""COMPUTED_VALUE"""),7.0)</f>
        <v>7</v>
      </c>
      <c r="AI230" s="3">
        <f>IFERROR(__xludf.DUMMYFUNCTION("""COMPUTED_VALUE"""),14.0)</f>
        <v>14</v>
      </c>
      <c r="AJ230" s="3">
        <f>IFERROR(__xludf.DUMMYFUNCTION("""COMPUTED_VALUE"""),14.0)</f>
        <v>14</v>
      </c>
      <c r="AK230" s="3">
        <f>IFERROR(__xludf.DUMMYFUNCTION("""COMPUTED_VALUE"""),14.0)</f>
        <v>14</v>
      </c>
      <c r="AL230" s="3">
        <f>IFERROR(__xludf.DUMMYFUNCTION("""COMPUTED_VALUE"""),14.0)</f>
        <v>14</v>
      </c>
      <c r="AM230" s="3">
        <f>IFERROR(__xludf.DUMMYFUNCTION("""COMPUTED_VALUE"""),16.0)</f>
        <v>16</v>
      </c>
      <c r="AN230" s="3">
        <f>IFERROR(__xludf.DUMMYFUNCTION("""COMPUTED_VALUE"""),16.0)</f>
        <v>16</v>
      </c>
      <c r="AO230" s="3">
        <f>IFERROR(__xludf.DUMMYFUNCTION("""COMPUTED_VALUE"""),16.0)</f>
        <v>16</v>
      </c>
      <c r="AP230" s="3">
        <f>IFERROR(__xludf.DUMMYFUNCTION("""COMPUTED_VALUE"""),16.0)</f>
        <v>16</v>
      </c>
      <c r="AQ230" s="3">
        <f>IFERROR(__xludf.DUMMYFUNCTION("""COMPUTED_VALUE"""),16.0)</f>
        <v>16</v>
      </c>
      <c r="AR230" s="3">
        <f>IFERROR(__xludf.DUMMYFUNCTION("""COMPUTED_VALUE"""),16.0)</f>
        <v>16</v>
      </c>
      <c r="AS230" s="3">
        <f>IFERROR(__xludf.DUMMYFUNCTION("""COMPUTED_VALUE"""),16.0)</f>
        <v>16</v>
      </c>
      <c r="AT230" s="3">
        <f>IFERROR(__xludf.DUMMYFUNCTION("""COMPUTED_VALUE"""),16.0)</f>
        <v>16</v>
      </c>
      <c r="AU230" s="3">
        <f>IFERROR(__xludf.DUMMYFUNCTION("""COMPUTED_VALUE"""),16.0)</f>
        <v>16</v>
      </c>
      <c r="AV230" s="3">
        <f>IFERROR(__xludf.DUMMYFUNCTION("""COMPUTED_VALUE"""),16.0)</f>
        <v>16</v>
      </c>
      <c r="AW230" s="3">
        <f>IFERROR(__xludf.DUMMYFUNCTION("""COMPUTED_VALUE"""),16.0)</f>
        <v>16</v>
      </c>
      <c r="AX230" s="3">
        <f>IFERROR(__xludf.DUMMYFUNCTION("""COMPUTED_VALUE"""),16.0)</f>
        <v>16</v>
      </c>
      <c r="AY230" s="3">
        <f>IFERROR(__xludf.DUMMYFUNCTION("""COMPUTED_VALUE"""),16.0)</f>
        <v>16</v>
      </c>
      <c r="AZ230" s="3">
        <f>IFERROR(__xludf.DUMMYFUNCTION("""COMPUTED_VALUE"""),16.0)</f>
        <v>16</v>
      </c>
      <c r="BA230" s="3">
        <f>IFERROR(__xludf.DUMMYFUNCTION("""COMPUTED_VALUE"""),16.0)</f>
        <v>16</v>
      </c>
      <c r="BB230" s="3">
        <f>IFERROR(__xludf.DUMMYFUNCTION("""COMPUTED_VALUE"""),16.0)</f>
        <v>16</v>
      </c>
      <c r="BC230" s="3">
        <f>IFERROR(__xludf.DUMMYFUNCTION("""COMPUTED_VALUE"""),16.0)</f>
        <v>16</v>
      </c>
      <c r="BD230" s="3">
        <f>IFERROR(__xludf.DUMMYFUNCTION("""COMPUTED_VALUE"""),16.0)</f>
        <v>16</v>
      </c>
      <c r="BE230" s="3">
        <f>IFERROR(__xludf.DUMMYFUNCTION("""COMPUTED_VALUE"""),16.0)</f>
        <v>16</v>
      </c>
      <c r="BF230" s="3">
        <f>IFERROR(__xludf.DUMMYFUNCTION("""COMPUTED_VALUE"""),16.0)</f>
        <v>16</v>
      </c>
      <c r="BG230" s="3">
        <f>IFERROR(__xludf.DUMMYFUNCTION("""COMPUTED_VALUE"""),16.0)</f>
        <v>16</v>
      </c>
      <c r="BH230" s="3">
        <f>IFERROR(__xludf.DUMMYFUNCTION("""COMPUTED_VALUE"""),16.0)</f>
        <v>16</v>
      </c>
      <c r="BI230" s="3">
        <f>IFERROR(__xludf.DUMMYFUNCTION("""COMPUTED_VALUE"""),16.0)</f>
        <v>16</v>
      </c>
      <c r="BJ230" s="3">
        <f>IFERROR(__xludf.DUMMYFUNCTION("""COMPUTED_VALUE"""),16.0)</f>
        <v>16</v>
      </c>
      <c r="BK230" s="3">
        <f>IFERROR(__xludf.DUMMYFUNCTION("""COMPUTED_VALUE"""),16.0)</f>
        <v>16</v>
      </c>
      <c r="BL230" s="3">
        <f>IFERROR(__xludf.DUMMYFUNCTION("""COMPUTED_VALUE"""),17.0)</f>
        <v>17</v>
      </c>
      <c r="BM230" s="3">
        <f>IFERROR(__xludf.DUMMYFUNCTION("""COMPUTED_VALUE"""),17.0)</f>
        <v>17</v>
      </c>
      <c r="BN230" s="3">
        <f>IFERROR(__xludf.DUMMYFUNCTION("""COMPUTED_VALUE"""),17.0)</f>
        <v>17</v>
      </c>
      <c r="BO230" s="3">
        <f>IFERROR(__xludf.DUMMYFUNCTION("""COMPUTED_VALUE"""),17.0)</f>
        <v>17</v>
      </c>
      <c r="BP230" s="3">
        <f>IFERROR(__xludf.DUMMYFUNCTION("""COMPUTED_VALUE"""),17.0)</f>
        <v>17</v>
      </c>
      <c r="BQ230" s="3">
        <f>IFERROR(__xludf.DUMMYFUNCTION("""COMPUTED_VALUE"""),20.0)</f>
        <v>20</v>
      </c>
      <c r="BR230" s="3">
        <f>IFERROR(__xludf.DUMMYFUNCTION("""COMPUTED_VALUE"""),20.0)</f>
        <v>20</v>
      </c>
      <c r="BS230" s="3">
        <f>IFERROR(__xludf.DUMMYFUNCTION("""COMPUTED_VALUE"""),21.0)</f>
        <v>21</v>
      </c>
      <c r="BT230" s="3">
        <f>IFERROR(__xludf.DUMMYFUNCTION("""COMPUTED_VALUE"""),25.0)</f>
        <v>25</v>
      </c>
      <c r="BU230" s="3">
        <f>IFERROR(__xludf.DUMMYFUNCTION("""COMPUTED_VALUE"""),55.0)</f>
        <v>55</v>
      </c>
      <c r="BV230" s="3">
        <f>IFERROR(__xludf.DUMMYFUNCTION("""COMPUTED_VALUE"""),58.0)</f>
        <v>58</v>
      </c>
      <c r="BW230" s="3">
        <f>IFERROR(__xludf.DUMMYFUNCTION("""COMPUTED_VALUE"""),63.0)</f>
        <v>63</v>
      </c>
      <c r="BX230" s="3">
        <f>IFERROR(__xludf.DUMMYFUNCTION("""COMPUTED_VALUE"""),75.0)</f>
        <v>75</v>
      </c>
      <c r="BY230" s="3">
        <f>IFERROR(__xludf.DUMMYFUNCTION("""COMPUTED_VALUE"""),85.0)</f>
        <v>85</v>
      </c>
      <c r="BZ230" s="3">
        <f>IFERROR(__xludf.DUMMYFUNCTION("""COMPUTED_VALUE"""),90.0)</f>
        <v>90</v>
      </c>
      <c r="CA230" s="3">
        <f>IFERROR(__xludf.DUMMYFUNCTION("""COMPUTED_VALUE"""),90.0)</f>
        <v>90</v>
      </c>
      <c r="CB230" s="3">
        <f>IFERROR(__xludf.DUMMYFUNCTION("""COMPUTED_VALUE"""),95.0)</f>
        <v>95</v>
      </c>
    </row>
    <row r="231">
      <c r="A231" s="3" t="str">
        <f>IFERROR(__xludf.DUMMYFUNCTION("""COMPUTED_VALUE"""),"")</f>
        <v/>
      </c>
      <c r="B231" s="3" t="str">
        <f>IFERROR(__xludf.DUMMYFUNCTION("""COMPUTED_VALUE"""),"Zambia")</f>
        <v>Zambia</v>
      </c>
      <c r="C231" s="3">
        <f>IFERROR(__xludf.DUMMYFUNCTION("""COMPUTED_VALUE"""),-15.4167)</f>
        <v>-15.4167</v>
      </c>
      <c r="D231" s="3">
        <f>IFERROR(__xludf.DUMMYFUNCTION("""COMPUTED_VALUE"""),28.2833)</f>
        <v>28.2833</v>
      </c>
      <c r="E231" s="3">
        <f>IFERROR(__xludf.DUMMYFUNCTION("""COMPUTED_VALUE"""),0.0)</f>
        <v>0</v>
      </c>
      <c r="F231" s="3">
        <f>IFERROR(__xludf.DUMMYFUNCTION("""COMPUTED_VALUE"""),0.0)</f>
        <v>0</v>
      </c>
      <c r="G231" s="3">
        <f>IFERROR(__xludf.DUMMYFUNCTION("""COMPUTED_VALUE"""),0.0)</f>
        <v>0</v>
      </c>
      <c r="H231" s="3">
        <f>IFERROR(__xludf.DUMMYFUNCTION("""COMPUTED_VALUE"""),0.0)</f>
        <v>0</v>
      </c>
      <c r="I231" s="3">
        <f>IFERROR(__xludf.DUMMYFUNCTION("""COMPUTED_VALUE"""),0.0)</f>
        <v>0</v>
      </c>
      <c r="J231" s="3">
        <f>IFERROR(__xludf.DUMMYFUNCTION("""COMPUTED_VALUE"""),0.0)</f>
        <v>0</v>
      </c>
      <c r="K231" s="3">
        <f>IFERROR(__xludf.DUMMYFUNCTION("""COMPUTED_VALUE"""),0.0)</f>
        <v>0</v>
      </c>
      <c r="L231" s="3">
        <f>IFERROR(__xludf.DUMMYFUNCTION("""COMPUTED_VALUE"""),0.0)</f>
        <v>0</v>
      </c>
      <c r="M231" s="3">
        <f>IFERROR(__xludf.DUMMYFUNCTION("""COMPUTED_VALUE"""),0.0)</f>
        <v>0</v>
      </c>
      <c r="N231" s="3">
        <f>IFERROR(__xludf.DUMMYFUNCTION("""COMPUTED_VALUE"""),0.0)</f>
        <v>0</v>
      </c>
      <c r="O231" s="3">
        <f>IFERROR(__xludf.DUMMYFUNCTION("""COMPUTED_VALUE"""),0.0)</f>
        <v>0</v>
      </c>
      <c r="P231" s="3">
        <f>IFERROR(__xludf.DUMMYFUNCTION("""COMPUTED_VALUE"""),0.0)</f>
        <v>0</v>
      </c>
      <c r="Q231" s="3">
        <f>IFERROR(__xludf.DUMMYFUNCTION("""COMPUTED_VALUE"""),0.0)</f>
        <v>0</v>
      </c>
      <c r="R231" s="3">
        <f>IFERROR(__xludf.DUMMYFUNCTION("""COMPUTED_VALUE"""),0.0)</f>
        <v>0</v>
      </c>
      <c r="S231" s="3">
        <f>IFERROR(__xludf.DUMMYFUNCTION("""COMPUTED_VALUE"""),0.0)</f>
        <v>0</v>
      </c>
      <c r="T231" s="3">
        <f>IFERROR(__xludf.DUMMYFUNCTION("""COMPUTED_VALUE"""),0.0)</f>
        <v>0</v>
      </c>
      <c r="U231" s="3">
        <f>IFERROR(__xludf.DUMMYFUNCTION("""COMPUTED_VALUE"""),0.0)</f>
        <v>0</v>
      </c>
      <c r="V231" s="3">
        <f>IFERROR(__xludf.DUMMYFUNCTION("""COMPUTED_VALUE"""),0.0)</f>
        <v>0</v>
      </c>
      <c r="W231" s="3">
        <f>IFERROR(__xludf.DUMMYFUNCTION("""COMPUTED_VALUE"""),0.0)</f>
        <v>0</v>
      </c>
      <c r="X231" s="3">
        <f>IFERROR(__xludf.DUMMYFUNCTION("""COMPUTED_VALUE"""),0.0)</f>
        <v>0</v>
      </c>
      <c r="Y231" s="3">
        <f>IFERROR(__xludf.DUMMYFUNCTION("""COMPUTED_VALUE"""),0.0)</f>
        <v>0</v>
      </c>
      <c r="Z231" s="3">
        <f>IFERROR(__xludf.DUMMYFUNCTION("""COMPUTED_VALUE"""),0.0)</f>
        <v>0</v>
      </c>
      <c r="AA231" s="3">
        <f>IFERROR(__xludf.DUMMYFUNCTION("""COMPUTED_VALUE"""),0.0)</f>
        <v>0</v>
      </c>
      <c r="AB231" s="3">
        <f>IFERROR(__xludf.DUMMYFUNCTION("""COMPUTED_VALUE"""),0.0)</f>
        <v>0</v>
      </c>
      <c r="AC231" s="3">
        <f>IFERROR(__xludf.DUMMYFUNCTION("""COMPUTED_VALUE"""),0.0)</f>
        <v>0</v>
      </c>
      <c r="AD231" s="3">
        <f>IFERROR(__xludf.DUMMYFUNCTION("""COMPUTED_VALUE"""),0.0)</f>
        <v>0</v>
      </c>
      <c r="AE231" s="3">
        <f>IFERROR(__xludf.DUMMYFUNCTION("""COMPUTED_VALUE"""),0.0)</f>
        <v>0</v>
      </c>
      <c r="AF231" s="3">
        <f>IFERROR(__xludf.DUMMYFUNCTION("""COMPUTED_VALUE"""),0.0)</f>
        <v>0</v>
      </c>
      <c r="AG231" s="3">
        <f>IFERROR(__xludf.DUMMYFUNCTION("""COMPUTED_VALUE"""),0.0)</f>
        <v>0</v>
      </c>
      <c r="AH231" s="3">
        <f>IFERROR(__xludf.DUMMYFUNCTION("""COMPUTED_VALUE"""),0.0)</f>
        <v>0</v>
      </c>
      <c r="AI231" s="3">
        <f>IFERROR(__xludf.DUMMYFUNCTION("""COMPUTED_VALUE"""),0.0)</f>
        <v>0</v>
      </c>
      <c r="AJ231" s="3">
        <f>IFERROR(__xludf.DUMMYFUNCTION("""COMPUTED_VALUE"""),0.0)</f>
        <v>0</v>
      </c>
      <c r="AK231" s="3">
        <f>IFERROR(__xludf.DUMMYFUNCTION("""COMPUTED_VALUE"""),0.0)</f>
        <v>0</v>
      </c>
      <c r="AL231" s="3">
        <f>IFERROR(__xludf.DUMMYFUNCTION("""COMPUTED_VALUE"""),0.0)</f>
        <v>0</v>
      </c>
      <c r="AM231" s="3">
        <f>IFERROR(__xludf.DUMMYFUNCTION("""COMPUTED_VALUE"""),0.0)</f>
        <v>0</v>
      </c>
      <c r="AN231" s="3">
        <f>IFERROR(__xludf.DUMMYFUNCTION("""COMPUTED_VALUE"""),0.0)</f>
        <v>0</v>
      </c>
      <c r="AO231" s="3">
        <f>IFERROR(__xludf.DUMMYFUNCTION("""COMPUTED_VALUE"""),0.0)</f>
        <v>0</v>
      </c>
      <c r="AP231" s="3">
        <f>IFERROR(__xludf.DUMMYFUNCTION("""COMPUTED_VALUE"""),0.0)</f>
        <v>0</v>
      </c>
      <c r="AQ231" s="3">
        <f>IFERROR(__xludf.DUMMYFUNCTION("""COMPUTED_VALUE"""),0.0)</f>
        <v>0</v>
      </c>
      <c r="AR231" s="3">
        <f>IFERROR(__xludf.DUMMYFUNCTION("""COMPUTED_VALUE"""),0.0)</f>
        <v>0</v>
      </c>
      <c r="AS231" s="3">
        <f>IFERROR(__xludf.DUMMYFUNCTION("""COMPUTED_VALUE"""),0.0)</f>
        <v>0</v>
      </c>
      <c r="AT231" s="3">
        <f>IFERROR(__xludf.DUMMYFUNCTION("""COMPUTED_VALUE"""),0.0)</f>
        <v>0</v>
      </c>
      <c r="AU231" s="3">
        <f>IFERROR(__xludf.DUMMYFUNCTION("""COMPUTED_VALUE"""),0.0)</f>
        <v>0</v>
      </c>
      <c r="AV231" s="3">
        <f>IFERROR(__xludf.DUMMYFUNCTION("""COMPUTED_VALUE"""),0.0)</f>
        <v>0</v>
      </c>
      <c r="AW231" s="3">
        <f>IFERROR(__xludf.DUMMYFUNCTION("""COMPUTED_VALUE"""),0.0)</f>
        <v>0</v>
      </c>
      <c r="AX231" s="3">
        <f>IFERROR(__xludf.DUMMYFUNCTION("""COMPUTED_VALUE"""),0.0)</f>
        <v>0</v>
      </c>
      <c r="AY231" s="3">
        <f>IFERROR(__xludf.DUMMYFUNCTION("""COMPUTED_VALUE"""),0.0)</f>
        <v>0</v>
      </c>
      <c r="AZ231" s="3">
        <f>IFERROR(__xludf.DUMMYFUNCTION("""COMPUTED_VALUE"""),0.0)</f>
        <v>0</v>
      </c>
      <c r="BA231" s="3">
        <f>IFERROR(__xludf.DUMMYFUNCTION("""COMPUTED_VALUE"""),0.0)</f>
        <v>0</v>
      </c>
      <c r="BB231" s="3">
        <f>IFERROR(__xludf.DUMMYFUNCTION("""COMPUTED_VALUE"""),0.0)</f>
        <v>0</v>
      </c>
      <c r="BC231" s="3">
        <f>IFERROR(__xludf.DUMMYFUNCTION("""COMPUTED_VALUE"""),0.0)</f>
        <v>0</v>
      </c>
      <c r="BD231" s="3">
        <f>IFERROR(__xludf.DUMMYFUNCTION("""COMPUTED_VALUE"""),0.0)</f>
        <v>0</v>
      </c>
      <c r="BE231" s="3">
        <f>IFERROR(__xludf.DUMMYFUNCTION("""COMPUTED_VALUE"""),0.0)</f>
        <v>0</v>
      </c>
      <c r="BF231" s="3">
        <f>IFERROR(__xludf.DUMMYFUNCTION("""COMPUTED_VALUE"""),0.0)</f>
        <v>0</v>
      </c>
      <c r="BG231" s="3">
        <f>IFERROR(__xludf.DUMMYFUNCTION("""COMPUTED_VALUE"""),0.0)</f>
        <v>0</v>
      </c>
      <c r="BH231" s="3">
        <f>IFERROR(__xludf.DUMMYFUNCTION("""COMPUTED_VALUE"""),0.0)</f>
        <v>0</v>
      </c>
      <c r="BI231" s="3">
        <f>IFERROR(__xludf.DUMMYFUNCTION("""COMPUTED_VALUE"""),0.0)</f>
        <v>0</v>
      </c>
      <c r="BJ231" s="3">
        <f>IFERROR(__xludf.DUMMYFUNCTION("""COMPUTED_VALUE"""),0.0)</f>
        <v>0</v>
      </c>
      <c r="BK231" s="3">
        <f>IFERROR(__xludf.DUMMYFUNCTION("""COMPUTED_VALUE"""),0.0)</f>
        <v>0</v>
      </c>
      <c r="BL231" s="3">
        <f>IFERROR(__xludf.DUMMYFUNCTION("""COMPUTED_VALUE"""),0.0)</f>
        <v>0</v>
      </c>
      <c r="BM231" s="3">
        <f>IFERROR(__xludf.DUMMYFUNCTION("""COMPUTED_VALUE"""),0.0)</f>
        <v>0</v>
      </c>
      <c r="BN231" s="3">
        <f>IFERROR(__xludf.DUMMYFUNCTION("""COMPUTED_VALUE"""),0.0)</f>
        <v>0</v>
      </c>
      <c r="BO231" s="3">
        <f>IFERROR(__xludf.DUMMYFUNCTION("""COMPUTED_VALUE"""),0.0)</f>
        <v>0</v>
      </c>
      <c r="BP231" s="3">
        <f>IFERROR(__xludf.DUMMYFUNCTION("""COMPUTED_VALUE"""),0.0)</f>
        <v>0</v>
      </c>
      <c r="BQ231" s="3">
        <f>IFERROR(__xludf.DUMMYFUNCTION("""COMPUTED_VALUE"""),0.0)</f>
        <v>0</v>
      </c>
      <c r="BR231" s="3">
        <f>IFERROR(__xludf.DUMMYFUNCTION("""COMPUTED_VALUE"""),0.0)</f>
        <v>0</v>
      </c>
      <c r="BS231" s="3">
        <f>IFERROR(__xludf.DUMMYFUNCTION("""COMPUTED_VALUE"""),0.0)</f>
        <v>0</v>
      </c>
      <c r="BT231" s="3">
        <f>IFERROR(__xludf.DUMMYFUNCTION("""COMPUTED_VALUE"""),0.0)</f>
        <v>0</v>
      </c>
      <c r="BU231" s="3">
        <f>IFERROR(__xludf.DUMMYFUNCTION("""COMPUTED_VALUE"""),0.0)</f>
        <v>0</v>
      </c>
      <c r="BV231" s="3">
        <f>IFERROR(__xludf.DUMMYFUNCTION("""COMPUTED_VALUE"""),0.0)</f>
        <v>0</v>
      </c>
      <c r="BW231" s="3">
        <f>IFERROR(__xludf.DUMMYFUNCTION("""COMPUTED_VALUE"""),0.0)</f>
        <v>0</v>
      </c>
      <c r="BX231" s="3">
        <f>IFERROR(__xludf.DUMMYFUNCTION("""COMPUTED_VALUE"""),0.0)</f>
        <v>0</v>
      </c>
      <c r="BY231" s="3">
        <f>IFERROR(__xludf.DUMMYFUNCTION("""COMPUTED_VALUE"""),2.0)</f>
        <v>2</v>
      </c>
      <c r="BZ231" s="3">
        <f>IFERROR(__xludf.DUMMYFUNCTION("""COMPUTED_VALUE"""),2.0)</f>
        <v>2</v>
      </c>
      <c r="CA231" s="3">
        <f>IFERROR(__xludf.DUMMYFUNCTION("""COMPUTED_VALUE"""),3.0)</f>
        <v>3</v>
      </c>
      <c r="CB231" s="3">
        <f>IFERROR(__xludf.DUMMYFUNCTION("""COMPUTED_VALUE"""),5.0)</f>
        <v>5</v>
      </c>
    </row>
    <row r="232">
      <c r="A232" s="3" t="str">
        <f>IFERROR(__xludf.DUMMYFUNCTION("""COMPUTED_VALUE"""),"")</f>
        <v/>
      </c>
      <c r="B232" s="3" t="str">
        <f>IFERROR(__xludf.DUMMYFUNCTION("""COMPUTED_VALUE"""),"Zimbabwe")</f>
        <v>Zimbabwe</v>
      </c>
      <c r="C232" s="3">
        <f>IFERROR(__xludf.DUMMYFUNCTION("""COMPUTED_VALUE"""),-20.0)</f>
        <v>-20</v>
      </c>
      <c r="D232" s="3">
        <f>IFERROR(__xludf.DUMMYFUNCTION("""COMPUTED_VALUE"""),30.0)</f>
        <v>30</v>
      </c>
      <c r="E232" s="3">
        <f>IFERROR(__xludf.DUMMYFUNCTION("""COMPUTED_VALUE"""),0.0)</f>
        <v>0</v>
      </c>
      <c r="F232" s="3">
        <f>IFERROR(__xludf.DUMMYFUNCTION("""COMPUTED_VALUE"""),0.0)</f>
        <v>0</v>
      </c>
      <c r="G232" s="3">
        <f>IFERROR(__xludf.DUMMYFUNCTION("""COMPUTED_VALUE"""),0.0)</f>
        <v>0</v>
      </c>
      <c r="H232" s="3">
        <f>IFERROR(__xludf.DUMMYFUNCTION("""COMPUTED_VALUE"""),0.0)</f>
        <v>0</v>
      </c>
      <c r="I232" s="3">
        <f>IFERROR(__xludf.DUMMYFUNCTION("""COMPUTED_VALUE"""),0.0)</f>
        <v>0</v>
      </c>
      <c r="J232" s="3">
        <f>IFERROR(__xludf.DUMMYFUNCTION("""COMPUTED_VALUE"""),0.0)</f>
        <v>0</v>
      </c>
      <c r="K232" s="3">
        <f>IFERROR(__xludf.DUMMYFUNCTION("""COMPUTED_VALUE"""),0.0)</f>
        <v>0</v>
      </c>
      <c r="L232" s="3">
        <f>IFERROR(__xludf.DUMMYFUNCTION("""COMPUTED_VALUE"""),0.0)</f>
        <v>0</v>
      </c>
      <c r="M232" s="3">
        <f>IFERROR(__xludf.DUMMYFUNCTION("""COMPUTED_VALUE"""),0.0)</f>
        <v>0</v>
      </c>
      <c r="N232" s="3">
        <f>IFERROR(__xludf.DUMMYFUNCTION("""COMPUTED_VALUE"""),0.0)</f>
        <v>0</v>
      </c>
      <c r="O232" s="3">
        <f>IFERROR(__xludf.DUMMYFUNCTION("""COMPUTED_VALUE"""),0.0)</f>
        <v>0</v>
      </c>
      <c r="P232" s="3">
        <f>IFERROR(__xludf.DUMMYFUNCTION("""COMPUTED_VALUE"""),0.0)</f>
        <v>0</v>
      </c>
      <c r="Q232" s="3">
        <f>IFERROR(__xludf.DUMMYFUNCTION("""COMPUTED_VALUE"""),0.0)</f>
        <v>0</v>
      </c>
      <c r="R232" s="3">
        <f>IFERROR(__xludf.DUMMYFUNCTION("""COMPUTED_VALUE"""),0.0)</f>
        <v>0</v>
      </c>
      <c r="S232" s="3">
        <f>IFERROR(__xludf.DUMMYFUNCTION("""COMPUTED_VALUE"""),0.0)</f>
        <v>0</v>
      </c>
      <c r="T232" s="3">
        <f>IFERROR(__xludf.DUMMYFUNCTION("""COMPUTED_VALUE"""),0.0)</f>
        <v>0</v>
      </c>
      <c r="U232" s="3">
        <f>IFERROR(__xludf.DUMMYFUNCTION("""COMPUTED_VALUE"""),0.0)</f>
        <v>0</v>
      </c>
      <c r="V232" s="3">
        <f>IFERROR(__xludf.DUMMYFUNCTION("""COMPUTED_VALUE"""),0.0)</f>
        <v>0</v>
      </c>
      <c r="W232" s="3">
        <f>IFERROR(__xludf.DUMMYFUNCTION("""COMPUTED_VALUE"""),0.0)</f>
        <v>0</v>
      </c>
      <c r="X232" s="3">
        <f>IFERROR(__xludf.DUMMYFUNCTION("""COMPUTED_VALUE"""),0.0)</f>
        <v>0</v>
      </c>
      <c r="Y232" s="3">
        <f>IFERROR(__xludf.DUMMYFUNCTION("""COMPUTED_VALUE"""),0.0)</f>
        <v>0</v>
      </c>
      <c r="Z232" s="3">
        <f>IFERROR(__xludf.DUMMYFUNCTION("""COMPUTED_VALUE"""),0.0)</f>
        <v>0</v>
      </c>
      <c r="AA232" s="3">
        <f>IFERROR(__xludf.DUMMYFUNCTION("""COMPUTED_VALUE"""),0.0)</f>
        <v>0</v>
      </c>
      <c r="AB232" s="3">
        <f>IFERROR(__xludf.DUMMYFUNCTION("""COMPUTED_VALUE"""),0.0)</f>
        <v>0</v>
      </c>
      <c r="AC232" s="3">
        <f>IFERROR(__xludf.DUMMYFUNCTION("""COMPUTED_VALUE"""),0.0)</f>
        <v>0</v>
      </c>
      <c r="AD232" s="3">
        <f>IFERROR(__xludf.DUMMYFUNCTION("""COMPUTED_VALUE"""),0.0)</f>
        <v>0</v>
      </c>
      <c r="AE232" s="3">
        <f>IFERROR(__xludf.DUMMYFUNCTION("""COMPUTED_VALUE"""),0.0)</f>
        <v>0</v>
      </c>
      <c r="AF232" s="3">
        <f>IFERROR(__xludf.DUMMYFUNCTION("""COMPUTED_VALUE"""),0.0)</f>
        <v>0</v>
      </c>
      <c r="AG232" s="3">
        <f>IFERROR(__xludf.DUMMYFUNCTION("""COMPUTED_VALUE"""),0.0)</f>
        <v>0</v>
      </c>
      <c r="AH232" s="3">
        <f>IFERROR(__xludf.DUMMYFUNCTION("""COMPUTED_VALUE"""),0.0)</f>
        <v>0</v>
      </c>
      <c r="AI232" s="3">
        <f>IFERROR(__xludf.DUMMYFUNCTION("""COMPUTED_VALUE"""),0.0)</f>
        <v>0</v>
      </c>
      <c r="AJ232" s="3">
        <f>IFERROR(__xludf.DUMMYFUNCTION("""COMPUTED_VALUE"""),0.0)</f>
        <v>0</v>
      </c>
      <c r="AK232" s="3">
        <f>IFERROR(__xludf.DUMMYFUNCTION("""COMPUTED_VALUE"""),0.0)</f>
        <v>0</v>
      </c>
      <c r="AL232" s="3">
        <f>IFERROR(__xludf.DUMMYFUNCTION("""COMPUTED_VALUE"""),0.0)</f>
        <v>0</v>
      </c>
      <c r="AM232" s="3">
        <f>IFERROR(__xludf.DUMMYFUNCTION("""COMPUTED_VALUE"""),0.0)</f>
        <v>0</v>
      </c>
      <c r="AN232" s="3">
        <f>IFERROR(__xludf.DUMMYFUNCTION("""COMPUTED_VALUE"""),0.0)</f>
        <v>0</v>
      </c>
      <c r="AO232" s="3">
        <f>IFERROR(__xludf.DUMMYFUNCTION("""COMPUTED_VALUE"""),0.0)</f>
        <v>0</v>
      </c>
      <c r="AP232" s="3">
        <f>IFERROR(__xludf.DUMMYFUNCTION("""COMPUTED_VALUE"""),0.0)</f>
        <v>0</v>
      </c>
      <c r="AQ232" s="3">
        <f>IFERROR(__xludf.DUMMYFUNCTION("""COMPUTED_VALUE"""),0.0)</f>
        <v>0</v>
      </c>
      <c r="AR232" s="3">
        <f>IFERROR(__xludf.DUMMYFUNCTION("""COMPUTED_VALUE"""),0.0)</f>
        <v>0</v>
      </c>
      <c r="AS232" s="3">
        <f>IFERROR(__xludf.DUMMYFUNCTION("""COMPUTED_VALUE"""),0.0)</f>
        <v>0</v>
      </c>
      <c r="AT232" s="3">
        <f>IFERROR(__xludf.DUMMYFUNCTION("""COMPUTED_VALUE"""),0.0)</f>
        <v>0</v>
      </c>
      <c r="AU232" s="3">
        <f>IFERROR(__xludf.DUMMYFUNCTION("""COMPUTED_VALUE"""),0.0)</f>
        <v>0</v>
      </c>
      <c r="AV232" s="3">
        <f>IFERROR(__xludf.DUMMYFUNCTION("""COMPUTED_VALUE"""),0.0)</f>
        <v>0</v>
      </c>
      <c r="AW232" s="3">
        <f>IFERROR(__xludf.DUMMYFUNCTION("""COMPUTED_VALUE"""),0.0)</f>
        <v>0</v>
      </c>
      <c r="AX232" s="3">
        <f>IFERROR(__xludf.DUMMYFUNCTION("""COMPUTED_VALUE"""),0.0)</f>
        <v>0</v>
      </c>
      <c r="AY232" s="3">
        <f>IFERROR(__xludf.DUMMYFUNCTION("""COMPUTED_VALUE"""),0.0)</f>
        <v>0</v>
      </c>
      <c r="AZ232" s="3">
        <f>IFERROR(__xludf.DUMMYFUNCTION("""COMPUTED_VALUE"""),0.0)</f>
        <v>0</v>
      </c>
      <c r="BA232" s="3">
        <f>IFERROR(__xludf.DUMMYFUNCTION("""COMPUTED_VALUE"""),0.0)</f>
        <v>0</v>
      </c>
      <c r="BB232" s="3">
        <f>IFERROR(__xludf.DUMMYFUNCTION("""COMPUTED_VALUE"""),0.0)</f>
        <v>0</v>
      </c>
      <c r="BC232" s="3">
        <f>IFERROR(__xludf.DUMMYFUNCTION("""COMPUTED_VALUE"""),0.0)</f>
        <v>0</v>
      </c>
      <c r="BD232" s="3">
        <f>IFERROR(__xludf.DUMMYFUNCTION("""COMPUTED_VALUE"""),0.0)</f>
        <v>0</v>
      </c>
      <c r="BE232" s="3">
        <f>IFERROR(__xludf.DUMMYFUNCTION("""COMPUTED_VALUE"""),0.0)</f>
        <v>0</v>
      </c>
      <c r="BF232" s="3">
        <f>IFERROR(__xludf.DUMMYFUNCTION("""COMPUTED_VALUE"""),0.0)</f>
        <v>0</v>
      </c>
      <c r="BG232" s="3">
        <f>IFERROR(__xludf.DUMMYFUNCTION("""COMPUTED_VALUE"""),0.0)</f>
        <v>0</v>
      </c>
      <c r="BH232" s="3">
        <f>IFERROR(__xludf.DUMMYFUNCTION("""COMPUTED_VALUE"""),0.0)</f>
        <v>0</v>
      </c>
      <c r="BI232" s="3">
        <f>IFERROR(__xludf.DUMMYFUNCTION("""COMPUTED_VALUE"""),0.0)</f>
        <v>0</v>
      </c>
      <c r="BJ232" s="3">
        <f>IFERROR(__xludf.DUMMYFUNCTION("""COMPUTED_VALUE"""),0.0)</f>
        <v>0</v>
      </c>
      <c r="BK232" s="3">
        <f>IFERROR(__xludf.DUMMYFUNCTION("""COMPUTED_VALUE"""),0.0)</f>
        <v>0</v>
      </c>
      <c r="BL232" s="3">
        <f>IFERROR(__xludf.DUMMYFUNCTION("""COMPUTED_VALUE"""),0.0)</f>
        <v>0</v>
      </c>
      <c r="BM232" s="3">
        <f>IFERROR(__xludf.DUMMYFUNCTION("""COMPUTED_VALUE"""),0.0)</f>
        <v>0</v>
      </c>
      <c r="BN232" s="3">
        <f>IFERROR(__xludf.DUMMYFUNCTION("""COMPUTED_VALUE"""),0.0)</f>
        <v>0</v>
      </c>
      <c r="BO232" s="3">
        <f>IFERROR(__xludf.DUMMYFUNCTION("""COMPUTED_VALUE"""),0.0)</f>
        <v>0</v>
      </c>
      <c r="BP232" s="3">
        <f>IFERROR(__xludf.DUMMYFUNCTION("""COMPUTED_VALUE"""),0.0)</f>
        <v>0</v>
      </c>
      <c r="BQ232" s="3">
        <f>IFERROR(__xludf.DUMMYFUNCTION("""COMPUTED_VALUE"""),0.0)</f>
        <v>0</v>
      </c>
      <c r="BR232" s="3">
        <f>IFERROR(__xludf.DUMMYFUNCTION("""COMPUTED_VALUE"""),0.0)</f>
        <v>0</v>
      </c>
      <c r="BS232" s="3">
        <f>IFERROR(__xludf.DUMMYFUNCTION("""COMPUTED_VALUE"""),0.0)</f>
        <v>0</v>
      </c>
      <c r="BT232" s="3">
        <f>IFERROR(__xludf.DUMMYFUNCTION("""COMPUTED_VALUE"""),0.0)</f>
        <v>0</v>
      </c>
      <c r="BU232" s="3">
        <f>IFERROR(__xludf.DUMMYFUNCTION("""COMPUTED_VALUE"""),0.0)</f>
        <v>0</v>
      </c>
      <c r="BV232" s="3">
        <f>IFERROR(__xludf.DUMMYFUNCTION("""COMPUTED_VALUE"""),0.0)</f>
        <v>0</v>
      </c>
      <c r="BW232" s="3">
        <f>IFERROR(__xludf.DUMMYFUNCTION("""COMPUTED_VALUE"""),0.0)</f>
        <v>0</v>
      </c>
      <c r="BX232" s="3">
        <f>IFERROR(__xludf.DUMMYFUNCTION("""COMPUTED_VALUE"""),0.0)</f>
        <v>0</v>
      </c>
      <c r="BY232" s="3">
        <f>IFERROR(__xludf.DUMMYFUNCTION("""COMPUTED_VALUE"""),0.0)</f>
        <v>0</v>
      </c>
      <c r="BZ232" s="3">
        <f>IFERROR(__xludf.DUMMYFUNCTION("""COMPUTED_VALUE"""),0.0)</f>
        <v>0</v>
      </c>
      <c r="CA232" s="3">
        <f>IFERROR(__xludf.DUMMYFUNCTION("""COMPUTED_VALUE"""),0.0)</f>
        <v>0</v>
      </c>
      <c r="CB232" s="3">
        <f>IFERROR(__xludf.DUMMYFUNCTION("""COMPUTED_VALUE"""),0.0)</f>
        <v>0</v>
      </c>
    </row>
    <row r="233">
      <c r="A233" s="3" t="str">
        <f>IFERROR(__xludf.DUMMYFUNCTION("""COMPUTED_VALUE"""),"")</f>
        <v/>
      </c>
      <c r="B233" s="3" t="str">
        <f>IFERROR(__xludf.DUMMYFUNCTION("""COMPUTED_VALUE"""),"West Bank and Gaza")</f>
        <v>West Bank and Gaza</v>
      </c>
      <c r="C233" s="3">
        <f>IFERROR(__xludf.DUMMYFUNCTION("""COMPUTED_VALUE"""),31.9522)</f>
        <v>31.9522</v>
      </c>
      <c r="D233" s="3">
        <f>IFERROR(__xludf.DUMMYFUNCTION("""COMPUTED_VALUE"""),35.2332)</f>
        <v>35.2332</v>
      </c>
      <c r="E233" s="3">
        <f>IFERROR(__xludf.DUMMYFUNCTION("""COMPUTED_VALUE"""),0.0)</f>
        <v>0</v>
      </c>
      <c r="F233" s="3">
        <f>IFERROR(__xludf.DUMMYFUNCTION("""COMPUTED_VALUE"""),0.0)</f>
        <v>0</v>
      </c>
      <c r="G233" s="3">
        <f>IFERROR(__xludf.DUMMYFUNCTION("""COMPUTED_VALUE"""),0.0)</f>
        <v>0</v>
      </c>
      <c r="H233" s="3">
        <f>IFERROR(__xludf.DUMMYFUNCTION("""COMPUTED_VALUE"""),0.0)</f>
        <v>0</v>
      </c>
      <c r="I233" s="3">
        <f>IFERROR(__xludf.DUMMYFUNCTION("""COMPUTED_VALUE"""),0.0)</f>
        <v>0</v>
      </c>
      <c r="J233" s="3">
        <f>IFERROR(__xludf.DUMMYFUNCTION("""COMPUTED_VALUE"""),0.0)</f>
        <v>0</v>
      </c>
      <c r="K233" s="3">
        <f>IFERROR(__xludf.DUMMYFUNCTION("""COMPUTED_VALUE"""),0.0)</f>
        <v>0</v>
      </c>
      <c r="L233" s="3">
        <f>IFERROR(__xludf.DUMMYFUNCTION("""COMPUTED_VALUE"""),0.0)</f>
        <v>0</v>
      </c>
      <c r="M233" s="3">
        <f>IFERROR(__xludf.DUMMYFUNCTION("""COMPUTED_VALUE"""),0.0)</f>
        <v>0</v>
      </c>
      <c r="N233" s="3">
        <f>IFERROR(__xludf.DUMMYFUNCTION("""COMPUTED_VALUE"""),0.0)</f>
        <v>0</v>
      </c>
      <c r="O233" s="3">
        <f>IFERROR(__xludf.DUMMYFUNCTION("""COMPUTED_VALUE"""),0.0)</f>
        <v>0</v>
      </c>
      <c r="P233" s="3">
        <f>IFERROR(__xludf.DUMMYFUNCTION("""COMPUTED_VALUE"""),0.0)</f>
        <v>0</v>
      </c>
      <c r="Q233" s="3">
        <f>IFERROR(__xludf.DUMMYFUNCTION("""COMPUTED_VALUE"""),0.0)</f>
        <v>0</v>
      </c>
      <c r="R233" s="3">
        <f>IFERROR(__xludf.DUMMYFUNCTION("""COMPUTED_VALUE"""),0.0)</f>
        <v>0</v>
      </c>
      <c r="S233" s="3">
        <f>IFERROR(__xludf.DUMMYFUNCTION("""COMPUTED_VALUE"""),0.0)</f>
        <v>0</v>
      </c>
      <c r="T233" s="3">
        <f>IFERROR(__xludf.DUMMYFUNCTION("""COMPUTED_VALUE"""),0.0)</f>
        <v>0</v>
      </c>
      <c r="U233" s="3">
        <f>IFERROR(__xludf.DUMMYFUNCTION("""COMPUTED_VALUE"""),0.0)</f>
        <v>0</v>
      </c>
      <c r="V233" s="3">
        <f>IFERROR(__xludf.DUMMYFUNCTION("""COMPUTED_VALUE"""),0.0)</f>
        <v>0</v>
      </c>
      <c r="W233" s="3">
        <f>IFERROR(__xludf.DUMMYFUNCTION("""COMPUTED_VALUE"""),0.0)</f>
        <v>0</v>
      </c>
      <c r="X233" s="3">
        <f>IFERROR(__xludf.DUMMYFUNCTION("""COMPUTED_VALUE"""),0.0)</f>
        <v>0</v>
      </c>
      <c r="Y233" s="3">
        <f>IFERROR(__xludf.DUMMYFUNCTION("""COMPUTED_VALUE"""),0.0)</f>
        <v>0</v>
      </c>
      <c r="Z233" s="3">
        <f>IFERROR(__xludf.DUMMYFUNCTION("""COMPUTED_VALUE"""),0.0)</f>
        <v>0</v>
      </c>
      <c r="AA233" s="3">
        <f>IFERROR(__xludf.DUMMYFUNCTION("""COMPUTED_VALUE"""),0.0)</f>
        <v>0</v>
      </c>
      <c r="AB233" s="3">
        <f>IFERROR(__xludf.DUMMYFUNCTION("""COMPUTED_VALUE"""),0.0)</f>
        <v>0</v>
      </c>
      <c r="AC233" s="3">
        <f>IFERROR(__xludf.DUMMYFUNCTION("""COMPUTED_VALUE"""),0.0)</f>
        <v>0</v>
      </c>
      <c r="AD233" s="3">
        <f>IFERROR(__xludf.DUMMYFUNCTION("""COMPUTED_VALUE"""),0.0)</f>
        <v>0</v>
      </c>
      <c r="AE233" s="3">
        <f>IFERROR(__xludf.DUMMYFUNCTION("""COMPUTED_VALUE"""),0.0)</f>
        <v>0</v>
      </c>
      <c r="AF233" s="3">
        <f>IFERROR(__xludf.DUMMYFUNCTION("""COMPUTED_VALUE"""),0.0)</f>
        <v>0</v>
      </c>
      <c r="AG233" s="3">
        <f>IFERROR(__xludf.DUMMYFUNCTION("""COMPUTED_VALUE"""),0.0)</f>
        <v>0</v>
      </c>
      <c r="AH233" s="3">
        <f>IFERROR(__xludf.DUMMYFUNCTION("""COMPUTED_VALUE"""),0.0)</f>
        <v>0</v>
      </c>
      <c r="AI233" s="3">
        <f>IFERROR(__xludf.DUMMYFUNCTION("""COMPUTED_VALUE"""),0.0)</f>
        <v>0</v>
      </c>
      <c r="AJ233" s="3">
        <f>IFERROR(__xludf.DUMMYFUNCTION("""COMPUTED_VALUE"""),0.0)</f>
        <v>0</v>
      </c>
      <c r="AK233" s="3">
        <f>IFERROR(__xludf.DUMMYFUNCTION("""COMPUTED_VALUE"""),0.0)</f>
        <v>0</v>
      </c>
      <c r="AL233" s="3">
        <f>IFERROR(__xludf.DUMMYFUNCTION("""COMPUTED_VALUE"""),0.0)</f>
        <v>0</v>
      </c>
      <c r="AM233" s="3">
        <f>IFERROR(__xludf.DUMMYFUNCTION("""COMPUTED_VALUE"""),0.0)</f>
        <v>0</v>
      </c>
      <c r="AN233" s="3">
        <f>IFERROR(__xludf.DUMMYFUNCTION("""COMPUTED_VALUE"""),0.0)</f>
        <v>0</v>
      </c>
      <c r="AO233" s="3">
        <f>IFERROR(__xludf.DUMMYFUNCTION("""COMPUTED_VALUE"""),0.0)</f>
        <v>0</v>
      </c>
      <c r="AP233" s="3">
        <f>IFERROR(__xludf.DUMMYFUNCTION("""COMPUTED_VALUE"""),0.0)</f>
        <v>0</v>
      </c>
      <c r="AQ233" s="3">
        <f>IFERROR(__xludf.DUMMYFUNCTION("""COMPUTED_VALUE"""),0.0)</f>
        <v>0</v>
      </c>
      <c r="AR233" s="3">
        <f>IFERROR(__xludf.DUMMYFUNCTION("""COMPUTED_VALUE"""),0.0)</f>
        <v>0</v>
      </c>
      <c r="AS233" s="3">
        <f>IFERROR(__xludf.DUMMYFUNCTION("""COMPUTED_VALUE"""),0.0)</f>
        <v>0</v>
      </c>
      <c r="AT233" s="3">
        <f>IFERROR(__xludf.DUMMYFUNCTION("""COMPUTED_VALUE"""),0.0)</f>
        <v>0</v>
      </c>
      <c r="AU233" s="3">
        <f>IFERROR(__xludf.DUMMYFUNCTION("""COMPUTED_VALUE"""),0.0)</f>
        <v>0</v>
      </c>
      <c r="AV233" s="3">
        <f>IFERROR(__xludf.DUMMYFUNCTION("""COMPUTED_VALUE"""),0.0)</f>
        <v>0</v>
      </c>
      <c r="AW233" s="3">
        <f>IFERROR(__xludf.DUMMYFUNCTION("""COMPUTED_VALUE"""),0.0)</f>
        <v>0</v>
      </c>
      <c r="AX233" s="3">
        <f>IFERROR(__xludf.DUMMYFUNCTION("""COMPUTED_VALUE"""),0.0)</f>
        <v>0</v>
      </c>
      <c r="AY233" s="3">
        <f>IFERROR(__xludf.DUMMYFUNCTION("""COMPUTED_VALUE"""),0.0)</f>
        <v>0</v>
      </c>
      <c r="AZ233" s="3">
        <f>IFERROR(__xludf.DUMMYFUNCTION("""COMPUTED_VALUE"""),0.0)</f>
        <v>0</v>
      </c>
      <c r="BA233" s="3">
        <f>IFERROR(__xludf.DUMMYFUNCTION("""COMPUTED_VALUE"""),0.0)</f>
        <v>0</v>
      </c>
      <c r="BB233" s="3">
        <f>IFERROR(__xludf.DUMMYFUNCTION("""COMPUTED_VALUE"""),0.0)</f>
        <v>0</v>
      </c>
      <c r="BC233" s="3">
        <f>IFERROR(__xludf.DUMMYFUNCTION("""COMPUTED_VALUE"""),0.0)</f>
        <v>0</v>
      </c>
      <c r="BD233" s="3">
        <f>IFERROR(__xludf.DUMMYFUNCTION("""COMPUTED_VALUE"""),0.0)</f>
        <v>0</v>
      </c>
      <c r="BE233" s="3">
        <f>IFERROR(__xludf.DUMMYFUNCTION("""COMPUTED_VALUE"""),0.0)</f>
        <v>0</v>
      </c>
      <c r="BF233" s="3">
        <f>IFERROR(__xludf.DUMMYFUNCTION("""COMPUTED_VALUE"""),0.0)</f>
        <v>0</v>
      </c>
      <c r="BG233" s="3">
        <f>IFERROR(__xludf.DUMMYFUNCTION("""COMPUTED_VALUE"""),0.0)</f>
        <v>0</v>
      </c>
      <c r="BH233" s="3">
        <f>IFERROR(__xludf.DUMMYFUNCTION("""COMPUTED_VALUE"""),0.0)</f>
        <v>0</v>
      </c>
      <c r="BI233" s="3">
        <f>IFERROR(__xludf.DUMMYFUNCTION("""COMPUTED_VALUE"""),0.0)</f>
        <v>0</v>
      </c>
      <c r="BJ233" s="3">
        <f>IFERROR(__xludf.DUMMYFUNCTION("""COMPUTED_VALUE"""),0.0)</f>
        <v>0</v>
      </c>
      <c r="BK233" s="3">
        <f>IFERROR(__xludf.DUMMYFUNCTION("""COMPUTED_VALUE"""),17.0)</f>
        <v>17</v>
      </c>
      <c r="BL233" s="3">
        <f>IFERROR(__xludf.DUMMYFUNCTION("""COMPUTED_VALUE"""),17.0)</f>
        <v>17</v>
      </c>
      <c r="BM233" s="3">
        <f>IFERROR(__xludf.DUMMYFUNCTION("""COMPUTED_VALUE"""),17.0)</f>
        <v>17</v>
      </c>
      <c r="BN233" s="3">
        <f>IFERROR(__xludf.DUMMYFUNCTION("""COMPUTED_VALUE"""),17.0)</f>
        <v>17</v>
      </c>
      <c r="BO233" s="3">
        <f>IFERROR(__xludf.DUMMYFUNCTION("""COMPUTED_VALUE"""),17.0)</f>
        <v>17</v>
      </c>
      <c r="BP233" s="3">
        <f>IFERROR(__xludf.DUMMYFUNCTION("""COMPUTED_VALUE"""),17.0)</f>
        <v>17</v>
      </c>
      <c r="BQ233" s="3">
        <f>IFERROR(__xludf.DUMMYFUNCTION("""COMPUTED_VALUE"""),17.0)</f>
        <v>17</v>
      </c>
      <c r="BR233" s="3">
        <f>IFERROR(__xludf.DUMMYFUNCTION("""COMPUTED_VALUE"""),17.0)</f>
        <v>17</v>
      </c>
      <c r="BS233" s="3">
        <f>IFERROR(__xludf.DUMMYFUNCTION("""COMPUTED_VALUE"""),18.0)</f>
        <v>18</v>
      </c>
      <c r="BT233" s="3">
        <f>IFERROR(__xludf.DUMMYFUNCTION("""COMPUTED_VALUE"""),18.0)</f>
        <v>18</v>
      </c>
      <c r="BU233" s="3">
        <f>IFERROR(__xludf.DUMMYFUNCTION("""COMPUTED_VALUE"""),18.0)</f>
        <v>18</v>
      </c>
      <c r="BV233" s="3">
        <f>IFERROR(__xludf.DUMMYFUNCTION("""COMPUTED_VALUE"""),18.0)</f>
        <v>18</v>
      </c>
      <c r="BW233" s="3">
        <f>IFERROR(__xludf.DUMMYFUNCTION("""COMPUTED_VALUE"""),18.0)</f>
        <v>18</v>
      </c>
      <c r="BX233" s="3">
        <f>IFERROR(__xludf.DUMMYFUNCTION("""COMPUTED_VALUE"""),18.0)</f>
        <v>18</v>
      </c>
      <c r="BY233" s="3">
        <f>IFERROR(__xludf.DUMMYFUNCTION("""COMPUTED_VALUE"""),21.0)</f>
        <v>21</v>
      </c>
      <c r="BZ233" s="3">
        <f>IFERROR(__xludf.DUMMYFUNCTION("""COMPUTED_VALUE"""),21.0)</f>
        <v>21</v>
      </c>
      <c r="CA233" s="3">
        <f>IFERROR(__xludf.DUMMYFUNCTION("""COMPUTED_VALUE"""),25.0)</f>
        <v>25</v>
      </c>
      <c r="CB233" s="3">
        <f>IFERROR(__xludf.DUMMYFUNCTION("""COMPUTED_VALUE"""),24.0)</f>
        <v>24</v>
      </c>
    </row>
    <row r="234">
      <c r="A234" s="3" t="str">
        <f>IFERROR(__xludf.DUMMYFUNCTION("""COMPUTED_VALUE"""),"")</f>
        <v/>
      </c>
      <c r="B234" s="3" t="str">
        <f>IFERROR(__xludf.DUMMYFUNCTION("""COMPUTED_VALUE"""),"Laos")</f>
        <v>Laos</v>
      </c>
      <c r="C234" s="3">
        <f>IFERROR(__xludf.DUMMYFUNCTION("""COMPUTED_VALUE"""),19.85627)</f>
        <v>19.85627</v>
      </c>
      <c r="D234" s="3">
        <f>IFERROR(__xludf.DUMMYFUNCTION("""COMPUTED_VALUE"""),102.495496)</f>
        <v>102.495496</v>
      </c>
      <c r="E234" s="3">
        <f>IFERROR(__xludf.DUMMYFUNCTION("""COMPUTED_VALUE"""),0.0)</f>
        <v>0</v>
      </c>
      <c r="F234" s="3">
        <f>IFERROR(__xludf.DUMMYFUNCTION("""COMPUTED_VALUE"""),0.0)</f>
        <v>0</v>
      </c>
      <c r="G234" s="3">
        <f>IFERROR(__xludf.DUMMYFUNCTION("""COMPUTED_VALUE"""),0.0)</f>
        <v>0</v>
      </c>
      <c r="H234" s="3">
        <f>IFERROR(__xludf.DUMMYFUNCTION("""COMPUTED_VALUE"""),0.0)</f>
        <v>0</v>
      </c>
      <c r="I234" s="3">
        <f>IFERROR(__xludf.DUMMYFUNCTION("""COMPUTED_VALUE"""),0.0)</f>
        <v>0</v>
      </c>
      <c r="J234" s="3">
        <f>IFERROR(__xludf.DUMMYFUNCTION("""COMPUTED_VALUE"""),0.0)</f>
        <v>0</v>
      </c>
      <c r="K234" s="3">
        <f>IFERROR(__xludf.DUMMYFUNCTION("""COMPUTED_VALUE"""),0.0)</f>
        <v>0</v>
      </c>
      <c r="L234" s="3">
        <f>IFERROR(__xludf.DUMMYFUNCTION("""COMPUTED_VALUE"""),0.0)</f>
        <v>0</v>
      </c>
      <c r="M234" s="3">
        <f>IFERROR(__xludf.DUMMYFUNCTION("""COMPUTED_VALUE"""),0.0)</f>
        <v>0</v>
      </c>
      <c r="N234" s="3">
        <f>IFERROR(__xludf.DUMMYFUNCTION("""COMPUTED_VALUE"""),0.0)</f>
        <v>0</v>
      </c>
      <c r="O234" s="3">
        <f>IFERROR(__xludf.DUMMYFUNCTION("""COMPUTED_VALUE"""),0.0)</f>
        <v>0</v>
      </c>
      <c r="P234" s="3">
        <f>IFERROR(__xludf.DUMMYFUNCTION("""COMPUTED_VALUE"""),0.0)</f>
        <v>0</v>
      </c>
      <c r="Q234" s="3">
        <f>IFERROR(__xludf.DUMMYFUNCTION("""COMPUTED_VALUE"""),0.0)</f>
        <v>0</v>
      </c>
      <c r="R234" s="3">
        <f>IFERROR(__xludf.DUMMYFUNCTION("""COMPUTED_VALUE"""),0.0)</f>
        <v>0</v>
      </c>
      <c r="S234" s="3">
        <f>IFERROR(__xludf.DUMMYFUNCTION("""COMPUTED_VALUE"""),0.0)</f>
        <v>0</v>
      </c>
      <c r="T234" s="3">
        <f>IFERROR(__xludf.DUMMYFUNCTION("""COMPUTED_VALUE"""),0.0)</f>
        <v>0</v>
      </c>
      <c r="U234" s="3">
        <f>IFERROR(__xludf.DUMMYFUNCTION("""COMPUTED_VALUE"""),0.0)</f>
        <v>0</v>
      </c>
      <c r="V234" s="3">
        <f>IFERROR(__xludf.DUMMYFUNCTION("""COMPUTED_VALUE"""),0.0)</f>
        <v>0</v>
      </c>
      <c r="W234" s="3">
        <f>IFERROR(__xludf.DUMMYFUNCTION("""COMPUTED_VALUE"""),0.0)</f>
        <v>0</v>
      </c>
      <c r="X234" s="3">
        <f>IFERROR(__xludf.DUMMYFUNCTION("""COMPUTED_VALUE"""),0.0)</f>
        <v>0</v>
      </c>
      <c r="Y234" s="3">
        <f>IFERROR(__xludf.DUMMYFUNCTION("""COMPUTED_VALUE"""),0.0)</f>
        <v>0</v>
      </c>
      <c r="Z234" s="3">
        <f>IFERROR(__xludf.DUMMYFUNCTION("""COMPUTED_VALUE"""),0.0)</f>
        <v>0</v>
      </c>
      <c r="AA234" s="3">
        <f>IFERROR(__xludf.DUMMYFUNCTION("""COMPUTED_VALUE"""),0.0)</f>
        <v>0</v>
      </c>
      <c r="AB234" s="3">
        <f>IFERROR(__xludf.DUMMYFUNCTION("""COMPUTED_VALUE"""),0.0)</f>
        <v>0</v>
      </c>
      <c r="AC234" s="3">
        <f>IFERROR(__xludf.DUMMYFUNCTION("""COMPUTED_VALUE"""),0.0)</f>
        <v>0</v>
      </c>
      <c r="AD234" s="3">
        <f>IFERROR(__xludf.DUMMYFUNCTION("""COMPUTED_VALUE"""),0.0)</f>
        <v>0</v>
      </c>
      <c r="AE234" s="3">
        <f>IFERROR(__xludf.DUMMYFUNCTION("""COMPUTED_VALUE"""),0.0)</f>
        <v>0</v>
      </c>
      <c r="AF234" s="3">
        <f>IFERROR(__xludf.DUMMYFUNCTION("""COMPUTED_VALUE"""),0.0)</f>
        <v>0</v>
      </c>
      <c r="AG234" s="3">
        <f>IFERROR(__xludf.DUMMYFUNCTION("""COMPUTED_VALUE"""),0.0)</f>
        <v>0</v>
      </c>
      <c r="AH234" s="3">
        <f>IFERROR(__xludf.DUMMYFUNCTION("""COMPUTED_VALUE"""),0.0)</f>
        <v>0</v>
      </c>
      <c r="AI234" s="3">
        <f>IFERROR(__xludf.DUMMYFUNCTION("""COMPUTED_VALUE"""),0.0)</f>
        <v>0</v>
      </c>
      <c r="AJ234" s="3">
        <f>IFERROR(__xludf.DUMMYFUNCTION("""COMPUTED_VALUE"""),0.0)</f>
        <v>0</v>
      </c>
      <c r="AK234" s="3">
        <f>IFERROR(__xludf.DUMMYFUNCTION("""COMPUTED_VALUE"""),0.0)</f>
        <v>0</v>
      </c>
      <c r="AL234" s="3">
        <f>IFERROR(__xludf.DUMMYFUNCTION("""COMPUTED_VALUE"""),0.0)</f>
        <v>0</v>
      </c>
      <c r="AM234" s="3">
        <f>IFERROR(__xludf.DUMMYFUNCTION("""COMPUTED_VALUE"""),0.0)</f>
        <v>0</v>
      </c>
      <c r="AN234" s="3">
        <f>IFERROR(__xludf.DUMMYFUNCTION("""COMPUTED_VALUE"""),0.0)</f>
        <v>0</v>
      </c>
      <c r="AO234" s="3">
        <f>IFERROR(__xludf.DUMMYFUNCTION("""COMPUTED_VALUE"""),0.0)</f>
        <v>0</v>
      </c>
      <c r="AP234" s="3">
        <f>IFERROR(__xludf.DUMMYFUNCTION("""COMPUTED_VALUE"""),0.0)</f>
        <v>0</v>
      </c>
      <c r="AQ234" s="3">
        <f>IFERROR(__xludf.DUMMYFUNCTION("""COMPUTED_VALUE"""),0.0)</f>
        <v>0</v>
      </c>
      <c r="AR234" s="3">
        <f>IFERROR(__xludf.DUMMYFUNCTION("""COMPUTED_VALUE"""),0.0)</f>
        <v>0</v>
      </c>
      <c r="AS234" s="3">
        <f>IFERROR(__xludf.DUMMYFUNCTION("""COMPUTED_VALUE"""),0.0)</f>
        <v>0</v>
      </c>
      <c r="AT234" s="3">
        <f>IFERROR(__xludf.DUMMYFUNCTION("""COMPUTED_VALUE"""),0.0)</f>
        <v>0</v>
      </c>
      <c r="AU234" s="3">
        <f>IFERROR(__xludf.DUMMYFUNCTION("""COMPUTED_VALUE"""),0.0)</f>
        <v>0</v>
      </c>
      <c r="AV234" s="3">
        <f>IFERROR(__xludf.DUMMYFUNCTION("""COMPUTED_VALUE"""),0.0)</f>
        <v>0</v>
      </c>
      <c r="AW234" s="3">
        <f>IFERROR(__xludf.DUMMYFUNCTION("""COMPUTED_VALUE"""),0.0)</f>
        <v>0</v>
      </c>
      <c r="AX234" s="3">
        <f>IFERROR(__xludf.DUMMYFUNCTION("""COMPUTED_VALUE"""),0.0)</f>
        <v>0</v>
      </c>
      <c r="AY234" s="3">
        <f>IFERROR(__xludf.DUMMYFUNCTION("""COMPUTED_VALUE"""),0.0)</f>
        <v>0</v>
      </c>
      <c r="AZ234" s="3">
        <f>IFERROR(__xludf.DUMMYFUNCTION("""COMPUTED_VALUE"""),0.0)</f>
        <v>0</v>
      </c>
      <c r="BA234" s="3">
        <f>IFERROR(__xludf.DUMMYFUNCTION("""COMPUTED_VALUE"""),0.0)</f>
        <v>0</v>
      </c>
      <c r="BB234" s="3">
        <f>IFERROR(__xludf.DUMMYFUNCTION("""COMPUTED_VALUE"""),0.0)</f>
        <v>0</v>
      </c>
      <c r="BC234" s="3">
        <f>IFERROR(__xludf.DUMMYFUNCTION("""COMPUTED_VALUE"""),0.0)</f>
        <v>0</v>
      </c>
      <c r="BD234" s="3">
        <f>IFERROR(__xludf.DUMMYFUNCTION("""COMPUTED_VALUE"""),0.0)</f>
        <v>0</v>
      </c>
      <c r="BE234" s="3">
        <f>IFERROR(__xludf.DUMMYFUNCTION("""COMPUTED_VALUE"""),0.0)</f>
        <v>0</v>
      </c>
      <c r="BF234" s="3">
        <f>IFERROR(__xludf.DUMMYFUNCTION("""COMPUTED_VALUE"""),0.0)</f>
        <v>0</v>
      </c>
      <c r="BG234" s="3">
        <f>IFERROR(__xludf.DUMMYFUNCTION("""COMPUTED_VALUE"""),0.0)</f>
        <v>0</v>
      </c>
      <c r="BH234" s="3">
        <f>IFERROR(__xludf.DUMMYFUNCTION("""COMPUTED_VALUE"""),0.0)</f>
        <v>0</v>
      </c>
      <c r="BI234" s="3">
        <f>IFERROR(__xludf.DUMMYFUNCTION("""COMPUTED_VALUE"""),0.0)</f>
        <v>0</v>
      </c>
      <c r="BJ234" s="3">
        <f>IFERROR(__xludf.DUMMYFUNCTION("""COMPUTED_VALUE"""),0.0)</f>
        <v>0</v>
      </c>
      <c r="BK234" s="3">
        <f>IFERROR(__xludf.DUMMYFUNCTION("""COMPUTED_VALUE"""),0.0)</f>
        <v>0</v>
      </c>
      <c r="BL234" s="3">
        <f>IFERROR(__xludf.DUMMYFUNCTION("""COMPUTED_VALUE"""),0.0)</f>
        <v>0</v>
      </c>
      <c r="BM234" s="3">
        <f>IFERROR(__xludf.DUMMYFUNCTION("""COMPUTED_VALUE"""),0.0)</f>
        <v>0</v>
      </c>
      <c r="BN234" s="3">
        <f>IFERROR(__xludf.DUMMYFUNCTION("""COMPUTED_VALUE"""),0.0)</f>
        <v>0</v>
      </c>
      <c r="BO234" s="3">
        <f>IFERROR(__xludf.DUMMYFUNCTION("""COMPUTED_VALUE"""),0.0)</f>
        <v>0</v>
      </c>
      <c r="BP234" s="3">
        <f>IFERROR(__xludf.DUMMYFUNCTION("""COMPUTED_VALUE"""),0.0)</f>
        <v>0</v>
      </c>
      <c r="BQ234" s="3">
        <f>IFERROR(__xludf.DUMMYFUNCTION("""COMPUTED_VALUE"""),0.0)</f>
        <v>0</v>
      </c>
      <c r="BR234" s="3">
        <f>IFERROR(__xludf.DUMMYFUNCTION("""COMPUTED_VALUE"""),0.0)</f>
        <v>0</v>
      </c>
      <c r="BS234" s="3">
        <f>IFERROR(__xludf.DUMMYFUNCTION("""COMPUTED_VALUE"""),0.0)</f>
        <v>0</v>
      </c>
      <c r="BT234" s="3">
        <f>IFERROR(__xludf.DUMMYFUNCTION("""COMPUTED_VALUE"""),0.0)</f>
        <v>0</v>
      </c>
      <c r="BU234" s="3">
        <f>IFERROR(__xludf.DUMMYFUNCTION("""COMPUTED_VALUE"""),0.0)</f>
        <v>0</v>
      </c>
      <c r="BV234" s="3">
        <f>IFERROR(__xludf.DUMMYFUNCTION("""COMPUTED_VALUE"""),0.0)</f>
        <v>0</v>
      </c>
      <c r="BW234" s="3">
        <f>IFERROR(__xludf.DUMMYFUNCTION("""COMPUTED_VALUE"""),0.0)</f>
        <v>0</v>
      </c>
      <c r="BX234" s="3">
        <f>IFERROR(__xludf.DUMMYFUNCTION("""COMPUTED_VALUE"""),0.0)</f>
        <v>0</v>
      </c>
      <c r="BY234" s="3">
        <f>IFERROR(__xludf.DUMMYFUNCTION("""COMPUTED_VALUE"""),0.0)</f>
        <v>0</v>
      </c>
      <c r="BZ234" s="3">
        <f>IFERROR(__xludf.DUMMYFUNCTION("""COMPUTED_VALUE"""),0.0)</f>
        <v>0</v>
      </c>
      <c r="CA234" s="3">
        <f>IFERROR(__xludf.DUMMYFUNCTION("""COMPUTED_VALUE"""),0.0)</f>
        <v>0</v>
      </c>
      <c r="CB234" s="3">
        <f>IFERROR(__xludf.DUMMYFUNCTION("""COMPUTED_VALUE"""),0.0)</f>
        <v>0</v>
      </c>
    </row>
    <row r="235">
      <c r="A235" s="3" t="str">
        <f>IFERROR(__xludf.DUMMYFUNCTION("""COMPUTED_VALUE"""),"")</f>
        <v/>
      </c>
      <c r="B235" s="3" t="str">
        <f>IFERROR(__xludf.DUMMYFUNCTION("""COMPUTED_VALUE"""),"Kosovo")</f>
        <v>Kosovo</v>
      </c>
      <c r="C235" s="3">
        <f>IFERROR(__xludf.DUMMYFUNCTION("""COMPUTED_VALUE"""),42.602636)</f>
        <v>42.602636</v>
      </c>
      <c r="D235" s="3">
        <f>IFERROR(__xludf.DUMMYFUNCTION("""COMPUTED_VALUE"""),20.902977)</f>
        <v>20.902977</v>
      </c>
      <c r="E235" s="3">
        <f>IFERROR(__xludf.DUMMYFUNCTION("""COMPUTED_VALUE"""),0.0)</f>
        <v>0</v>
      </c>
      <c r="F235" s="3">
        <f>IFERROR(__xludf.DUMMYFUNCTION("""COMPUTED_VALUE"""),0.0)</f>
        <v>0</v>
      </c>
      <c r="G235" s="3">
        <f>IFERROR(__xludf.DUMMYFUNCTION("""COMPUTED_VALUE"""),0.0)</f>
        <v>0</v>
      </c>
      <c r="H235" s="3">
        <f>IFERROR(__xludf.DUMMYFUNCTION("""COMPUTED_VALUE"""),0.0)</f>
        <v>0</v>
      </c>
      <c r="I235" s="3">
        <f>IFERROR(__xludf.DUMMYFUNCTION("""COMPUTED_VALUE"""),0.0)</f>
        <v>0</v>
      </c>
      <c r="J235" s="3">
        <f>IFERROR(__xludf.DUMMYFUNCTION("""COMPUTED_VALUE"""),0.0)</f>
        <v>0</v>
      </c>
      <c r="K235" s="3">
        <f>IFERROR(__xludf.DUMMYFUNCTION("""COMPUTED_VALUE"""),0.0)</f>
        <v>0</v>
      </c>
      <c r="L235" s="3">
        <f>IFERROR(__xludf.DUMMYFUNCTION("""COMPUTED_VALUE"""),0.0)</f>
        <v>0</v>
      </c>
      <c r="M235" s="3">
        <f>IFERROR(__xludf.DUMMYFUNCTION("""COMPUTED_VALUE"""),0.0)</f>
        <v>0</v>
      </c>
      <c r="N235" s="3">
        <f>IFERROR(__xludf.DUMMYFUNCTION("""COMPUTED_VALUE"""),0.0)</f>
        <v>0</v>
      </c>
      <c r="O235" s="3">
        <f>IFERROR(__xludf.DUMMYFUNCTION("""COMPUTED_VALUE"""),0.0)</f>
        <v>0</v>
      </c>
      <c r="P235" s="3">
        <f>IFERROR(__xludf.DUMMYFUNCTION("""COMPUTED_VALUE"""),0.0)</f>
        <v>0</v>
      </c>
      <c r="Q235" s="3">
        <f>IFERROR(__xludf.DUMMYFUNCTION("""COMPUTED_VALUE"""),0.0)</f>
        <v>0</v>
      </c>
      <c r="R235" s="3">
        <f>IFERROR(__xludf.DUMMYFUNCTION("""COMPUTED_VALUE"""),0.0)</f>
        <v>0</v>
      </c>
      <c r="S235" s="3">
        <f>IFERROR(__xludf.DUMMYFUNCTION("""COMPUTED_VALUE"""),0.0)</f>
        <v>0</v>
      </c>
      <c r="T235" s="3">
        <f>IFERROR(__xludf.DUMMYFUNCTION("""COMPUTED_VALUE"""),0.0)</f>
        <v>0</v>
      </c>
      <c r="U235" s="3">
        <f>IFERROR(__xludf.DUMMYFUNCTION("""COMPUTED_VALUE"""),0.0)</f>
        <v>0</v>
      </c>
      <c r="V235" s="3">
        <f>IFERROR(__xludf.DUMMYFUNCTION("""COMPUTED_VALUE"""),0.0)</f>
        <v>0</v>
      </c>
      <c r="W235" s="3">
        <f>IFERROR(__xludf.DUMMYFUNCTION("""COMPUTED_VALUE"""),0.0)</f>
        <v>0</v>
      </c>
      <c r="X235" s="3">
        <f>IFERROR(__xludf.DUMMYFUNCTION("""COMPUTED_VALUE"""),0.0)</f>
        <v>0</v>
      </c>
      <c r="Y235" s="3">
        <f>IFERROR(__xludf.DUMMYFUNCTION("""COMPUTED_VALUE"""),0.0)</f>
        <v>0</v>
      </c>
      <c r="Z235" s="3">
        <f>IFERROR(__xludf.DUMMYFUNCTION("""COMPUTED_VALUE"""),0.0)</f>
        <v>0</v>
      </c>
      <c r="AA235" s="3">
        <f>IFERROR(__xludf.DUMMYFUNCTION("""COMPUTED_VALUE"""),0.0)</f>
        <v>0</v>
      </c>
      <c r="AB235" s="3">
        <f>IFERROR(__xludf.DUMMYFUNCTION("""COMPUTED_VALUE"""),0.0)</f>
        <v>0</v>
      </c>
      <c r="AC235" s="3">
        <f>IFERROR(__xludf.DUMMYFUNCTION("""COMPUTED_VALUE"""),0.0)</f>
        <v>0</v>
      </c>
      <c r="AD235" s="3">
        <f>IFERROR(__xludf.DUMMYFUNCTION("""COMPUTED_VALUE"""),0.0)</f>
        <v>0</v>
      </c>
      <c r="AE235" s="3">
        <f>IFERROR(__xludf.DUMMYFUNCTION("""COMPUTED_VALUE"""),0.0)</f>
        <v>0</v>
      </c>
      <c r="AF235" s="3">
        <f>IFERROR(__xludf.DUMMYFUNCTION("""COMPUTED_VALUE"""),0.0)</f>
        <v>0</v>
      </c>
      <c r="AG235" s="3">
        <f>IFERROR(__xludf.DUMMYFUNCTION("""COMPUTED_VALUE"""),0.0)</f>
        <v>0</v>
      </c>
      <c r="AH235" s="3">
        <f>IFERROR(__xludf.DUMMYFUNCTION("""COMPUTED_VALUE"""),0.0)</f>
        <v>0</v>
      </c>
      <c r="AI235" s="3">
        <f>IFERROR(__xludf.DUMMYFUNCTION("""COMPUTED_VALUE"""),0.0)</f>
        <v>0</v>
      </c>
      <c r="AJ235" s="3">
        <f>IFERROR(__xludf.DUMMYFUNCTION("""COMPUTED_VALUE"""),0.0)</f>
        <v>0</v>
      </c>
      <c r="AK235" s="3">
        <f>IFERROR(__xludf.DUMMYFUNCTION("""COMPUTED_VALUE"""),0.0)</f>
        <v>0</v>
      </c>
      <c r="AL235" s="3">
        <f>IFERROR(__xludf.DUMMYFUNCTION("""COMPUTED_VALUE"""),0.0)</f>
        <v>0</v>
      </c>
      <c r="AM235" s="3">
        <f>IFERROR(__xludf.DUMMYFUNCTION("""COMPUTED_VALUE"""),0.0)</f>
        <v>0</v>
      </c>
      <c r="AN235" s="3">
        <f>IFERROR(__xludf.DUMMYFUNCTION("""COMPUTED_VALUE"""),0.0)</f>
        <v>0</v>
      </c>
      <c r="AO235" s="3">
        <f>IFERROR(__xludf.DUMMYFUNCTION("""COMPUTED_VALUE"""),0.0)</f>
        <v>0</v>
      </c>
      <c r="AP235" s="3">
        <f>IFERROR(__xludf.DUMMYFUNCTION("""COMPUTED_VALUE"""),0.0)</f>
        <v>0</v>
      </c>
      <c r="AQ235" s="3">
        <f>IFERROR(__xludf.DUMMYFUNCTION("""COMPUTED_VALUE"""),0.0)</f>
        <v>0</v>
      </c>
      <c r="AR235" s="3">
        <f>IFERROR(__xludf.DUMMYFUNCTION("""COMPUTED_VALUE"""),0.0)</f>
        <v>0</v>
      </c>
      <c r="AS235" s="3">
        <f>IFERROR(__xludf.DUMMYFUNCTION("""COMPUTED_VALUE"""),0.0)</f>
        <v>0</v>
      </c>
      <c r="AT235" s="3">
        <f>IFERROR(__xludf.DUMMYFUNCTION("""COMPUTED_VALUE"""),0.0)</f>
        <v>0</v>
      </c>
      <c r="AU235" s="3">
        <f>IFERROR(__xludf.DUMMYFUNCTION("""COMPUTED_VALUE"""),0.0)</f>
        <v>0</v>
      </c>
      <c r="AV235" s="3">
        <f>IFERROR(__xludf.DUMMYFUNCTION("""COMPUTED_VALUE"""),0.0)</f>
        <v>0</v>
      </c>
      <c r="AW235" s="3">
        <f>IFERROR(__xludf.DUMMYFUNCTION("""COMPUTED_VALUE"""),0.0)</f>
        <v>0</v>
      </c>
      <c r="AX235" s="3">
        <f>IFERROR(__xludf.DUMMYFUNCTION("""COMPUTED_VALUE"""),0.0)</f>
        <v>0</v>
      </c>
      <c r="AY235" s="3">
        <f>IFERROR(__xludf.DUMMYFUNCTION("""COMPUTED_VALUE"""),0.0)</f>
        <v>0</v>
      </c>
      <c r="AZ235" s="3">
        <f>IFERROR(__xludf.DUMMYFUNCTION("""COMPUTED_VALUE"""),0.0)</f>
        <v>0</v>
      </c>
      <c r="BA235" s="3">
        <f>IFERROR(__xludf.DUMMYFUNCTION("""COMPUTED_VALUE"""),0.0)</f>
        <v>0</v>
      </c>
      <c r="BB235" s="3">
        <f>IFERROR(__xludf.DUMMYFUNCTION("""COMPUTED_VALUE"""),0.0)</f>
        <v>0</v>
      </c>
      <c r="BC235" s="3">
        <f>IFERROR(__xludf.DUMMYFUNCTION("""COMPUTED_VALUE"""),0.0)</f>
        <v>0</v>
      </c>
      <c r="BD235" s="3">
        <f>IFERROR(__xludf.DUMMYFUNCTION("""COMPUTED_VALUE"""),0.0)</f>
        <v>0</v>
      </c>
      <c r="BE235" s="3">
        <f>IFERROR(__xludf.DUMMYFUNCTION("""COMPUTED_VALUE"""),0.0)</f>
        <v>0</v>
      </c>
      <c r="BF235" s="3">
        <f>IFERROR(__xludf.DUMMYFUNCTION("""COMPUTED_VALUE"""),0.0)</f>
        <v>0</v>
      </c>
      <c r="BG235" s="3">
        <f>IFERROR(__xludf.DUMMYFUNCTION("""COMPUTED_VALUE"""),0.0)</f>
        <v>0</v>
      </c>
      <c r="BH235" s="3">
        <f>IFERROR(__xludf.DUMMYFUNCTION("""COMPUTED_VALUE"""),0.0)</f>
        <v>0</v>
      </c>
      <c r="BI235" s="3">
        <f>IFERROR(__xludf.DUMMYFUNCTION("""COMPUTED_VALUE"""),0.0)</f>
        <v>0</v>
      </c>
      <c r="BJ235" s="3">
        <f>IFERROR(__xludf.DUMMYFUNCTION("""COMPUTED_VALUE"""),0.0)</f>
        <v>0</v>
      </c>
      <c r="BK235" s="3">
        <f>IFERROR(__xludf.DUMMYFUNCTION("""COMPUTED_VALUE"""),0.0)</f>
        <v>0</v>
      </c>
      <c r="BL235" s="3">
        <f>IFERROR(__xludf.DUMMYFUNCTION("""COMPUTED_VALUE"""),0.0)</f>
        <v>0</v>
      </c>
      <c r="BM235" s="3">
        <f>IFERROR(__xludf.DUMMYFUNCTION("""COMPUTED_VALUE"""),0.0)</f>
        <v>0</v>
      </c>
      <c r="BN235" s="3">
        <f>IFERROR(__xludf.DUMMYFUNCTION("""COMPUTED_VALUE"""),0.0)</f>
        <v>0</v>
      </c>
      <c r="BO235" s="3">
        <f>IFERROR(__xludf.DUMMYFUNCTION("""COMPUTED_VALUE"""),0.0)</f>
        <v>0</v>
      </c>
      <c r="BP235" s="3">
        <f>IFERROR(__xludf.DUMMYFUNCTION("""COMPUTED_VALUE"""),0.0)</f>
        <v>0</v>
      </c>
      <c r="BQ235" s="3">
        <f>IFERROR(__xludf.DUMMYFUNCTION("""COMPUTED_VALUE"""),0.0)</f>
        <v>0</v>
      </c>
      <c r="BR235" s="3">
        <f>IFERROR(__xludf.DUMMYFUNCTION("""COMPUTED_VALUE"""),1.0)</f>
        <v>1</v>
      </c>
      <c r="BS235" s="3">
        <f>IFERROR(__xludf.DUMMYFUNCTION("""COMPUTED_VALUE"""),1.0)</f>
        <v>1</v>
      </c>
      <c r="BT235" s="3">
        <f>IFERROR(__xludf.DUMMYFUNCTION("""COMPUTED_VALUE"""),1.0)</f>
        <v>1</v>
      </c>
      <c r="BU235" s="3">
        <f>IFERROR(__xludf.DUMMYFUNCTION("""COMPUTED_VALUE"""),1.0)</f>
        <v>1</v>
      </c>
      <c r="BV235" s="3">
        <f>IFERROR(__xludf.DUMMYFUNCTION("""COMPUTED_VALUE"""),6.0)</f>
        <v>6</v>
      </c>
      <c r="BW235" s="3">
        <f>IFERROR(__xludf.DUMMYFUNCTION("""COMPUTED_VALUE"""),10.0)</f>
        <v>10</v>
      </c>
      <c r="BX235" s="3">
        <f>IFERROR(__xludf.DUMMYFUNCTION("""COMPUTED_VALUE"""),10.0)</f>
        <v>10</v>
      </c>
      <c r="BY235" s="3">
        <f>IFERROR(__xludf.DUMMYFUNCTION("""COMPUTED_VALUE"""),10.0)</f>
        <v>10</v>
      </c>
      <c r="BZ235" s="3">
        <f>IFERROR(__xludf.DUMMYFUNCTION("""COMPUTED_VALUE"""),16.0)</f>
        <v>16</v>
      </c>
      <c r="CA235" s="3">
        <f>IFERROR(__xludf.DUMMYFUNCTION("""COMPUTED_VALUE"""),23.0)</f>
        <v>23</v>
      </c>
      <c r="CB235" s="3">
        <f>IFERROR(__xludf.DUMMYFUNCTION("""COMPUTED_VALUE"""),23.0)</f>
        <v>23</v>
      </c>
    </row>
    <row r="236">
      <c r="A236" s="3" t="str">
        <f>IFERROR(__xludf.DUMMYFUNCTION("""COMPUTED_VALUE"""),"")</f>
        <v/>
      </c>
      <c r="B236" s="3" t="str">
        <f>IFERROR(__xludf.DUMMYFUNCTION("""COMPUTED_VALUE"""),"Burma")</f>
        <v>Burma</v>
      </c>
      <c r="C236" s="3">
        <f>IFERROR(__xludf.DUMMYFUNCTION("""COMPUTED_VALUE"""),21.9162)</f>
        <v>21.9162</v>
      </c>
      <c r="D236" s="3">
        <f>IFERROR(__xludf.DUMMYFUNCTION("""COMPUTED_VALUE"""),95.956)</f>
        <v>95.956</v>
      </c>
      <c r="E236" s="3">
        <f>IFERROR(__xludf.DUMMYFUNCTION("""COMPUTED_VALUE"""),0.0)</f>
        <v>0</v>
      </c>
      <c r="F236" s="3">
        <f>IFERROR(__xludf.DUMMYFUNCTION("""COMPUTED_VALUE"""),0.0)</f>
        <v>0</v>
      </c>
      <c r="G236" s="3">
        <f>IFERROR(__xludf.DUMMYFUNCTION("""COMPUTED_VALUE"""),0.0)</f>
        <v>0</v>
      </c>
      <c r="H236" s="3">
        <f>IFERROR(__xludf.DUMMYFUNCTION("""COMPUTED_VALUE"""),0.0)</f>
        <v>0</v>
      </c>
      <c r="I236" s="3">
        <f>IFERROR(__xludf.DUMMYFUNCTION("""COMPUTED_VALUE"""),0.0)</f>
        <v>0</v>
      </c>
      <c r="J236" s="3">
        <f>IFERROR(__xludf.DUMMYFUNCTION("""COMPUTED_VALUE"""),0.0)</f>
        <v>0</v>
      </c>
      <c r="K236" s="3">
        <f>IFERROR(__xludf.DUMMYFUNCTION("""COMPUTED_VALUE"""),0.0)</f>
        <v>0</v>
      </c>
      <c r="L236" s="3">
        <f>IFERROR(__xludf.DUMMYFUNCTION("""COMPUTED_VALUE"""),0.0)</f>
        <v>0</v>
      </c>
      <c r="M236" s="3">
        <f>IFERROR(__xludf.DUMMYFUNCTION("""COMPUTED_VALUE"""),0.0)</f>
        <v>0</v>
      </c>
      <c r="N236" s="3">
        <f>IFERROR(__xludf.DUMMYFUNCTION("""COMPUTED_VALUE"""),0.0)</f>
        <v>0</v>
      </c>
      <c r="O236" s="3">
        <f>IFERROR(__xludf.DUMMYFUNCTION("""COMPUTED_VALUE"""),0.0)</f>
        <v>0</v>
      </c>
      <c r="P236" s="3">
        <f>IFERROR(__xludf.DUMMYFUNCTION("""COMPUTED_VALUE"""),0.0)</f>
        <v>0</v>
      </c>
      <c r="Q236" s="3">
        <f>IFERROR(__xludf.DUMMYFUNCTION("""COMPUTED_VALUE"""),0.0)</f>
        <v>0</v>
      </c>
      <c r="R236" s="3">
        <f>IFERROR(__xludf.DUMMYFUNCTION("""COMPUTED_VALUE"""),0.0)</f>
        <v>0</v>
      </c>
      <c r="S236" s="3">
        <f>IFERROR(__xludf.DUMMYFUNCTION("""COMPUTED_VALUE"""),0.0)</f>
        <v>0</v>
      </c>
      <c r="T236" s="3">
        <f>IFERROR(__xludf.DUMMYFUNCTION("""COMPUTED_VALUE"""),0.0)</f>
        <v>0</v>
      </c>
      <c r="U236" s="3">
        <f>IFERROR(__xludf.DUMMYFUNCTION("""COMPUTED_VALUE"""),0.0)</f>
        <v>0</v>
      </c>
      <c r="V236" s="3">
        <f>IFERROR(__xludf.DUMMYFUNCTION("""COMPUTED_VALUE"""),0.0)</f>
        <v>0</v>
      </c>
      <c r="W236" s="3">
        <f>IFERROR(__xludf.DUMMYFUNCTION("""COMPUTED_VALUE"""),0.0)</f>
        <v>0</v>
      </c>
      <c r="X236" s="3">
        <f>IFERROR(__xludf.DUMMYFUNCTION("""COMPUTED_VALUE"""),0.0)</f>
        <v>0</v>
      </c>
      <c r="Y236" s="3">
        <f>IFERROR(__xludf.DUMMYFUNCTION("""COMPUTED_VALUE"""),0.0)</f>
        <v>0</v>
      </c>
      <c r="Z236" s="3">
        <f>IFERROR(__xludf.DUMMYFUNCTION("""COMPUTED_VALUE"""),0.0)</f>
        <v>0</v>
      </c>
      <c r="AA236" s="3">
        <f>IFERROR(__xludf.DUMMYFUNCTION("""COMPUTED_VALUE"""),0.0)</f>
        <v>0</v>
      </c>
      <c r="AB236" s="3">
        <f>IFERROR(__xludf.DUMMYFUNCTION("""COMPUTED_VALUE"""),0.0)</f>
        <v>0</v>
      </c>
      <c r="AC236" s="3">
        <f>IFERROR(__xludf.DUMMYFUNCTION("""COMPUTED_VALUE"""),0.0)</f>
        <v>0</v>
      </c>
      <c r="AD236" s="3">
        <f>IFERROR(__xludf.DUMMYFUNCTION("""COMPUTED_VALUE"""),0.0)</f>
        <v>0</v>
      </c>
      <c r="AE236" s="3">
        <f>IFERROR(__xludf.DUMMYFUNCTION("""COMPUTED_VALUE"""),0.0)</f>
        <v>0</v>
      </c>
      <c r="AF236" s="3">
        <f>IFERROR(__xludf.DUMMYFUNCTION("""COMPUTED_VALUE"""),0.0)</f>
        <v>0</v>
      </c>
      <c r="AG236" s="3">
        <f>IFERROR(__xludf.DUMMYFUNCTION("""COMPUTED_VALUE"""),0.0)</f>
        <v>0</v>
      </c>
      <c r="AH236" s="3">
        <f>IFERROR(__xludf.DUMMYFUNCTION("""COMPUTED_VALUE"""),0.0)</f>
        <v>0</v>
      </c>
      <c r="AI236" s="3">
        <f>IFERROR(__xludf.DUMMYFUNCTION("""COMPUTED_VALUE"""),0.0)</f>
        <v>0</v>
      </c>
      <c r="AJ236" s="3">
        <f>IFERROR(__xludf.DUMMYFUNCTION("""COMPUTED_VALUE"""),0.0)</f>
        <v>0</v>
      </c>
      <c r="AK236" s="3">
        <f>IFERROR(__xludf.DUMMYFUNCTION("""COMPUTED_VALUE"""),0.0)</f>
        <v>0</v>
      </c>
      <c r="AL236" s="3">
        <f>IFERROR(__xludf.DUMMYFUNCTION("""COMPUTED_VALUE"""),0.0)</f>
        <v>0</v>
      </c>
      <c r="AM236" s="3">
        <f>IFERROR(__xludf.DUMMYFUNCTION("""COMPUTED_VALUE"""),0.0)</f>
        <v>0</v>
      </c>
      <c r="AN236" s="3">
        <f>IFERROR(__xludf.DUMMYFUNCTION("""COMPUTED_VALUE"""),0.0)</f>
        <v>0</v>
      </c>
      <c r="AO236" s="3">
        <f>IFERROR(__xludf.DUMMYFUNCTION("""COMPUTED_VALUE"""),0.0)</f>
        <v>0</v>
      </c>
      <c r="AP236" s="3">
        <f>IFERROR(__xludf.DUMMYFUNCTION("""COMPUTED_VALUE"""),0.0)</f>
        <v>0</v>
      </c>
      <c r="AQ236" s="3">
        <f>IFERROR(__xludf.DUMMYFUNCTION("""COMPUTED_VALUE"""),0.0)</f>
        <v>0</v>
      </c>
      <c r="AR236" s="3">
        <f>IFERROR(__xludf.DUMMYFUNCTION("""COMPUTED_VALUE"""),0.0)</f>
        <v>0</v>
      </c>
      <c r="AS236" s="3">
        <f>IFERROR(__xludf.DUMMYFUNCTION("""COMPUTED_VALUE"""),0.0)</f>
        <v>0</v>
      </c>
      <c r="AT236" s="3">
        <f>IFERROR(__xludf.DUMMYFUNCTION("""COMPUTED_VALUE"""),0.0)</f>
        <v>0</v>
      </c>
      <c r="AU236" s="3">
        <f>IFERROR(__xludf.DUMMYFUNCTION("""COMPUTED_VALUE"""),0.0)</f>
        <v>0</v>
      </c>
      <c r="AV236" s="3">
        <f>IFERROR(__xludf.DUMMYFUNCTION("""COMPUTED_VALUE"""),0.0)</f>
        <v>0</v>
      </c>
      <c r="AW236" s="3">
        <f>IFERROR(__xludf.DUMMYFUNCTION("""COMPUTED_VALUE"""),0.0)</f>
        <v>0</v>
      </c>
      <c r="AX236" s="3">
        <f>IFERROR(__xludf.DUMMYFUNCTION("""COMPUTED_VALUE"""),0.0)</f>
        <v>0</v>
      </c>
      <c r="AY236" s="3">
        <f>IFERROR(__xludf.DUMMYFUNCTION("""COMPUTED_VALUE"""),0.0)</f>
        <v>0</v>
      </c>
      <c r="AZ236" s="3">
        <f>IFERROR(__xludf.DUMMYFUNCTION("""COMPUTED_VALUE"""),0.0)</f>
        <v>0</v>
      </c>
      <c r="BA236" s="3">
        <f>IFERROR(__xludf.DUMMYFUNCTION("""COMPUTED_VALUE"""),0.0)</f>
        <v>0</v>
      </c>
      <c r="BB236" s="3">
        <f>IFERROR(__xludf.DUMMYFUNCTION("""COMPUTED_VALUE"""),0.0)</f>
        <v>0</v>
      </c>
      <c r="BC236" s="3">
        <f>IFERROR(__xludf.DUMMYFUNCTION("""COMPUTED_VALUE"""),0.0)</f>
        <v>0</v>
      </c>
      <c r="BD236" s="3">
        <f>IFERROR(__xludf.DUMMYFUNCTION("""COMPUTED_VALUE"""),0.0)</f>
        <v>0</v>
      </c>
      <c r="BE236" s="3">
        <f>IFERROR(__xludf.DUMMYFUNCTION("""COMPUTED_VALUE"""),0.0)</f>
        <v>0</v>
      </c>
      <c r="BF236" s="3">
        <f>IFERROR(__xludf.DUMMYFUNCTION("""COMPUTED_VALUE"""),0.0)</f>
        <v>0</v>
      </c>
      <c r="BG236" s="3">
        <f>IFERROR(__xludf.DUMMYFUNCTION("""COMPUTED_VALUE"""),0.0)</f>
        <v>0</v>
      </c>
      <c r="BH236" s="3">
        <f>IFERROR(__xludf.DUMMYFUNCTION("""COMPUTED_VALUE"""),0.0)</f>
        <v>0</v>
      </c>
      <c r="BI236" s="3">
        <f>IFERROR(__xludf.DUMMYFUNCTION("""COMPUTED_VALUE"""),0.0)</f>
        <v>0</v>
      </c>
      <c r="BJ236" s="3">
        <f>IFERROR(__xludf.DUMMYFUNCTION("""COMPUTED_VALUE"""),0.0)</f>
        <v>0</v>
      </c>
      <c r="BK236" s="3">
        <f>IFERROR(__xludf.DUMMYFUNCTION("""COMPUTED_VALUE"""),0.0)</f>
        <v>0</v>
      </c>
      <c r="BL236" s="3">
        <f>IFERROR(__xludf.DUMMYFUNCTION("""COMPUTED_VALUE"""),0.0)</f>
        <v>0</v>
      </c>
      <c r="BM236" s="3">
        <f>IFERROR(__xludf.DUMMYFUNCTION("""COMPUTED_VALUE"""),0.0)</f>
        <v>0</v>
      </c>
      <c r="BN236" s="3">
        <f>IFERROR(__xludf.DUMMYFUNCTION("""COMPUTED_VALUE"""),0.0)</f>
        <v>0</v>
      </c>
      <c r="BO236" s="3">
        <f>IFERROR(__xludf.DUMMYFUNCTION("""COMPUTED_VALUE"""),0.0)</f>
        <v>0</v>
      </c>
      <c r="BP236" s="3">
        <f>IFERROR(__xludf.DUMMYFUNCTION("""COMPUTED_VALUE"""),0.0)</f>
        <v>0</v>
      </c>
      <c r="BQ236" s="3">
        <f>IFERROR(__xludf.DUMMYFUNCTION("""COMPUTED_VALUE"""),0.0)</f>
        <v>0</v>
      </c>
      <c r="BR236" s="3">
        <f>IFERROR(__xludf.DUMMYFUNCTION("""COMPUTED_VALUE"""),0.0)</f>
        <v>0</v>
      </c>
      <c r="BS236" s="3">
        <f>IFERROR(__xludf.DUMMYFUNCTION("""COMPUTED_VALUE"""),0.0)</f>
        <v>0</v>
      </c>
      <c r="BT236" s="3">
        <f>IFERROR(__xludf.DUMMYFUNCTION("""COMPUTED_VALUE"""),0.0)</f>
        <v>0</v>
      </c>
      <c r="BU236" s="3">
        <f>IFERROR(__xludf.DUMMYFUNCTION("""COMPUTED_VALUE"""),0.0)</f>
        <v>0</v>
      </c>
      <c r="BV236" s="3">
        <f>IFERROR(__xludf.DUMMYFUNCTION("""COMPUTED_VALUE"""),0.0)</f>
        <v>0</v>
      </c>
      <c r="BW236" s="3">
        <f>IFERROR(__xludf.DUMMYFUNCTION("""COMPUTED_VALUE"""),0.0)</f>
        <v>0</v>
      </c>
      <c r="BX236" s="3">
        <f>IFERROR(__xludf.DUMMYFUNCTION("""COMPUTED_VALUE"""),0.0)</f>
        <v>0</v>
      </c>
      <c r="BY236" s="3">
        <f>IFERROR(__xludf.DUMMYFUNCTION("""COMPUTED_VALUE"""),0.0)</f>
        <v>0</v>
      </c>
      <c r="BZ236" s="3">
        <f>IFERROR(__xludf.DUMMYFUNCTION("""COMPUTED_VALUE"""),0.0)</f>
        <v>0</v>
      </c>
      <c r="CA236" s="3">
        <f>IFERROR(__xludf.DUMMYFUNCTION("""COMPUTED_VALUE"""),0.0)</f>
        <v>0</v>
      </c>
      <c r="CB236" s="3">
        <f>IFERROR(__xludf.DUMMYFUNCTION("""COMPUTED_VALUE"""),0.0)</f>
        <v>0</v>
      </c>
    </row>
    <row r="237">
      <c r="A237" s="3" t="str">
        <f>IFERROR(__xludf.DUMMYFUNCTION("""COMPUTED_VALUE"""),"Anguilla")</f>
        <v>Anguilla</v>
      </c>
      <c r="B237" s="3" t="str">
        <f>IFERROR(__xludf.DUMMYFUNCTION("""COMPUTED_VALUE"""),"United Kingdom")</f>
        <v>United Kingdom</v>
      </c>
      <c r="C237" s="3">
        <f>IFERROR(__xludf.DUMMYFUNCTION("""COMPUTED_VALUE"""),18.2206)</f>
        <v>18.2206</v>
      </c>
      <c r="D237" s="3">
        <f>IFERROR(__xludf.DUMMYFUNCTION("""COMPUTED_VALUE"""),-63.0686)</f>
        <v>-63.0686</v>
      </c>
      <c r="E237" s="3">
        <f>IFERROR(__xludf.DUMMYFUNCTION("""COMPUTED_VALUE"""),0.0)</f>
        <v>0</v>
      </c>
      <c r="F237" s="3">
        <f>IFERROR(__xludf.DUMMYFUNCTION("""COMPUTED_VALUE"""),0.0)</f>
        <v>0</v>
      </c>
      <c r="G237" s="3">
        <f>IFERROR(__xludf.DUMMYFUNCTION("""COMPUTED_VALUE"""),0.0)</f>
        <v>0</v>
      </c>
      <c r="H237" s="3">
        <f>IFERROR(__xludf.DUMMYFUNCTION("""COMPUTED_VALUE"""),0.0)</f>
        <v>0</v>
      </c>
      <c r="I237" s="3">
        <f>IFERROR(__xludf.DUMMYFUNCTION("""COMPUTED_VALUE"""),0.0)</f>
        <v>0</v>
      </c>
      <c r="J237" s="3">
        <f>IFERROR(__xludf.DUMMYFUNCTION("""COMPUTED_VALUE"""),0.0)</f>
        <v>0</v>
      </c>
      <c r="K237" s="3">
        <f>IFERROR(__xludf.DUMMYFUNCTION("""COMPUTED_VALUE"""),0.0)</f>
        <v>0</v>
      </c>
      <c r="L237" s="3">
        <f>IFERROR(__xludf.DUMMYFUNCTION("""COMPUTED_VALUE"""),0.0)</f>
        <v>0</v>
      </c>
      <c r="M237" s="3">
        <f>IFERROR(__xludf.DUMMYFUNCTION("""COMPUTED_VALUE"""),0.0)</f>
        <v>0</v>
      </c>
      <c r="N237" s="3">
        <f>IFERROR(__xludf.DUMMYFUNCTION("""COMPUTED_VALUE"""),0.0)</f>
        <v>0</v>
      </c>
      <c r="O237" s="3">
        <f>IFERROR(__xludf.DUMMYFUNCTION("""COMPUTED_VALUE"""),0.0)</f>
        <v>0</v>
      </c>
      <c r="P237" s="3">
        <f>IFERROR(__xludf.DUMMYFUNCTION("""COMPUTED_VALUE"""),0.0)</f>
        <v>0</v>
      </c>
      <c r="Q237" s="3">
        <f>IFERROR(__xludf.DUMMYFUNCTION("""COMPUTED_VALUE"""),0.0)</f>
        <v>0</v>
      </c>
      <c r="R237" s="3">
        <f>IFERROR(__xludf.DUMMYFUNCTION("""COMPUTED_VALUE"""),0.0)</f>
        <v>0</v>
      </c>
      <c r="S237" s="3">
        <f>IFERROR(__xludf.DUMMYFUNCTION("""COMPUTED_VALUE"""),0.0)</f>
        <v>0</v>
      </c>
      <c r="T237" s="3">
        <f>IFERROR(__xludf.DUMMYFUNCTION("""COMPUTED_VALUE"""),0.0)</f>
        <v>0</v>
      </c>
      <c r="U237" s="3">
        <f>IFERROR(__xludf.DUMMYFUNCTION("""COMPUTED_VALUE"""),0.0)</f>
        <v>0</v>
      </c>
      <c r="V237" s="3">
        <f>IFERROR(__xludf.DUMMYFUNCTION("""COMPUTED_VALUE"""),0.0)</f>
        <v>0</v>
      </c>
      <c r="W237" s="3">
        <f>IFERROR(__xludf.DUMMYFUNCTION("""COMPUTED_VALUE"""),0.0)</f>
        <v>0</v>
      </c>
      <c r="X237" s="3">
        <f>IFERROR(__xludf.DUMMYFUNCTION("""COMPUTED_VALUE"""),0.0)</f>
        <v>0</v>
      </c>
      <c r="Y237" s="3">
        <f>IFERROR(__xludf.DUMMYFUNCTION("""COMPUTED_VALUE"""),0.0)</f>
        <v>0</v>
      </c>
      <c r="Z237" s="3">
        <f>IFERROR(__xludf.DUMMYFUNCTION("""COMPUTED_VALUE"""),0.0)</f>
        <v>0</v>
      </c>
      <c r="AA237" s="3">
        <f>IFERROR(__xludf.DUMMYFUNCTION("""COMPUTED_VALUE"""),0.0)</f>
        <v>0</v>
      </c>
      <c r="AB237" s="3">
        <f>IFERROR(__xludf.DUMMYFUNCTION("""COMPUTED_VALUE"""),0.0)</f>
        <v>0</v>
      </c>
      <c r="AC237" s="3">
        <f>IFERROR(__xludf.DUMMYFUNCTION("""COMPUTED_VALUE"""),0.0)</f>
        <v>0</v>
      </c>
      <c r="AD237" s="3">
        <f>IFERROR(__xludf.DUMMYFUNCTION("""COMPUTED_VALUE"""),0.0)</f>
        <v>0</v>
      </c>
      <c r="AE237" s="3">
        <f>IFERROR(__xludf.DUMMYFUNCTION("""COMPUTED_VALUE"""),0.0)</f>
        <v>0</v>
      </c>
      <c r="AF237" s="3">
        <f>IFERROR(__xludf.DUMMYFUNCTION("""COMPUTED_VALUE"""),0.0)</f>
        <v>0</v>
      </c>
      <c r="AG237" s="3">
        <f>IFERROR(__xludf.DUMMYFUNCTION("""COMPUTED_VALUE"""),0.0)</f>
        <v>0</v>
      </c>
      <c r="AH237" s="3">
        <f>IFERROR(__xludf.DUMMYFUNCTION("""COMPUTED_VALUE"""),0.0)</f>
        <v>0</v>
      </c>
      <c r="AI237" s="3">
        <f>IFERROR(__xludf.DUMMYFUNCTION("""COMPUTED_VALUE"""),0.0)</f>
        <v>0</v>
      </c>
      <c r="AJ237" s="3">
        <f>IFERROR(__xludf.DUMMYFUNCTION("""COMPUTED_VALUE"""),0.0)</f>
        <v>0</v>
      </c>
      <c r="AK237" s="3">
        <f>IFERROR(__xludf.DUMMYFUNCTION("""COMPUTED_VALUE"""),0.0)</f>
        <v>0</v>
      </c>
      <c r="AL237" s="3">
        <f>IFERROR(__xludf.DUMMYFUNCTION("""COMPUTED_VALUE"""),0.0)</f>
        <v>0</v>
      </c>
      <c r="AM237" s="3">
        <f>IFERROR(__xludf.DUMMYFUNCTION("""COMPUTED_VALUE"""),0.0)</f>
        <v>0</v>
      </c>
      <c r="AN237" s="3">
        <f>IFERROR(__xludf.DUMMYFUNCTION("""COMPUTED_VALUE"""),0.0)</f>
        <v>0</v>
      </c>
      <c r="AO237" s="3">
        <f>IFERROR(__xludf.DUMMYFUNCTION("""COMPUTED_VALUE"""),0.0)</f>
        <v>0</v>
      </c>
      <c r="AP237" s="3">
        <f>IFERROR(__xludf.DUMMYFUNCTION("""COMPUTED_VALUE"""),0.0)</f>
        <v>0</v>
      </c>
      <c r="AQ237" s="3">
        <f>IFERROR(__xludf.DUMMYFUNCTION("""COMPUTED_VALUE"""),0.0)</f>
        <v>0</v>
      </c>
      <c r="AR237" s="3">
        <f>IFERROR(__xludf.DUMMYFUNCTION("""COMPUTED_VALUE"""),0.0)</f>
        <v>0</v>
      </c>
      <c r="AS237" s="3">
        <f>IFERROR(__xludf.DUMMYFUNCTION("""COMPUTED_VALUE"""),0.0)</f>
        <v>0</v>
      </c>
      <c r="AT237" s="3">
        <f>IFERROR(__xludf.DUMMYFUNCTION("""COMPUTED_VALUE"""),0.0)</f>
        <v>0</v>
      </c>
      <c r="AU237" s="3">
        <f>IFERROR(__xludf.DUMMYFUNCTION("""COMPUTED_VALUE"""),0.0)</f>
        <v>0</v>
      </c>
      <c r="AV237" s="3">
        <f>IFERROR(__xludf.DUMMYFUNCTION("""COMPUTED_VALUE"""),0.0)</f>
        <v>0</v>
      </c>
      <c r="AW237" s="3">
        <f>IFERROR(__xludf.DUMMYFUNCTION("""COMPUTED_VALUE"""),0.0)</f>
        <v>0</v>
      </c>
      <c r="AX237" s="3">
        <f>IFERROR(__xludf.DUMMYFUNCTION("""COMPUTED_VALUE"""),0.0)</f>
        <v>0</v>
      </c>
      <c r="AY237" s="3">
        <f>IFERROR(__xludf.DUMMYFUNCTION("""COMPUTED_VALUE"""),0.0)</f>
        <v>0</v>
      </c>
      <c r="AZ237" s="3">
        <f>IFERROR(__xludf.DUMMYFUNCTION("""COMPUTED_VALUE"""),0.0)</f>
        <v>0</v>
      </c>
      <c r="BA237" s="3">
        <f>IFERROR(__xludf.DUMMYFUNCTION("""COMPUTED_VALUE"""),0.0)</f>
        <v>0</v>
      </c>
      <c r="BB237" s="3">
        <f>IFERROR(__xludf.DUMMYFUNCTION("""COMPUTED_VALUE"""),0.0)</f>
        <v>0</v>
      </c>
      <c r="BC237" s="3">
        <f>IFERROR(__xludf.DUMMYFUNCTION("""COMPUTED_VALUE"""),0.0)</f>
        <v>0</v>
      </c>
      <c r="BD237" s="3">
        <f>IFERROR(__xludf.DUMMYFUNCTION("""COMPUTED_VALUE"""),0.0)</f>
        <v>0</v>
      </c>
      <c r="BE237" s="3">
        <f>IFERROR(__xludf.DUMMYFUNCTION("""COMPUTED_VALUE"""),0.0)</f>
        <v>0</v>
      </c>
      <c r="BF237" s="3">
        <f>IFERROR(__xludf.DUMMYFUNCTION("""COMPUTED_VALUE"""),0.0)</f>
        <v>0</v>
      </c>
      <c r="BG237" s="3">
        <f>IFERROR(__xludf.DUMMYFUNCTION("""COMPUTED_VALUE"""),0.0)</f>
        <v>0</v>
      </c>
      <c r="BH237" s="3">
        <f>IFERROR(__xludf.DUMMYFUNCTION("""COMPUTED_VALUE"""),0.0)</f>
        <v>0</v>
      </c>
      <c r="BI237" s="3">
        <f>IFERROR(__xludf.DUMMYFUNCTION("""COMPUTED_VALUE"""),0.0)</f>
        <v>0</v>
      </c>
      <c r="BJ237" s="3">
        <f>IFERROR(__xludf.DUMMYFUNCTION("""COMPUTED_VALUE"""),0.0)</f>
        <v>0</v>
      </c>
      <c r="BK237" s="3">
        <f>IFERROR(__xludf.DUMMYFUNCTION("""COMPUTED_VALUE"""),0.0)</f>
        <v>0</v>
      </c>
      <c r="BL237" s="3">
        <f>IFERROR(__xludf.DUMMYFUNCTION("""COMPUTED_VALUE"""),0.0)</f>
        <v>0</v>
      </c>
      <c r="BM237" s="3">
        <f>IFERROR(__xludf.DUMMYFUNCTION("""COMPUTED_VALUE"""),0.0)</f>
        <v>0</v>
      </c>
      <c r="BN237" s="3">
        <f>IFERROR(__xludf.DUMMYFUNCTION("""COMPUTED_VALUE"""),0.0)</f>
        <v>0</v>
      </c>
      <c r="BO237" s="3">
        <f>IFERROR(__xludf.DUMMYFUNCTION("""COMPUTED_VALUE"""),0.0)</f>
        <v>0</v>
      </c>
      <c r="BP237" s="3">
        <f>IFERROR(__xludf.DUMMYFUNCTION("""COMPUTED_VALUE"""),0.0)</f>
        <v>0</v>
      </c>
      <c r="BQ237" s="3">
        <f>IFERROR(__xludf.DUMMYFUNCTION("""COMPUTED_VALUE"""),0.0)</f>
        <v>0</v>
      </c>
      <c r="BR237" s="3">
        <f>IFERROR(__xludf.DUMMYFUNCTION("""COMPUTED_VALUE"""),0.0)</f>
        <v>0</v>
      </c>
      <c r="BS237" s="3">
        <f>IFERROR(__xludf.DUMMYFUNCTION("""COMPUTED_VALUE"""),0.0)</f>
        <v>0</v>
      </c>
      <c r="BT237" s="3">
        <f>IFERROR(__xludf.DUMMYFUNCTION("""COMPUTED_VALUE"""),0.0)</f>
        <v>0</v>
      </c>
      <c r="BU237" s="3">
        <f>IFERROR(__xludf.DUMMYFUNCTION("""COMPUTED_VALUE"""),0.0)</f>
        <v>0</v>
      </c>
      <c r="BV237" s="3">
        <f>IFERROR(__xludf.DUMMYFUNCTION("""COMPUTED_VALUE"""),0.0)</f>
        <v>0</v>
      </c>
      <c r="BW237" s="3">
        <f>IFERROR(__xludf.DUMMYFUNCTION("""COMPUTED_VALUE"""),0.0)</f>
        <v>0</v>
      </c>
      <c r="BX237" s="3">
        <f>IFERROR(__xludf.DUMMYFUNCTION("""COMPUTED_VALUE"""),0.0)</f>
        <v>0</v>
      </c>
      <c r="BY237" s="3">
        <f>IFERROR(__xludf.DUMMYFUNCTION("""COMPUTED_VALUE"""),0.0)</f>
        <v>0</v>
      </c>
      <c r="BZ237" s="3">
        <f>IFERROR(__xludf.DUMMYFUNCTION("""COMPUTED_VALUE"""),0.0)</f>
        <v>0</v>
      </c>
      <c r="CA237" s="3">
        <f>IFERROR(__xludf.DUMMYFUNCTION("""COMPUTED_VALUE"""),0.0)</f>
        <v>0</v>
      </c>
      <c r="CB237" s="3">
        <f>IFERROR(__xludf.DUMMYFUNCTION("""COMPUTED_VALUE"""),0.0)</f>
        <v>0</v>
      </c>
    </row>
    <row r="238">
      <c r="A238" s="3" t="str">
        <f>IFERROR(__xludf.DUMMYFUNCTION("""COMPUTED_VALUE"""),"British Virgin Islands")</f>
        <v>British Virgin Islands</v>
      </c>
      <c r="B238" s="3" t="str">
        <f>IFERROR(__xludf.DUMMYFUNCTION("""COMPUTED_VALUE"""),"United Kingdom")</f>
        <v>United Kingdom</v>
      </c>
      <c r="C238" s="3">
        <f>IFERROR(__xludf.DUMMYFUNCTION("""COMPUTED_VALUE"""),18.4207)</f>
        <v>18.4207</v>
      </c>
      <c r="D238" s="3">
        <f>IFERROR(__xludf.DUMMYFUNCTION("""COMPUTED_VALUE"""),-64.64)</f>
        <v>-64.64</v>
      </c>
      <c r="E238" s="3">
        <f>IFERROR(__xludf.DUMMYFUNCTION("""COMPUTED_VALUE"""),0.0)</f>
        <v>0</v>
      </c>
      <c r="F238" s="3">
        <f>IFERROR(__xludf.DUMMYFUNCTION("""COMPUTED_VALUE"""),0.0)</f>
        <v>0</v>
      </c>
      <c r="G238" s="3">
        <f>IFERROR(__xludf.DUMMYFUNCTION("""COMPUTED_VALUE"""),0.0)</f>
        <v>0</v>
      </c>
      <c r="H238" s="3">
        <f>IFERROR(__xludf.DUMMYFUNCTION("""COMPUTED_VALUE"""),0.0)</f>
        <v>0</v>
      </c>
      <c r="I238" s="3">
        <f>IFERROR(__xludf.DUMMYFUNCTION("""COMPUTED_VALUE"""),0.0)</f>
        <v>0</v>
      </c>
      <c r="J238" s="3">
        <f>IFERROR(__xludf.DUMMYFUNCTION("""COMPUTED_VALUE"""),0.0)</f>
        <v>0</v>
      </c>
      <c r="K238" s="3">
        <f>IFERROR(__xludf.DUMMYFUNCTION("""COMPUTED_VALUE"""),0.0)</f>
        <v>0</v>
      </c>
      <c r="L238" s="3">
        <f>IFERROR(__xludf.DUMMYFUNCTION("""COMPUTED_VALUE"""),0.0)</f>
        <v>0</v>
      </c>
      <c r="M238" s="3">
        <f>IFERROR(__xludf.DUMMYFUNCTION("""COMPUTED_VALUE"""),0.0)</f>
        <v>0</v>
      </c>
      <c r="N238" s="3">
        <f>IFERROR(__xludf.DUMMYFUNCTION("""COMPUTED_VALUE"""),0.0)</f>
        <v>0</v>
      </c>
      <c r="O238" s="3">
        <f>IFERROR(__xludf.DUMMYFUNCTION("""COMPUTED_VALUE"""),0.0)</f>
        <v>0</v>
      </c>
      <c r="P238" s="3">
        <f>IFERROR(__xludf.DUMMYFUNCTION("""COMPUTED_VALUE"""),0.0)</f>
        <v>0</v>
      </c>
      <c r="Q238" s="3">
        <f>IFERROR(__xludf.DUMMYFUNCTION("""COMPUTED_VALUE"""),0.0)</f>
        <v>0</v>
      </c>
      <c r="R238" s="3">
        <f>IFERROR(__xludf.DUMMYFUNCTION("""COMPUTED_VALUE"""),0.0)</f>
        <v>0</v>
      </c>
      <c r="S238" s="3">
        <f>IFERROR(__xludf.DUMMYFUNCTION("""COMPUTED_VALUE"""),0.0)</f>
        <v>0</v>
      </c>
      <c r="T238" s="3">
        <f>IFERROR(__xludf.DUMMYFUNCTION("""COMPUTED_VALUE"""),0.0)</f>
        <v>0</v>
      </c>
      <c r="U238" s="3">
        <f>IFERROR(__xludf.DUMMYFUNCTION("""COMPUTED_VALUE"""),0.0)</f>
        <v>0</v>
      </c>
      <c r="V238" s="3">
        <f>IFERROR(__xludf.DUMMYFUNCTION("""COMPUTED_VALUE"""),0.0)</f>
        <v>0</v>
      </c>
      <c r="W238" s="3">
        <f>IFERROR(__xludf.DUMMYFUNCTION("""COMPUTED_VALUE"""),0.0)</f>
        <v>0</v>
      </c>
      <c r="X238" s="3">
        <f>IFERROR(__xludf.DUMMYFUNCTION("""COMPUTED_VALUE"""),0.0)</f>
        <v>0</v>
      </c>
      <c r="Y238" s="3">
        <f>IFERROR(__xludf.DUMMYFUNCTION("""COMPUTED_VALUE"""),0.0)</f>
        <v>0</v>
      </c>
      <c r="Z238" s="3">
        <f>IFERROR(__xludf.DUMMYFUNCTION("""COMPUTED_VALUE"""),0.0)</f>
        <v>0</v>
      </c>
      <c r="AA238" s="3">
        <f>IFERROR(__xludf.DUMMYFUNCTION("""COMPUTED_VALUE"""),0.0)</f>
        <v>0</v>
      </c>
      <c r="AB238" s="3">
        <f>IFERROR(__xludf.DUMMYFUNCTION("""COMPUTED_VALUE"""),0.0)</f>
        <v>0</v>
      </c>
      <c r="AC238" s="3">
        <f>IFERROR(__xludf.DUMMYFUNCTION("""COMPUTED_VALUE"""),0.0)</f>
        <v>0</v>
      </c>
      <c r="AD238" s="3">
        <f>IFERROR(__xludf.DUMMYFUNCTION("""COMPUTED_VALUE"""),0.0)</f>
        <v>0</v>
      </c>
      <c r="AE238" s="3">
        <f>IFERROR(__xludf.DUMMYFUNCTION("""COMPUTED_VALUE"""),0.0)</f>
        <v>0</v>
      </c>
      <c r="AF238" s="3">
        <f>IFERROR(__xludf.DUMMYFUNCTION("""COMPUTED_VALUE"""),0.0)</f>
        <v>0</v>
      </c>
      <c r="AG238" s="3">
        <f>IFERROR(__xludf.DUMMYFUNCTION("""COMPUTED_VALUE"""),0.0)</f>
        <v>0</v>
      </c>
      <c r="AH238" s="3">
        <f>IFERROR(__xludf.DUMMYFUNCTION("""COMPUTED_VALUE"""),0.0)</f>
        <v>0</v>
      </c>
      <c r="AI238" s="3">
        <f>IFERROR(__xludf.DUMMYFUNCTION("""COMPUTED_VALUE"""),0.0)</f>
        <v>0</v>
      </c>
      <c r="AJ238" s="3">
        <f>IFERROR(__xludf.DUMMYFUNCTION("""COMPUTED_VALUE"""),0.0)</f>
        <v>0</v>
      </c>
      <c r="AK238" s="3">
        <f>IFERROR(__xludf.DUMMYFUNCTION("""COMPUTED_VALUE"""),0.0)</f>
        <v>0</v>
      </c>
      <c r="AL238" s="3">
        <f>IFERROR(__xludf.DUMMYFUNCTION("""COMPUTED_VALUE"""),0.0)</f>
        <v>0</v>
      </c>
      <c r="AM238" s="3">
        <f>IFERROR(__xludf.DUMMYFUNCTION("""COMPUTED_VALUE"""),0.0)</f>
        <v>0</v>
      </c>
      <c r="AN238" s="3">
        <f>IFERROR(__xludf.DUMMYFUNCTION("""COMPUTED_VALUE"""),0.0)</f>
        <v>0</v>
      </c>
      <c r="AO238" s="3">
        <f>IFERROR(__xludf.DUMMYFUNCTION("""COMPUTED_VALUE"""),0.0)</f>
        <v>0</v>
      </c>
      <c r="AP238" s="3">
        <f>IFERROR(__xludf.DUMMYFUNCTION("""COMPUTED_VALUE"""),0.0)</f>
        <v>0</v>
      </c>
      <c r="AQ238" s="3">
        <f>IFERROR(__xludf.DUMMYFUNCTION("""COMPUTED_VALUE"""),0.0)</f>
        <v>0</v>
      </c>
      <c r="AR238" s="3">
        <f>IFERROR(__xludf.DUMMYFUNCTION("""COMPUTED_VALUE"""),0.0)</f>
        <v>0</v>
      </c>
      <c r="AS238" s="3">
        <f>IFERROR(__xludf.DUMMYFUNCTION("""COMPUTED_VALUE"""),0.0)</f>
        <v>0</v>
      </c>
      <c r="AT238" s="3">
        <f>IFERROR(__xludf.DUMMYFUNCTION("""COMPUTED_VALUE"""),0.0)</f>
        <v>0</v>
      </c>
      <c r="AU238" s="3">
        <f>IFERROR(__xludf.DUMMYFUNCTION("""COMPUTED_VALUE"""),0.0)</f>
        <v>0</v>
      </c>
      <c r="AV238" s="3">
        <f>IFERROR(__xludf.DUMMYFUNCTION("""COMPUTED_VALUE"""),0.0)</f>
        <v>0</v>
      </c>
      <c r="AW238" s="3">
        <f>IFERROR(__xludf.DUMMYFUNCTION("""COMPUTED_VALUE"""),0.0)</f>
        <v>0</v>
      </c>
      <c r="AX238" s="3">
        <f>IFERROR(__xludf.DUMMYFUNCTION("""COMPUTED_VALUE"""),0.0)</f>
        <v>0</v>
      </c>
      <c r="AY238" s="3">
        <f>IFERROR(__xludf.DUMMYFUNCTION("""COMPUTED_VALUE"""),0.0)</f>
        <v>0</v>
      </c>
      <c r="AZ238" s="3">
        <f>IFERROR(__xludf.DUMMYFUNCTION("""COMPUTED_VALUE"""),0.0)</f>
        <v>0</v>
      </c>
      <c r="BA238" s="3">
        <f>IFERROR(__xludf.DUMMYFUNCTION("""COMPUTED_VALUE"""),0.0)</f>
        <v>0</v>
      </c>
      <c r="BB238" s="3">
        <f>IFERROR(__xludf.DUMMYFUNCTION("""COMPUTED_VALUE"""),0.0)</f>
        <v>0</v>
      </c>
      <c r="BC238" s="3">
        <f>IFERROR(__xludf.DUMMYFUNCTION("""COMPUTED_VALUE"""),0.0)</f>
        <v>0</v>
      </c>
      <c r="BD238" s="3">
        <f>IFERROR(__xludf.DUMMYFUNCTION("""COMPUTED_VALUE"""),0.0)</f>
        <v>0</v>
      </c>
      <c r="BE238" s="3">
        <f>IFERROR(__xludf.DUMMYFUNCTION("""COMPUTED_VALUE"""),0.0)</f>
        <v>0</v>
      </c>
      <c r="BF238" s="3">
        <f>IFERROR(__xludf.DUMMYFUNCTION("""COMPUTED_VALUE"""),0.0)</f>
        <v>0</v>
      </c>
      <c r="BG238" s="3">
        <f>IFERROR(__xludf.DUMMYFUNCTION("""COMPUTED_VALUE"""),0.0)</f>
        <v>0</v>
      </c>
      <c r="BH238" s="3">
        <f>IFERROR(__xludf.DUMMYFUNCTION("""COMPUTED_VALUE"""),0.0)</f>
        <v>0</v>
      </c>
      <c r="BI238" s="3">
        <f>IFERROR(__xludf.DUMMYFUNCTION("""COMPUTED_VALUE"""),0.0)</f>
        <v>0</v>
      </c>
      <c r="BJ238" s="3">
        <f>IFERROR(__xludf.DUMMYFUNCTION("""COMPUTED_VALUE"""),0.0)</f>
        <v>0</v>
      </c>
      <c r="BK238" s="3">
        <f>IFERROR(__xludf.DUMMYFUNCTION("""COMPUTED_VALUE"""),0.0)</f>
        <v>0</v>
      </c>
      <c r="BL238" s="3">
        <f>IFERROR(__xludf.DUMMYFUNCTION("""COMPUTED_VALUE"""),0.0)</f>
        <v>0</v>
      </c>
      <c r="BM238" s="3">
        <f>IFERROR(__xludf.DUMMYFUNCTION("""COMPUTED_VALUE"""),0.0)</f>
        <v>0</v>
      </c>
      <c r="BN238" s="3">
        <f>IFERROR(__xludf.DUMMYFUNCTION("""COMPUTED_VALUE"""),0.0)</f>
        <v>0</v>
      </c>
      <c r="BO238" s="3">
        <f>IFERROR(__xludf.DUMMYFUNCTION("""COMPUTED_VALUE"""),0.0)</f>
        <v>0</v>
      </c>
      <c r="BP238" s="3">
        <f>IFERROR(__xludf.DUMMYFUNCTION("""COMPUTED_VALUE"""),0.0)</f>
        <v>0</v>
      </c>
      <c r="BQ238" s="3">
        <f>IFERROR(__xludf.DUMMYFUNCTION("""COMPUTED_VALUE"""),0.0)</f>
        <v>0</v>
      </c>
      <c r="BR238" s="3">
        <f>IFERROR(__xludf.DUMMYFUNCTION("""COMPUTED_VALUE"""),0.0)</f>
        <v>0</v>
      </c>
      <c r="BS238" s="3">
        <f>IFERROR(__xludf.DUMMYFUNCTION("""COMPUTED_VALUE"""),0.0)</f>
        <v>0</v>
      </c>
      <c r="BT238" s="3">
        <f>IFERROR(__xludf.DUMMYFUNCTION("""COMPUTED_VALUE"""),0.0)</f>
        <v>0</v>
      </c>
      <c r="BU238" s="3">
        <f>IFERROR(__xludf.DUMMYFUNCTION("""COMPUTED_VALUE"""),0.0)</f>
        <v>0</v>
      </c>
      <c r="BV238" s="3">
        <f>IFERROR(__xludf.DUMMYFUNCTION("""COMPUTED_VALUE"""),0.0)</f>
        <v>0</v>
      </c>
      <c r="BW238" s="3">
        <f>IFERROR(__xludf.DUMMYFUNCTION("""COMPUTED_VALUE"""),0.0)</f>
        <v>0</v>
      </c>
      <c r="BX238" s="3">
        <f>IFERROR(__xludf.DUMMYFUNCTION("""COMPUTED_VALUE"""),0.0)</f>
        <v>0</v>
      </c>
      <c r="BY238" s="3">
        <f>IFERROR(__xludf.DUMMYFUNCTION("""COMPUTED_VALUE"""),0.0)</f>
        <v>0</v>
      </c>
      <c r="BZ238" s="3">
        <f>IFERROR(__xludf.DUMMYFUNCTION("""COMPUTED_VALUE"""),0.0)</f>
        <v>0</v>
      </c>
      <c r="CA238" s="3">
        <f>IFERROR(__xludf.DUMMYFUNCTION("""COMPUTED_VALUE"""),0.0)</f>
        <v>0</v>
      </c>
      <c r="CB238" s="3">
        <f>IFERROR(__xludf.DUMMYFUNCTION("""COMPUTED_VALUE"""),0.0)</f>
        <v>0</v>
      </c>
    </row>
    <row r="239">
      <c r="A239" s="3" t="str">
        <f>IFERROR(__xludf.DUMMYFUNCTION("""COMPUTED_VALUE"""),"Turks and Caicos Islands")</f>
        <v>Turks and Caicos Islands</v>
      </c>
      <c r="B239" s="3" t="str">
        <f>IFERROR(__xludf.DUMMYFUNCTION("""COMPUTED_VALUE"""),"United Kingdom")</f>
        <v>United Kingdom</v>
      </c>
      <c r="C239" s="3">
        <f>IFERROR(__xludf.DUMMYFUNCTION("""COMPUTED_VALUE"""),21.694)</f>
        <v>21.694</v>
      </c>
      <c r="D239" s="3">
        <f>IFERROR(__xludf.DUMMYFUNCTION("""COMPUTED_VALUE"""),-71.7979)</f>
        <v>-71.7979</v>
      </c>
      <c r="E239" s="3">
        <f>IFERROR(__xludf.DUMMYFUNCTION("""COMPUTED_VALUE"""),0.0)</f>
        <v>0</v>
      </c>
      <c r="F239" s="3">
        <f>IFERROR(__xludf.DUMMYFUNCTION("""COMPUTED_VALUE"""),0.0)</f>
        <v>0</v>
      </c>
      <c r="G239" s="3">
        <f>IFERROR(__xludf.DUMMYFUNCTION("""COMPUTED_VALUE"""),0.0)</f>
        <v>0</v>
      </c>
      <c r="H239" s="3">
        <f>IFERROR(__xludf.DUMMYFUNCTION("""COMPUTED_VALUE"""),0.0)</f>
        <v>0</v>
      </c>
      <c r="I239" s="3">
        <f>IFERROR(__xludf.DUMMYFUNCTION("""COMPUTED_VALUE"""),0.0)</f>
        <v>0</v>
      </c>
      <c r="J239" s="3">
        <f>IFERROR(__xludf.DUMMYFUNCTION("""COMPUTED_VALUE"""),0.0)</f>
        <v>0</v>
      </c>
      <c r="K239" s="3">
        <f>IFERROR(__xludf.DUMMYFUNCTION("""COMPUTED_VALUE"""),0.0)</f>
        <v>0</v>
      </c>
      <c r="L239" s="3">
        <f>IFERROR(__xludf.DUMMYFUNCTION("""COMPUTED_VALUE"""),0.0)</f>
        <v>0</v>
      </c>
      <c r="M239" s="3">
        <f>IFERROR(__xludf.DUMMYFUNCTION("""COMPUTED_VALUE"""),0.0)</f>
        <v>0</v>
      </c>
      <c r="N239" s="3">
        <f>IFERROR(__xludf.DUMMYFUNCTION("""COMPUTED_VALUE"""),0.0)</f>
        <v>0</v>
      </c>
      <c r="O239" s="3">
        <f>IFERROR(__xludf.DUMMYFUNCTION("""COMPUTED_VALUE"""),0.0)</f>
        <v>0</v>
      </c>
      <c r="P239" s="3">
        <f>IFERROR(__xludf.DUMMYFUNCTION("""COMPUTED_VALUE"""),0.0)</f>
        <v>0</v>
      </c>
      <c r="Q239" s="3">
        <f>IFERROR(__xludf.DUMMYFUNCTION("""COMPUTED_VALUE"""),0.0)</f>
        <v>0</v>
      </c>
      <c r="R239" s="3">
        <f>IFERROR(__xludf.DUMMYFUNCTION("""COMPUTED_VALUE"""),0.0)</f>
        <v>0</v>
      </c>
      <c r="S239" s="3">
        <f>IFERROR(__xludf.DUMMYFUNCTION("""COMPUTED_VALUE"""),0.0)</f>
        <v>0</v>
      </c>
      <c r="T239" s="3">
        <f>IFERROR(__xludf.DUMMYFUNCTION("""COMPUTED_VALUE"""),0.0)</f>
        <v>0</v>
      </c>
      <c r="U239" s="3">
        <f>IFERROR(__xludf.DUMMYFUNCTION("""COMPUTED_VALUE"""),0.0)</f>
        <v>0</v>
      </c>
      <c r="V239" s="3">
        <f>IFERROR(__xludf.DUMMYFUNCTION("""COMPUTED_VALUE"""),0.0)</f>
        <v>0</v>
      </c>
      <c r="W239" s="3">
        <f>IFERROR(__xludf.DUMMYFUNCTION("""COMPUTED_VALUE"""),0.0)</f>
        <v>0</v>
      </c>
      <c r="X239" s="3">
        <f>IFERROR(__xludf.DUMMYFUNCTION("""COMPUTED_VALUE"""),0.0)</f>
        <v>0</v>
      </c>
      <c r="Y239" s="3">
        <f>IFERROR(__xludf.DUMMYFUNCTION("""COMPUTED_VALUE"""),0.0)</f>
        <v>0</v>
      </c>
      <c r="Z239" s="3">
        <f>IFERROR(__xludf.DUMMYFUNCTION("""COMPUTED_VALUE"""),0.0)</f>
        <v>0</v>
      </c>
      <c r="AA239" s="3">
        <f>IFERROR(__xludf.DUMMYFUNCTION("""COMPUTED_VALUE"""),0.0)</f>
        <v>0</v>
      </c>
      <c r="AB239" s="3">
        <f>IFERROR(__xludf.DUMMYFUNCTION("""COMPUTED_VALUE"""),0.0)</f>
        <v>0</v>
      </c>
      <c r="AC239" s="3">
        <f>IFERROR(__xludf.DUMMYFUNCTION("""COMPUTED_VALUE"""),0.0)</f>
        <v>0</v>
      </c>
      <c r="AD239" s="3">
        <f>IFERROR(__xludf.DUMMYFUNCTION("""COMPUTED_VALUE"""),0.0)</f>
        <v>0</v>
      </c>
      <c r="AE239" s="3">
        <f>IFERROR(__xludf.DUMMYFUNCTION("""COMPUTED_VALUE"""),0.0)</f>
        <v>0</v>
      </c>
      <c r="AF239" s="3">
        <f>IFERROR(__xludf.DUMMYFUNCTION("""COMPUTED_VALUE"""),0.0)</f>
        <v>0</v>
      </c>
      <c r="AG239" s="3">
        <f>IFERROR(__xludf.DUMMYFUNCTION("""COMPUTED_VALUE"""),0.0)</f>
        <v>0</v>
      </c>
      <c r="AH239" s="3">
        <f>IFERROR(__xludf.DUMMYFUNCTION("""COMPUTED_VALUE"""),0.0)</f>
        <v>0</v>
      </c>
      <c r="AI239" s="3">
        <f>IFERROR(__xludf.DUMMYFUNCTION("""COMPUTED_VALUE"""),0.0)</f>
        <v>0</v>
      </c>
      <c r="AJ239" s="3">
        <f>IFERROR(__xludf.DUMMYFUNCTION("""COMPUTED_VALUE"""),0.0)</f>
        <v>0</v>
      </c>
      <c r="AK239" s="3">
        <f>IFERROR(__xludf.DUMMYFUNCTION("""COMPUTED_VALUE"""),0.0)</f>
        <v>0</v>
      </c>
      <c r="AL239" s="3">
        <f>IFERROR(__xludf.DUMMYFUNCTION("""COMPUTED_VALUE"""),0.0)</f>
        <v>0</v>
      </c>
      <c r="AM239" s="3">
        <f>IFERROR(__xludf.DUMMYFUNCTION("""COMPUTED_VALUE"""),0.0)</f>
        <v>0</v>
      </c>
      <c r="AN239" s="3">
        <f>IFERROR(__xludf.DUMMYFUNCTION("""COMPUTED_VALUE"""),0.0)</f>
        <v>0</v>
      </c>
      <c r="AO239" s="3">
        <f>IFERROR(__xludf.DUMMYFUNCTION("""COMPUTED_VALUE"""),0.0)</f>
        <v>0</v>
      </c>
      <c r="AP239" s="3">
        <f>IFERROR(__xludf.DUMMYFUNCTION("""COMPUTED_VALUE"""),0.0)</f>
        <v>0</v>
      </c>
      <c r="AQ239" s="3">
        <f>IFERROR(__xludf.DUMMYFUNCTION("""COMPUTED_VALUE"""),0.0)</f>
        <v>0</v>
      </c>
      <c r="AR239" s="3">
        <f>IFERROR(__xludf.DUMMYFUNCTION("""COMPUTED_VALUE"""),0.0)</f>
        <v>0</v>
      </c>
      <c r="AS239" s="3">
        <f>IFERROR(__xludf.DUMMYFUNCTION("""COMPUTED_VALUE"""),0.0)</f>
        <v>0</v>
      </c>
      <c r="AT239" s="3">
        <f>IFERROR(__xludf.DUMMYFUNCTION("""COMPUTED_VALUE"""),0.0)</f>
        <v>0</v>
      </c>
      <c r="AU239" s="3">
        <f>IFERROR(__xludf.DUMMYFUNCTION("""COMPUTED_VALUE"""),0.0)</f>
        <v>0</v>
      </c>
      <c r="AV239" s="3">
        <f>IFERROR(__xludf.DUMMYFUNCTION("""COMPUTED_VALUE"""),0.0)</f>
        <v>0</v>
      </c>
      <c r="AW239" s="3">
        <f>IFERROR(__xludf.DUMMYFUNCTION("""COMPUTED_VALUE"""),0.0)</f>
        <v>0</v>
      </c>
      <c r="AX239" s="3">
        <f>IFERROR(__xludf.DUMMYFUNCTION("""COMPUTED_VALUE"""),0.0)</f>
        <v>0</v>
      </c>
      <c r="AY239" s="3">
        <f>IFERROR(__xludf.DUMMYFUNCTION("""COMPUTED_VALUE"""),0.0)</f>
        <v>0</v>
      </c>
      <c r="AZ239" s="3">
        <f>IFERROR(__xludf.DUMMYFUNCTION("""COMPUTED_VALUE"""),0.0)</f>
        <v>0</v>
      </c>
      <c r="BA239" s="3">
        <f>IFERROR(__xludf.DUMMYFUNCTION("""COMPUTED_VALUE"""),0.0)</f>
        <v>0</v>
      </c>
      <c r="BB239" s="3">
        <f>IFERROR(__xludf.DUMMYFUNCTION("""COMPUTED_VALUE"""),0.0)</f>
        <v>0</v>
      </c>
      <c r="BC239" s="3">
        <f>IFERROR(__xludf.DUMMYFUNCTION("""COMPUTED_VALUE"""),0.0)</f>
        <v>0</v>
      </c>
      <c r="BD239" s="3">
        <f>IFERROR(__xludf.DUMMYFUNCTION("""COMPUTED_VALUE"""),0.0)</f>
        <v>0</v>
      </c>
      <c r="BE239" s="3">
        <f>IFERROR(__xludf.DUMMYFUNCTION("""COMPUTED_VALUE"""),0.0)</f>
        <v>0</v>
      </c>
      <c r="BF239" s="3">
        <f>IFERROR(__xludf.DUMMYFUNCTION("""COMPUTED_VALUE"""),0.0)</f>
        <v>0</v>
      </c>
      <c r="BG239" s="3">
        <f>IFERROR(__xludf.DUMMYFUNCTION("""COMPUTED_VALUE"""),0.0)</f>
        <v>0</v>
      </c>
      <c r="BH239" s="3">
        <f>IFERROR(__xludf.DUMMYFUNCTION("""COMPUTED_VALUE"""),0.0)</f>
        <v>0</v>
      </c>
      <c r="BI239" s="3">
        <f>IFERROR(__xludf.DUMMYFUNCTION("""COMPUTED_VALUE"""),0.0)</f>
        <v>0</v>
      </c>
      <c r="BJ239" s="3">
        <f>IFERROR(__xludf.DUMMYFUNCTION("""COMPUTED_VALUE"""),0.0)</f>
        <v>0</v>
      </c>
      <c r="BK239" s="3">
        <f>IFERROR(__xludf.DUMMYFUNCTION("""COMPUTED_VALUE"""),0.0)</f>
        <v>0</v>
      </c>
      <c r="BL239" s="3">
        <f>IFERROR(__xludf.DUMMYFUNCTION("""COMPUTED_VALUE"""),0.0)</f>
        <v>0</v>
      </c>
      <c r="BM239" s="3">
        <f>IFERROR(__xludf.DUMMYFUNCTION("""COMPUTED_VALUE"""),0.0)</f>
        <v>0</v>
      </c>
      <c r="BN239" s="3">
        <f>IFERROR(__xludf.DUMMYFUNCTION("""COMPUTED_VALUE"""),0.0)</f>
        <v>0</v>
      </c>
      <c r="BO239" s="3">
        <f>IFERROR(__xludf.DUMMYFUNCTION("""COMPUTED_VALUE"""),0.0)</f>
        <v>0</v>
      </c>
      <c r="BP239" s="3">
        <f>IFERROR(__xludf.DUMMYFUNCTION("""COMPUTED_VALUE"""),0.0)</f>
        <v>0</v>
      </c>
      <c r="BQ239" s="3">
        <f>IFERROR(__xludf.DUMMYFUNCTION("""COMPUTED_VALUE"""),0.0)</f>
        <v>0</v>
      </c>
      <c r="BR239" s="3">
        <f>IFERROR(__xludf.DUMMYFUNCTION("""COMPUTED_VALUE"""),0.0)</f>
        <v>0</v>
      </c>
      <c r="BS239" s="3">
        <f>IFERROR(__xludf.DUMMYFUNCTION("""COMPUTED_VALUE"""),0.0)</f>
        <v>0</v>
      </c>
      <c r="BT239" s="3">
        <f>IFERROR(__xludf.DUMMYFUNCTION("""COMPUTED_VALUE"""),0.0)</f>
        <v>0</v>
      </c>
      <c r="BU239" s="3">
        <f>IFERROR(__xludf.DUMMYFUNCTION("""COMPUTED_VALUE"""),0.0)</f>
        <v>0</v>
      </c>
      <c r="BV239" s="3">
        <f>IFERROR(__xludf.DUMMYFUNCTION("""COMPUTED_VALUE"""),0.0)</f>
        <v>0</v>
      </c>
      <c r="BW239" s="3">
        <f>IFERROR(__xludf.DUMMYFUNCTION("""COMPUTED_VALUE"""),0.0)</f>
        <v>0</v>
      </c>
      <c r="BX239" s="3">
        <f>IFERROR(__xludf.DUMMYFUNCTION("""COMPUTED_VALUE"""),0.0)</f>
        <v>0</v>
      </c>
      <c r="BY239" s="3">
        <f>IFERROR(__xludf.DUMMYFUNCTION("""COMPUTED_VALUE"""),0.0)</f>
        <v>0</v>
      </c>
      <c r="BZ239" s="3">
        <f>IFERROR(__xludf.DUMMYFUNCTION("""COMPUTED_VALUE"""),0.0)</f>
        <v>0</v>
      </c>
      <c r="CA239" s="3">
        <f>IFERROR(__xludf.DUMMYFUNCTION("""COMPUTED_VALUE"""),0.0)</f>
        <v>0</v>
      </c>
      <c r="CB239" s="3">
        <f>IFERROR(__xludf.DUMMYFUNCTION("""COMPUTED_VALUE"""),0.0)</f>
        <v>0</v>
      </c>
    </row>
    <row r="240">
      <c r="A240" s="3" t="str">
        <f>IFERROR(__xludf.DUMMYFUNCTION("""COMPUTED_VALUE"""),"")</f>
        <v/>
      </c>
      <c r="B240" s="3" t="str">
        <f>IFERROR(__xludf.DUMMYFUNCTION("""COMPUTED_VALUE"""),"MS Zaandam")</f>
        <v>MS Zaandam</v>
      </c>
      <c r="C240" s="3">
        <f>IFERROR(__xludf.DUMMYFUNCTION("""COMPUTED_VALUE"""),0.0)</f>
        <v>0</v>
      </c>
      <c r="D240" s="3">
        <f>IFERROR(__xludf.DUMMYFUNCTION("""COMPUTED_VALUE"""),0.0)</f>
        <v>0</v>
      </c>
      <c r="E240" s="3">
        <f>IFERROR(__xludf.DUMMYFUNCTION("""COMPUTED_VALUE"""),0.0)</f>
        <v>0</v>
      </c>
      <c r="F240" s="3">
        <f>IFERROR(__xludf.DUMMYFUNCTION("""COMPUTED_VALUE"""),0.0)</f>
        <v>0</v>
      </c>
      <c r="G240" s="3">
        <f>IFERROR(__xludf.DUMMYFUNCTION("""COMPUTED_VALUE"""),0.0)</f>
        <v>0</v>
      </c>
      <c r="H240" s="3">
        <f>IFERROR(__xludf.DUMMYFUNCTION("""COMPUTED_VALUE"""),0.0)</f>
        <v>0</v>
      </c>
      <c r="I240" s="3">
        <f>IFERROR(__xludf.DUMMYFUNCTION("""COMPUTED_VALUE"""),0.0)</f>
        <v>0</v>
      </c>
      <c r="J240" s="3">
        <f>IFERROR(__xludf.DUMMYFUNCTION("""COMPUTED_VALUE"""),0.0)</f>
        <v>0</v>
      </c>
      <c r="K240" s="3">
        <f>IFERROR(__xludf.DUMMYFUNCTION("""COMPUTED_VALUE"""),0.0)</f>
        <v>0</v>
      </c>
      <c r="L240" s="3">
        <f>IFERROR(__xludf.DUMMYFUNCTION("""COMPUTED_VALUE"""),0.0)</f>
        <v>0</v>
      </c>
      <c r="M240" s="3">
        <f>IFERROR(__xludf.DUMMYFUNCTION("""COMPUTED_VALUE"""),0.0)</f>
        <v>0</v>
      </c>
      <c r="N240" s="3">
        <f>IFERROR(__xludf.DUMMYFUNCTION("""COMPUTED_VALUE"""),0.0)</f>
        <v>0</v>
      </c>
      <c r="O240" s="3">
        <f>IFERROR(__xludf.DUMMYFUNCTION("""COMPUTED_VALUE"""),0.0)</f>
        <v>0</v>
      </c>
      <c r="P240" s="3">
        <f>IFERROR(__xludf.DUMMYFUNCTION("""COMPUTED_VALUE"""),0.0)</f>
        <v>0</v>
      </c>
      <c r="Q240" s="3">
        <f>IFERROR(__xludf.DUMMYFUNCTION("""COMPUTED_VALUE"""),0.0)</f>
        <v>0</v>
      </c>
      <c r="R240" s="3">
        <f>IFERROR(__xludf.DUMMYFUNCTION("""COMPUTED_VALUE"""),0.0)</f>
        <v>0</v>
      </c>
      <c r="S240" s="3">
        <f>IFERROR(__xludf.DUMMYFUNCTION("""COMPUTED_VALUE"""),0.0)</f>
        <v>0</v>
      </c>
      <c r="T240" s="3">
        <f>IFERROR(__xludf.DUMMYFUNCTION("""COMPUTED_VALUE"""),0.0)</f>
        <v>0</v>
      </c>
      <c r="U240" s="3">
        <f>IFERROR(__xludf.DUMMYFUNCTION("""COMPUTED_VALUE"""),0.0)</f>
        <v>0</v>
      </c>
      <c r="V240" s="3">
        <f>IFERROR(__xludf.DUMMYFUNCTION("""COMPUTED_VALUE"""),0.0)</f>
        <v>0</v>
      </c>
      <c r="W240" s="3">
        <f>IFERROR(__xludf.DUMMYFUNCTION("""COMPUTED_VALUE"""),0.0)</f>
        <v>0</v>
      </c>
      <c r="X240" s="3">
        <f>IFERROR(__xludf.DUMMYFUNCTION("""COMPUTED_VALUE"""),0.0)</f>
        <v>0</v>
      </c>
      <c r="Y240" s="3">
        <f>IFERROR(__xludf.DUMMYFUNCTION("""COMPUTED_VALUE"""),0.0)</f>
        <v>0</v>
      </c>
      <c r="Z240" s="3">
        <f>IFERROR(__xludf.DUMMYFUNCTION("""COMPUTED_VALUE"""),0.0)</f>
        <v>0</v>
      </c>
      <c r="AA240" s="3">
        <f>IFERROR(__xludf.DUMMYFUNCTION("""COMPUTED_VALUE"""),0.0)</f>
        <v>0</v>
      </c>
      <c r="AB240" s="3">
        <f>IFERROR(__xludf.DUMMYFUNCTION("""COMPUTED_VALUE"""),0.0)</f>
        <v>0</v>
      </c>
      <c r="AC240" s="3">
        <f>IFERROR(__xludf.DUMMYFUNCTION("""COMPUTED_VALUE"""),0.0)</f>
        <v>0</v>
      </c>
      <c r="AD240" s="3">
        <f>IFERROR(__xludf.DUMMYFUNCTION("""COMPUTED_VALUE"""),0.0)</f>
        <v>0</v>
      </c>
      <c r="AE240" s="3">
        <f>IFERROR(__xludf.DUMMYFUNCTION("""COMPUTED_VALUE"""),0.0)</f>
        <v>0</v>
      </c>
      <c r="AF240" s="3">
        <f>IFERROR(__xludf.DUMMYFUNCTION("""COMPUTED_VALUE"""),0.0)</f>
        <v>0</v>
      </c>
      <c r="AG240" s="3">
        <f>IFERROR(__xludf.DUMMYFUNCTION("""COMPUTED_VALUE"""),0.0)</f>
        <v>0</v>
      </c>
      <c r="AH240" s="3">
        <f>IFERROR(__xludf.DUMMYFUNCTION("""COMPUTED_VALUE"""),0.0)</f>
        <v>0</v>
      </c>
      <c r="AI240" s="3">
        <f>IFERROR(__xludf.DUMMYFUNCTION("""COMPUTED_VALUE"""),0.0)</f>
        <v>0</v>
      </c>
      <c r="AJ240" s="3">
        <f>IFERROR(__xludf.DUMMYFUNCTION("""COMPUTED_VALUE"""),0.0)</f>
        <v>0</v>
      </c>
      <c r="AK240" s="3">
        <f>IFERROR(__xludf.DUMMYFUNCTION("""COMPUTED_VALUE"""),0.0)</f>
        <v>0</v>
      </c>
      <c r="AL240" s="3">
        <f>IFERROR(__xludf.DUMMYFUNCTION("""COMPUTED_VALUE"""),0.0)</f>
        <v>0</v>
      </c>
      <c r="AM240" s="3">
        <f>IFERROR(__xludf.DUMMYFUNCTION("""COMPUTED_VALUE"""),0.0)</f>
        <v>0</v>
      </c>
      <c r="AN240" s="3">
        <f>IFERROR(__xludf.DUMMYFUNCTION("""COMPUTED_VALUE"""),0.0)</f>
        <v>0</v>
      </c>
      <c r="AO240" s="3">
        <f>IFERROR(__xludf.DUMMYFUNCTION("""COMPUTED_VALUE"""),0.0)</f>
        <v>0</v>
      </c>
      <c r="AP240" s="3">
        <f>IFERROR(__xludf.DUMMYFUNCTION("""COMPUTED_VALUE"""),0.0)</f>
        <v>0</v>
      </c>
      <c r="AQ240" s="3">
        <f>IFERROR(__xludf.DUMMYFUNCTION("""COMPUTED_VALUE"""),0.0)</f>
        <v>0</v>
      </c>
      <c r="AR240" s="3">
        <f>IFERROR(__xludf.DUMMYFUNCTION("""COMPUTED_VALUE"""),0.0)</f>
        <v>0</v>
      </c>
      <c r="AS240" s="3">
        <f>IFERROR(__xludf.DUMMYFUNCTION("""COMPUTED_VALUE"""),0.0)</f>
        <v>0</v>
      </c>
      <c r="AT240" s="3">
        <f>IFERROR(__xludf.DUMMYFUNCTION("""COMPUTED_VALUE"""),0.0)</f>
        <v>0</v>
      </c>
      <c r="AU240" s="3">
        <f>IFERROR(__xludf.DUMMYFUNCTION("""COMPUTED_VALUE"""),0.0)</f>
        <v>0</v>
      </c>
      <c r="AV240" s="3">
        <f>IFERROR(__xludf.DUMMYFUNCTION("""COMPUTED_VALUE"""),0.0)</f>
        <v>0</v>
      </c>
      <c r="AW240" s="3">
        <f>IFERROR(__xludf.DUMMYFUNCTION("""COMPUTED_VALUE"""),0.0)</f>
        <v>0</v>
      </c>
      <c r="AX240" s="3">
        <f>IFERROR(__xludf.DUMMYFUNCTION("""COMPUTED_VALUE"""),0.0)</f>
        <v>0</v>
      </c>
      <c r="AY240" s="3">
        <f>IFERROR(__xludf.DUMMYFUNCTION("""COMPUTED_VALUE"""),0.0)</f>
        <v>0</v>
      </c>
      <c r="AZ240" s="3">
        <f>IFERROR(__xludf.DUMMYFUNCTION("""COMPUTED_VALUE"""),0.0)</f>
        <v>0</v>
      </c>
      <c r="BA240" s="3">
        <f>IFERROR(__xludf.DUMMYFUNCTION("""COMPUTED_VALUE"""),0.0)</f>
        <v>0</v>
      </c>
      <c r="BB240" s="3">
        <f>IFERROR(__xludf.DUMMYFUNCTION("""COMPUTED_VALUE"""),0.0)</f>
        <v>0</v>
      </c>
      <c r="BC240" s="3">
        <f>IFERROR(__xludf.DUMMYFUNCTION("""COMPUTED_VALUE"""),0.0)</f>
        <v>0</v>
      </c>
      <c r="BD240" s="3">
        <f>IFERROR(__xludf.DUMMYFUNCTION("""COMPUTED_VALUE"""),0.0)</f>
        <v>0</v>
      </c>
      <c r="BE240" s="3">
        <f>IFERROR(__xludf.DUMMYFUNCTION("""COMPUTED_VALUE"""),0.0)</f>
        <v>0</v>
      </c>
      <c r="BF240" s="3">
        <f>IFERROR(__xludf.DUMMYFUNCTION("""COMPUTED_VALUE"""),0.0)</f>
        <v>0</v>
      </c>
      <c r="BG240" s="3">
        <f>IFERROR(__xludf.DUMMYFUNCTION("""COMPUTED_VALUE"""),0.0)</f>
        <v>0</v>
      </c>
      <c r="BH240" s="3">
        <f>IFERROR(__xludf.DUMMYFUNCTION("""COMPUTED_VALUE"""),0.0)</f>
        <v>0</v>
      </c>
      <c r="BI240" s="3">
        <f>IFERROR(__xludf.DUMMYFUNCTION("""COMPUTED_VALUE"""),0.0)</f>
        <v>0</v>
      </c>
      <c r="BJ240" s="3">
        <f>IFERROR(__xludf.DUMMYFUNCTION("""COMPUTED_VALUE"""),0.0)</f>
        <v>0</v>
      </c>
      <c r="BK240" s="3">
        <f>IFERROR(__xludf.DUMMYFUNCTION("""COMPUTED_VALUE"""),0.0)</f>
        <v>0</v>
      </c>
      <c r="BL240" s="3">
        <f>IFERROR(__xludf.DUMMYFUNCTION("""COMPUTED_VALUE"""),0.0)</f>
        <v>0</v>
      </c>
      <c r="BM240" s="3">
        <f>IFERROR(__xludf.DUMMYFUNCTION("""COMPUTED_VALUE"""),0.0)</f>
        <v>0</v>
      </c>
      <c r="BN240" s="3">
        <f>IFERROR(__xludf.DUMMYFUNCTION("""COMPUTED_VALUE"""),0.0)</f>
        <v>0</v>
      </c>
      <c r="BO240" s="3">
        <f>IFERROR(__xludf.DUMMYFUNCTION("""COMPUTED_VALUE"""),0.0)</f>
        <v>0</v>
      </c>
      <c r="BP240" s="3">
        <f>IFERROR(__xludf.DUMMYFUNCTION("""COMPUTED_VALUE"""),0.0)</f>
        <v>0</v>
      </c>
      <c r="BQ240" s="3">
        <f>IFERROR(__xludf.DUMMYFUNCTION("""COMPUTED_VALUE"""),0.0)</f>
        <v>0</v>
      </c>
      <c r="BR240" s="3">
        <f>IFERROR(__xludf.DUMMYFUNCTION("""COMPUTED_VALUE"""),0.0)</f>
        <v>0</v>
      </c>
      <c r="BS240" s="3">
        <f>IFERROR(__xludf.DUMMYFUNCTION("""COMPUTED_VALUE"""),0.0)</f>
        <v>0</v>
      </c>
      <c r="BT240" s="3">
        <f>IFERROR(__xludf.DUMMYFUNCTION("""COMPUTED_VALUE"""),0.0)</f>
        <v>0</v>
      </c>
      <c r="BU240" s="3">
        <f>IFERROR(__xludf.DUMMYFUNCTION("""COMPUTED_VALUE"""),0.0)</f>
        <v>0</v>
      </c>
      <c r="BV240" s="3">
        <f>IFERROR(__xludf.DUMMYFUNCTION("""COMPUTED_VALUE"""),0.0)</f>
        <v>0</v>
      </c>
      <c r="BW240" s="3">
        <f>IFERROR(__xludf.DUMMYFUNCTION("""COMPUTED_VALUE"""),0.0)</f>
        <v>0</v>
      </c>
      <c r="BX240" s="3">
        <f>IFERROR(__xludf.DUMMYFUNCTION("""COMPUTED_VALUE"""),0.0)</f>
        <v>0</v>
      </c>
      <c r="BY240" s="3">
        <f>IFERROR(__xludf.DUMMYFUNCTION("""COMPUTED_VALUE"""),0.0)</f>
        <v>0</v>
      </c>
      <c r="BZ240" s="3">
        <f>IFERROR(__xludf.DUMMYFUNCTION("""COMPUTED_VALUE"""),0.0)</f>
        <v>0</v>
      </c>
      <c r="CA240" s="3">
        <f>IFERROR(__xludf.DUMMYFUNCTION("""COMPUTED_VALUE"""),0.0)</f>
        <v>0</v>
      </c>
      <c r="CB240" s="3">
        <f>IFERROR(__xludf.DUMMYFUNCTION("""COMPUTED_VALUE"""),0.0)</f>
        <v>0</v>
      </c>
    </row>
    <row r="241">
      <c r="A241" s="3" t="str">
        <f>IFERROR(__xludf.DUMMYFUNCTION("""COMPUTED_VALUE"""),"")</f>
        <v/>
      </c>
      <c r="B241" s="3" t="str">
        <f>IFERROR(__xludf.DUMMYFUNCTION("""COMPUTED_VALUE"""),"Botswana")</f>
        <v>Botswana</v>
      </c>
      <c r="C241" s="3">
        <f>IFERROR(__xludf.DUMMYFUNCTION("""COMPUTED_VALUE"""),-22.3285)</f>
        <v>-22.3285</v>
      </c>
      <c r="D241" s="3">
        <f>IFERROR(__xludf.DUMMYFUNCTION("""COMPUTED_VALUE"""),24.6849)</f>
        <v>24.6849</v>
      </c>
      <c r="E241" s="3">
        <f>IFERROR(__xludf.DUMMYFUNCTION("""COMPUTED_VALUE"""),0.0)</f>
        <v>0</v>
      </c>
      <c r="F241" s="3">
        <f>IFERROR(__xludf.DUMMYFUNCTION("""COMPUTED_VALUE"""),0.0)</f>
        <v>0</v>
      </c>
      <c r="G241" s="3">
        <f>IFERROR(__xludf.DUMMYFUNCTION("""COMPUTED_VALUE"""),0.0)</f>
        <v>0</v>
      </c>
      <c r="H241" s="3">
        <f>IFERROR(__xludf.DUMMYFUNCTION("""COMPUTED_VALUE"""),0.0)</f>
        <v>0</v>
      </c>
      <c r="I241" s="3">
        <f>IFERROR(__xludf.DUMMYFUNCTION("""COMPUTED_VALUE"""),0.0)</f>
        <v>0</v>
      </c>
      <c r="J241" s="3">
        <f>IFERROR(__xludf.DUMMYFUNCTION("""COMPUTED_VALUE"""),0.0)</f>
        <v>0</v>
      </c>
      <c r="K241" s="3">
        <f>IFERROR(__xludf.DUMMYFUNCTION("""COMPUTED_VALUE"""),0.0)</f>
        <v>0</v>
      </c>
      <c r="L241" s="3">
        <f>IFERROR(__xludf.DUMMYFUNCTION("""COMPUTED_VALUE"""),0.0)</f>
        <v>0</v>
      </c>
      <c r="M241" s="3">
        <f>IFERROR(__xludf.DUMMYFUNCTION("""COMPUTED_VALUE"""),0.0)</f>
        <v>0</v>
      </c>
      <c r="N241" s="3">
        <f>IFERROR(__xludf.DUMMYFUNCTION("""COMPUTED_VALUE"""),0.0)</f>
        <v>0</v>
      </c>
      <c r="O241" s="3">
        <f>IFERROR(__xludf.DUMMYFUNCTION("""COMPUTED_VALUE"""),0.0)</f>
        <v>0</v>
      </c>
      <c r="P241" s="3">
        <f>IFERROR(__xludf.DUMMYFUNCTION("""COMPUTED_VALUE"""),0.0)</f>
        <v>0</v>
      </c>
      <c r="Q241" s="3">
        <f>IFERROR(__xludf.DUMMYFUNCTION("""COMPUTED_VALUE"""),0.0)</f>
        <v>0</v>
      </c>
      <c r="R241" s="3">
        <f>IFERROR(__xludf.DUMMYFUNCTION("""COMPUTED_VALUE"""),0.0)</f>
        <v>0</v>
      </c>
      <c r="S241" s="3">
        <f>IFERROR(__xludf.DUMMYFUNCTION("""COMPUTED_VALUE"""),0.0)</f>
        <v>0</v>
      </c>
      <c r="T241" s="3">
        <f>IFERROR(__xludf.DUMMYFUNCTION("""COMPUTED_VALUE"""),0.0)</f>
        <v>0</v>
      </c>
      <c r="U241" s="3">
        <f>IFERROR(__xludf.DUMMYFUNCTION("""COMPUTED_VALUE"""),0.0)</f>
        <v>0</v>
      </c>
      <c r="V241" s="3">
        <f>IFERROR(__xludf.DUMMYFUNCTION("""COMPUTED_VALUE"""),0.0)</f>
        <v>0</v>
      </c>
      <c r="W241" s="3">
        <f>IFERROR(__xludf.DUMMYFUNCTION("""COMPUTED_VALUE"""),0.0)</f>
        <v>0</v>
      </c>
      <c r="X241" s="3">
        <f>IFERROR(__xludf.DUMMYFUNCTION("""COMPUTED_VALUE"""),0.0)</f>
        <v>0</v>
      </c>
      <c r="Y241" s="3">
        <f>IFERROR(__xludf.DUMMYFUNCTION("""COMPUTED_VALUE"""),0.0)</f>
        <v>0</v>
      </c>
      <c r="Z241" s="3">
        <f>IFERROR(__xludf.DUMMYFUNCTION("""COMPUTED_VALUE"""),0.0)</f>
        <v>0</v>
      </c>
      <c r="AA241" s="3">
        <f>IFERROR(__xludf.DUMMYFUNCTION("""COMPUTED_VALUE"""),0.0)</f>
        <v>0</v>
      </c>
      <c r="AB241" s="3">
        <f>IFERROR(__xludf.DUMMYFUNCTION("""COMPUTED_VALUE"""),0.0)</f>
        <v>0</v>
      </c>
      <c r="AC241" s="3">
        <f>IFERROR(__xludf.DUMMYFUNCTION("""COMPUTED_VALUE"""),0.0)</f>
        <v>0</v>
      </c>
      <c r="AD241" s="3">
        <f>IFERROR(__xludf.DUMMYFUNCTION("""COMPUTED_VALUE"""),0.0)</f>
        <v>0</v>
      </c>
      <c r="AE241" s="3">
        <f>IFERROR(__xludf.DUMMYFUNCTION("""COMPUTED_VALUE"""),0.0)</f>
        <v>0</v>
      </c>
      <c r="AF241" s="3">
        <f>IFERROR(__xludf.DUMMYFUNCTION("""COMPUTED_VALUE"""),0.0)</f>
        <v>0</v>
      </c>
      <c r="AG241" s="3">
        <f>IFERROR(__xludf.DUMMYFUNCTION("""COMPUTED_VALUE"""),0.0)</f>
        <v>0</v>
      </c>
      <c r="AH241" s="3">
        <f>IFERROR(__xludf.DUMMYFUNCTION("""COMPUTED_VALUE"""),0.0)</f>
        <v>0</v>
      </c>
      <c r="AI241" s="3">
        <f>IFERROR(__xludf.DUMMYFUNCTION("""COMPUTED_VALUE"""),0.0)</f>
        <v>0</v>
      </c>
      <c r="AJ241" s="3">
        <f>IFERROR(__xludf.DUMMYFUNCTION("""COMPUTED_VALUE"""),0.0)</f>
        <v>0</v>
      </c>
      <c r="AK241" s="3">
        <f>IFERROR(__xludf.DUMMYFUNCTION("""COMPUTED_VALUE"""),0.0)</f>
        <v>0</v>
      </c>
      <c r="AL241" s="3">
        <f>IFERROR(__xludf.DUMMYFUNCTION("""COMPUTED_VALUE"""),0.0)</f>
        <v>0</v>
      </c>
      <c r="AM241" s="3">
        <f>IFERROR(__xludf.DUMMYFUNCTION("""COMPUTED_VALUE"""),0.0)</f>
        <v>0</v>
      </c>
      <c r="AN241" s="3">
        <f>IFERROR(__xludf.DUMMYFUNCTION("""COMPUTED_VALUE"""),0.0)</f>
        <v>0</v>
      </c>
      <c r="AO241" s="3">
        <f>IFERROR(__xludf.DUMMYFUNCTION("""COMPUTED_VALUE"""),0.0)</f>
        <v>0</v>
      </c>
      <c r="AP241" s="3">
        <f>IFERROR(__xludf.DUMMYFUNCTION("""COMPUTED_VALUE"""),0.0)</f>
        <v>0</v>
      </c>
      <c r="AQ241" s="3">
        <f>IFERROR(__xludf.DUMMYFUNCTION("""COMPUTED_VALUE"""),0.0)</f>
        <v>0</v>
      </c>
      <c r="AR241" s="3">
        <f>IFERROR(__xludf.DUMMYFUNCTION("""COMPUTED_VALUE"""),0.0)</f>
        <v>0</v>
      </c>
      <c r="AS241" s="3">
        <f>IFERROR(__xludf.DUMMYFUNCTION("""COMPUTED_VALUE"""),0.0)</f>
        <v>0</v>
      </c>
      <c r="AT241" s="3">
        <f>IFERROR(__xludf.DUMMYFUNCTION("""COMPUTED_VALUE"""),0.0)</f>
        <v>0</v>
      </c>
      <c r="AU241" s="3">
        <f>IFERROR(__xludf.DUMMYFUNCTION("""COMPUTED_VALUE"""),0.0)</f>
        <v>0</v>
      </c>
      <c r="AV241" s="3">
        <f>IFERROR(__xludf.DUMMYFUNCTION("""COMPUTED_VALUE"""),0.0)</f>
        <v>0</v>
      </c>
      <c r="AW241" s="3">
        <f>IFERROR(__xludf.DUMMYFUNCTION("""COMPUTED_VALUE"""),0.0)</f>
        <v>0</v>
      </c>
      <c r="AX241" s="3">
        <f>IFERROR(__xludf.DUMMYFUNCTION("""COMPUTED_VALUE"""),0.0)</f>
        <v>0</v>
      </c>
      <c r="AY241" s="3">
        <f>IFERROR(__xludf.DUMMYFUNCTION("""COMPUTED_VALUE"""),0.0)</f>
        <v>0</v>
      </c>
      <c r="AZ241" s="3">
        <f>IFERROR(__xludf.DUMMYFUNCTION("""COMPUTED_VALUE"""),0.0)</f>
        <v>0</v>
      </c>
      <c r="BA241" s="3">
        <f>IFERROR(__xludf.DUMMYFUNCTION("""COMPUTED_VALUE"""),0.0)</f>
        <v>0</v>
      </c>
      <c r="BB241" s="3">
        <f>IFERROR(__xludf.DUMMYFUNCTION("""COMPUTED_VALUE"""),0.0)</f>
        <v>0</v>
      </c>
      <c r="BC241" s="3">
        <f>IFERROR(__xludf.DUMMYFUNCTION("""COMPUTED_VALUE"""),0.0)</f>
        <v>0</v>
      </c>
      <c r="BD241" s="3">
        <f>IFERROR(__xludf.DUMMYFUNCTION("""COMPUTED_VALUE"""),0.0)</f>
        <v>0</v>
      </c>
      <c r="BE241" s="3">
        <f>IFERROR(__xludf.DUMMYFUNCTION("""COMPUTED_VALUE"""),0.0)</f>
        <v>0</v>
      </c>
      <c r="BF241" s="3">
        <f>IFERROR(__xludf.DUMMYFUNCTION("""COMPUTED_VALUE"""),0.0)</f>
        <v>0</v>
      </c>
      <c r="BG241" s="3">
        <f>IFERROR(__xludf.DUMMYFUNCTION("""COMPUTED_VALUE"""),0.0)</f>
        <v>0</v>
      </c>
      <c r="BH241" s="3">
        <f>IFERROR(__xludf.DUMMYFUNCTION("""COMPUTED_VALUE"""),0.0)</f>
        <v>0</v>
      </c>
      <c r="BI241" s="3">
        <f>IFERROR(__xludf.DUMMYFUNCTION("""COMPUTED_VALUE"""),0.0)</f>
        <v>0</v>
      </c>
      <c r="BJ241" s="3">
        <f>IFERROR(__xludf.DUMMYFUNCTION("""COMPUTED_VALUE"""),0.0)</f>
        <v>0</v>
      </c>
      <c r="BK241" s="3">
        <f>IFERROR(__xludf.DUMMYFUNCTION("""COMPUTED_VALUE"""),0.0)</f>
        <v>0</v>
      </c>
      <c r="BL241" s="3">
        <f>IFERROR(__xludf.DUMMYFUNCTION("""COMPUTED_VALUE"""),0.0)</f>
        <v>0</v>
      </c>
      <c r="BM241" s="3">
        <f>IFERROR(__xludf.DUMMYFUNCTION("""COMPUTED_VALUE"""),0.0)</f>
        <v>0</v>
      </c>
      <c r="BN241" s="3">
        <f>IFERROR(__xludf.DUMMYFUNCTION("""COMPUTED_VALUE"""),0.0)</f>
        <v>0</v>
      </c>
      <c r="BO241" s="3">
        <f>IFERROR(__xludf.DUMMYFUNCTION("""COMPUTED_VALUE"""),0.0)</f>
        <v>0</v>
      </c>
      <c r="BP241" s="3">
        <f>IFERROR(__xludf.DUMMYFUNCTION("""COMPUTED_VALUE"""),0.0)</f>
        <v>0</v>
      </c>
      <c r="BQ241" s="3">
        <f>IFERROR(__xludf.DUMMYFUNCTION("""COMPUTED_VALUE"""),0.0)</f>
        <v>0</v>
      </c>
      <c r="BR241" s="3">
        <f>IFERROR(__xludf.DUMMYFUNCTION("""COMPUTED_VALUE"""),0.0)</f>
        <v>0</v>
      </c>
      <c r="BS241" s="3">
        <f>IFERROR(__xludf.DUMMYFUNCTION("""COMPUTED_VALUE"""),0.0)</f>
        <v>0</v>
      </c>
      <c r="BT241" s="3">
        <f>IFERROR(__xludf.DUMMYFUNCTION("""COMPUTED_VALUE"""),0.0)</f>
        <v>0</v>
      </c>
      <c r="BU241" s="3">
        <f>IFERROR(__xludf.DUMMYFUNCTION("""COMPUTED_VALUE"""),0.0)</f>
        <v>0</v>
      </c>
      <c r="BV241" s="3">
        <f>IFERROR(__xludf.DUMMYFUNCTION("""COMPUTED_VALUE"""),0.0)</f>
        <v>0</v>
      </c>
      <c r="BW241" s="3">
        <f>IFERROR(__xludf.DUMMYFUNCTION("""COMPUTED_VALUE"""),0.0)</f>
        <v>0</v>
      </c>
      <c r="BX241" s="3">
        <f>IFERROR(__xludf.DUMMYFUNCTION("""COMPUTED_VALUE"""),0.0)</f>
        <v>0</v>
      </c>
      <c r="BY241" s="3">
        <f>IFERROR(__xludf.DUMMYFUNCTION("""COMPUTED_VALUE"""),0.0)</f>
        <v>0</v>
      </c>
      <c r="BZ241" s="3">
        <f>IFERROR(__xludf.DUMMYFUNCTION("""COMPUTED_VALUE"""),0.0)</f>
        <v>0</v>
      </c>
      <c r="CA241" s="3">
        <f>IFERROR(__xludf.DUMMYFUNCTION("""COMPUTED_VALUE"""),0.0)</f>
        <v>0</v>
      </c>
      <c r="CB241" s="3">
        <f>IFERROR(__xludf.DUMMYFUNCTION("""COMPUTED_VALUE"""),0.0)</f>
        <v>0</v>
      </c>
    </row>
    <row r="242">
      <c r="A242" s="3" t="str">
        <f>IFERROR(__xludf.DUMMYFUNCTION("""COMPUTED_VALUE"""),"")</f>
        <v/>
      </c>
      <c r="B242" s="3" t="str">
        <f>IFERROR(__xludf.DUMMYFUNCTION("""COMPUTED_VALUE"""),"Burundi")</f>
        <v>Burundi</v>
      </c>
      <c r="C242" s="3">
        <f>IFERROR(__xludf.DUMMYFUNCTION("""COMPUTED_VALUE"""),-3.3731)</f>
        <v>-3.3731</v>
      </c>
      <c r="D242" s="3">
        <f>IFERROR(__xludf.DUMMYFUNCTION("""COMPUTED_VALUE"""),29.9189)</f>
        <v>29.9189</v>
      </c>
      <c r="E242" s="3">
        <f>IFERROR(__xludf.DUMMYFUNCTION("""COMPUTED_VALUE"""),0.0)</f>
        <v>0</v>
      </c>
      <c r="F242" s="3">
        <f>IFERROR(__xludf.DUMMYFUNCTION("""COMPUTED_VALUE"""),0.0)</f>
        <v>0</v>
      </c>
      <c r="G242" s="3">
        <f>IFERROR(__xludf.DUMMYFUNCTION("""COMPUTED_VALUE"""),0.0)</f>
        <v>0</v>
      </c>
      <c r="H242" s="3">
        <f>IFERROR(__xludf.DUMMYFUNCTION("""COMPUTED_VALUE"""),0.0)</f>
        <v>0</v>
      </c>
      <c r="I242" s="3">
        <f>IFERROR(__xludf.DUMMYFUNCTION("""COMPUTED_VALUE"""),0.0)</f>
        <v>0</v>
      </c>
      <c r="J242" s="3">
        <f>IFERROR(__xludf.DUMMYFUNCTION("""COMPUTED_VALUE"""),0.0)</f>
        <v>0</v>
      </c>
      <c r="K242" s="3">
        <f>IFERROR(__xludf.DUMMYFUNCTION("""COMPUTED_VALUE"""),0.0)</f>
        <v>0</v>
      </c>
      <c r="L242" s="3">
        <f>IFERROR(__xludf.DUMMYFUNCTION("""COMPUTED_VALUE"""),0.0)</f>
        <v>0</v>
      </c>
      <c r="M242" s="3">
        <f>IFERROR(__xludf.DUMMYFUNCTION("""COMPUTED_VALUE"""),0.0)</f>
        <v>0</v>
      </c>
      <c r="N242" s="3">
        <f>IFERROR(__xludf.DUMMYFUNCTION("""COMPUTED_VALUE"""),0.0)</f>
        <v>0</v>
      </c>
      <c r="O242" s="3">
        <f>IFERROR(__xludf.DUMMYFUNCTION("""COMPUTED_VALUE"""),0.0)</f>
        <v>0</v>
      </c>
      <c r="P242" s="3">
        <f>IFERROR(__xludf.DUMMYFUNCTION("""COMPUTED_VALUE"""),0.0)</f>
        <v>0</v>
      </c>
      <c r="Q242" s="3">
        <f>IFERROR(__xludf.DUMMYFUNCTION("""COMPUTED_VALUE"""),0.0)</f>
        <v>0</v>
      </c>
      <c r="R242" s="3">
        <f>IFERROR(__xludf.DUMMYFUNCTION("""COMPUTED_VALUE"""),0.0)</f>
        <v>0</v>
      </c>
      <c r="S242" s="3">
        <f>IFERROR(__xludf.DUMMYFUNCTION("""COMPUTED_VALUE"""),0.0)</f>
        <v>0</v>
      </c>
      <c r="T242" s="3">
        <f>IFERROR(__xludf.DUMMYFUNCTION("""COMPUTED_VALUE"""),0.0)</f>
        <v>0</v>
      </c>
      <c r="U242" s="3">
        <f>IFERROR(__xludf.DUMMYFUNCTION("""COMPUTED_VALUE"""),0.0)</f>
        <v>0</v>
      </c>
      <c r="V242" s="3">
        <f>IFERROR(__xludf.DUMMYFUNCTION("""COMPUTED_VALUE"""),0.0)</f>
        <v>0</v>
      </c>
      <c r="W242" s="3">
        <f>IFERROR(__xludf.DUMMYFUNCTION("""COMPUTED_VALUE"""),0.0)</f>
        <v>0</v>
      </c>
      <c r="X242" s="3">
        <f>IFERROR(__xludf.DUMMYFUNCTION("""COMPUTED_VALUE"""),0.0)</f>
        <v>0</v>
      </c>
      <c r="Y242" s="3">
        <f>IFERROR(__xludf.DUMMYFUNCTION("""COMPUTED_VALUE"""),0.0)</f>
        <v>0</v>
      </c>
      <c r="Z242" s="3">
        <f>IFERROR(__xludf.DUMMYFUNCTION("""COMPUTED_VALUE"""),0.0)</f>
        <v>0</v>
      </c>
      <c r="AA242" s="3">
        <f>IFERROR(__xludf.DUMMYFUNCTION("""COMPUTED_VALUE"""),0.0)</f>
        <v>0</v>
      </c>
      <c r="AB242" s="3">
        <f>IFERROR(__xludf.DUMMYFUNCTION("""COMPUTED_VALUE"""),0.0)</f>
        <v>0</v>
      </c>
      <c r="AC242" s="3">
        <f>IFERROR(__xludf.DUMMYFUNCTION("""COMPUTED_VALUE"""),0.0)</f>
        <v>0</v>
      </c>
      <c r="AD242" s="3">
        <f>IFERROR(__xludf.DUMMYFUNCTION("""COMPUTED_VALUE"""),0.0)</f>
        <v>0</v>
      </c>
      <c r="AE242" s="3">
        <f>IFERROR(__xludf.DUMMYFUNCTION("""COMPUTED_VALUE"""),0.0)</f>
        <v>0</v>
      </c>
      <c r="AF242" s="3">
        <f>IFERROR(__xludf.DUMMYFUNCTION("""COMPUTED_VALUE"""),0.0)</f>
        <v>0</v>
      </c>
      <c r="AG242" s="3">
        <f>IFERROR(__xludf.DUMMYFUNCTION("""COMPUTED_VALUE"""),0.0)</f>
        <v>0</v>
      </c>
      <c r="AH242" s="3">
        <f>IFERROR(__xludf.DUMMYFUNCTION("""COMPUTED_VALUE"""),0.0)</f>
        <v>0</v>
      </c>
      <c r="AI242" s="3">
        <f>IFERROR(__xludf.DUMMYFUNCTION("""COMPUTED_VALUE"""),0.0)</f>
        <v>0</v>
      </c>
      <c r="AJ242" s="3">
        <f>IFERROR(__xludf.DUMMYFUNCTION("""COMPUTED_VALUE"""),0.0)</f>
        <v>0</v>
      </c>
      <c r="AK242" s="3">
        <f>IFERROR(__xludf.DUMMYFUNCTION("""COMPUTED_VALUE"""),0.0)</f>
        <v>0</v>
      </c>
      <c r="AL242" s="3">
        <f>IFERROR(__xludf.DUMMYFUNCTION("""COMPUTED_VALUE"""),0.0)</f>
        <v>0</v>
      </c>
      <c r="AM242" s="3">
        <f>IFERROR(__xludf.DUMMYFUNCTION("""COMPUTED_VALUE"""),0.0)</f>
        <v>0</v>
      </c>
      <c r="AN242" s="3">
        <f>IFERROR(__xludf.DUMMYFUNCTION("""COMPUTED_VALUE"""),0.0)</f>
        <v>0</v>
      </c>
      <c r="AO242" s="3">
        <f>IFERROR(__xludf.DUMMYFUNCTION("""COMPUTED_VALUE"""),0.0)</f>
        <v>0</v>
      </c>
      <c r="AP242" s="3">
        <f>IFERROR(__xludf.DUMMYFUNCTION("""COMPUTED_VALUE"""),0.0)</f>
        <v>0</v>
      </c>
      <c r="AQ242" s="3">
        <f>IFERROR(__xludf.DUMMYFUNCTION("""COMPUTED_VALUE"""),0.0)</f>
        <v>0</v>
      </c>
      <c r="AR242" s="3">
        <f>IFERROR(__xludf.DUMMYFUNCTION("""COMPUTED_VALUE"""),0.0)</f>
        <v>0</v>
      </c>
      <c r="AS242" s="3">
        <f>IFERROR(__xludf.DUMMYFUNCTION("""COMPUTED_VALUE"""),0.0)</f>
        <v>0</v>
      </c>
      <c r="AT242" s="3">
        <f>IFERROR(__xludf.DUMMYFUNCTION("""COMPUTED_VALUE"""),0.0)</f>
        <v>0</v>
      </c>
      <c r="AU242" s="3">
        <f>IFERROR(__xludf.DUMMYFUNCTION("""COMPUTED_VALUE"""),0.0)</f>
        <v>0</v>
      </c>
      <c r="AV242" s="3">
        <f>IFERROR(__xludf.DUMMYFUNCTION("""COMPUTED_VALUE"""),0.0)</f>
        <v>0</v>
      </c>
      <c r="AW242" s="3">
        <f>IFERROR(__xludf.DUMMYFUNCTION("""COMPUTED_VALUE"""),0.0)</f>
        <v>0</v>
      </c>
      <c r="AX242" s="3">
        <f>IFERROR(__xludf.DUMMYFUNCTION("""COMPUTED_VALUE"""),0.0)</f>
        <v>0</v>
      </c>
      <c r="AY242" s="3">
        <f>IFERROR(__xludf.DUMMYFUNCTION("""COMPUTED_VALUE"""),0.0)</f>
        <v>0</v>
      </c>
      <c r="AZ242" s="3">
        <f>IFERROR(__xludf.DUMMYFUNCTION("""COMPUTED_VALUE"""),0.0)</f>
        <v>0</v>
      </c>
      <c r="BA242" s="3">
        <f>IFERROR(__xludf.DUMMYFUNCTION("""COMPUTED_VALUE"""),0.0)</f>
        <v>0</v>
      </c>
      <c r="BB242" s="3">
        <f>IFERROR(__xludf.DUMMYFUNCTION("""COMPUTED_VALUE"""),0.0)</f>
        <v>0</v>
      </c>
      <c r="BC242" s="3">
        <f>IFERROR(__xludf.DUMMYFUNCTION("""COMPUTED_VALUE"""),0.0)</f>
        <v>0</v>
      </c>
      <c r="BD242" s="3">
        <f>IFERROR(__xludf.DUMMYFUNCTION("""COMPUTED_VALUE"""),0.0)</f>
        <v>0</v>
      </c>
      <c r="BE242" s="3">
        <f>IFERROR(__xludf.DUMMYFUNCTION("""COMPUTED_VALUE"""),0.0)</f>
        <v>0</v>
      </c>
      <c r="BF242" s="3">
        <f>IFERROR(__xludf.DUMMYFUNCTION("""COMPUTED_VALUE"""),0.0)</f>
        <v>0</v>
      </c>
      <c r="BG242" s="3">
        <f>IFERROR(__xludf.DUMMYFUNCTION("""COMPUTED_VALUE"""),0.0)</f>
        <v>0</v>
      </c>
      <c r="BH242" s="3">
        <f>IFERROR(__xludf.DUMMYFUNCTION("""COMPUTED_VALUE"""),0.0)</f>
        <v>0</v>
      </c>
      <c r="BI242" s="3">
        <f>IFERROR(__xludf.DUMMYFUNCTION("""COMPUTED_VALUE"""),0.0)</f>
        <v>0</v>
      </c>
      <c r="BJ242" s="3">
        <f>IFERROR(__xludf.DUMMYFUNCTION("""COMPUTED_VALUE"""),0.0)</f>
        <v>0</v>
      </c>
      <c r="BK242" s="3">
        <f>IFERROR(__xludf.DUMMYFUNCTION("""COMPUTED_VALUE"""),0.0)</f>
        <v>0</v>
      </c>
      <c r="BL242" s="3">
        <f>IFERROR(__xludf.DUMMYFUNCTION("""COMPUTED_VALUE"""),0.0)</f>
        <v>0</v>
      </c>
      <c r="BM242" s="3">
        <f>IFERROR(__xludf.DUMMYFUNCTION("""COMPUTED_VALUE"""),0.0)</f>
        <v>0</v>
      </c>
      <c r="BN242" s="3">
        <f>IFERROR(__xludf.DUMMYFUNCTION("""COMPUTED_VALUE"""),0.0)</f>
        <v>0</v>
      </c>
      <c r="BO242" s="3">
        <f>IFERROR(__xludf.DUMMYFUNCTION("""COMPUTED_VALUE"""),0.0)</f>
        <v>0</v>
      </c>
      <c r="BP242" s="3">
        <f>IFERROR(__xludf.DUMMYFUNCTION("""COMPUTED_VALUE"""),0.0)</f>
        <v>0</v>
      </c>
      <c r="BQ242" s="3">
        <f>IFERROR(__xludf.DUMMYFUNCTION("""COMPUTED_VALUE"""),0.0)</f>
        <v>0</v>
      </c>
      <c r="BR242" s="3">
        <f>IFERROR(__xludf.DUMMYFUNCTION("""COMPUTED_VALUE"""),0.0)</f>
        <v>0</v>
      </c>
      <c r="BS242" s="3">
        <f>IFERROR(__xludf.DUMMYFUNCTION("""COMPUTED_VALUE"""),0.0)</f>
        <v>0</v>
      </c>
      <c r="BT242" s="3">
        <f>IFERROR(__xludf.DUMMYFUNCTION("""COMPUTED_VALUE"""),0.0)</f>
        <v>0</v>
      </c>
      <c r="BU242" s="3">
        <f>IFERROR(__xludf.DUMMYFUNCTION("""COMPUTED_VALUE"""),0.0)</f>
        <v>0</v>
      </c>
      <c r="BV242" s="3">
        <f>IFERROR(__xludf.DUMMYFUNCTION("""COMPUTED_VALUE"""),0.0)</f>
        <v>0</v>
      </c>
      <c r="BW242" s="3">
        <f>IFERROR(__xludf.DUMMYFUNCTION("""COMPUTED_VALUE"""),0.0)</f>
        <v>0</v>
      </c>
      <c r="BX242" s="3">
        <f>IFERROR(__xludf.DUMMYFUNCTION("""COMPUTED_VALUE"""),0.0)</f>
        <v>0</v>
      </c>
      <c r="BY242" s="3">
        <f>IFERROR(__xludf.DUMMYFUNCTION("""COMPUTED_VALUE"""),0.0)</f>
        <v>0</v>
      </c>
      <c r="BZ242" s="3">
        <f>IFERROR(__xludf.DUMMYFUNCTION("""COMPUTED_VALUE"""),0.0)</f>
        <v>0</v>
      </c>
      <c r="CA242" s="3">
        <f>IFERROR(__xludf.DUMMYFUNCTION("""COMPUTED_VALUE"""),0.0)</f>
        <v>0</v>
      </c>
      <c r="CB242" s="3">
        <f>IFERROR(__xludf.DUMMYFUNCTION("""COMPUTED_VALUE"""),0.0)</f>
        <v>0</v>
      </c>
    </row>
    <row r="243">
      <c r="A243" s="3" t="str">
        <f>IFERROR(__xludf.DUMMYFUNCTION("""COMPUTED_VALUE"""),"")</f>
        <v/>
      </c>
      <c r="B243" s="3" t="str">
        <f>IFERROR(__xludf.DUMMYFUNCTION("""COMPUTED_VALUE"""),"Sierra Leone")</f>
        <v>Sierra Leone</v>
      </c>
      <c r="C243" s="3">
        <f>IFERROR(__xludf.DUMMYFUNCTION("""COMPUTED_VALUE"""),8.460555)</f>
        <v>8.460555</v>
      </c>
      <c r="D243" s="3">
        <f>IFERROR(__xludf.DUMMYFUNCTION("""COMPUTED_VALUE"""),-11.779889)</f>
        <v>-11.779889</v>
      </c>
      <c r="E243" s="3">
        <f>IFERROR(__xludf.DUMMYFUNCTION("""COMPUTED_VALUE"""),0.0)</f>
        <v>0</v>
      </c>
      <c r="F243" s="3">
        <f>IFERROR(__xludf.DUMMYFUNCTION("""COMPUTED_VALUE"""),0.0)</f>
        <v>0</v>
      </c>
      <c r="G243" s="3">
        <f>IFERROR(__xludf.DUMMYFUNCTION("""COMPUTED_VALUE"""),0.0)</f>
        <v>0</v>
      </c>
      <c r="H243" s="3">
        <f>IFERROR(__xludf.DUMMYFUNCTION("""COMPUTED_VALUE"""),0.0)</f>
        <v>0</v>
      </c>
      <c r="I243" s="3">
        <f>IFERROR(__xludf.DUMMYFUNCTION("""COMPUTED_VALUE"""),0.0)</f>
        <v>0</v>
      </c>
      <c r="J243" s="3">
        <f>IFERROR(__xludf.DUMMYFUNCTION("""COMPUTED_VALUE"""),0.0)</f>
        <v>0</v>
      </c>
      <c r="K243" s="3">
        <f>IFERROR(__xludf.DUMMYFUNCTION("""COMPUTED_VALUE"""),0.0)</f>
        <v>0</v>
      </c>
      <c r="L243" s="3">
        <f>IFERROR(__xludf.DUMMYFUNCTION("""COMPUTED_VALUE"""),0.0)</f>
        <v>0</v>
      </c>
      <c r="M243" s="3">
        <f>IFERROR(__xludf.DUMMYFUNCTION("""COMPUTED_VALUE"""),0.0)</f>
        <v>0</v>
      </c>
      <c r="N243" s="3">
        <f>IFERROR(__xludf.DUMMYFUNCTION("""COMPUTED_VALUE"""),0.0)</f>
        <v>0</v>
      </c>
      <c r="O243" s="3">
        <f>IFERROR(__xludf.DUMMYFUNCTION("""COMPUTED_VALUE"""),0.0)</f>
        <v>0</v>
      </c>
      <c r="P243" s="3">
        <f>IFERROR(__xludf.DUMMYFUNCTION("""COMPUTED_VALUE"""),0.0)</f>
        <v>0</v>
      </c>
      <c r="Q243" s="3">
        <f>IFERROR(__xludf.DUMMYFUNCTION("""COMPUTED_VALUE"""),0.0)</f>
        <v>0</v>
      </c>
      <c r="R243" s="3">
        <f>IFERROR(__xludf.DUMMYFUNCTION("""COMPUTED_VALUE"""),0.0)</f>
        <v>0</v>
      </c>
      <c r="S243" s="3">
        <f>IFERROR(__xludf.DUMMYFUNCTION("""COMPUTED_VALUE"""),0.0)</f>
        <v>0</v>
      </c>
      <c r="T243" s="3">
        <f>IFERROR(__xludf.DUMMYFUNCTION("""COMPUTED_VALUE"""),0.0)</f>
        <v>0</v>
      </c>
      <c r="U243" s="3">
        <f>IFERROR(__xludf.DUMMYFUNCTION("""COMPUTED_VALUE"""),0.0)</f>
        <v>0</v>
      </c>
      <c r="V243" s="3">
        <f>IFERROR(__xludf.DUMMYFUNCTION("""COMPUTED_VALUE"""),0.0)</f>
        <v>0</v>
      </c>
      <c r="W243" s="3">
        <f>IFERROR(__xludf.DUMMYFUNCTION("""COMPUTED_VALUE"""),0.0)</f>
        <v>0</v>
      </c>
      <c r="X243" s="3">
        <f>IFERROR(__xludf.DUMMYFUNCTION("""COMPUTED_VALUE"""),0.0)</f>
        <v>0</v>
      </c>
      <c r="Y243" s="3">
        <f>IFERROR(__xludf.DUMMYFUNCTION("""COMPUTED_VALUE"""),0.0)</f>
        <v>0</v>
      </c>
      <c r="Z243" s="3">
        <f>IFERROR(__xludf.DUMMYFUNCTION("""COMPUTED_VALUE"""),0.0)</f>
        <v>0</v>
      </c>
      <c r="AA243" s="3">
        <f>IFERROR(__xludf.DUMMYFUNCTION("""COMPUTED_VALUE"""),0.0)</f>
        <v>0</v>
      </c>
      <c r="AB243" s="3">
        <f>IFERROR(__xludf.DUMMYFUNCTION("""COMPUTED_VALUE"""),0.0)</f>
        <v>0</v>
      </c>
      <c r="AC243" s="3">
        <f>IFERROR(__xludf.DUMMYFUNCTION("""COMPUTED_VALUE"""),0.0)</f>
        <v>0</v>
      </c>
      <c r="AD243" s="3">
        <f>IFERROR(__xludf.DUMMYFUNCTION("""COMPUTED_VALUE"""),0.0)</f>
        <v>0</v>
      </c>
      <c r="AE243" s="3">
        <f>IFERROR(__xludf.DUMMYFUNCTION("""COMPUTED_VALUE"""),0.0)</f>
        <v>0</v>
      </c>
      <c r="AF243" s="3">
        <f>IFERROR(__xludf.DUMMYFUNCTION("""COMPUTED_VALUE"""),0.0)</f>
        <v>0</v>
      </c>
      <c r="AG243" s="3">
        <f>IFERROR(__xludf.DUMMYFUNCTION("""COMPUTED_VALUE"""),0.0)</f>
        <v>0</v>
      </c>
      <c r="AH243" s="3">
        <f>IFERROR(__xludf.DUMMYFUNCTION("""COMPUTED_VALUE"""),0.0)</f>
        <v>0</v>
      </c>
      <c r="AI243" s="3">
        <f>IFERROR(__xludf.DUMMYFUNCTION("""COMPUTED_VALUE"""),0.0)</f>
        <v>0</v>
      </c>
      <c r="AJ243" s="3">
        <f>IFERROR(__xludf.DUMMYFUNCTION("""COMPUTED_VALUE"""),0.0)</f>
        <v>0</v>
      </c>
      <c r="AK243" s="3">
        <f>IFERROR(__xludf.DUMMYFUNCTION("""COMPUTED_VALUE"""),0.0)</f>
        <v>0</v>
      </c>
      <c r="AL243" s="3">
        <f>IFERROR(__xludf.DUMMYFUNCTION("""COMPUTED_VALUE"""),0.0)</f>
        <v>0</v>
      </c>
      <c r="AM243" s="3">
        <f>IFERROR(__xludf.DUMMYFUNCTION("""COMPUTED_VALUE"""),0.0)</f>
        <v>0</v>
      </c>
      <c r="AN243" s="3">
        <f>IFERROR(__xludf.DUMMYFUNCTION("""COMPUTED_VALUE"""),0.0)</f>
        <v>0</v>
      </c>
      <c r="AO243" s="3">
        <f>IFERROR(__xludf.DUMMYFUNCTION("""COMPUTED_VALUE"""),0.0)</f>
        <v>0</v>
      </c>
      <c r="AP243" s="3">
        <f>IFERROR(__xludf.DUMMYFUNCTION("""COMPUTED_VALUE"""),0.0)</f>
        <v>0</v>
      </c>
      <c r="AQ243" s="3">
        <f>IFERROR(__xludf.DUMMYFUNCTION("""COMPUTED_VALUE"""),0.0)</f>
        <v>0</v>
      </c>
      <c r="AR243" s="3">
        <f>IFERROR(__xludf.DUMMYFUNCTION("""COMPUTED_VALUE"""),0.0)</f>
        <v>0</v>
      </c>
      <c r="AS243" s="3">
        <f>IFERROR(__xludf.DUMMYFUNCTION("""COMPUTED_VALUE"""),0.0)</f>
        <v>0</v>
      </c>
      <c r="AT243" s="3">
        <f>IFERROR(__xludf.DUMMYFUNCTION("""COMPUTED_VALUE"""),0.0)</f>
        <v>0</v>
      </c>
      <c r="AU243" s="3">
        <f>IFERROR(__xludf.DUMMYFUNCTION("""COMPUTED_VALUE"""),0.0)</f>
        <v>0</v>
      </c>
      <c r="AV243" s="3">
        <f>IFERROR(__xludf.DUMMYFUNCTION("""COMPUTED_VALUE"""),0.0)</f>
        <v>0</v>
      </c>
      <c r="AW243" s="3">
        <f>IFERROR(__xludf.DUMMYFUNCTION("""COMPUTED_VALUE"""),0.0)</f>
        <v>0</v>
      </c>
      <c r="AX243" s="3">
        <f>IFERROR(__xludf.DUMMYFUNCTION("""COMPUTED_VALUE"""),0.0)</f>
        <v>0</v>
      </c>
      <c r="AY243" s="3">
        <f>IFERROR(__xludf.DUMMYFUNCTION("""COMPUTED_VALUE"""),0.0)</f>
        <v>0</v>
      </c>
      <c r="AZ243" s="3">
        <f>IFERROR(__xludf.DUMMYFUNCTION("""COMPUTED_VALUE"""),0.0)</f>
        <v>0</v>
      </c>
      <c r="BA243" s="3">
        <f>IFERROR(__xludf.DUMMYFUNCTION("""COMPUTED_VALUE"""),0.0)</f>
        <v>0</v>
      </c>
      <c r="BB243" s="3">
        <f>IFERROR(__xludf.DUMMYFUNCTION("""COMPUTED_VALUE"""),0.0)</f>
        <v>0</v>
      </c>
      <c r="BC243" s="3">
        <f>IFERROR(__xludf.DUMMYFUNCTION("""COMPUTED_VALUE"""),0.0)</f>
        <v>0</v>
      </c>
      <c r="BD243" s="3">
        <f>IFERROR(__xludf.DUMMYFUNCTION("""COMPUTED_VALUE"""),0.0)</f>
        <v>0</v>
      </c>
      <c r="BE243" s="3">
        <f>IFERROR(__xludf.DUMMYFUNCTION("""COMPUTED_VALUE"""),0.0)</f>
        <v>0</v>
      </c>
      <c r="BF243" s="3">
        <f>IFERROR(__xludf.DUMMYFUNCTION("""COMPUTED_VALUE"""),0.0)</f>
        <v>0</v>
      </c>
      <c r="BG243" s="3">
        <f>IFERROR(__xludf.DUMMYFUNCTION("""COMPUTED_VALUE"""),0.0)</f>
        <v>0</v>
      </c>
      <c r="BH243" s="3">
        <f>IFERROR(__xludf.DUMMYFUNCTION("""COMPUTED_VALUE"""),0.0)</f>
        <v>0</v>
      </c>
      <c r="BI243" s="3">
        <f>IFERROR(__xludf.DUMMYFUNCTION("""COMPUTED_VALUE"""),0.0)</f>
        <v>0</v>
      </c>
      <c r="BJ243" s="3">
        <f>IFERROR(__xludf.DUMMYFUNCTION("""COMPUTED_VALUE"""),0.0)</f>
        <v>0</v>
      </c>
      <c r="BK243" s="3">
        <f>IFERROR(__xludf.DUMMYFUNCTION("""COMPUTED_VALUE"""),0.0)</f>
        <v>0</v>
      </c>
      <c r="BL243" s="3">
        <f>IFERROR(__xludf.DUMMYFUNCTION("""COMPUTED_VALUE"""),0.0)</f>
        <v>0</v>
      </c>
      <c r="BM243" s="3">
        <f>IFERROR(__xludf.DUMMYFUNCTION("""COMPUTED_VALUE"""),0.0)</f>
        <v>0</v>
      </c>
      <c r="BN243" s="3">
        <f>IFERROR(__xludf.DUMMYFUNCTION("""COMPUTED_VALUE"""),0.0)</f>
        <v>0</v>
      </c>
      <c r="BO243" s="3">
        <f>IFERROR(__xludf.DUMMYFUNCTION("""COMPUTED_VALUE"""),0.0)</f>
        <v>0</v>
      </c>
      <c r="BP243" s="3">
        <f>IFERROR(__xludf.DUMMYFUNCTION("""COMPUTED_VALUE"""),0.0)</f>
        <v>0</v>
      </c>
      <c r="BQ243" s="3">
        <f>IFERROR(__xludf.DUMMYFUNCTION("""COMPUTED_VALUE"""),0.0)</f>
        <v>0</v>
      </c>
      <c r="BR243" s="3">
        <f>IFERROR(__xludf.DUMMYFUNCTION("""COMPUTED_VALUE"""),0.0)</f>
        <v>0</v>
      </c>
      <c r="BS243" s="3">
        <f>IFERROR(__xludf.DUMMYFUNCTION("""COMPUTED_VALUE"""),0.0)</f>
        <v>0</v>
      </c>
      <c r="BT243" s="3">
        <f>IFERROR(__xludf.DUMMYFUNCTION("""COMPUTED_VALUE"""),0.0)</f>
        <v>0</v>
      </c>
      <c r="BU243" s="3">
        <f>IFERROR(__xludf.DUMMYFUNCTION("""COMPUTED_VALUE"""),0.0)</f>
        <v>0</v>
      </c>
      <c r="BV243" s="3">
        <f>IFERROR(__xludf.DUMMYFUNCTION("""COMPUTED_VALUE"""),0.0)</f>
        <v>0</v>
      </c>
      <c r="BW243" s="3">
        <f>IFERROR(__xludf.DUMMYFUNCTION("""COMPUTED_VALUE"""),0.0)</f>
        <v>0</v>
      </c>
      <c r="BX243" s="3">
        <f>IFERROR(__xludf.DUMMYFUNCTION("""COMPUTED_VALUE"""),0.0)</f>
        <v>0</v>
      </c>
      <c r="BY243" s="3">
        <f>IFERROR(__xludf.DUMMYFUNCTION("""COMPUTED_VALUE"""),0.0)</f>
        <v>0</v>
      </c>
      <c r="BZ243" s="3">
        <f>IFERROR(__xludf.DUMMYFUNCTION("""COMPUTED_VALUE"""),0.0)</f>
        <v>0</v>
      </c>
      <c r="CA243" s="3">
        <f>IFERROR(__xludf.DUMMYFUNCTION("""COMPUTED_VALUE"""),0.0)</f>
        <v>0</v>
      </c>
      <c r="CB243" s="3">
        <f>IFERROR(__xludf.DUMMYFUNCTION("""COMPUTED_VALUE"""),0.0)</f>
        <v>0</v>
      </c>
    </row>
    <row r="244">
      <c r="A244" s="3" t="str">
        <f>IFERROR(__xludf.DUMMYFUNCTION("""COMPUTED_VALUE"""),"Bonaire, Sint Eustatius and Saba")</f>
        <v>Bonaire, Sint Eustatius and Saba</v>
      </c>
      <c r="B244" s="3" t="str">
        <f>IFERROR(__xludf.DUMMYFUNCTION("""COMPUTED_VALUE"""),"Netherlands")</f>
        <v>Netherlands</v>
      </c>
      <c r="C244" s="3">
        <f>IFERROR(__xludf.DUMMYFUNCTION("""COMPUTED_VALUE"""),12.1784)</f>
        <v>12.1784</v>
      </c>
      <c r="D244" s="3">
        <f>IFERROR(__xludf.DUMMYFUNCTION("""COMPUTED_VALUE"""),-68.2385)</f>
        <v>-68.2385</v>
      </c>
      <c r="E244" s="3">
        <f>IFERROR(__xludf.DUMMYFUNCTION("""COMPUTED_VALUE"""),0.0)</f>
        <v>0</v>
      </c>
      <c r="F244" s="3">
        <f>IFERROR(__xludf.DUMMYFUNCTION("""COMPUTED_VALUE"""),0.0)</f>
        <v>0</v>
      </c>
      <c r="G244" s="3">
        <f>IFERROR(__xludf.DUMMYFUNCTION("""COMPUTED_VALUE"""),0.0)</f>
        <v>0</v>
      </c>
      <c r="H244" s="3">
        <f>IFERROR(__xludf.DUMMYFUNCTION("""COMPUTED_VALUE"""),0.0)</f>
        <v>0</v>
      </c>
      <c r="I244" s="3">
        <f>IFERROR(__xludf.DUMMYFUNCTION("""COMPUTED_VALUE"""),0.0)</f>
        <v>0</v>
      </c>
      <c r="J244" s="3">
        <f>IFERROR(__xludf.DUMMYFUNCTION("""COMPUTED_VALUE"""),0.0)</f>
        <v>0</v>
      </c>
      <c r="K244" s="3">
        <f>IFERROR(__xludf.DUMMYFUNCTION("""COMPUTED_VALUE"""),0.0)</f>
        <v>0</v>
      </c>
      <c r="L244" s="3">
        <f>IFERROR(__xludf.DUMMYFUNCTION("""COMPUTED_VALUE"""),0.0)</f>
        <v>0</v>
      </c>
      <c r="M244" s="3">
        <f>IFERROR(__xludf.DUMMYFUNCTION("""COMPUTED_VALUE"""),0.0)</f>
        <v>0</v>
      </c>
      <c r="N244" s="3">
        <f>IFERROR(__xludf.DUMMYFUNCTION("""COMPUTED_VALUE"""),0.0)</f>
        <v>0</v>
      </c>
      <c r="O244" s="3">
        <f>IFERROR(__xludf.DUMMYFUNCTION("""COMPUTED_VALUE"""),0.0)</f>
        <v>0</v>
      </c>
      <c r="P244" s="3">
        <f>IFERROR(__xludf.DUMMYFUNCTION("""COMPUTED_VALUE"""),0.0)</f>
        <v>0</v>
      </c>
      <c r="Q244" s="3">
        <f>IFERROR(__xludf.DUMMYFUNCTION("""COMPUTED_VALUE"""),0.0)</f>
        <v>0</v>
      </c>
      <c r="R244" s="3">
        <f>IFERROR(__xludf.DUMMYFUNCTION("""COMPUTED_VALUE"""),0.0)</f>
        <v>0</v>
      </c>
      <c r="S244" s="3">
        <f>IFERROR(__xludf.DUMMYFUNCTION("""COMPUTED_VALUE"""),0.0)</f>
        <v>0</v>
      </c>
      <c r="T244" s="3">
        <f>IFERROR(__xludf.DUMMYFUNCTION("""COMPUTED_VALUE"""),0.0)</f>
        <v>0</v>
      </c>
      <c r="U244" s="3">
        <f>IFERROR(__xludf.DUMMYFUNCTION("""COMPUTED_VALUE"""),0.0)</f>
        <v>0</v>
      </c>
      <c r="V244" s="3">
        <f>IFERROR(__xludf.DUMMYFUNCTION("""COMPUTED_VALUE"""),0.0)</f>
        <v>0</v>
      </c>
      <c r="W244" s="3">
        <f>IFERROR(__xludf.DUMMYFUNCTION("""COMPUTED_VALUE"""),0.0)</f>
        <v>0</v>
      </c>
      <c r="X244" s="3">
        <f>IFERROR(__xludf.DUMMYFUNCTION("""COMPUTED_VALUE"""),0.0)</f>
        <v>0</v>
      </c>
      <c r="Y244" s="3">
        <f>IFERROR(__xludf.DUMMYFUNCTION("""COMPUTED_VALUE"""),0.0)</f>
        <v>0</v>
      </c>
      <c r="Z244" s="3">
        <f>IFERROR(__xludf.DUMMYFUNCTION("""COMPUTED_VALUE"""),0.0)</f>
        <v>0</v>
      </c>
      <c r="AA244" s="3">
        <f>IFERROR(__xludf.DUMMYFUNCTION("""COMPUTED_VALUE"""),0.0)</f>
        <v>0</v>
      </c>
      <c r="AB244" s="3">
        <f>IFERROR(__xludf.DUMMYFUNCTION("""COMPUTED_VALUE"""),0.0)</f>
        <v>0</v>
      </c>
      <c r="AC244" s="3">
        <f>IFERROR(__xludf.DUMMYFUNCTION("""COMPUTED_VALUE"""),0.0)</f>
        <v>0</v>
      </c>
      <c r="AD244" s="3">
        <f>IFERROR(__xludf.DUMMYFUNCTION("""COMPUTED_VALUE"""),0.0)</f>
        <v>0</v>
      </c>
      <c r="AE244" s="3">
        <f>IFERROR(__xludf.DUMMYFUNCTION("""COMPUTED_VALUE"""),0.0)</f>
        <v>0</v>
      </c>
      <c r="AF244" s="3">
        <f>IFERROR(__xludf.DUMMYFUNCTION("""COMPUTED_VALUE"""),0.0)</f>
        <v>0</v>
      </c>
      <c r="AG244" s="3">
        <f>IFERROR(__xludf.DUMMYFUNCTION("""COMPUTED_VALUE"""),0.0)</f>
        <v>0</v>
      </c>
      <c r="AH244" s="3">
        <f>IFERROR(__xludf.DUMMYFUNCTION("""COMPUTED_VALUE"""),0.0)</f>
        <v>0</v>
      </c>
      <c r="AI244" s="3">
        <f>IFERROR(__xludf.DUMMYFUNCTION("""COMPUTED_VALUE"""),0.0)</f>
        <v>0</v>
      </c>
      <c r="AJ244" s="3">
        <f>IFERROR(__xludf.DUMMYFUNCTION("""COMPUTED_VALUE"""),0.0)</f>
        <v>0</v>
      </c>
      <c r="AK244" s="3">
        <f>IFERROR(__xludf.DUMMYFUNCTION("""COMPUTED_VALUE"""),0.0)</f>
        <v>0</v>
      </c>
      <c r="AL244" s="3">
        <f>IFERROR(__xludf.DUMMYFUNCTION("""COMPUTED_VALUE"""),0.0)</f>
        <v>0</v>
      </c>
      <c r="AM244" s="3">
        <f>IFERROR(__xludf.DUMMYFUNCTION("""COMPUTED_VALUE"""),0.0)</f>
        <v>0</v>
      </c>
      <c r="AN244" s="3">
        <f>IFERROR(__xludf.DUMMYFUNCTION("""COMPUTED_VALUE"""),0.0)</f>
        <v>0</v>
      </c>
      <c r="AO244" s="3">
        <f>IFERROR(__xludf.DUMMYFUNCTION("""COMPUTED_VALUE"""),0.0)</f>
        <v>0</v>
      </c>
      <c r="AP244" s="3">
        <f>IFERROR(__xludf.DUMMYFUNCTION("""COMPUTED_VALUE"""),0.0)</f>
        <v>0</v>
      </c>
      <c r="AQ244" s="3">
        <f>IFERROR(__xludf.DUMMYFUNCTION("""COMPUTED_VALUE"""),0.0)</f>
        <v>0</v>
      </c>
      <c r="AR244" s="3">
        <f>IFERROR(__xludf.DUMMYFUNCTION("""COMPUTED_VALUE"""),0.0)</f>
        <v>0</v>
      </c>
      <c r="AS244" s="3">
        <f>IFERROR(__xludf.DUMMYFUNCTION("""COMPUTED_VALUE"""),0.0)</f>
        <v>0</v>
      </c>
      <c r="AT244" s="3">
        <f>IFERROR(__xludf.DUMMYFUNCTION("""COMPUTED_VALUE"""),0.0)</f>
        <v>0</v>
      </c>
      <c r="AU244" s="3">
        <f>IFERROR(__xludf.DUMMYFUNCTION("""COMPUTED_VALUE"""),0.0)</f>
        <v>0</v>
      </c>
      <c r="AV244" s="3">
        <f>IFERROR(__xludf.DUMMYFUNCTION("""COMPUTED_VALUE"""),0.0)</f>
        <v>0</v>
      </c>
      <c r="AW244" s="3">
        <f>IFERROR(__xludf.DUMMYFUNCTION("""COMPUTED_VALUE"""),0.0)</f>
        <v>0</v>
      </c>
      <c r="AX244" s="3">
        <f>IFERROR(__xludf.DUMMYFUNCTION("""COMPUTED_VALUE"""),0.0)</f>
        <v>0</v>
      </c>
      <c r="AY244" s="3">
        <f>IFERROR(__xludf.DUMMYFUNCTION("""COMPUTED_VALUE"""),0.0)</f>
        <v>0</v>
      </c>
      <c r="AZ244" s="3">
        <f>IFERROR(__xludf.DUMMYFUNCTION("""COMPUTED_VALUE"""),0.0)</f>
        <v>0</v>
      </c>
      <c r="BA244" s="3">
        <f>IFERROR(__xludf.DUMMYFUNCTION("""COMPUTED_VALUE"""),0.0)</f>
        <v>0</v>
      </c>
      <c r="BB244" s="3">
        <f>IFERROR(__xludf.DUMMYFUNCTION("""COMPUTED_VALUE"""),0.0)</f>
        <v>0</v>
      </c>
      <c r="BC244" s="3">
        <f>IFERROR(__xludf.DUMMYFUNCTION("""COMPUTED_VALUE"""),0.0)</f>
        <v>0</v>
      </c>
      <c r="BD244" s="3">
        <f>IFERROR(__xludf.DUMMYFUNCTION("""COMPUTED_VALUE"""),0.0)</f>
        <v>0</v>
      </c>
      <c r="BE244" s="3">
        <f>IFERROR(__xludf.DUMMYFUNCTION("""COMPUTED_VALUE"""),0.0)</f>
        <v>0</v>
      </c>
      <c r="BF244" s="3">
        <f>IFERROR(__xludf.DUMMYFUNCTION("""COMPUTED_VALUE"""),0.0)</f>
        <v>0</v>
      </c>
      <c r="BG244" s="3">
        <f>IFERROR(__xludf.DUMMYFUNCTION("""COMPUTED_VALUE"""),0.0)</f>
        <v>0</v>
      </c>
      <c r="BH244" s="3">
        <f>IFERROR(__xludf.DUMMYFUNCTION("""COMPUTED_VALUE"""),0.0)</f>
        <v>0</v>
      </c>
      <c r="BI244" s="3">
        <f>IFERROR(__xludf.DUMMYFUNCTION("""COMPUTED_VALUE"""),0.0)</f>
        <v>0</v>
      </c>
      <c r="BJ244" s="3">
        <f>IFERROR(__xludf.DUMMYFUNCTION("""COMPUTED_VALUE"""),0.0)</f>
        <v>0</v>
      </c>
      <c r="BK244" s="3">
        <f>IFERROR(__xludf.DUMMYFUNCTION("""COMPUTED_VALUE"""),0.0)</f>
        <v>0</v>
      </c>
      <c r="BL244" s="3">
        <f>IFERROR(__xludf.DUMMYFUNCTION("""COMPUTED_VALUE"""),0.0)</f>
        <v>0</v>
      </c>
      <c r="BM244" s="3">
        <f>IFERROR(__xludf.DUMMYFUNCTION("""COMPUTED_VALUE"""),0.0)</f>
        <v>0</v>
      </c>
      <c r="BN244" s="3">
        <f>IFERROR(__xludf.DUMMYFUNCTION("""COMPUTED_VALUE"""),0.0)</f>
        <v>0</v>
      </c>
      <c r="BO244" s="3">
        <f>IFERROR(__xludf.DUMMYFUNCTION("""COMPUTED_VALUE"""),0.0)</f>
        <v>0</v>
      </c>
      <c r="BP244" s="3">
        <f>IFERROR(__xludf.DUMMYFUNCTION("""COMPUTED_VALUE"""),0.0)</f>
        <v>0</v>
      </c>
      <c r="BQ244" s="3">
        <f>IFERROR(__xludf.DUMMYFUNCTION("""COMPUTED_VALUE"""),0.0)</f>
        <v>0</v>
      </c>
      <c r="BR244" s="3">
        <f>IFERROR(__xludf.DUMMYFUNCTION("""COMPUTED_VALUE"""),0.0)</f>
        <v>0</v>
      </c>
      <c r="BS244" s="3">
        <f>IFERROR(__xludf.DUMMYFUNCTION("""COMPUTED_VALUE"""),0.0)</f>
        <v>0</v>
      </c>
      <c r="BT244" s="3">
        <f>IFERROR(__xludf.DUMMYFUNCTION("""COMPUTED_VALUE"""),0.0)</f>
        <v>0</v>
      </c>
      <c r="BU244" s="3">
        <f>IFERROR(__xludf.DUMMYFUNCTION("""COMPUTED_VALUE"""),0.0)</f>
        <v>0</v>
      </c>
      <c r="BV244" s="3">
        <f>IFERROR(__xludf.DUMMYFUNCTION("""COMPUTED_VALUE"""),0.0)</f>
        <v>0</v>
      </c>
      <c r="BW244" s="3">
        <f>IFERROR(__xludf.DUMMYFUNCTION("""COMPUTED_VALUE"""),0.0)</f>
        <v>0</v>
      </c>
      <c r="BX244" s="3">
        <f>IFERROR(__xludf.DUMMYFUNCTION("""COMPUTED_VALUE"""),0.0)</f>
        <v>0</v>
      </c>
      <c r="BY244" s="3">
        <f>IFERROR(__xludf.DUMMYFUNCTION("""COMPUTED_VALUE"""),0.0)</f>
        <v>0</v>
      </c>
      <c r="BZ244" s="3">
        <f>IFERROR(__xludf.DUMMYFUNCTION("""COMPUTED_VALUE"""),0.0)</f>
        <v>0</v>
      </c>
      <c r="CA244" s="3">
        <f>IFERROR(__xludf.DUMMYFUNCTION("""COMPUTED_VALUE"""),0.0)</f>
        <v>0</v>
      </c>
      <c r="CB244" s="3">
        <f>IFERROR(__xludf.DUMMYFUNCTION("""COMPUTED_VALUE"""),0.0)</f>
        <v>0</v>
      </c>
    </row>
    <row r="245">
      <c r="A245" s="3" t="str">
        <f>IFERROR(__xludf.DUMMYFUNCTION("""COMPUTED_VALUE"""),"")</f>
        <v/>
      </c>
      <c r="B245" s="3" t="str">
        <f>IFERROR(__xludf.DUMMYFUNCTION("""COMPUTED_VALUE"""),"Malawi")</f>
        <v>Malawi</v>
      </c>
      <c r="C245" s="3">
        <f>IFERROR(__xludf.DUMMYFUNCTION("""COMPUTED_VALUE"""),-13.2543079999999)</f>
        <v>-13.254308</v>
      </c>
      <c r="D245" s="3">
        <f>IFERROR(__xludf.DUMMYFUNCTION("""COMPUTED_VALUE"""),34.301525)</f>
        <v>34.301525</v>
      </c>
      <c r="E245" s="3">
        <f>IFERROR(__xludf.DUMMYFUNCTION("""COMPUTED_VALUE"""),0.0)</f>
        <v>0</v>
      </c>
      <c r="F245" s="3">
        <f>IFERROR(__xludf.DUMMYFUNCTION("""COMPUTED_VALUE"""),0.0)</f>
        <v>0</v>
      </c>
      <c r="G245" s="3">
        <f>IFERROR(__xludf.DUMMYFUNCTION("""COMPUTED_VALUE"""),0.0)</f>
        <v>0</v>
      </c>
      <c r="H245" s="3">
        <f>IFERROR(__xludf.DUMMYFUNCTION("""COMPUTED_VALUE"""),0.0)</f>
        <v>0</v>
      </c>
      <c r="I245" s="3">
        <f>IFERROR(__xludf.DUMMYFUNCTION("""COMPUTED_VALUE"""),0.0)</f>
        <v>0</v>
      </c>
      <c r="J245" s="3">
        <f>IFERROR(__xludf.DUMMYFUNCTION("""COMPUTED_VALUE"""),0.0)</f>
        <v>0</v>
      </c>
      <c r="K245" s="3">
        <f>IFERROR(__xludf.DUMMYFUNCTION("""COMPUTED_VALUE"""),0.0)</f>
        <v>0</v>
      </c>
      <c r="L245" s="3">
        <f>IFERROR(__xludf.DUMMYFUNCTION("""COMPUTED_VALUE"""),0.0)</f>
        <v>0</v>
      </c>
      <c r="M245" s="3">
        <f>IFERROR(__xludf.DUMMYFUNCTION("""COMPUTED_VALUE"""),0.0)</f>
        <v>0</v>
      </c>
      <c r="N245" s="3">
        <f>IFERROR(__xludf.DUMMYFUNCTION("""COMPUTED_VALUE"""),0.0)</f>
        <v>0</v>
      </c>
      <c r="O245" s="3">
        <f>IFERROR(__xludf.DUMMYFUNCTION("""COMPUTED_VALUE"""),0.0)</f>
        <v>0</v>
      </c>
      <c r="P245" s="3">
        <f>IFERROR(__xludf.DUMMYFUNCTION("""COMPUTED_VALUE"""),0.0)</f>
        <v>0</v>
      </c>
      <c r="Q245" s="3">
        <f>IFERROR(__xludf.DUMMYFUNCTION("""COMPUTED_VALUE"""),0.0)</f>
        <v>0</v>
      </c>
      <c r="R245" s="3">
        <f>IFERROR(__xludf.DUMMYFUNCTION("""COMPUTED_VALUE"""),0.0)</f>
        <v>0</v>
      </c>
      <c r="S245" s="3">
        <f>IFERROR(__xludf.DUMMYFUNCTION("""COMPUTED_VALUE"""),0.0)</f>
        <v>0</v>
      </c>
      <c r="T245" s="3">
        <f>IFERROR(__xludf.DUMMYFUNCTION("""COMPUTED_VALUE"""),0.0)</f>
        <v>0</v>
      </c>
      <c r="U245" s="3">
        <f>IFERROR(__xludf.DUMMYFUNCTION("""COMPUTED_VALUE"""),0.0)</f>
        <v>0</v>
      </c>
      <c r="V245" s="3">
        <f>IFERROR(__xludf.DUMMYFUNCTION("""COMPUTED_VALUE"""),0.0)</f>
        <v>0</v>
      </c>
      <c r="W245" s="3">
        <f>IFERROR(__xludf.DUMMYFUNCTION("""COMPUTED_VALUE"""),0.0)</f>
        <v>0</v>
      </c>
      <c r="X245" s="3">
        <f>IFERROR(__xludf.DUMMYFUNCTION("""COMPUTED_VALUE"""),0.0)</f>
        <v>0</v>
      </c>
      <c r="Y245" s="3">
        <f>IFERROR(__xludf.DUMMYFUNCTION("""COMPUTED_VALUE"""),0.0)</f>
        <v>0</v>
      </c>
      <c r="Z245" s="3">
        <f>IFERROR(__xludf.DUMMYFUNCTION("""COMPUTED_VALUE"""),0.0)</f>
        <v>0</v>
      </c>
      <c r="AA245" s="3">
        <f>IFERROR(__xludf.DUMMYFUNCTION("""COMPUTED_VALUE"""),0.0)</f>
        <v>0</v>
      </c>
      <c r="AB245" s="3">
        <f>IFERROR(__xludf.DUMMYFUNCTION("""COMPUTED_VALUE"""),0.0)</f>
        <v>0</v>
      </c>
      <c r="AC245" s="3">
        <f>IFERROR(__xludf.DUMMYFUNCTION("""COMPUTED_VALUE"""),0.0)</f>
        <v>0</v>
      </c>
      <c r="AD245" s="3">
        <f>IFERROR(__xludf.DUMMYFUNCTION("""COMPUTED_VALUE"""),0.0)</f>
        <v>0</v>
      </c>
      <c r="AE245" s="3">
        <f>IFERROR(__xludf.DUMMYFUNCTION("""COMPUTED_VALUE"""),0.0)</f>
        <v>0</v>
      </c>
      <c r="AF245" s="3">
        <f>IFERROR(__xludf.DUMMYFUNCTION("""COMPUTED_VALUE"""),0.0)</f>
        <v>0</v>
      </c>
      <c r="AG245" s="3">
        <f>IFERROR(__xludf.DUMMYFUNCTION("""COMPUTED_VALUE"""),0.0)</f>
        <v>0</v>
      </c>
      <c r="AH245" s="3">
        <f>IFERROR(__xludf.DUMMYFUNCTION("""COMPUTED_VALUE"""),0.0)</f>
        <v>0</v>
      </c>
      <c r="AI245" s="3">
        <f>IFERROR(__xludf.DUMMYFUNCTION("""COMPUTED_VALUE"""),0.0)</f>
        <v>0</v>
      </c>
      <c r="AJ245" s="3">
        <f>IFERROR(__xludf.DUMMYFUNCTION("""COMPUTED_VALUE"""),0.0)</f>
        <v>0</v>
      </c>
      <c r="AK245" s="3">
        <f>IFERROR(__xludf.DUMMYFUNCTION("""COMPUTED_VALUE"""),0.0)</f>
        <v>0</v>
      </c>
      <c r="AL245" s="3">
        <f>IFERROR(__xludf.DUMMYFUNCTION("""COMPUTED_VALUE"""),0.0)</f>
        <v>0</v>
      </c>
      <c r="AM245" s="3">
        <f>IFERROR(__xludf.DUMMYFUNCTION("""COMPUTED_VALUE"""),0.0)</f>
        <v>0</v>
      </c>
      <c r="AN245" s="3">
        <f>IFERROR(__xludf.DUMMYFUNCTION("""COMPUTED_VALUE"""),0.0)</f>
        <v>0</v>
      </c>
      <c r="AO245" s="3">
        <f>IFERROR(__xludf.DUMMYFUNCTION("""COMPUTED_VALUE"""),0.0)</f>
        <v>0</v>
      </c>
      <c r="AP245" s="3">
        <f>IFERROR(__xludf.DUMMYFUNCTION("""COMPUTED_VALUE"""),0.0)</f>
        <v>0</v>
      </c>
      <c r="AQ245" s="3">
        <f>IFERROR(__xludf.DUMMYFUNCTION("""COMPUTED_VALUE"""),0.0)</f>
        <v>0</v>
      </c>
      <c r="AR245" s="3">
        <f>IFERROR(__xludf.DUMMYFUNCTION("""COMPUTED_VALUE"""),0.0)</f>
        <v>0</v>
      </c>
      <c r="AS245" s="3">
        <f>IFERROR(__xludf.DUMMYFUNCTION("""COMPUTED_VALUE"""),0.0)</f>
        <v>0</v>
      </c>
      <c r="AT245" s="3">
        <f>IFERROR(__xludf.DUMMYFUNCTION("""COMPUTED_VALUE"""),0.0)</f>
        <v>0</v>
      </c>
      <c r="AU245" s="3">
        <f>IFERROR(__xludf.DUMMYFUNCTION("""COMPUTED_VALUE"""),0.0)</f>
        <v>0</v>
      </c>
      <c r="AV245" s="3">
        <f>IFERROR(__xludf.DUMMYFUNCTION("""COMPUTED_VALUE"""),0.0)</f>
        <v>0</v>
      </c>
      <c r="AW245" s="3">
        <f>IFERROR(__xludf.DUMMYFUNCTION("""COMPUTED_VALUE"""),0.0)</f>
        <v>0</v>
      </c>
      <c r="AX245" s="3">
        <f>IFERROR(__xludf.DUMMYFUNCTION("""COMPUTED_VALUE"""),0.0)</f>
        <v>0</v>
      </c>
      <c r="AY245" s="3">
        <f>IFERROR(__xludf.DUMMYFUNCTION("""COMPUTED_VALUE"""),0.0)</f>
        <v>0</v>
      </c>
      <c r="AZ245" s="3">
        <f>IFERROR(__xludf.DUMMYFUNCTION("""COMPUTED_VALUE"""),0.0)</f>
        <v>0</v>
      </c>
      <c r="BA245" s="3">
        <f>IFERROR(__xludf.DUMMYFUNCTION("""COMPUTED_VALUE"""),0.0)</f>
        <v>0</v>
      </c>
      <c r="BB245" s="3">
        <f>IFERROR(__xludf.DUMMYFUNCTION("""COMPUTED_VALUE"""),0.0)</f>
        <v>0</v>
      </c>
      <c r="BC245" s="3">
        <f>IFERROR(__xludf.DUMMYFUNCTION("""COMPUTED_VALUE"""),0.0)</f>
        <v>0</v>
      </c>
      <c r="BD245" s="3">
        <f>IFERROR(__xludf.DUMMYFUNCTION("""COMPUTED_VALUE"""),0.0)</f>
        <v>0</v>
      </c>
      <c r="BE245" s="3">
        <f>IFERROR(__xludf.DUMMYFUNCTION("""COMPUTED_VALUE"""),0.0)</f>
        <v>0</v>
      </c>
      <c r="BF245" s="3">
        <f>IFERROR(__xludf.DUMMYFUNCTION("""COMPUTED_VALUE"""),0.0)</f>
        <v>0</v>
      </c>
      <c r="BG245" s="3">
        <f>IFERROR(__xludf.DUMMYFUNCTION("""COMPUTED_VALUE"""),0.0)</f>
        <v>0</v>
      </c>
      <c r="BH245" s="3">
        <f>IFERROR(__xludf.DUMMYFUNCTION("""COMPUTED_VALUE"""),0.0)</f>
        <v>0</v>
      </c>
      <c r="BI245" s="3">
        <f>IFERROR(__xludf.DUMMYFUNCTION("""COMPUTED_VALUE"""),0.0)</f>
        <v>0</v>
      </c>
      <c r="BJ245" s="3">
        <f>IFERROR(__xludf.DUMMYFUNCTION("""COMPUTED_VALUE"""),0.0)</f>
        <v>0</v>
      </c>
      <c r="BK245" s="3">
        <f>IFERROR(__xludf.DUMMYFUNCTION("""COMPUTED_VALUE"""),0.0)</f>
        <v>0</v>
      </c>
      <c r="BL245" s="3">
        <f>IFERROR(__xludf.DUMMYFUNCTION("""COMPUTED_VALUE"""),0.0)</f>
        <v>0</v>
      </c>
      <c r="BM245" s="3">
        <f>IFERROR(__xludf.DUMMYFUNCTION("""COMPUTED_VALUE"""),0.0)</f>
        <v>0</v>
      </c>
      <c r="BN245" s="3">
        <f>IFERROR(__xludf.DUMMYFUNCTION("""COMPUTED_VALUE"""),0.0)</f>
        <v>0</v>
      </c>
      <c r="BO245" s="3">
        <f>IFERROR(__xludf.DUMMYFUNCTION("""COMPUTED_VALUE"""),0.0)</f>
        <v>0</v>
      </c>
      <c r="BP245" s="3">
        <f>IFERROR(__xludf.DUMMYFUNCTION("""COMPUTED_VALUE"""),0.0)</f>
        <v>0</v>
      </c>
      <c r="BQ245" s="3">
        <f>IFERROR(__xludf.DUMMYFUNCTION("""COMPUTED_VALUE"""),0.0)</f>
        <v>0</v>
      </c>
      <c r="BR245" s="3">
        <f>IFERROR(__xludf.DUMMYFUNCTION("""COMPUTED_VALUE"""),0.0)</f>
        <v>0</v>
      </c>
      <c r="BS245" s="3">
        <f>IFERROR(__xludf.DUMMYFUNCTION("""COMPUTED_VALUE"""),0.0)</f>
        <v>0</v>
      </c>
      <c r="BT245" s="3">
        <f>IFERROR(__xludf.DUMMYFUNCTION("""COMPUTED_VALUE"""),0.0)</f>
        <v>0</v>
      </c>
      <c r="BU245" s="3">
        <f>IFERROR(__xludf.DUMMYFUNCTION("""COMPUTED_VALUE"""),0.0)</f>
        <v>0</v>
      </c>
      <c r="BV245" s="3">
        <f>IFERROR(__xludf.DUMMYFUNCTION("""COMPUTED_VALUE"""),0.0)</f>
        <v>0</v>
      </c>
      <c r="BW245" s="3">
        <f>IFERROR(__xludf.DUMMYFUNCTION("""COMPUTED_VALUE"""),0.0)</f>
        <v>0</v>
      </c>
      <c r="BX245" s="3">
        <f>IFERROR(__xludf.DUMMYFUNCTION("""COMPUTED_VALUE"""),0.0)</f>
        <v>0</v>
      </c>
      <c r="BY245" s="3">
        <f>IFERROR(__xludf.DUMMYFUNCTION("""COMPUTED_VALUE"""),0.0)</f>
        <v>0</v>
      </c>
      <c r="BZ245" s="3">
        <f>IFERROR(__xludf.DUMMYFUNCTION("""COMPUTED_VALUE"""),0.0)</f>
        <v>0</v>
      </c>
      <c r="CA245" s="3">
        <f>IFERROR(__xludf.DUMMYFUNCTION("""COMPUTED_VALUE"""),0.0)</f>
        <v>0</v>
      </c>
      <c r="CB245" s="3">
        <f>IFERROR(__xludf.DUMMYFUNCTION("""COMPUTED_VALUE"""),0.0)</f>
        <v>0</v>
      </c>
    </row>
    <row r="246">
      <c r="A246" s="3" t="str">
        <f>IFERROR(__xludf.DUMMYFUNCTION("""COMPUTED_VALUE"""),"Falkland Islands (Islas Malvinas)")</f>
        <v>Falkland Islands (Islas Malvinas)</v>
      </c>
      <c r="B246" s="3" t="str">
        <f>IFERROR(__xludf.DUMMYFUNCTION("""COMPUTED_VALUE"""),"United Kingdom")</f>
        <v>United Kingdom</v>
      </c>
      <c r="C246" s="3">
        <f>IFERROR(__xludf.DUMMYFUNCTION("""COMPUTED_VALUE"""),-51.7963)</f>
        <v>-51.7963</v>
      </c>
      <c r="D246" s="3">
        <f>IFERROR(__xludf.DUMMYFUNCTION("""COMPUTED_VALUE"""),-59.5236)</f>
        <v>-59.5236</v>
      </c>
      <c r="E246" s="3">
        <f>IFERROR(__xludf.DUMMYFUNCTION("""COMPUTED_VALUE"""),0.0)</f>
        <v>0</v>
      </c>
      <c r="F246" s="3">
        <f>IFERROR(__xludf.DUMMYFUNCTION("""COMPUTED_VALUE"""),0.0)</f>
        <v>0</v>
      </c>
      <c r="G246" s="3">
        <f>IFERROR(__xludf.DUMMYFUNCTION("""COMPUTED_VALUE"""),0.0)</f>
        <v>0</v>
      </c>
      <c r="H246" s="3">
        <f>IFERROR(__xludf.DUMMYFUNCTION("""COMPUTED_VALUE"""),0.0)</f>
        <v>0</v>
      </c>
      <c r="I246" s="3">
        <f>IFERROR(__xludf.DUMMYFUNCTION("""COMPUTED_VALUE"""),0.0)</f>
        <v>0</v>
      </c>
      <c r="J246" s="3">
        <f>IFERROR(__xludf.DUMMYFUNCTION("""COMPUTED_VALUE"""),0.0)</f>
        <v>0</v>
      </c>
      <c r="K246" s="3">
        <f>IFERROR(__xludf.DUMMYFUNCTION("""COMPUTED_VALUE"""),0.0)</f>
        <v>0</v>
      </c>
      <c r="L246" s="3">
        <f>IFERROR(__xludf.DUMMYFUNCTION("""COMPUTED_VALUE"""),0.0)</f>
        <v>0</v>
      </c>
      <c r="M246" s="3">
        <f>IFERROR(__xludf.DUMMYFUNCTION("""COMPUTED_VALUE"""),0.0)</f>
        <v>0</v>
      </c>
      <c r="N246" s="3">
        <f>IFERROR(__xludf.DUMMYFUNCTION("""COMPUTED_VALUE"""),0.0)</f>
        <v>0</v>
      </c>
      <c r="O246" s="3">
        <f>IFERROR(__xludf.DUMMYFUNCTION("""COMPUTED_VALUE"""),0.0)</f>
        <v>0</v>
      </c>
      <c r="P246" s="3">
        <f>IFERROR(__xludf.DUMMYFUNCTION("""COMPUTED_VALUE"""),0.0)</f>
        <v>0</v>
      </c>
      <c r="Q246" s="3">
        <f>IFERROR(__xludf.DUMMYFUNCTION("""COMPUTED_VALUE"""),0.0)</f>
        <v>0</v>
      </c>
      <c r="R246" s="3">
        <f>IFERROR(__xludf.DUMMYFUNCTION("""COMPUTED_VALUE"""),0.0)</f>
        <v>0</v>
      </c>
      <c r="S246" s="3">
        <f>IFERROR(__xludf.DUMMYFUNCTION("""COMPUTED_VALUE"""),0.0)</f>
        <v>0</v>
      </c>
      <c r="T246" s="3">
        <f>IFERROR(__xludf.DUMMYFUNCTION("""COMPUTED_VALUE"""),0.0)</f>
        <v>0</v>
      </c>
      <c r="U246" s="3">
        <f>IFERROR(__xludf.DUMMYFUNCTION("""COMPUTED_VALUE"""),0.0)</f>
        <v>0</v>
      </c>
      <c r="V246" s="3">
        <f>IFERROR(__xludf.DUMMYFUNCTION("""COMPUTED_VALUE"""),0.0)</f>
        <v>0</v>
      </c>
      <c r="W246" s="3">
        <f>IFERROR(__xludf.DUMMYFUNCTION("""COMPUTED_VALUE"""),0.0)</f>
        <v>0</v>
      </c>
      <c r="X246" s="3">
        <f>IFERROR(__xludf.DUMMYFUNCTION("""COMPUTED_VALUE"""),0.0)</f>
        <v>0</v>
      </c>
      <c r="Y246" s="3">
        <f>IFERROR(__xludf.DUMMYFUNCTION("""COMPUTED_VALUE"""),0.0)</f>
        <v>0</v>
      </c>
      <c r="Z246" s="3">
        <f>IFERROR(__xludf.DUMMYFUNCTION("""COMPUTED_VALUE"""),0.0)</f>
        <v>0</v>
      </c>
      <c r="AA246" s="3">
        <f>IFERROR(__xludf.DUMMYFUNCTION("""COMPUTED_VALUE"""),0.0)</f>
        <v>0</v>
      </c>
      <c r="AB246" s="3">
        <f>IFERROR(__xludf.DUMMYFUNCTION("""COMPUTED_VALUE"""),0.0)</f>
        <v>0</v>
      </c>
      <c r="AC246" s="3">
        <f>IFERROR(__xludf.DUMMYFUNCTION("""COMPUTED_VALUE"""),0.0)</f>
        <v>0</v>
      </c>
      <c r="AD246" s="3">
        <f>IFERROR(__xludf.DUMMYFUNCTION("""COMPUTED_VALUE"""),0.0)</f>
        <v>0</v>
      </c>
      <c r="AE246" s="3">
        <f>IFERROR(__xludf.DUMMYFUNCTION("""COMPUTED_VALUE"""),0.0)</f>
        <v>0</v>
      </c>
      <c r="AF246" s="3">
        <f>IFERROR(__xludf.DUMMYFUNCTION("""COMPUTED_VALUE"""),0.0)</f>
        <v>0</v>
      </c>
      <c r="AG246" s="3">
        <f>IFERROR(__xludf.DUMMYFUNCTION("""COMPUTED_VALUE"""),0.0)</f>
        <v>0</v>
      </c>
      <c r="AH246" s="3">
        <f>IFERROR(__xludf.DUMMYFUNCTION("""COMPUTED_VALUE"""),0.0)</f>
        <v>0</v>
      </c>
      <c r="AI246" s="3">
        <f>IFERROR(__xludf.DUMMYFUNCTION("""COMPUTED_VALUE"""),0.0)</f>
        <v>0</v>
      </c>
      <c r="AJ246" s="3">
        <f>IFERROR(__xludf.DUMMYFUNCTION("""COMPUTED_VALUE"""),0.0)</f>
        <v>0</v>
      </c>
      <c r="AK246" s="3">
        <f>IFERROR(__xludf.DUMMYFUNCTION("""COMPUTED_VALUE"""),0.0)</f>
        <v>0</v>
      </c>
      <c r="AL246" s="3">
        <f>IFERROR(__xludf.DUMMYFUNCTION("""COMPUTED_VALUE"""),0.0)</f>
        <v>0</v>
      </c>
      <c r="AM246" s="3">
        <f>IFERROR(__xludf.DUMMYFUNCTION("""COMPUTED_VALUE"""),0.0)</f>
        <v>0</v>
      </c>
      <c r="AN246" s="3">
        <f>IFERROR(__xludf.DUMMYFUNCTION("""COMPUTED_VALUE"""),0.0)</f>
        <v>0</v>
      </c>
      <c r="AO246" s="3">
        <f>IFERROR(__xludf.DUMMYFUNCTION("""COMPUTED_VALUE"""),0.0)</f>
        <v>0</v>
      </c>
      <c r="AP246" s="3">
        <f>IFERROR(__xludf.DUMMYFUNCTION("""COMPUTED_VALUE"""),0.0)</f>
        <v>0</v>
      </c>
      <c r="AQ246" s="3">
        <f>IFERROR(__xludf.DUMMYFUNCTION("""COMPUTED_VALUE"""),0.0)</f>
        <v>0</v>
      </c>
      <c r="AR246" s="3">
        <f>IFERROR(__xludf.DUMMYFUNCTION("""COMPUTED_VALUE"""),0.0)</f>
        <v>0</v>
      </c>
      <c r="AS246" s="3">
        <f>IFERROR(__xludf.DUMMYFUNCTION("""COMPUTED_VALUE"""),0.0)</f>
        <v>0</v>
      </c>
      <c r="AT246" s="3">
        <f>IFERROR(__xludf.DUMMYFUNCTION("""COMPUTED_VALUE"""),0.0)</f>
        <v>0</v>
      </c>
      <c r="AU246" s="3">
        <f>IFERROR(__xludf.DUMMYFUNCTION("""COMPUTED_VALUE"""),0.0)</f>
        <v>0</v>
      </c>
      <c r="AV246" s="3">
        <f>IFERROR(__xludf.DUMMYFUNCTION("""COMPUTED_VALUE"""),0.0)</f>
        <v>0</v>
      </c>
      <c r="AW246" s="3">
        <f>IFERROR(__xludf.DUMMYFUNCTION("""COMPUTED_VALUE"""),0.0)</f>
        <v>0</v>
      </c>
      <c r="AX246" s="3">
        <f>IFERROR(__xludf.DUMMYFUNCTION("""COMPUTED_VALUE"""),0.0)</f>
        <v>0</v>
      </c>
      <c r="AY246" s="3">
        <f>IFERROR(__xludf.DUMMYFUNCTION("""COMPUTED_VALUE"""),0.0)</f>
        <v>0</v>
      </c>
      <c r="AZ246" s="3">
        <f>IFERROR(__xludf.DUMMYFUNCTION("""COMPUTED_VALUE"""),0.0)</f>
        <v>0</v>
      </c>
      <c r="BA246" s="3">
        <f>IFERROR(__xludf.DUMMYFUNCTION("""COMPUTED_VALUE"""),0.0)</f>
        <v>0</v>
      </c>
      <c r="BB246" s="3">
        <f>IFERROR(__xludf.DUMMYFUNCTION("""COMPUTED_VALUE"""),0.0)</f>
        <v>0</v>
      </c>
      <c r="BC246" s="3">
        <f>IFERROR(__xludf.DUMMYFUNCTION("""COMPUTED_VALUE"""),0.0)</f>
        <v>0</v>
      </c>
      <c r="BD246" s="3">
        <f>IFERROR(__xludf.DUMMYFUNCTION("""COMPUTED_VALUE"""),0.0)</f>
        <v>0</v>
      </c>
      <c r="BE246" s="3">
        <f>IFERROR(__xludf.DUMMYFUNCTION("""COMPUTED_VALUE"""),0.0)</f>
        <v>0</v>
      </c>
      <c r="BF246" s="3">
        <f>IFERROR(__xludf.DUMMYFUNCTION("""COMPUTED_VALUE"""),0.0)</f>
        <v>0</v>
      </c>
      <c r="BG246" s="3">
        <f>IFERROR(__xludf.DUMMYFUNCTION("""COMPUTED_VALUE"""),0.0)</f>
        <v>0</v>
      </c>
      <c r="BH246" s="3">
        <f>IFERROR(__xludf.DUMMYFUNCTION("""COMPUTED_VALUE"""),0.0)</f>
        <v>0</v>
      </c>
      <c r="BI246" s="3">
        <f>IFERROR(__xludf.DUMMYFUNCTION("""COMPUTED_VALUE"""),0.0)</f>
        <v>0</v>
      </c>
      <c r="BJ246" s="3">
        <f>IFERROR(__xludf.DUMMYFUNCTION("""COMPUTED_VALUE"""),0.0)</f>
        <v>0</v>
      </c>
      <c r="BK246" s="3">
        <f>IFERROR(__xludf.DUMMYFUNCTION("""COMPUTED_VALUE"""),0.0)</f>
        <v>0</v>
      </c>
      <c r="BL246" s="3">
        <f>IFERROR(__xludf.DUMMYFUNCTION("""COMPUTED_VALUE"""),0.0)</f>
        <v>0</v>
      </c>
      <c r="BM246" s="3">
        <f>IFERROR(__xludf.DUMMYFUNCTION("""COMPUTED_VALUE"""),0.0)</f>
        <v>0</v>
      </c>
      <c r="BN246" s="3">
        <f>IFERROR(__xludf.DUMMYFUNCTION("""COMPUTED_VALUE"""),0.0)</f>
        <v>0</v>
      </c>
      <c r="BO246" s="3">
        <f>IFERROR(__xludf.DUMMYFUNCTION("""COMPUTED_VALUE"""),0.0)</f>
        <v>0</v>
      </c>
      <c r="BP246" s="3">
        <f>IFERROR(__xludf.DUMMYFUNCTION("""COMPUTED_VALUE"""),0.0)</f>
        <v>0</v>
      </c>
      <c r="BQ246" s="3">
        <f>IFERROR(__xludf.DUMMYFUNCTION("""COMPUTED_VALUE"""),0.0)</f>
        <v>0</v>
      </c>
      <c r="BR246" s="3">
        <f>IFERROR(__xludf.DUMMYFUNCTION("""COMPUTED_VALUE"""),0.0)</f>
        <v>0</v>
      </c>
      <c r="BS246" s="3">
        <f>IFERROR(__xludf.DUMMYFUNCTION("""COMPUTED_VALUE"""),0.0)</f>
        <v>0</v>
      </c>
      <c r="BT246" s="3">
        <f>IFERROR(__xludf.DUMMYFUNCTION("""COMPUTED_VALUE"""),0.0)</f>
        <v>0</v>
      </c>
      <c r="BU246" s="3">
        <f>IFERROR(__xludf.DUMMYFUNCTION("""COMPUTED_VALUE"""),0.0)</f>
        <v>0</v>
      </c>
      <c r="BV246" s="3">
        <f>IFERROR(__xludf.DUMMYFUNCTION("""COMPUTED_VALUE"""),0.0)</f>
        <v>0</v>
      </c>
      <c r="BW246" s="3">
        <f>IFERROR(__xludf.DUMMYFUNCTION("""COMPUTED_VALUE"""),0.0)</f>
        <v>0</v>
      </c>
      <c r="BX246" s="3">
        <f>IFERROR(__xludf.DUMMYFUNCTION("""COMPUTED_VALUE"""),0.0)</f>
        <v>0</v>
      </c>
      <c r="BY246" s="3">
        <f>IFERROR(__xludf.DUMMYFUNCTION("""COMPUTED_VALUE"""),0.0)</f>
        <v>0</v>
      </c>
      <c r="BZ246" s="3">
        <f>IFERROR(__xludf.DUMMYFUNCTION("""COMPUTED_VALUE"""),0.0)</f>
        <v>0</v>
      </c>
      <c r="CA246" s="3">
        <f>IFERROR(__xludf.DUMMYFUNCTION("""COMPUTED_VALUE"""),0.0)</f>
        <v>0</v>
      </c>
      <c r="CB246" s="3">
        <f>IFERROR(__xludf.DUMMYFUNCTION("""COMPUTED_VALUE"""),0.0)</f>
        <v>0</v>
      </c>
    </row>
    <row r="247">
      <c r="A247" s="3" t="str">
        <f>IFERROR(__xludf.DUMMYFUNCTION("""COMPUTED_VALUE"""),"Saint Pierre and Miquelon")</f>
        <v>Saint Pierre and Miquelon</v>
      </c>
      <c r="B247" s="3" t="str">
        <f>IFERROR(__xludf.DUMMYFUNCTION("""COMPUTED_VALUE"""),"France")</f>
        <v>France</v>
      </c>
      <c r="C247" s="3">
        <f>IFERROR(__xludf.DUMMYFUNCTION("""COMPUTED_VALUE"""),46.8852)</f>
        <v>46.8852</v>
      </c>
      <c r="D247" s="3">
        <f>IFERROR(__xludf.DUMMYFUNCTION("""COMPUTED_VALUE"""),-56.3159)</f>
        <v>-56.3159</v>
      </c>
      <c r="E247" s="3">
        <f>IFERROR(__xludf.DUMMYFUNCTION("""COMPUTED_VALUE"""),0.0)</f>
        <v>0</v>
      </c>
      <c r="F247" s="3">
        <f>IFERROR(__xludf.DUMMYFUNCTION("""COMPUTED_VALUE"""),0.0)</f>
        <v>0</v>
      </c>
      <c r="G247" s="3">
        <f>IFERROR(__xludf.DUMMYFUNCTION("""COMPUTED_VALUE"""),0.0)</f>
        <v>0</v>
      </c>
      <c r="H247" s="3">
        <f>IFERROR(__xludf.DUMMYFUNCTION("""COMPUTED_VALUE"""),0.0)</f>
        <v>0</v>
      </c>
      <c r="I247" s="3">
        <f>IFERROR(__xludf.DUMMYFUNCTION("""COMPUTED_VALUE"""),0.0)</f>
        <v>0</v>
      </c>
      <c r="J247" s="3">
        <f>IFERROR(__xludf.DUMMYFUNCTION("""COMPUTED_VALUE"""),0.0)</f>
        <v>0</v>
      </c>
      <c r="K247" s="3">
        <f>IFERROR(__xludf.DUMMYFUNCTION("""COMPUTED_VALUE"""),0.0)</f>
        <v>0</v>
      </c>
      <c r="L247" s="3">
        <f>IFERROR(__xludf.DUMMYFUNCTION("""COMPUTED_VALUE"""),0.0)</f>
        <v>0</v>
      </c>
      <c r="M247" s="3">
        <f>IFERROR(__xludf.DUMMYFUNCTION("""COMPUTED_VALUE"""),0.0)</f>
        <v>0</v>
      </c>
      <c r="N247" s="3">
        <f>IFERROR(__xludf.DUMMYFUNCTION("""COMPUTED_VALUE"""),0.0)</f>
        <v>0</v>
      </c>
      <c r="O247" s="3">
        <f>IFERROR(__xludf.DUMMYFUNCTION("""COMPUTED_VALUE"""),0.0)</f>
        <v>0</v>
      </c>
      <c r="P247" s="3">
        <f>IFERROR(__xludf.DUMMYFUNCTION("""COMPUTED_VALUE"""),0.0)</f>
        <v>0</v>
      </c>
      <c r="Q247" s="3">
        <f>IFERROR(__xludf.DUMMYFUNCTION("""COMPUTED_VALUE"""),0.0)</f>
        <v>0</v>
      </c>
      <c r="R247" s="3">
        <f>IFERROR(__xludf.DUMMYFUNCTION("""COMPUTED_VALUE"""),0.0)</f>
        <v>0</v>
      </c>
      <c r="S247" s="3">
        <f>IFERROR(__xludf.DUMMYFUNCTION("""COMPUTED_VALUE"""),0.0)</f>
        <v>0</v>
      </c>
      <c r="T247" s="3">
        <f>IFERROR(__xludf.DUMMYFUNCTION("""COMPUTED_VALUE"""),0.0)</f>
        <v>0</v>
      </c>
      <c r="U247" s="3">
        <f>IFERROR(__xludf.DUMMYFUNCTION("""COMPUTED_VALUE"""),0.0)</f>
        <v>0</v>
      </c>
      <c r="V247" s="3">
        <f>IFERROR(__xludf.DUMMYFUNCTION("""COMPUTED_VALUE"""),0.0)</f>
        <v>0</v>
      </c>
      <c r="W247" s="3">
        <f>IFERROR(__xludf.DUMMYFUNCTION("""COMPUTED_VALUE"""),0.0)</f>
        <v>0</v>
      </c>
      <c r="X247" s="3">
        <f>IFERROR(__xludf.DUMMYFUNCTION("""COMPUTED_VALUE"""),0.0)</f>
        <v>0</v>
      </c>
      <c r="Y247" s="3">
        <f>IFERROR(__xludf.DUMMYFUNCTION("""COMPUTED_VALUE"""),0.0)</f>
        <v>0</v>
      </c>
      <c r="Z247" s="3">
        <f>IFERROR(__xludf.DUMMYFUNCTION("""COMPUTED_VALUE"""),0.0)</f>
        <v>0</v>
      </c>
      <c r="AA247" s="3">
        <f>IFERROR(__xludf.DUMMYFUNCTION("""COMPUTED_VALUE"""),0.0)</f>
        <v>0</v>
      </c>
      <c r="AB247" s="3">
        <f>IFERROR(__xludf.DUMMYFUNCTION("""COMPUTED_VALUE"""),0.0)</f>
        <v>0</v>
      </c>
      <c r="AC247" s="3">
        <f>IFERROR(__xludf.DUMMYFUNCTION("""COMPUTED_VALUE"""),0.0)</f>
        <v>0</v>
      </c>
      <c r="AD247" s="3">
        <f>IFERROR(__xludf.DUMMYFUNCTION("""COMPUTED_VALUE"""),0.0)</f>
        <v>0</v>
      </c>
      <c r="AE247" s="3">
        <f>IFERROR(__xludf.DUMMYFUNCTION("""COMPUTED_VALUE"""),0.0)</f>
        <v>0</v>
      </c>
      <c r="AF247" s="3">
        <f>IFERROR(__xludf.DUMMYFUNCTION("""COMPUTED_VALUE"""),0.0)</f>
        <v>0</v>
      </c>
      <c r="AG247" s="3">
        <f>IFERROR(__xludf.DUMMYFUNCTION("""COMPUTED_VALUE"""),0.0)</f>
        <v>0</v>
      </c>
      <c r="AH247" s="3">
        <f>IFERROR(__xludf.DUMMYFUNCTION("""COMPUTED_VALUE"""),0.0)</f>
        <v>0</v>
      </c>
      <c r="AI247" s="3">
        <f>IFERROR(__xludf.DUMMYFUNCTION("""COMPUTED_VALUE"""),0.0)</f>
        <v>0</v>
      </c>
      <c r="AJ247" s="3">
        <f>IFERROR(__xludf.DUMMYFUNCTION("""COMPUTED_VALUE"""),0.0)</f>
        <v>0</v>
      </c>
      <c r="AK247" s="3">
        <f>IFERROR(__xludf.DUMMYFUNCTION("""COMPUTED_VALUE"""),0.0)</f>
        <v>0</v>
      </c>
      <c r="AL247" s="3">
        <f>IFERROR(__xludf.DUMMYFUNCTION("""COMPUTED_VALUE"""),0.0)</f>
        <v>0</v>
      </c>
      <c r="AM247" s="3">
        <f>IFERROR(__xludf.DUMMYFUNCTION("""COMPUTED_VALUE"""),0.0)</f>
        <v>0</v>
      </c>
      <c r="AN247" s="3">
        <f>IFERROR(__xludf.DUMMYFUNCTION("""COMPUTED_VALUE"""),0.0)</f>
        <v>0</v>
      </c>
      <c r="AO247" s="3">
        <f>IFERROR(__xludf.DUMMYFUNCTION("""COMPUTED_VALUE"""),0.0)</f>
        <v>0</v>
      </c>
      <c r="AP247" s="3">
        <f>IFERROR(__xludf.DUMMYFUNCTION("""COMPUTED_VALUE"""),0.0)</f>
        <v>0</v>
      </c>
      <c r="AQ247" s="3">
        <f>IFERROR(__xludf.DUMMYFUNCTION("""COMPUTED_VALUE"""),0.0)</f>
        <v>0</v>
      </c>
      <c r="AR247" s="3">
        <f>IFERROR(__xludf.DUMMYFUNCTION("""COMPUTED_VALUE"""),0.0)</f>
        <v>0</v>
      </c>
      <c r="AS247" s="3">
        <f>IFERROR(__xludf.DUMMYFUNCTION("""COMPUTED_VALUE"""),0.0)</f>
        <v>0</v>
      </c>
      <c r="AT247" s="3">
        <f>IFERROR(__xludf.DUMMYFUNCTION("""COMPUTED_VALUE"""),0.0)</f>
        <v>0</v>
      </c>
      <c r="AU247" s="3">
        <f>IFERROR(__xludf.DUMMYFUNCTION("""COMPUTED_VALUE"""),0.0)</f>
        <v>0</v>
      </c>
      <c r="AV247" s="3">
        <f>IFERROR(__xludf.DUMMYFUNCTION("""COMPUTED_VALUE"""),0.0)</f>
        <v>0</v>
      </c>
      <c r="AW247" s="3">
        <f>IFERROR(__xludf.DUMMYFUNCTION("""COMPUTED_VALUE"""),0.0)</f>
        <v>0</v>
      </c>
      <c r="AX247" s="3">
        <f>IFERROR(__xludf.DUMMYFUNCTION("""COMPUTED_VALUE"""),0.0)</f>
        <v>0</v>
      </c>
      <c r="AY247" s="3">
        <f>IFERROR(__xludf.DUMMYFUNCTION("""COMPUTED_VALUE"""),0.0)</f>
        <v>0</v>
      </c>
      <c r="AZ247" s="3">
        <f>IFERROR(__xludf.DUMMYFUNCTION("""COMPUTED_VALUE"""),0.0)</f>
        <v>0</v>
      </c>
      <c r="BA247" s="3">
        <f>IFERROR(__xludf.DUMMYFUNCTION("""COMPUTED_VALUE"""),0.0)</f>
        <v>0</v>
      </c>
      <c r="BB247" s="3">
        <f>IFERROR(__xludf.DUMMYFUNCTION("""COMPUTED_VALUE"""),0.0)</f>
        <v>0</v>
      </c>
      <c r="BC247" s="3">
        <f>IFERROR(__xludf.DUMMYFUNCTION("""COMPUTED_VALUE"""),0.0)</f>
        <v>0</v>
      </c>
      <c r="BD247" s="3">
        <f>IFERROR(__xludf.DUMMYFUNCTION("""COMPUTED_VALUE"""),0.0)</f>
        <v>0</v>
      </c>
      <c r="BE247" s="3">
        <f>IFERROR(__xludf.DUMMYFUNCTION("""COMPUTED_VALUE"""),0.0)</f>
        <v>0</v>
      </c>
      <c r="BF247" s="3">
        <f>IFERROR(__xludf.DUMMYFUNCTION("""COMPUTED_VALUE"""),0.0)</f>
        <v>0</v>
      </c>
      <c r="BG247" s="3">
        <f>IFERROR(__xludf.DUMMYFUNCTION("""COMPUTED_VALUE"""),0.0)</f>
        <v>0</v>
      </c>
      <c r="BH247" s="3">
        <f>IFERROR(__xludf.DUMMYFUNCTION("""COMPUTED_VALUE"""),0.0)</f>
        <v>0</v>
      </c>
      <c r="BI247" s="3">
        <f>IFERROR(__xludf.DUMMYFUNCTION("""COMPUTED_VALUE"""),0.0)</f>
        <v>0</v>
      </c>
      <c r="BJ247" s="3">
        <f>IFERROR(__xludf.DUMMYFUNCTION("""COMPUTED_VALUE"""),0.0)</f>
        <v>0</v>
      </c>
      <c r="BK247" s="3">
        <f>IFERROR(__xludf.DUMMYFUNCTION("""COMPUTED_VALUE"""),0.0)</f>
        <v>0</v>
      </c>
      <c r="BL247" s="3">
        <f>IFERROR(__xludf.DUMMYFUNCTION("""COMPUTED_VALUE"""),0.0)</f>
        <v>0</v>
      </c>
      <c r="BM247" s="3">
        <f>IFERROR(__xludf.DUMMYFUNCTION("""COMPUTED_VALUE"""),0.0)</f>
        <v>0</v>
      </c>
      <c r="BN247" s="3">
        <f>IFERROR(__xludf.DUMMYFUNCTION("""COMPUTED_VALUE"""),0.0)</f>
        <v>0</v>
      </c>
      <c r="BO247" s="3">
        <f>IFERROR(__xludf.DUMMYFUNCTION("""COMPUTED_VALUE"""),0.0)</f>
        <v>0</v>
      </c>
      <c r="BP247" s="3">
        <f>IFERROR(__xludf.DUMMYFUNCTION("""COMPUTED_VALUE"""),0.0)</f>
        <v>0</v>
      </c>
      <c r="BQ247" s="3">
        <f>IFERROR(__xludf.DUMMYFUNCTION("""COMPUTED_VALUE"""),0.0)</f>
        <v>0</v>
      </c>
      <c r="BR247" s="3">
        <f>IFERROR(__xludf.DUMMYFUNCTION("""COMPUTED_VALUE"""),0.0)</f>
        <v>0</v>
      </c>
      <c r="BS247" s="3">
        <f>IFERROR(__xludf.DUMMYFUNCTION("""COMPUTED_VALUE"""),0.0)</f>
        <v>0</v>
      </c>
      <c r="BT247" s="3">
        <f>IFERROR(__xludf.DUMMYFUNCTION("""COMPUTED_VALUE"""),0.0)</f>
        <v>0</v>
      </c>
      <c r="BU247" s="3">
        <f>IFERROR(__xludf.DUMMYFUNCTION("""COMPUTED_VALUE"""),0.0)</f>
        <v>0</v>
      </c>
      <c r="BV247" s="3">
        <f>IFERROR(__xludf.DUMMYFUNCTION("""COMPUTED_VALUE"""),0.0)</f>
        <v>0</v>
      </c>
      <c r="BW247" s="3">
        <f>IFERROR(__xludf.DUMMYFUNCTION("""COMPUTED_VALUE"""),0.0)</f>
        <v>0</v>
      </c>
      <c r="BX247" s="3">
        <f>IFERROR(__xludf.DUMMYFUNCTION("""COMPUTED_VALUE"""),0.0)</f>
        <v>0</v>
      </c>
      <c r="BY247" s="3">
        <f>IFERROR(__xludf.DUMMYFUNCTION("""COMPUTED_VALUE"""),0.0)</f>
        <v>0</v>
      </c>
      <c r="BZ247" s="3">
        <f>IFERROR(__xludf.DUMMYFUNCTION("""COMPUTED_VALUE"""),0.0)</f>
        <v>0</v>
      </c>
      <c r="CA247" s="3">
        <f>IFERROR(__xludf.DUMMYFUNCTION("""COMPUTED_VALUE"""),0.0)</f>
        <v>0</v>
      </c>
      <c r="CB247" s="3">
        <f>IFERROR(__xludf.DUMMYFUNCTION("""COMPUTED_VALUE"""),0.0)</f>
        <v>0</v>
      </c>
    </row>
    <row r="248">
      <c r="A248" s="3" t="str">
        <f>IFERROR(__xludf.DUMMYFUNCTION("""COMPUTED_VALUE"""),"")</f>
        <v/>
      </c>
      <c r="B248" s="3" t="str">
        <f>IFERROR(__xludf.DUMMYFUNCTION("""COMPUTED_VALUE"""),"South Sudan")</f>
        <v>South Sudan</v>
      </c>
      <c r="C248" s="3">
        <f>IFERROR(__xludf.DUMMYFUNCTION("""COMPUTED_VALUE"""),6.877)</f>
        <v>6.877</v>
      </c>
      <c r="D248" s="3">
        <f>IFERROR(__xludf.DUMMYFUNCTION("""COMPUTED_VALUE"""),31.307)</f>
        <v>31.307</v>
      </c>
      <c r="E248" s="3">
        <f>IFERROR(__xludf.DUMMYFUNCTION("""COMPUTED_VALUE"""),0.0)</f>
        <v>0</v>
      </c>
      <c r="F248" s="3">
        <f>IFERROR(__xludf.DUMMYFUNCTION("""COMPUTED_VALUE"""),0.0)</f>
        <v>0</v>
      </c>
      <c r="G248" s="3">
        <f>IFERROR(__xludf.DUMMYFUNCTION("""COMPUTED_VALUE"""),0.0)</f>
        <v>0</v>
      </c>
      <c r="H248" s="3">
        <f>IFERROR(__xludf.DUMMYFUNCTION("""COMPUTED_VALUE"""),0.0)</f>
        <v>0</v>
      </c>
      <c r="I248" s="3">
        <f>IFERROR(__xludf.DUMMYFUNCTION("""COMPUTED_VALUE"""),0.0)</f>
        <v>0</v>
      </c>
      <c r="J248" s="3">
        <f>IFERROR(__xludf.DUMMYFUNCTION("""COMPUTED_VALUE"""),0.0)</f>
        <v>0</v>
      </c>
      <c r="K248" s="3">
        <f>IFERROR(__xludf.DUMMYFUNCTION("""COMPUTED_VALUE"""),0.0)</f>
        <v>0</v>
      </c>
      <c r="L248" s="3">
        <f>IFERROR(__xludf.DUMMYFUNCTION("""COMPUTED_VALUE"""),0.0)</f>
        <v>0</v>
      </c>
      <c r="M248" s="3">
        <f>IFERROR(__xludf.DUMMYFUNCTION("""COMPUTED_VALUE"""),0.0)</f>
        <v>0</v>
      </c>
      <c r="N248" s="3">
        <f>IFERROR(__xludf.DUMMYFUNCTION("""COMPUTED_VALUE"""),0.0)</f>
        <v>0</v>
      </c>
      <c r="O248" s="3">
        <f>IFERROR(__xludf.DUMMYFUNCTION("""COMPUTED_VALUE"""),0.0)</f>
        <v>0</v>
      </c>
      <c r="P248" s="3">
        <f>IFERROR(__xludf.DUMMYFUNCTION("""COMPUTED_VALUE"""),0.0)</f>
        <v>0</v>
      </c>
      <c r="Q248" s="3">
        <f>IFERROR(__xludf.DUMMYFUNCTION("""COMPUTED_VALUE"""),0.0)</f>
        <v>0</v>
      </c>
      <c r="R248" s="3">
        <f>IFERROR(__xludf.DUMMYFUNCTION("""COMPUTED_VALUE"""),0.0)</f>
        <v>0</v>
      </c>
      <c r="S248" s="3">
        <f>IFERROR(__xludf.DUMMYFUNCTION("""COMPUTED_VALUE"""),0.0)</f>
        <v>0</v>
      </c>
      <c r="T248" s="3">
        <f>IFERROR(__xludf.DUMMYFUNCTION("""COMPUTED_VALUE"""),0.0)</f>
        <v>0</v>
      </c>
      <c r="U248" s="3">
        <f>IFERROR(__xludf.DUMMYFUNCTION("""COMPUTED_VALUE"""),0.0)</f>
        <v>0</v>
      </c>
      <c r="V248" s="3">
        <f>IFERROR(__xludf.DUMMYFUNCTION("""COMPUTED_VALUE"""),0.0)</f>
        <v>0</v>
      </c>
      <c r="W248" s="3">
        <f>IFERROR(__xludf.DUMMYFUNCTION("""COMPUTED_VALUE"""),0.0)</f>
        <v>0</v>
      </c>
      <c r="X248" s="3">
        <f>IFERROR(__xludf.DUMMYFUNCTION("""COMPUTED_VALUE"""),0.0)</f>
        <v>0</v>
      </c>
      <c r="Y248" s="3">
        <f>IFERROR(__xludf.DUMMYFUNCTION("""COMPUTED_VALUE"""),0.0)</f>
        <v>0</v>
      </c>
      <c r="Z248" s="3">
        <f>IFERROR(__xludf.DUMMYFUNCTION("""COMPUTED_VALUE"""),0.0)</f>
        <v>0</v>
      </c>
      <c r="AA248" s="3">
        <f>IFERROR(__xludf.DUMMYFUNCTION("""COMPUTED_VALUE"""),0.0)</f>
        <v>0</v>
      </c>
      <c r="AB248" s="3">
        <f>IFERROR(__xludf.DUMMYFUNCTION("""COMPUTED_VALUE"""),0.0)</f>
        <v>0</v>
      </c>
      <c r="AC248" s="3">
        <f>IFERROR(__xludf.DUMMYFUNCTION("""COMPUTED_VALUE"""),0.0)</f>
        <v>0</v>
      </c>
      <c r="AD248" s="3">
        <f>IFERROR(__xludf.DUMMYFUNCTION("""COMPUTED_VALUE"""),0.0)</f>
        <v>0</v>
      </c>
      <c r="AE248" s="3">
        <f>IFERROR(__xludf.DUMMYFUNCTION("""COMPUTED_VALUE"""),0.0)</f>
        <v>0</v>
      </c>
      <c r="AF248" s="3">
        <f>IFERROR(__xludf.DUMMYFUNCTION("""COMPUTED_VALUE"""),0.0)</f>
        <v>0</v>
      </c>
      <c r="AG248" s="3">
        <f>IFERROR(__xludf.DUMMYFUNCTION("""COMPUTED_VALUE"""),0.0)</f>
        <v>0</v>
      </c>
      <c r="AH248" s="3">
        <f>IFERROR(__xludf.DUMMYFUNCTION("""COMPUTED_VALUE"""),0.0)</f>
        <v>0</v>
      </c>
      <c r="AI248" s="3">
        <f>IFERROR(__xludf.DUMMYFUNCTION("""COMPUTED_VALUE"""),0.0)</f>
        <v>0</v>
      </c>
      <c r="AJ248" s="3">
        <f>IFERROR(__xludf.DUMMYFUNCTION("""COMPUTED_VALUE"""),0.0)</f>
        <v>0</v>
      </c>
      <c r="AK248" s="3">
        <f>IFERROR(__xludf.DUMMYFUNCTION("""COMPUTED_VALUE"""),0.0)</f>
        <v>0</v>
      </c>
      <c r="AL248" s="3">
        <f>IFERROR(__xludf.DUMMYFUNCTION("""COMPUTED_VALUE"""),0.0)</f>
        <v>0</v>
      </c>
      <c r="AM248" s="3">
        <f>IFERROR(__xludf.DUMMYFUNCTION("""COMPUTED_VALUE"""),0.0)</f>
        <v>0</v>
      </c>
      <c r="AN248" s="3">
        <f>IFERROR(__xludf.DUMMYFUNCTION("""COMPUTED_VALUE"""),0.0)</f>
        <v>0</v>
      </c>
      <c r="AO248" s="3">
        <f>IFERROR(__xludf.DUMMYFUNCTION("""COMPUTED_VALUE"""),0.0)</f>
        <v>0</v>
      </c>
      <c r="AP248" s="3">
        <f>IFERROR(__xludf.DUMMYFUNCTION("""COMPUTED_VALUE"""),0.0)</f>
        <v>0</v>
      </c>
      <c r="AQ248" s="3">
        <f>IFERROR(__xludf.DUMMYFUNCTION("""COMPUTED_VALUE"""),0.0)</f>
        <v>0</v>
      </c>
      <c r="AR248" s="3">
        <f>IFERROR(__xludf.DUMMYFUNCTION("""COMPUTED_VALUE"""),0.0)</f>
        <v>0</v>
      </c>
      <c r="AS248" s="3">
        <f>IFERROR(__xludf.DUMMYFUNCTION("""COMPUTED_VALUE"""),0.0)</f>
        <v>0</v>
      </c>
      <c r="AT248" s="3">
        <f>IFERROR(__xludf.DUMMYFUNCTION("""COMPUTED_VALUE"""),0.0)</f>
        <v>0</v>
      </c>
      <c r="AU248" s="3">
        <f>IFERROR(__xludf.DUMMYFUNCTION("""COMPUTED_VALUE"""),0.0)</f>
        <v>0</v>
      </c>
      <c r="AV248" s="3">
        <f>IFERROR(__xludf.DUMMYFUNCTION("""COMPUTED_VALUE"""),0.0)</f>
        <v>0</v>
      </c>
      <c r="AW248" s="3">
        <f>IFERROR(__xludf.DUMMYFUNCTION("""COMPUTED_VALUE"""),0.0)</f>
        <v>0</v>
      </c>
      <c r="AX248" s="3">
        <f>IFERROR(__xludf.DUMMYFUNCTION("""COMPUTED_VALUE"""),0.0)</f>
        <v>0</v>
      </c>
      <c r="AY248" s="3">
        <f>IFERROR(__xludf.DUMMYFUNCTION("""COMPUTED_VALUE"""),0.0)</f>
        <v>0</v>
      </c>
      <c r="AZ248" s="3">
        <f>IFERROR(__xludf.DUMMYFUNCTION("""COMPUTED_VALUE"""),0.0)</f>
        <v>0</v>
      </c>
      <c r="BA248" s="3">
        <f>IFERROR(__xludf.DUMMYFUNCTION("""COMPUTED_VALUE"""),0.0)</f>
        <v>0</v>
      </c>
      <c r="BB248" s="3">
        <f>IFERROR(__xludf.DUMMYFUNCTION("""COMPUTED_VALUE"""),0.0)</f>
        <v>0</v>
      </c>
      <c r="BC248" s="3">
        <f>IFERROR(__xludf.DUMMYFUNCTION("""COMPUTED_VALUE"""),0.0)</f>
        <v>0</v>
      </c>
      <c r="BD248" s="3">
        <f>IFERROR(__xludf.DUMMYFUNCTION("""COMPUTED_VALUE"""),0.0)</f>
        <v>0</v>
      </c>
      <c r="BE248" s="3">
        <f>IFERROR(__xludf.DUMMYFUNCTION("""COMPUTED_VALUE"""),0.0)</f>
        <v>0</v>
      </c>
      <c r="BF248" s="3">
        <f>IFERROR(__xludf.DUMMYFUNCTION("""COMPUTED_VALUE"""),0.0)</f>
        <v>0</v>
      </c>
      <c r="BG248" s="3">
        <f>IFERROR(__xludf.DUMMYFUNCTION("""COMPUTED_VALUE"""),0.0)</f>
        <v>0</v>
      </c>
      <c r="BH248" s="3">
        <f>IFERROR(__xludf.DUMMYFUNCTION("""COMPUTED_VALUE"""),0.0)</f>
        <v>0</v>
      </c>
      <c r="BI248" s="3">
        <f>IFERROR(__xludf.DUMMYFUNCTION("""COMPUTED_VALUE"""),0.0)</f>
        <v>0</v>
      </c>
      <c r="BJ248" s="3">
        <f>IFERROR(__xludf.DUMMYFUNCTION("""COMPUTED_VALUE"""),0.0)</f>
        <v>0</v>
      </c>
      <c r="BK248" s="3">
        <f>IFERROR(__xludf.DUMMYFUNCTION("""COMPUTED_VALUE"""),0.0)</f>
        <v>0</v>
      </c>
      <c r="BL248" s="3">
        <f>IFERROR(__xludf.DUMMYFUNCTION("""COMPUTED_VALUE"""),0.0)</f>
        <v>0</v>
      </c>
      <c r="BM248" s="3">
        <f>IFERROR(__xludf.DUMMYFUNCTION("""COMPUTED_VALUE"""),0.0)</f>
        <v>0</v>
      </c>
      <c r="BN248" s="3">
        <f>IFERROR(__xludf.DUMMYFUNCTION("""COMPUTED_VALUE"""),0.0)</f>
        <v>0</v>
      </c>
      <c r="BO248" s="3">
        <f>IFERROR(__xludf.DUMMYFUNCTION("""COMPUTED_VALUE"""),0.0)</f>
        <v>0</v>
      </c>
      <c r="BP248" s="3">
        <f>IFERROR(__xludf.DUMMYFUNCTION("""COMPUTED_VALUE"""),0.0)</f>
        <v>0</v>
      </c>
      <c r="BQ248" s="3">
        <f>IFERROR(__xludf.DUMMYFUNCTION("""COMPUTED_VALUE"""),0.0)</f>
        <v>0</v>
      </c>
      <c r="BR248" s="3">
        <f>IFERROR(__xludf.DUMMYFUNCTION("""COMPUTED_VALUE"""),0.0)</f>
        <v>0</v>
      </c>
      <c r="BS248" s="3">
        <f>IFERROR(__xludf.DUMMYFUNCTION("""COMPUTED_VALUE"""),0.0)</f>
        <v>0</v>
      </c>
      <c r="BT248" s="3">
        <f>IFERROR(__xludf.DUMMYFUNCTION("""COMPUTED_VALUE"""),0.0)</f>
        <v>0</v>
      </c>
      <c r="BU248" s="3">
        <f>IFERROR(__xludf.DUMMYFUNCTION("""COMPUTED_VALUE"""),0.0)</f>
        <v>0</v>
      </c>
      <c r="BV248" s="3">
        <f>IFERROR(__xludf.DUMMYFUNCTION("""COMPUTED_VALUE"""),0.0)</f>
        <v>0</v>
      </c>
      <c r="BW248" s="3">
        <f>IFERROR(__xludf.DUMMYFUNCTION("""COMPUTED_VALUE"""),0.0)</f>
        <v>0</v>
      </c>
      <c r="BX248" s="3">
        <f>IFERROR(__xludf.DUMMYFUNCTION("""COMPUTED_VALUE"""),0.0)</f>
        <v>0</v>
      </c>
      <c r="BY248" s="3">
        <f>IFERROR(__xludf.DUMMYFUNCTION("""COMPUTED_VALUE"""),0.0)</f>
        <v>0</v>
      </c>
      <c r="BZ248" s="3">
        <f>IFERROR(__xludf.DUMMYFUNCTION("""COMPUTED_VALUE"""),0.0)</f>
        <v>0</v>
      </c>
      <c r="CA248" s="3">
        <f>IFERROR(__xludf.DUMMYFUNCTION("""COMPUTED_VALUE"""),0.0)</f>
        <v>0</v>
      </c>
      <c r="CB248" s="3">
        <f>IFERROR(__xludf.DUMMYFUNCTION("""COMPUTED_VALUE"""),0.0)</f>
        <v>0</v>
      </c>
    </row>
    <row r="249">
      <c r="A249" s="3" t="str">
        <f>IFERROR(__xludf.DUMMYFUNCTION("""COMPUTED_VALUE"""),"")</f>
        <v/>
      </c>
      <c r="B249" s="3" t="str">
        <f>IFERROR(__xludf.DUMMYFUNCTION("""COMPUTED_VALUE"""),"Western Sahara")</f>
        <v>Western Sahara</v>
      </c>
      <c r="C249" s="3">
        <f>IFERROR(__xludf.DUMMYFUNCTION("""COMPUTED_VALUE"""),24.2155)</f>
        <v>24.2155</v>
      </c>
      <c r="D249" s="3">
        <f>IFERROR(__xludf.DUMMYFUNCTION("""COMPUTED_VALUE"""),-12.8858)</f>
        <v>-12.8858</v>
      </c>
      <c r="E249" s="3">
        <f>IFERROR(__xludf.DUMMYFUNCTION("""COMPUTED_VALUE"""),0.0)</f>
        <v>0</v>
      </c>
      <c r="F249" s="3">
        <f>IFERROR(__xludf.DUMMYFUNCTION("""COMPUTED_VALUE"""),0.0)</f>
        <v>0</v>
      </c>
      <c r="G249" s="3">
        <f>IFERROR(__xludf.DUMMYFUNCTION("""COMPUTED_VALUE"""),0.0)</f>
        <v>0</v>
      </c>
      <c r="H249" s="3">
        <f>IFERROR(__xludf.DUMMYFUNCTION("""COMPUTED_VALUE"""),0.0)</f>
        <v>0</v>
      </c>
      <c r="I249" s="3">
        <f>IFERROR(__xludf.DUMMYFUNCTION("""COMPUTED_VALUE"""),0.0)</f>
        <v>0</v>
      </c>
      <c r="J249" s="3">
        <f>IFERROR(__xludf.DUMMYFUNCTION("""COMPUTED_VALUE"""),0.0)</f>
        <v>0</v>
      </c>
      <c r="K249" s="3">
        <f>IFERROR(__xludf.DUMMYFUNCTION("""COMPUTED_VALUE"""),0.0)</f>
        <v>0</v>
      </c>
      <c r="L249" s="3">
        <f>IFERROR(__xludf.DUMMYFUNCTION("""COMPUTED_VALUE"""),0.0)</f>
        <v>0</v>
      </c>
      <c r="M249" s="3">
        <f>IFERROR(__xludf.DUMMYFUNCTION("""COMPUTED_VALUE"""),0.0)</f>
        <v>0</v>
      </c>
      <c r="N249" s="3">
        <f>IFERROR(__xludf.DUMMYFUNCTION("""COMPUTED_VALUE"""),0.0)</f>
        <v>0</v>
      </c>
      <c r="O249" s="3">
        <f>IFERROR(__xludf.DUMMYFUNCTION("""COMPUTED_VALUE"""),0.0)</f>
        <v>0</v>
      </c>
      <c r="P249" s="3">
        <f>IFERROR(__xludf.DUMMYFUNCTION("""COMPUTED_VALUE"""),0.0)</f>
        <v>0</v>
      </c>
      <c r="Q249" s="3">
        <f>IFERROR(__xludf.DUMMYFUNCTION("""COMPUTED_VALUE"""),0.0)</f>
        <v>0</v>
      </c>
      <c r="R249" s="3">
        <f>IFERROR(__xludf.DUMMYFUNCTION("""COMPUTED_VALUE"""),0.0)</f>
        <v>0</v>
      </c>
      <c r="S249" s="3">
        <f>IFERROR(__xludf.DUMMYFUNCTION("""COMPUTED_VALUE"""),0.0)</f>
        <v>0</v>
      </c>
      <c r="T249" s="3">
        <f>IFERROR(__xludf.DUMMYFUNCTION("""COMPUTED_VALUE"""),0.0)</f>
        <v>0</v>
      </c>
      <c r="U249" s="3">
        <f>IFERROR(__xludf.DUMMYFUNCTION("""COMPUTED_VALUE"""),0.0)</f>
        <v>0</v>
      </c>
      <c r="V249" s="3">
        <f>IFERROR(__xludf.DUMMYFUNCTION("""COMPUTED_VALUE"""),0.0)</f>
        <v>0</v>
      </c>
      <c r="W249" s="3">
        <f>IFERROR(__xludf.DUMMYFUNCTION("""COMPUTED_VALUE"""),0.0)</f>
        <v>0</v>
      </c>
      <c r="X249" s="3">
        <f>IFERROR(__xludf.DUMMYFUNCTION("""COMPUTED_VALUE"""),0.0)</f>
        <v>0</v>
      </c>
      <c r="Y249" s="3">
        <f>IFERROR(__xludf.DUMMYFUNCTION("""COMPUTED_VALUE"""),0.0)</f>
        <v>0</v>
      </c>
      <c r="Z249" s="3">
        <f>IFERROR(__xludf.DUMMYFUNCTION("""COMPUTED_VALUE"""),0.0)</f>
        <v>0</v>
      </c>
      <c r="AA249" s="3">
        <f>IFERROR(__xludf.DUMMYFUNCTION("""COMPUTED_VALUE"""),0.0)</f>
        <v>0</v>
      </c>
      <c r="AB249" s="3">
        <f>IFERROR(__xludf.DUMMYFUNCTION("""COMPUTED_VALUE"""),0.0)</f>
        <v>0</v>
      </c>
      <c r="AC249" s="3">
        <f>IFERROR(__xludf.DUMMYFUNCTION("""COMPUTED_VALUE"""),0.0)</f>
        <v>0</v>
      </c>
      <c r="AD249" s="3">
        <f>IFERROR(__xludf.DUMMYFUNCTION("""COMPUTED_VALUE"""),0.0)</f>
        <v>0</v>
      </c>
      <c r="AE249" s="3">
        <f>IFERROR(__xludf.DUMMYFUNCTION("""COMPUTED_VALUE"""),0.0)</f>
        <v>0</v>
      </c>
      <c r="AF249" s="3">
        <f>IFERROR(__xludf.DUMMYFUNCTION("""COMPUTED_VALUE"""),0.0)</f>
        <v>0</v>
      </c>
      <c r="AG249" s="3">
        <f>IFERROR(__xludf.DUMMYFUNCTION("""COMPUTED_VALUE"""),0.0)</f>
        <v>0</v>
      </c>
      <c r="AH249" s="3">
        <f>IFERROR(__xludf.DUMMYFUNCTION("""COMPUTED_VALUE"""),0.0)</f>
        <v>0</v>
      </c>
      <c r="AI249" s="3">
        <f>IFERROR(__xludf.DUMMYFUNCTION("""COMPUTED_VALUE"""),0.0)</f>
        <v>0</v>
      </c>
      <c r="AJ249" s="3">
        <f>IFERROR(__xludf.DUMMYFUNCTION("""COMPUTED_VALUE"""),0.0)</f>
        <v>0</v>
      </c>
      <c r="AK249" s="3">
        <f>IFERROR(__xludf.DUMMYFUNCTION("""COMPUTED_VALUE"""),0.0)</f>
        <v>0</v>
      </c>
      <c r="AL249" s="3">
        <f>IFERROR(__xludf.DUMMYFUNCTION("""COMPUTED_VALUE"""),0.0)</f>
        <v>0</v>
      </c>
      <c r="AM249" s="3">
        <f>IFERROR(__xludf.DUMMYFUNCTION("""COMPUTED_VALUE"""),0.0)</f>
        <v>0</v>
      </c>
      <c r="AN249" s="3">
        <f>IFERROR(__xludf.DUMMYFUNCTION("""COMPUTED_VALUE"""),0.0)</f>
        <v>0</v>
      </c>
      <c r="AO249" s="3">
        <f>IFERROR(__xludf.DUMMYFUNCTION("""COMPUTED_VALUE"""),0.0)</f>
        <v>0</v>
      </c>
      <c r="AP249" s="3">
        <f>IFERROR(__xludf.DUMMYFUNCTION("""COMPUTED_VALUE"""),0.0)</f>
        <v>0</v>
      </c>
      <c r="AQ249" s="3">
        <f>IFERROR(__xludf.DUMMYFUNCTION("""COMPUTED_VALUE"""),0.0)</f>
        <v>0</v>
      </c>
      <c r="AR249" s="3">
        <f>IFERROR(__xludf.DUMMYFUNCTION("""COMPUTED_VALUE"""),0.0)</f>
        <v>0</v>
      </c>
      <c r="AS249" s="3">
        <f>IFERROR(__xludf.DUMMYFUNCTION("""COMPUTED_VALUE"""),0.0)</f>
        <v>0</v>
      </c>
      <c r="AT249" s="3">
        <f>IFERROR(__xludf.DUMMYFUNCTION("""COMPUTED_VALUE"""),0.0)</f>
        <v>0</v>
      </c>
      <c r="AU249" s="3">
        <f>IFERROR(__xludf.DUMMYFUNCTION("""COMPUTED_VALUE"""),0.0)</f>
        <v>0</v>
      </c>
      <c r="AV249" s="3">
        <f>IFERROR(__xludf.DUMMYFUNCTION("""COMPUTED_VALUE"""),0.0)</f>
        <v>0</v>
      </c>
      <c r="AW249" s="3">
        <f>IFERROR(__xludf.DUMMYFUNCTION("""COMPUTED_VALUE"""),0.0)</f>
        <v>0</v>
      </c>
      <c r="AX249" s="3">
        <f>IFERROR(__xludf.DUMMYFUNCTION("""COMPUTED_VALUE"""),0.0)</f>
        <v>0</v>
      </c>
      <c r="AY249" s="3">
        <f>IFERROR(__xludf.DUMMYFUNCTION("""COMPUTED_VALUE"""),0.0)</f>
        <v>0</v>
      </c>
      <c r="AZ249" s="3">
        <f>IFERROR(__xludf.DUMMYFUNCTION("""COMPUTED_VALUE"""),0.0)</f>
        <v>0</v>
      </c>
      <c r="BA249" s="3">
        <f>IFERROR(__xludf.DUMMYFUNCTION("""COMPUTED_VALUE"""),0.0)</f>
        <v>0</v>
      </c>
      <c r="BB249" s="3">
        <f>IFERROR(__xludf.DUMMYFUNCTION("""COMPUTED_VALUE"""),0.0)</f>
        <v>0</v>
      </c>
      <c r="BC249" s="3">
        <f>IFERROR(__xludf.DUMMYFUNCTION("""COMPUTED_VALUE"""),0.0)</f>
        <v>0</v>
      </c>
      <c r="BD249" s="3">
        <f>IFERROR(__xludf.DUMMYFUNCTION("""COMPUTED_VALUE"""),0.0)</f>
        <v>0</v>
      </c>
      <c r="BE249" s="3">
        <f>IFERROR(__xludf.DUMMYFUNCTION("""COMPUTED_VALUE"""),0.0)</f>
        <v>0</v>
      </c>
      <c r="BF249" s="3">
        <f>IFERROR(__xludf.DUMMYFUNCTION("""COMPUTED_VALUE"""),0.0)</f>
        <v>0</v>
      </c>
      <c r="BG249" s="3">
        <f>IFERROR(__xludf.DUMMYFUNCTION("""COMPUTED_VALUE"""),0.0)</f>
        <v>0</v>
      </c>
      <c r="BH249" s="3">
        <f>IFERROR(__xludf.DUMMYFUNCTION("""COMPUTED_VALUE"""),0.0)</f>
        <v>0</v>
      </c>
      <c r="BI249" s="3">
        <f>IFERROR(__xludf.DUMMYFUNCTION("""COMPUTED_VALUE"""),0.0)</f>
        <v>0</v>
      </c>
      <c r="BJ249" s="3">
        <f>IFERROR(__xludf.DUMMYFUNCTION("""COMPUTED_VALUE"""),0.0)</f>
        <v>0</v>
      </c>
      <c r="BK249" s="3">
        <f>IFERROR(__xludf.DUMMYFUNCTION("""COMPUTED_VALUE"""),0.0)</f>
        <v>0</v>
      </c>
      <c r="BL249" s="3">
        <f>IFERROR(__xludf.DUMMYFUNCTION("""COMPUTED_VALUE"""),0.0)</f>
        <v>0</v>
      </c>
      <c r="BM249" s="3">
        <f>IFERROR(__xludf.DUMMYFUNCTION("""COMPUTED_VALUE"""),0.0)</f>
        <v>0</v>
      </c>
      <c r="BN249" s="3">
        <f>IFERROR(__xludf.DUMMYFUNCTION("""COMPUTED_VALUE"""),0.0)</f>
        <v>0</v>
      </c>
      <c r="BO249" s="3">
        <f>IFERROR(__xludf.DUMMYFUNCTION("""COMPUTED_VALUE"""),0.0)</f>
        <v>0</v>
      </c>
      <c r="BP249" s="3">
        <f>IFERROR(__xludf.DUMMYFUNCTION("""COMPUTED_VALUE"""),0.0)</f>
        <v>0</v>
      </c>
      <c r="BQ249" s="3">
        <f>IFERROR(__xludf.DUMMYFUNCTION("""COMPUTED_VALUE"""),0.0)</f>
        <v>0</v>
      </c>
      <c r="BR249" s="3">
        <f>IFERROR(__xludf.DUMMYFUNCTION("""COMPUTED_VALUE"""),0.0)</f>
        <v>0</v>
      </c>
      <c r="BS249" s="3">
        <f>IFERROR(__xludf.DUMMYFUNCTION("""COMPUTED_VALUE"""),0.0)</f>
        <v>0</v>
      </c>
      <c r="BT249" s="3">
        <f>IFERROR(__xludf.DUMMYFUNCTION("""COMPUTED_VALUE"""),0.0)</f>
        <v>0</v>
      </c>
      <c r="BU249" s="3">
        <f>IFERROR(__xludf.DUMMYFUNCTION("""COMPUTED_VALUE"""),0.0)</f>
        <v>0</v>
      </c>
      <c r="BV249" s="3">
        <f>IFERROR(__xludf.DUMMYFUNCTION("""COMPUTED_VALUE"""),0.0)</f>
        <v>0</v>
      </c>
      <c r="BW249" s="3">
        <f>IFERROR(__xludf.DUMMYFUNCTION("""COMPUTED_VALUE"""),0.0)</f>
        <v>0</v>
      </c>
      <c r="BX249" s="3">
        <f>IFERROR(__xludf.DUMMYFUNCTION("""COMPUTED_VALUE"""),0.0)</f>
        <v>0</v>
      </c>
      <c r="BY249" s="3">
        <f>IFERROR(__xludf.DUMMYFUNCTION("""COMPUTED_VALUE"""),0.0)</f>
        <v>0</v>
      </c>
      <c r="BZ249" s="3">
        <f>IFERROR(__xludf.DUMMYFUNCTION("""COMPUTED_VALUE"""),0.0)</f>
        <v>0</v>
      </c>
      <c r="CA249" s="3">
        <f>IFERROR(__xludf.DUMMYFUNCTION("""COMPUTED_VALUE"""),0.0)</f>
        <v>0</v>
      </c>
      <c r="CB249" s="3">
        <f>IFERROR(__xludf.DUMMYFUNCTION("""COMPUTED_VALUE"""),0.0)</f>
        <v>0</v>
      </c>
    </row>
    <row r="250">
      <c r="A250" s="3" t="str">
        <f>IFERROR(__xludf.DUMMYFUNCTION("""COMPUTED_VALUE"""),"")</f>
        <v/>
      </c>
      <c r="B250" s="3" t="str">
        <f>IFERROR(__xludf.DUMMYFUNCTION("""COMPUTED_VALUE"""),"Sao Tome and Principe")</f>
        <v>Sao Tome and Principe</v>
      </c>
      <c r="C250" s="3">
        <f>IFERROR(__xludf.DUMMYFUNCTION("""COMPUTED_VALUE"""),0.18636)</f>
        <v>0.18636</v>
      </c>
      <c r="D250" s="3">
        <f>IFERROR(__xludf.DUMMYFUNCTION("""COMPUTED_VALUE"""),6.613081)</f>
        <v>6.613081</v>
      </c>
      <c r="E250" s="3">
        <f>IFERROR(__xludf.DUMMYFUNCTION("""COMPUTED_VALUE"""),0.0)</f>
        <v>0</v>
      </c>
      <c r="F250" s="3">
        <f>IFERROR(__xludf.DUMMYFUNCTION("""COMPUTED_VALUE"""),0.0)</f>
        <v>0</v>
      </c>
      <c r="G250" s="3">
        <f>IFERROR(__xludf.DUMMYFUNCTION("""COMPUTED_VALUE"""),0.0)</f>
        <v>0</v>
      </c>
      <c r="H250" s="3">
        <f>IFERROR(__xludf.DUMMYFUNCTION("""COMPUTED_VALUE"""),0.0)</f>
        <v>0</v>
      </c>
      <c r="I250" s="3">
        <f>IFERROR(__xludf.DUMMYFUNCTION("""COMPUTED_VALUE"""),0.0)</f>
        <v>0</v>
      </c>
      <c r="J250" s="3">
        <f>IFERROR(__xludf.DUMMYFUNCTION("""COMPUTED_VALUE"""),0.0)</f>
        <v>0</v>
      </c>
      <c r="K250" s="3">
        <f>IFERROR(__xludf.DUMMYFUNCTION("""COMPUTED_VALUE"""),0.0)</f>
        <v>0</v>
      </c>
      <c r="L250" s="3">
        <f>IFERROR(__xludf.DUMMYFUNCTION("""COMPUTED_VALUE"""),0.0)</f>
        <v>0</v>
      </c>
      <c r="M250" s="3">
        <f>IFERROR(__xludf.DUMMYFUNCTION("""COMPUTED_VALUE"""),0.0)</f>
        <v>0</v>
      </c>
      <c r="N250" s="3">
        <f>IFERROR(__xludf.DUMMYFUNCTION("""COMPUTED_VALUE"""),0.0)</f>
        <v>0</v>
      </c>
      <c r="O250" s="3">
        <f>IFERROR(__xludf.DUMMYFUNCTION("""COMPUTED_VALUE"""),0.0)</f>
        <v>0</v>
      </c>
      <c r="P250" s="3">
        <f>IFERROR(__xludf.DUMMYFUNCTION("""COMPUTED_VALUE"""),0.0)</f>
        <v>0</v>
      </c>
      <c r="Q250" s="3">
        <f>IFERROR(__xludf.DUMMYFUNCTION("""COMPUTED_VALUE"""),0.0)</f>
        <v>0</v>
      </c>
      <c r="R250" s="3">
        <f>IFERROR(__xludf.DUMMYFUNCTION("""COMPUTED_VALUE"""),0.0)</f>
        <v>0</v>
      </c>
      <c r="S250" s="3">
        <f>IFERROR(__xludf.DUMMYFUNCTION("""COMPUTED_VALUE"""),0.0)</f>
        <v>0</v>
      </c>
      <c r="T250" s="3">
        <f>IFERROR(__xludf.DUMMYFUNCTION("""COMPUTED_VALUE"""),0.0)</f>
        <v>0</v>
      </c>
      <c r="U250" s="3">
        <f>IFERROR(__xludf.DUMMYFUNCTION("""COMPUTED_VALUE"""),0.0)</f>
        <v>0</v>
      </c>
      <c r="V250" s="3">
        <f>IFERROR(__xludf.DUMMYFUNCTION("""COMPUTED_VALUE"""),0.0)</f>
        <v>0</v>
      </c>
      <c r="W250" s="3">
        <f>IFERROR(__xludf.DUMMYFUNCTION("""COMPUTED_VALUE"""),0.0)</f>
        <v>0</v>
      </c>
      <c r="X250" s="3">
        <f>IFERROR(__xludf.DUMMYFUNCTION("""COMPUTED_VALUE"""),0.0)</f>
        <v>0</v>
      </c>
      <c r="Y250" s="3">
        <f>IFERROR(__xludf.DUMMYFUNCTION("""COMPUTED_VALUE"""),0.0)</f>
        <v>0</v>
      </c>
      <c r="Z250" s="3">
        <f>IFERROR(__xludf.DUMMYFUNCTION("""COMPUTED_VALUE"""),0.0)</f>
        <v>0</v>
      </c>
      <c r="AA250" s="3">
        <f>IFERROR(__xludf.DUMMYFUNCTION("""COMPUTED_VALUE"""),0.0)</f>
        <v>0</v>
      </c>
      <c r="AB250" s="3">
        <f>IFERROR(__xludf.DUMMYFUNCTION("""COMPUTED_VALUE"""),0.0)</f>
        <v>0</v>
      </c>
      <c r="AC250" s="3">
        <f>IFERROR(__xludf.DUMMYFUNCTION("""COMPUTED_VALUE"""),0.0)</f>
        <v>0</v>
      </c>
      <c r="AD250" s="3">
        <f>IFERROR(__xludf.DUMMYFUNCTION("""COMPUTED_VALUE"""),0.0)</f>
        <v>0</v>
      </c>
      <c r="AE250" s="3">
        <f>IFERROR(__xludf.DUMMYFUNCTION("""COMPUTED_VALUE"""),0.0)</f>
        <v>0</v>
      </c>
      <c r="AF250" s="3">
        <f>IFERROR(__xludf.DUMMYFUNCTION("""COMPUTED_VALUE"""),0.0)</f>
        <v>0</v>
      </c>
      <c r="AG250" s="3">
        <f>IFERROR(__xludf.DUMMYFUNCTION("""COMPUTED_VALUE"""),0.0)</f>
        <v>0</v>
      </c>
      <c r="AH250" s="3">
        <f>IFERROR(__xludf.DUMMYFUNCTION("""COMPUTED_VALUE"""),0.0)</f>
        <v>0</v>
      </c>
      <c r="AI250" s="3">
        <f>IFERROR(__xludf.DUMMYFUNCTION("""COMPUTED_VALUE"""),0.0)</f>
        <v>0</v>
      </c>
      <c r="AJ250" s="3">
        <f>IFERROR(__xludf.DUMMYFUNCTION("""COMPUTED_VALUE"""),0.0)</f>
        <v>0</v>
      </c>
      <c r="AK250" s="3">
        <f>IFERROR(__xludf.DUMMYFUNCTION("""COMPUTED_VALUE"""),0.0)</f>
        <v>0</v>
      </c>
      <c r="AL250" s="3">
        <f>IFERROR(__xludf.DUMMYFUNCTION("""COMPUTED_VALUE"""),0.0)</f>
        <v>0</v>
      </c>
      <c r="AM250" s="3">
        <f>IFERROR(__xludf.DUMMYFUNCTION("""COMPUTED_VALUE"""),0.0)</f>
        <v>0</v>
      </c>
      <c r="AN250" s="3">
        <f>IFERROR(__xludf.DUMMYFUNCTION("""COMPUTED_VALUE"""),0.0)</f>
        <v>0</v>
      </c>
      <c r="AO250" s="3">
        <f>IFERROR(__xludf.DUMMYFUNCTION("""COMPUTED_VALUE"""),0.0)</f>
        <v>0</v>
      </c>
      <c r="AP250" s="3">
        <f>IFERROR(__xludf.DUMMYFUNCTION("""COMPUTED_VALUE"""),0.0)</f>
        <v>0</v>
      </c>
      <c r="AQ250" s="3">
        <f>IFERROR(__xludf.DUMMYFUNCTION("""COMPUTED_VALUE"""),0.0)</f>
        <v>0</v>
      </c>
      <c r="AR250" s="3">
        <f>IFERROR(__xludf.DUMMYFUNCTION("""COMPUTED_VALUE"""),0.0)</f>
        <v>0</v>
      </c>
      <c r="AS250" s="3">
        <f>IFERROR(__xludf.DUMMYFUNCTION("""COMPUTED_VALUE"""),0.0)</f>
        <v>0</v>
      </c>
      <c r="AT250" s="3">
        <f>IFERROR(__xludf.DUMMYFUNCTION("""COMPUTED_VALUE"""),0.0)</f>
        <v>0</v>
      </c>
      <c r="AU250" s="3">
        <f>IFERROR(__xludf.DUMMYFUNCTION("""COMPUTED_VALUE"""),0.0)</f>
        <v>0</v>
      </c>
      <c r="AV250" s="3">
        <f>IFERROR(__xludf.DUMMYFUNCTION("""COMPUTED_VALUE"""),0.0)</f>
        <v>0</v>
      </c>
      <c r="AW250" s="3">
        <f>IFERROR(__xludf.DUMMYFUNCTION("""COMPUTED_VALUE"""),0.0)</f>
        <v>0</v>
      </c>
      <c r="AX250" s="3">
        <f>IFERROR(__xludf.DUMMYFUNCTION("""COMPUTED_VALUE"""),0.0)</f>
        <v>0</v>
      </c>
      <c r="AY250" s="3">
        <f>IFERROR(__xludf.DUMMYFUNCTION("""COMPUTED_VALUE"""),0.0)</f>
        <v>0</v>
      </c>
      <c r="AZ250" s="3">
        <f>IFERROR(__xludf.DUMMYFUNCTION("""COMPUTED_VALUE"""),0.0)</f>
        <v>0</v>
      </c>
      <c r="BA250" s="3">
        <f>IFERROR(__xludf.DUMMYFUNCTION("""COMPUTED_VALUE"""),0.0)</f>
        <v>0</v>
      </c>
      <c r="BB250" s="3">
        <f>IFERROR(__xludf.DUMMYFUNCTION("""COMPUTED_VALUE"""),0.0)</f>
        <v>0</v>
      </c>
      <c r="BC250" s="3">
        <f>IFERROR(__xludf.DUMMYFUNCTION("""COMPUTED_VALUE"""),0.0)</f>
        <v>0</v>
      </c>
      <c r="BD250" s="3">
        <f>IFERROR(__xludf.DUMMYFUNCTION("""COMPUTED_VALUE"""),0.0)</f>
        <v>0</v>
      </c>
      <c r="BE250" s="3">
        <f>IFERROR(__xludf.DUMMYFUNCTION("""COMPUTED_VALUE"""),0.0)</f>
        <v>0</v>
      </c>
      <c r="BF250" s="3">
        <f>IFERROR(__xludf.DUMMYFUNCTION("""COMPUTED_VALUE"""),0.0)</f>
        <v>0</v>
      </c>
      <c r="BG250" s="3">
        <f>IFERROR(__xludf.DUMMYFUNCTION("""COMPUTED_VALUE"""),0.0)</f>
        <v>0</v>
      </c>
      <c r="BH250" s="3">
        <f>IFERROR(__xludf.DUMMYFUNCTION("""COMPUTED_VALUE"""),0.0)</f>
        <v>0</v>
      </c>
      <c r="BI250" s="3">
        <f>IFERROR(__xludf.DUMMYFUNCTION("""COMPUTED_VALUE"""),0.0)</f>
        <v>0</v>
      </c>
      <c r="BJ250" s="3">
        <f>IFERROR(__xludf.DUMMYFUNCTION("""COMPUTED_VALUE"""),0.0)</f>
        <v>0</v>
      </c>
      <c r="BK250" s="3">
        <f>IFERROR(__xludf.DUMMYFUNCTION("""COMPUTED_VALUE"""),0.0)</f>
        <v>0</v>
      </c>
      <c r="BL250" s="3">
        <f>IFERROR(__xludf.DUMMYFUNCTION("""COMPUTED_VALUE"""),0.0)</f>
        <v>0</v>
      </c>
      <c r="BM250" s="3">
        <f>IFERROR(__xludf.DUMMYFUNCTION("""COMPUTED_VALUE"""),0.0)</f>
        <v>0</v>
      </c>
      <c r="BN250" s="3">
        <f>IFERROR(__xludf.DUMMYFUNCTION("""COMPUTED_VALUE"""),0.0)</f>
        <v>0</v>
      </c>
      <c r="BO250" s="3">
        <f>IFERROR(__xludf.DUMMYFUNCTION("""COMPUTED_VALUE"""),0.0)</f>
        <v>0</v>
      </c>
      <c r="BP250" s="3">
        <f>IFERROR(__xludf.DUMMYFUNCTION("""COMPUTED_VALUE"""),0.0)</f>
        <v>0</v>
      </c>
      <c r="BQ250" s="3">
        <f>IFERROR(__xludf.DUMMYFUNCTION("""COMPUTED_VALUE"""),0.0)</f>
        <v>0</v>
      </c>
      <c r="BR250" s="3">
        <f>IFERROR(__xludf.DUMMYFUNCTION("""COMPUTED_VALUE"""),0.0)</f>
        <v>0</v>
      </c>
      <c r="BS250" s="3">
        <f>IFERROR(__xludf.DUMMYFUNCTION("""COMPUTED_VALUE"""),0.0)</f>
        <v>0</v>
      </c>
      <c r="BT250" s="3">
        <f>IFERROR(__xludf.DUMMYFUNCTION("""COMPUTED_VALUE"""),0.0)</f>
        <v>0</v>
      </c>
      <c r="BU250" s="3">
        <f>IFERROR(__xludf.DUMMYFUNCTION("""COMPUTED_VALUE"""),0.0)</f>
        <v>0</v>
      </c>
      <c r="BV250" s="3">
        <f>IFERROR(__xludf.DUMMYFUNCTION("""COMPUTED_VALUE"""),0.0)</f>
        <v>0</v>
      </c>
      <c r="BW250" s="3">
        <f>IFERROR(__xludf.DUMMYFUNCTION("""COMPUTED_VALUE"""),0.0)</f>
        <v>0</v>
      </c>
      <c r="BX250" s="3">
        <f>IFERROR(__xludf.DUMMYFUNCTION("""COMPUTED_VALUE"""),0.0)</f>
        <v>0</v>
      </c>
      <c r="BY250" s="3">
        <f>IFERROR(__xludf.DUMMYFUNCTION("""COMPUTED_VALUE"""),0.0)</f>
        <v>0</v>
      </c>
      <c r="BZ250" s="3">
        <f>IFERROR(__xludf.DUMMYFUNCTION("""COMPUTED_VALUE"""),0.0)</f>
        <v>0</v>
      </c>
      <c r="CA250" s="3">
        <f>IFERROR(__xludf.DUMMYFUNCTION("""COMPUTED_VALUE"""),0.0)</f>
        <v>0</v>
      </c>
      <c r="CB250" s="3">
        <f>IFERROR(__xludf.DUMMYFUNCTION("""COMPUTED_VALUE"""),0.0)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tr">
        <f>recovered!B1</f>
        <v>Country/Region</v>
      </c>
      <c r="C1" s="1" t="str">
        <f>recovered!C1</f>
        <v>Lat</v>
      </c>
      <c r="D1" s="1" t="str">
        <f>recovered!D1</f>
        <v>Long</v>
      </c>
      <c r="E1" s="1">
        <f>recovered!E1</f>
        <v>43852</v>
      </c>
      <c r="F1" s="1">
        <f>recovered!F1</f>
        <v>43853</v>
      </c>
      <c r="G1" s="1">
        <f>recovered!G1</f>
        <v>43854</v>
      </c>
      <c r="H1" s="1">
        <f>recovered!H1</f>
        <v>43855</v>
      </c>
      <c r="I1" s="1">
        <f>recovered!I1</f>
        <v>43856</v>
      </c>
      <c r="J1" s="1">
        <f>recovered!J1</f>
        <v>43857</v>
      </c>
      <c r="K1" s="1">
        <f>recovered!K1</f>
        <v>43858</v>
      </c>
      <c r="L1" s="1">
        <f>recovered!L1</f>
        <v>43859</v>
      </c>
      <c r="M1" s="1">
        <f>recovered!M1</f>
        <v>43860</v>
      </c>
      <c r="N1" s="1">
        <f>recovered!N1</f>
        <v>43861</v>
      </c>
      <c r="O1" s="1">
        <f>recovered!O1</f>
        <v>43862</v>
      </c>
      <c r="P1" s="1">
        <f>recovered!P1</f>
        <v>43863</v>
      </c>
      <c r="Q1" s="1">
        <f>recovered!Q1</f>
        <v>43864</v>
      </c>
      <c r="R1" s="1">
        <f>recovered!R1</f>
        <v>43865</v>
      </c>
      <c r="S1" s="1">
        <f>recovered!S1</f>
        <v>43866</v>
      </c>
      <c r="T1" s="1">
        <f>recovered!T1</f>
        <v>43867</v>
      </c>
      <c r="U1" s="1">
        <f>recovered!U1</f>
        <v>43868</v>
      </c>
      <c r="V1" s="1">
        <f>recovered!V1</f>
        <v>43869</v>
      </c>
      <c r="W1" s="1">
        <f>recovered!W1</f>
        <v>43870</v>
      </c>
      <c r="X1" s="1">
        <f>recovered!X1</f>
        <v>43871</v>
      </c>
      <c r="Y1" s="1">
        <f>recovered!Y1</f>
        <v>43872</v>
      </c>
      <c r="Z1" s="1">
        <f>recovered!Z1</f>
        <v>43873</v>
      </c>
      <c r="AA1" s="1">
        <f>recovered!AA1</f>
        <v>43874</v>
      </c>
      <c r="AB1" s="1">
        <f>recovered!AB1</f>
        <v>43875</v>
      </c>
      <c r="AC1" s="1">
        <f>recovered!AC1</f>
        <v>43876</v>
      </c>
      <c r="AD1" s="1">
        <f>recovered!AD1</f>
        <v>43877</v>
      </c>
      <c r="AE1" s="1">
        <f>recovered!AE1</f>
        <v>43878</v>
      </c>
      <c r="AF1" s="1">
        <f>recovered!AF1</f>
        <v>43879</v>
      </c>
      <c r="AG1" s="1">
        <f>recovered!AG1</f>
        <v>43880</v>
      </c>
      <c r="AH1" s="1">
        <f>recovered!AH1</f>
        <v>43881</v>
      </c>
      <c r="AI1" s="1">
        <f>recovered!AI1</f>
        <v>43882</v>
      </c>
      <c r="AJ1" s="1">
        <f>recovered!AJ1</f>
        <v>43883</v>
      </c>
      <c r="AK1" s="1">
        <f>recovered!AK1</f>
        <v>43884</v>
      </c>
      <c r="AL1" s="1">
        <f>recovered!AL1</f>
        <v>43885</v>
      </c>
      <c r="AM1" s="1">
        <f>recovered!AM1</f>
        <v>43886</v>
      </c>
      <c r="AN1" s="1">
        <f>recovered!AN1</f>
        <v>43887</v>
      </c>
      <c r="AO1" s="1">
        <f>recovered!AO1</f>
        <v>43888</v>
      </c>
      <c r="AP1" s="1">
        <f>recovered!AP1</f>
        <v>43889</v>
      </c>
      <c r="AQ1" s="1">
        <f>recovered!AQ1</f>
        <v>43890</v>
      </c>
      <c r="AR1" s="1">
        <f>recovered!AR1</f>
        <v>43891</v>
      </c>
      <c r="AS1" s="1">
        <f>recovered!AS1</f>
        <v>43892</v>
      </c>
      <c r="AT1" s="1">
        <f>recovered!AT1</f>
        <v>43893</v>
      </c>
      <c r="AU1" s="1">
        <f>recovered!AU1</f>
        <v>43894</v>
      </c>
      <c r="AV1" s="1">
        <f>recovered!AV1</f>
        <v>43895</v>
      </c>
      <c r="AW1" s="1">
        <f>recovered!AW1</f>
        <v>43896</v>
      </c>
      <c r="AX1" s="1">
        <f>recovered!AX1</f>
        <v>43897</v>
      </c>
      <c r="AY1" s="1">
        <f>recovered!AY1</f>
        <v>43898</v>
      </c>
      <c r="AZ1" s="1">
        <f>recovered!AZ1</f>
        <v>43899</v>
      </c>
      <c r="BA1" s="1">
        <f>recovered!BA1</f>
        <v>43900</v>
      </c>
      <c r="BB1" s="1">
        <f>recovered!BB1</f>
        <v>43901</v>
      </c>
      <c r="BC1" s="1">
        <f>recovered!BC1</f>
        <v>43902</v>
      </c>
      <c r="BD1" s="1">
        <f>recovered!BD1</f>
        <v>43903</v>
      </c>
      <c r="BE1" s="1">
        <f>recovered!BE1</f>
        <v>43904</v>
      </c>
      <c r="BF1" s="1">
        <f>recovered!BF1</f>
        <v>43905</v>
      </c>
      <c r="BG1" s="1">
        <f>recovered!BG1</f>
        <v>43906</v>
      </c>
      <c r="BH1" s="1">
        <f>recovered!BH1</f>
        <v>43907</v>
      </c>
      <c r="BI1" s="1">
        <f>recovered!BI1</f>
        <v>43908</v>
      </c>
      <c r="BJ1" s="1">
        <f>recovered!BJ1</f>
        <v>43909</v>
      </c>
      <c r="BK1" s="1">
        <f>recovered!BK1</f>
        <v>43910</v>
      </c>
      <c r="BL1" s="1">
        <f>recovered!BL1</f>
        <v>43911</v>
      </c>
      <c r="BM1" s="1">
        <f>recovered!BM1</f>
        <v>43912</v>
      </c>
      <c r="BN1" s="1">
        <f>recovered!BN1</f>
        <v>43913</v>
      </c>
      <c r="BO1" s="1">
        <f>recovered!BO1</f>
        <v>43914</v>
      </c>
      <c r="BP1" s="1">
        <f>recovered!BP1</f>
        <v>43915</v>
      </c>
      <c r="BQ1" s="1">
        <f>recovered!BQ1</f>
        <v>43916</v>
      </c>
      <c r="BR1" s="1">
        <f>recovered!BR1</f>
        <v>43917</v>
      </c>
      <c r="BS1" s="1">
        <f>recovered!BS1</f>
        <v>43918</v>
      </c>
      <c r="BT1" s="1">
        <f>recovered!BT1</f>
        <v>43919</v>
      </c>
      <c r="BU1" s="1">
        <f>recovered!BU1</f>
        <v>43920</v>
      </c>
      <c r="BV1" s="1">
        <f>recovered!BV1</f>
        <v>43921</v>
      </c>
      <c r="BW1" s="1">
        <f>recovered!BW1</f>
        <v>43922</v>
      </c>
      <c r="BX1" s="1">
        <f>recovered!BX1</f>
        <v>43923</v>
      </c>
      <c r="BY1" s="1">
        <f>recovered!BY1</f>
        <v>43924</v>
      </c>
      <c r="BZ1" s="1"/>
      <c r="CA1" s="1"/>
      <c r="CB1" s="1"/>
      <c r="CC1" s="1"/>
    </row>
    <row r="2">
      <c r="B2" s="1" t="str">
        <f>recovered!B2</f>
        <v>Afghanistan</v>
      </c>
      <c r="C2" s="4">
        <f>recovered!C2</f>
        <v>33</v>
      </c>
      <c r="D2" s="4">
        <f>recovered!D2</f>
        <v>65</v>
      </c>
      <c r="E2" s="5">
        <f>recovered!E2</f>
        <v>0</v>
      </c>
      <c r="F2" s="5">
        <f>recovered!F2-recovered!E2</f>
        <v>0</v>
      </c>
      <c r="G2" s="5">
        <f>recovered!G2-recovered!F2</f>
        <v>0</v>
      </c>
      <c r="H2" s="5">
        <f>recovered!H2-recovered!G2</f>
        <v>0</v>
      </c>
      <c r="I2" s="5">
        <f>recovered!I2-recovered!H2</f>
        <v>0</v>
      </c>
      <c r="J2" s="5">
        <f>recovered!J2-recovered!I2</f>
        <v>0</v>
      </c>
      <c r="K2" s="5">
        <f>recovered!K2-recovered!J2</f>
        <v>0</v>
      </c>
      <c r="L2" s="5">
        <f>recovered!L2-recovered!K2</f>
        <v>0</v>
      </c>
      <c r="M2" s="5">
        <f>recovered!M2-recovered!L2</f>
        <v>0</v>
      </c>
      <c r="N2" s="5">
        <f>recovered!N2-recovered!M2</f>
        <v>0</v>
      </c>
      <c r="O2" s="5">
        <f>recovered!O2-recovered!N2</f>
        <v>0</v>
      </c>
      <c r="P2" s="5">
        <f>recovered!P2-recovered!O2</f>
        <v>0</v>
      </c>
      <c r="Q2" s="5">
        <f>recovered!Q2-recovered!P2</f>
        <v>0</v>
      </c>
      <c r="R2" s="5">
        <f>recovered!R2-recovered!Q2</f>
        <v>0</v>
      </c>
      <c r="S2" s="5">
        <f>recovered!S2-recovered!R2</f>
        <v>0</v>
      </c>
      <c r="T2" s="5">
        <f>recovered!T2-recovered!S2</f>
        <v>0</v>
      </c>
      <c r="U2" s="5">
        <f>recovered!U2-recovered!T2</f>
        <v>0</v>
      </c>
      <c r="V2" s="5">
        <f>recovered!V2-recovered!U2</f>
        <v>0</v>
      </c>
      <c r="W2" s="5">
        <f>recovered!W2-recovered!V2</f>
        <v>0</v>
      </c>
      <c r="X2" s="5">
        <f>recovered!X2-recovered!W2</f>
        <v>0</v>
      </c>
      <c r="Y2" s="5">
        <f>recovered!Y2-recovered!X2</f>
        <v>0</v>
      </c>
      <c r="Z2" s="5">
        <f>recovered!Z2-recovered!Y2</f>
        <v>0</v>
      </c>
      <c r="AA2" s="5">
        <f>recovered!AA2-recovered!Z2</f>
        <v>0</v>
      </c>
      <c r="AB2" s="5">
        <f>recovered!AB2-recovered!AA2</f>
        <v>0</v>
      </c>
      <c r="AC2" s="5">
        <f>recovered!AC2-recovered!AB2</f>
        <v>0</v>
      </c>
      <c r="AD2" s="5">
        <f>recovered!AD2-recovered!AC2</f>
        <v>0</v>
      </c>
      <c r="AE2" s="5">
        <f>recovered!AE2-recovered!AD2</f>
        <v>0</v>
      </c>
      <c r="AF2" s="5">
        <f>recovered!AF2-recovered!AE2</f>
        <v>0</v>
      </c>
      <c r="AG2" s="5">
        <f>recovered!AG2-recovered!AF2</f>
        <v>0</v>
      </c>
      <c r="AH2" s="5">
        <f>recovered!AH2-recovered!AG2</f>
        <v>0</v>
      </c>
      <c r="AI2" s="5">
        <f>recovered!AI2-recovered!AH2</f>
        <v>0</v>
      </c>
      <c r="AJ2" s="5">
        <f>recovered!AJ2-recovered!AI2</f>
        <v>0</v>
      </c>
      <c r="AK2" s="5">
        <f>recovered!AK2-recovered!AJ2</f>
        <v>0</v>
      </c>
      <c r="AL2" s="5">
        <f>recovered!AL2-recovered!AK2</f>
        <v>0</v>
      </c>
      <c r="AM2" s="5">
        <f>recovered!AM2-recovered!AL2</f>
        <v>0</v>
      </c>
      <c r="AN2" s="5">
        <f>recovered!AN2-recovered!AM2</f>
        <v>0</v>
      </c>
      <c r="AO2" s="5">
        <f>recovered!AO2-recovered!AN2</f>
        <v>0</v>
      </c>
      <c r="AP2" s="5">
        <f>recovered!AP2-recovered!AO2</f>
        <v>0</v>
      </c>
      <c r="AQ2" s="5">
        <f>recovered!AQ2-recovered!AP2</f>
        <v>0</v>
      </c>
      <c r="AR2" s="5">
        <f>recovered!AR2-recovered!AQ2</f>
        <v>0</v>
      </c>
      <c r="AS2" s="5">
        <f>recovered!AS2-recovered!AR2</f>
        <v>0</v>
      </c>
      <c r="AT2" s="5">
        <f>recovered!AT2-recovered!AS2</f>
        <v>0</v>
      </c>
      <c r="AU2" s="5">
        <f>recovered!AU2-recovered!AT2</f>
        <v>0</v>
      </c>
      <c r="AV2" s="5">
        <f>recovered!AV2-recovered!AU2</f>
        <v>0</v>
      </c>
      <c r="AW2" s="5">
        <f>recovered!AW2-recovered!AV2</f>
        <v>0</v>
      </c>
      <c r="AX2" s="5">
        <f>recovered!AX2-recovered!AW2</f>
        <v>0</v>
      </c>
      <c r="AY2" s="5">
        <f>recovered!AY2-recovered!AX2</f>
        <v>0</v>
      </c>
      <c r="AZ2" s="5">
        <f>recovered!AZ2-recovered!AY2</f>
        <v>0</v>
      </c>
      <c r="BA2" s="5">
        <f>recovered!BA2-recovered!AZ2</f>
        <v>0</v>
      </c>
      <c r="BB2" s="5">
        <f>recovered!BB2-recovered!BA2</f>
        <v>0</v>
      </c>
      <c r="BC2" s="5">
        <f>recovered!BC2-recovered!BB2</f>
        <v>0</v>
      </c>
      <c r="BD2" s="5">
        <f>recovered!BD2-recovered!BC2</f>
        <v>0</v>
      </c>
      <c r="BE2" s="5">
        <f>recovered!BE2-recovered!BD2</f>
        <v>0</v>
      </c>
      <c r="BF2" s="5">
        <f>recovered!BF2-recovered!BE2</f>
        <v>0</v>
      </c>
      <c r="BG2" s="5">
        <f>recovered!BG2-recovered!BF2</f>
        <v>1</v>
      </c>
      <c r="BH2" s="5">
        <f>recovered!BH2-recovered!BG2</f>
        <v>0</v>
      </c>
      <c r="BI2" s="5">
        <f>recovered!BI2-recovered!BH2</f>
        <v>0</v>
      </c>
      <c r="BJ2" s="5">
        <f>recovered!BJ2-recovered!BI2</f>
        <v>0</v>
      </c>
      <c r="BK2" s="5">
        <f>recovered!BK2-recovered!BJ2</f>
        <v>0</v>
      </c>
      <c r="BL2" s="5">
        <f>recovered!BL2-recovered!BK2</f>
        <v>0</v>
      </c>
      <c r="BM2" s="5">
        <f>recovered!BM2-recovered!BL2</f>
        <v>0</v>
      </c>
      <c r="BN2" s="5">
        <f>recovered!BN2-recovered!BM2</f>
        <v>0</v>
      </c>
      <c r="BO2" s="5">
        <f>recovered!BO2-recovered!BN2</f>
        <v>0</v>
      </c>
      <c r="BP2" s="5">
        <f>recovered!BP2-recovered!BO2</f>
        <v>1</v>
      </c>
      <c r="BQ2" s="5">
        <f>recovered!BQ2-recovered!BP2</f>
        <v>0</v>
      </c>
      <c r="BR2" s="5">
        <f>recovered!BR2-recovered!BQ2</f>
        <v>0</v>
      </c>
      <c r="BS2" s="5">
        <f>recovered!BS2-recovered!BR2</f>
        <v>0</v>
      </c>
      <c r="BT2" s="5">
        <f>recovered!BT2-recovered!BS2</f>
        <v>0</v>
      </c>
      <c r="BU2" s="5">
        <f>recovered!BU2-recovered!BT2</f>
        <v>0</v>
      </c>
      <c r="BV2" s="5">
        <f>recovered!BV2-recovered!BU2</f>
        <v>3</v>
      </c>
      <c r="BW2" s="5">
        <f>recovered!BW2-recovered!BV2</f>
        <v>0</v>
      </c>
      <c r="BX2" s="5">
        <f>recovered!BX2-recovered!BW2</f>
        <v>5</v>
      </c>
      <c r="BY2" s="5">
        <f>recovered!BY2-recovered!BX2</f>
        <v>0</v>
      </c>
    </row>
    <row r="3">
      <c r="B3" s="1" t="str">
        <f>recovered!B3</f>
        <v>Albania</v>
      </c>
      <c r="C3" s="4">
        <f>recovered!C3</f>
        <v>41.1533</v>
      </c>
      <c r="D3" s="4">
        <f>recovered!D3</f>
        <v>20.1683</v>
      </c>
      <c r="E3" s="5">
        <f>recovered!E3</f>
        <v>0</v>
      </c>
      <c r="F3" s="5">
        <f>recovered!F3-recovered!E3</f>
        <v>0</v>
      </c>
      <c r="G3" s="5">
        <f>recovered!G3-recovered!F3</f>
        <v>0</v>
      </c>
      <c r="H3" s="5">
        <f>recovered!H3-recovered!G3</f>
        <v>0</v>
      </c>
      <c r="I3" s="5">
        <f>recovered!I3-recovered!H3</f>
        <v>0</v>
      </c>
      <c r="J3" s="5">
        <f>recovered!J3-recovered!I3</f>
        <v>0</v>
      </c>
      <c r="K3" s="5">
        <f>recovered!K3-recovered!J3</f>
        <v>0</v>
      </c>
      <c r="L3" s="5">
        <f>recovered!L3-recovered!K3</f>
        <v>0</v>
      </c>
      <c r="M3" s="5">
        <f>recovered!M3-recovered!L3</f>
        <v>0</v>
      </c>
      <c r="N3" s="5">
        <f>recovered!N3-recovered!M3</f>
        <v>0</v>
      </c>
      <c r="O3" s="5">
        <f>recovered!O3-recovered!N3</f>
        <v>0</v>
      </c>
      <c r="P3" s="5">
        <f>recovered!P3-recovered!O3</f>
        <v>0</v>
      </c>
      <c r="Q3" s="5">
        <f>recovered!Q3-recovered!P3</f>
        <v>0</v>
      </c>
      <c r="R3" s="5">
        <f>recovered!R3-recovered!Q3</f>
        <v>0</v>
      </c>
      <c r="S3" s="5">
        <f>recovered!S3-recovered!R3</f>
        <v>0</v>
      </c>
      <c r="T3" s="5">
        <f>recovered!T3-recovered!S3</f>
        <v>0</v>
      </c>
      <c r="U3" s="5">
        <f>recovered!U3-recovered!T3</f>
        <v>0</v>
      </c>
      <c r="V3" s="5">
        <f>recovered!V3-recovered!U3</f>
        <v>0</v>
      </c>
      <c r="W3" s="5">
        <f>recovered!W3-recovered!V3</f>
        <v>0</v>
      </c>
      <c r="X3" s="5">
        <f>recovered!X3-recovered!W3</f>
        <v>0</v>
      </c>
      <c r="Y3" s="5">
        <f>recovered!Y3-recovered!X3</f>
        <v>0</v>
      </c>
      <c r="Z3" s="5">
        <f>recovered!Z3-recovered!Y3</f>
        <v>0</v>
      </c>
      <c r="AA3" s="5">
        <f>recovered!AA3-recovered!Z3</f>
        <v>0</v>
      </c>
      <c r="AB3" s="5">
        <f>recovered!AB3-recovered!AA3</f>
        <v>0</v>
      </c>
      <c r="AC3" s="5">
        <f>recovered!AC3-recovered!AB3</f>
        <v>0</v>
      </c>
      <c r="AD3" s="5">
        <f>recovered!AD3-recovered!AC3</f>
        <v>0</v>
      </c>
      <c r="AE3" s="5">
        <f>recovered!AE3-recovered!AD3</f>
        <v>0</v>
      </c>
      <c r="AF3" s="5">
        <f>recovered!AF3-recovered!AE3</f>
        <v>0</v>
      </c>
      <c r="AG3" s="5">
        <f>recovered!AG3-recovered!AF3</f>
        <v>0</v>
      </c>
      <c r="AH3" s="5">
        <f>recovered!AH3-recovered!AG3</f>
        <v>0</v>
      </c>
      <c r="AI3" s="5">
        <f>recovered!AI3-recovered!AH3</f>
        <v>0</v>
      </c>
      <c r="AJ3" s="5">
        <f>recovered!AJ3-recovered!AI3</f>
        <v>0</v>
      </c>
      <c r="AK3" s="5">
        <f>recovered!AK3-recovered!AJ3</f>
        <v>0</v>
      </c>
      <c r="AL3" s="5">
        <f>recovered!AL3-recovered!AK3</f>
        <v>0</v>
      </c>
      <c r="AM3" s="5">
        <f>recovered!AM3-recovered!AL3</f>
        <v>0</v>
      </c>
      <c r="AN3" s="5">
        <f>recovered!AN3-recovered!AM3</f>
        <v>0</v>
      </c>
      <c r="AO3" s="5">
        <f>recovered!AO3-recovered!AN3</f>
        <v>0</v>
      </c>
      <c r="AP3" s="5">
        <f>recovered!AP3-recovered!AO3</f>
        <v>0</v>
      </c>
      <c r="AQ3" s="5">
        <f>recovered!AQ3-recovered!AP3</f>
        <v>0</v>
      </c>
      <c r="AR3" s="5">
        <f>recovered!AR3-recovered!AQ3</f>
        <v>0</v>
      </c>
      <c r="AS3" s="5">
        <f>recovered!AS3-recovered!AR3</f>
        <v>0</v>
      </c>
      <c r="AT3" s="5">
        <f>recovered!AT3-recovered!AS3</f>
        <v>0</v>
      </c>
      <c r="AU3" s="5">
        <f>recovered!AU3-recovered!AT3</f>
        <v>0</v>
      </c>
      <c r="AV3" s="5">
        <f>recovered!AV3-recovered!AU3</f>
        <v>0</v>
      </c>
      <c r="AW3" s="5">
        <f>recovered!AW3-recovered!AV3</f>
        <v>0</v>
      </c>
      <c r="AX3" s="5">
        <f>recovered!AX3-recovered!AW3</f>
        <v>0</v>
      </c>
      <c r="AY3" s="5">
        <f>recovered!AY3-recovered!AX3</f>
        <v>0</v>
      </c>
      <c r="AZ3" s="5">
        <f>recovered!AZ3-recovered!AY3</f>
        <v>0</v>
      </c>
      <c r="BA3" s="5">
        <f>recovered!BA3-recovered!AZ3</f>
        <v>0</v>
      </c>
      <c r="BB3" s="5">
        <f>recovered!BB3-recovered!BA3</f>
        <v>0</v>
      </c>
      <c r="BC3" s="5">
        <f>recovered!BC3-recovered!BB3</f>
        <v>0</v>
      </c>
      <c r="BD3" s="5">
        <f>recovered!BD3-recovered!BC3</f>
        <v>0</v>
      </c>
      <c r="BE3" s="5">
        <f>recovered!BE3-recovered!BD3</f>
        <v>0</v>
      </c>
      <c r="BF3" s="5">
        <f>recovered!BF3-recovered!BE3</f>
        <v>0</v>
      </c>
      <c r="BG3" s="5">
        <f>recovered!BG3-recovered!BF3</f>
        <v>0</v>
      </c>
      <c r="BH3" s="5">
        <f>recovered!BH3-recovered!BG3</f>
        <v>0</v>
      </c>
      <c r="BI3" s="5">
        <f>recovered!BI3-recovered!BH3</f>
        <v>0</v>
      </c>
      <c r="BJ3" s="5">
        <f>recovered!BJ3-recovered!BI3</f>
        <v>0</v>
      </c>
      <c r="BK3" s="5">
        <f>recovered!BK3-recovered!BJ3</f>
        <v>0</v>
      </c>
      <c r="BL3" s="5">
        <f>recovered!BL3-recovered!BK3</f>
        <v>2</v>
      </c>
      <c r="BM3" s="5">
        <f>recovered!BM3-recovered!BL3</f>
        <v>0</v>
      </c>
      <c r="BN3" s="5">
        <f>recovered!BN3-recovered!BM3</f>
        <v>0</v>
      </c>
      <c r="BO3" s="5">
        <f>recovered!BO3-recovered!BN3</f>
        <v>8</v>
      </c>
      <c r="BP3" s="5">
        <f>recovered!BP3-recovered!BO3</f>
        <v>7</v>
      </c>
      <c r="BQ3" s="5">
        <f>recovered!BQ3-recovered!BP3</f>
        <v>0</v>
      </c>
      <c r="BR3" s="5">
        <f>recovered!BR3-recovered!BQ3</f>
        <v>14</v>
      </c>
      <c r="BS3" s="5">
        <f>recovered!BS3-recovered!BR3</f>
        <v>0</v>
      </c>
      <c r="BT3" s="5">
        <f>recovered!BT3-recovered!BS3</f>
        <v>2</v>
      </c>
      <c r="BU3" s="5">
        <f>recovered!BU3-recovered!BT3</f>
        <v>11</v>
      </c>
      <c r="BV3" s="5">
        <f>recovered!BV3-recovered!BU3</f>
        <v>8</v>
      </c>
      <c r="BW3" s="5">
        <f>recovered!BW3-recovered!BV3</f>
        <v>15</v>
      </c>
      <c r="BX3" s="5">
        <f>recovered!BX3-recovered!BW3</f>
        <v>9</v>
      </c>
      <c r="BY3" s="5">
        <f>recovered!BY3-recovered!BX3</f>
        <v>13</v>
      </c>
    </row>
    <row r="4">
      <c r="B4" s="1" t="str">
        <f>recovered!B4</f>
        <v>Algeria</v>
      </c>
      <c r="C4" s="4">
        <f>recovered!C4</f>
        <v>28.0339</v>
      </c>
      <c r="D4" s="4">
        <f>recovered!D4</f>
        <v>1.6596</v>
      </c>
      <c r="E4" s="5">
        <f>recovered!E4</f>
        <v>0</v>
      </c>
      <c r="F4" s="5">
        <f>recovered!F4-recovered!E4</f>
        <v>0</v>
      </c>
      <c r="G4" s="5">
        <f>recovered!G4-recovered!F4</f>
        <v>0</v>
      </c>
      <c r="H4" s="5">
        <f>recovered!H4-recovered!G4</f>
        <v>0</v>
      </c>
      <c r="I4" s="5">
        <f>recovered!I4-recovered!H4</f>
        <v>0</v>
      </c>
      <c r="J4" s="5">
        <f>recovered!J4-recovered!I4</f>
        <v>0</v>
      </c>
      <c r="K4" s="5">
        <f>recovered!K4-recovered!J4</f>
        <v>0</v>
      </c>
      <c r="L4" s="5">
        <f>recovered!L4-recovered!K4</f>
        <v>0</v>
      </c>
      <c r="M4" s="5">
        <f>recovered!M4-recovered!L4</f>
        <v>0</v>
      </c>
      <c r="N4" s="5">
        <f>recovered!N4-recovered!M4</f>
        <v>0</v>
      </c>
      <c r="O4" s="5">
        <f>recovered!O4-recovered!N4</f>
        <v>0</v>
      </c>
      <c r="P4" s="5">
        <f>recovered!P4-recovered!O4</f>
        <v>0</v>
      </c>
      <c r="Q4" s="5">
        <f>recovered!Q4-recovered!P4</f>
        <v>0</v>
      </c>
      <c r="R4" s="5">
        <f>recovered!R4-recovered!Q4</f>
        <v>0</v>
      </c>
      <c r="S4" s="5">
        <f>recovered!S4-recovered!R4</f>
        <v>0</v>
      </c>
      <c r="T4" s="5">
        <f>recovered!T4-recovered!S4</f>
        <v>0</v>
      </c>
      <c r="U4" s="5">
        <f>recovered!U4-recovered!T4</f>
        <v>0</v>
      </c>
      <c r="V4" s="5">
        <f>recovered!V4-recovered!U4</f>
        <v>0</v>
      </c>
      <c r="W4" s="5">
        <f>recovered!W4-recovered!V4</f>
        <v>0</v>
      </c>
      <c r="X4" s="5">
        <f>recovered!X4-recovered!W4</f>
        <v>0</v>
      </c>
      <c r="Y4" s="5">
        <f>recovered!Y4-recovered!X4</f>
        <v>0</v>
      </c>
      <c r="Z4" s="5">
        <f>recovered!Z4-recovered!Y4</f>
        <v>0</v>
      </c>
      <c r="AA4" s="5">
        <f>recovered!AA4-recovered!Z4</f>
        <v>0</v>
      </c>
      <c r="AB4" s="5">
        <f>recovered!AB4-recovered!AA4</f>
        <v>0</v>
      </c>
      <c r="AC4" s="5">
        <f>recovered!AC4-recovered!AB4</f>
        <v>0</v>
      </c>
      <c r="AD4" s="5">
        <f>recovered!AD4-recovered!AC4</f>
        <v>0</v>
      </c>
      <c r="AE4" s="5">
        <f>recovered!AE4-recovered!AD4</f>
        <v>0</v>
      </c>
      <c r="AF4" s="5">
        <f>recovered!AF4-recovered!AE4</f>
        <v>0</v>
      </c>
      <c r="AG4" s="5">
        <f>recovered!AG4-recovered!AF4</f>
        <v>0</v>
      </c>
      <c r="AH4" s="5">
        <f>recovered!AH4-recovered!AG4</f>
        <v>0</v>
      </c>
      <c r="AI4" s="5">
        <f>recovered!AI4-recovered!AH4</f>
        <v>0</v>
      </c>
      <c r="AJ4" s="5">
        <f>recovered!AJ4-recovered!AI4</f>
        <v>0</v>
      </c>
      <c r="AK4" s="5">
        <f>recovered!AK4-recovered!AJ4</f>
        <v>0</v>
      </c>
      <c r="AL4" s="5">
        <f>recovered!AL4-recovered!AK4</f>
        <v>0</v>
      </c>
      <c r="AM4" s="5">
        <f>recovered!AM4-recovered!AL4</f>
        <v>0</v>
      </c>
      <c r="AN4" s="5">
        <f>recovered!AN4-recovered!AM4</f>
        <v>0</v>
      </c>
      <c r="AO4" s="5">
        <f>recovered!AO4-recovered!AN4</f>
        <v>0</v>
      </c>
      <c r="AP4" s="5">
        <f>recovered!AP4-recovered!AO4</f>
        <v>0</v>
      </c>
      <c r="AQ4" s="5">
        <f>recovered!AQ4-recovered!AP4</f>
        <v>0</v>
      </c>
      <c r="AR4" s="5">
        <f>recovered!AR4-recovered!AQ4</f>
        <v>0</v>
      </c>
      <c r="AS4" s="5">
        <f>recovered!AS4-recovered!AR4</f>
        <v>0</v>
      </c>
      <c r="AT4" s="5">
        <f>recovered!AT4-recovered!AS4</f>
        <v>0</v>
      </c>
      <c r="AU4" s="5">
        <f>recovered!AU4-recovered!AT4</f>
        <v>0</v>
      </c>
      <c r="AV4" s="5">
        <f>recovered!AV4-recovered!AU4</f>
        <v>0</v>
      </c>
      <c r="AW4" s="5">
        <f>recovered!AW4-recovered!AV4</f>
        <v>0</v>
      </c>
      <c r="AX4" s="5">
        <f>recovered!AX4-recovered!AW4</f>
        <v>0</v>
      </c>
      <c r="AY4" s="5">
        <f>recovered!AY4-recovered!AX4</f>
        <v>0</v>
      </c>
      <c r="AZ4" s="5">
        <f>recovered!AZ4-recovered!AY4</f>
        <v>0</v>
      </c>
      <c r="BA4" s="5">
        <f>recovered!BA4-recovered!AZ4</f>
        <v>0</v>
      </c>
      <c r="BB4" s="5">
        <f>recovered!BB4-recovered!BA4</f>
        <v>0</v>
      </c>
      <c r="BC4" s="5">
        <f>recovered!BC4-recovered!BB4</f>
        <v>8</v>
      </c>
      <c r="BD4" s="5">
        <f>recovered!BD4-recovered!BC4</f>
        <v>0</v>
      </c>
      <c r="BE4" s="5">
        <f>recovered!BE4-recovered!BD4</f>
        <v>4</v>
      </c>
      <c r="BF4" s="5">
        <f>recovered!BF4-recovered!BE4</f>
        <v>0</v>
      </c>
      <c r="BG4" s="5">
        <f>recovered!BG4-recovered!BF4</f>
        <v>0</v>
      </c>
      <c r="BH4" s="5">
        <f>recovered!BH4-recovered!BG4</f>
        <v>0</v>
      </c>
      <c r="BI4" s="5">
        <f>recovered!BI4-recovered!BH4</f>
        <v>0</v>
      </c>
      <c r="BJ4" s="5">
        <f>recovered!BJ4-recovered!BI4</f>
        <v>20</v>
      </c>
      <c r="BK4" s="5">
        <f>recovered!BK4-recovered!BJ4</f>
        <v>0</v>
      </c>
      <c r="BL4" s="5">
        <f>recovered!BL4-recovered!BK4</f>
        <v>0</v>
      </c>
      <c r="BM4" s="5">
        <f>recovered!BM4-recovered!BL4</f>
        <v>33</v>
      </c>
      <c r="BN4" s="5">
        <f>recovered!BN4-recovered!BM4</f>
        <v>0</v>
      </c>
      <c r="BO4" s="5">
        <f>recovered!BO4-recovered!BN4</f>
        <v>-41</v>
      </c>
      <c r="BP4" s="5">
        <f>recovered!BP4-recovered!BO4</f>
        <v>41</v>
      </c>
      <c r="BQ4" s="5">
        <f>recovered!BQ4-recovered!BP4</f>
        <v>-36</v>
      </c>
      <c r="BR4" s="5">
        <f>recovered!BR4-recovered!BQ4</f>
        <v>0</v>
      </c>
      <c r="BS4" s="5">
        <f>recovered!BS4-recovered!BR4</f>
        <v>2</v>
      </c>
      <c r="BT4" s="5">
        <f>recovered!BT4-recovered!BS4</f>
        <v>0</v>
      </c>
      <c r="BU4" s="5">
        <f>recovered!BU4-recovered!BT4</f>
        <v>6</v>
      </c>
      <c r="BV4" s="5">
        <f>recovered!BV4-recovered!BU4</f>
        <v>9</v>
      </c>
      <c r="BW4" s="5">
        <f>recovered!BW4-recovered!BV4</f>
        <v>15</v>
      </c>
      <c r="BX4" s="5">
        <f>recovered!BX4-recovered!BW4</f>
        <v>0</v>
      </c>
      <c r="BY4" s="5">
        <f>recovered!BY4-recovered!BX4</f>
        <v>1</v>
      </c>
    </row>
    <row r="5">
      <c r="B5" s="1" t="str">
        <f>recovered!B5</f>
        <v>Andorra</v>
      </c>
      <c r="C5" s="4">
        <f>recovered!C5</f>
        <v>42.5063</v>
      </c>
      <c r="D5" s="4">
        <f>recovered!D5</f>
        <v>1.5218</v>
      </c>
      <c r="E5" s="5">
        <f>recovered!E5</f>
        <v>0</v>
      </c>
      <c r="F5" s="5">
        <f>recovered!F5-recovered!E5</f>
        <v>0</v>
      </c>
      <c r="G5" s="5">
        <f>recovered!G5-recovered!F5</f>
        <v>0</v>
      </c>
      <c r="H5" s="5">
        <f>recovered!H5-recovered!G5</f>
        <v>0</v>
      </c>
      <c r="I5" s="5">
        <f>recovered!I5-recovered!H5</f>
        <v>0</v>
      </c>
      <c r="J5" s="5">
        <f>recovered!J5-recovered!I5</f>
        <v>0</v>
      </c>
      <c r="K5" s="5">
        <f>recovered!K5-recovered!J5</f>
        <v>0</v>
      </c>
      <c r="L5" s="5">
        <f>recovered!L5-recovered!K5</f>
        <v>0</v>
      </c>
      <c r="M5" s="5">
        <f>recovered!M5-recovered!L5</f>
        <v>0</v>
      </c>
      <c r="N5" s="5">
        <f>recovered!N5-recovered!M5</f>
        <v>0</v>
      </c>
      <c r="O5" s="5">
        <f>recovered!O5-recovered!N5</f>
        <v>0</v>
      </c>
      <c r="P5" s="5">
        <f>recovered!P5-recovered!O5</f>
        <v>0</v>
      </c>
      <c r="Q5" s="5">
        <f>recovered!Q5-recovered!P5</f>
        <v>0</v>
      </c>
      <c r="R5" s="5">
        <f>recovered!R5-recovered!Q5</f>
        <v>0</v>
      </c>
      <c r="S5" s="5">
        <f>recovered!S5-recovered!R5</f>
        <v>0</v>
      </c>
      <c r="T5" s="5">
        <f>recovered!T5-recovered!S5</f>
        <v>0</v>
      </c>
      <c r="U5" s="5">
        <f>recovered!U5-recovered!T5</f>
        <v>0</v>
      </c>
      <c r="V5" s="5">
        <f>recovered!V5-recovered!U5</f>
        <v>0</v>
      </c>
      <c r="W5" s="5">
        <f>recovered!W5-recovered!V5</f>
        <v>0</v>
      </c>
      <c r="X5" s="5">
        <f>recovered!X5-recovered!W5</f>
        <v>0</v>
      </c>
      <c r="Y5" s="5">
        <f>recovered!Y5-recovered!X5</f>
        <v>0</v>
      </c>
      <c r="Z5" s="5">
        <f>recovered!Z5-recovered!Y5</f>
        <v>0</v>
      </c>
      <c r="AA5" s="5">
        <f>recovered!AA5-recovered!Z5</f>
        <v>0</v>
      </c>
      <c r="AB5" s="5">
        <f>recovered!AB5-recovered!AA5</f>
        <v>0</v>
      </c>
      <c r="AC5" s="5">
        <f>recovered!AC5-recovered!AB5</f>
        <v>0</v>
      </c>
      <c r="AD5" s="5">
        <f>recovered!AD5-recovered!AC5</f>
        <v>0</v>
      </c>
      <c r="AE5" s="5">
        <f>recovered!AE5-recovered!AD5</f>
        <v>0</v>
      </c>
      <c r="AF5" s="5">
        <f>recovered!AF5-recovered!AE5</f>
        <v>0</v>
      </c>
      <c r="AG5" s="5">
        <f>recovered!AG5-recovered!AF5</f>
        <v>0</v>
      </c>
      <c r="AH5" s="5">
        <f>recovered!AH5-recovered!AG5</f>
        <v>0</v>
      </c>
      <c r="AI5" s="5">
        <f>recovered!AI5-recovered!AH5</f>
        <v>0</v>
      </c>
      <c r="AJ5" s="5">
        <f>recovered!AJ5-recovered!AI5</f>
        <v>0</v>
      </c>
      <c r="AK5" s="5">
        <f>recovered!AK5-recovered!AJ5</f>
        <v>0</v>
      </c>
      <c r="AL5" s="5">
        <f>recovered!AL5-recovered!AK5</f>
        <v>0</v>
      </c>
      <c r="AM5" s="5">
        <f>recovered!AM5-recovered!AL5</f>
        <v>0</v>
      </c>
      <c r="AN5" s="5">
        <f>recovered!AN5-recovered!AM5</f>
        <v>0</v>
      </c>
      <c r="AO5" s="5">
        <f>recovered!AO5-recovered!AN5</f>
        <v>0</v>
      </c>
      <c r="AP5" s="5">
        <f>recovered!AP5-recovered!AO5</f>
        <v>0</v>
      </c>
      <c r="AQ5" s="5">
        <f>recovered!AQ5-recovered!AP5</f>
        <v>0</v>
      </c>
      <c r="AR5" s="5">
        <f>recovered!AR5-recovered!AQ5</f>
        <v>0</v>
      </c>
      <c r="AS5" s="5">
        <f>recovered!AS5-recovered!AR5</f>
        <v>0</v>
      </c>
      <c r="AT5" s="5">
        <f>recovered!AT5-recovered!AS5</f>
        <v>0</v>
      </c>
      <c r="AU5" s="5">
        <f>recovered!AU5-recovered!AT5</f>
        <v>0</v>
      </c>
      <c r="AV5" s="5">
        <f>recovered!AV5-recovered!AU5</f>
        <v>0</v>
      </c>
      <c r="AW5" s="5">
        <f>recovered!AW5-recovered!AV5</f>
        <v>0</v>
      </c>
      <c r="AX5" s="5">
        <f>recovered!AX5-recovered!AW5</f>
        <v>0</v>
      </c>
      <c r="AY5" s="5">
        <f>recovered!AY5-recovered!AX5</f>
        <v>0</v>
      </c>
      <c r="AZ5" s="5">
        <f>recovered!AZ5-recovered!AY5</f>
        <v>0</v>
      </c>
      <c r="BA5" s="5">
        <f>recovered!BA5-recovered!AZ5</f>
        <v>0</v>
      </c>
      <c r="BB5" s="5">
        <f>recovered!BB5-recovered!BA5</f>
        <v>0</v>
      </c>
      <c r="BC5" s="5">
        <f>recovered!BC5-recovered!BB5</f>
        <v>1</v>
      </c>
      <c r="BD5" s="5">
        <f>recovered!BD5-recovered!BC5</f>
        <v>-1</v>
      </c>
      <c r="BE5" s="5">
        <f>recovered!BE5-recovered!BD5</f>
        <v>1</v>
      </c>
      <c r="BF5" s="5">
        <f>recovered!BF5-recovered!BE5</f>
        <v>0</v>
      </c>
      <c r="BG5" s="5">
        <f>recovered!BG5-recovered!BF5</f>
        <v>0</v>
      </c>
      <c r="BH5" s="5">
        <f>recovered!BH5-recovered!BG5</f>
        <v>0</v>
      </c>
      <c r="BI5" s="5">
        <f>recovered!BI5-recovered!BH5</f>
        <v>0</v>
      </c>
      <c r="BJ5" s="5">
        <f>recovered!BJ5-recovered!BI5</f>
        <v>0</v>
      </c>
      <c r="BK5" s="5">
        <f>recovered!BK5-recovered!BJ5</f>
        <v>0</v>
      </c>
      <c r="BL5" s="5">
        <f>recovered!BL5-recovered!BK5</f>
        <v>0</v>
      </c>
      <c r="BM5" s="5">
        <f>recovered!BM5-recovered!BL5</f>
        <v>0</v>
      </c>
      <c r="BN5" s="5">
        <f>recovered!BN5-recovered!BM5</f>
        <v>0</v>
      </c>
      <c r="BO5" s="5">
        <f>recovered!BO5-recovered!BN5</f>
        <v>0</v>
      </c>
      <c r="BP5" s="5">
        <f>recovered!BP5-recovered!BO5</f>
        <v>0</v>
      </c>
      <c r="BQ5" s="5">
        <f>recovered!BQ5-recovered!BP5</f>
        <v>0</v>
      </c>
      <c r="BR5" s="5">
        <f>recovered!BR5-recovered!BQ5</f>
        <v>0</v>
      </c>
      <c r="BS5" s="5">
        <f>recovered!BS5-recovered!BR5</f>
        <v>0</v>
      </c>
      <c r="BT5" s="5">
        <f>recovered!BT5-recovered!BS5</f>
        <v>0</v>
      </c>
      <c r="BU5" s="5">
        <f>recovered!BU5-recovered!BT5</f>
        <v>9</v>
      </c>
      <c r="BV5" s="5">
        <f>recovered!BV5-recovered!BU5</f>
        <v>0</v>
      </c>
      <c r="BW5" s="5">
        <f>recovered!BW5-recovered!BV5</f>
        <v>0</v>
      </c>
      <c r="BX5" s="5">
        <f>recovered!BX5-recovered!BW5</f>
        <v>0</v>
      </c>
      <c r="BY5" s="5">
        <f>recovered!BY5-recovered!BX5</f>
        <v>6</v>
      </c>
    </row>
    <row r="6">
      <c r="B6" s="1" t="str">
        <f>recovered!B6</f>
        <v>Angola</v>
      </c>
      <c r="C6" s="4">
        <f>recovered!C6</f>
        <v>-11.2027</v>
      </c>
      <c r="D6" s="4">
        <f>recovered!D6</f>
        <v>17.8739</v>
      </c>
      <c r="E6" s="5">
        <f>recovered!E6</f>
        <v>0</v>
      </c>
      <c r="F6" s="5">
        <f>recovered!F6-recovered!E6</f>
        <v>0</v>
      </c>
      <c r="G6" s="5">
        <f>recovered!G6-recovered!F6</f>
        <v>0</v>
      </c>
      <c r="H6" s="5">
        <f>recovered!H6-recovered!G6</f>
        <v>0</v>
      </c>
      <c r="I6" s="5">
        <f>recovered!I6-recovered!H6</f>
        <v>0</v>
      </c>
      <c r="J6" s="5">
        <f>recovered!J6-recovered!I6</f>
        <v>0</v>
      </c>
      <c r="K6" s="5">
        <f>recovered!K6-recovered!J6</f>
        <v>0</v>
      </c>
      <c r="L6" s="5">
        <f>recovered!L6-recovered!K6</f>
        <v>0</v>
      </c>
      <c r="M6" s="5">
        <f>recovered!M6-recovered!L6</f>
        <v>0</v>
      </c>
      <c r="N6" s="5">
        <f>recovered!N6-recovered!M6</f>
        <v>0</v>
      </c>
      <c r="O6" s="5">
        <f>recovered!O6-recovered!N6</f>
        <v>0</v>
      </c>
      <c r="P6" s="5">
        <f>recovered!P6-recovered!O6</f>
        <v>0</v>
      </c>
      <c r="Q6" s="5">
        <f>recovered!Q6-recovered!P6</f>
        <v>0</v>
      </c>
      <c r="R6" s="5">
        <f>recovered!R6-recovered!Q6</f>
        <v>0</v>
      </c>
      <c r="S6" s="5">
        <f>recovered!S6-recovered!R6</f>
        <v>0</v>
      </c>
      <c r="T6" s="5">
        <f>recovered!T6-recovered!S6</f>
        <v>0</v>
      </c>
      <c r="U6" s="5">
        <f>recovered!U6-recovered!T6</f>
        <v>0</v>
      </c>
      <c r="V6" s="5">
        <f>recovered!V6-recovered!U6</f>
        <v>0</v>
      </c>
      <c r="W6" s="5">
        <f>recovered!W6-recovered!V6</f>
        <v>0</v>
      </c>
      <c r="X6" s="5">
        <f>recovered!X6-recovered!W6</f>
        <v>0</v>
      </c>
      <c r="Y6" s="5">
        <f>recovered!Y6-recovered!X6</f>
        <v>0</v>
      </c>
      <c r="Z6" s="5">
        <f>recovered!Z6-recovered!Y6</f>
        <v>0</v>
      </c>
      <c r="AA6" s="5">
        <f>recovered!AA6-recovered!Z6</f>
        <v>0</v>
      </c>
      <c r="AB6" s="5">
        <f>recovered!AB6-recovered!AA6</f>
        <v>0</v>
      </c>
      <c r="AC6" s="5">
        <f>recovered!AC6-recovered!AB6</f>
        <v>0</v>
      </c>
      <c r="AD6" s="5">
        <f>recovered!AD6-recovered!AC6</f>
        <v>0</v>
      </c>
      <c r="AE6" s="5">
        <f>recovered!AE6-recovered!AD6</f>
        <v>0</v>
      </c>
      <c r="AF6" s="5">
        <f>recovered!AF6-recovered!AE6</f>
        <v>0</v>
      </c>
      <c r="AG6" s="5">
        <f>recovered!AG6-recovered!AF6</f>
        <v>0</v>
      </c>
      <c r="AH6" s="5">
        <f>recovered!AH6-recovered!AG6</f>
        <v>0</v>
      </c>
      <c r="AI6" s="5">
        <f>recovered!AI6-recovered!AH6</f>
        <v>0</v>
      </c>
      <c r="AJ6" s="5">
        <f>recovered!AJ6-recovered!AI6</f>
        <v>0</v>
      </c>
      <c r="AK6" s="5">
        <f>recovered!AK6-recovered!AJ6</f>
        <v>0</v>
      </c>
      <c r="AL6" s="5">
        <f>recovered!AL6-recovered!AK6</f>
        <v>0</v>
      </c>
      <c r="AM6" s="5">
        <f>recovered!AM6-recovered!AL6</f>
        <v>0</v>
      </c>
      <c r="AN6" s="5">
        <f>recovered!AN6-recovered!AM6</f>
        <v>0</v>
      </c>
      <c r="AO6" s="5">
        <f>recovered!AO6-recovered!AN6</f>
        <v>0</v>
      </c>
      <c r="AP6" s="5">
        <f>recovered!AP6-recovered!AO6</f>
        <v>0</v>
      </c>
      <c r="AQ6" s="5">
        <f>recovered!AQ6-recovered!AP6</f>
        <v>0</v>
      </c>
      <c r="AR6" s="5">
        <f>recovered!AR6-recovered!AQ6</f>
        <v>0</v>
      </c>
      <c r="AS6" s="5">
        <f>recovered!AS6-recovered!AR6</f>
        <v>0</v>
      </c>
      <c r="AT6" s="5">
        <f>recovered!AT6-recovered!AS6</f>
        <v>0</v>
      </c>
      <c r="AU6" s="5">
        <f>recovered!AU6-recovered!AT6</f>
        <v>0</v>
      </c>
      <c r="AV6" s="5">
        <f>recovered!AV6-recovered!AU6</f>
        <v>0</v>
      </c>
      <c r="AW6" s="5">
        <f>recovered!AW6-recovered!AV6</f>
        <v>0</v>
      </c>
      <c r="AX6" s="5">
        <f>recovered!AX6-recovered!AW6</f>
        <v>0</v>
      </c>
      <c r="AY6" s="5">
        <f>recovered!AY6-recovered!AX6</f>
        <v>0</v>
      </c>
      <c r="AZ6" s="5">
        <f>recovered!AZ6-recovered!AY6</f>
        <v>0</v>
      </c>
      <c r="BA6" s="5">
        <f>recovered!BA6-recovered!AZ6</f>
        <v>0</v>
      </c>
      <c r="BB6" s="5">
        <f>recovered!BB6-recovered!BA6</f>
        <v>0</v>
      </c>
      <c r="BC6" s="5">
        <f>recovered!BC6-recovered!BB6</f>
        <v>0</v>
      </c>
      <c r="BD6" s="5">
        <f>recovered!BD6-recovered!BC6</f>
        <v>0</v>
      </c>
      <c r="BE6" s="5">
        <f>recovered!BE6-recovered!BD6</f>
        <v>0</v>
      </c>
      <c r="BF6" s="5">
        <f>recovered!BF6-recovered!BE6</f>
        <v>0</v>
      </c>
      <c r="BG6" s="5">
        <f>recovered!BG6-recovered!BF6</f>
        <v>0</v>
      </c>
      <c r="BH6" s="5">
        <f>recovered!BH6-recovered!BG6</f>
        <v>0</v>
      </c>
      <c r="BI6" s="5">
        <f>recovered!BI6-recovered!BH6</f>
        <v>0</v>
      </c>
      <c r="BJ6" s="5">
        <f>recovered!BJ6-recovered!BI6</f>
        <v>0</v>
      </c>
      <c r="BK6" s="5">
        <f>recovered!BK6-recovered!BJ6</f>
        <v>0</v>
      </c>
      <c r="BL6" s="5">
        <f>recovered!BL6-recovered!BK6</f>
        <v>0</v>
      </c>
      <c r="BM6" s="5">
        <f>recovered!BM6-recovered!BL6</f>
        <v>0</v>
      </c>
      <c r="BN6" s="5">
        <f>recovered!BN6-recovered!BM6</f>
        <v>0</v>
      </c>
      <c r="BO6" s="5">
        <f>recovered!BO6-recovered!BN6</f>
        <v>0</v>
      </c>
      <c r="BP6" s="5">
        <f>recovered!BP6-recovered!BO6</f>
        <v>0</v>
      </c>
      <c r="BQ6" s="5">
        <f>recovered!BQ6-recovered!BP6</f>
        <v>0</v>
      </c>
      <c r="BR6" s="5">
        <f>recovered!BR6-recovered!BQ6</f>
        <v>0</v>
      </c>
      <c r="BS6" s="5">
        <f>recovered!BS6-recovered!BR6</f>
        <v>0</v>
      </c>
      <c r="BT6" s="5">
        <f>recovered!BT6-recovered!BS6</f>
        <v>0</v>
      </c>
      <c r="BU6" s="5">
        <f>recovered!BU6-recovered!BT6</f>
        <v>0</v>
      </c>
      <c r="BV6" s="5">
        <f>recovered!BV6-recovered!BU6</f>
        <v>1</v>
      </c>
      <c r="BW6" s="5">
        <f>recovered!BW6-recovered!BV6</f>
        <v>0</v>
      </c>
      <c r="BX6" s="5">
        <f>recovered!BX6-recovered!BW6</f>
        <v>0</v>
      </c>
      <c r="BY6" s="5">
        <f>recovered!BY6-recovered!BX6</f>
        <v>0</v>
      </c>
    </row>
    <row r="7">
      <c r="B7" s="1" t="str">
        <f>recovered!B7</f>
        <v>Antigua and Barbuda</v>
      </c>
      <c r="C7" s="4">
        <f>recovered!C7</f>
        <v>17.0608</v>
      </c>
      <c r="D7" s="4">
        <f>recovered!D7</f>
        <v>-61.7964</v>
      </c>
      <c r="E7" s="5">
        <f>recovered!E7</f>
        <v>0</v>
      </c>
      <c r="F7" s="5">
        <f>recovered!F7-recovered!E7</f>
        <v>0</v>
      </c>
      <c r="G7" s="5">
        <f>recovered!G7-recovered!F7</f>
        <v>0</v>
      </c>
      <c r="H7" s="5">
        <f>recovered!H7-recovered!G7</f>
        <v>0</v>
      </c>
      <c r="I7" s="5">
        <f>recovered!I7-recovered!H7</f>
        <v>0</v>
      </c>
      <c r="J7" s="5">
        <f>recovered!J7-recovered!I7</f>
        <v>0</v>
      </c>
      <c r="K7" s="5">
        <f>recovered!K7-recovered!J7</f>
        <v>0</v>
      </c>
      <c r="L7" s="5">
        <f>recovered!L7-recovered!K7</f>
        <v>0</v>
      </c>
      <c r="M7" s="5">
        <f>recovered!M7-recovered!L7</f>
        <v>0</v>
      </c>
      <c r="N7" s="5">
        <f>recovered!N7-recovered!M7</f>
        <v>0</v>
      </c>
      <c r="O7" s="5">
        <f>recovered!O7-recovered!N7</f>
        <v>0</v>
      </c>
      <c r="P7" s="5">
        <f>recovered!P7-recovered!O7</f>
        <v>0</v>
      </c>
      <c r="Q7" s="5">
        <f>recovered!Q7-recovered!P7</f>
        <v>0</v>
      </c>
      <c r="R7" s="5">
        <f>recovered!R7-recovered!Q7</f>
        <v>0</v>
      </c>
      <c r="S7" s="5">
        <f>recovered!S7-recovered!R7</f>
        <v>0</v>
      </c>
      <c r="T7" s="5">
        <f>recovered!T7-recovered!S7</f>
        <v>0</v>
      </c>
      <c r="U7" s="5">
        <f>recovered!U7-recovered!T7</f>
        <v>0</v>
      </c>
      <c r="V7" s="5">
        <f>recovered!V7-recovered!U7</f>
        <v>0</v>
      </c>
      <c r="W7" s="5">
        <f>recovered!W7-recovered!V7</f>
        <v>0</v>
      </c>
      <c r="X7" s="5">
        <f>recovered!X7-recovered!W7</f>
        <v>0</v>
      </c>
      <c r="Y7" s="5">
        <f>recovered!Y7-recovered!X7</f>
        <v>0</v>
      </c>
      <c r="Z7" s="5">
        <f>recovered!Z7-recovered!Y7</f>
        <v>0</v>
      </c>
      <c r="AA7" s="5">
        <f>recovered!AA7-recovered!Z7</f>
        <v>0</v>
      </c>
      <c r="AB7" s="5">
        <f>recovered!AB7-recovered!AA7</f>
        <v>0</v>
      </c>
      <c r="AC7" s="5">
        <f>recovered!AC7-recovered!AB7</f>
        <v>0</v>
      </c>
      <c r="AD7" s="5">
        <f>recovered!AD7-recovered!AC7</f>
        <v>0</v>
      </c>
      <c r="AE7" s="5">
        <f>recovered!AE7-recovered!AD7</f>
        <v>0</v>
      </c>
      <c r="AF7" s="5">
        <f>recovered!AF7-recovered!AE7</f>
        <v>0</v>
      </c>
      <c r="AG7" s="5">
        <f>recovered!AG7-recovered!AF7</f>
        <v>0</v>
      </c>
      <c r="AH7" s="5">
        <f>recovered!AH7-recovered!AG7</f>
        <v>0</v>
      </c>
      <c r="AI7" s="5">
        <f>recovered!AI7-recovered!AH7</f>
        <v>0</v>
      </c>
      <c r="AJ7" s="5">
        <f>recovered!AJ7-recovered!AI7</f>
        <v>0</v>
      </c>
      <c r="AK7" s="5">
        <f>recovered!AK7-recovered!AJ7</f>
        <v>0</v>
      </c>
      <c r="AL7" s="5">
        <f>recovered!AL7-recovered!AK7</f>
        <v>0</v>
      </c>
      <c r="AM7" s="5">
        <f>recovered!AM7-recovered!AL7</f>
        <v>0</v>
      </c>
      <c r="AN7" s="5">
        <f>recovered!AN7-recovered!AM7</f>
        <v>0</v>
      </c>
      <c r="AO7" s="5">
        <f>recovered!AO7-recovered!AN7</f>
        <v>0</v>
      </c>
      <c r="AP7" s="5">
        <f>recovered!AP7-recovered!AO7</f>
        <v>0</v>
      </c>
      <c r="AQ7" s="5">
        <f>recovered!AQ7-recovered!AP7</f>
        <v>0</v>
      </c>
      <c r="AR7" s="5">
        <f>recovered!AR7-recovered!AQ7</f>
        <v>0</v>
      </c>
      <c r="AS7" s="5">
        <f>recovered!AS7-recovered!AR7</f>
        <v>0</v>
      </c>
      <c r="AT7" s="5">
        <f>recovered!AT7-recovered!AS7</f>
        <v>0</v>
      </c>
      <c r="AU7" s="5">
        <f>recovered!AU7-recovered!AT7</f>
        <v>0</v>
      </c>
      <c r="AV7" s="5">
        <f>recovered!AV7-recovered!AU7</f>
        <v>0</v>
      </c>
      <c r="AW7" s="5">
        <f>recovered!AW7-recovered!AV7</f>
        <v>0</v>
      </c>
      <c r="AX7" s="5">
        <f>recovered!AX7-recovered!AW7</f>
        <v>0</v>
      </c>
      <c r="AY7" s="5">
        <f>recovered!AY7-recovered!AX7</f>
        <v>0</v>
      </c>
      <c r="AZ7" s="5">
        <f>recovered!AZ7-recovered!AY7</f>
        <v>0</v>
      </c>
      <c r="BA7" s="5">
        <f>recovered!BA7-recovered!AZ7</f>
        <v>0</v>
      </c>
      <c r="BB7" s="5">
        <f>recovered!BB7-recovered!BA7</f>
        <v>0</v>
      </c>
      <c r="BC7" s="5">
        <f>recovered!BC7-recovered!BB7</f>
        <v>0</v>
      </c>
      <c r="BD7" s="5">
        <f>recovered!BD7-recovered!BC7</f>
        <v>0</v>
      </c>
      <c r="BE7" s="5">
        <f>recovered!BE7-recovered!BD7</f>
        <v>0</v>
      </c>
      <c r="BF7" s="5">
        <f>recovered!BF7-recovered!BE7</f>
        <v>0</v>
      </c>
      <c r="BG7" s="5">
        <f>recovered!BG7-recovered!BF7</f>
        <v>0</v>
      </c>
      <c r="BH7" s="5">
        <f>recovered!BH7-recovered!BG7</f>
        <v>0</v>
      </c>
      <c r="BI7" s="5">
        <f>recovered!BI7-recovered!BH7</f>
        <v>0</v>
      </c>
      <c r="BJ7" s="5">
        <f>recovered!BJ7-recovered!BI7</f>
        <v>0</v>
      </c>
      <c r="BK7" s="5">
        <f>recovered!BK7-recovered!BJ7</f>
        <v>0</v>
      </c>
      <c r="BL7" s="5">
        <f>recovered!BL7-recovered!BK7</f>
        <v>0</v>
      </c>
      <c r="BM7" s="5">
        <f>recovered!BM7-recovered!BL7</f>
        <v>0</v>
      </c>
      <c r="BN7" s="5">
        <f>recovered!BN7-recovered!BM7</f>
        <v>0</v>
      </c>
      <c r="BO7" s="5">
        <f>recovered!BO7-recovered!BN7</f>
        <v>0</v>
      </c>
      <c r="BP7" s="5">
        <f>recovered!BP7-recovered!BO7</f>
        <v>0</v>
      </c>
      <c r="BQ7" s="5">
        <f>recovered!BQ7-recovered!BP7</f>
        <v>0</v>
      </c>
      <c r="BR7" s="5">
        <f>recovered!BR7-recovered!BQ7</f>
        <v>0</v>
      </c>
      <c r="BS7" s="5">
        <f>recovered!BS7-recovered!BR7</f>
        <v>0</v>
      </c>
      <c r="BT7" s="5">
        <f>recovered!BT7-recovered!BS7</f>
        <v>0</v>
      </c>
      <c r="BU7" s="5">
        <f>recovered!BU7-recovered!BT7</f>
        <v>0</v>
      </c>
      <c r="BV7" s="5">
        <f>recovered!BV7-recovered!BU7</f>
        <v>0</v>
      </c>
      <c r="BW7" s="5">
        <f>recovered!BW7-recovered!BV7</f>
        <v>0</v>
      </c>
      <c r="BX7" s="5">
        <f>recovered!BX7-recovered!BW7</f>
        <v>0</v>
      </c>
      <c r="BY7" s="5">
        <f>recovered!BY7-recovered!BX7</f>
        <v>0</v>
      </c>
    </row>
    <row r="8">
      <c r="B8" s="1" t="str">
        <f>recovered!B8</f>
        <v>Argentina</v>
      </c>
      <c r="C8" s="4">
        <f>recovered!C8</f>
        <v>-38.4161</v>
      </c>
      <c r="D8" s="4">
        <f>recovered!D8</f>
        <v>-63.6167</v>
      </c>
      <c r="E8" s="5">
        <f>recovered!E8</f>
        <v>0</v>
      </c>
      <c r="F8" s="5">
        <f>recovered!F8-recovered!E8</f>
        <v>0</v>
      </c>
      <c r="G8" s="5">
        <f>recovered!G8-recovered!F8</f>
        <v>0</v>
      </c>
      <c r="H8" s="5">
        <f>recovered!H8-recovered!G8</f>
        <v>0</v>
      </c>
      <c r="I8" s="5">
        <f>recovered!I8-recovered!H8</f>
        <v>0</v>
      </c>
      <c r="J8" s="5">
        <f>recovered!J8-recovered!I8</f>
        <v>0</v>
      </c>
      <c r="K8" s="5">
        <f>recovered!K8-recovered!J8</f>
        <v>0</v>
      </c>
      <c r="L8" s="5">
        <f>recovered!L8-recovered!K8</f>
        <v>0</v>
      </c>
      <c r="M8" s="5">
        <f>recovered!M8-recovered!L8</f>
        <v>0</v>
      </c>
      <c r="N8" s="5">
        <f>recovered!N8-recovered!M8</f>
        <v>0</v>
      </c>
      <c r="O8" s="5">
        <f>recovered!O8-recovered!N8</f>
        <v>0</v>
      </c>
      <c r="P8" s="5">
        <f>recovered!P8-recovered!O8</f>
        <v>0</v>
      </c>
      <c r="Q8" s="5">
        <f>recovered!Q8-recovered!P8</f>
        <v>0</v>
      </c>
      <c r="R8" s="5">
        <f>recovered!R8-recovered!Q8</f>
        <v>0</v>
      </c>
      <c r="S8" s="5">
        <f>recovered!S8-recovered!R8</f>
        <v>0</v>
      </c>
      <c r="T8" s="5">
        <f>recovered!T8-recovered!S8</f>
        <v>0</v>
      </c>
      <c r="U8" s="5">
        <f>recovered!U8-recovered!T8</f>
        <v>0</v>
      </c>
      <c r="V8" s="5">
        <f>recovered!V8-recovered!U8</f>
        <v>0</v>
      </c>
      <c r="W8" s="5">
        <f>recovered!W8-recovered!V8</f>
        <v>0</v>
      </c>
      <c r="X8" s="5">
        <f>recovered!X8-recovered!W8</f>
        <v>0</v>
      </c>
      <c r="Y8" s="5">
        <f>recovered!Y8-recovered!X8</f>
        <v>0</v>
      </c>
      <c r="Z8" s="5">
        <f>recovered!Z8-recovered!Y8</f>
        <v>0</v>
      </c>
      <c r="AA8" s="5">
        <f>recovered!AA8-recovered!Z8</f>
        <v>0</v>
      </c>
      <c r="AB8" s="5">
        <f>recovered!AB8-recovered!AA8</f>
        <v>0</v>
      </c>
      <c r="AC8" s="5">
        <f>recovered!AC8-recovered!AB8</f>
        <v>0</v>
      </c>
      <c r="AD8" s="5">
        <f>recovered!AD8-recovered!AC8</f>
        <v>0</v>
      </c>
      <c r="AE8" s="5">
        <f>recovered!AE8-recovered!AD8</f>
        <v>0</v>
      </c>
      <c r="AF8" s="5">
        <f>recovered!AF8-recovered!AE8</f>
        <v>0</v>
      </c>
      <c r="AG8" s="5">
        <f>recovered!AG8-recovered!AF8</f>
        <v>0</v>
      </c>
      <c r="AH8" s="5">
        <f>recovered!AH8-recovered!AG8</f>
        <v>0</v>
      </c>
      <c r="AI8" s="5">
        <f>recovered!AI8-recovered!AH8</f>
        <v>0</v>
      </c>
      <c r="AJ8" s="5">
        <f>recovered!AJ8-recovered!AI8</f>
        <v>0</v>
      </c>
      <c r="AK8" s="5">
        <f>recovered!AK8-recovered!AJ8</f>
        <v>0</v>
      </c>
      <c r="AL8" s="5">
        <f>recovered!AL8-recovered!AK8</f>
        <v>0</v>
      </c>
      <c r="AM8" s="5">
        <f>recovered!AM8-recovered!AL8</f>
        <v>0</v>
      </c>
      <c r="AN8" s="5">
        <f>recovered!AN8-recovered!AM8</f>
        <v>0</v>
      </c>
      <c r="AO8" s="5">
        <f>recovered!AO8-recovered!AN8</f>
        <v>0</v>
      </c>
      <c r="AP8" s="5">
        <f>recovered!AP8-recovered!AO8</f>
        <v>0</v>
      </c>
      <c r="AQ8" s="5">
        <f>recovered!AQ8-recovered!AP8</f>
        <v>0</v>
      </c>
      <c r="AR8" s="5">
        <f>recovered!AR8-recovered!AQ8</f>
        <v>0</v>
      </c>
      <c r="AS8" s="5">
        <f>recovered!AS8-recovered!AR8</f>
        <v>0</v>
      </c>
      <c r="AT8" s="5">
        <f>recovered!AT8-recovered!AS8</f>
        <v>0</v>
      </c>
      <c r="AU8" s="5">
        <f>recovered!AU8-recovered!AT8</f>
        <v>0</v>
      </c>
      <c r="AV8" s="5">
        <f>recovered!AV8-recovered!AU8</f>
        <v>0</v>
      </c>
      <c r="AW8" s="5">
        <f>recovered!AW8-recovered!AV8</f>
        <v>0</v>
      </c>
      <c r="AX8" s="5">
        <f>recovered!AX8-recovered!AW8</f>
        <v>0</v>
      </c>
      <c r="AY8" s="5">
        <f>recovered!AY8-recovered!AX8</f>
        <v>0</v>
      </c>
      <c r="AZ8" s="5">
        <f>recovered!AZ8-recovered!AY8</f>
        <v>0</v>
      </c>
      <c r="BA8" s="5">
        <f>recovered!BA8-recovered!AZ8</f>
        <v>0</v>
      </c>
      <c r="BB8" s="5">
        <f>recovered!BB8-recovered!BA8</f>
        <v>0</v>
      </c>
      <c r="BC8" s="5">
        <f>recovered!BC8-recovered!BB8</f>
        <v>0</v>
      </c>
      <c r="BD8" s="5">
        <f>recovered!BD8-recovered!BC8</f>
        <v>0</v>
      </c>
      <c r="BE8" s="5">
        <f>recovered!BE8-recovered!BD8</f>
        <v>1</v>
      </c>
      <c r="BF8" s="5">
        <f>recovered!BF8-recovered!BE8</f>
        <v>0</v>
      </c>
      <c r="BG8" s="5">
        <f>recovered!BG8-recovered!BF8</f>
        <v>0</v>
      </c>
      <c r="BH8" s="5">
        <f>recovered!BH8-recovered!BG8</f>
        <v>2</v>
      </c>
      <c r="BI8" s="5">
        <f>recovered!BI8-recovered!BH8</f>
        <v>0</v>
      </c>
      <c r="BJ8" s="5">
        <f>recovered!BJ8-recovered!BI8</f>
        <v>0</v>
      </c>
      <c r="BK8" s="5">
        <f>recovered!BK8-recovered!BJ8</f>
        <v>0</v>
      </c>
      <c r="BL8" s="5">
        <f>recovered!BL8-recovered!BK8</f>
        <v>0</v>
      </c>
      <c r="BM8" s="5">
        <f>recovered!BM8-recovered!BL8</f>
        <v>0</v>
      </c>
      <c r="BN8" s="5">
        <f>recovered!BN8-recovered!BM8</f>
        <v>0</v>
      </c>
      <c r="BO8" s="5">
        <f>recovered!BO8-recovered!BN8</f>
        <v>49</v>
      </c>
      <c r="BP8" s="5">
        <f>recovered!BP8-recovered!BO8</f>
        <v>0</v>
      </c>
      <c r="BQ8" s="5">
        <f>recovered!BQ8-recovered!BP8</f>
        <v>11</v>
      </c>
      <c r="BR8" s="5">
        <f>recovered!BR8-recovered!BQ8</f>
        <v>9</v>
      </c>
      <c r="BS8" s="5">
        <f>recovered!BS8-recovered!BR8</f>
        <v>0</v>
      </c>
      <c r="BT8" s="5">
        <f>recovered!BT8-recovered!BS8</f>
        <v>0</v>
      </c>
      <c r="BU8" s="5">
        <f>recovered!BU8-recovered!BT8</f>
        <v>156</v>
      </c>
      <c r="BV8" s="5">
        <f>recovered!BV8-recovered!BU8</f>
        <v>12</v>
      </c>
      <c r="BW8" s="5">
        <f>recovered!BW8-recovered!BV8</f>
        <v>8</v>
      </c>
      <c r="BX8" s="5">
        <f>recovered!BX8-recovered!BW8</f>
        <v>8</v>
      </c>
      <c r="BY8" s="5">
        <f>recovered!BY8-recovered!BX8</f>
        <v>10</v>
      </c>
    </row>
    <row r="9">
      <c r="B9" s="1" t="str">
        <f>recovered!B9</f>
        <v>Armenia</v>
      </c>
      <c r="C9" s="4">
        <f>recovered!C9</f>
        <v>40.0691</v>
      </c>
      <c r="D9" s="4">
        <f>recovered!D9</f>
        <v>45.0382</v>
      </c>
      <c r="E9" s="5">
        <f>recovered!E9</f>
        <v>0</v>
      </c>
      <c r="F9" s="5">
        <f>recovered!F9-recovered!E9</f>
        <v>0</v>
      </c>
      <c r="G9" s="5">
        <f>recovered!G9-recovered!F9</f>
        <v>0</v>
      </c>
      <c r="H9" s="5">
        <f>recovered!H9-recovered!G9</f>
        <v>0</v>
      </c>
      <c r="I9" s="5">
        <f>recovered!I9-recovered!H9</f>
        <v>0</v>
      </c>
      <c r="J9" s="5">
        <f>recovered!J9-recovered!I9</f>
        <v>0</v>
      </c>
      <c r="K9" s="5">
        <f>recovered!K9-recovered!J9</f>
        <v>0</v>
      </c>
      <c r="L9" s="5">
        <f>recovered!L9-recovered!K9</f>
        <v>0</v>
      </c>
      <c r="M9" s="5">
        <f>recovered!M9-recovered!L9</f>
        <v>0</v>
      </c>
      <c r="N9" s="5">
        <f>recovered!N9-recovered!M9</f>
        <v>0</v>
      </c>
      <c r="O9" s="5">
        <f>recovered!O9-recovered!N9</f>
        <v>0</v>
      </c>
      <c r="P9" s="5">
        <f>recovered!P9-recovered!O9</f>
        <v>0</v>
      </c>
      <c r="Q9" s="5">
        <f>recovered!Q9-recovered!P9</f>
        <v>0</v>
      </c>
      <c r="R9" s="5">
        <f>recovered!R9-recovered!Q9</f>
        <v>0</v>
      </c>
      <c r="S9" s="5">
        <f>recovered!S9-recovered!R9</f>
        <v>0</v>
      </c>
      <c r="T9" s="5">
        <f>recovered!T9-recovered!S9</f>
        <v>0</v>
      </c>
      <c r="U9" s="5">
        <f>recovered!U9-recovered!T9</f>
        <v>0</v>
      </c>
      <c r="V9" s="5">
        <f>recovered!V9-recovered!U9</f>
        <v>0</v>
      </c>
      <c r="W9" s="5">
        <f>recovered!W9-recovered!V9</f>
        <v>0</v>
      </c>
      <c r="X9" s="5">
        <f>recovered!X9-recovered!W9</f>
        <v>0</v>
      </c>
      <c r="Y9" s="5">
        <f>recovered!Y9-recovered!X9</f>
        <v>0</v>
      </c>
      <c r="Z9" s="5">
        <f>recovered!Z9-recovered!Y9</f>
        <v>0</v>
      </c>
      <c r="AA9" s="5">
        <f>recovered!AA9-recovered!Z9</f>
        <v>0</v>
      </c>
      <c r="AB9" s="5">
        <f>recovered!AB9-recovered!AA9</f>
        <v>0</v>
      </c>
      <c r="AC9" s="5">
        <f>recovered!AC9-recovered!AB9</f>
        <v>0</v>
      </c>
      <c r="AD9" s="5">
        <f>recovered!AD9-recovered!AC9</f>
        <v>0</v>
      </c>
      <c r="AE9" s="5">
        <f>recovered!AE9-recovered!AD9</f>
        <v>0</v>
      </c>
      <c r="AF9" s="5">
        <f>recovered!AF9-recovered!AE9</f>
        <v>0</v>
      </c>
      <c r="AG9" s="5">
        <f>recovered!AG9-recovered!AF9</f>
        <v>0</v>
      </c>
      <c r="AH9" s="5">
        <f>recovered!AH9-recovered!AG9</f>
        <v>0</v>
      </c>
      <c r="AI9" s="5">
        <f>recovered!AI9-recovered!AH9</f>
        <v>0</v>
      </c>
      <c r="AJ9" s="5">
        <f>recovered!AJ9-recovered!AI9</f>
        <v>0</v>
      </c>
      <c r="AK9" s="5">
        <f>recovered!AK9-recovered!AJ9</f>
        <v>0</v>
      </c>
      <c r="AL9" s="5">
        <f>recovered!AL9-recovered!AK9</f>
        <v>0</v>
      </c>
      <c r="AM9" s="5">
        <f>recovered!AM9-recovered!AL9</f>
        <v>0</v>
      </c>
      <c r="AN9" s="5">
        <f>recovered!AN9-recovered!AM9</f>
        <v>0</v>
      </c>
      <c r="AO9" s="5">
        <f>recovered!AO9-recovered!AN9</f>
        <v>0</v>
      </c>
      <c r="AP9" s="5">
        <f>recovered!AP9-recovered!AO9</f>
        <v>0</v>
      </c>
      <c r="AQ9" s="5">
        <f>recovered!AQ9-recovered!AP9</f>
        <v>0</v>
      </c>
      <c r="AR9" s="5">
        <f>recovered!AR9-recovered!AQ9</f>
        <v>0</v>
      </c>
      <c r="AS9" s="5">
        <f>recovered!AS9-recovered!AR9</f>
        <v>0</v>
      </c>
      <c r="AT9" s="5">
        <f>recovered!AT9-recovered!AS9</f>
        <v>0</v>
      </c>
      <c r="AU9" s="5">
        <f>recovered!AU9-recovered!AT9</f>
        <v>0</v>
      </c>
      <c r="AV9" s="5">
        <f>recovered!AV9-recovered!AU9</f>
        <v>0</v>
      </c>
      <c r="AW9" s="5">
        <f>recovered!AW9-recovered!AV9</f>
        <v>0</v>
      </c>
      <c r="AX9" s="5">
        <f>recovered!AX9-recovered!AW9</f>
        <v>0</v>
      </c>
      <c r="AY9" s="5">
        <f>recovered!AY9-recovered!AX9</f>
        <v>0</v>
      </c>
      <c r="AZ9" s="5">
        <f>recovered!AZ9-recovered!AY9</f>
        <v>0</v>
      </c>
      <c r="BA9" s="5">
        <f>recovered!BA9-recovered!AZ9</f>
        <v>0</v>
      </c>
      <c r="BB9" s="5">
        <f>recovered!BB9-recovered!BA9</f>
        <v>0</v>
      </c>
      <c r="BC9" s="5">
        <f>recovered!BC9-recovered!BB9</f>
        <v>0</v>
      </c>
      <c r="BD9" s="5">
        <f>recovered!BD9-recovered!BC9</f>
        <v>0</v>
      </c>
      <c r="BE9" s="5">
        <f>recovered!BE9-recovered!BD9</f>
        <v>0</v>
      </c>
      <c r="BF9" s="5">
        <f>recovered!BF9-recovered!BE9</f>
        <v>0</v>
      </c>
      <c r="BG9" s="5">
        <f>recovered!BG9-recovered!BF9</f>
        <v>0</v>
      </c>
      <c r="BH9" s="5">
        <f>recovered!BH9-recovered!BG9</f>
        <v>1</v>
      </c>
      <c r="BI9" s="5">
        <f>recovered!BI9-recovered!BH9</f>
        <v>0</v>
      </c>
      <c r="BJ9" s="5">
        <f>recovered!BJ9-recovered!BI9</f>
        <v>0</v>
      </c>
      <c r="BK9" s="5">
        <f>recovered!BK9-recovered!BJ9</f>
        <v>0</v>
      </c>
      <c r="BL9" s="5">
        <f>recovered!BL9-recovered!BK9</f>
        <v>0</v>
      </c>
      <c r="BM9" s="5">
        <f>recovered!BM9-recovered!BL9</f>
        <v>1</v>
      </c>
      <c r="BN9" s="5">
        <f>recovered!BN9-recovered!BM9</f>
        <v>0</v>
      </c>
      <c r="BO9" s="5">
        <f>recovered!BO9-recovered!BN9</f>
        <v>12</v>
      </c>
      <c r="BP9" s="5">
        <f>recovered!BP9-recovered!BO9</f>
        <v>2</v>
      </c>
      <c r="BQ9" s="5">
        <f>recovered!BQ9-recovered!BP9</f>
        <v>2</v>
      </c>
      <c r="BR9" s="5">
        <f>recovered!BR9-recovered!BQ9</f>
        <v>10</v>
      </c>
      <c r="BS9" s="5">
        <f>recovered!BS9-recovered!BR9</f>
        <v>2</v>
      </c>
      <c r="BT9" s="5">
        <f>recovered!BT9-recovered!BS9</f>
        <v>0</v>
      </c>
      <c r="BU9" s="5">
        <f>recovered!BU9-recovered!BT9</f>
        <v>0</v>
      </c>
      <c r="BV9" s="5">
        <f>recovered!BV9-recovered!BU9</f>
        <v>0</v>
      </c>
      <c r="BW9" s="5">
        <f>recovered!BW9-recovered!BV9</f>
        <v>1</v>
      </c>
      <c r="BX9" s="5">
        <f>recovered!BX9-recovered!BW9</f>
        <v>2</v>
      </c>
      <c r="BY9" s="5">
        <f>recovered!BY9-recovered!BX9</f>
        <v>10</v>
      </c>
    </row>
    <row r="10">
      <c r="B10" s="1" t="str">
        <f>recovered!B10</f>
        <v>Australia</v>
      </c>
      <c r="C10" s="4">
        <f>recovered!C10</f>
        <v>-35.4735</v>
      </c>
      <c r="D10" s="4">
        <f>recovered!D10</f>
        <v>149.0124</v>
      </c>
      <c r="E10" s="5">
        <f>recovered!E10</f>
        <v>0</v>
      </c>
      <c r="F10" s="5">
        <f>recovered!F10-recovered!E10</f>
        <v>0</v>
      </c>
      <c r="G10" s="5">
        <f>recovered!G10-recovered!F10</f>
        <v>0</v>
      </c>
      <c r="H10" s="5">
        <f>recovered!H10-recovered!G10</f>
        <v>0</v>
      </c>
      <c r="I10" s="5">
        <f>recovered!I10-recovered!H10</f>
        <v>0</v>
      </c>
      <c r="J10" s="5">
        <f>recovered!J10-recovered!I10</f>
        <v>0</v>
      </c>
      <c r="K10" s="5">
        <f>recovered!K10-recovered!J10</f>
        <v>0</v>
      </c>
      <c r="L10" s="5">
        <f>recovered!L10-recovered!K10</f>
        <v>0</v>
      </c>
      <c r="M10" s="5">
        <f>recovered!M10-recovered!L10</f>
        <v>0</v>
      </c>
      <c r="N10" s="5">
        <f>recovered!N10-recovered!M10</f>
        <v>0</v>
      </c>
      <c r="O10" s="5">
        <f>recovered!O10-recovered!N10</f>
        <v>0</v>
      </c>
      <c r="P10" s="5">
        <f>recovered!P10-recovered!O10</f>
        <v>0</v>
      </c>
      <c r="Q10" s="5">
        <f>recovered!Q10-recovered!P10</f>
        <v>0</v>
      </c>
      <c r="R10" s="5">
        <f>recovered!R10-recovered!Q10</f>
        <v>0</v>
      </c>
      <c r="S10" s="5">
        <f>recovered!S10-recovered!R10</f>
        <v>0</v>
      </c>
      <c r="T10" s="5">
        <f>recovered!T10-recovered!S10</f>
        <v>0</v>
      </c>
      <c r="U10" s="5">
        <f>recovered!U10-recovered!T10</f>
        <v>0</v>
      </c>
      <c r="V10" s="5">
        <f>recovered!V10-recovered!U10</f>
        <v>0</v>
      </c>
      <c r="W10" s="5">
        <f>recovered!W10-recovered!V10</f>
        <v>0</v>
      </c>
      <c r="X10" s="5">
        <f>recovered!X10-recovered!W10</f>
        <v>0</v>
      </c>
      <c r="Y10" s="5">
        <f>recovered!Y10-recovered!X10</f>
        <v>0</v>
      </c>
      <c r="Z10" s="5">
        <f>recovered!Z10-recovered!Y10</f>
        <v>0</v>
      </c>
      <c r="AA10" s="5">
        <f>recovered!AA10-recovered!Z10</f>
        <v>0</v>
      </c>
      <c r="AB10" s="5">
        <f>recovered!AB10-recovered!AA10</f>
        <v>0</v>
      </c>
      <c r="AC10" s="5">
        <f>recovered!AC10-recovered!AB10</f>
        <v>0</v>
      </c>
      <c r="AD10" s="5">
        <f>recovered!AD10-recovered!AC10</f>
        <v>0</v>
      </c>
      <c r="AE10" s="5">
        <f>recovered!AE10-recovered!AD10</f>
        <v>0</v>
      </c>
      <c r="AF10" s="5">
        <f>recovered!AF10-recovered!AE10</f>
        <v>0</v>
      </c>
      <c r="AG10" s="5">
        <f>recovered!AG10-recovered!AF10</f>
        <v>0</v>
      </c>
      <c r="AH10" s="5">
        <f>recovered!AH10-recovered!AG10</f>
        <v>0</v>
      </c>
      <c r="AI10" s="5">
        <f>recovered!AI10-recovered!AH10</f>
        <v>0</v>
      </c>
      <c r="AJ10" s="5">
        <f>recovered!AJ10-recovered!AI10</f>
        <v>0</v>
      </c>
      <c r="AK10" s="5">
        <f>recovered!AK10-recovered!AJ10</f>
        <v>0</v>
      </c>
      <c r="AL10" s="5">
        <f>recovered!AL10-recovered!AK10</f>
        <v>0</v>
      </c>
      <c r="AM10" s="5">
        <f>recovered!AM10-recovered!AL10</f>
        <v>0</v>
      </c>
      <c r="AN10" s="5">
        <f>recovered!AN10-recovered!AM10</f>
        <v>0</v>
      </c>
      <c r="AO10" s="5">
        <f>recovered!AO10-recovered!AN10</f>
        <v>0</v>
      </c>
      <c r="AP10" s="5">
        <f>recovered!AP10-recovered!AO10</f>
        <v>0</v>
      </c>
      <c r="AQ10" s="5">
        <f>recovered!AQ10-recovered!AP10</f>
        <v>0</v>
      </c>
      <c r="AR10" s="5">
        <f>recovered!AR10-recovered!AQ10</f>
        <v>0</v>
      </c>
      <c r="AS10" s="5">
        <f>recovered!AS10-recovered!AR10</f>
        <v>0</v>
      </c>
      <c r="AT10" s="5">
        <f>recovered!AT10-recovered!AS10</f>
        <v>0</v>
      </c>
      <c r="AU10" s="5">
        <f>recovered!AU10-recovered!AT10</f>
        <v>0</v>
      </c>
      <c r="AV10" s="5">
        <f>recovered!AV10-recovered!AU10</f>
        <v>0</v>
      </c>
      <c r="AW10" s="5">
        <f>recovered!AW10-recovered!AV10</f>
        <v>0</v>
      </c>
      <c r="AX10" s="5">
        <f>recovered!AX10-recovered!AW10</f>
        <v>0</v>
      </c>
      <c r="AY10" s="5">
        <f>recovered!AY10-recovered!AX10</f>
        <v>0</v>
      </c>
      <c r="AZ10" s="5">
        <f>recovered!AZ10-recovered!AY10</f>
        <v>0</v>
      </c>
      <c r="BA10" s="5">
        <f>recovered!BA10-recovered!AZ10</f>
        <v>0</v>
      </c>
      <c r="BB10" s="5">
        <f>recovered!BB10-recovered!BA10</f>
        <v>0</v>
      </c>
      <c r="BC10" s="5">
        <f>recovered!BC10-recovered!BB10</f>
        <v>0</v>
      </c>
      <c r="BD10" s="5">
        <f>recovered!BD10-recovered!BC10</f>
        <v>0</v>
      </c>
      <c r="BE10" s="5">
        <f>recovered!BE10-recovered!BD10</f>
        <v>0</v>
      </c>
      <c r="BF10" s="5">
        <f>recovered!BF10-recovered!BE10</f>
        <v>0</v>
      </c>
      <c r="BG10" s="5">
        <f>recovered!BG10-recovered!BF10</f>
        <v>0</v>
      </c>
      <c r="BH10" s="5">
        <f>recovered!BH10-recovered!BG10</f>
        <v>0</v>
      </c>
      <c r="BI10" s="5">
        <f>recovered!BI10-recovered!BH10</f>
        <v>0</v>
      </c>
      <c r="BJ10" s="5">
        <f>recovered!BJ10-recovered!BI10</f>
        <v>0</v>
      </c>
      <c r="BK10" s="5">
        <f>recovered!BK10-recovered!BJ10</f>
        <v>0</v>
      </c>
      <c r="BL10" s="5">
        <f>recovered!BL10-recovered!BK10</f>
        <v>0</v>
      </c>
      <c r="BM10" s="5">
        <f>recovered!BM10-recovered!BL10</f>
        <v>0</v>
      </c>
      <c r="BN10" s="5">
        <f>recovered!BN10-recovered!BM10</f>
        <v>0</v>
      </c>
      <c r="BO10" s="5">
        <f>recovered!BO10-recovered!BN10</f>
        <v>0</v>
      </c>
      <c r="BP10" s="5">
        <f>recovered!BP10-recovered!BO10</f>
        <v>0</v>
      </c>
      <c r="BQ10" s="5">
        <f>recovered!BQ10-recovered!BP10</f>
        <v>1</v>
      </c>
      <c r="BR10" s="5">
        <f>recovered!BR10-recovered!BQ10</f>
        <v>0</v>
      </c>
      <c r="BS10" s="5">
        <f>recovered!BS10-recovered!BR10</f>
        <v>1</v>
      </c>
      <c r="BT10" s="5">
        <f>recovered!BT10-recovered!BS10</f>
        <v>0</v>
      </c>
      <c r="BU10" s="5">
        <f>recovered!BU10-recovered!BT10</f>
        <v>0</v>
      </c>
      <c r="BV10" s="5">
        <f>recovered!BV10-recovered!BU10</f>
        <v>1</v>
      </c>
      <c r="BW10" s="5">
        <f>recovered!BW10-recovered!BV10</f>
        <v>5</v>
      </c>
      <c r="BX10" s="5">
        <f>recovered!BX10-recovered!BW10</f>
        <v>3</v>
      </c>
      <c r="BY10" s="5">
        <f>recovered!BY10-recovered!BX10</f>
        <v>7</v>
      </c>
    </row>
    <row r="11">
      <c r="B11" s="1" t="str">
        <f>recovered!B11</f>
        <v>Australia</v>
      </c>
      <c r="C11" s="4">
        <f>recovered!C11</f>
        <v>-33.8688</v>
      </c>
      <c r="D11" s="4">
        <f>recovered!D11</f>
        <v>151.2093</v>
      </c>
      <c r="E11" s="5">
        <f>recovered!E11</f>
        <v>0</v>
      </c>
      <c r="F11" s="5">
        <f>recovered!F11-recovered!E11</f>
        <v>0</v>
      </c>
      <c r="G11" s="5">
        <f>recovered!G11-recovered!F11</f>
        <v>0</v>
      </c>
      <c r="H11" s="5">
        <f>recovered!H11-recovered!G11</f>
        <v>0</v>
      </c>
      <c r="I11" s="5">
        <f>recovered!I11-recovered!H11</f>
        <v>0</v>
      </c>
      <c r="J11" s="5">
        <f>recovered!J11-recovered!I11</f>
        <v>0</v>
      </c>
      <c r="K11" s="5">
        <f>recovered!K11-recovered!J11</f>
        <v>0</v>
      </c>
      <c r="L11" s="5">
        <f>recovered!L11-recovered!K11</f>
        <v>0</v>
      </c>
      <c r="M11" s="5">
        <f>recovered!M11-recovered!L11</f>
        <v>2</v>
      </c>
      <c r="N11" s="5">
        <f>recovered!N11-recovered!M11</f>
        <v>0</v>
      </c>
      <c r="O11" s="5">
        <f>recovered!O11-recovered!N11</f>
        <v>0</v>
      </c>
      <c r="P11" s="5">
        <f>recovered!P11-recovered!O11</f>
        <v>0</v>
      </c>
      <c r="Q11" s="5">
        <f>recovered!Q11-recovered!P11</f>
        <v>0</v>
      </c>
      <c r="R11" s="5">
        <f>recovered!R11-recovered!Q11</f>
        <v>0</v>
      </c>
      <c r="S11" s="5">
        <f>recovered!S11-recovered!R11</f>
        <v>0</v>
      </c>
      <c r="T11" s="5">
        <f>recovered!T11-recovered!S11</f>
        <v>0</v>
      </c>
      <c r="U11" s="5">
        <f>recovered!U11-recovered!T11</f>
        <v>0</v>
      </c>
      <c r="V11" s="5">
        <f>recovered!V11-recovered!U11</f>
        <v>0</v>
      </c>
      <c r="W11" s="5">
        <f>recovered!W11-recovered!V11</f>
        <v>0</v>
      </c>
      <c r="X11" s="5">
        <f>recovered!X11-recovered!W11</f>
        <v>0</v>
      </c>
      <c r="Y11" s="5">
        <f>recovered!Y11-recovered!X11</f>
        <v>0</v>
      </c>
      <c r="Z11" s="5">
        <f>recovered!Z11-recovered!Y11</f>
        <v>0</v>
      </c>
      <c r="AA11" s="5">
        <f>recovered!AA11-recovered!Z11</f>
        <v>2</v>
      </c>
      <c r="AB11" s="5">
        <f>recovered!AB11-recovered!AA11</f>
        <v>0</v>
      </c>
      <c r="AC11" s="5">
        <f>recovered!AC11-recovered!AB11</f>
        <v>0</v>
      </c>
      <c r="AD11" s="5">
        <f>recovered!AD11-recovered!AC11</f>
        <v>0</v>
      </c>
      <c r="AE11" s="5">
        <f>recovered!AE11-recovered!AD11</f>
        <v>0</v>
      </c>
      <c r="AF11" s="5">
        <f>recovered!AF11-recovered!AE11</f>
        <v>0</v>
      </c>
      <c r="AG11" s="5">
        <f>recovered!AG11-recovered!AF11</f>
        <v>0</v>
      </c>
      <c r="AH11" s="5">
        <f>recovered!AH11-recovered!AG11</f>
        <v>0</v>
      </c>
      <c r="AI11" s="5">
        <f>recovered!AI11-recovered!AH11</f>
        <v>0</v>
      </c>
      <c r="AJ11" s="5">
        <f>recovered!AJ11-recovered!AI11</f>
        <v>0</v>
      </c>
      <c r="AK11" s="5">
        <f>recovered!AK11-recovered!AJ11</f>
        <v>0</v>
      </c>
      <c r="AL11" s="5">
        <f>recovered!AL11-recovered!AK11</f>
        <v>0</v>
      </c>
      <c r="AM11" s="5">
        <f>recovered!AM11-recovered!AL11</f>
        <v>0</v>
      </c>
      <c r="AN11" s="5">
        <f>recovered!AN11-recovered!AM11</f>
        <v>0</v>
      </c>
      <c r="AO11" s="5">
        <f>recovered!AO11-recovered!AN11</f>
        <v>0</v>
      </c>
      <c r="AP11" s="5">
        <f>recovered!AP11-recovered!AO11</f>
        <v>0</v>
      </c>
      <c r="AQ11" s="5">
        <f>recovered!AQ11-recovered!AP11</f>
        <v>0</v>
      </c>
      <c r="AR11" s="5">
        <f>recovered!AR11-recovered!AQ11</f>
        <v>0</v>
      </c>
      <c r="AS11" s="5">
        <f>recovered!AS11-recovered!AR11</f>
        <v>0</v>
      </c>
      <c r="AT11" s="5">
        <f>recovered!AT11-recovered!AS11</f>
        <v>0</v>
      </c>
      <c r="AU11" s="5">
        <f>recovered!AU11-recovered!AT11</f>
        <v>0</v>
      </c>
      <c r="AV11" s="5">
        <f>recovered!AV11-recovered!AU11</f>
        <v>0</v>
      </c>
      <c r="AW11" s="5">
        <f>recovered!AW11-recovered!AV11</f>
        <v>0</v>
      </c>
      <c r="AX11" s="5">
        <f>recovered!AX11-recovered!AW11</f>
        <v>0</v>
      </c>
      <c r="AY11" s="5">
        <f>recovered!AY11-recovered!AX11</f>
        <v>0</v>
      </c>
      <c r="AZ11" s="5">
        <f>recovered!AZ11-recovered!AY11</f>
        <v>0</v>
      </c>
      <c r="BA11" s="5">
        <f>recovered!BA11-recovered!AZ11</f>
        <v>0</v>
      </c>
      <c r="BB11" s="5">
        <f>recovered!BB11-recovered!BA11</f>
        <v>0</v>
      </c>
      <c r="BC11" s="5">
        <f>recovered!BC11-recovered!BB11</f>
        <v>0</v>
      </c>
      <c r="BD11" s="5">
        <f>recovered!BD11-recovered!BC11</f>
        <v>0</v>
      </c>
      <c r="BE11" s="5">
        <f>recovered!BE11-recovered!BD11</f>
        <v>0</v>
      </c>
      <c r="BF11" s="5">
        <f>recovered!BF11-recovered!BE11</f>
        <v>0</v>
      </c>
      <c r="BG11" s="5">
        <f>recovered!BG11-recovered!BF11</f>
        <v>0</v>
      </c>
      <c r="BH11" s="5">
        <f>recovered!BH11-recovered!BG11</f>
        <v>0</v>
      </c>
      <c r="BI11" s="5">
        <f>recovered!BI11-recovered!BH11</f>
        <v>0</v>
      </c>
      <c r="BJ11" s="5">
        <f>recovered!BJ11-recovered!BI11</f>
        <v>0</v>
      </c>
      <c r="BK11" s="5">
        <f>recovered!BK11-recovered!BJ11</f>
        <v>0</v>
      </c>
      <c r="BL11" s="5">
        <f>recovered!BL11-recovered!BK11</f>
        <v>0</v>
      </c>
      <c r="BM11" s="5">
        <f>recovered!BM11-recovered!BL11</f>
        <v>0</v>
      </c>
      <c r="BN11" s="5">
        <f>recovered!BN11-recovered!BM11</f>
        <v>0</v>
      </c>
      <c r="BO11" s="5">
        <f>recovered!BO11-recovered!BN11</f>
        <v>0</v>
      </c>
      <c r="BP11" s="5">
        <f>recovered!BP11-recovered!BO11</f>
        <v>0</v>
      </c>
      <c r="BQ11" s="5">
        <f>recovered!BQ11-recovered!BP11</f>
        <v>0</v>
      </c>
      <c r="BR11" s="5">
        <f>recovered!BR11-recovered!BQ11</f>
        <v>0</v>
      </c>
      <c r="BS11" s="5">
        <f>recovered!BS11-recovered!BR11</f>
        <v>0</v>
      </c>
      <c r="BT11" s="5">
        <f>recovered!BT11-recovered!BS11</f>
        <v>0</v>
      </c>
      <c r="BU11" s="5">
        <f>recovered!BU11-recovered!BT11</f>
        <v>0</v>
      </c>
      <c r="BV11" s="5">
        <f>recovered!BV11-recovered!BU11</f>
        <v>0</v>
      </c>
      <c r="BW11" s="5">
        <f>recovered!BW11-recovered!BV11</f>
        <v>0</v>
      </c>
      <c r="BX11" s="5">
        <f>recovered!BX11-recovered!BW11</f>
        <v>0</v>
      </c>
      <c r="BY11" s="5">
        <f>recovered!BY11-recovered!BX11</f>
        <v>0</v>
      </c>
    </row>
    <row r="12">
      <c r="B12" s="1" t="str">
        <f>recovered!B12</f>
        <v>Australia</v>
      </c>
      <c r="C12" s="4">
        <f>recovered!C12</f>
        <v>-12.4634</v>
      </c>
      <c r="D12" s="4">
        <f>recovered!D12</f>
        <v>130.8456</v>
      </c>
      <c r="E12" s="5">
        <f>recovered!E12</f>
        <v>0</v>
      </c>
      <c r="F12" s="5">
        <f>recovered!F12-recovered!E12</f>
        <v>0</v>
      </c>
      <c r="G12" s="5">
        <f>recovered!G12-recovered!F12</f>
        <v>0</v>
      </c>
      <c r="H12" s="5">
        <f>recovered!H12-recovered!G12</f>
        <v>0</v>
      </c>
      <c r="I12" s="5">
        <f>recovered!I12-recovered!H12</f>
        <v>0</v>
      </c>
      <c r="J12" s="5">
        <f>recovered!J12-recovered!I12</f>
        <v>0</v>
      </c>
      <c r="K12" s="5">
        <f>recovered!K12-recovered!J12</f>
        <v>0</v>
      </c>
      <c r="L12" s="5">
        <f>recovered!L12-recovered!K12</f>
        <v>0</v>
      </c>
      <c r="M12" s="5">
        <f>recovered!M12-recovered!L12</f>
        <v>0</v>
      </c>
      <c r="N12" s="5">
        <f>recovered!N12-recovered!M12</f>
        <v>0</v>
      </c>
      <c r="O12" s="5">
        <f>recovered!O12-recovered!N12</f>
        <v>0</v>
      </c>
      <c r="P12" s="5">
        <f>recovered!P12-recovered!O12</f>
        <v>0</v>
      </c>
      <c r="Q12" s="5">
        <f>recovered!Q12-recovered!P12</f>
        <v>0</v>
      </c>
      <c r="R12" s="5">
        <f>recovered!R12-recovered!Q12</f>
        <v>0</v>
      </c>
      <c r="S12" s="5">
        <f>recovered!S12-recovered!R12</f>
        <v>0</v>
      </c>
      <c r="T12" s="5">
        <f>recovered!T12-recovered!S12</f>
        <v>0</v>
      </c>
      <c r="U12" s="5">
        <f>recovered!U12-recovered!T12</f>
        <v>0</v>
      </c>
      <c r="V12" s="5">
        <f>recovered!V12-recovered!U12</f>
        <v>0</v>
      </c>
      <c r="W12" s="5">
        <f>recovered!W12-recovered!V12</f>
        <v>0</v>
      </c>
      <c r="X12" s="5">
        <f>recovered!X12-recovered!W12</f>
        <v>0</v>
      </c>
      <c r="Y12" s="5">
        <f>recovered!Y12-recovered!X12</f>
        <v>0</v>
      </c>
      <c r="Z12" s="5">
        <f>recovered!Z12-recovered!Y12</f>
        <v>0</v>
      </c>
      <c r="AA12" s="5">
        <f>recovered!AA12-recovered!Z12</f>
        <v>0</v>
      </c>
      <c r="AB12" s="5">
        <f>recovered!AB12-recovered!AA12</f>
        <v>0</v>
      </c>
      <c r="AC12" s="5">
        <f>recovered!AC12-recovered!AB12</f>
        <v>0</v>
      </c>
      <c r="AD12" s="5">
        <f>recovered!AD12-recovered!AC12</f>
        <v>0</v>
      </c>
      <c r="AE12" s="5">
        <f>recovered!AE12-recovered!AD12</f>
        <v>0</v>
      </c>
      <c r="AF12" s="5">
        <f>recovered!AF12-recovered!AE12</f>
        <v>0</v>
      </c>
      <c r="AG12" s="5">
        <f>recovered!AG12-recovered!AF12</f>
        <v>0</v>
      </c>
      <c r="AH12" s="5">
        <f>recovered!AH12-recovered!AG12</f>
        <v>0</v>
      </c>
      <c r="AI12" s="5">
        <f>recovered!AI12-recovered!AH12</f>
        <v>0</v>
      </c>
      <c r="AJ12" s="5">
        <f>recovered!AJ12-recovered!AI12</f>
        <v>0</v>
      </c>
      <c r="AK12" s="5">
        <f>recovered!AK12-recovered!AJ12</f>
        <v>0</v>
      </c>
      <c r="AL12" s="5">
        <f>recovered!AL12-recovered!AK12</f>
        <v>0</v>
      </c>
      <c r="AM12" s="5">
        <f>recovered!AM12-recovered!AL12</f>
        <v>0</v>
      </c>
      <c r="AN12" s="5">
        <f>recovered!AN12-recovered!AM12</f>
        <v>0</v>
      </c>
      <c r="AO12" s="5">
        <f>recovered!AO12-recovered!AN12</f>
        <v>0</v>
      </c>
      <c r="AP12" s="5">
        <f>recovered!AP12-recovered!AO12</f>
        <v>0</v>
      </c>
      <c r="AQ12" s="5">
        <f>recovered!AQ12-recovered!AP12</f>
        <v>0</v>
      </c>
      <c r="AR12" s="5">
        <f>recovered!AR12-recovered!AQ12</f>
        <v>0</v>
      </c>
      <c r="AS12" s="5">
        <f>recovered!AS12-recovered!AR12</f>
        <v>0</v>
      </c>
      <c r="AT12" s="5">
        <f>recovered!AT12-recovered!AS12</f>
        <v>0</v>
      </c>
      <c r="AU12" s="5">
        <f>recovered!AU12-recovered!AT12</f>
        <v>0</v>
      </c>
      <c r="AV12" s="5">
        <f>recovered!AV12-recovered!AU12</f>
        <v>0</v>
      </c>
      <c r="AW12" s="5">
        <f>recovered!AW12-recovered!AV12</f>
        <v>0</v>
      </c>
      <c r="AX12" s="5">
        <f>recovered!AX12-recovered!AW12</f>
        <v>0</v>
      </c>
      <c r="AY12" s="5">
        <f>recovered!AY12-recovered!AX12</f>
        <v>0</v>
      </c>
      <c r="AZ12" s="5">
        <f>recovered!AZ12-recovered!AY12</f>
        <v>0</v>
      </c>
      <c r="BA12" s="5">
        <f>recovered!BA12-recovered!AZ12</f>
        <v>0</v>
      </c>
      <c r="BB12" s="5">
        <f>recovered!BB12-recovered!BA12</f>
        <v>0</v>
      </c>
      <c r="BC12" s="5">
        <f>recovered!BC12-recovered!BB12</f>
        <v>0</v>
      </c>
      <c r="BD12" s="5">
        <f>recovered!BD12-recovered!BC12</f>
        <v>0</v>
      </c>
      <c r="BE12" s="5">
        <f>recovered!BE12-recovered!BD12</f>
        <v>0</v>
      </c>
      <c r="BF12" s="5">
        <f>recovered!BF12-recovered!BE12</f>
        <v>0</v>
      </c>
      <c r="BG12" s="5">
        <f>recovered!BG12-recovered!BF12</f>
        <v>0</v>
      </c>
      <c r="BH12" s="5">
        <f>recovered!BH12-recovered!BG12</f>
        <v>0</v>
      </c>
      <c r="BI12" s="5">
        <f>recovered!BI12-recovered!BH12</f>
        <v>0</v>
      </c>
      <c r="BJ12" s="5">
        <f>recovered!BJ12-recovered!BI12</f>
        <v>0</v>
      </c>
      <c r="BK12" s="5">
        <f>recovered!BK12-recovered!BJ12</f>
        <v>0</v>
      </c>
      <c r="BL12" s="5">
        <f>recovered!BL12-recovered!BK12</f>
        <v>0</v>
      </c>
      <c r="BM12" s="5">
        <f>recovered!BM12-recovered!BL12</f>
        <v>0</v>
      </c>
      <c r="BN12" s="5">
        <f>recovered!BN12-recovered!BM12</f>
        <v>0</v>
      </c>
      <c r="BO12" s="5">
        <f>recovered!BO12-recovered!BN12</f>
        <v>0</v>
      </c>
      <c r="BP12" s="5">
        <f>recovered!BP12-recovered!BO12</f>
        <v>0</v>
      </c>
      <c r="BQ12" s="5">
        <f>recovered!BQ12-recovered!BP12</f>
        <v>0</v>
      </c>
      <c r="BR12" s="5">
        <f>recovered!BR12-recovered!BQ12</f>
        <v>0</v>
      </c>
      <c r="BS12" s="5">
        <f>recovered!BS12-recovered!BR12</f>
        <v>0</v>
      </c>
      <c r="BT12" s="5">
        <f>recovered!BT12-recovered!BS12</f>
        <v>0</v>
      </c>
      <c r="BU12" s="5">
        <f>recovered!BU12-recovered!BT12</f>
        <v>0</v>
      </c>
      <c r="BV12" s="5">
        <f>recovered!BV12-recovered!BU12</f>
        <v>0</v>
      </c>
      <c r="BW12" s="5">
        <f>recovered!BW12-recovered!BV12</f>
        <v>0</v>
      </c>
      <c r="BX12" s="5">
        <f>recovered!BX12-recovered!BW12</f>
        <v>0</v>
      </c>
      <c r="BY12" s="5">
        <f>recovered!BY12-recovered!BX12</f>
        <v>0</v>
      </c>
    </row>
    <row r="13">
      <c r="B13" s="1" t="str">
        <f>recovered!B13</f>
        <v>Australia</v>
      </c>
      <c r="C13" s="4">
        <f>recovered!C13</f>
        <v>-28.0167</v>
      </c>
      <c r="D13" s="4">
        <f>recovered!D13</f>
        <v>153.4</v>
      </c>
      <c r="E13" s="5">
        <f>recovered!E13</f>
        <v>0</v>
      </c>
      <c r="F13" s="5">
        <f>recovered!F13-recovered!E13</f>
        <v>0</v>
      </c>
      <c r="G13" s="5">
        <f>recovered!G13-recovered!F13</f>
        <v>0</v>
      </c>
      <c r="H13" s="5">
        <f>recovered!H13-recovered!G13</f>
        <v>0</v>
      </c>
      <c r="I13" s="5">
        <f>recovered!I13-recovered!H13</f>
        <v>0</v>
      </c>
      <c r="J13" s="5">
        <f>recovered!J13-recovered!I13</f>
        <v>0</v>
      </c>
      <c r="K13" s="5">
        <f>recovered!K13-recovered!J13</f>
        <v>0</v>
      </c>
      <c r="L13" s="5">
        <f>recovered!L13-recovered!K13</f>
        <v>0</v>
      </c>
      <c r="M13" s="5">
        <f>recovered!M13-recovered!L13</f>
        <v>0</v>
      </c>
      <c r="N13" s="5">
        <f>recovered!N13-recovered!M13</f>
        <v>0</v>
      </c>
      <c r="O13" s="5">
        <f>recovered!O13-recovered!N13</f>
        <v>0</v>
      </c>
      <c r="P13" s="5">
        <f>recovered!P13-recovered!O13</f>
        <v>0</v>
      </c>
      <c r="Q13" s="5">
        <f>recovered!Q13-recovered!P13</f>
        <v>0</v>
      </c>
      <c r="R13" s="5">
        <f>recovered!R13-recovered!Q13</f>
        <v>0</v>
      </c>
      <c r="S13" s="5">
        <f>recovered!S13-recovered!R13</f>
        <v>0</v>
      </c>
      <c r="T13" s="5">
        <f>recovered!T13-recovered!S13</f>
        <v>0</v>
      </c>
      <c r="U13" s="5">
        <f>recovered!U13-recovered!T13</f>
        <v>0</v>
      </c>
      <c r="V13" s="5">
        <f>recovered!V13-recovered!U13</f>
        <v>0</v>
      </c>
      <c r="W13" s="5">
        <f>recovered!W13-recovered!V13</f>
        <v>0</v>
      </c>
      <c r="X13" s="5">
        <f>recovered!X13-recovered!W13</f>
        <v>0</v>
      </c>
      <c r="Y13" s="5">
        <f>recovered!Y13-recovered!X13</f>
        <v>0</v>
      </c>
      <c r="Z13" s="5">
        <f>recovered!Z13-recovered!Y13</f>
        <v>0</v>
      </c>
      <c r="AA13" s="5">
        <f>recovered!AA13-recovered!Z13</f>
        <v>0</v>
      </c>
      <c r="AB13" s="5">
        <f>recovered!AB13-recovered!AA13</f>
        <v>0</v>
      </c>
      <c r="AC13" s="5">
        <f>recovered!AC13-recovered!AB13</f>
        <v>0</v>
      </c>
      <c r="AD13" s="5">
        <f>recovered!AD13-recovered!AC13</f>
        <v>0</v>
      </c>
      <c r="AE13" s="5">
        <f>recovered!AE13-recovered!AD13</f>
        <v>0</v>
      </c>
      <c r="AF13" s="5">
        <f>recovered!AF13-recovered!AE13</f>
        <v>0</v>
      </c>
      <c r="AG13" s="5">
        <f>recovered!AG13-recovered!AF13</f>
        <v>0</v>
      </c>
      <c r="AH13" s="5">
        <f>recovered!AH13-recovered!AG13</f>
        <v>0</v>
      </c>
      <c r="AI13" s="5">
        <f>recovered!AI13-recovered!AH13</f>
        <v>1</v>
      </c>
      <c r="AJ13" s="5">
        <f>recovered!AJ13-recovered!AI13</f>
        <v>0</v>
      </c>
      <c r="AK13" s="5">
        <f>recovered!AK13-recovered!AJ13</f>
        <v>0</v>
      </c>
      <c r="AL13" s="5">
        <f>recovered!AL13-recovered!AK13</f>
        <v>0</v>
      </c>
      <c r="AM13" s="5">
        <f>recovered!AM13-recovered!AL13</f>
        <v>0</v>
      </c>
      <c r="AN13" s="5">
        <f>recovered!AN13-recovered!AM13</f>
        <v>0</v>
      </c>
      <c r="AO13" s="5">
        <f>recovered!AO13-recovered!AN13</f>
        <v>0</v>
      </c>
      <c r="AP13" s="5">
        <f>recovered!AP13-recovered!AO13</f>
        <v>0</v>
      </c>
      <c r="AQ13" s="5">
        <f>recovered!AQ13-recovered!AP13</f>
        <v>0</v>
      </c>
      <c r="AR13" s="5">
        <f>recovered!AR13-recovered!AQ13</f>
        <v>0</v>
      </c>
      <c r="AS13" s="5">
        <f>recovered!AS13-recovered!AR13</f>
        <v>0</v>
      </c>
      <c r="AT13" s="5">
        <f>recovered!AT13-recovered!AS13</f>
        <v>0</v>
      </c>
      <c r="AU13" s="5">
        <f>recovered!AU13-recovered!AT13</f>
        <v>0</v>
      </c>
      <c r="AV13" s="5">
        <f>recovered!AV13-recovered!AU13</f>
        <v>7</v>
      </c>
      <c r="AW13" s="5">
        <f>recovered!AW13-recovered!AV13</f>
        <v>0</v>
      </c>
      <c r="AX13" s="5">
        <f>recovered!AX13-recovered!AW13</f>
        <v>0</v>
      </c>
      <c r="AY13" s="5">
        <f>recovered!AY13-recovered!AX13</f>
        <v>0</v>
      </c>
      <c r="AZ13" s="5">
        <f>recovered!AZ13-recovered!AY13</f>
        <v>0</v>
      </c>
      <c r="BA13" s="5">
        <f>recovered!BA13-recovered!AZ13</f>
        <v>0</v>
      </c>
      <c r="BB13" s="5">
        <f>recovered!BB13-recovered!BA13</f>
        <v>0</v>
      </c>
      <c r="BC13" s="5">
        <f>recovered!BC13-recovered!BB13</f>
        <v>0</v>
      </c>
      <c r="BD13" s="5">
        <f>recovered!BD13-recovered!BC13</f>
        <v>0</v>
      </c>
      <c r="BE13" s="5">
        <f>recovered!BE13-recovered!BD13</f>
        <v>0</v>
      </c>
      <c r="BF13" s="5">
        <f>recovered!BF13-recovered!BE13</f>
        <v>0</v>
      </c>
      <c r="BG13" s="5">
        <f>recovered!BG13-recovered!BF13</f>
        <v>0</v>
      </c>
      <c r="BH13" s="5">
        <f>recovered!BH13-recovered!BG13</f>
        <v>0</v>
      </c>
      <c r="BI13" s="5">
        <f>recovered!BI13-recovered!BH13</f>
        <v>0</v>
      </c>
      <c r="BJ13" s="5">
        <f>recovered!BJ13-recovered!BI13</f>
        <v>0</v>
      </c>
      <c r="BK13" s="5">
        <f>recovered!BK13-recovered!BJ13</f>
        <v>0</v>
      </c>
      <c r="BL13" s="5">
        <f>recovered!BL13-recovered!BK13</f>
        <v>0</v>
      </c>
      <c r="BM13" s="5">
        <f>recovered!BM13-recovered!BL13</f>
        <v>0</v>
      </c>
      <c r="BN13" s="5">
        <f>recovered!BN13-recovered!BM13</f>
        <v>0</v>
      </c>
      <c r="BO13" s="5">
        <f>recovered!BO13-recovered!BN13</f>
        <v>0</v>
      </c>
      <c r="BP13" s="5">
        <f>recovered!BP13-recovered!BO13</f>
        <v>0</v>
      </c>
      <c r="BQ13" s="5">
        <f>recovered!BQ13-recovered!BP13</f>
        <v>0</v>
      </c>
      <c r="BR13" s="5">
        <f>recovered!BR13-recovered!BQ13</f>
        <v>0</v>
      </c>
      <c r="BS13" s="5">
        <f>recovered!BS13-recovered!BR13</f>
        <v>0</v>
      </c>
      <c r="BT13" s="5">
        <f>recovered!BT13-recovered!BS13</f>
        <v>0</v>
      </c>
      <c r="BU13" s="5">
        <f>recovered!BU13-recovered!BT13</f>
        <v>0</v>
      </c>
      <c r="BV13" s="5">
        <f>recovered!BV13-recovered!BU13</f>
        <v>0</v>
      </c>
      <c r="BW13" s="5">
        <f>recovered!BW13-recovered!BV13</f>
        <v>0</v>
      </c>
      <c r="BX13" s="5">
        <f>recovered!BX13-recovered!BW13</f>
        <v>0</v>
      </c>
      <c r="BY13" s="5">
        <f>recovered!BY13-recovered!BX13</f>
        <v>0</v>
      </c>
    </row>
    <row r="14">
      <c r="B14" s="1" t="str">
        <f>recovered!B14</f>
        <v>Australia</v>
      </c>
      <c r="C14" s="4">
        <f>recovered!C14</f>
        <v>-34.9285</v>
      </c>
      <c r="D14" s="4">
        <f>recovered!D14</f>
        <v>138.6007</v>
      </c>
      <c r="E14" s="5">
        <f>recovered!E14</f>
        <v>0</v>
      </c>
      <c r="F14" s="5">
        <f>recovered!F14-recovered!E14</f>
        <v>0</v>
      </c>
      <c r="G14" s="5">
        <f>recovered!G14-recovered!F14</f>
        <v>0</v>
      </c>
      <c r="H14" s="5">
        <f>recovered!H14-recovered!G14</f>
        <v>0</v>
      </c>
      <c r="I14" s="5">
        <f>recovered!I14-recovered!H14</f>
        <v>0</v>
      </c>
      <c r="J14" s="5">
        <f>recovered!J14-recovered!I14</f>
        <v>0</v>
      </c>
      <c r="K14" s="5">
        <f>recovered!K14-recovered!J14</f>
        <v>0</v>
      </c>
      <c r="L14" s="5">
        <f>recovered!L14-recovered!K14</f>
        <v>0</v>
      </c>
      <c r="M14" s="5">
        <f>recovered!M14-recovered!L14</f>
        <v>0</v>
      </c>
      <c r="N14" s="5">
        <f>recovered!N14-recovered!M14</f>
        <v>0</v>
      </c>
      <c r="O14" s="5">
        <f>recovered!O14-recovered!N14</f>
        <v>0</v>
      </c>
      <c r="P14" s="5">
        <f>recovered!P14-recovered!O14</f>
        <v>0</v>
      </c>
      <c r="Q14" s="5">
        <f>recovered!Q14-recovered!P14</f>
        <v>0</v>
      </c>
      <c r="R14" s="5">
        <f>recovered!R14-recovered!Q14</f>
        <v>0</v>
      </c>
      <c r="S14" s="5">
        <f>recovered!S14-recovered!R14</f>
        <v>0</v>
      </c>
      <c r="T14" s="5">
        <f>recovered!T14-recovered!S14</f>
        <v>0</v>
      </c>
      <c r="U14" s="5">
        <f>recovered!U14-recovered!T14</f>
        <v>0</v>
      </c>
      <c r="V14" s="5">
        <f>recovered!V14-recovered!U14</f>
        <v>0</v>
      </c>
      <c r="W14" s="5">
        <f>recovered!W14-recovered!V14</f>
        <v>0</v>
      </c>
      <c r="X14" s="5">
        <f>recovered!X14-recovered!W14</f>
        <v>0</v>
      </c>
      <c r="Y14" s="5">
        <f>recovered!Y14-recovered!X14</f>
        <v>0</v>
      </c>
      <c r="Z14" s="5">
        <f>recovered!Z14-recovered!Y14</f>
        <v>0</v>
      </c>
      <c r="AA14" s="5">
        <f>recovered!AA14-recovered!Z14</f>
        <v>0</v>
      </c>
      <c r="AB14" s="5">
        <f>recovered!AB14-recovered!AA14</f>
        <v>0</v>
      </c>
      <c r="AC14" s="5">
        <f>recovered!AC14-recovered!AB14</f>
        <v>0</v>
      </c>
      <c r="AD14" s="5">
        <f>recovered!AD14-recovered!AC14</f>
        <v>0</v>
      </c>
      <c r="AE14" s="5">
        <f>recovered!AE14-recovered!AD14</f>
        <v>2</v>
      </c>
      <c r="AF14" s="5">
        <f>recovered!AF14-recovered!AE14</f>
        <v>0</v>
      </c>
      <c r="AG14" s="5">
        <f>recovered!AG14-recovered!AF14</f>
        <v>0</v>
      </c>
      <c r="AH14" s="5">
        <f>recovered!AH14-recovered!AG14</f>
        <v>0</v>
      </c>
      <c r="AI14" s="5">
        <f>recovered!AI14-recovered!AH14</f>
        <v>0</v>
      </c>
      <c r="AJ14" s="5">
        <f>recovered!AJ14-recovered!AI14</f>
        <v>0</v>
      </c>
      <c r="AK14" s="5">
        <f>recovered!AK14-recovered!AJ14</f>
        <v>0</v>
      </c>
      <c r="AL14" s="5">
        <f>recovered!AL14-recovered!AK14</f>
        <v>0</v>
      </c>
      <c r="AM14" s="5">
        <f>recovered!AM14-recovered!AL14</f>
        <v>0</v>
      </c>
      <c r="AN14" s="5">
        <f>recovered!AN14-recovered!AM14</f>
        <v>0</v>
      </c>
      <c r="AO14" s="5">
        <f>recovered!AO14-recovered!AN14</f>
        <v>0</v>
      </c>
      <c r="AP14" s="5">
        <f>recovered!AP14-recovered!AO14</f>
        <v>0</v>
      </c>
      <c r="AQ14" s="5">
        <f>recovered!AQ14-recovered!AP14</f>
        <v>0</v>
      </c>
      <c r="AR14" s="5">
        <f>recovered!AR14-recovered!AQ14</f>
        <v>0</v>
      </c>
      <c r="AS14" s="5">
        <f>recovered!AS14-recovered!AR14</f>
        <v>0</v>
      </c>
      <c r="AT14" s="5">
        <f>recovered!AT14-recovered!AS14</f>
        <v>0</v>
      </c>
      <c r="AU14" s="5">
        <f>recovered!AU14-recovered!AT14</f>
        <v>0</v>
      </c>
      <c r="AV14" s="5">
        <f>recovered!AV14-recovered!AU14</f>
        <v>0</v>
      </c>
      <c r="AW14" s="5">
        <f>recovered!AW14-recovered!AV14</f>
        <v>0</v>
      </c>
      <c r="AX14" s="5">
        <f>recovered!AX14-recovered!AW14</f>
        <v>0</v>
      </c>
      <c r="AY14" s="5">
        <f>recovered!AY14-recovered!AX14</f>
        <v>0</v>
      </c>
      <c r="AZ14" s="5">
        <f>recovered!AZ14-recovered!AY14</f>
        <v>0</v>
      </c>
      <c r="BA14" s="5">
        <f>recovered!BA14-recovered!AZ14</f>
        <v>0</v>
      </c>
      <c r="BB14" s="5">
        <f>recovered!BB14-recovered!BA14</f>
        <v>0</v>
      </c>
      <c r="BC14" s="5">
        <f>recovered!BC14-recovered!BB14</f>
        <v>0</v>
      </c>
      <c r="BD14" s="5">
        <f>recovered!BD14-recovered!BC14</f>
        <v>1</v>
      </c>
      <c r="BE14" s="5">
        <f>recovered!BE14-recovered!BD14</f>
        <v>0</v>
      </c>
      <c r="BF14" s="5">
        <f>recovered!BF14-recovered!BE14</f>
        <v>0</v>
      </c>
      <c r="BG14" s="5">
        <f>recovered!BG14-recovered!BF14</f>
        <v>0</v>
      </c>
      <c r="BH14" s="5">
        <f>recovered!BH14-recovered!BG14</f>
        <v>0</v>
      </c>
      <c r="BI14" s="5">
        <f>recovered!BI14-recovered!BH14</f>
        <v>0</v>
      </c>
      <c r="BJ14" s="5">
        <f>recovered!BJ14-recovered!BI14</f>
        <v>0</v>
      </c>
      <c r="BK14" s="5">
        <f>recovered!BK14-recovered!BJ14</f>
        <v>0</v>
      </c>
      <c r="BL14" s="5">
        <f>recovered!BL14-recovered!BK14</f>
        <v>0</v>
      </c>
      <c r="BM14" s="5">
        <f>recovered!BM14-recovered!BL14</f>
        <v>0</v>
      </c>
      <c r="BN14" s="5">
        <f>recovered!BN14-recovered!BM14</f>
        <v>0</v>
      </c>
      <c r="BO14" s="5">
        <f>recovered!BO14-recovered!BN14</f>
        <v>0</v>
      </c>
      <c r="BP14" s="5">
        <f>recovered!BP14-recovered!BO14</f>
        <v>3</v>
      </c>
      <c r="BQ14" s="5">
        <f>recovered!BQ14-recovered!BP14</f>
        <v>0</v>
      </c>
      <c r="BR14" s="5">
        <f>recovered!BR14-recovered!BQ14</f>
        <v>0</v>
      </c>
      <c r="BS14" s="5">
        <f>recovered!BS14-recovered!BR14</f>
        <v>0</v>
      </c>
      <c r="BT14" s="5">
        <f>recovered!BT14-recovered!BS14</f>
        <v>0</v>
      </c>
      <c r="BU14" s="5">
        <f>recovered!BU14-recovered!BT14</f>
        <v>0</v>
      </c>
      <c r="BV14" s="5">
        <f>recovered!BV14-recovered!BU14</f>
        <v>0</v>
      </c>
      <c r="BW14" s="5">
        <f>recovered!BW14-recovered!BV14</f>
        <v>0</v>
      </c>
      <c r="BX14" s="5">
        <f>recovered!BX14-recovered!BW14</f>
        <v>0</v>
      </c>
      <c r="BY14" s="5">
        <f>recovered!BY14-recovered!BX14</f>
        <v>40</v>
      </c>
    </row>
    <row r="15">
      <c r="B15" s="1" t="str">
        <f>recovered!B15</f>
        <v>Australia</v>
      </c>
      <c r="C15" s="4">
        <f>recovered!C15</f>
        <v>-41.4545</v>
      </c>
      <c r="D15" s="4">
        <f>recovered!D15</f>
        <v>145.9707</v>
      </c>
      <c r="E15" s="5">
        <f>recovered!E15</f>
        <v>0</v>
      </c>
      <c r="F15" s="5">
        <f>recovered!F15-recovered!E15</f>
        <v>0</v>
      </c>
      <c r="G15" s="5">
        <f>recovered!G15-recovered!F15</f>
        <v>0</v>
      </c>
      <c r="H15" s="5">
        <f>recovered!H15-recovered!G15</f>
        <v>0</v>
      </c>
      <c r="I15" s="5">
        <f>recovered!I15-recovered!H15</f>
        <v>0</v>
      </c>
      <c r="J15" s="5">
        <f>recovered!J15-recovered!I15</f>
        <v>0</v>
      </c>
      <c r="K15" s="5">
        <f>recovered!K15-recovered!J15</f>
        <v>0</v>
      </c>
      <c r="L15" s="5">
        <f>recovered!L15-recovered!K15</f>
        <v>0</v>
      </c>
      <c r="M15" s="5">
        <f>recovered!M15-recovered!L15</f>
        <v>0</v>
      </c>
      <c r="N15" s="5">
        <f>recovered!N15-recovered!M15</f>
        <v>0</v>
      </c>
      <c r="O15" s="5">
        <f>recovered!O15-recovered!N15</f>
        <v>0</v>
      </c>
      <c r="P15" s="5">
        <f>recovered!P15-recovered!O15</f>
        <v>0</v>
      </c>
      <c r="Q15" s="5">
        <f>recovered!Q15-recovered!P15</f>
        <v>0</v>
      </c>
      <c r="R15" s="5">
        <f>recovered!R15-recovered!Q15</f>
        <v>0</v>
      </c>
      <c r="S15" s="5">
        <f>recovered!S15-recovered!R15</f>
        <v>0</v>
      </c>
      <c r="T15" s="5">
        <f>recovered!T15-recovered!S15</f>
        <v>0</v>
      </c>
      <c r="U15" s="5">
        <f>recovered!U15-recovered!T15</f>
        <v>0</v>
      </c>
      <c r="V15" s="5">
        <f>recovered!V15-recovered!U15</f>
        <v>0</v>
      </c>
      <c r="W15" s="5">
        <f>recovered!W15-recovered!V15</f>
        <v>0</v>
      </c>
      <c r="X15" s="5">
        <f>recovered!X15-recovered!W15</f>
        <v>0</v>
      </c>
      <c r="Y15" s="5">
        <f>recovered!Y15-recovered!X15</f>
        <v>0</v>
      </c>
      <c r="Z15" s="5">
        <f>recovered!Z15-recovered!Y15</f>
        <v>0</v>
      </c>
      <c r="AA15" s="5">
        <f>recovered!AA15-recovered!Z15</f>
        <v>0</v>
      </c>
      <c r="AB15" s="5">
        <f>recovered!AB15-recovered!AA15</f>
        <v>0</v>
      </c>
      <c r="AC15" s="5">
        <f>recovered!AC15-recovered!AB15</f>
        <v>0</v>
      </c>
      <c r="AD15" s="5">
        <f>recovered!AD15-recovered!AC15</f>
        <v>0</v>
      </c>
      <c r="AE15" s="5">
        <f>recovered!AE15-recovered!AD15</f>
        <v>0</v>
      </c>
      <c r="AF15" s="5">
        <f>recovered!AF15-recovered!AE15</f>
        <v>0</v>
      </c>
      <c r="AG15" s="5">
        <f>recovered!AG15-recovered!AF15</f>
        <v>0</v>
      </c>
      <c r="AH15" s="5">
        <f>recovered!AH15-recovered!AG15</f>
        <v>0</v>
      </c>
      <c r="AI15" s="5">
        <f>recovered!AI15-recovered!AH15</f>
        <v>0</v>
      </c>
      <c r="AJ15" s="5">
        <f>recovered!AJ15-recovered!AI15</f>
        <v>0</v>
      </c>
      <c r="AK15" s="5">
        <f>recovered!AK15-recovered!AJ15</f>
        <v>0</v>
      </c>
      <c r="AL15" s="5">
        <f>recovered!AL15-recovered!AK15</f>
        <v>0</v>
      </c>
      <c r="AM15" s="5">
        <f>recovered!AM15-recovered!AL15</f>
        <v>0</v>
      </c>
      <c r="AN15" s="5">
        <f>recovered!AN15-recovered!AM15</f>
        <v>0</v>
      </c>
      <c r="AO15" s="5">
        <f>recovered!AO15-recovered!AN15</f>
        <v>0</v>
      </c>
      <c r="AP15" s="5">
        <f>recovered!AP15-recovered!AO15</f>
        <v>0</v>
      </c>
      <c r="AQ15" s="5">
        <f>recovered!AQ15-recovered!AP15</f>
        <v>0</v>
      </c>
      <c r="AR15" s="5">
        <f>recovered!AR15-recovered!AQ15</f>
        <v>0</v>
      </c>
      <c r="AS15" s="5">
        <f>recovered!AS15-recovered!AR15</f>
        <v>0</v>
      </c>
      <c r="AT15" s="5">
        <f>recovered!AT15-recovered!AS15</f>
        <v>0</v>
      </c>
      <c r="AU15" s="5">
        <f>recovered!AU15-recovered!AT15</f>
        <v>0</v>
      </c>
      <c r="AV15" s="5">
        <f>recovered!AV15-recovered!AU15</f>
        <v>0</v>
      </c>
      <c r="AW15" s="5">
        <f>recovered!AW15-recovered!AV15</f>
        <v>0</v>
      </c>
      <c r="AX15" s="5">
        <f>recovered!AX15-recovered!AW15</f>
        <v>0</v>
      </c>
      <c r="AY15" s="5">
        <f>recovered!AY15-recovered!AX15</f>
        <v>0</v>
      </c>
      <c r="AZ15" s="5">
        <f>recovered!AZ15-recovered!AY15</f>
        <v>0</v>
      </c>
      <c r="BA15" s="5">
        <f>recovered!BA15-recovered!AZ15</f>
        <v>0</v>
      </c>
      <c r="BB15" s="5">
        <f>recovered!BB15-recovered!BA15</f>
        <v>0</v>
      </c>
      <c r="BC15" s="5">
        <f>recovered!BC15-recovered!BB15</f>
        <v>0</v>
      </c>
      <c r="BD15" s="5">
        <f>recovered!BD15-recovered!BC15</f>
        <v>0</v>
      </c>
      <c r="BE15" s="5">
        <f>recovered!BE15-recovered!BD15</f>
        <v>0</v>
      </c>
      <c r="BF15" s="5">
        <f>recovered!BF15-recovered!BE15</f>
        <v>0</v>
      </c>
      <c r="BG15" s="5">
        <f>recovered!BG15-recovered!BF15</f>
        <v>0</v>
      </c>
      <c r="BH15" s="5">
        <f>recovered!BH15-recovered!BG15</f>
        <v>0</v>
      </c>
      <c r="BI15" s="5">
        <f>recovered!BI15-recovered!BH15</f>
        <v>0</v>
      </c>
      <c r="BJ15" s="5">
        <f>recovered!BJ15-recovered!BI15</f>
        <v>3</v>
      </c>
      <c r="BK15" s="5">
        <f>recovered!BK15-recovered!BJ15</f>
        <v>0</v>
      </c>
      <c r="BL15" s="5">
        <f>recovered!BL15-recovered!BK15</f>
        <v>0</v>
      </c>
      <c r="BM15" s="5">
        <f>recovered!BM15-recovered!BL15</f>
        <v>0</v>
      </c>
      <c r="BN15" s="5">
        <f>recovered!BN15-recovered!BM15</f>
        <v>0</v>
      </c>
      <c r="BO15" s="5">
        <f>recovered!BO15-recovered!BN15</f>
        <v>0</v>
      </c>
      <c r="BP15" s="5">
        <f>recovered!BP15-recovered!BO15</f>
        <v>0</v>
      </c>
      <c r="BQ15" s="5">
        <f>recovered!BQ15-recovered!BP15</f>
        <v>0</v>
      </c>
      <c r="BR15" s="5">
        <f>recovered!BR15-recovered!BQ15</f>
        <v>0</v>
      </c>
      <c r="BS15" s="5">
        <f>recovered!BS15-recovered!BR15</f>
        <v>2</v>
      </c>
      <c r="BT15" s="5">
        <f>recovered!BT15-recovered!BS15</f>
        <v>0</v>
      </c>
      <c r="BU15" s="5">
        <f>recovered!BU15-recovered!BT15</f>
        <v>0</v>
      </c>
      <c r="BV15" s="5">
        <f>recovered!BV15-recovered!BU15</f>
        <v>0</v>
      </c>
      <c r="BW15" s="5">
        <f>recovered!BW15-recovered!BV15</f>
        <v>0</v>
      </c>
      <c r="BX15" s="5">
        <f>recovered!BX15-recovered!BW15</f>
        <v>0</v>
      </c>
      <c r="BY15" s="5">
        <f>recovered!BY15-recovered!BX15</f>
        <v>0</v>
      </c>
    </row>
    <row r="16">
      <c r="B16" s="1" t="str">
        <f>recovered!B16</f>
        <v>Australia</v>
      </c>
      <c r="C16" s="4">
        <f>recovered!C16</f>
        <v>-37.8136</v>
      </c>
      <c r="D16" s="4">
        <f>recovered!D16</f>
        <v>144.9631</v>
      </c>
      <c r="E16" s="5">
        <f>recovered!E16</f>
        <v>0</v>
      </c>
      <c r="F16" s="5">
        <f>recovered!F16-recovered!E16</f>
        <v>0</v>
      </c>
      <c r="G16" s="5">
        <f>recovered!G16-recovered!F16</f>
        <v>0</v>
      </c>
      <c r="H16" s="5">
        <f>recovered!H16-recovered!G16</f>
        <v>0</v>
      </c>
      <c r="I16" s="5">
        <f>recovered!I16-recovered!H16</f>
        <v>0</v>
      </c>
      <c r="J16" s="5">
        <f>recovered!J16-recovered!I16</f>
        <v>0</v>
      </c>
      <c r="K16" s="5">
        <f>recovered!K16-recovered!J16</f>
        <v>0</v>
      </c>
      <c r="L16" s="5">
        <f>recovered!L16-recovered!K16</f>
        <v>0</v>
      </c>
      <c r="M16" s="5">
        <f>recovered!M16-recovered!L16</f>
        <v>0</v>
      </c>
      <c r="N16" s="5">
        <f>recovered!N16-recovered!M16</f>
        <v>0</v>
      </c>
      <c r="O16" s="5">
        <f>recovered!O16-recovered!N16</f>
        <v>0</v>
      </c>
      <c r="P16" s="5">
        <f>recovered!P16-recovered!O16</f>
        <v>0</v>
      </c>
      <c r="Q16" s="5">
        <f>recovered!Q16-recovered!P16</f>
        <v>0</v>
      </c>
      <c r="R16" s="5">
        <f>recovered!R16-recovered!Q16</f>
        <v>0</v>
      </c>
      <c r="S16" s="5">
        <f>recovered!S16-recovered!R16</f>
        <v>0</v>
      </c>
      <c r="T16" s="5">
        <f>recovered!T16-recovered!S16</f>
        <v>0</v>
      </c>
      <c r="U16" s="5">
        <f>recovered!U16-recovered!T16</f>
        <v>0</v>
      </c>
      <c r="V16" s="5">
        <f>recovered!V16-recovered!U16</f>
        <v>0</v>
      </c>
      <c r="W16" s="5">
        <f>recovered!W16-recovered!V16</f>
        <v>0</v>
      </c>
      <c r="X16" s="5">
        <f>recovered!X16-recovered!W16</f>
        <v>0</v>
      </c>
      <c r="Y16" s="5">
        <f>recovered!Y16-recovered!X16</f>
        <v>0</v>
      </c>
      <c r="Z16" s="5">
        <f>recovered!Z16-recovered!Y16</f>
        <v>0</v>
      </c>
      <c r="AA16" s="5">
        <f>recovered!AA16-recovered!Z16</f>
        <v>4</v>
      </c>
      <c r="AB16" s="5">
        <f>recovered!AB16-recovered!AA16</f>
        <v>0</v>
      </c>
      <c r="AC16" s="5">
        <f>recovered!AC16-recovered!AB16</f>
        <v>0</v>
      </c>
      <c r="AD16" s="5">
        <f>recovered!AD16-recovered!AC16</f>
        <v>0</v>
      </c>
      <c r="AE16" s="5">
        <f>recovered!AE16-recovered!AD16</f>
        <v>0</v>
      </c>
      <c r="AF16" s="5">
        <f>recovered!AF16-recovered!AE16</f>
        <v>0</v>
      </c>
      <c r="AG16" s="5">
        <f>recovered!AG16-recovered!AF16</f>
        <v>0</v>
      </c>
      <c r="AH16" s="5">
        <f>recovered!AH16-recovered!AG16</f>
        <v>0</v>
      </c>
      <c r="AI16" s="5">
        <f>recovered!AI16-recovered!AH16</f>
        <v>0</v>
      </c>
      <c r="AJ16" s="5">
        <f>recovered!AJ16-recovered!AI16</f>
        <v>0</v>
      </c>
      <c r="AK16" s="5">
        <f>recovered!AK16-recovered!AJ16</f>
        <v>0</v>
      </c>
      <c r="AL16" s="5">
        <f>recovered!AL16-recovered!AK16</f>
        <v>0</v>
      </c>
      <c r="AM16" s="5">
        <f>recovered!AM16-recovered!AL16</f>
        <v>0</v>
      </c>
      <c r="AN16" s="5">
        <f>recovered!AN16-recovered!AM16</f>
        <v>0</v>
      </c>
      <c r="AO16" s="5">
        <f>recovered!AO16-recovered!AN16</f>
        <v>0</v>
      </c>
      <c r="AP16" s="5">
        <f>recovered!AP16-recovered!AO16</f>
        <v>0</v>
      </c>
      <c r="AQ16" s="5">
        <f>recovered!AQ16-recovered!AP16</f>
        <v>0</v>
      </c>
      <c r="AR16" s="5">
        <f>recovered!AR16-recovered!AQ16</f>
        <v>0</v>
      </c>
      <c r="AS16" s="5">
        <f>recovered!AS16-recovered!AR16</f>
        <v>0</v>
      </c>
      <c r="AT16" s="5">
        <f>recovered!AT16-recovered!AS16</f>
        <v>0</v>
      </c>
      <c r="AU16" s="5">
        <f>recovered!AU16-recovered!AT16</f>
        <v>0</v>
      </c>
      <c r="AV16" s="5">
        <f>recovered!AV16-recovered!AU16</f>
        <v>3</v>
      </c>
      <c r="AW16" s="5">
        <f>recovered!AW16-recovered!AV16</f>
        <v>0</v>
      </c>
      <c r="AX16" s="5">
        <f>recovered!AX16-recovered!AW16</f>
        <v>0</v>
      </c>
      <c r="AY16" s="5">
        <f>recovered!AY16-recovered!AX16</f>
        <v>0</v>
      </c>
      <c r="AZ16" s="5">
        <f>recovered!AZ16-recovered!AY16</f>
        <v>0</v>
      </c>
      <c r="BA16" s="5">
        <f>recovered!BA16-recovered!AZ16</f>
        <v>0</v>
      </c>
      <c r="BB16" s="5">
        <f>recovered!BB16-recovered!BA16</f>
        <v>0</v>
      </c>
      <c r="BC16" s="5">
        <f>recovered!BC16-recovered!BB16</f>
        <v>0</v>
      </c>
      <c r="BD16" s="5">
        <f>recovered!BD16-recovered!BC16</f>
        <v>1</v>
      </c>
      <c r="BE16" s="5">
        <f>recovered!BE16-recovered!BD16</f>
        <v>0</v>
      </c>
      <c r="BF16" s="5">
        <f>recovered!BF16-recovered!BE16</f>
        <v>0</v>
      </c>
      <c r="BG16" s="5">
        <f>recovered!BG16-recovered!BF16</f>
        <v>0</v>
      </c>
      <c r="BH16" s="5">
        <f>recovered!BH16-recovered!BG16</f>
        <v>0</v>
      </c>
      <c r="BI16" s="5">
        <f>recovered!BI16-recovered!BH16</f>
        <v>0</v>
      </c>
      <c r="BJ16" s="5">
        <f>recovered!BJ16-recovered!BI16</f>
        <v>0</v>
      </c>
      <c r="BK16" s="5">
        <f>recovered!BK16-recovered!BJ16</f>
        <v>0</v>
      </c>
      <c r="BL16" s="5">
        <f>recovered!BL16-recovered!BK16</f>
        <v>0</v>
      </c>
      <c r="BM16" s="5">
        <f>recovered!BM16-recovered!BL16</f>
        <v>62</v>
      </c>
      <c r="BN16" s="5">
        <f>recovered!BN16-recovered!BM16</f>
        <v>0</v>
      </c>
      <c r="BO16" s="5">
        <f>recovered!BO16-recovered!BN16</f>
        <v>27</v>
      </c>
      <c r="BP16" s="5">
        <f>recovered!BP16-recovered!BO16</f>
        <v>0</v>
      </c>
      <c r="BQ16" s="5">
        <f>recovered!BQ16-recovered!BP16</f>
        <v>52</v>
      </c>
      <c r="BR16" s="5">
        <f>recovered!BR16-recovered!BQ16</f>
        <v>22</v>
      </c>
      <c r="BS16" s="5">
        <f>recovered!BS16-recovered!BR16</f>
        <v>20</v>
      </c>
      <c r="BT16" s="5">
        <f>recovered!BT16-recovered!BS16</f>
        <v>0</v>
      </c>
      <c r="BU16" s="5">
        <f>recovered!BU16-recovered!BT16</f>
        <v>0</v>
      </c>
      <c r="BV16" s="5">
        <f>recovered!BV16-recovered!BU16</f>
        <v>100</v>
      </c>
      <c r="BW16" s="5">
        <f>recovered!BW16-recovered!BV16</f>
        <v>52</v>
      </c>
      <c r="BX16" s="5">
        <f>recovered!BX16-recovered!BW16</f>
        <v>79</v>
      </c>
      <c r="BY16" s="5">
        <f>recovered!BY16-recovered!BX16</f>
        <v>54</v>
      </c>
    </row>
    <row r="17">
      <c r="B17" s="1" t="str">
        <f>recovered!B17</f>
        <v>Australia</v>
      </c>
      <c r="C17" s="4">
        <f>recovered!C17</f>
        <v>-31.9505</v>
      </c>
      <c r="D17" s="4">
        <f>recovered!D17</f>
        <v>115.8605</v>
      </c>
      <c r="E17" s="5">
        <f>recovered!E17</f>
        <v>0</v>
      </c>
      <c r="F17" s="5">
        <f>recovered!F17-recovered!E17</f>
        <v>0</v>
      </c>
      <c r="G17" s="5">
        <f>recovered!G17-recovered!F17</f>
        <v>0</v>
      </c>
      <c r="H17" s="5">
        <f>recovered!H17-recovered!G17</f>
        <v>0</v>
      </c>
      <c r="I17" s="5">
        <f>recovered!I17-recovered!H17</f>
        <v>0</v>
      </c>
      <c r="J17" s="5">
        <f>recovered!J17-recovered!I17</f>
        <v>0</v>
      </c>
      <c r="K17" s="5">
        <f>recovered!K17-recovered!J17</f>
        <v>0</v>
      </c>
      <c r="L17" s="5">
        <f>recovered!L17-recovered!K17</f>
        <v>0</v>
      </c>
      <c r="M17" s="5">
        <f>recovered!M17-recovered!L17</f>
        <v>0</v>
      </c>
      <c r="N17" s="5">
        <f>recovered!N17-recovered!M17</f>
        <v>0</v>
      </c>
      <c r="O17" s="5">
        <f>recovered!O17-recovered!N17</f>
        <v>0</v>
      </c>
      <c r="P17" s="5">
        <f>recovered!P17-recovered!O17</f>
        <v>0</v>
      </c>
      <c r="Q17" s="5">
        <f>recovered!Q17-recovered!P17</f>
        <v>0</v>
      </c>
      <c r="R17" s="5">
        <f>recovered!R17-recovered!Q17</f>
        <v>0</v>
      </c>
      <c r="S17" s="5">
        <f>recovered!S17-recovered!R17</f>
        <v>0</v>
      </c>
      <c r="T17" s="5">
        <f>recovered!T17-recovered!S17</f>
        <v>0</v>
      </c>
      <c r="U17" s="5">
        <f>recovered!U17-recovered!T17</f>
        <v>0</v>
      </c>
      <c r="V17" s="5">
        <f>recovered!V17-recovered!U17</f>
        <v>0</v>
      </c>
      <c r="W17" s="5">
        <f>recovered!W17-recovered!V17</f>
        <v>0</v>
      </c>
      <c r="X17" s="5">
        <f>recovered!X17-recovered!W17</f>
        <v>0</v>
      </c>
      <c r="Y17" s="5">
        <f>recovered!Y17-recovered!X17</f>
        <v>0</v>
      </c>
      <c r="Z17" s="5">
        <f>recovered!Z17-recovered!Y17</f>
        <v>0</v>
      </c>
      <c r="AA17" s="5">
        <f>recovered!AA17-recovered!Z17</f>
        <v>0</v>
      </c>
      <c r="AB17" s="5">
        <f>recovered!AB17-recovered!AA17</f>
        <v>0</v>
      </c>
      <c r="AC17" s="5">
        <f>recovered!AC17-recovered!AB17</f>
        <v>0</v>
      </c>
      <c r="AD17" s="5">
        <f>recovered!AD17-recovered!AC17</f>
        <v>0</v>
      </c>
      <c r="AE17" s="5">
        <f>recovered!AE17-recovered!AD17</f>
        <v>0</v>
      </c>
      <c r="AF17" s="5">
        <f>recovered!AF17-recovered!AE17</f>
        <v>0</v>
      </c>
      <c r="AG17" s="5">
        <f>recovered!AG17-recovered!AF17</f>
        <v>0</v>
      </c>
      <c r="AH17" s="5">
        <f>recovered!AH17-recovered!AG17</f>
        <v>0</v>
      </c>
      <c r="AI17" s="5">
        <f>recovered!AI17-recovered!AH17</f>
        <v>0</v>
      </c>
      <c r="AJ17" s="5">
        <f>recovered!AJ17-recovered!AI17</f>
        <v>0</v>
      </c>
      <c r="AK17" s="5">
        <f>recovered!AK17-recovered!AJ17</f>
        <v>0</v>
      </c>
      <c r="AL17" s="5">
        <f>recovered!AL17-recovered!AK17</f>
        <v>0</v>
      </c>
      <c r="AM17" s="5">
        <f>recovered!AM17-recovered!AL17</f>
        <v>0</v>
      </c>
      <c r="AN17" s="5">
        <f>recovered!AN17-recovered!AM17</f>
        <v>0</v>
      </c>
      <c r="AO17" s="5">
        <f>recovered!AO17-recovered!AN17</f>
        <v>0</v>
      </c>
      <c r="AP17" s="5">
        <f>recovered!AP17-recovered!AO17</f>
        <v>0</v>
      </c>
      <c r="AQ17" s="5">
        <f>recovered!AQ17-recovered!AP17</f>
        <v>0</v>
      </c>
      <c r="AR17" s="5">
        <f>recovered!AR17-recovered!AQ17</f>
        <v>0</v>
      </c>
      <c r="AS17" s="5">
        <f>recovered!AS17-recovered!AR17</f>
        <v>0</v>
      </c>
      <c r="AT17" s="5">
        <f>recovered!AT17-recovered!AS17</f>
        <v>0</v>
      </c>
      <c r="AU17" s="5">
        <f>recovered!AU17-recovered!AT17</f>
        <v>0</v>
      </c>
      <c r="AV17" s="5">
        <f>recovered!AV17-recovered!AU17</f>
        <v>0</v>
      </c>
      <c r="AW17" s="5">
        <f>recovered!AW17-recovered!AV17</f>
        <v>0</v>
      </c>
      <c r="AX17" s="5">
        <f>recovered!AX17-recovered!AW17</f>
        <v>0</v>
      </c>
      <c r="AY17" s="5">
        <f>recovered!AY17-recovered!AX17</f>
        <v>0</v>
      </c>
      <c r="AZ17" s="5">
        <f>recovered!AZ17-recovered!AY17</f>
        <v>0</v>
      </c>
      <c r="BA17" s="5">
        <f>recovered!BA17-recovered!AZ17</f>
        <v>0</v>
      </c>
      <c r="BB17" s="5">
        <f>recovered!BB17-recovered!BA17</f>
        <v>0</v>
      </c>
      <c r="BC17" s="5">
        <f>recovered!BC17-recovered!BB17</f>
        <v>0</v>
      </c>
      <c r="BD17" s="5">
        <f>recovered!BD17-recovered!BC17</f>
        <v>0</v>
      </c>
      <c r="BE17" s="5">
        <f>recovered!BE17-recovered!BD17</f>
        <v>0</v>
      </c>
      <c r="BF17" s="5">
        <f>recovered!BF17-recovered!BE17</f>
        <v>0</v>
      </c>
      <c r="BG17" s="5">
        <f>recovered!BG17-recovered!BF17</f>
        <v>0</v>
      </c>
      <c r="BH17" s="5">
        <f>recovered!BH17-recovered!BG17</f>
        <v>0</v>
      </c>
      <c r="BI17" s="5">
        <f>recovered!BI17-recovered!BH17</f>
        <v>0</v>
      </c>
      <c r="BJ17" s="5">
        <f>recovered!BJ17-recovered!BI17</f>
        <v>0</v>
      </c>
      <c r="BK17" s="5">
        <f>recovered!BK17-recovered!BJ17</f>
        <v>0</v>
      </c>
      <c r="BL17" s="5">
        <f>recovered!BL17-recovered!BK17</f>
        <v>0</v>
      </c>
      <c r="BM17" s="5">
        <f>recovered!BM17-recovered!BL17</f>
        <v>0</v>
      </c>
      <c r="BN17" s="5">
        <f>recovered!BN17-recovered!BM17</f>
        <v>0</v>
      </c>
      <c r="BO17" s="5">
        <f>recovered!BO17-recovered!BN17</f>
        <v>0</v>
      </c>
      <c r="BP17" s="5">
        <f>recovered!BP17-recovered!BO17</f>
        <v>1</v>
      </c>
      <c r="BQ17" s="5">
        <f>recovered!BQ17-recovered!BP17</f>
        <v>0</v>
      </c>
      <c r="BR17" s="5">
        <f>recovered!BR17-recovered!BQ17</f>
        <v>0</v>
      </c>
      <c r="BS17" s="5">
        <f>recovered!BS17-recovered!BR17</f>
        <v>27</v>
      </c>
      <c r="BT17" s="5">
        <f>recovered!BT17-recovered!BS17</f>
        <v>0</v>
      </c>
      <c r="BU17" s="5">
        <f>recovered!BU17-recovered!BT17</f>
        <v>13</v>
      </c>
      <c r="BV17" s="5">
        <f>recovered!BV17-recovered!BU17</f>
        <v>0</v>
      </c>
      <c r="BW17" s="5">
        <f>recovered!BW17-recovered!BV17</f>
        <v>7</v>
      </c>
      <c r="BX17" s="5">
        <f>recovered!BX17-recovered!BW17</f>
        <v>16</v>
      </c>
      <c r="BY17" s="5">
        <f>recovered!BY17-recovered!BX17</f>
        <v>28</v>
      </c>
    </row>
    <row r="18">
      <c r="B18" s="1" t="str">
        <f>recovered!B18</f>
        <v>Austria</v>
      </c>
      <c r="C18" s="4">
        <f>recovered!C18</f>
        <v>47.5162</v>
      </c>
      <c r="D18" s="4">
        <f>recovered!D18</f>
        <v>14.5501</v>
      </c>
      <c r="E18" s="5">
        <f>recovered!E18</f>
        <v>0</v>
      </c>
      <c r="F18" s="5">
        <f>recovered!F18-recovered!E18</f>
        <v>0</v>
      </c>
      <c r="G18" s="5">
        <f>recovered!G18-recovered!F18</f>
        <v>0</v>
      </c>
      <c r="H18" s="5">
        <f>recovered!H18-recovered!G18</f>
        <v>0</v>
      </c>
      <c r="I18" s="5">
        <f>recovered!I18-recovered!H18</f>
        <v>0</v>
      </c>
      <c r="J18" s="5">
        <f>recovered!J18-recovered!I18</f>
        <v>0</v>
      </c>
      <c r="K18" s="5">
        <f>recovered!K18-recovered!J18</f>
        <v>0</v>
      </c>
      <c r="L18" s="5">
        <f>recovered!L18-recovered!K18</f>
        <v>0</v>
      </c>
      <c r="M18" s="5">
        <f>recovered!M18-recovered!L18</f>
        <v>0</v>
      </c>
      <c r="N18" s="5">
        <f>recovered!N18-recovered!M18</f>
        <v>0</v>
      </c>
      <c r="O18" s="5">
        <f>recovered!O18-recovered!N18</f>
        <v>0</v>
      </c>
      <c r="P18" s="5">
        <f>recovered!P18-recovered!O18</f>
        <v>0</v>
      </c>
      <c r="Q18" s="5">
        <f>recovered!Q18-recovered!P18</f>
        <v>0</v>
      </c>
      <c r="R18" s="5">
        <f>recovered!R18-recovered!Q18</f>
        <v>0</v>
      </c>
      <c r="S18" s="5">
        <f>recovered!S18-recovered!R18</f>
        <v>0</v>
      </c>
      <c r="T18" s="5">
        <f>recovered!T18-recovered!S18</f>
        <v>0</v>
      </c>
      <c r="U18" s="5">
        <f>recovered!U18-recovered!T18</f>
        <v>0</v>
      </c>
      <c r="V18" s="5">
        <f>recovered!V18-recovered!U18</f>
        <v>0</v>
      </c>
      <c r="W18" s="5">
        <f>recovered!W18-recovered!V18</f>
        <v>0</v>
      </c>
      <c r="X18" s="5">
        <f>recovered!X18-recovered!W18</f>
        <v>0</v>
      </c>
      <c r="Y18" s="5">
        <f>recovered!Y18-recovered!X18</f>
        <v>0</v>
      </c>
      <c r="Z18" s="5">
        <f>recovered!Z18-recovered!Y18</f>
        <v>0</v>
      </c>
      <c r="AA18" s="5">
        <f>recovered!AA18-recovered!Z18</f>
        <v>0</v>
      </c>
      <c r="AB18" s="5">
        <f>recovered!AB18-recovered!AA18</f>
        <v>0</v>
      </c>
      <c r="AC18" s="5">
        <f>recovered!AC18-recovered!AB18</f>
        <v>0</v>
      </c>
      <c r="AD18" s="5">
        <f>recovered!AD18-recovered!AC18</f>
        <v>0</v>
      </c>
      <c r="AE18" s="5">
        <f>recovered!AE18-recovered!AD18</f>
        <v>0</v>
      </c>
      <c r="AF18" s="5">
        <f>recovered!AF18-recovered!AE18</f>
        <v>0</v>
      </c>
      <c r="AG18" s="5">
        <f>recovered!AG18-recovered!AF18</f>
        <v>0</v>
      </c>
      <c r="AH18" s="5">
        <f>recovered!AH18-recovered!AG18</f>
        <v>0</v>
      </c>
      <c r="AI18" s="5">
        <f>recovered!AI18-recovered!AH18</f>
        <v>0</v>
      </c>
      <c r="AJ18" s="5">
        <f>recovered!AJ18-recovered!AI18</f>
        <v>0</v>
      </c>
      <c r="AK18" s="5">
        <f>recovered!AK18-recovered!AJ18</f>
        <v>0</v>
      </c>
      <c r="AL18" s="5">
        <f>recovered!AL18-recovered!AK18</f>
        <v>0</v>
      </c>
      <c r="AM18" s="5">
        <f>recovered!AM18-recovered!AL18</f>
        <v>0</v>
      </c>
      <c r="AN18" s="5">
        <f>recovered!AN18-recovered!AM18</f>
        <v>0</v>
      </c>
      <c r="AO18" s="5">
        <f>recovered!AO18-recovered!AN18</f>
        <v>0</v>
      </c>
      <c r="AP18" s="5">
        <f>recovered!AP18-recovered!AO18</f>
        <v>0</v>
      </c>
      <c r="AQ18" s="5">
        <f>recovered!AQ18-recovered!AP18</f>
        <v>0</v>
      </c>
      <c r="AR18" s="5">
        <f>recovered!AR18-recovered!AQ18</f>
        <v>0</v>
      </c>
      <c r="AS18" s="5">
        <f>recovered!AS18-recovered!AR18</f>
        <v>0</v>
      </c>
      <c r="AT18" s="5">
        <f>recovered!AT18-recovered!AS18</f>
        <v>0</v>
      </c>
      <c r="AU18" s="5">
        <f>recovered!AU18-recovered!AT18</f>
        <v>0</v>
      </c>
      <c r="AV18" s="5">
        <f>recovered!AV18-recovered!AU18</f>
        <v>0</v>
      </c>
      <c r="AW18" s="5">
        <f>recovered!AW18-recovered!AV18</f>
        <v>0</v>
      </c>
      <c r="AX18" s="5">
        <f>recovered!AX18-recovered!AW18</f>
        <v>0</v>
      </c>
      <c r="AY18" s="5">
        <f>recovered!AY18-recovered!AX18</f>
        <v>0</v>
      </c>
      <c r="AZ18" s="5">
        <f>recovered!AZ18-recovered!AY18</f>
        <v>2</v>
      </c>
      <c r="BA18" s="5">
        <f>recovered!BA18-recovered!AZ18</f>
        <v>2</v>
      </c>
      <c r="BB18" s="5">
        <f>recovered!BB18-recovered!BA18</f>
        <v>0</v>
      </c>
      <c r="BC18" s="5">
        <f>recovered!BC18-recovered!BB18</f>
        <v>0</v>
      </c>
      <c r="BD18" s="5">
        <f>recovered!BD18-recovered!BC18</f>
        <v>2</v>
      </c>
      <c r="BE18" s="5">
        <f>recovered!BE18-recovered!BD18</f>
        <v>0</v>
      </c>
      <c r="BF18" s="5">
        <f>recovered!BF18-recovered!BE18</f>
        <v>0</v>
      </c>
      <c r="BG18" s="5">
        <f>recovered!BG18-recovered!BF18</f>
        <v>0</v>
      </c>
      <c r="BH18" s="5">
        <f>recovered!BH18-recovered!BG18</f>
        <v>-5</v>
      </c>
      <c r="BI18" s="5">
        <f>recovered!BI18-recovered!BH18</f>
        <v>8</v>
      </c>
      <c r="BJ18" s="5">
        <f>recovered!BJ18-recovered!BI18</f>
        <v>0</v>
      </c>
      <c r="BK18" s="5">
        <f>recovered!BK18-recovered!BJ18</f>
        <v>0</v>
      </c>
      <c r="BL18" s="5">
        <f>recovered!BL18-recovered!BK18</f>
        <v>0</v>
      </c>
      <c r="BM18" s="5">
        <f>recovered!BM18-recovered!BL18</f>
        <v>0</v>
      </c>
      <c r="BN18" s="5">
        <f>recovered!BN18-recovered!BM18</f>
        <v>0</v>
      </c>
      <c r="BO18" s="5">
        <f>recovered!BO18-recovered!BN18</f>
        <v>0</v>
      </c>
      <c r="BP18" s="5">
        <f>recovered!BP18-recovered!BO18</f>
        <v>0</v>
      </c>
      <c r="BQ18" s="5">
        <f>recovered!BQ18-recovered!BP18</f>
        <v>103</v>
      </c>
      <c r="BR18" s="5">
        <f>recovered!BR18-recovered!BQ18</f>
        <v>113</v>
      </c>
      <c r="BS18" s="5">
        <f>recovered!BS18-recovered!BR18</f>
        <v>0</v>
      </c>
      <c r="BT18" s="5">
        <f>recovered!BT18-recovered!BS18</f>
        <v>254</v>
      </c>
      <c r="BU18" s="5">
        <f>recovered!BU18-recovered!BT18</f>
        <v>157</v>
      </c>
      <c r="BV18" s="5">
        <f>recovered!BV18-recovered!BU18</f>
        <v>459</v>
      </c>
      <c r="BW18" s="5">
        <f>recovered!BW18-recovered!BV18</f>
        <v>341</v>
      </c>
      <c r="BX18" s="5">
        <f>recovered!BX18-recovered!BW18</f>
        <v>313</v>
      </c>
      <c r="BY18" s="5">
        <f>recovered!BY18-recovered!BX18</f>
        <v>273</v>
      </c>
    </row>
    <row r="19">
      <c r="B19" s="1" t="str">
        <f>recovered!B19</f>
        <v>Azerbaijan</v>
      </c>
      <c r="C19" s="4">
        <f>recovered!C19</f>
        <v>40.1431</v>
      </c>
      <c r="D19" s="4">
        <f>recovered!D19</f>
        <v>47.5769</v>
      </c>
      <c r="E19" s="5">
        <f>recovered!E19</f>
        <v>0</v>
      </c>
      <c r="F19" s="5">
        <f>recovered!F19-recovered!E19</f>
        <v>0</v>
      </c>
      <c r="G19" s="5">
        <f>recovered!G19-recovered!F19</f>
        <v>0</v>
      </c>
      <c r="H19" s="5">
        <f>recovered!H19-recovered!G19</f>
        <v>0</v>
      </c>
      <c r="I19" s="5">
        <f>recovered!I19-recovered!H19</f>
        <v>0</v>
      </c>
      <c r="J19" s="5">
        <f>recovered!J19-recovered!I19</f>
        <v>0</v>
      </c>
      <c r="K19" s="5">
        <f>recovered!K19-recovered!J19</f>
        <v>0</v>
      </c>
      <c r="L19" s="5">
        <f>recovered!L19-recovered!K19</f>
        <v>0</v>
      </c>
      <c r="M19" s="5">
        <f>recovered!M19-recovered!L19</f>
        <v>0</v>
      </c>
      <c r="N19" s="5">
        <f>recovered!N19-recovered!M19</f>
        <v>0</v>
      </c>
      <c r="O19" s="5">
        <f>recovered!O19-recovered!N19</f>
        <v>0</v>
      </c>
      <c r="P19" s="5">
        <f>recovered!P19-recovered!O19</f>
        <v>0</v>
      </c>
      <c r="Q19" s="5">
        <f>recovered!Q19-recovered!P19</f>
        <v>0</v>
      </c>
      <c r="R19" s="5">
        <f>recovered!R19-recovered!Q19</f>
        <v>0</v>
      </c>
      <c r="S19" s="5">
        <f>recovered!S19-recovered!R19</f>
        <v>0</v>
      </c>
      <c r="T19" s="5">
        <f>recovered!T19-recovered!S19</f>
        <v>0</v>
      </c>
      <c r="U19" s="5">
        <f>recovered!U19-recovered!T19</f>
        <v>0</v>
      </c>
      <c r="V19" s="5">
        <f>recovered!V19-recovered!U19</f>
        <v>0</v>
      </c>
      <c r="W19" s="5">
        <f>recovered!W19-recovered!V19</f>
        <v>0</v>
      </c>
      <c r="X19" s="5">
        <f>recovered!X19-recovered!W19</f>
        <v>0</v>
      </c>
      <c r="Y19" s="5">
        <f>recovered!Y19-recovered!X19</f>
        <v>0</v>
      </c>
      <c r="Z19" s="5">
        <f>recovered!Z19-recovered!Y19</f>
        <v>0</v>
      </c>
      <c r="AA19" s="5">
        <f>recovered!AA19-recovered!Z19</f>
        <v>0</v>
      </c>
      <c r="AB19" s="5">
        <f>recovered!AB19-recovered!AA19</f>
        <v>0</v>
      </c>
      <c r="AC19" s="5">
        <f>recovered!AC19-recovered!AB19</f>
        <v>0</v>
      </c>
      <c r="AD19" s="5">
        <f>recovered!AD19-recovered!AC19</f>
        <v>0</v>
      </c>
      <c r="AE19" s="5">
        <f>recovered!AE19-recovered!AD19</f>
        <v>0</v>
      </c>
      <c r="AF19" s="5">
        <f>recovered!AF19-recovered!AE19</f>
        <v>0</v>
      </c>
      <c r="AG19" s="5">
        <f>recovered!AG19-recovered!AF19</f>
        <v>0</v>
      </c>
      <c r="AH19" s="5">
        <f>recovered!AH19-recovered!AG19</f>
        <v>0</v>
      </c>
      <c r="AI19" s="5">
        <f>recovered!AI19-recovered!AH19</f>
        <v>0</v>
      </c>
      <c r="AJ19" s="5">
        <f>recovered!AJ19-recovered!AI19</f>
        <v>0</v>
      </c>
      <c r="AK19" s="5">
        <f>recovered!AK19-recovered!AJ19</f>
        <v>0</v>
      </c>
      <c r="AL19" s="5">
        <f>recovered!AL19-recovered!AK19</f>
        <v>0</v>
      </c>
      <c r="AM19" s="5">
        <f>recovered!AM19-recovered!AL19</f>
        <v>0</v>
      </c>
      <c r="AN19" s="5">
        <f>recovered!AN19-recovered!AM19</f>
        <v>0</v>
      </c>
      <c r="AO19" s="5">
        <f>recovered!AO19-recovered!AN19</f>
        <v>0</v>
      </c>
      <c r="AP19" s="5">
        <f>recovered!AP19-recovered!AO19</f>
        <v>0</v>
      </c>
      <c r="AQ19" s="5">
        <f>recovered!AQ19-recovered!AP19</f>
        <v>0</v>
      </c>
      <c r="AR19" s="5">
        <f>recovered!AR19-recovered!AQ19</f>
        <v>0</v>
      </c>
      <c r="AS19" s="5">
        <f>recovered!AS19-recovered!AR19</f>
        <v>0</v>
      </c>
      <c r="AT19" s="5">
        <f>recovered!AT19-recovered!AS19</f>
        <v>0</v>
      </c>
      <c r="AU19" s="5">
        <f>recovered!AU19-recovered!AT19</f>
        <v>0</v>
      </c>
      <c r="AV19" s="5">
        <f>recovered!AV19-recovered!AU19</f>
        <v>0</v>
      </c>
      <c r="AW19" s="5">
        <f>recovered!AW19-recovered!AV19</f>
        <v>0</v>
      </c>
      <c r="AX19" s="5">
        <f>recovered!AX19-recovered!AW19</f>
        <v>0</v>
      </c>
      <c r="AY19" s="5">
        <f>recovered!AY19-recovered!AX19</f>
        <v>0</v>
      </c>
      <c r="AZ19" s="5">
        <f>recovered!AZ19-recovered!AY19</f>
        <v>0</v>
      </c>
      <c r="BA19" s="5">
        <f>recovered!BA19-recovered!AZ19</f>
        <v>0</v>
      </c>
      <c r="BB19" s="5">
        <f>recovered!BB19-recovered!BA19</f>
        <v>3</v>
      </c>
      <c r="BC19" s="5">
        <f>recovered!BC19-recovered!BB19</f>
        <v>0</v>
      </c>
      <c r="BD19" s="5">
        <f>recovered!BD19-recovered!BC19</f>
        <v>0</v>
      </c>
      <c r="BE19" s="5">
        <f>recovered!BE19-recovered!BD19</f>
        <v>0</v>
      </c>
      <c r="BF19" s="5">
        <f>recovered!BF19-recovered!BE19</f>
        <v>3</v>
      </c>
      <c r="BG19" s="5">
        <f>recovered!BG19-recovered!BF19</f>
        <v>0</v>
      </c>
      <c r="BH19" s="5">
        <f>recovered!BH19-recovered!BG19</f>
        <v>0</v>
      </c>
      <c r="BI19" s="5">
        <f>recovered!BI19-recovered!BH19</f>
        <v>0</v>
      </c>
      <c r="BJ19" s="5">
        <f>recovered!BJ19-recovered!BI19</f>
        <v>0</v>
      </c>
      <c r="BK19" s="5">
        <f>recovered!BK19-recovered!BJ19</f>
        <v>0</v>
      </c>
      <c r="BL19" s="5">
        <f>recovered!BL19-recovered!BK19</f>
        <v>5</v>
      </c>
      <c r="BM19" s="5">
        <f>recovered!BM19-recovered!BL19</f>
        <v>-1</v>
      </c>
      <c r="BN19" s="5">
        <f>recovered!BN19-recovered!BM19</f>
        <v>0</v>
      </c>
      <c r="BO19" s="5">
        <f>recovered!BO19-recovered!BN19</f>
        <v>0</v>
      </c>
      <c r="BP19" s="5">
        <f>recovered!BP19-recovered!BO19</f>
        <v>0</v>
      </c>
      <c r="BQ19" s="5">
        <f>recovered!BQ19-recovered!BP19</f>
        <v>5</v>
      </c>
      <c r="BR19" s="5">
        <f>recovered!BR19-recovered!BQ19</f>
        <v>0</v>
      </c>
      <c r="BS19" s="5">
        <f>recovered!BS19-recovered!BR19</f>
        <v>0</v>
      </c>
      <c r="BT19" s="5">
        <f>recovered!BT19-recovered!BS19</f>
        <v>0</v>
      </c>
      <c r="BU19" s="5">
        <f>recovered!BU19-recovered!BT19</f>
        <v>11</v>
      </c>
      <c r="BV19" s="5">
        <f>recovered!BV19-recovered!BU19</f>
        <v>0</v>
      </c>
      <c r="BW19" s="5">
        <f>recovered!BW19-recovered!BV19</f>
        <v>0</v>
      </c>
      <c r="BX19" s="5">
        <f>recovered!BX19-recovered!BW19</f>
        <v>0</v>
      </c>
      <c r="BY19" s="5">
        <f>recovered!BY19-recovered!BX19</f>
        <v>6</v>
      </c>
    </row>
    <row r="20">
      <c r="B20" s="1" t="str">
        <f>recovered!B20</f>
        <v>Bahamas</v>
      </c>
      <c r="C20" s="4">
        <f>recovered!C20</f>
        <v>25.0343</v>
      </c>
      <c r="D20" s="4">
        <f>recovered!D20</f>
        <v>-77.3963</v>
      </c>
      <c r="E20" s="5">
        <f>recovered!E20</f>
        <v>0</v>
      </c>
      <c r="F20" s="5">
        <f>recovered!F20-recovered!E20</f>
        <v>0</v>
      </c>
      <c r="G20" s="5">
        <f>recovered!G20-recovered!F20</f>
        <v>0</v>
      </c>
      <c r="H20" s="5">
        <f>recovered!H20-recovered!G20</f>
        <v>0</v>
      </c>
      <c r="I20" s="5">
        <f>recovered!I20-recovered!H20</f>
        <v>0</v>
      </c>
      <c r="J20" s="5">
        <f>recovered!J20-recovered!I20</f>
        <v>0</v>
      </c>
      <c r="K20" s="5">
        <f>recovered!K20-recovered!J20</f>
        <v>0</v>
      </c>
      <c r="L20" s="5">
        <f>recovered!L20-recovered!K20</f>
        <v>0</v>
      </c>
      <c r="M20" s="5">
        <f>recovered!M20-recovered!L20</f>
        <v>0</v>
      </c>
      <c r="N20" s="5">
        <f>recovered!N20-recovered!M20</f>
        <v>0</v>
      </c>
      <c r="O20" s="5">
        <f>recovered!O20-recovered!N20</f>
        <v>0</v>
      </c>
      <c r="P20" s="5">
        <f>recovered!P20-recovered!O20</f>
        <v>0</v>
      </c>
      <c r="Q20" s="5">
        <f>recovered!Q20-recovered!P20</f>
        <v>0</v>
      </c>
      <c r="R20" s="5">
        <f>recovered!R20-recovered!Q20</f>
        <v>0</v>
      </c>
      <c r="S20" s="5">
        <f>recovered!S20-recovered!R20</f>
        <v>0</v>
      </c>
      <c r="T20" s="5">
        <f>recovered!T20-recovered!S20</f>
        <v>0</v>
      </c>
      <c r="U20" s="5">
        <f>recovered!U20-recovered!T20</f>
        <v>0</v>
      </c>
      <c r="V20" s="5">
        <f>recovered!V20-recovered!U20</f>
        <v>0</v>
      </c>
      <c r="W20" s="5">
        <f>recovered!W20-recovered!V20</f>
        <v>0</v>
      </c>
      <c r="X20" s="5">
        <f>recovered!X20-recovered!W20</f>
        <v>0</v>
      </c>
      <c r="Y20" s="5">
        <f>recovered!Y20-recovered!X20</f>
        <v>0</v>
      </c>
      <c r="Z20" s="5">
        <f>recovered!Z20-recovered!Y20</f>
        <v>0</v>
      </c>
      <c r="AA20" s="5">
        <f>recovered!AA20-recovered!Z20</f>
        <v>0</v>
      </c>
      <c r="AB20" s="5">
        <f>recovered!AB20-recovered!AA20</f>
        <v>0</v>
      </c>
      <c r="AC20" s="5">
        <f>recovered!AC20-recovered!AB20</f>
        <v>0</v>
      </c>
      <c r="AD20" s="5">
        <f>recovered!AD20-recovered!AC20</f>
        <v>0</v>
      </c>
      <c r="AE20" s="5">
        <f>recovered!AE20-recovered!AD20</f>
        <v>0</v>
      </c>
      <c r="AF20" s="5">
        <f>recovered!AF20-recovered!AE20</f>
        <v>0</v>
      </c>
      <c r="AG20" s="5">
        <f>recovered!AG20-recovered!AF20</f>
        <v>0</v>
      </c>
      <c r="AH20" s="5">
        <f>recovered!AH20-recovered!AG20</f>
        <v>0</v>
      </c>
      <c r="AI20" s="5">
        <f>recovered!AI20-recovered!AH20</f>
        <v>0</v>
      </c>
      <c r="AJ20" s="5">
        <f>recovered!AJ20-recovered!AI20</f>
        <v>0</v>
      </c>
      <c r="AK20" s="5">
        <f>recovered!AK20-recovered!AJ20</f>
        <v>0</v>
      </c>
      <c r="AL20" s="5">
        <f>recovered!AL20-recovered!AK20</f>
        <v>0</v>
      </c>
      <c r="AM20" s="5">
        <f>recovered!AM20-recovered!AL20</f>
        <v>0</v>
      </c>
      <c r="AN20" s="5">
        <f>recovered!AN20-recovered!AM20</f>
        <v>0</v>
      </c>
      <c r="AO20" s="5">
        <f>recovered!AO20-recovered!AN20</f>
        <v>0</v>
      </c>
      <c r="AP20" s="5">
        <f>recovered!AP20-recovered!AO20</f>
        <v>0</v>
      </c>
      <c r="AQ20" s="5">
        <f>recovered!AQ20-recovered!AP20</f>
        <v>0</v>
      </c>
      <c r="AR20" s="5">
        <f>recovered!AR20-recovered!AQ20</f>
        <v>0</v>
      </c>
      <c r="AS20" s="5">
        <f>recovered!AS20-recovered!AR20</f>
        <v>0</v>
      </c>
      <c r="AT20" s="5">
        <f>recovered!AT20-recovered!AS20</f>
        <v>0</v>
      </c>
      <c r="AU20" s="5">
        <f>recovered!AU20-recovered!AT20</f>
        <v>0</v>
      </c>
      <c r="AV20" s="5">
        <f>recovered!AV20-recovered!AU20</f>
        <v>0</v>
      </c>
      <c r="AW20" s="5">
        <f>recovered!AW20-recovered!AV20</f>
        <v>0</v>
      </c>
      <c r="AX20" s="5">
        <f>recovered!AX20-recovered!AW20</f>
        <v>0</v>
      </c>
      <c r="AY20" s="5">
        <f>recovered!AY20-recovered!AX20</f>
        <v>0</v>
      </c>
      <c r="AZ20" s="5">
        <f>recovered!AZ20-recovered!AY20</f>
        <v>0</v>
      </c>
      <c r="BA20" s="5">
        <f>recovered!BA20-recovered!AZ20</f>
        <v>0</v>
      </c>
      <c r="BB20" s="5">
        <f>recovered!BB20-recovered!BA20</f>
        <v>0</v>
      </c>
      <c r="BC20" s="5">
        <f>recovered!BC20-recovered!BB20</f>
        <v>0</v>
      </c>
      <c r="BD20" s="5">
        <f>recovered!BD20-recovered!BC20</f>
        <v>0</v>
      </c>
      <c r="BE20" s="5">
        <f>recovered!BE20-recovered!BD20</f>
        <v>0</v>
      </c>
      <c r="BF20" s="5">
        <f>recovered!BF20-recovered!BE20</f>
        <v>0</v>
      </c>
      <c r="BG20" s="5">
        <f>recovered!BG20-recovered!BF20</f>
        <v>0</v>
      </c>
      <c r="BH20" s="5">
        <f>recovered!BH20-recovered!BG20</f>
        <v>0</v>
      </c>
      <c r="BI20" s="5">
        <f>recovered!BI20-recovered!BH20</f>
        <v>0</v>
      </c>
      <c r="BJ20" s="5">
        <f>recovered!BJ20-recovered!BI20</f>
        <v>0</v>
      </c>
      <c r="BK20" s="5">
        <f>recovered!BK20-recovered!BJ20</f>
        <v>0</v>
      </c>
      <c r="BL20" s="5">
        <f>recovered!BL20-recovered!BK20</f>
        <v>0</v>
      </c>
      <c r="BM20" s="5">
        <f>recovered!BM20-recovered!BL20</f>
        <v>0</v>
      </c>
      <c r="BN20" s="5">
        <f>recovered!BN20-recovered!BM20</f>
        <v>0</v>
      </c>
      <c r="BO20" s="5">
        <f>recovered!BO20-recovered!BN20</f>
        <v>1</v>
      </c>
      <c r="BP20" s="5">
        <f>recovered!BP20-recovered!BO20</f>
        <v>0</v>
      </c>
      <c r="BQ20" s="5">
        <f>recovered!BQ20-recovered!BP20</f>
        <v>0</v>
      </c>
      <c r="BR20" s="5">
        <f>recovered!BR20-recovered!BQ20</f>
        <v>0</v>
      </c>
      <c r="BS20" s="5">
        <f>recovered!BS20-recovered!BR20</f>
        <v>0</v>
      </c>
      <c r="BT20" s="5">
        <f>recovered!BT20-recovered!BS20</f>
        <v>0</v>
      </c>
      <c r="BU20" s="5">
        <f>recovered!BU20-recovered!BT20</f>
        <v>0</v>
      </c>
      <c r="BV20" s="5">
        <f>recovered!BV20-recovered!BU20</f>
        <v>0</v>
      </c>
      <c r="BW20" s="5">
        <f>recovered!BW20-recovered!BV20</f>
        <v>0</v>
      </c>
      <c r="BX20" s="5">
        <f>recovered!BX20-recovered!BW20</f>
        <v>0</v>
      </c>
      <c r="BY20" s="5">
        <f>recovered!BY20-recovered!BX20</f>
        <v>0</v>
      </c>
    </row>
    <row r="21">
      <c r="B21" s="1" t="str">
        <f>recovered!B21</f>
        <v>Bahrain</v>
      </c>
      <c r="C21" s="4">
        <f>recovered!C21</f>
        <v>26.0275</v>
      </c>
      <c r="D21" s="4">
        <f>recovered!D21</f>
        <v>50.55</v>
      </c>
      <c r="E21" s="5">
        <f>recovered!E21</f>
        <v>0</v>
      </c>
      <c r="F21" s="5">
        <f>recovered!F21-recovered!E21</f>
        <v>0</v>
      </c>
      <c r="G21" s="5">
        <f>recovered!G21-recovered!F21</f>
        <v>0</v>
      </c>
      <c r="H21" s="5">
        <f>recovered!H21-recovered!G21</f>
        <v>0</v>
      </c>
      <c r="I21" s="5">
        <f>recovered!I21-recovered!H21</f>
        <v>0</v>
      </c>
      <c r="J21" s="5">
        <f>recovered!J21-recovered!I21</f>
        <v>0</v>
      </c>
      <c r="K21" s="5">
        <f>recovered!K21-recovered!J21</f>
        <v>0</v>
      </c>
      <c r="L21" s="5">
        <f>recovered!L21-recovered!K21</f>
        <v>0</v>
      </c>
      <c r="M21" s="5">
        <f>recovered!M21-recovered!L21</f>
        <v>0</v>
      </c>
      <c r="N21" s="5">
        <f>recovered!N21-recovered!M21</f>
        <v>0</v>
      </c>
      <c r="O21" s="5">
        <f>recovered!O21-recovered!N21</f>
        <v>0</v>
      </c>
      <c r="P21" s="5">
        <f>recovered!P21-recovered!O21</f>
        <v>0</v>
      </c>
      <c r="Q21" s="5">
        <f>recovered!Q21-recovered!P21</f>
        <v>0</v>
      </c>
      <c r="R21" s="5">
        <f>recovered!R21-recovered!Q21</f>
        <v>0</v>
      </c>
      <c r="S21" s="5">
        <f>recovered!S21-recovered!R21</f>
        <v>0</v>
      </c>
      <c r="T21" s="5">
        <f>recovered!T21-recovered!S21</f>
        <v>0</v>
      </c>
      <c r="U21" s="5">
        <f>recovered!U21-recovered!T21</f>
        <v>0</v>
      </c>
      <c r="V21" s="5">
        <f>recovered!V21-recovered!U21</f>
        <v>0</v>
      </c>
      <c r="W21" s="5">
        <f>recovered!W21-recovered!V21</f>
        <v>0</v>
      </c>
      <c r="X21" s="5">
        <f>recovered!X21-recovered!W21</f>
        <v>0</v>
      </c>
      <c r="Y21" s="5">
        <f>recovered!Y21-recovered!X21</f>
        <v>0</v>
      </c>
      <c r="Z21" s="5">
        <f>recovered!Z21-recovered!Y21</f>
        <v>0</v>
      </c>
      <c r="AA21" s="5">
        <f>recovered!AA21-recovered!Z21</f>
        <v>0</v>
      </c>
      <c r="AB21" s="5">
        <f>recovered!AB21-recovered!AA21</f>
        <v>0</v>
      </c>
      <c r="AC21" s="5">
        <f>recovered!AC21-recovered!AB21</f>
        <v>0</v>
      </c>
      <c r="AD21" s="5">
        <f>recovered!AD21-recovered!AC21</f>
        <v>0</v>
      </c>
      <c r="AE21" s="5">
        <f>recovered!AE21-recovered!AD21</f>
        <v>0</v>
      </c>
      <c r="AF21" s="5">
        <f>recovered!AF21-recovered!AE21</f>
        <v>0</v>
      </c>
      <c r="AG21" s="5">
        <f>recovered!AG21-recovered!AF21</f>
        <v>0</v>
      </c>
      <c r="AH21" s="5">
        <f>recovered!AH21-recovered!AG21</f>
        <v>0</v>
      </c>
      <c r="AI21" s="5">
        <f>recovered!AI21-recovered!AH21</f>
        <v>0</v>
      </c>
      <c r="AJ21" s="5">
        <f>recovered!AJ21-recovered!AI21</f>
        <v>0</v>
      </c>
      <c r="AK21" s="5">
        <f>recovered!AK21-recovered!AJ21</f>
        <v>0</v>
      </c>
      <c r="AL21" s="5">
        <f>recovered!AL21-recovered!AK21</f>
        <v>0</v>
      </c>
      <c r="AM21" s="5">
        <f>recovered!AM21-recovered!AL21</f>
        <v>0</v>
      </c>
      <c r="AN21" s="5">
        <f>recovered!AN21-recovered!AM21</f>
        <v>0</v>
      </c>
      <c r="AO21" s="5">
        <f>recovered!AO21-recovered!AN21</f>
        <v>0</v>
      </c>
      <c r="AP21" s="5">
        <f>recovered!AP21-recovered!AO21</f>
        <v>0</v>
      </c>
      <c r="AQ21" s="5">
        <f>recovered!AQ21-recovered!AP21</f>
        <v>0</v>
      </c>
      <c r="AR21" s="5">
        <f>recovered!AR21-recovered!AQ21</f>
        <v>0</v>
      </c>
      <c r="AS21" s="5">
        <f>recovered!AS21-recovered!AR21</f>
        <v>0</v>
      </c>
      <c r="AT21" s="5">
        <f>recovered!AT21-recovered!AS21</f>
        <v>0</v>
      </c>
      <c r="AU21" s="5">
        <f>recovered!AU21-recovered!AT21</f>
        <v>0</v>
      </c>
      <c r="AV21" s="5">
        <f>recovered!AV21-recovered!AU21</f>
        <v>0</v>
      </c>
      <c r="AW21" s="5">
        <f>recovered!AW21-recovered!AV21</f>
        <v>4</v>
      </c>
      <c r="AX21" s="5">
        <f>recovered!AX21-recovered!AW21</f>
        <v>0</v>
      </c>
      <c r="AY21" s="5">
        <f>recovered!AY21-recovered!AX21</f>
        <v>0</v>
      </c>
      <c r="AZ21" s="5">
        <f>recovered!AZ21-recovered!AY21</f>
        <v>10</v>
      </c>
      <c r="BA21" s="5">
        <f>recovered!BA21-recovered!AZ21</f>
        <v>8</v>
      </c>
      <c r="BB21" s="5">
        <f>recovered!BB21-recovered!BA21</f>
        <v>13</v>
      </c>
      <c r="BC21" s="5">
        <f>recovered!BC21-recovered!BB21</f>
        <v>0</v>
      </c>
      <c r="BD21" s="5">
        <f>recovered!BD21-recovered!BC21</f>
        <v>9</v>
      </c>
      <c r="BE21" s="5">
        <f>recovered!BE21-recovered!BD21</f>
        <v>0</v>
      </c>
      <c r="BF21" s="5">
        <f>recovered!BF21-recovered!BE21</f>
        <v>16</v>
      </c>
      <c r="BG21" s="5">
        <f>recovered!BG21-recovered!BF21</f>
        <v>17</v>
      </c>
      <c r="BH21" s="5">
        <f>recovered!BH21-recovered!BG21</f>
        <v>4</v>
      </c>
      <c r="BI21" s="5">
        <f>recovered!BI21-recovered!BH21</f>
        <v>7</v>
      </c>
      <c r="BJ21" s="5">
        <f>recovered!BJ21-recovered!BI21</f>
        <v>12</v>
      </c>
      <c r="BK21" s="5">
        <f>recovered!BK21-recovered!BJ21</f>
        <v>0</v>
      </c>
      <c r="BL21" s="5">
        <f>recovered!BL21-recovered!BK21</f>
        <v>25</v>
      </c>
      <c r="BM21" s="5">
        <f>recovered!BM21-recovered!BL21</f>
        <v>24</v>
      </c>
      <c r="BN21" s="5">
        <f>recovered!BN21-recovered!BM21</f>
        <v>0</v>
      </c>
      <c r="BO21" s="5">
        <f>recovered!BO21-recovered!BN21</f>
        <v>28</v>
      </c>
      <c r="BP21" s="5">
        <f>recovered!BP21-recovered!BO21</f>
        <v>0</v>
      </c>
      <c r="BQ21" s="5">
        <f>recovered!BQ21-recovered!BP21</f>
        <v>27</v>
      </c>
      <c r="BR21" s="5">
        <f>recovered!BR21-recovered!BQ21</f>
        <v>23</v>
      </c>
      <c r="BS21" s="5">
        <f>recovered!BS21-recovered!BR21</f>
        <v>38</v>
      </c>
      <c r="BT21" s="5">
        <f>recovered!BT21-recovered!BS21</f>
        <v>7</v>
      </c>
      <c r="BU21" s="5">
        <f>recovered!BU21-recovered!BT21</f>
        <v>7</v>
      </c>
      <c r="BV21" s="5">
        <f>recovered!BV21-recovered!BU21</f>
        <v>16</v>
      </c>
      <c r="BW21" s="5">
        <f>recovered!BW21-recovered!BV21</f>
        <v>42</v>
      </c>
      <c r="BX21" s="5">
        <f>recovered!BX21-recovered!BW21</f>
        <v>44</v>
      </c>
      <c r="BY21" s="5">
        <f>recovered!BY21-recovered!BX21</f>
        <v>1</v>
      </c>
    </row>
    <row r="22">
      <c r="B22" s="1" t="str">
        <f>recovered!B22</f>
        <v>Bangladesh</v>
      </c>
      <c r="C22" s="4">
        <f>recovered!C22</f>
        <v>23.685</v>
      </c>
      <c r="D22" s="4">
        <f>recovered!D22</f>
        <v>90.3563</v>
      </c>
      <c r="E22" s="5">
        <f>recovered!E22</f>
        <v>0</v>
      </c>
      <c r="F22" s="5">
        <f>recovered!F22-recovered!E22</f>
        <v>0</v>
      </c>
      <c r="G22" s="5">
        <f>recovered!G22-recovered!F22</f>
        <v>0</v>
      </c>
      <c r="H22" s="5">
        <f>recovered!H22-recovered!G22</f>
        <v>0</v>
      </c>
      <c r="I22" s="5">
        <f>recovered!I22-recovered!H22</f>
        <v>0</v>
      </c>
      <c r="J22" s="5">
        <f>recovered!J22-recovered!I22</f>
        <v>0</v>
      </c>
      <c r="K22" s="5">
        <f>recovered!K22-recovered!J22</f>
        <v>0</v>
      </c>
      <c r="L22" s="5">
        <f>recovered!L22-recovered!K22</f>
        <v>0</v>
      </c>
      <c r="M22" s="5">
        <f>recovered!M22-recovered!L22</f>
        <v>0</v>
      </c>
      <c r="N22" s="5">
        <f>recovered!N22-recovered!M22</f>
        <v>0</v>
      </c>
      <c r="O22" s="5">
        <f>recovered!O22-recovered!N22</f>
        <v>0</v>
      </c>
      <c r="P22" s="5">
        <f>recovered!P22-recovered!O22</f>
        <v>0</v>
      </c>
      <c r="Q22" s="5">
        <f>recovered!Q22-recovered!P22</f>
        <v>0</v>
      </c>
      <c r="R22" s="5">
        <f>recovered!R22-recovered!Q22</f>
        <v>0</v>
      </c>
      <c r="S22" s="5">
        <f>recovered!S22-recovered!R22</f>
        <v>0</v>
      </c>
      <c r="T22" s="5">
        <f>recovered!T22-recovered!S22</f>
        <v>0</v>
      </c>
      <c r="U22" s="5">
        <f>recovered!U22-recovered!T22</f>
        <v>0</v>
      </c>
      <c r="V22" s="5">
        <f>recovered!V22-recovered!U22</f>
        <v>0</v>
      </c>
      <c r="W22" s="5">
        <f>recovered!W22-recovered!V22</f>
        <v>0</v>
      </c>
      <c r="X22" s="5">
        <f>recovered!X22-recovered!W22</f>
        <v>0</v>
      </c>
      <c r="Y22" s="5">
        <f>recovered!Y22-recovered!X22</f>
        <v>0</v>
      </c>
      <c r="Z22" s="5">
        <f>recovered!Z22-recovered!Y22</f>
        <v>0</v>
      </c>
      <c r="AA22" s="5">
        <f>recovered!AA22-recovered!Z22</f>
        <v>0</v>
      </c>
      <c r="AB22" s="5">
        <f>recovered!AB22-recovered!AA22</f>
        <v>0</v>
      </c>
      <c r="AC22" s="5">
        <f>recovered!AC22-recovered!AB22</f>
        <v>0</v>
      </c>
      <c r="AD22" s="5">
        <f>recovered!AD22-recovered!AC22</f>
        <v>0</v>
      </c>
      <c r="AE22" s="5">
        <f>recovered!AE22-recovered!AD22</f>
        <v>0</v>
      </c>
      <c r="AF22" s="5">
        <f>recovered!AF22-recovered!AE22</f>
        <v>0</v>
      </c>
      <c r="AG22" s="5">
        <f>recovered!AG22-recovered!AF22</f>
        <v>0</v>
      </c>
      <c r="AH22" s="5">
        <f>recovered!AH22-recovered!AG22</f>
        <v>0</v>
      </c>
      <c r="AI22" s="5">
        <f>recovered!AI22-recovered!AH22</f>
        <v>0</v>
      </c>
      <c r="AJ22" s="5">
        <f>recovered!AJ22-recovered!AI22</f>
        <v>0</v>
      </c>
      <c r="AK22" s="5">
        <f>recovered!AK22-recovered!AJ22</f>
        <v>0</v>
      </c>
      <c r="AL22" s="5">
        <f>recovered!AL22-recovered!AK22</f>
        <v>0</v>
      </c>
      <c r="AM22" s="5">
        <f>recovered!AM22-recovered!AL22</f>
        <v>0</v>
      </c>
      <c r="AN22" s="5">
        <f>recovered!AN22-recovered!AM22</f>
        <v>0</v>
      </c>
      <c r="AO22" s="5">
        <f>recovered!AO22-recovered!AN22</f>
        <v>0</v>
      </c>
      <c r="AP22" s="5">
        <f>recovered!AP22-recovered!AO22</f>
        <v>0</v>
      </c>
      <c r="AQ22" s="5">
        <f>recovered!AQ22-recovered!AP22</f>
        <v>0</v>
      </c>
      <c r="AR22" s="5">
        <f>recovered!AR22-recovered!AQ22</f>
        <v>0</v>
      </c>
      <c r="AS22" s="5">
        <f>recovered!AS22-recovered!AR22</f>
        <v>0</v>
      </c>
      <c r="AT22" s="5">
        <f>recovered!AT22-recovered!AS22</f>
        <v>0</v>
      </c>
      <c r="AU22" s="5">
        <f>recovered!AU22-recovered!AT22</f>
        <v>0</v>
      </c>
      <c r="AV22" s="5">
        <f>recovered!AV22-recovered!AU22</f>
        <v>0</v>
      </c>
      <c r="AW22" s="5">
        <f>recovered!AW22-recovered!AV22</f>
        <v>0</v>
      </c>
      <c r="AX22" s="5">
        <f>recovered!AX22-recovered!AW22</f>
        <v>0</v>
      </c>
      <c r="AY22" s="5">
        <f>recovered!AY22-recovered!AX22</f>
        <v>0</v>
      </c>
      <c r="AZ22" s="5">
        <f>recovered!AZ22-recovered!AY22</f>
        <v>0</v>
      </c>
      <c r="BA22" s="5">
        <f>recovered!BA22-recovered!AZ22</f>
        <v>0</v>
      </c>
      <c r="BB22" s="5">
        <f>recovered!BB22-recovered!BA22</f>
        <v>0</v>
      </c>
      <c r="BC22" s="5">
        <f>recovered!BC22-recovered!BB22</f>
        <v>0</v>
      </c>
      <c r="BD22" s="5">
        <f>recovered!BD22-recovered!BC22</f>
        <v>0</v>
      </c>
      <c r="BE22" s="5">
        <f>recovered!BE22-recovered!BD22</f>
        <v>0</v>
      </c>
      <c r="BF22" s="5">
        <f>recovered!BF22-recovered!BE22</f>
        <v>0</v>
      </c>
      <c r="BG22" s="5">
        <f>recovered!BG22-recovered!BF22</f>
        <v>2</v>
      </c>
      <c r="BH22" s="5">
        <f>recovered!BH22-recovered!BG22</f>
        <v>1</v>
      </c>
      <c r="BI22" s="5">
        <f>recovered!BI22-recovered!BH22</f>
        <v>0</v>
      </c>
      <c r="BJ22" s="5">
        <f>recovered!BJ22-recovered!BI22</f>
        <v>0</v>
      </c>
      <c r="BK22" s="5">
        <f>recovered!BK22-recovered!BJ22</f>
        <v>0</v>
      </c>
      <c r="BL22" s="5">
        <f>recovered!BL22-recovered!BK22</f>
        <v>0</v>
      </c>
      <c r="BM22" s="5">
        <f>recovered!BM22-recovered!BL22</f>
        <v>0</v>
      </c>
      <c r="BN22" s="5">
        <f>recovered!BN22-recovered!BM22</f>
        <v>0</v>
      </c>
      <c r="BO22" s="5">
        <f>recovered!BO22-recovered!BN22</f>
        <v>2</v>
      </c>
      <c r="BP22" s="5">
        <f>recovered!BP22-recovered!BO22</f>
        <v>2</v>
      </c>
      <c r="BQ22" s="5">
        <f>recovered!BQ22-recovered!BP22</f>
        <v>4</v>
      </c>
      <c r="BR22" s="5">
        <f>recovered!BR22-recovered!BQ22</f>
        <v>0</v>
      </c>
      <c r="BS22" s="5">
        <f>recovered!BS22-recovered!BR22</f>
        <v>4</v>
      </c>
      <c r="BT22" s="5">
        <f>recovered!BT22-recovered!BS22</f>
        <v>0</v>
      </c>
      <c r="BU22" s="5">
        <f>recovered!BU22-recovered!BT22</f>
        <v>4</v>
      </c>
      <c r="BV22" s="5">
        <f>recovered!BV22-recovered!BU22</f>
        <v>6</v>
      </c>
      <c r="BW22" s="5">
        <f>recovered!BW22-recovered!BV22</f>
        <v>0</v>
      </c>
      <c r="BX22" s="5">
        <f>recovered!BX22-recovered!BW22</f>
        <v>0</v>
      </c>
      <c r="BY22" s="5">
        <f>recovered!BY22-recovered!BX22</f>
        <v>1</v>
      </c>
    </row>
    <row r="23">
      <c r="B23" s="1" t="str">
        <f>recovered!B23</f>
        <v>Barbados</v>
      </c>
      <c r="C23" s="4">
        <f>recovered!C23</f>
        <v>13.1939</v>
      </c>
      <c r="D23" s="4">
        <f>recovered!D23</f>
        <v>-59.5432</v>
      </c>
      <c r="E23" s="5">
        <f>recovered!E23</f>
        <v>0</v>
      </c>
      <c r="F23" s="5">
        <f>recovered!F23-recovered!E23</f>
        <v>0</v>
      </c>
      <c r="G23" s="5">
        <f>recovered!G23-recovered!F23</f>
        <v>0</v>
      </c>
      <c r="H23" s="5">
        <f>recovered!H23-recovered!G23</f>
        <v>0</v>
      </c>
      <c r="I23" s="5">
        <f>recovered!I23-recovered!H23</f>
        <v>0</v>
      </c>
      <c r="J23" s="5">
        <f>recovered!J23-recovered!I23</f>
        <v>0</v>
      </c>
      <c r="K23" s="5">
        <f>recovered!K23-recovered!J23</f>
        <v>0</v>
      </c>
      <c r="L23" s="5">
        <f>recovered!L23-recovered!K23</f>
        <v>0</v>
      </c>
      <c r="M23" s="5">
        <f>recovered!M23-recovered!L23</f>
        <v>0</v>
      </c>
      <c r="N23" s="5">
        <f>recovered!N23-recovered!M23</f>
        <v>0</v>
      </c>
      <c r="O23" s="5">
        <f>recovered!O23-recovered!N23</f>
        <v>0</v>
      </c>
      <c r="P23" s="5">
        <f>recovered!P23-recovered!O23</f>
        <v>0</v>
      </c>
      <c r="Q23" s="5">
        <f>recovered!Q23-recovered!P23</f>
        <v>0</v>
      </c>
      <c r="R23" s="5">
        <f>recovered!R23-recovered!Q23</f>
        <v>0</v>
      </c>
      <c r="S23" s="5">
        <f>recovered!S23-recovered!R23</f>
        <v>0</v>
      </c>
      <c r="T23" s="5">
        <f>recovered!T23-recovered!S23</f>
        <v>0</v>
      </c>
      <c r="U23" s="5">
        <f>recovered!U23-recovered!T23</f>
        <v>0</v>
      </c>
      <c r="V23" s="5">
        <f>recovered!V23-recovered!U23</f>
        <v>0</v>
      </c>
      <c r="W23" s="5">
        <f>recovered!W23-recovered!V23</f>
        <v>0</v>
      </c>
      <c r="X23" s="5">
        <f>recovered!X23-recovered!W23</f>
        <v>0</v>
      </c>
      <c r="Y23" s="5">
        <f>recovered!Y23-recovered!X23</f>
        <v>0</v>
      </c>
      <c r="Z23" s="5">
        <f>recovered!Z23-recovered!Y23</f>
        <v>0</v>
      </c>
      <c r="AA23" s="5">
        <f>recovered!AA23-recovered!Z23</f>
        <v>0</v>
      </c>
      <c r="AB23" s="5">
        <f>recovered!AB23-recovered!AA23</f>
        <v>0</v>
      </c>
      <c r="AC23" s="5">
        <f>recovered!AC23-recovered!AB23</f>
        <v>0</v>
      </c>
      <c r="AD23" s="5">
        <f>recovered!AD23-recovered!AC23</f>
        <v>0</v>
      </c>
      <c r="AE23" s="5">
        <f>recovered!AE23-recovered!AD23</f>
        <v>0</v>
      </c>
      <c r="AF23" s="5">
        <f>recovered!AF23-recovered!AE23</f>
        <v>0</v>
      </c>
      <c r="AG23" s="5">
        <f>recovered!AG23-recovered!AF23</f>
        <v>0</v>
      </c>
      <c r="AH23" s="5">
        <f>recovered!AH23-recovered!AG23</f>
        <v>0</v>
      </c>
      <c r="AI23" s="5">
        <f>recovered!AI23-recovered!AH23</f>
        <v>0</v>
      </c>
      <c r="AJ23" s="5">
        <f>recovered!AJ23-recovered!AI23</f>
        <v>0</v>
      </c>
      <c r="AK23" s="5">
        <f>recovered!AK23-recovered!AJ23</f>
        <v>0</v>
      </c>
      <c r="AL23" s="5">
        <f>recovered!AL23-recovered!AK23</f>
        <v>0</v>
      </c>
      <c r="AM23" s="5">
        <f>recovered!AM23-recovered!AL23</f>
        <v>0</v>
      </c>
      <c r="AN23" s="5">
        <f>recovered!AN23-recovered!AM23</f>
        <v>0</v>
      </c>
      <c r="AO23" s="5">
        <f>recovered!AO23-recovered!AN23</f>
        <v>0</v>
      </c>
      <c r="AP23" s="5">
        <f>recovered!AP23-recovered!AO23</f>
        <v>0</v>
      </c>
      <c r="AQ23" s="5">
        <f>recovered!AQ23-recovered!AP23</f>
        <v>0</v>
      </c>
      <c r="AR23" s="5">
        <f>recovered!AR23-recovered!AQ23</f>
        <v>0</v>
      </c>
      <c r="AS23" s="5">
        <f>recovered!AS23-recovered!AR23</f>
        <v>0</v>
      </c>
      <c r="AT23" s="5">
        <f>recovered!AT23-recovered!AS23</f>
        <v>0</v>
      </c>
      <c r="AU23" s="5">
        <f>recovered!AU23-recovered!AT23</f>
        <v>0</v>
      </c>
      <c r="AV23" s="5">
        <f>recovered!AV23-recovered!AU23</f>
        <v>0</v>
      </c>
      <c r="AW23" s="5">
        <f>recovered!AW23-recovered!AV23</f>
        <v>0</v>
      </c>
      <c r="AX23" s="5">
        <f>recovered!AX23-recovered!AW23</f>
        <v>0</v>
      </c>
      <c r="AY23" s="5">
        <f>recovered!AY23-recovered!AX23</f>
        <v>0</v>
      </c>
      <c r="AZ23" s="5">
        <f>recovered!AZ23-recovered!AY23</f>
        <v>0</v>
      </c>
      <c r="BA23" s="5">
        <f>recovered!BA23-recovered!AZ23</f>
        <v>0</v>
      </c>
      <c r="BB23" s="5">
        <f>recovered!BB23-recovered!BA23</f>
        <v>0</v>
      </c>
      <c r="BC23" s="5">
        <f>recovered!BC23-recovered!BB23</f>
        <v>0</v>
      </c>
      <c r="BD23" s="5">
        <f>recovered!BD23-recovered!BC23</f>
        <v>0</v>
      </c>
      <c r="BE23" s="5">
        <f>recovered!BE23-recovered!BD23</f>
        <v>0</v>
      </c>
      <c r="BF23" s="5">
        <f>recovered!BF23-recovered!BE23</f>
        <v>0</v>
      </c>
      <c r="BG23" s="5">
        <f>recovered!BG23-recovered!BF23</f>
        <v>0</v>
      </c>
      <c r="BH23" s="5">
        <f>recovered!BH23-recovered!BG23</f>
        <v>0</v>
      </c>
      <c r="BI23" s="5">
        <f>recovered!BI23-recovered!BH23</f>
        <v>0</v>
      </c>
      <c r="BJ23" s="5">
        <f>recovered!BJ23-recovered!BI23</f>
        <v>0</v>
      </c>
      <c r="BK23" s="5">
        <f>recovered!BK23-recovered!BJ23</f>
        <v>0</v>
      </c>
      <c r="BL23" s="5">
        <f>recovered!BL23-recovered!BK23</f>
        <v>0</v>
      </c>
      <c r="BM23" s="5">
        <f>recovered!BM23-recovered!BL23</f>
        <v>0</v>
      </c>
      <c r="BN23" s="5">
        <f>recovered!BN23-recovered!BM23</f>
        <v>0</v>
      </c>
      <c r="BO23" s="5">
        <f>recovered!BO23-recovered!BN23</f>
        <v>0</v>
      </c>
      <c r="BP23" s="5">
        <f>recovered!BP23-recovered!BO23</f>
        <v>0</v>
      </c>
      <c r="BQ23" s="5">
        <f>recovered!BQ23-recovered!BP23</f>
        <v>0</v>
      </c>
      <c r="BR23" s="5">
        <f>recovered!BR23-recovered!BQ23</f>
        <v>0</v>
      </c>
      <c r="BS23" s="5">
        <f>recovered!BS23-recovered!BR23</f>
        <v>0</v>
      </c>
      <c r="BT23" s="5">
        <f>recovered!BT23-recovered!BS23</f>
        <v>0</v>
      </c>
      <c r="BU23" s="5">
        <f>recovered!BU23-recovered!BT23</f>
        <v>0</v>
      </c>
      <c r="BV23" s="5">
        <f>recovered!BV23-recovered!BU23</f>
        <v>0</v>
      </c>
      <c r="BW23" s="5">
        <f>recovered!BW23-recovered!BV23</f>
        <v>0</v>
      </c>
      <c r="BX23" s="5">
        <f>recovered!BX23-recovered!BW23</f>
        <v>0</v>
      </c>
      <c r="BY23" s="5">
        <f>recovered!BY23-recovered!BX23</f>
        <v>0</v>
      </c>
    </row>
    <row r="24">
      <c r="B24" s="1" t="str">
        <f>recovered!B24</f>
        <v>Belarus</v>
      </c>
      <c r="C24" s="4">
        <f>recovered!C24</f>
        <v>53.7098</v>
      </c>
      <c r="D24" s="4">
        <f>recovered!D24</f>
        <v>27.9534</v>
      </c>
      <c r="E24" s="5">
        <f>recovered!E24</f>
        <v>0</v>
      </c>
      <c r="F24" s="5">
        <f>recovered!F24-recovered!E24</f>
        <v>0</v>
      </c>
      <c r="G24" s="5">
        <f>recovered!G24-recovered!F24</f>
        <v>0</v>
      </c>
      <c r="H24" s="5">
        <f>recovered!H24-recovered!G24</f>
        <v>0</v>
      </c>
      <c r="I24" s="5">
        <f>recovered!I24-recovered!H24</f>
        <v>0</v>
      </c>
      <c r="J24" s="5">
        <f>recovered!J24-recovered!I24</f>
        <v>0</v>
      </c>
      <c r="K24" s="5">
        <f>recovered!K24-recovered!J24</f>
        <v>0</v>
      </c>
      <c r="L24" s="5">
        <f>recovered!L24-recovered!K24</f>
        <v>0</v>
      </c>
      <c r="M24" s="5">
        <f>recovered!M24-recovered!L24</f>
        <v>0</v>
      </c>
      <c r="N24" s="5">
        <f>recovered!N24-recovered!M24</f>
        <v>0</v>
      </c>
      <c r="O24" s="5">
        <f>recovered!O24-recovered!N24</f>
        <v>0</v>
      </c>
      <c r="P24" s="5">
        <f>recovered!P24-recovered!O24</f>
        <v>0</v>
      </c>
      <c r="Q24" s="5">
        <f>recovered!Q24-recovered!P24</f>
        <v>0</v>
      </c>
      <c r="R24" s="5">
        <f>recovered!R24-recovered!Q24</f>
        <v>0</v>
      </c>
      <c r="S24" s="5">
        <f>recovered!S24-recovered!R24</f>
        <v>0</v>
      </c>
      <c r="T24" s="5">
        <f>recovered!T24-recovered!S24</f>
        <v>0</v>
      </c>
      <c r="U24" s="5">
        <f>recovered!U24-recovered!T24</f>
        <v>0</v>
      </c>
      <c r="V24" s="5">
        <f>recovered!V24-recovered!U24</f>
        <v>0</v>
      </c>
      <c r="W24" s="5">
        <f>recovered!W24-recovered!V24</f>
        <v>0</v>
      </c>
      <c r="X24" s="5">
        <f>recovered!X24-recovered!W24</f>
        <v>0</v>
      </c>
      <c r="Y24" s="5">
        <f>recovered!Y24-recovered!X24</f>
        <v>0</v>
      </c>
      <c r="Z24" s="5">
        <f>recovered!Z24-recovered!Y24</f>
        <v>0</v>
      </c>
      <c r="AA24" s="5">
        <f>recovered!AA24-recovered!Z24</f>
        <v>0</v>
      </c>
      <c r="AB24" s="5">
        <f>recovered!AB24-recovered!AA24</f>
        <v>0</v>
      </c>
      <c r="AC24" s="5">
        <f>recovered!AC24-recovered!AB24</f>
        <v>0</v>
      </c>
      <c r="AD24" s="5">
        <f>recovered!AD24-recovered!AC24</f>
        <v>0</v>
      </c>
      <c r="AE24" s="5">
        <f>recovered!AE24-recovered!AD24</f>
        <v>0</v>
      </c>
      <c r="AF24" s="5">
        <f>recovered!AF24-recovered!AE24</f>
        <v>0</v>
      </c>
      <c r="AG24" s="5">
        <f>recovered!AG24-recovered!AF24</f>
        <v>0</v>
      </c>
      <c r="AH24" s="5">
        <f>recovered!AH24-recovered!AG24</f>
        <v>0</v>
      </c>
      <c r="AI24" s="5">
        <f>recovered!AI24-recovered!AH24</f>
        <v>0</v>
      </c>
      <c r="AJ24" s="5">
        <f>recovered!AJ24-recovered!AI24</f>
        <v>0</v>
      </c>
      <c r="AK24" s="5">
        <f>recovered!AK24-recovered!AJ24</f>
        <v>0</v>
      </c>
      <c r="AL24" s="5">
        <f>recovered!AL24-recovered!AK24</f>
        <v>0</v>
      </c>
      <c r="AM24" s="5">
        <f>recovered!AM24-recovered!AL24</f>
        <v>0</v>
      </c>
      <c r="AN24" s="5">
        <f>recovered!AN24-recovered!AM24</f>
        <v>0</v>
      </c>
      <c r="AO24" s="5">
        <f>recovered!AO24-recovered!AN24</f>
        <v>0</v>
      </c>
      <c r="AP24" s="5">
        <f>recovered!AP24-recovered!AO24</f>
        <v>0</v>
      </c>
      <c r="AQ24" s="5">
        <f>recovered!AQ24-recovered!AP24</f>
        <v>0</v>
      </c>
      <c r="AR24" s="5">
        <f>recovered!AR24-recovered!AQ24</f>
        <v>0</v>
      </c>
      <c r="AS24" s="5">
        <f>recovered!AS24-recovered!AR24</f>
        <v>0</v>
      </c>
      <c r="AT24" s="5">
        <f>recovered!AT24-recovered!AS24</f>
        <v>0</v>
      </c>
      <c r="AU24" s="5">
        <f>recovered!AU24-recovered!AT24</f>
        <v>0</v>
      </c>
      <c r="AV24" s="5">
        <f>recovered!AV24-recovered!AU24</f>
        <v>0</v>
      </c>
      <c r="AW24" s="5">
        <f>recovered!AW24-recovered!AV24</f>
        <v>0</v>
      </c>
      <c r="AX24" s="5">
        <f>recovered!AX24-recovered!AW24</f>
        <v>0</v>
      </c>
      <c r="AY24" s="5">
        <f>recovered!AY24-recovered!AX24</f>
        <v>0</v>
      </c>
      <c r="AZ24" s="5">
        <f>recovered!AZ24-recovered!AY24</f>
        <v>1</v>
      </c>
      <c r="BA24" s="5">
        <f>recovered!BA24-recovered!AZ24</f>
        <v>2</v>
      </c>
      <c r="BB24" s="5">
        <f>recovered!BB24-recovered!BA24</f>
        <v>0</v>
      </c>
      <c r="BC24" s="5">
        <f>recovered!BC24-recovered!BB24</f>
        <v>0</v>
      </c>
      <c r="BD24" s="5">
        <f>recovered!BD24-recovered!BC24</f>
        <v>0</v>
      </c>
      <c r="BE24" s="5">
        <f>recovered!BE24-recovered!BD24</f>
        <v>0</v>
      </c>
      <c r="BF24" s="5">
        <f>recovered!BF24-recovered!BE24</f>
        <v>0</v>
      </c>
      <c r="BG24" s="5">
        <f>recovered!BG24-recovered!BF24</f>
        <v>0</v>
      </c>
      <c r="BH24" s="5">
        <f>recovered!BH24-recovered!BG24</f>
        <v>0</v>
      </c>
      <c r="BI24" s="5">
        <f>recovered!BI24-recovered!BH24</f>
        <v>2</v>
      </c>
      <c r="BJ24" s="5">
        <f>recovered!BJ24-recovered!BI24</f>
        <v>0</v>
      </c>
      <c r="BK24" s="5">
        <f>recovered!BK24-recovered!BJ24</f>
        <v>0</v>
      </c>
      <c r="BL24" s="5">
        <f>recovered!BL24-recovered!BK24</f>
        <v>10</v>
      </c>
      <c r="BM24" s="5">
        <f>recovered!BM24-recovered!BL24</f>
        <v>0</v>
      </c>
      <c r="BN24" s="5">
        <f>recovered!BN24-recovered!BM24</f>
        <v>0</v>
      </c>
      <c r="BO24" s="5">
        <f>recovered!BO24-recovered!BN24</f>
        <v>7</v>
      </c>
      <c r="BP24" s="5">
        <f>recovered!BP24-recovered!BO24</f>
        <v>7</v>
      </c>
      <c r="BQ24" s="5">
        <f>recovered!BQ24-recovered!BP24</f>
        <v>0</v>
      </c>
      <c r="BR24" s="5">
        <f>recovered!BR24-recovered!BQ24</f>
        <v>3</v>
      </c>
      <c r="BS24" s="5">
        <f>recovered!BS24-recovered!BR24</f>
        <v>0</v>
      </c>
      <c r="BT24" s="5">
        <f>recovered!BT24-recovered!BS24</f>
        <v>0</v>
      </c>
      <c r="BU24" s="5">
        <f>recovered!BU24-recovered!BT24</f>
        <v>0</v>
      </c>
      <c r="BV24" s="5">
        <f>recovered!BV24-recovered!BU24</f>
        <v>15</v>
      </c>
      <c r="BW24" s="5">
        <f>recovered!BW24-recovered!BV24</f>
        <v>6</v>
      </c>
      <c r="BX24" s="5">
        <f>recovered!BX24-recovered!BW24</f>
        <v>0</v>
      </c>
      <c r="BY24" s="5">
        <f>recovered!BY24-recovered!BX24</f>
        <v>0</v>
      </c>
    </row>
    <row r="25">
      <c r="B25" s="1" t="str">
        <f>recovered!B25</f>
        <v>Belgium</v>
      </c>
      <c r="C25" s="4">
        <f>recovered!C25</f>
        <v>50.8333</v>
      </c>
      <c r="D25" s="4">
        <f>recovered!D25</f>
        <v>4</v>
      </c>
      <c r="E25" s="5">
        <f>recovered!E25</f>
        <v>0</v>
      </c>
      <c r="F25" s="5">
        <f>recovered!F25-recovered!E25</f>
        <v>0</v>
      </c>
      <c r="G25" s="5">
        <f>recovered!G25-recovered!F25</f>
        <v>0</v>
      </c>
      <c r="H25" s="5">
        <f>recovered!H25-recovered!G25</f>
        <v>0</v>
      </c>
      <c r="I25" s="5">
        <f>recovered!I25-recovered!H25</f>
        <v>0</v>
      </c>
      <c r="J25" s="5">
        <f>recovered!J25-recovered!I25</f>
        <v>0</v>
      </c>
      <c r="K25" s="5">
        <f>recovered!K25-recovered!J25</f>
        <v>0</v>
      </c>
      <c r="L25" s="5">
        <f>recovered!L25-recovered!K25</f>
        <v>0</v>
      </c>
      <c r="M25" s="5">
        <f>recovered!M25-recovered!L25</f>
        <v>0</v>
      </c>
      <c r="N25" s="5">
        <f>recovered!N25-recovered!M25</f>
        <v>0</v>
      </c>
      <c r="O25" s="5">
        <f>recovered!O25-recovered!N25</f>
        <v>0</v>
      </c>
      <c r="P25" s="5">
        <f>recovered!P25-recovered!O25</f>
        <v>0</v>
      </c>
      <c r="Q25" s="5">
        <f>recovered!Q25-recovered!P25</f>
        <v>0</v>
      </c>
      <c r="R25" s="5">
        <f>recovered!R25-recovered!Q25</f>
        <v>0</v>
      </c>
      <c r="S25" s="5">
        <f>recovered!S25-recovered!R25</f>
        <v>0</v>
      </c>
      <c r="T25" s="5">
        <f>recovered!T25-recovered!S25</f>
        <v>0</v>
      </c>
      <c r="U25" s="5">
        <f>recovered!U25-recovered!T25</f>
        <v>0</v>
      </c>
      <c r="V25" s="5">
        <f>recovered!V25-recovered!U25</f>
        <v>0</v>
      </c>
      <c r="W25" s="5">
        <f>recovered!W25-recovered!V25</f>
        <v>0</v>
      </c>
      <c r="X25" s="5">
        <f>recovered!X25-recovered!W25</f>
        <v>0</v>
      </c>
      <c r="Y25" s="5">
        <f>recovered!Y25-recovered!X25</f>
        <v>0</v>
      </c>
      <c r="Z25" s="5">
        <f>recovered!Z25-recovered!Y25</f>
        <v>0</v>
      </c>
      <c r="AA25" s="5">
        <f>recovered!AA25-recovered!Z25</f>
        <v>0</v>
      </c>
      <c r="AB25" s="5">
        <f>recovered!AB25-recovered!AA25</f>
        <v>0</v>
      </c>
      <c r="AC25" s="5">
        <f>recovered!AC25-recovered!AB25</f>
        <v>0</v>
      </c>
      <c r="AD25" s="5">
        <f>recovered!AD25-recovered!AC25</f>
        <v>0</v>
      </c>
      <c r="AE25" s="5">
        <f>recovered!AE25-recovered!AD25</f>
        <v>1</v>
      </c>
      <c r="AF25" s="5">
        <f>recovered!AF25-recovered!AE25</f>
        <v>0</v>
      </c>
      <c r="AG25" s="5">
        <f>recovered!AG25-recovered!AF25</f>
        <v>0</v>
      </c>
      <c r="AH25" s="5">
        <f>recovered!AH25-recovered!AG25</f>
        <v>0</v>
      </c>
      <c r="AI25" s="5">
        <f>recovered!AI25-recovered!AH25</f>
        <v>0</v>
      </c>
      <c r="AJ25" s="5">
        <f>recovered!AJ25-recovered!AI25</f>
        <v>0</v>
      </c>
      <c r="AK25" s="5">
        <f>recovered!AK25-recovered!AJ25</f>
        <v>0</v>
      </c>
      <c r="AL25" s="5">
        <f>recovered!AL25-recovered!AK25</f>
        <v>0</v>
      </c>
      <c r="AM25" s="5">
        <f>recovered!AM25-recovered!AL25</f>
        <v>0</v>
      </c>
      <c r="AN25" s="5">
        <f>recovered!AN25-recovered!AM25</f>
        <v>0</v>
      </c>
      <c r="AO25" s="5">
        <f>recovered!AO25-recovered!AN25</f>
        <v>0</v>
      </c>
      <c r="AP25" s="5">
        <f>recovered!AP25-recovered!AO25</f>
        <v>0</v>
      </c>
      <c r="AQ25" s="5">
        <f>recovered!AQ25-recovered!AP25</f>
        <v>0</v>
      </c>
      <c r="AR25" s="5">
        <f>recovered!AR25-recovered!AQ25</f>
        <v>0</v>
      </c>
      <c r="AS25" s="5">
        <f>recovered!AS25-recovered!AR25</f>
        <v>0</v>
      </c>
      <c r="AT25" s="5">
        <f>recovered!AT25-recovered!AS25</f>
        <v>0</v>
      </c>
      <c r="AU25" s="5">
        <f>recovered!AU25-recovered!AT25</f>
        <v>0</v>
      </c>
      <c r="AV25" s="5">
        <f>recovered!AV25-recovered!AU25</f>
        <v>0</v>
      </c>
      <c r="AW25" s="5">
        <f>recovered!AW25-recovered!AV25</f>
        <v>0</v>
      </c>
      <c r="AX25" s="5">
        <f>recovered!AX25-recovered!AW25</f>
        <v>0</v>
      </c>
      <c r="AY25" s="5">
        <f>recovered!AY25-recovered!AX25</f>
        <v>0</v>
      </c>
      <c r="AZ25" s="5">
        <f>recovered!AZ25-recovered!AY25</f>
        <v>0</v>
      </c>
      <c r="BA25" s="5">
        <f>recovered!BA25-recovered!AZ25</f>
        <v>0</v>
      </c>
      <c r="BB25" s="5">
        <f>recovered!BB25-recovered!BA25</f>
        <v>0</v>
      </c>
      <c r="BC25" s="5">
        <f>recovered!BC25-recovered!BB25</f>
        <v>0</v>
      </c>
      <c r="BD25" s="5">
        <f>recovered!BD25-recovered!BC25</f>
        <v>0</v>
      </c>
      <c r="BE25" s="5">
        <f>recovered!BE25-recovered!BD25</f>
        <v>0</v>
      </c>
      <c r="BF25" s="5">
        <f>recovered!BF25-recovered!BE25</f>
        <v>0</v>
      </c>
      <c r="BG25" s="5">
        <f>recovered!BG25-recovered!BF25</f>
        <v>0</v>
      </c>
      <c r="BH25" s="5">
        <f>recovered!BH25-recovered!BG25</f>
        <v>0</v>
      </c>
      <c r="BI25" s="5">
        <f>recovered!BI25-recovered!BH25</f>
        <v>30</v>
      </c>
      <c r="BJ25" s="5">
        <f>recovered!BJ25-recovered!BI25</f>
        <v>0</v>
      </c>
      <c r="BK25" s="5">
        <f>recovered!BK25-recovered!BJ25</f>
        <v>-30</v>
      </c>
      <c r="BL25" s="5">
        <f>recovered!BL25-recovered!BK25</f>
        <v>262</v>
      </c>
      <c r="BM25" s="5">
        <f>recovered!BM25-recovered!BL25</f>
        <v>0</v>
      </c>
      <c r="BN25" s="5">
        <f>recovered!BN25-recovered!BM25</f>
        <v>0</v>
      </c>
      <c r="BO25" s="5">
        <f>recovered!BO25-recovered!BN25</f>
        <v>198</v>
      </c>
      <c r="BP25" s="5">
        <f>recovered!BP25-recovered!BO25</f>
        <v>86</v>
      </c>
      <c r="BQ25" s="5">
        <f>recovered!BQ25-recovered!BP25</f>
        <v>128</v>
      </c>
      <c r="BR25" s="5">
        <f>recovered!BR25-recovered!BQ25</f>
        <v>183</v>
      </c>
      <c r="BS25" s="5">
        <f>recovered!BS25-recovered!BR25</f>
        <v>205</v>
      </c>
      <c r="BT25" s="5">
        <f>recovered!BT25-recovered!BS25</f>
        <v>296</v>
      </c>
      <c r="BU25" s="5">
        <f>recovered!BU25-recovered!BT25</f>
        <v>168</v>
      </c>
      <c r="BV25" s="5">
        <f>recovered!BV25-recovered!BU25</f>
        <v>169</v>
      </c>
      <c r="BW25" s="5">
        <f>recovered!BW25-recovered!BV25</f>
        <v>436</v>
      </c>
      <c r="BX25" s="5">
        <f>recovered!BX25-recovered!BW25</f>
        <v>363</v>
      </c>
      <c r="BY25" s="5">
        <f>recovered!BY25-recovered!BX25</f>
        <v>377</v>
      </c>
    </row>
    <row r="26">
      <c r="B26" s="1" t="str">
        <f>recovered!B26</f>
        <v>Belize</v>
      </c>
      <c r="C26" s="4">
        <f>recovered!C26</f>
        <v>13.1939</v>
      </c>
      <c r="D26" s="4">
        <f>recovered!D26</f>
        <v>-59.5432</v>
      </c>
      <c r="E26" s="5">
        <f>recovered!E26</f>
        <v>0</v>
      </c>
      <c r="F26" s="5">
        <f>recovered!F26-recovered!E26</f>
        <v>0</v>
      </c>
      <c r="G26" s="5">
        <f>recovered!G26-recovered!F26</f>
        <v>0</v>
      </c>
      <c r="H26" s="5">
        <f>recovered!H26-recovered!G26</f>
        <v>0</v>
      </c>
      <c r="I26" s="5">
        <f>recovered!I26-recovered!H26</f>
        <v>0</v>
      </c>
      <c r="J26" s="5">
        <f>recovered!J26-recovered!I26</f>
        <v>0</v>
      </c>
      <c r="K26" s="5">
        <f>recovered!K26-recovered!J26</f>
        <v>0</v>
      </c>
      <c r="L26" s="5">
        <f>recovered!L26-recovered!K26</f>
        <v>0</v>
      </c>
      <c r="M26" s="5">
        <f>recovered!M26-recovered!L26</f>
        <v>0</v>
      </c>
      <c r="N26" s="5">
        <f>recovered!N26-recovered!M26</f>
        <v>0</v>
      </c>
      <c r="O26" s="5">
        <f>recovered!O26-recovered!N26</f>
        <v>0</v>
      </c>
      <c r="P26" s="5">
        <f>recovered!P26-recovered!O26</f>
        <v>0</v>
      </c>
      <c r="Q26" s="5">
        <f>recovered!Q26-recovered!P26</f>
        <v>0</v>
      </c>
      <c r="R26" s="5">
        <f>recovered!R26-recovered!Q26</f>
        <v>0</v>
      </c>
      <c r="S26" s="5">
        <f>recovered!S26-recovered!R26</f>
        <v>0</v>
      </c>
      <c r="T26" s="5">
        <f>recovered!T26-recovered!S26</f>
        <v>0</v>
      </c>
      <c r="U26" s="5">
        <f>recovered!U26-recovered!T26</f>
        <v>0</v>
      </c>
      <c r="V26" s="5">
        <f>recovered!V26-recovered!U26</f>
        <v>0</v>
      </c>
      <c r="W26" s="5">
        <f>recovered!W26-recovered!V26</f>
        <v>0</v>
      </c>
      <c r="X26" s="5">
        <f>recovered!X26-recovered!W26</f>
        <v>0</v>
      </c>
      <c r="Y26" s="5">
        <f>recovered!Y26-recovered!X26</f>
        <v>0</v>
      </c>
      <c r="Z26" s="5">
        <f>recovered!Z26-recovered!Y26</f>
        <v>0</v>
      </c>
      <c r="AA26" s="5">
        <f>recovered!AA26-recovered!Z26</f>
        <v>0</v>
      </c>
      <c r="AB26" s="5">
        <f>recovered!AB26-recovered!AA26</f>
        <v>0</v>
      </c>
      <c r="AC26" s="5">
        <f>recovered!AC26-recovered!AB26</f>
        <v>0</v>
      </c>
      <c r="AD26" s="5">
        <f>recovered!AD26-recovered!AC26</f>
        <v>0</v>
      </c>
      <c r="AE26" s="5">
        <f>recovered!AE26-recovered!AD26</f>
        <v>0</v>
      </c>
      <c r="AF26" s="5">
        <f>recovered!AF26-recovered!AE26</f>
        <v>0</v>
      </c>
      <c r="AG26" s="5">
        <f>recovered!AG26-recovered!AF26</f>
        <v>0</v>
      </c>
      <c r="AH26" s="5">
        <f>recovered!AH26-recovered!AG26</f>
        <v>0</v>
      </c>
      <c r="AI26" s="5">
        <f>recovered!AI26-recovered!AH26</f>
        <v>0</v>
      </c>
      <c r="AJ26" s="5">
        <f>recovered!AJ26-recovered!AI26</f>
        <v>0</v>
      </c>
      <c r="AK26" s="5">
        <f>recovered!AK26-recovered!AJ26</f>
        <v>0</v>
      </c>
      <c r="AL26" s="5">
        <f>recovered!AL26-recovered!AK26</f>
        <v>0</v>
      </c>
      <c r="AM26" s="5">
        <f>recovered!AM26-recovered!AL26</f>
        <v>0</v>
      </c>
      <c r="AN26" s="5">
        <f>recovered!AN26-recovered!AM26</f>
        <v>0</v>
      </c>
      <c r="AO26" s="5">
        <f>recovered!AO26-recovered!AN26</f>
        <v>0</v>
      </c>
      <c r="AP26" s="5">
        <f>recovered!AP26-recovered!AO26</f>
        <v>0</v>
      </c>
      <c r="AQ26" s="5">
        <f>recovered!AQ26-recovered!AP26</f>
        <v>0</v>
      </c>
      <c r="AR26" s="5">
        <f>recovered!AR26-recovered!AQ26</f>
        <v>0</v>
      </c>
      <c r="AS26" s="5">
        <f>recovered!AS26-recovered!AR26</f>
        <v>0</v>
      </c>
      <c r="AT26" s="5">
        <f>recovered!AT26-recovered!AS26</f>
        <v>0</v>
      </c>
      <c r="AU26" s="5">
        <f>recovered!AU26-recovered!AT26</f>
        <v>0</v>
      </c>
      <c r="AV26" s="5">
        <f>recovered!AV26-recovered!AU26</f>
        <v>0</v>
      </c>
      <c r="AW26" s="5">
        <f>recovered!AW26-recovered!AV26</f>
        <v>0</v>
      </c>
      <c r="AX26" s="5">
        <f>recovered!AX26-recovered!AW26</f>
        <v>0</v>
      </c>
      <c r="AY26" s="5">
        <f>recovered!AY26-recovered!AX26</f>
        <v>0</v>
      </c>
      <c r="AZ26" s="5">
        <f>recovered!AZ26-recovered!AY26</f>
        <v>0</v>
      </c>
      <c r="BA26" s="5">
        <f>recovered!BA26-recovered!AZ26</f>
        <v>0</v>
      </c>
      <c r="BB26" s="5">
        <f>recovered!BB26-recovered!BA26</f>
        <v>0</v>
      </c>
      <c r="BC26" s="5">
        <f>recovered!BC26-recovered!BB26</f>
        <v>0</v>
      </c>
      <c r="BD26" s="5">
        <f>recovered!BD26-recovered!BC26</f>
        <v>0</v>
      </c>
      <c r="BE26" s="5">
        <f>recovered!BE26-recovered!BD26</f>
        <v>0</v>
      </c>
      <c r="BF26" s="5">
        <f>recovered!BF26-recovered!BE26</f>
        <v>0</v>
      </c>
      <c r="BG26" s="5">
        <f>recovered!BG26-recovered!BF26</f>
        <v>0</v>
      </c>
      <c r="BH26" s="5">
        <f>recovered!BH26-recovered!BG26</f>
        <v>0</v>
      </c>
      <c r="BI26" s="5">
        <f>recovered!BI26-recovered!BH26</f>
        <v>0</v>
      </c>
      <c r="BJ26" s="5">
        <f>recovered!BJ26-recovered!BI26</f>
        <v>0</v>
      </c>
      <c r="BK26" s="5">
        <f>recovered!BK26-recovered!BJ26</f>
        <v>0</v>
      </c>
      <c r="BL26" s="5">
        <f>recovered!BL26-recovered!BK26</f>
        <v>0</v>
      </c>
      <c r="BM26" s="5">
        <f>recovered!BM26-recovered!BL26</f>
        <v>0</v>
      </c>
      <c r="BN26" s="5">
        <f>recovered!BN26-recovered!BM26</f>
        <v>0</v>
      </c>
      <c r="BO26" s="5">
        <f>recovered!BO26-recovered!BN26</f>
        <v>0</v>
      </c>
      <c r="BP26" s="5">
        <f>recovered!BP26-recovered!BO26</f>
        <v>0</v>
      </c>
      <c r="BQ26" s="5">
        <f>recovered!BQ26-recovered!BP26</f>
        <v>0</v>
      </c>
      <c r="BR26" s="5">
        <f>recovered!BR26-recovered!BQ26</f>
        <v>0</v>
      </c>
      <c r="BS26" s="5">
        <f>recovered!BS26-recovered!BR26</f>
        <v>0</v>
      </c>
      <c r="BT26" s="5">
        <f>recovered!BT26-recovered!BS26</f>
        <v>0</v>
      </c>
      <c r="BU26" s="5">
        <f>recovered!BU26-recovered!BT26</f>
        <v>0</v>
      </c>
      <c r="BV26" s="5">
        <f>recovered!BV26-recovered!BU26</f>
        <v>0</v>
      </c>
      <c r="BW26" s="5">
        <f>recovered!BW26-recovered!BV26</f>
        <v>0</v>
      </c>
      <c r="BX26" s="5">
        <f>recovered!BX26-recovered!BW26</f>
        <v>0</v>
      </c>
      <c r="BY26" s="5">
        <f>recovered!BY26-recovered!BX26</f>
        <v>0</v>
      </c>
    </row>
    <row r="27">
      <c r="B27" s="1" t="str">
        <f>recovered!B27</f>
        <v>Benin</v>
      </c>
      <c r="C27" s="4">
        <f>recovered!C27</f>
        <v>9.3077</v>
      </c>
      <c r="D27" s="4">
        <f>recovered!D27</f>
        <v>2.3158</v>
      </c>
      <c r="E27" s="5">
        <f>recovered!E27</f>
        <v>0</v>
      </c>
      <c r="F27" s="5">
        <f>recovered!F27-recovered!E27</f>
        <v>0</v>
      </c>
      <c r="G27" s="5">
        <f>recovered!G27-recovered!F27</f>
        <v>0</v>
      </c>
      <c r="H27" s="5">
        <f>recovered!H27-recovered!G27</f>
        <v>0</v>
      </c>
      <c r="I27" s="5">
        <f>recovered!I27-recovered!H27</f>
        <v>0</v>
      </c>
      <c r="J27" s="5">
        <f>recovered!J27-recovered!I27</f>
        <v>0</v>
      </c>
      <c r="K27" s="5">
        <f>recovered!K27-recovered!J27</f>
        <v>0</v>
      </c>
      <c r="L27" s="5">
        <f>recovered!L27-recovered!K27</f>
        <v>0</v>
      </c>
      <c r="M27" s="5">
        <f>recovered!M27-recovered!L27</f>
        <v>0</v>
      </c>
      <c r="N27" s="5">
        <f>recovered!N27-recovered!M27</f>
        <v>0</v>
      </c>
      <c r="O27" s="5">
        <f>recovered!O27-recovered!N27</f>
        <v>0</v>
      </c>
      <c r="P27" s="5">
        <f>recovered!P27-recovered!O27</f>
        <v>0</v>
      </c>
      <c r="Q27" s="5">
        <f>recovered!Q27-recovered!P27</f>
        <v>0</v>
      </c>
      <c r="R27" s="5">
        <f>recovered!R27-recovered!Q27</f>
        <v>0</v>
      </c>
      <c r="S27" s="5">
        <f>recovered!S27-recovered!R27</f>
        <v>0</v>
      </c>
      <c r="T27" s="5">
        <f>recovered!T27-recovered!S27</f>
        <v>0</v>
      </c>
      <c r="U27" s="5">
        <f>recovered!U27-recovered!T27</f>
        <v>0</v>
      </c>
      <c r="V27" s="5">
        <f>recovered!V27-recovered!U27</f>
        <v>0</v>
      </c>
      <c r="W27" s="5">
        <f>recovered!W27-recovered!V27</f>
        <v>0</v>
      </c>
      <c r="X27" s="5">
        <f>recovered!X27-recovered!W27</f>
        <v>0</v>
      </c>
      <c r="Y27" s="5">
        <f>recovered!Y27-recovered!X27</f>
        <v>0</v>
      </c>
      <c r="Z27" s="5">
        <f>recovered!Z27-recovered!Y27</f>
        <v>0</v>
      </c>
      <c r="AA27" s="5">
        <f>recovered!AA27-recovered!Z27</f>
        <v>0</v>
      </c>
      <c r="AB27" s="5">
        <f>recovered!AB27-recovered!AA27</f>
        <v>0</v>
      </c>
      <c r="AC27" s="5">
        <f>recovered!AC27-recovered!AB27</f>
        <v>0</v>
      </c>
      <c r="AD27" s="5">
        <f>recovered!AD27-recovered!AC27</f>
        <v>0</v>
      </c>
      <c r="AE27" s="5">
        <f>recovered!AE27-recovered!AD27</f>
        <v>0</v>
      </c>
      <c r="AF27" s="5">
        <f>recovered!AF27-recovered!AE27</f>
        <v>0</v>
      </c>
      <c r="AG27" s="5">
        <f>recovered!AG27-recovered!AF27</f>
        <v>0</v>
      </c>
      <c r="AH27" s="5">
        <f>recovered!AH27-recovered!AG27</f>
        <v>0</v>
      </c>
      <c r="AI27" s="5">
        <f>recovered!AI27-recovered!AH27</f>
        <v>0</v>
      </c>
      <c r="AJ27" s="5">
        <f>recovered!AJ27-recovered!AI27</f>
        <v>0</v>
      </c>
      <c r="AK27" s="5">
        <f>recovered!AK27-recovered!AJ27</f>
        <v>0</v>
      </c>
      <c r="AL27" s="5">
        <f>recovered!AL27-recovered!AK27</f>
        <v>0</v>
      </c>
      <c r="AM27" s="5">
        <f>recovered!AM27-recovered!AL27</f>
        <v>0</v>
      </c>
      <c r="AN27" s="5">
        <f>recovered!AN27-recovered!AM27</f>
        <v>0</v>
      </c>
      <c r="AO27" s="5">
        <f>recovered!AO27-recovered!AN27</f>
        <v>0</v>
      </c>
      <c r="AP27" s="5">
        <f>recovered!AP27-recovered!AO27</f>
        <v>0</v>
      </c>
      <c r="AQ27" s="5">
        <f>recovered!AQ27-recovered!AP27</f>
        <v>0</v>
      </c>
      <c r="AR27" s="5">
        <f>recovered!AR27-recovered!AQ27</f>
        <v>0</v>
      </c>
      <c r="AS27" s="5">
        <f>recovered!AS27-recovered!AR27</f>
        <v>0</v>
      </c>
      <c r="AT27" s="5">
        <f>recovered!AT27-recovered!AS27</f>
        <v>0</v>
      </c>
      <c r="AU27" s="5">
        <f>recovered!AU27-recovered!AT27</f>
        <v>0</v>
      </c>
      <c r="AV27" s="5">
        <f>recovered!AV27-recovered!AU27</f>
        <v>0</v>
      </c>
      <c r="AW27" s="5">
        <f>recovered!AW27-recovered!AV27</f>
        <v>0</v>
      </c>
      <c r="AX27" s="5">
        <f>recovered!AX27-recovered!AW27</f>
        <v>0</v>
      </c>
      <c r="AY27" s="5">
        <f>recovered!AY27-recovered!AX27</f>
        <v>0</v>
      </c>
      <c r="AZ27" s="5">
        <f>recovered!AZ27-recovered!AY27</f>
        <v>0</v>
      </c>
      <c r="BA27" s="5">
        <f>recovered!BA27-recovered!AZ27</f>
        <v>0</v>
      </c>
      <c r="BB27" s="5">
        <f>recovered!BB27-recovered!BA27</f>
        <v>0</v>
      </c>
      <c r="BC27" s="5">
        <f>recovered!BC27-recovered!BB27</f>
        <v>0</v>
      </c>
      <c r="BD27" s="5">
        <f>recovered!BD27-recovered!BC27</f>
        <v>0</v>
      </c>
      <c r="BE27" s="5">
        <f>recovered!BE27-recovered!BD27</f>
        <v>0</v>
      </c>
      <c r="BF27" s="5">
        <f>recovered!BF27-recovered!BE27</f>
        <v>0</v>
      </c>
      <c r="BG27" s="5">
        <f>recovered!BG27-recovered!BF27</f>
        <v>0</v>
      </c>
      <c r="BH27" s="5">
        <f>recovered!BH27-recovered!BG27</f>
        <v>0</v>
      </c>
      <c r="BI27" s="5">
        <f>recovered!BI27-recovered!BH27</f>
        <v>0</v>
      </c>
      <c r="BJ27" s="5">
        <f>recovered!BJ27-recovered!BI27</f>
        <v>0</v>
      </c>
      <c r="BK27" s="5">
        <f>recovered!BK27-recovered!BJ27</f>
        <v>0</v>
      </c>
      <c r="BL27" s="5">
        <f>recovered!BL27-recovered!BK27</f>
        <v>0</v>
      </c>
      <c r="BM27" s="5">
        <f>recovered!BM27-recovered!BL27</f>
        <v>0</v>
      </c>
      <c r="BN27" s="5">
        <f>recovered!BN27-recovered!BM27</f>
        <v>0</v>
      </c>
      <c r="BO27" s="5">
        <f>recovered!BO27-recovered!BN27</f>
        <v>0</v>
      </c>
      <c r="BP27" s="5">
        <f>recovered!BP27-recovered!BO27</f>
        <v>0</v>
      </c>
      <c r="BQ27" s="5">
        <f>recovered!BQ27-recovered!BP27</f>
        <v>0</v>
      </c>
      <c r="BR27" s="5">
        <f>recovered!BR27-recovered!BQ27</f>
        <v>0</v>
      </c>
      <c r="BS27" s="5">
        <f>recovered!BS27-recovered!BR27</f>
        <v>0</v>
      </c>
      <c r="BT27" s="5">
        <f>recovered!BT27-recovered!BS27</f>
        <v>0</v>
      </c>
      <c r="BU27" s="5">
        <f>recovered!BU27-recovered!BT27</f>
        <v>0</v>
      </c>
      <c r="BV27" s="5">
        <f>recovered!BV27-recovered!BU27</f>
        <v>1</v>
      </c>
      <c r="BW27" s="5">
        <f>recovered!BW27-recovered!BV27</f>
        <v>0</v>
      </c>
      <c r="BX27" s="5">
        <f>recovered!BX27-recovered!BW27</f>
        <v>0</v>
      </c>
      <c r="BY27" s="5">
        <f>recovered!BY27-recovered!BX27</f>
        <v>1</v>
      </c>
    </row>
    <row r="28">
      <c r="B28" s="1" t="str">
        <f>recovered!B28</f>
        <v>Bhutan</v>
      </c>
      <c r="C28" s="4">
        <f>recovered!C28</f>
        <v>27.5142</v>
      </c>
      <c r="D28" s="4">
        <f>recovered!D28</f>
        <v>90.4336</v>
      </c>
      <c r="E28" s="5">
        <f>recovered!E28</f>
        <v>0</v>
      </c>
      <c r="F28" s="5">
        <f>recovered!F28-recovered!E28</f>
        <v>0</v>
      </c>
      <c r="G28" s="5">
        <f>recovered!G28-recovered!F28</f>
        <v>0</v>
      </c>
      <c r="H28" s="5">
        <f>recovered!H28-recovered!G28</f>
        <v>0</v>
      </c>
      <c r="I28" s="5">
        <f>recovered!I28-recovered!H28</f>
        <v>0</v>
      </c>
      <c r="J28" s="5">
        <f>recovered!J28-recovered!I28</f>
        <v>0</v>
      </c>
      <c r="K28" s="5">
        <f>recovered!K28-recovered!J28</f>
        <v>0</v>
      </c>
      <c r="L28" s="5">
        <f>recovered!L28-recovered!K28</f>
        <v>0</v>
      </c>
      <c r="M28" s="5">
        <f>recovered!M28-recovered!L28</f>
        <v>0</v>
      </c>
      <c r="N28" s="5">
        <f>recovered!N28-recovered!M28</f>
        <v>0</v>
      </c>
      <c r="O28" s="5">
        <f>recovered!O28-recovered!N28</f>
        <v>0</v>
      </c>
      <c r="P28" s="5">
        <f>recovered!P28-recovered!O28</f>
        <v>0</v>
      </c>
      <c r="Q28" s="5">
        <f>recovered!Q28-recovered!P28</f>
        <v>0</v>
      </c>
      <c r="R28" s="5">
        <f>recovered!R28-recovered!Q28</f>
        <v>0</v>
      </c>
      <c r="S28" s="5">
        <f>recovered!S28-recovered!R28</f>
        <v>0</v>
      </c>
      <c r="T28" s="5">
        <f>recovered!T28-recovered!S28</f>
        <v>0</v>
      </c>
      <c r="U28" s="5">
        <f>recovered!U28-recovered!T28</f>
        <v>0</v>
      </c>
      <c r="V28" s="5">
        <f>recovered!V28-recovered!U28</f>
        <v>0</v>
      </c>
      <c r="W28" s="5">
        <f>recovered!W28-recovered!V28</f>
        <v>0</v>
      </c>
      <c r="X28" s="5">
        <f>recovered!X28-recovered!W28</f>
        <v>0</v>
      </c>
      <c r="Y28" s="5">
        <f>recovered!Y28-recovered!X28</f>
        <v>0</v>
      </c>
      <c r="Z28" s="5">
        <f>recovered!Z28-recovered!Y28</f>
        <v>0</v>
      </c>
      <c r="AA28" s="5">
        <f>recovered!AA28-recovered!Z28</f>
        <v>0</v>
      </c>
      <c r="AB28" s="5">
        <f>recovered!AB28-recovered!AA28</f>
        <v>0</v>
      </c>
      <c r="AC28" s="5">
        <f>recovered!AC28-recovered!AB28</f>
        <v>0</v>
      </c>
      <c r="AD28" s="5">
        <f>recovered!AD28-recovered!AC28</f>
        <v>0</v>
      </c>
      <c r="AE28" s="5">
        <f>recovered!AE28-recovered!AD28</f>
        <v>0</v>
      </c>
      <c r="AF28" s="5">
        <f>recovered!AF28-recovered!AE28</f>
        <v>0</v>
      </c>
      <c r="AG28" s="5">
        <f>recovered!AG28-recovered!AF28</f>
        <v>0</v>
      </c>
      <c r="AH28" s="5">
        <f>recovered!AH28-recovered!AG28</f>
        <v>0</v>
      </c>
      <c r="AI28" s="5">
        <f>recovered!AI28-recovered!AH28</f>
        <v>0</v>
      </c>
      <c r="AJ28" s="5">
        <f>recovered!AJ28-recovered!AI28</f>
        <v>0</v>
      </c>
      <c r="AK28" s="5">
        <f>recovered!AK28-recovered!AJ28</f>
        <v>0</v>
      </c>
      <c r="AL28" s="5">
        <f>recovered!AL28-recovered!AK28</f>
        <v>0</v>
      </c>
      <c r="AM28" s="5">
        <f>recovered!AM28-recovered!AL28</f>
        <v>0</v>
      </c>
      <c r="AN28" s="5">
        <f>recovered!AN28-recovered!AM28</f>
        <v>0</v>
      </c>
      <c r="AO28" s="5">
        <f>recovered!AO28-recovered!AN28</f>
        <v>0</v>
      </c>
      <c r="AP28" s="5">
        <f>recovered!AP28-recovered!AO28</f>
        <v>0</v>
      </c>
      <c r="AQ28" s="5">
        <f>recovered!AQ28-recovered!AP28</f>
        <v>0</v>
      </c>
      <c r="AR28" s="5">
        <f>recovered!AR28-recovered!AQ28</f>
        <v>0</v>
      </c>
      <c r="AS28" s="5">
        <f>recovered!AS28-recovered!AR28</f>
        <v>0</v>
      </c>
      <c r="AT28" s="5">
        <f>recovered!AT28-recovered!AS28</f>
        <v>0</v>
      </c>
      <c r="AU28" s="5">
        <f>recovered!AU28-recovered!AT28</f>
        <v>0</v>
      </c>
      <c r="AV28" s="5">
        <f>recovered!AV28-recovered!AU28</f>
        <v>0</v>
      </c>
      <c r="AW28" s="5">
        <f>recovered!AW28-recovered!AV28</f>
        <v>0</v>
      </c>
      <c r="AX28" s="5">
        <f>recovered!AX28-recovered!AW28</f>
        <v>0</v>
      </c>
      <c r="AY28" s="5">
        <f>recovered!AY28-recovered!AX28</f>
        <v>0</v>
      </c>
      <c r="AZ28" s="5">
        <f>recovered!AZ28-recovered!AY28</f>
        <v>0</v>
      </c>
      <c r="BA28" s="5">
        <f>recovered!BA28-recovered!AZ28</f>
        <v>0</v>
      </c>
      <c r="BB28" s="5">
        <f>recovered!BB28-recovered!BA28</f>
        <v>0</v>
      </c>
      <c r="BC28" s="5">
        <f>recovered!BC28-recovered!BB28</f>
        <v>0</v>
      </c>
      <c r="BD28" s="5">
        <f>recovered!BD28-recovered!BC28</f>
        <v>0</v>
      </c>
      <c r="BE28" s="5">
        <f>recovered!BE28-recovered!BD28</f>
        <v>0</v>
      </c>
      <c r="BF28" s="5">
        <f>recovered!BF28-recovered!BE28</f>
        <v>0</v>
      </c>
      <c r="BG28" s="5">
        <f>recovered!BG28-recovered!BF28</f>
        <v>0</v>
      </c>
      <c r="BH28" s="5">
        <f>recovered!BH28-recovered!BG28</f>
        <v>0</v>
      </c>
      <c r="BI28" s="5">
        <f>recovered!BI28-recovered!BH28</f>
        <v>0</v>
      </c>
      <c r="BJ28" s="5">
        <f>recovered!BJ28-recovered!BI28</f>
        <v>0</v>
      </c>
      <c r="BK28" s="5">
        <f>recovered!BK28-recovered!BJ28</f>
        <v>0</v>
      </c>
      <c r="BL28" s="5">
        <f>recovered!BL28-recovered!BK28</f>
        <v>0</v>
      </c>
      <c r="BM28" s="5">
        <f>recovered!BM28-recovered!BL28</f>
        <v>0</v>
      </c>
      <c r="BN28" s="5">
        <f>recovered!BN28-recovered!BM28</f>
        <v>0</v>
      </c>
      <c r="BO28" s="5">
        <f>recovered!BO28-recovered!BN28</f>
        <v>0</v>
      </c>
      <c r="BP28" s="5">
        <f>recovered!BP28-recovered!BO28</f>
        <v>0</v>
      </c>
      <c r="BQ28" s="5">
        <f>recovered!BQ28-recovered!BP28</f>
        <v>0</v>
      </c>
      <c r="BR28" s="5">
        <f>recovered!BR28-recovered!BQ28</f>
        <v>0</v>
      </c>
      <c r="BS28" s="5">
        <f>recovered!BS28-recovered!BR28</f>
        <v>0</v>
      </c>
      <c r="BT28" s="5">
        <f>recovered!BT28-recovered!BS28</f>
        <v>0</v>
      </c>
      <c r="BU28" s="5">
        <f>recovered!BU28-recovered!BT28</f>
        <v>0</v>
      </c>
      <c r="BV28" s="5">
        <f>recovered!BV28-recovered!BU28</f>
        <v>0</v>
      </c>
      <c r="BW28" s="5">
        <f>recovered!BW28-recovered!BV28</f>
        <v>0</v>
      </c>
      <c r="BX28" s="5">
        <f>recovered!BX28-recovered!BW28</f>
        <v>1</v>
      </c>
      <c r="BY28" s="5">
        <f>recovered!BY28-recovered!BX28</f>
        <v>1</v>
      </c>
    </row>
    <row r="29">
      <c r="B29" s="1" t="str">
        <f>recovered!B29</f>
        <v>Bolivia</v>
      </c>
      <c r="C29" s="4">
        <f>recovered!C29</f>
        <v>-16.2902</v>
      </c>
      <c r="D29" s="4">
        <f>recovered!D29</f>
        <v>-63.5887</v>
      </c>
      <c r="E29" s="5">
        <f>recovered!E29</f>
        <v>0</v>
      </c>
      <c r="F29" s="5">
        <f>recovered!F29-recovered!E29</f>
        <v>0</v>
      </c>
      <c r="G29" s="5">
        <f>recovered!G29-recovered!F29</f>
        <v>0</v>
      </c>
      <c r="H29" s="5">
        <f>recovered!H29-recovered!G29</f>
        <v>0</v>
      </c>
      <c r="I29" s="5">
        <f>recovered!I29-recovered!H29</f>
        <v>0</v>
      </c>
      <c r="J29" s="5">
        <f>recovered!J29-recovered!I29</f>
        <v>0</v>
      </c>
      <c r="K29" s="5">
        <f>recovered!K29-recovered!J29</f>
        <v>0</v>
      </c>
      <c r="L29" s="5">
        <f>recovered!L29-recovered!K29</f>
        <v>0</v>
      </c>
      <c r="M29" s="5">
        <f>recovered!M29-recovered!L29</f>
        <v>0</v>
      </c>
      <c r="N29" s="5">
        <f>recovered!N29-recovered!M29</f>
        <v>0</v>
      </c>
      <c r="O29" s="5">
        <f>recovered!O29-recovered!N29</f>
        <v>0</v>
      </c>
      <c r="P29" s="5">
        <f>recovered!P29-recovered!O29</f>
        <v>0</v>
      </c>
      <c r="Q29" s="5">
        <f>recovered!Q29-recovered!P29</f>
        <v>0</v>
      </c>
      <c r="R29" s="5">
        <f>recovered!R29-recovered!Q29</f>
        <v>0</v>
      </c>
      <c r="S29" s="5">
        <f>recovered!S29-recovered!R29</f>
        <v>0</v>
      </c>
      <c r="T29" s="5">
        <f>recovered!T29-recovered!S29</f>
        <v>0</v>
      </c>
      <c r="U29" s="5">
        <f>recovered!U29-recovered!T29</f>
        <v>0</v>
      </c>
      <c r="V29" s="5">
        <f>recovered!V29-recovered!U29</f>
        <v>0</v>
      </c>
      <c r="W29" s="5">
        <f>recovered!W29-recovered!V29</f>
        <v>0</v>
      </c>
      <c r="X29" s="5">
        <f>recovered!X29-recovered!W29</f>
        <v>0</v>
      </c>
      <c r="Y29" s="5">
        <f>recovered!Y29-recovered!X29</f>
        <v>0</v>
      </c>
      <c r="Z29" s="5">
        <f>recovered!Z29-recovered!Y29</f>
        <v>0</v>
      </c>
      <c r="AA29" s="5">
        <f>recovered!AA29-recovered!Z29</f>
        <v>0</v>
      </c>
      <c r="AB29" s="5">
        <f>recovered!AB29-recovered!AA29</f>
        <v>0</v>
      </c>
      <c r="AC29" s="5">
        <f>recovered!AC29-recovered!AB29</f>
        <v>0</v>
      </c>
      <c r="AD29" s="5">
        <f>recovered!AD29-recovered!AC29</f>
        <v>0</v>
      </c>
      <c r="AE29" s="5">
        <f>recovered!AE29-recovered!AD29</f>
        <v>0</v>
      </c>
      <c r="AF29" s="5">
        <f>recovered!AF29-recovered!AE29</f>
        <v>0</v>
      </c>
      <c r="AG29" s="5">
        <f>recovered!AG29-recovered!AF29</f>
        <v>0</v>
      </c>
      <c r="AH29" s="5">
        <f>recovered!AH29-recovered!AG29</f>
        <v>0</v>
      </c>
      <c r="AI29" s="5">
        <f>recovered!AI29-recovered!AH29</f>
        <v>0</v>
      </c>
      <c r="AJ29" s="5">
        <f>recovered!AJ29-recovered!AI29</f>
        <v>0</v>
      </c>
      <c r="AK29" s="5">
        <f>recovered!AK29-recovered!AJ29</f>
        <v>0</v>
      </c>
      <c r="AL29" s="5">
        <f>recovered!AL29-recovered!AK29</f>
        <v>0</v>
      </c>
      <c r="AM29" s="5">
        <f>recovered!AM29-recovered!AL29</f>
        <v>0</v>
      </c>
      <c r="AN29" s="5">
        <f>recovered!AN29-recovered!AM29</f>
        <v>0</v>
      </c>
      <c r="AO29" s="5">
        <f>recovered!AO29-recovered!AN29</f>
        <v>0</v>
      </c>
      <c r="AP29" s="5">
        <f>recovered!AP29-recovered!AO29</f>
        <v>0</v>
      </c>
      <c r="AQ29" s="5">
        <f>recovered!AQ29-recovered!AP29</f>
        <v>0</v>
      </c>
      <c r="AR29" s="5">
        <f>recovered!AR29-recovered!AQ29</f>
        <v>0</v>
      </c>
      <c r="AS29" s="5">
        <f>recovered!AS29-recovered!AR29</f>
        <v>0</v>
      </c>
      <c r="AT29" s="5">
        <f>recovered!AT29-recovered!AS29</f>
        <v>0</v>
      </c>
      <c r="AU29" s="5">
        <f>recovered!AU29-recovered!AT29</f>
        <v>0</v>
      </c>
      <c r="AV29" s="5">
        <f>recovered!AV29-recovered!AU29</f>
        <v>0</v>
      </c>
      <c r="AW29" s="5">
        <f>recovered!AW29-recovered!AV29</f>
        <v>0</v>
      </c>
      <c r="AX29" s="5">
        <f>recovered!AX29-recovered!AW29</f>
        <v>0</v>
      </c>
      <c r="AY29" s="5">
        <f>recovered!AY29-recovered!AX29</f>
        <v>0</v>
      </c>
      <c r="AZ29" s="5">
        <f>recovered!AZ29-recovered!AY29</f>
        <v>0</v>
      </c>
      <c r="BA29" s="5">
        <f>recovered!BA29-recovered!AZ29</f>
        <v>0</v>
      </c>
      <c r="BB29" s="5">
        <f>recovered!BB29-recovered!BA29</f>
        <v>0</v>
      </c>
      <c r="BC29" s="5">
        <f>recovered!BC29-recovered!BB29</f>
        <v>0</v>
      </c>
      <c r="BD29" s="5">
        <f>recovered!BD29-recovered!BC29</f>
        <v>0</v>
      </c>
      <c r="BE29" s="5">
        <f>recovered!BE29-recovered!BD29</f>
        <v>0</v>
      </c>
      <c r="BF29" s="5">
        <f>recovered!BF29-recovered!BE29</f>
        <v>0</v>
      </c>
      <c r="BG29" s="5">
        <f>recovered!BG29-recovered!BF29</f>
        <v>0</v>
      </c>
      <c r="BH29" s="5">
        <f>recovered!BH29-recovered!BG29</f>
        <v>0</v>
      </c>
      <c r="BI29" s="5">
        <f>recovered!BI29-recovered!BH29</f>
        <v>0</v>
      </c>
      <c r="BJ29" s="5">
        <f>recovered!BJ29-recovered!BI29</f>
        <v>0</v>
      </c>
      <c r="BK29" s="5">
        <f>recovered!BK29-recovered!BJ29</f>
        <v>0</v>
      </c>
      <c r="BL29" s="5">
        <f>recovered!BL29-recovered!BK29</f>
        <v>0</v>
      </c>
      <c r="BM29" s="5">
        <f>recovered!BM29-recovered!BL29</f>
        <v>0</v>
      </c>
      <c r="BN29" s="5">
        <f>recovered!BN29-recovered!BM29</f>
        <v>0</v>
      </c>
      <c r="BO29" s="5">
        <f>recovered!BO29-recovered!BN29</f>
        <v>0</v>
      </c>
      <c r="BP29" s="5">
        <f>recovered!BP29-recovered!BO29</f>
        <v>0</v>
      </c>
      <c r="BQ29" s="5">
        <f>recovered!BQ29-recovered!BP29</f>
        <v>0</v>
      </c>
      <c r="BR29" s="5">
        <f>recovered!BR29-recovered!BQ29</f>
        <v>0</v>
      </c>
      <c r="BS29" s="5">
        <f>recovered!BS29-recovered!BR29</f>
        <v>0</v>
      </c>
      <c r="BT29" s="5">
        <f>recovered!BT29-recovered!BS29</f>
        <v>0</v>
      </c>
      <c r="BU29" s="5">
        <f>recovered!BU29-recovered!BT29</f>
        <v>0</v>
      </c>
      <c r="BV29" s="5">
        <f>recovered!BV29-recovered!BU29</f>
        <v>0</v>
      </c>
      <c r="BW29" s="5">
        <f>recovered!BW29-recovered!BV29</f>
        <v>1</v>
      </c>
      <c r="BX29" s="5">
        <f>recovered!BX29-recovered!BW29</f>
        <v>0</v>
      </c>
      <c r="BY29" s="5">
        <f>recovered!BY29-recovered!BX29</f>
        <v>0</v>
      </c>
    </row>
    <row r="30">
      <c r="B30" s="1" t="str">
        <f>recovered!B30</f>
        <v>Bosnia and Herzegovina</v>
      </c>
      <c r="C30" s="4">
        <f>recovered!C30</f>
        <v>43.9159</v>
      </c>
      <c r="D30" s="4">
        <f>recovered!D30</f>
        <v>17.6791</v>
      </c>
      <c r="E30" s="5">
        <f>recovered!E30</f>
        <v>0</v>
      </c>
      <c r="F30" s="5">
        <f>recovered!F30-recovered!E30</f>
        <v>0</v>
      </c>
      <c r="G30" s="5">
        <f>recovered!G30-recovered!F30</f>
        <v>0</v>
      </c>
      <c r="H30" s="5">
        <f>recovered!H30-recovered!G30</f>
        <v>0</v>
      </c>
      <c r="I30" s="5">
        <f>recovered!I30-recovered!H30</f>
        <v>0</v>
      </c>
      <c r="J30" s="5">
        <f>recovered!J30-recovered!I30</f>
        <v>0</v>
      </c>
      <c r="K30" s="5">
        <f>recovered!K30-recovered!J30</f>
        <v>0</v>
      </c>
      <c r="L30" s="5">
        <f>recovered!L30-recovered!K30</f>
        <v>0</v>
      </c>
      <c r="M30" s="5">
        <f>recovered!M30-recovered!L30</f>
        <v>0</v>
      </c>
      <c r="N30" s="5">
        <f>recovered!N30-recovered!M30</f>
        <v>0</v>
      </c>
      <c r="O30" s="5">
        <f>recovered!O30-recovered!N30</f>
        <v>0</v>
      </c>
      <c r="P30" s="5">
        <f>recovered!P30-recovered!O30</f>
        <v>0</v>
      </c>
      <c r="Q30" s="5">
        <f>recovered!Q30-recovered!P30</f>
        <v>0</v>
      </c>
      <c r="R30" s="5">
        <f>recovered!R30-recovered!Q30</f>
        <v>0</v>
      </c>
      <c r="S30" s="5">
        <f>recovered!S30-recovered!R30</f>
        <v>0</v>
      </c>
      <c r="T30" s="5">
        <f>recovered!T30-recovered!S30</f>
        <v>0</v>
      </c>
      <c r="U30" s="5">
        <f>recovered!U30-recovered!T30</f>
        <v>0</v>
      </c>
      <c r="V30" s="5">
        <f>recovered!V30-recovered!U30</f>
        <v>0</v>
      </c>
      <c r="W30" s="5">
        <f>recovered!W30-recovered!V30</f>
        <v>0</v>
      </c>
      <c r="X30" s="5">
        <f>recovered!X30-recovered!W30</f>
        <v>0</v>
      </c>
      <c r="Y30" s="5">
        <f>recovered!Y30-recovered!X30</f>
        <v>0</v>
      </c>
      <c r="Z30" s="5">
        <f>recovered!Z30-recovered!Y30</f>
        <v>0</v>
      </c>
      <c r="AA30" s="5">
        <f>recovered!AA30-recovered!Z30</f>
        <v>0</v>
      </c>
      <c r="AB30" s="5">
        <f>recovered!AB30-recovered!AA30</f>
        <v>0</v>
      </c>
      <c r="AC30" s="5">
        <f>recovered!AC30-recovered!AB30</f>
        <v>0</v>
      </c>
      <c r="AD30" s="5">
        <f>recovered!AD30-recovered!AC30</f>
        <v>0</v>
      </c>
      <c r="AE30" s="5">
        <f>recovered!AE30-recovered!AD30</f>
        <v>0</v>
      </c>
      <c r="AF30" s="5">
        <f>recovered!AF30-recovered!AE30</f>
        <v>0</v>
      </c>
      <c r="AG30" s="5">
        <f>recovered!AG30-recovered!AF30</f>
        <v>0</v>
      </c>
      <c r="AH30" s="5">
        <f>recovered!AH30-recovered!AG30</f>
        <v>0</v>
      </c>
      <c r="AI30" s="5">
        <f>recovered!AI30-recovered!AH30</f>
        <v>0</v>
      </c>
      <c r="AJ30" s="5">
        <f>recovered!AJ30-recovered!AI30</f>
        <v>0</v>
      </c>
      <c r="AK30" s="5">
        <f>recovered!AK30-recovered!AJ30</f>
        <v>0</v>
      </c>
      <c r="AL30" s="5">
        <f>recovered!AL30-recovered!AK30</f>
        <v>0</v>
      </c>
      <c r="AM30" s="5">
        <f>recovered!AM30-recovered!AL30</f>
        <v>0</v>
      </c>
      <c r="AN30" s="5">
        <f>recovered!AN30-recovered!AM30</f>
        <v>0</v>
      </c>
      <c r="AO30" s="5">
        <f>recovered!AO30-recovered!AN30</f>
        <v>0</v>
      </c>
      <c r="AP30" s="5">
        <f>recovered!AP30-recovered!AO30</f>
        <v>0</v>
      </c>
      <c r="AQ30" s="5">
        <f>recovered!AQ30-recovered!AP30</f>
        <v>0</v>
      </c>
      <c r="AR30" s="5">
        <f>recovered!AR30-recovered!AQ30</f>
        <v>0</v>
      </c>
      <c r="AS30" s="5">
        <f>recovered!AS30-recovered!AR30</f>
        <v>0</v>
      </c>
      <c r="AT30" s="5">
        <f>recovered!AT30-recovered!AS30</f>
        <v>0</v>
      </c>
      <c r="AU30" s="5">
        <f>recovered!AU30-recovered!AT30</f>
        <v>0</v>
      </c>
      <c r="AV30" s="5">
        <f>recovered!AV30-recovered!AU30</f>
        <v>0</v>
      </c>
      <c r="AW30" s="5">
        <f>recovered!AW30-recovered!AV30</f>
        <v>0</v>
      </c>
      <c r="AX30" s="5">
        <f>recovered!AX30-recovered!AW30</f>
        <v>0</v>
      </c>
      <c r="AY30" s="5">
        <f>recovered!AY30-recovered!AX30</f>
        <v>0</v>
      </c>
      <c r="AZ30" s="5">
        <f>recovered!AZ30-recovered!AY30</f>
        <v>0</v>
      </c>
      <c r="BA30" s="5">
        <f>recovered!BA30-recovered!AZ30</f>
        <v>0</v>
      </c>
      <c r="BB30" s="5">
        <f>recovered!BB30-recovered!BA30</f>
        <v>0</v>
      </c>
      <c r="BC30" s="5">
        <f>recovered!BC30-recovered!BB30</f>
        <v>0</v>
      </c>
      <c r="BD30" s="5">
        <f>recovered!BD30-recovered!BC30</f>
        <v>0</v>
      </c>
      <c r="BE30" s="5">
        <f>recovered!BE30-recovered!BD30</f>
        <v>0</v>
      </c>
      <c r="BF30" s="5">
        <f>recovered!BF30-recovered!BE30</f>
        <v>0</v>
      </c>
      <c r="BG30" s="5">
        <f>recovered!BG30-recovered!BF30</f>
        <v>0</v>
      </c>
      <c r="BH30" s="5">
        <f>recovered!BH30-recovered!BG30</f>
        <v>2</v>
      </c>
      <c r="BI30" s="5">
        <f>recovered!BI30-recovered!BH30</f>
        <v>0</v>
      </c>
      <c r="BJ30" s="5">
        <f>recovered!BJ30-recovered!BI30</f>
        <v>0</v>
      </c>
      <c r="BK30" s="5">
        <f>recovered!BK30-recovered!BJ30</f>
        <v>0</v>
      </c>
      <c r="BL30" s="5">
        <f>recovered!BL30-recovered!BK30</f>
        <v>0</v>
      </c>
      <c r="BM30" s="5">
        <f>recovered!BM30-recovered!BL30</f>
        <v>0</v>
      </c>
      <c r="BN30" s="5">
        <f>recovered!BN30-recovered!BM30</f>
        <v>0</v>
      </c>
      <c r="BO30" s="5">
        <f>recovered!BO30-recovered!BN30</f>
        <v>0</v>
      </c>
      <c r="BP30" s="5">
        <f>recovered!BP30-recovered!BO30</f>
        <v>0</v>
      </c>
      <c r="BQ30" s="5">
        <f>recovered!BQ30-recovered!BP30</f>
        <v>0</v>
      </c>
      <c r="BR30" s="5">
        <f>recovered!BR30-recovered!BQ30</f>
        <v>3</v>
      </c>
      <c r="BS30" s="5">
        <f>recovered!BS30-recovered!BR30</f>
        <v>0</v>
      </c>
      <c r="BT30" s="5">
        <f>recovered!BT30-recovered!BS30</f>
        <v>3</v>
      </c>
      <c r="BU30" s="5">
        <f>recovered!BU30-recovered!BT30</f>
        <v>9</v>
      </c>
      <c r="BV30" s="5">
        <f>recovered!BV30-recovered!BU30</f>
        <v>0</v>
      </c>
      <c r="BW30" s="5">
        <f>recovered!BW30-recovered!BV30</f>
        <v>2</v>
      </c>
      <c r="BX30" s="5">
        <f>recovered!BX30-recovered!BW30</f>
        <v>1</v>
      </c>
      <c r="BY30" s="5">
        <f>recovered!BY30-recovered!BX30</f>
        <v>7</v>
      </c>
    </row>
    <row r="31">
      <c r="B31" s="1" t="str">
        <f>recovered!B31</f>
        <v>Brazil</v>
      </c>
      <c r="C31" s="4">
        <f>recovered!C31</f>
        <v>-14.235</v>
      </c>
      <c r="D31" s="4">
        <f>recovered!D31</f>
        <v>-51.9253</v>
      </c>
      <c r="E31" s="5">
        <f>recovered!E31</f>
        <v>0</v>
      </c>
      <c r="F31" s="5">
        <f>recovered!F31-recovered!E31</f>
        <v>0</v>
      </c>
      <c r="G31" s="5">
        <f>recovered!G31-recovered!F31</f>
        <v>0</v>
      </c>
      <c r="H31" s="5">
        <f>recovered!H31-recovered!G31</f>
        <v>0</v>
      </c>
      <c r="I31" s="5">
        <f>recovered!I31-recovered!H31</f>
        <v>0</v>
      </c>
      <c r="J31" s="5">
        <f>recovered!J31-recovered!I31</f>
        <v>0</v>
      </c>
      <c r="K31" s="5">
        <f>recovered!K31-recovered!J31</f>
        <v>0</v>
      </c>
      <c r="L31" s="5">
        <f>recovered!L31-recovered!K31</f>
        <v>0</v>
      </c>
      <c r="M31" s="5">
        <f>recovered!M31-recovered!L31</f>
        <v>0</v>
      </c>
      <c r="N31" s="5">
        <f>recovered!N31-recovered!M31</f>
        <v>0</v>
      </c>
      <c r="O31" s="5">
        <f>recovered!O31-recovered!N31</f>
        <v>0</v>
      </c>
      <c r="P31" s="5">
        <f>recovered!P31-recovered!O31</f>
        <v>0</v>
      </c>
      <c r="Q31" s="5">
        <f>recovered!Q31-recovered!P31</f>
        <v>0</v>
      </c>
      <c r="R31" s="5">
        <f>recovered!R31-recovered!Q31</f>
        <v>0</v>
      </c>
      <c r="S31" s="5">
        <f>recovered!S31-recovered!R31</f>
        <v>0</v>
      </c>
      <c r="T31" s="5">
        <f>recovered!T31-recovered!S31</f>
        <v>0</v>
      </c>
      <c r="U31" s="5">
        <f>recovered!U31-recovered!T31</f>
        <v>0</v>
      </c>
      <c r="V31" s="5">
        <f>recovered!V31-recovered!U31</f>
        <v>0</v>
      </c>
      <c r="W31" s="5">
        <f>recovered!W31-recovered!V31</f>
        <v>0</v>
      </c>
      <c r="X31" s="5">
        <f>recovered!X31-recovered!W31</f>
        <v>0</v>
      </c>
      <c r="Y31" s="5">
        <f>recovered!Y31-recovered!X31</f>
        <v>0</v>
      </c>
      <c r="Z31" s="5">
        <f>recovered!Z31-recovered!Y31</f>
        <v>0</v>
      </c>
      <c r="AA31" s="5">
        <f>recovered!AA31-recovered!Z31</f>
        <v>0</v>
      </c>
      <c r="AB31" s="5">
        <f>recovered!AB31-recovered!AA31</f>
        <v>0</v>
      </c>
      <c r="AC31" s="5">
        <f>recovered!AC31-recovered!AB31</f>
        <v>0</v>
      </c>
      <c r="AD31" s="5">
        <f>recovered!AD31-recovered!AC31</f>
        <v>0</v>
      </c>
      <c r="AE31" s="5">
        <f>recovered!AE31-recovered!AD31</f>
        <v>0</v>
      </c>
      <c r="AF31" s="5">
        <f>recovered!AF31-recovered!AE31</f>
        <v>0</v>
      </c>
      <c r="AG31" s="5">
        <f>recovered!AG31-recovered!AF31</f>
        <v>0</v>
      </c>
      <c r="AH31" s="5">
        <f>recovered!AH31-recovered!AG31</f>
        <v>0</v>
      </c>
      <c r="AI31" s="5">
        <f>recovered!AI31-recovered!AH31</f>
        <v>0</v>
      </c>
      <c r="AJ31" s="5">
        <f>recovered!AJ31-recovered!AI31</f>
        <v>0</v>
      </c>
      <c r="AK31" s="5">
        <f>recovered!AK31-recovered!AJ31</f>
        <v>0</v>
      </c>
      <c r="AL31" s="5">
        <f>recovered!AL31-recovered!AK31</f>
        <v>0</v>
      </c>
      <c r="AM31" s="5">
        <f>recovered!AM31-recovered!AL31</f>
        <v>0</v>
      </c>
      <c r="AN31" s="5">
        <f>recovered!AN31-recovered!AM31</f>
        <v>0</v>
      </c>
      <c r="AO31" s="5">
        <f>recovered!AO31-recovered!AN31</f>
        <v>0</v>
      </c>
      <c r="AP31" s="5">
        <f>recovered!AP31-recovered!AO31</f>
        <v>0</v>
      </c>
      <c r="AQ31" s="5">
        <f>recovered!AQ31-recovered!AP31</f>
        <v>0</v>
      </c>
      <c r="AR31" s="5">
        <f>recovered!AR31-recovered!AQ31</f>
        <v>0</v>
      </c>
      <c r="AS31" s="5">
        <f>recovered!AS31-recovered!AR31</f>
        <v>0</v>
      </c>
      <c r="AT31" s="5">
        <f>recovered!AT31-recovered!AS31</f>
        <v>0</v>
      </c>
      <c r="AU31" s="5">
        <f>recovered!AU31-recovered!AT31</f>
        <v>0</v>
      </c>
      <c r="AV31" s="5">
        <f>recovered!AV31-recovered!AU31</f>
        <v>0</v>
      </c>
      <c r="AW31" s="5">
        <f>recovered!AW31-recovered!AV31</f>
        <v>0</v>
      </c>
      <c r="AX31" s="5">
        <f>recovered!AX31-recovered!AW31</f>
        <v>0</v>
      </c>
      <c r="AY31" s="5">
        <f>recovered!AY31-recovered!AX31</f>
        <v>0</v>
      </c>
      <c r="AZ31" s="5">
        <f>recovered!AZ31-recovered!AY31</f>
        <v>0</v>
      </c>
      <c r="BA31" s="5">
        <f>recovered!BA31-recovered!AZ31</f>
        <v>0</v>
      </c>
      <c r="BB31" s="5">
        <f>recovered!BB31-recovered!BA31</f>
        <v>0</v>
      </c>
      <c r="BC31" s="5">
        <f>recovered!BC31-recovered!BB31</f>
        <v>0</v>
      </c>
      <c r="BD31" s="5">
        <f>recovered!BD31-recovered!BC31</f>
        <v>0</v>
      </c>
      <c r="BE31" s="5">
        <f>recovered!BE31-recovered!BD31</f>
        <v>0</v>
      </c>
      <c r="BF31" s="5">
        <f>recovered!BF31-recovered!BE31</f>
        <v>0</v>
      </c>
      <c r="BG31" s="5">
        <f>recovered!BG31-recovered!BF31</f>
        <v>1</v>
      </c>
      <c r="BH31" s="5">
        <f>recovered!BH31-recovered!BG31</f>
        <v>1</v>
      </c>
      <c r="BI31" s="5">
        <f>recovered!BI31-recovered!BH31</f>
        <v>0</v>
      </c>
      <c r="BJ31" s="5">
        <f>recovered!BJ31-recovered!BI31</f>
        <v>0</v>
      </c>
      <c r="BK31" s="5">
        <f>recovered!BK31-recovered!BJ31</f>
        <v>0</v>
      </c>
      <c r="BL31" s="5">
        <f>recovered!BL31-recovered!BK31</f>
        <v>0</v>
      </c>
      <c r="BM31" s="5">
        <f>recovered!BM31-recovered!BL31</f>
        <v>0</v>
      </c>
      <c r="BN31" s="5">
        <f>recovered!BN31-recovered!BM31</f>
        <v>0</v>
      </c>
      <c r="BO31" s="5">
        <f>recovered!BO31-recovered!BN31</f>
        <v>0</v>
      </c>
      <c r="BP31" s="5">
        <f>recovered!BP31-recovered!BO31</f>
        <v>0</v>
      </c>
      <c r="BQ31" s="5">
        <f>recovered!BQ31-recovered!BP31</f>
        <v>4</v>
      </c>
      <c r="BR31" s="5">
        <f>recovered!BR31-recovered!BQ31</f>
        <v>0</v>
      </c>
      <c r="BS31" s="5">
        <f>recovered!BS31-recovered!BR31</f>
        <v>0</v>
      </c>
      <c r="BT31" s="5">
        <f>recovered!BT31-recovered!BS31</f>
        <v>0</v>
      </c>
      <c r="BU31" s="5">
        <f>recovered!BU31-recovered!BT31</f>
        <v>114</v>
      </c>
      <c r="BV31" s="5">
        <f>recovered!BV31-recovered!BU31</f>
        <v>7</v>
      </c>
      <c r="BW31" s="5">
        <f>recovered!BW31-recovered!BV31</f>
        <v>0</v>
      </c>
      <c r="BX31" s="5">
        <f>recovered!BX31-recovered!BW31</f>
        <v>0</v>
      </c>
      <c r="BY31" s="5">
        <f>recovered!BY31-recovered!BX31</f>
        <v>0</v>
      </c>
    </row>
    <row r="32">
      <c r="B32" s="1" t="str">
        <f>recovered!B32</f>
        <v>Brunei</v>
      </c>
      <c r="C32" s="4">
        <f>recovered!C32</f>
        <v>4.5353</v>
      </c>
      <c r="D32" s="4">
        <f>recovered!D32</f>
        <v>114.7277</v>
      </c>
      <c r="E32" s="5">
        <f>recovered!E32</f>
        <v>0</v>
      </c>
      <c r="F32" s="5">
        <f>recovered!F32-recovered!E32</f>
        <v>0</v>
      </c>
      <c r="G32" s="5">
        <f>recovered!G32-recovered!F32</f>
        <v>0</v>
      </c>
      <c r="H32" s="5">
        <f>recovered!H32-recovered!G32</f>
        <v>0</v>
      </c>
      <c r="I32" s="5">
        <f>recovered!I32-recovered!H32</f>
        <v>0</v>
      </c>
      <c r="J32" s="5">
        <f>recovered!J32-recovered!I32</f>
        <v>0</v>
      </c>
      <c r="K32" s="5">
        <f>recovered!K32-recovered!J32</f>
        <v>0</v>
      </c>
      <c r="L32" s="5">
        <f>recovered!L32-recovered!K32</f>
        <v>0</v>
      </c>
      <c r="M32" s="5">
        <f>recovered!M32-recovered!L32</f>
        <v>0</v>
      </c>
      <c r="N32" s="5">
        <f>recovered!N32-recovered!M32</f>
        <v>0</v>
      </c>
      <c r="O32" s="5">
        <f>recovered!O32-recovered!N32</f>
        <v>0</v>
      </c>
      <c r="P32" s="5">
        <f>recovered!P32-recovered!O32</f>
        <v>0</v>
      </c>
      <c r="Q32" s="5">
        <f>recovered!Q32-recovered!P32</f>
        <v>0</v>
      </c>
      <c r="R32" s="5">
        <f>recovered!R32-recovered!Q32</f>
        <v>0</v>
      </c>
      <c r="S32" s="5">
        <f>recovered!S32-recovered!R32</f>
        <v>0</v>
      </c>
      <c r="T32" s="5">
        <f>recovered!T32-recovered!S32</f>
        <v>0</v>
      </c>
      <c r="U32" s="5">
        <f>recovered!U32-recovered!T32</f>
        <v>0</v>
      </c>
      <c r="V32" s="5">
        <f>recovered!V32-recovered!U32</f>
        <v>0</v>
      </c>
      <c r="W32" s="5">
        <f>recovered!W32-recovered!V32</f>
        <v>0</v>
      </c>
      <c r="X32" s="5">
        <f>recovered!X32-recovered!W32</f>
        <v>0</v>
      </c>
      <c r="Y32" s="5">
        <f>recovered!Y32-recovered!X32</f>
        <v>0</v>
      </c>
      <c r="Z32" s="5">
        <f>recovered!Z32-recovered!Y32</f>
        <v>0</v>
      </c>
      <c r="AA32" s="5">
        <f>recovered!AA32-recovered!Z32</f>
        <v>0</v>
      </c>
      <c r="AB32" s="5">
        <f>recovered!AB32-recovered!AA32</f>
        <v>0</v>
      </c>
      <c r="AC32" s="5">
        <f>recovered!AC32-recovered!AB32</f>
        <v>0</v>
      </c>
      <c r="AD32" s="5">
        <f>recovered!AD32-recovered!AC32</f>
        <v>0</v>
      </c>
      <c r="AE32" s="5">
        <f>recovered!AE32-recovered!AD32</f>
        <v>0</v>
      </c>
      <c r="AF32" s="5">
        <f>recovered!AF32-recovered!AE32</f>
        <v>0</v>
      </c>
      <c r="AG32" s="5">
        <f>recovered!AG32-recovered!AF32</f>
        <v>0</v>
      </c>
      <c r="AH32" s="5">
        <f>recovered!AH32-recovered!AG32</f>
        <v>0</v>
      </c>
      <c r="AI32" s="5">
        <f>recovered!AI32-recovered!AH32</f>
        <v>0</v>
      </c>
      <c r="AJ32" s="5">
        <f>recovered!AJ32-recovered!AI32</f>
        <v>0</v>
      </c>
      <c r="AK32" s="5">
        <f>recovered!AK32-recovered!AJ32</f>
        <v>0</v>
      </c>
      <c r="AL32" s="5">
        <f>recovered!AL32-recovered!AK32</f>
        <v>0</v>
      </c>
      <c r="AM32" s="5">
        <f>recovered!AM32-recovered!AL32</f>
        <v>0</v>
      </c>
      <c r="AN32" s="5">
        <f>recovered!AN32-recovered!AM32</f>
        <v>0</v>
      </c>
      <c r="AO32" s="5">
        <f>recovered!AO32-recovered!AN32</f>
        <v>0</v>
      </c>
      <c r="AP32" s="5">
        <f>recovered!AP32-recovered!AO32</f>
        <v>0</v>
      </c>
      <c r="AQ32" s="5">
        <f>recovered!AQ32-recovered!AP32</f>
        <v>0</v>
      </c>
      <c r="AR32" s="5">
        <f>recovered!AR32-recovered!AQ32</f>
        <v>0</v>
      </c>
      <c r="AS32" s="5">
        <f>recovered!AS32-recovered!AR32</f>
        <v>0</v>
      </c>
      <c r="AT32" s="5">
        <f>recovered!AT32-recovered!AS32</f>
        <v>0</v>
      </c>
      <c r="AU32" s="5">
        <f>recovered!AU32-recovered!AT32</f>
        <v>0</v>
      </c>
      <c r="AV32" s="5">
        <f>recovered!AV32-recovered!AU32</f>
        <v>0</v>
      </c>
      <c r="AW32" s="5">
        <f>recovered!AW32-recovered!AV32</f>
        <v>0</v>
      </c>
      <c r="AX32" s="5">
        <f>recovered!AX32-recovered!AW32</f>
        <v>0</v>
      </c>
      <c r="AY32" s="5">
        <f>recovered!AY32-recovered!AX32</f>
        <v>0</v>
      </c>
      <c r="AZ32" s="5">
        <f>recovered!AZ32-recovered!AY32</f>
        <v>0</v>
      </c>
      <c r="BA32" s="5">
        <f>recovered!BA32-recovered!AZ32</f>
        <v>0</v>
      </c>
      <c r="BB32" s="5">
        <f>recovered!BB32-recovered!BA32</f>
        <v>0</v>
      </c>
      <c r="BC32" s="5">
        <f>recovered!BC32-recovered!BB32</f>
        <v>0</v>
      </c>
      <c r="BD32" s="5">
        <f>recovered!BD32-recovered!BC32</f>
        <v>0</v>
      </c>
      <c r="BE32" s="5">
        <f>recovered!BE32-recovered!BD32</f>
        <v>0</v>
      </c>
      <c r="BF32" s="5">
        <f>recovered!BF32-recovered!BE32</f>
        <v>0</v>
      </c>
      <c r="BG32" s="5">
        <f>recovered!BG32-recovered!BF32</f>
        <v>0</v>
      </c>
      <c r="BH32" s="5">
        <f>recovered!BH32-recovered!BG32</f>
        <v>0</v>
      </c>
      <c r="BI32" s="5">
        <f>recovered!BI32-recovered!BH32</f>
        <v>0</v>
      </c>
      <c r="BJ32" s="5">
        <f>recovered!BJ32-recovered!BI32</f>
        <v>0</v>
      </c>
      <c r="BK32" s="5">
        <f>recovered!BK32-recovered!BJ32</f>
        <v>1</v>
      </c>
      <c r="BL32" s="5">
        <f>recovered!BL32-recovered!BK32</f>
        <v>1</v>
      </c>
      <c r="BM32" s="5">
        <f>recovered!BM32-recovered!BL32</f>
        <v>0</v>
      </c>
      <c r="BN32" s="5">
        <f>recovered!BN32-recovered!BM32</f>
        <v>0</v>
      </c>
      <c r="BO32" s="5">
        <f>recovered!BO32-recovered!BN32</f>
        <v>0</v>
      </c>
      <c r="BP32" s="5">
        <f>recovered!BP32-recovered!BO32</f>
        <v>0</v>
      </c>
      <c r="BQ32" s="5">
        <f>recovered!BQ32-recovered!BP32</f>
        <v>3</v>
      </c>
      <c r="BR32" s="5">
        <f>recovered!BR32-recovered!BQ32</f>
        <v>6</v>
      </c>
      <c r="BS32" s="5">
        <f>recovered!BS32-recovered!BR32</f>
        <v>14</v>
      </c>
      <c r="BT32" s="5">
        <f>recovered!BT32-recovered!BS32</f>
        <v>9</v>
      </c>
      <c r="BU32" s="5">
        <f>recovered!BU32-recovered!BT32</f>
        <v>4</v>
      </c>
      <c r="BV32" s="5">
        <f>recovered!BV32-recovered!BU32</f>
        <v>7</v>
      </c>
      <c r="BW32" s="5">
        <f>recovered!BW32-recovered!BV32</f>
        <v>7</v>
      </c>
      <c r="BX32" s="5">
        <f>recovered!BX32-recovered!BW32</f>
        <v>4</v>
      </c>
      <c r="BY32" s="5">
        <f>recovered!BY32-recovered!BX32</f>
        <v>9</v>
      </c>
    </row>
    <row r="33">
      <c r="B33" s="1" t="str">
        <f>recovered!B33</f>
        <v>Bulgaria</v>
      </c>
      <c r="C33" s="4">
        <f>recovered!C33</f>
        <v>42.7339</v>
      </c>
      <c r="D33" s="4">
        <f>recovered!D33</f>
        <v>25.4858</v>
      </c>
      <c r="E33" s="5">
        <f>recovered!E33</f>
        <v>0</v>
      </c>
      <c r="F33" s="5">
        <f>recovered!F33-recovered!E33</f>
        <v>0</v>
      </c>
      <c r="G33" s="5">
        <f>recovered!G33-recovered!F33</f>
        <v>0</v>
      </c>
      <c r="H33" s="5">
        <f>recovered!H33-recovered!G33</f>
        <v>0</v>
      </c>
      <c r="I33" s="5">
        <f>recovered!I33-recovered!H33</f>
        <v>0</v>
      </c>
      <c r="J33" s="5">
        <f>recovered!J33-recovered!I33</f>
        <v>0</v>
      </c>
      <c r="K33" s="5">
        <f>recovered!K33-recovered!J33</f>
        <v>0</v>
      </c>
      <c r="L33" s="5">
        <f>recovered!L33-recovered!K33</f>
        <v>0</v>
      </c>
      <c r="M33" s="5">
        <f>recovered!M33-recovered!L33</f>
        <v>0</v>
      </c>
      <c r="N33" s="5">
        <f>recovered!N33-recovered!M33</f>
        <v>0</v>
      </c>
      <c r="O33" s="5">
        <f>recovered!O33-recovered!N33</f>
        <v>0</v>
      </c>
      <c r="P33" s="5">
        <f>recovered!P33-recovered!O33</f>
        <v>0</v>
      </c>
      <c r="Q33" s="5">
        <f>recovered!Q33-recovered!P33</f>
        <v>0</v>
      </c>
      <c r="R33" s="5">
        <f>recovered!R33-recovered!Q33</f>
        <v>0</v>
      </c>
      <c r="S33" s="5">
        <f>recovered!S33-recovered!R33</f>
        <v>0</v>
      </c>
      <c r="T33" s="5">
        <f>recovered!T33-recovered!S33</f>
        <v>0</v>
      </c>
      <c r="U33" s="5">
        <f>recovered!U33-recovered!T33</f>
        <v>0</v>
      </c>
      <c r="V33" s="5">
        <f>recovered!V33-recovered!U33</f>
        <v>0</v>
      </c>
      <c r="W33" s="5">
        <f>recovered!W33-recovered!V33</f>
        <v>0</v>
      </c>
      <c r="X33" s="5">
        <f>recovered!X33-recovered!W33</f>
        <v>0</v>
      </c>
      <c r="Y33" s="5">
        <f>recovered!Y33-recovered!X33</f>
        <v>0</v>
      </c>
      <c r="Z33" s="5">
        <f>recovered!Z33-recovered!Y33</f>
        <v>0</v>
      </c>
      <c r="AA33" s="5">
        <f>recovered!AA33-recovered!Z33</f>
        <v>0</v>
      </c>
      <c r="AB33" s="5">
        <f>recovered!AB33-recovered!AA33</f>
        <v>0</v>
      </c>
      <c r="AC33" s="5">
        <f>recovered!AC33-recovered!AB33</f>
        <v>0</v>
      </c>
      <c r="AD33" s="5">
        <f>recovered!AD33-recovered!AC33</f>
        <v>0</v>
      </c>
      <c r="AE33" s="5">
        <f>recovered!AE33-recovered!AD33</f>
        <v>0</v>
      </c>
      <c r="AF33" s="5">
        <f>recovered!AF33-recovered!AE33</f>
        <v>0</v>
      </c>
      <c r="AG33" s="5">
        <f>recovered!AG33-recovered!AF33</f>
        <v>0</v>
      </c>
      <c r="AH33" s="5">
        <f>recovered!AH33-recovered!AG33</f>
        <v>0</v>
      </c>
      <c r="AI33" s="5">
        <f>recovered!AI33-recovered!AH33</f>
        <v>0</v>
      </c>
      <c r="AJ33" s="5">
        <f>recovered!AJ33-recovered!AI33</f>
        <v>0</v>
      </c>
      <c r="AK33" s="5">
        <f>recovered!AK33-recovered!AJ33</f>
        <v>0</v>
      </c>
      <c r="AL33" s="5">
        <f>recovered!AL33-recovered!AK33</f>
        <v>0</v>
      </c>
      <c r="AM33" s="5">
        <f>recovered!AM33-recovered!AL33</f>
        <v>0</v>
      </c>
      <c r="AN33" s="5">
        <f>recovered!AN33-recovered!AM33</f>
        <v>0</v>
      </c>
      <c r="AO33" s="5">
        <f>recovered!AO33-recovered!AN33</f>
        <v>0</v>
      </c>
      <c r="AP33" s="5">
        <f>recovered!AP33-recovered!AO33</f>
        <v>0</v>
      </c>
      <c r="AQ33" s="5">
        <f>recovered!AQ33-recovered!AP33</f>
        <v>0</v>
      </c>
      <c r="AR33" s="5">
        <f>recovered!AR33-recovered!AQ33</f>
        <v>0</v>
      </c>
      <c r="AS33" s="5">
        <f>recovered!AS33-recovered!AR33</f>
        <v>0</v>
      </c>
      <c r="AT33" s="5">
        <f>recovered!AT33-recovered!AS33</f>
        <v>0</v>
      </c>
      <c r="AU33" s="5">
        <f>recovered!AU33-recovered!AT33</f>
        <v>0</v>
      </c>
      <c r="AV33" s="5">
        <f>recovered!AV33-recovered!AU33</f>
        <v>0</v>
      </c>
      <c r="AW33" s="5">
        <f>recovered!AW33-recovered!AV33</f>
        <v>0</v>
      </c>
      <c r="AX33" s="5">
        <f>recovered!AX33-recovered!AW33</f>
        <v>0</v>
      </c>
      <c r="AY33" s="5">
        <f>recovered!AY33-recovered!AX33</f>
        <v>0</v>
      </c>
      <c r="AZ33" s="5">
        <f>recovered!AZ33-recovered!AY33</f>
        <v>0</v>
      </c>
      <c r="BA33" s="5">
        <f>recovered!BA33-recovered!AZ33</f>
        <v>0</v>
      </c>
      <c r="BB33" s="5">
        <f>recovered!BB33-recovered!BA33</f>
        <v>0</v>
      </c>
      <c r="BC33" s="5">
        <f>recovered!BC33-recovered!BB33</f>
        <v>0</v>
      </c>
      <c r="BD33" s="5">
        <f>recovered!BD33-recovered!BC33</f>
        <v>0</v>
      </c>
      <c r="BE33" s="5">
        <f>recovered!BE33-recovered!BD33</f>
        <v>0</v>
      </c>
      <c r="BF33" s="5">
        <f>recovered!BF33-recovered!BE33</f>
        <v>0</v>
      </c>
      <c r="BG33" s="5">
        <f>recovered!BG33-recovered!BF33</f>
        <v>0</v>
      </c>
      <c r="BH33" s="5">
        <f>recovered!BH33-recovered!BG33</f>
        <v>0</v>
      </c>
      <c r="BI33" s="5">
        <f>recovered!BI33-recovered!BH33</f>
        <v>0</v>
      </c>
      <c r="BJ33" s="5">
        <f>recovered!BJ33-recovered!BI33</f>
        <v>0</v>
      </c>
      <c r="BK33" s="5">
        <f>recovered!BK33-recovered!BJ33</f>
        <v>0</v>
      </c>
      <c r="BL33" s="5">
        <f>recovered!BL33-recovered!BK33</f>
        <v>3</v>
      </c>
      <c r="BM33" s="5">
        <f>recovered!BM33-recovered!BL33</f>
        <v>0</v>
      </c>
      <c r="BN33" s="5">
        <f>recovered!BN33-recovered!BM33</f>
        <v>0</v>
      </c>
      <c r="BO33" s="5">
        <f>recovered!BO33-recovered!BN33</f>
        <v>0</v>
      </c>
      <c r="BP33" s="5">
        <f>recovered!BP33-recovered!BO33</f>
        <v>1</v>
      </c>
      <c r="BQ33" s="5">
        <f>recovered!BQ33-recovered!BP33</f>
        <v>4</v>
      </c>
      <c r="BR33" s="5">
        <f>recovered!BR33-recovered!BQ33</f>
        <v>1</v>
      </c>
      <c r="BS33" s="5">
        <f>recovered!BS33-recovered!BR33</f>
        <v>2</v>
      </c>
      <c r="BT33" s="5">
        <f>recovered!BT33-recovered!BS33</f>
        <v>3</v>
      </c>
      <c r="BU33" s="5">
        <f>recovered!BU33-recovered!BT33</f>
        <v>3</v>
      </c>
      <c r="BV33" s="5">
        <f>recovered!BV33-recovered!BU33</f>
        <v>0</v>
      </c>
      <c r="BW33" s="5">
        <f>recovered!BW33-recovered!BV33</f>
        <v>3</v>
      </c>
      <c r="BX33" s="5">
        <f>recovered!BX33-recovered!BW33</f>
        <v>5</v>
      </c>
      <c r="BY33" s="5">
        <f>recovered!BY33-recovered!BX33</f>
        <v>5</v>
      </c>
    </row>
    <row r="34">
      <c r="B34" s="1" t="str">
        <f>recovered!B34</f>
        <v>Burkina Faso</v>
      </c>
      <c r="C34" s="4">
        <f>recovered!C34</f>
        <v>12.2383</v>
      </c>
      <c r="D34" s="4">
        <f>recovered!D34</f>
        <v>-1.5616</v>
      </c>
      <c r="E34" s="5">
        <f>recovered!E34</f>
        <v>0</v>
      </c>
      <c r="F34" s="5">
        <f>recovered!F34-recovered!E34</f>
        <v>0</v>
      </c>
      <c r="G34" s="5">
        <f>recovered!G34-recovered!F34</f>
        <v>0</v>
      </c>
      <c r="H34" s="5">
        <f>recovered!H34-recovered!G34</f>
        <v>0</v>
      </c>
      <c r="I34" s="5">
        <f>recovered!I34-recovered!H34</f>
        <v>0</v>
      </c>
      <c r="J34" s="5">
        <f>recovered!J34-recovered!I34</f>
        <v>0</v>
      </c>
      <c r="K34" s="5">
        <f>recovered!K34-recovered!J34</f>
        <v>0</v>
      </c>
      <c r="L34" s="5">
        <f>recovered!L34-recovered!K34</f>
        <v>0</v>
      </c>
      <c r="M34" s="5">
        <f>recovered!M34-recovered!L34</f>
        <v>0</v>
      </c>
      <c r="N34" s="5">
        <f>recovered!N34-recovered!M34</f>
        <v>0</v>
      </c>
      <c r="O34" s="5">
        <f>recovered!O34-recovered!N34</f>
        <v>0</v>
      </c>
      <c r="P34" s="5">
        <f>recovered!P34-recovered!O34</f>
        <v>0</v>
      </c>
      <c r="Q34" s="5">
        <f>recovered!Q34-recovered!P34</f>
        <v>0</v>
      </c>
      <c r="R34" s="5">
        <f>recovered!R34-recovered!Q34</f>
        <v>0</v>
      </c>
      <c r="S34" s="5">
        <f>recovered!S34-recovered!R34</f>
        <v>0</v>
      </c>
      <c r="T34" s="5">
        <f>recovered!T34-recovered!S34</f>
        <v>0</v>
      </c>
      <c r="U34" s="5">
        <f>recovered!U34-recovered!T34</f>
        <v>0</v>
      </c>
      <c r="V34" s="5">
        <f>recovered!V34-recovered!U34</f>
        <v>0</v>
      </c>
      <c r="W34" s="5">
        <f>recovered!W34-recovered!V34</f>
        <v>0</v>
      </c>
      <c r="X34" s="5">
        <f>recovered!X34-recovered!W34</f>
        <v>0</v>
      </c>
      <c r="Y34" s="5">
        <f>recovered!Y34-recovered!X34</f>
        <v>0</v>
      </c>
      <c r="Z34" s="5">
        <f>recovered!Z34-recovered!Y34</f>
        <v>0</v>
      </c>
      <c r="AA34" s="5">
        <f>recovered!AA34-recovered!Z34</f>
        <v>0</v>
      </c>
      <c r="AB34" s="5">
        <f>recovered!AB34-recovered!AA34</f>
        <v>0</v>
      </c>
      <c r="AC34" s="5">
        <f>recovered!AC34-recovered!AB34</f>
        <v>0</v>
      </c>
      <c r="AD34" s="5">
        <f>recovered!AD34-recovered!AC34</f>
        <v>0</v>
      </c>
      <c r="AE34" s="5">
        <f>recovered!AE34-recovered!AD34</f>
        <v>0</v>
      </c>
      <c r="AF34" s="5">
        <f>recovered!AF34-recovered!AE34</f>
        <v>0</v>
      </c>
      <c r="AG34" s="5">
        <f>recovered!AG34-recovered!AF34</f>
        <v>0</v>
      </c>
      <c r="AH34" s="5">
        <f>recovered!AH34-recovered!AG34</f>
        <v>0</v>
      </c>
      <c r="AI34" s="5">
        <f>recovered!AI34-recovered!AH34</f>
        <v>0</v>
      </c>
      <c r="AJ34" s="5">
        <f>recovered!AJ34-recovered!AI34</f>
        <v>0</v>
      </c>
      <c r="AK34" s="5">
        <f>recovered!AK34-recovered!AJ34</f>
        <v>0</v>
      </c>
      <c r="AL34" s="5">
        <f>recovered!AL34-recovered!AK34</f>
        <v>0</v>
      </c>
      <c r="AM34" s="5">
        <f>recovered!AM34-recovered!AL34</f>
        <v>0</v>
      </c>
      <c r="AN34" s="5">
        <f>recovered!AN34-recovered!AM34</f>
        <v>0</v>
      </c>
      <c r="AO34" s="5">
        <f>recovered!AO34-recovered!AN34</f>
        <v>0</v>
      </c>
      <c r="AP34" s="5">
        <f>recovered!AP34-recovered!AO34</f>
        <v>0</v>
      </c>
      <c r="AQ34" s="5">
        <f>recovered!AQ34-recovered!AP34</f>
        <v>0</v>
      </c>
      <c r="AR34" s="5">
        <f>recovered!AR34-recovered!AQ34</f>
        <v>0</v>
      </c>
      <c r="AS34" s="5">
        <f>recovered!AS34-recovered!AR34</f>
        <v>0</v>
      </c>
      <c r="AT34" s="5">
        <f>recovered!AT34-recovered!AS34</f>
        <v>0</v>
      </c>
      <c r="AU34" s="5">
        <f>recovered!AU34-recovered!AT34</f>
        <v>0</v>
      </c>
      <c r="AV34" s="5">
        <f>recovered!AV34-recovered!AU34</f>
        <v>0</v>
      </c>
      <c r="AW34" s="5">
        <f>recovered!AW34-recovered!AV34</f>
        <v>0</v>
      </c>
      <c r="AX34" s="5">
        <f>recovered!AX34-recovered!AW34</f>
        <v>0</v>
      </c>
      <c r="AY34" s="5">
        <f>recovered!AY34-recovered!AX34</f>
        <v>0</v>
      </c>
      <c r="AZ34" s="5">
        <f>recovered!AZ34-recovered!AY34</f>
        <v>0</v>
      </c>
      <c r="BA34" s="5">
        <f>recovered!BA34-recovered!AZ34</f>
        <v>0</v>
      </c>
      <c r="BB34" s="5">
        <f>recovered!BB34-recovered!BA34</f>
        <v>0</v>
      </c>
      <c r="BC34" s="5">
        <f>recovered!BC34-recovered!BB34</f>
        <v>0</v>
      </c>
      <c r="BD34" s="5">
        <f>recovered!BD34-recovered!BC34</f>
        <v>0</v>
      </c>
      <c r="BE34" s="5">
        <f>recovered!BE34-recovered!BD34</f>
        <v>0</v>
      </c>
      <c r="BF34" s="5">
        <f>recovered!BF34-recovered!BE34</f>
        <v>0</v>
      </c>
      <c r="BG34" s="5">
        <f>recovered!BG34-recovered!BF34</f>
        <v>0</v>
      </c>
      <c r="BH34" s="5">
        <f>recovered!BH34-recovered!BG34</f>
        <v>0</v>
      </c>
      <c r="BI34" s="5">
        <f>recovered!BI34-recovered!BH34</f>
        <v>0</v>
      </c>
      <c r="BJ34" s="5">
        <f>recovered!BJ34-recovered!BI34</f>
        <v>0</v>
      </c>
      <c r="BK34" s="5">
        <f>recovered!BK34-recovered!BJ34</f>
        <v>0</v>
      </c>
      <c r="BL34" s="5">
        <f>recovered!BL34-recovered!BK34</f>
        <v>5</v>
      </c>
      <c r="BM34" s="5">
        <f>recovered!BM34-recovered!BL34</f>
        <v>0</v>
      </c>
      <c r="BN34" s="5">
        <f>recovered!BN34-recovered!BM34</f>
        <v>0</v>
      </c>
      <c r="BO34" s="5">
        <f>recovered!BO34-recovered!BN34</f>
        <v>2</v>
      </c>
      <c r="BP34" s="5">
        <f>recovered!BP34-recovered!BO34</f>
        <v>3</v>
      </c>
      <c r="BQ34" s="5">
        <f>recovered!BQ34-recovered!BP34</f>
        <v>0</v>
      </c>
      <c r="BR34" s="5">
        <f>recovered!BR34-recovered!BQ34</f>
        <v>2</v>
      </c>
      <c r="BS34" s="5">
        <f>recovered!BS34-recovered!BR34</f>
        <v>9</v>
      </c>
      <c r="BT34" s="5">
        <f>recovered!BT34-recovered!BS34</f>
        <v>2</v>
      </c>
      <c r="BU34" s="5">
        <f>recovered!BU34-recovered!BT34</f>
        <v>8</v>
      </c>
      <c r="BV34" s="5">
        <f>recovered!BV34-recovered!BU34</f>
        <v>1</v>
      </c>
      <c r="BW34" s="5">
        <f>recovered!BW34-recovered!BV34</f>
        <v>14</v>
      </c>
      <c r="BX34" s="5">
        <f>recovered!BX34-recovered!BW34</f>
        <v>4</v>
      </c>
      <c r="BY34" s="5">
        <f>recovered!BY34-recovered!BX34</f>
        <v>0</v>
      </c>
    </row>
    <row r="35">
      <c r="B35" s="1" t="str">
        <f>recovered!B35</f>
        <v>Cabo Verde</v>
      </c>
      <c r="C35" s="4">
        <f>recovered!C35</f>
        <v>16.5388</v>
      </c>
      <c r="D35" s="4">
        <f>recovered!D35</f>
        <v>-23.0418</v>
      </c>
      <c r="E35" s="5">
        <f>recovered!E35</f>
        <v>0</v>
      </c>
      <c r="F35" s="5">
        <f>recovered!F35-recovered!E35</f>
        <v>0</v>
      </c>
      <c r="G35" s="5">
        <f>recovered!G35-recovered!F35</f>
        <v>0</v>
      </c>
      <c r="H35" s="5">
        <f>recovered!H35-recovered!G35</f>
        <v>0</v>
      </c>
      <c r="I35" s="5">
        <f>recovered!I35-recovered!H35</f>
        <v>0</v>
      </c>
      <c r="J35" s="5">
        <f>recovered!J35-recovered!I35</f>
        <v>0</v>
      </c>
      <c r="K35" s="5">
        <f>recovered!K35-recovered!J35</f>
        <v>0</v>
      </c>
      <c r="L35" s="5">
        <f>recovered!L35-recovered!K35</f>
        <v>0</v>
      </c>
      <c r="M35" s="5">
        <f>recovered!M35-recovered!L35</f>
        <v>0</v>
      </c>
      <c r="N35" s="5">
        <f>recovered!N35-recovered!M35</f>
        <v>0</v>
      </c>
      <c r="O35" s="5">
        <f>recovered!O35-recovered!N35</f>
        <v>0</v>
      </c>
      <c r="P35" s="5">
        <f>recovered!P35-recovered!O35</f>
        <v>0</v>
      </c>
      <c r="Q35" s="5">
        <f>recovered!Q35-recovered!P35</f>
        <v>0</v>
      </c>
      <c r="R35" s="5">
        <f>recovered!R35-recovered!Q35</f>
        <v>0</v>
      </c>
      <c r="S35" s="5">
        <f>recovered!S35-recovered!R35</f>
        <v>0</v>
      </c>
      <c r="T35" s="5">
        <f>recovered!T35-recovered!S35</f>
        <v>0</v>
      </c>
      <c r="U35" s="5">
        <f>recovered!U35-recovered!T35</f>
        <v>0</v>
      </c>
      <c r="V35" s="5">
        <f>recovered!V35-recovered!U35</f>
        <v>0</v>
      </c>
      <c r="W35" s="5">
        <f>recovered!W35-recovered!V35</f>
        <v>0</v>
      </c>
      <c r="X35" s="5">
        <f>recovered!X35-recovered!W35</f>
        <v>0</v>
      </c>
      <c r="Y35" s="5">
        <f>recovered!Y35-recovered!X35</f>
        <v>0</v>
      </c>
      <c r="Z35" s="5">
        <f>recovered!Z35-recovered!Y35</f>
        <v>0</v>
      </c>
      <c r="AA35" s="5">
        <f>recovered!AA35-recovered!Z35</f>
        <v>0</v>
      </c>
      <c r="AB35" s="5">
        <f>recovered!AB35-recovered!AA35</f>
        <v>0</v>
      </c>
      <c r="AC35" s="5">
        <f>recovered!AC35-recovered!AB35</f>
        <v>0</v>
      </c>
      <c r="AD35" s="5">
        <f>recovered!AD35-recovered!AC35</f>
        <v>0</v>
      </c>
      <c r="AE35" s="5">
        <f>recovered!AE35-recovered!AD35</f>
        <v>0</v>
      </c>
      <c r="AF35" s="5">
        <f>recovered!AF35-recovered!AE35</f>
        <v>0</v>
      </c>
      <c r="AG35" s="5">
        <f>recovered!AG35-recovered!AF35</f>
        <v>0</v>
      </c>
      <c r="AH35" s="5">
        <f>recovered!AH35-recovered!AG35</f>
        <v>0</v>
      </c>
      <c r="AI35" s="5">
        <f>recovered!AI35-recovered!AH35</f>
        <v>0</v>
      </c>
      <c r="AJ35" s="5">
        <f>recovered!AJ35-recovered!AI35</f>
        <v>0</v>
      </c>
      <c r="AK35" s="5">
        <f>recovered!AK35-recovered!AJ35</f>
        <v>0</v>
      </c>
      <c r="AL35" s="5">
        <f>recovered!AL35-recovered!AK35</f>
        <v>0</v>
      </c>
      <c r="AM35" s="5">
        <f>recovered!AM35-recovered!AL35</f>
        <v>0</v>
      </c>
      <c r="AN35" s="5">
        <f>recovered!AN35-recovered!AM35</f>
        <v>0</v>
      </c>
      <c r="AO35" s="5">
        <f>recovered!AO35-recovered!AN35</f>
        <v>0</v>
      </c>
      <c r="AP35" s="5">
        <f>recovered!AP35-recovered!AO35</f>
        <v>0</v>
      </c>
      <c r="AQ35" s="5">
        <f>recovered!AQ35-recovered!AP35</f>
        <v>0</v>
      </c>
      <c r="AR35" s="5">
        <f>recovered!AR35-recovered!AQ35</f>
        <v>0</v>
      </c>
      <c r="AS35" s="5">
        <f>recovered!AS35-recovered!AR35</f>
        <v>0</v>
      </c>
      <c r="AT35" s="5">
        <f>recovered!AT35-recovered!AS35</f>
        <v>0</v>
      </c>
      <c r="AU35" s="5">
        <f>recovered!AU35-recovered!AT35</f>
        <v>0</v>
      </c>
      <c r="AV35" s="5">
        <f>recovered!AV35-recovered!AU35</f>
        <v>0</v>
      </c>
      <c r="AW35" s="5">
        <f>recovered!AW35-recovered!AV35</f>
        <v>0</v>
      </c>
      <c r="AX35" s="5">
        <f>recovered!AX35-recovered!AW35</f>
        <v>0</v>
      </c>
      <c r="AY35" s="5">
        <f>recovered!AY35-recovered!AX35</f>
        <v>0</v>
      </c>
      <c r="AZ35" s="5">
        <f>recovered!AZ35-recovered!AY35</f>
        <v>0</v>
      </c>
      <c r="BA35" s="5">
        <f>recovered!BA35-recovered!AZ35</f>
        <v>0</v>
      </c>
      <c r="BB35" s="5">
        <f>recovered!BB35-recovered!BA35</f>
        <v>0</v>
      </c>
      <c r="BC35" s="5">
        <f>recovered!BC35-recovered!BB35</f>
        <v>0</v>
      </c>
      <c r="BD35" s="5">
        <f>recovered!BD35-recovered!BC35</f>
        <v>0</v>
      </c>
      <c r="BE35" s="5">
        <f>recovered!BE35-recovered!BD35</f>
        <v>0</v>
      </c>
      <c r="BF35" s="5">
        <f>recovered!BF35-recovered!BE35</f>
        <v>0</v>
      </c>
      <c r="BG35" s="5">
        <f>recovered!BG35-recovered!BF35</f>
        <v>0</v>
      </c>
      <c r="BH35" s="5">
        <f>recovered!BH35-recovered!BG35</f>
        <v>0</v>
      </c>
      <c r="BI35" s="5">
        <f>recovered!BI35-recovered!BH35</f>
        <v>0</v>
      </c>
      <c r="BJ35" s="5">
        <f>recovered!BJ35-recovered!BI35</f>
        <v>0</v>
      </c>
      <c r="BK35" s="5">
        <f>recovered!BK35-recovered!BJ35</f>
        <v>0</v>
      </c>
      <c r="BL35" s="5">
        <f>recovered!BL35-recovered!BK35</f>
        <v>0</v>
      </c>
      <c r="BM35" s="5">
        <f>recovered!BM35-recovered!BL35</f>
        <v>0</v>
      </c>
      <c r="BN35" s="5">
        <f>recovered!BN35-recovered!BM35</f>
        <v>0</v>
      </c>
      <c r="BO35" s="5">
        <f>recovered!BO35-recovered!BN35</f>
        <v>0</v>
      </c>
      <c r="BP35" s="5">
        <f>recovered!BP35-recovered!BO35</f>
        <v>0</v>
      </c>
      <c r="BQ35" s="5">
        <f>recovered!BQ35-recovered!BP35</f>
        <v>0</v>
      </c>
      <c r="BR35" s="5">
        <f>recovered!BR35-recovered!BQ35</f>
        <v>0</v>
      </c>
      <c r="BS35" s="5">
        <f>recovered!BS35-recovered!BR35</f>
        <v>0</v>
      </c>
      <c r="BT35" s="5">
        <f>recovered!BT35-recovered!BS35</f>
        <v>0</v>
      </c>
      <c r="BU35" s="5">
        <f>recovered!BU35-recovered!BT35</f>
        <v>0</v>
      </c>
      <c r="BV35" s="5">
        <f>recovered!BV35-recovered!BU35</f>
        <v>0</v>
      </c>
      <c r="BW35" s="5">
        <f>recovered!BW35-recovered!BV35</f>
        <v>0</v>
      </c>
      <c r="BX35" s="5">
        <f>recovered!BX35-recovered!BW35</f>
        <v>0</v>
      </c>
      <c r="BY35" s="5">
        <f>recovered!BY35-recovered!BX35</f>
        <v>0</v>
      </c>
    </row>
    <row r="36">
      <c r="B36" s="1" t="str">
        <f>recovered!B36</f>
        <v>Cambodia</v>
      </c>
      <c r="C36" s="4">
        <f>recovered!C36</f>
        <v>11.55</v>
      </c>
      <c r="D36" s="4">
        <f>recovered!D36</f>
        <v>104.9167</v>
      </c>
      <c r="E36" s="5">
        <f>recovered!E36</f>
        <v>0</v>
      </c>
      <c r="F36" s="5">
        <f>recovered!F36-recovered!E36</f>
        <v>0</v>
      </c>
      <c r="G36" s="5">
        <f>recovered!G36-recovered!F36</f>
        <v>0</v>
      </c>
      <c r="H36" s="5">
        <f>recovered!H36-recovered!G36</f>
        <v>0</v>
      </c>
      <c r="I36" s="5">
        <f>recovered!I36-recovered!H36</f>
        <v>0</v>
      </c>
      <c r="J36" s="5">
        <f>recovered!J36-recovered!I36</f>
        <v>0</v>
      </c>
      <c r="K36" s="5">
        <f>recovered!K36-recovered!J36</f>
        <v>0</v>
      </c>
      <c r="L36" s="5">
        <f>recovered!L36-recovered!K36</f>
        <v>0</v>
      </c>
      <c r="M36" s="5">
        <f>recovered!M36-recovered!L36</f>
        <v>0</v>
      </c>
      <c r="N36" s="5">
        <f>recovered!N36-recovered!M36</f>
        <v>0</v>
      </c>
      <c r="O36" s="5">
        <f>recovered!O36-recovered!N36</f>
        <v>0</v>
      </c>
      <c r="P36" s="5">
        <f>recovered!P36-recovered!O36</f>
        <v>0</v>
      </c>
      <c r="Q36" s="5">
        <f>recovered!Q36-recovered!P36</f>
        <v>0</v>
      </c>
      <c r="R36" s="5">
        <f>recovered!R36-recovered!Q36</f>
        <v>0</v>
      </c>
      <c r="S36" s="5">
        <f>recovered!S36-recovered!R36</f>
        <v>0</v>
      </c>
      <c r="T36" s="5">
        <f>recovered!T36-recovered!S36</f>
        <v>0</v>
      </c>
      <c r="U36" s="5">
        <f>recovered!U36-recovered!T36</f>
        <v>0</v>
      </c>
      <c r="V36" s="5">
        <f>recovered!V36-recovered!U36</f>
        <v>0</v>
      </c>
      <c r="W36" s="5">
        <f>recovered!W36-recovered!V36</f>
        <v>0</v>
      </c>
      <c r="X36" s="5">
        <f>recovered!X36-recovered!W36</f>
        <v>0</v>
      </c>
      <c r="Y36" s="5">
        <f>recovered!Y36-recovered!X36</f>
        <v>0</v>
      </c>
      <c r="Z36" s="5">
        <f>recovered!Z36-recovered!Y36</f>
        <v>1</v>
      </c>
      <c r="AA36" s="5">
        <f>recovered!AA36-recovered!Z36</f>
        <v>0</v>
      </c>
      <c r="AB36" s="5">
        <f>recovered!AB36-recovered!AA36</f>
        <v>0</v>
      </c>
      <c r="AC36" s="5">
        <f>recovered!AC36-recovered!AB36</f>
        <v>0</v>
      </c>
      <c r="AD36" s="5">
        <f>recovered!AD36-recovered!AC36</f>
        <v>0</v>
      </c>
      <c r="AE36" s="5">
        <f>recovered!AE36-recovered!AD36</f>
        <v>0</v>
      </c>
      <c r="AF36" s="5">
        <f>recovered!AF36-recovered!AE36</f>
        <v>0</v>
      </c>
      <c r="AG36" s="5">
        <f>recovered!AG36-recovered!AF36</f>
        <v>0</v>
      </c>
      <c r="AH36" s="5">
        <f>recovered!AH36-recovered!AG36</f>
        <v>0</v>
      </c>
      <c r="AI36" s="5">
        <f>recovered!AI36-recovered!AH36</f>
        <v>0</v>
      </c>
      <c r="AJ36" s="5">
        <f>recovered!AJ36-recovered!AI36</f>
        <v>0</v>
      </c>
      <c r="AK36" s="5">
        <f>recovered!AK36-recovered!AJ36</f>
        <v>0</v>
      </c>
      <c r="AL36" s="5">
        <f>recovered!AL36-recovered!AK36</f>
        <v>0</v>
      </c>
      <c r="AM36" s="5">
        <f>recovered!AM36-recovered!AL36</f>
        <v>0</v>
      </c>
      <c r="AN36" s="5">
        <f>recovered!AN36-recovered!AM36</f>
        <v>0</v>
      </c>
      <c r="AO36" s="5">
        <f>recovered!AO36-recovered!AN36</f>
        <v>0</v>
      </c>
      <c r="AP36" s="5">
        <f>recovered!AP36-recovered!AO36</f>
        <v>0</v>
      </c>
      <c r="AQ36" s="5">
        <f>recovered!AQ36-recovered!AP36</f>
        <v>0</v>
      </c>
      <c r="AR36" s="5">
        <f>recovered!AR36-recovered!AQ36</f>
        <v>0</v>
      </c>
      <c r="AS36" s="5">
        <f>recovered!AS36-recovered!AR36</f>
        <v>0</v>
      </c>
      <c r="AT36" s="5">
        <f>recovered!AT36-recovered!AS36</f>
        <v>0</v>
      </c>
      <c r="AU36" s="5">
        <f>recovered!AU36-recovered!AT36</f>
        <v>0</v>
      </c>
      <c r="AV36" s="5">
        <f>recovered!AV36-recovered!AU36</f>
        <v>0</v>
      </c>
      <c r="AW36" s="5">
        <f>recovered!AW36-recovered!AV36</f>
        <v>0</v>
      </c>
      <c r="AX36" s="5">
        <f>recovered!AX36-recovered!AW36</f>
        <v>0</v>
      </c>
      <c r="AY36" s="5">
        <f>recovered!AY36-recovered!AX36</f>
        <v>0</v>
      </c>
      <c r="AZ36" s="5">
        <f>recovered!AZ36-recovered!AY36</f>
        <v>0</v>
      </c>
      <c r="BA36" s="5">
        <f>recovered!BA36-recovered!AZ36</f>
        <v>0</v>
      </c>
      <c r="BB36" s="5">
        <f>recovered!BB36-recovered!BA36</f>
        <v>0</v>
      </c>
      <c r="BC36" s="5">
        <f>recovered!BC36-recovered!BB36</f>
        <v>0</v>
      </c>
      <c r="BD36" s="5">
        <f>recovered!BD36-recovered!BC36</f>
        <v>0</v>
      </c>
      <c r="BE36" s="5">
        <f>recovered!BE36-recovered!BD36</f>
        <v>0</v>
      </c>
      <c r="BF36" s="5">
        <f>recovered!BF36-recovered!BE36</f>
        <v>0</v>
      </c>
      <c r="BG36" s="5">
        <f>recovered!BG36-recovered!BF36</f>
        <v>0</v>
      </c>
      <c r="BH36" s="5">
        <f>recovered!BH36-recovered!BG36</f>
        <v>0</v>
      </c>
      <c r="BI36" s="5">
        <f>recovered!BI36-recovered!BH36</f>
        <v>0</v>
      </c>
      <c r="BJ36" s="5">
        <f>recovered!BJ36-recovered!BI36</f>
        <v>0</v>
      </c>
      <c r="BK36" s="5">
        <f>recovered!BK36-recovered!BJ36</f>
        <v>0</v>
      </c>
      <c r="BL36" s="5">
        <f>recovered!BL36-recovered!BK36</f>
        <v>0</v>
      </c>
      <c r="BM36" s="5">
        <f>recovered!BM36-recovered!BL36</f>
        <v>0</v>
      </c>
      <c r="BN36" s="5">
        <f>recovered!BN36-recovered!BM36</f>
        <v>0</v>
      </c>
      <c r="BO36" s="5">
        <f>recovered!BO36-recovered!BN36</f>
        <v>3</v>
      </c>
      <c r="BP36" s="5">
        <f>recovered!BP36-recovered!BO36</f>
        <v>6</v>
      </c>
      <c r="BQ36" s="5">
        <f>recovered!BQ36-recovered!BP36</f>
        <v>0</v>
      </c>
      <c r="BR36" s="5">
        <f>recovered!BR36-recovered!BQ36</f>
        <v>1</v>
      </c>
      <c r="BS36" s="5">
        <f>recovered!BS36-recovered!BR36</f>
        <v>2</v>
      </c>
      <c r="BT36" s="5">
        <f>recovered!BT36-recovered!BS36</f>
        <v>8</v>
      </c>
      <c r="BU36" s="5">
        <f>recovered!BU36-recovered!BT36</f>
        <v>0</v>
      </c>
      <c r="BV36" s="5">
        <f>recovered!BV36-recovered!BU36</f>
        <v>2</v>
      </c>
      <c r="BW36" s="5">
        <f>recovered!BW36-recovered!BV36</f>
        <v>2</v>
      </c>
      <c r="BX36" s="5">
        <f>recovered!BX36-recovered!BW36</f>
        <v>9</v>
      </c>
      <c r="BY36" s="5">
        <f>recovered!BY36-recovered!BX36</f>
        <v>1</v>
      </c>
    </row>
    <row r="37">
      <c r="B37" s="1" t="str">
        <f>recovered!B37</f>
        <v>Cameroon</v>
      </c>
      <c r="C37" s="4">
        <f>recovered!C37</f>
        <v>3.848</v>
      </c>
      <c r="D37" s="4">
        <f>recovered!D37</f>
        <v>11.5021</v>
      </c>
      <c r="E37" s="5">
        <f>recovered!E37</f>
        <v>0</v>
      </c>
      <c r="F37" s="5">
        <f>recovered!F37-recovered!E37</f>
        <v>0</v>
      </c>
      <c r="G37" s="5">
        <f>recovered!G37-recovered!F37</f>
        <v>0</v>
      </c>
      <c r="H37" s="5">
        <f>recovered!H37-recovered!G37</f>
        <v>0</v>
      </c>
      <c r="I37" s="5">
        <f>recovered!I37-recovered!H37</f>
        <v>0</v>
      </c>
      <c r="J37" s="5">
        <f>recovered!J37-recovered!I37</f>
        <v>0</v>
      </c>
      <c r="K37" s="5">
        <f>recovered!K37-recovered!J37</f>
        <v>0</v>
      </c>
      <c r="L37" s="5">
        <f>recovered!L37-recovered!K37</f>
        <v>0</v>
      </c>
      <c r="M37" s="5">
        <f>recovered!M37-recovered!L37</f>
        <v>0</v>
      </c>
      <c r="N37" s="5">
        <f>recovered!N37-recovered!M37</f>
        <v>0</v>
      </c>
      <c r="O37" s="5">
        <f>recovered!O37-recovered!N37</f>
        <v>0</v>
      </c>
      <c r="P37" s="5">
        <f>recovered!P37-recovered!O37</f>
        <v>0</v>
      </c>
      <c r="Q37" s="5">
        <f>recovered!Q37-recovered!P37</f>
        <v>0</v>
      </c>
      <c r="R37" s="5">
        <f>recovered!R37-recovered!Q37</f>
        <v>0</v>
      </c>
      <c r="S37" s="5">
        <f>recovered!S37-recovered!R37</f>
        <v>0</v>
      </c>
      <c r="T37" s="5">
        <f>recovered!T37-recovered!S37</f>
        <v>0</v>
      </c>
      <c r="U37" s="5">
        <f>recovered!U37-recovered!T37</f>
        <v>0</v>
      </c>
      <c r="V37" s="5">
        <f>recovered!V37-recovered!U37</f>
        <v>0</v>
      </c>
      <c r="W37" s="5">
        <f>recovered!W37-recovered!V37</f>
        <v>0</v>
      </c>
      <c r="X37" s="5">
        <f>recovered!X37-recovered!W37</f>
        <v>0</v>
      </c>
      <c r="Y37" s="5">
        <f>recovered!Y37-recovered!X37</f>
        <v>0</v>
      </c>
      <c r="Z37" s="5">
        <f>recovered!Z37-recovered!Y37</f>
        <v>0</v>
      </c>
      <c r="AA37" s="5">
        <f>recovered!AA37-recovered!Z37</f>
        <v>0</v>
      </c>
      <c r="AB37" s="5">
        <f>recovered!AB37-recovered!AA37</f>
        <v>0</v>
      </c>
      <c r="AC37" s="5">
        <f>recovered!AC37-recovered!AB37</f>
        <v>0</v>
      </c>
      <c r="AD37" s="5">
        <f>recovered!AD37-recovered!AC37</f>
        <v>0</v>
      </c>
      <c r="AE37" s="5">
        <f>recovered!AE37-recovered!AD37</f>
        <v>0</v>
      </c>
      <c r="AF37" s="5">
        <f>recovered!AF37-recovered!AE37</f>
        <v>0</v>
      </c>
      <c r="AG37" s="5">
        <f>recovered!AG37-recovered!AF37</f>
        <v>0</v>
      </c>
      <c r="AH37" s="5">
        <f>recovered!AH37-recovered!AG37</f>
        <v>0</v>
      </c>
      <c r="AI37" s="5">
        <f>recovered!AI37-recovered!AH37</f>
        <v>0</v>
      </c>
      <c r="AJ37" s="5">
        <f>recovered!AJ37-recovered!AI37</f>
        <v>0</v>
      </c>
      <c r="AK37" s="5">
        <f>recovered!AK37-recovered!AJ37</f>
        <v>0</v>
      </c>
      <c r="AL37" s="5">
        <f>recovered!AL37-recovered!AK37</f>
        <v>0</v>
      </c>
      <c r="AM37" s="5">
        <f>recovered!AM37-recovered!AL37</f>
        <v>0</v>
      </c>
      <c r="AN37" s="5">
        <f>recovered!AN37-recovered!AM37</f>
        <v>0</v>
      </c>
      <c r="AO37" s="5">
        <f>recovered!AO37-recovered!AN37</f>
        <v>0</v>
      </c>
      <c r="AP37" s="5">
        <f>recovered!AP37-recovered!AO37</f>
        <v>0</v>
      </c>
      <c r="AQ37" s="5">
        <f>recovered!AQ37-recovered!AP37</f>
        <v>0</v>
      </c>
      <c r="AR37" s="5">
        <f>recovered!AR37-recovered!AQ37</f>
        <v>0</v>
      </c>
      <c r="AS37" s="5">
        <f>recovered!AS37-recovered!AR37</f>
        <v>0</v>
      </c>
      <c r="AT37" s="5">
        <f>recovered!AT37-recovered!AS37</f>
        <v>0</v>
      </c>
      <c r="AU37" s="5">
        <f>recovered!AU37-recovered!AT37</f>
        <v>0</v>
      </c>
      <c r="AV37" s="5">
        <f>recovered!AV37-recovered!AU37</f>
        <v>0</v>
      </c>
      <c r="AW37" s="5">
        <f>recovered!AW37-recovered!AV37</f>
        <v>0</v>
      </c>
      <c r="AX37" s="5">
        <f>recovered!AX37-recovered!AW37</f>
        <v>0</v>
      </c>
      <c r="AY37" s="5">
        <f>recovered!AY37-recovered!AX37</f>
        <v>0</v>
      </c>
      <c r="AZ37" s="5">
        <f>recovered!AZ37-recovered!AY37</f>
        <v>0</v>
      </c>
      <c r="BA37" s="5">
        <f>recovered!BA37-recovered!AZ37</f>
        <v>0</v>
      </c>
      <c r="BB37" s="5">
        <f>recovered!BB37-recovered!BA37</f>
        <v>0</v>
      </c>
      <c r="BC37" s="5">
        <f>recovered!BC37-recovered!BB37</f>
        <v>0</v>
      </c>
      <c r="BD37" s="5">
        <f>recovered!BD37-recovered!BC37</f>
        <v>0</v>
      </c>
      <c r="BE37" s="5">
        <f>recovered!BE37-recovered!BD37</f>
        <v>0</v>
      </c>
      <c r="BF37" s="5">
        <f>recovered!BF37-recovered!BE37</f>
        <v>0</v>
      </c>
      <c r="BG37" s="5">
        <f>recovered!BG37-recovered!BF37</f>
        <v>0</v>
      </c>
      <c r="BH37" s="5">
        <f>recovered!BH37-recovered!BG37</f>
        <v>0</v>
      </c>
      <c r="BI37" s="5">
        <f>recovered!BI37-recovered!BH37</f>
        <v>0</v>
      </c>
      <c r="BJ37" s="5">
        <f>recovered!BJ37-recovered!BI37</f>
        <v>0</v>
      </c>
      <c r="BK37" s="5">
        <f>recovered!BK37-recovered!BJ37</f>
        <v>0</v>
      </c>
      <c r="BL37" s="5">
        <f>recovered!BL37-recovered!BK37</f>
        <v>0</v>
      </c>
      <c r="BM37" s="5">
        <f>recovered!BM37-recovered!BL37</f>
        <v>0</v>
      </c>
      <c r="BN37" s="5">
        <f>recovered!BN37-recovered!BM37</f>
        <v>0</v>
      </c>
      <c r="BO37" s="5">
        <f>recovered!BO37-recovered!BN37</f>
        <v>0</v>
      </c>
      <c r="BP37" s="5">
        <f>recovered!BP37-recovered!BO37</f>
        <v>2</v>
      </c>
      <c r="BQ37" s="5">
        <f>recovered!BQ37-recovered!BP37</f>
        <v>0</v>
      </c>
      <c r="BR37" s="5">
        <f>recovered!BR37-recovered!BQ37</f>
        <v>0</v>
      </c>
      <c r="BS37" s="5">
        <f>recovered!BS37-recovered!BR37</f>
        <v>0</v>
      </c>
      <c r="BT37" s="5">
        <f>recovered!BT37-recovered!BS37</f>
        <v>3</v>
      </c>
      <c r="BU37" s="5">
        <f>recovered!BU37-recovered!BT37</f>
        <v>0</v>
      </c>
      <c r="BV37" s="5">
        <f>recovered!BV37-recovered!BU37</f>
        <v>0</v>
      </c>
      <c r="BW37" s="5">
        <f>recovered!BW37-recovered!BV37</f>
        <v>5</v>
      </c>
      <c r="BX37" s="5">
        <f>recovered!BX37-recovered!BW37</f>
        <v>0</v>
      </c>
      <c r="BY37" s="5">
        <f>recovered!BY37-recovered!BX37</f>
        <v>7</v>
      </c>
    </row>
    <row r="38">
      <c r="B38" s="1" t="str">
        <f>recovered!B38</f>
        <v>Canada</v>
      </c>
      <c r="C38" s="4">
        <f>recovered!C38</f>
        <v>56.1304</v>
      </c>
      <c r="D38" s="4">
        <f>recovered!D38</f>
        <v>-106.3468</v>
      </c>
      <c r="E38" s="5">
        <f>recovered!E38</f>
        <v>0</v>
      </c>
      <c r="F38" s="5">
        <f>recovered!F38-recovered!E38</f>
        <v>0</v>
      </c>
      <c r="G38" s="5">
        <f>recovered!G38-recovered!F38</f>
        <v>0</v>
      </c>
      <c r="H38" s="5">
        <f>recovered!H38-recovered!G38</f>
        <v>0</v>
      </c>
      <c r="I38" s="5">
        <f>recovered!I38-recovered!H38</f>
        <v>0</v>
      </c>
      <c r="J38" s="5">
        <f>recovered!J38-recovered!I38</f>
        <v>0</v>
      </c>
      <c r="K38" s="5">
        <f>recovered!K38-recovered!J38</f>
        <v>0</v>
      </c>
      <c r="L38" s="5">
        <f>recovered!L38-recovered!K38</f>
        <v>0</v>
      </c>
      <c r="M38" s="5">
        <f>recovered!M38-recovered!L38</f>
        <v>0</v>
      </c>
      <c r="N38" s="5">
        <f>recovered!N38-recovered!M38</f>
        <v>0</v>
      </c>
      <c r="O38" s="5">
        <f>recovered!O38-recovered!N38</f>
        <v>0</v>
      </c>
      <c r="P38" s="5">
        <f>recovered!P38-recovered!O38</f>
        <v>0</v>
      </c>
      <c r="Q38" s="5">
        <f>recovered!Q38-recovered!P38</f>
        <v>0</v>
      </c>
      <c r="R38" s="5">
        <f>recovered!R38-recovered!Q38</f>
        <v>0</v>
      </c>
      <c r="S38" s="5">
        <f>recovered!S38-recovered!R38</f>
        <v>0</v>
      </c>
      <c r="T38" s="5">
        <f>recovered!T38-recovered!S38</f>
        <v>0</v>
      </c>
      <c r="U38" s="5">
        <f>recovered!U38-recovered!T38</f>
        <v>0</v>
      </c>
      <c r="V38" s="5">
        <f>recovered!V38-recovered!U38</f>
        <v>0</v>
      </c>
      <c r="W38" s="5">
        <f>recovered!W38-recovered!V38</f>
        <v>0</v>
      </c>
      <c r="X38" s="5">
        <f>recovered!X38-recovered!W38</f>
        <v>0</v>
      </c>
      <c r="Y38" s="5">
        <f>recovered!Y38-recovered!X38</f>
        <v>0</v>
      </c>
      <c r="Z38" s="5">
        <f>recovered!Z38-recovered!Y38</f>
        <v>1</v>
      </c>
      <c r="AA38" s="5">
        <f>recovered!AA38-recovered!Z38</f>
        <v>0</v>
      </c>
      <c r="AB38" s="5">
        <f>recovered!AB38-recovered!AA38</f>
        <v>0</v>
      </c>
      <c r="AC38" s="5">
        <f>recovered!AC38-recovered!AB38</f>
        <v>0</v>
      </c>
      <c r="AD38" s="5">
        <f>recovered!AD38-recovered!AC38</f>
        <v>0</v>
      </c>
      <c r="AE38" s="5">
        <f>recovered!AE38-recovered!AD38</f>
        <v>0</v>
      </c>
      <c r="AF38" s="5">
        <f>recovered!AF38-recovered!AE38</f>
        <v>0</v>
      </c>
      <c r="AG38" s="5">
        <f>recovered!AG38-recovered!AF38</f>
        <v>0</v>
      </c>
      <c r="AH38" s="5">
        <f>recovered!AH38-recovered!AG38</f>
        <v>0</v>
      </c>
      <c r="AI38" s="5">
        <f>recovered!AI38-recovered!AH38</f>
        <v>2</v>
      </c>
      <c r="AJ38" s="5">
        <f>recovered!AJ38-recovered!AI38</f>
        <v>0</v>
      </c>
      <c r="AK38" s="5">
        <f>recovered!AK38-recovered!AJ38</f>
        <v>0</v>
      </c>
      <c r="AL38" s="5">
        <f>recovered!AL38-recovered!AK38</f>
        <v>0</v>
      </c>
      <c r="AM38" s="5">
        <f>recovered!AM38-recovered!AL38</f>
        <v>0</v>
      </c>
      <c r="AN38" s="5">
        <f>recovered!AN38-recovered!AM38</f>
        <v>0</v>
      </c>
      <c r="AO38" s="5">
        <f>recovered!AO38-recovered!AN38</f>
        <v>3</v>
      </c>
      <c r="AP38" s="5">
        <f>recovered!AP38-recovered!AO38</f>
        <v>0</v>
      </c>
      <c r="AQ38" s="5">
        <f>recovered!AQ38-recovered!AP38</f>
        <v>0</v>
      </c>
      <c r="AR38" s="5">
        <f>recovered!AR38-recovered!AQ38</f>
        <v>0</v>
      </c>
      <c r="AS38" s="5">
        <f>recovered!AS38-recovered!AR38</f>
        <v>0</v>
      </c>
      <c r="AT38" s="5">
        <f>recovered!AT38-recovered!AS38</f>
        <v>0</v>
      </c>
      <c r="AU38" s="5">
        <f>recovered!AU38-recovered!AT38</f>
        <v>0</v>
      </c>
      <c r="AV38" s="5">
        <f>recovered!AV38-recovered!AU38</f>
        <v>0</v>
      </c>
      <c r="AW38" s="5">
        <f>recovered!AW38-recovered!AV38</f>
        <v>0</v>
      </c>
      <c r="AX38" s="5">
        <f>recovered!AX38-recovered!AW38</f>
        <v>2</v>
      </c>
      <c r="AY38" s="5">
        <f>recovered!AY38-recovered!AX38</f>
        <v>0</v>
      </c>
      <c r="AZ38" s="5">
        <f>recovered!AZ38-recovered!AY38</f>
        <v>0</v>
      </c>
      <c r="BA38" s="5">
        <f>recovered!BA38-recovered!AZ38</f>
        <v>0</v>
      </c>
      <c r="BB38" s="5">
        <f>recovered!BB38-recovered!BA38</f>
        <v>0</v>
      </c>
      <c r="BC38" s="5">
        <f>recovered!BC38-recovered!BB38</f>
        <v>0</v>
      </c>
      <c r="BD38" s="5">
        <f>recovered!BD38-recovered!BC38</f>
        <v>0</v>
      </c>
      <c r="BE38" s="5">
        <f>recovered!BE38-recovered!BD38</f>
        <v>0</v>
      </c>
      <c r="BF38" s="5">
        <f>recovered!BF38-recovered!BE38</f>
        <v>0</v>
      </c>
      <c r="BG38" s="5">
        <f>recovered!BG38-recovered!BF38</f>
        <v>1</v>
      </c>
      <c r="BH38" s="5">
        <f>recovered!BH38-recovered!BG38</f>
        <v>0</v>
      </c>
      <c r="BI38" s="5">
        <f>recovered!BI38-recovered!BH38</f>
        <v>0</v>
      </c>
      <c r="BJ38" s="5">
        <f>recovered!BJ38-recovered!BI38</f>
        <v>0</v>
      </c>
      <c r="BK38" s="5">
        <f>recovered!BK38-recovered!BJ38</f>
        <v>0</v>
      </c>
      <c r="BL38" s="5">
        <f>recovered!BL38-recovered!BK38</f>
        <v>1</v>
      </c>
      <c r="BM38" s="5">
        <f>recovered!BM38-recovered!BL38</f>
        <v>0</v>
      </c>
      <c r="BN38" s="5">
        <f>recovered!BN38-recovered!BM38</f>
        <v>0</v>
      </c>
      <c r="BO38" s="5">
        <f>recovered!BO38-recovered!BN38</f>
        <v>100</v>
      </c>
      <c r="BP38" s="5">
        <f>recovered!BP38-recovered!BO38</f>
        <v>73</v>
      </c>
      <c r="BQ38" s="5">
        <f>recovered!BQ38-recovered!BP38</f>
        <v>1</v>
      </c>
      <c r="BR38" s="5">
        <f>recovered!BR38-recovered!BQ38</f>
        <v>72</v>
      </c>
      <c r="BS38" s="5">
        <f>recovered!BS38-recovered!BR38</f>
        <v>210</v>
      </c>
      <c r="BT38" s="5">
        <f>recovered!BT38-recovered!BS38</f>
        <v>0</v>
      </c>
      <c r="BU38" s="5">
        <f>recovered!BU38-recovered!BT38</f>
        <v>0</v>
      </c>
      <c r="BV38" s="5">
        <f>recovered!BV38-recovered!BU38</f>
        <v>1126</v>
      </c>
      <c r="BW38" s="5">
        <f>recovered!BW38-recovered!BV38</f>
        <v>-268</v>
      </c>
      <c r="BX38" s="5">
        <f>recovered!BX38-recovered!BW38</f>
        <v>411</v>
      </c>
      <c r="BY38" s="5">
        <f>recovered!BY38-recovered!BX38</f>
        <v>440</v>
      </c>
    </row>
    <row r="39">
      <c r="B39" s="1" t="str">
        <f>recovered!B39</f>
        <v>Central African Republic</v>
      </c>
      <c r="C39" s="4">
        <f>recovered!C39</f>
        <v>6.6111</v>
      </c>
      <c r="D39" s="4">
        <f>recovered!D39</f>
        <v>20.9394</v>
      </c>
      <c r="E39" s="5">
        <f>recovered!E39</f>
        <v>0</v>
      </c>
      <c r="F39" s="5">
        <f>recovered!F39-recovered!E39</f>
        <v>0</v>
      </c>
      <c r="G39" s="5">
        <f>recovered!G39-recovered!F39</f>
        <v>0</v>
      </c>
      <c r="H39" s="5">
        <f>recovered!H39-recovered!G39</f>
        <v>0</v>
      </c>
      <c r="I39" s="5">
        <f>recovered!I39-recovered!H39</f>
        <v>0</v>
      </c>
      <c r="J39" s="5">
        <f>recovered!J39-recovered!I39</f>
        <v>0</v>
      </c>
      <c r="K39" s="5">
        <f>recovered!K39-recovered!J39</f>
        <v>0</v>
      </c>
      <c r="L39" s="5">
        <f>recovered!L39-recovered!K39</f>
        <v>0</v>
      </c>
      <c r="M39" s="5">
        <f>recovered!M39-recovered!L39</f>
        <v>0</v>
      </c>
      <c r="N39" s="5">
        <f>recovered!N39-recovered!M39</f>
        <v>0</v>
      </c>
      <c r="O39" s="5">
        <f>recovered!O39-recovered!N39</f>
        <v>0</v>
      </c>
      <c r="P39" s="5">
        <f>recovered!P39-recovered!O39</f>
        <v>0</v>
      </c>
      <c r="Q39" s="5">
        <f>recovered!Q39-recovered!P39</f>
        <v>0</v>
      </c>
      <c r="R39" s="5">
        <f>recovered!R39-recovered!Q39</f>
        <v>0</v>
      </c>
      <c r="S39" s="5">
        <f>recovered!S39-recovered!R39</f>
        <v>0</v>
      </c>
      <c r="T39" s="5">
        <f>recovered!T39-recovered!S39</f>
        <v>0</v>
      </c>
      <c r="U39" s="5">
        <f>recovered!U39-recovered!T39</f>
        <v>0</v>
      </c>
      <c r="V39" s="5">
        <f>recovered!V39-recovered!U39</f>
        <v>0</v>
      </c>
      <c r="W39" s="5">
        <f>recovered!W39-recovered!V39</f>
        <v>0</v>
      </c>
      <c r="X39" s="5">
        <f>recovered!X39-recovered!W39</f>
        <v>0</v>
      </c>
      <c r="Y39" s="5">
        <f>recovered!Y39-recovered!X39</f>
        <v>0</v>
      </c>
      <c r="Z39" s="5">
        <f>recovered!Z39-recovered!Y39</f>
        <v>0</v>
      </c>
      <c r="AA39" s="5">
        <f>recovered!AA39-recovered!Z39</f>
        <v>0</v>
      </c>
      <c r="AB39" s="5">
        <f>recovered!AB39-recovered!AA39</f>
        <v>0</v>
      </c>
      <c r="AC39" s="5">
        <f>recovered!AC39-recovered!AB39</f>
        <v>0</v>
      </c>
      <c r="AD39" s="5">
        <f>recovered!AD39-recovered!AC39</f>
        <v>0</v>
      </c>
      <c r="AE39" s="5">
        <f>recovered!AE39-recovered!AD39</f>
        <v>0</v>
      </c>
      <c r="AF39" s="5">
        <f>recovered!AF39-recovered!AE39</f>
        <v>0</v>
      </c>
      <c r="AG39" s="5">
        <f>recovered!AG39-recovered!AF39</f>
        <v>0</v>
      </c>
      <c r="AH39" s="5">
        <f>recovered!AH39-recovered!AG39</f>
        <v>0</v>
      </c>
      <c r="AI39" s="5">
        <f>recovered!AI39-recovered!AH39</f>
        <v>0</v>
      </c>
      <c r="AJ39" s="5">
        <f>recovered!AJ39-recovered!AI39</f>
        <v>0</v>
      </c>
      <c r="AK39" s="5">
        <f>recovered!AK39-recovered!AJ39</f>
        <v>0</v>
      </c>
      <c r="AL39" s="5">
        <f>recovered!AL39-recovered!AK39</f>
        <v>0</v>
      </c>
      <c r="AM39" s="5">
        <f>recovered!AM39-recovered!AL39</f>
        <v>0</v>
      </c>
      <c r="AN39" s="5">
        <f>recovered!AN39-recovered!AM39</f>
        <v>0</v>
      </c>
      <c r="AO39" s="5">
        <f>recovered!AO39-recovered!AN39</f>
        <v>0</v>
      </c>
      <c r="AP39" s="5">
        <f>recovered!AP39-recovered!AO39</f>
        <v>0</v>
      </c>
      <c r="AQ39" s="5">
        <f>recovered!AQ39-recovered!AP39</f>
        <v>0</v>
      </c>
      <c r="AR39" s="5">
        <f>recovered!AR39-recovered!AQ39</f>
        <v>0</v>
      </c>
      <c r="AS39" s="5">
        <f>recovered!AS39-recovered!AR39</f>
        <v>0</v>
      </c>
      <c r="AT39" s="5">
        <f>recovered!AT39-recovered!AS39</f>
        <v>0</v>
      </c>
      <c r="AU39" s="5">
        <f>recovered!AU39-recovered!AT39</f>
        <v>0</v>
      </c>
      <c r="AV39" s="5">
        <f>recovered!AV39-recovered!AU39</f>
        <v>0</v>
      </c>
      <c r="AW39" s="5">
        <f>recovered!AW39-recovered!AV39</f>
        <v>0</v>
      </c>
      <c r="AX39" s="5">
        <f>recovered!AX39-recovered!AW39</f>
        <v>0</v>
      </c>
      <c r="AY39" s="5">
        <f>recovered!AY39-recovered!AX39</f>
        <v>0</v>
      </c>
      <c r="AZ39" s="5">
        <f>recovered!AZ39-recovered!AY39</f>
        <v>0</v>
      </c>
      <c r="BA39" s="5">
        <f>recovered!BA39-recovered!AZ39</f>
        <v>0</v>
      </c>
      <c r="BB39" s="5">
        <f>recovered!BB39-recovered!BA39</f>
        <v>0</v>
      </c>
      <c r="BC39" s="5">
        <f>recovered!BC39-recovered!BB39</f>
        <v>0</v>
      </c>
      <c r="BD39" s="5">
        <f>recovered!BD39-recovered!BC39</f>
        <v>0</v>
      </c>
      <c r="BE39" s="5">
        <f>recovered!BE39-recovered!BD39</f>
        <v>0</v>
      </c>
      <c r="BF39" s="5">
        <f>recovered!BF39-recovered!BE39</f>
        <v>0</v>
      </c>
      <c r="BG39" s="5">
        <f>recovered!BG39-recovered!BF39</f>
        <v>0</v>
      </c>
      <c r="BH39" s="5">
        <f>recovered!BH39-recovered!BG39</f>
        <v>0</v>
      </c>
      <c r="BI39" s="5">
        <f>recovered!BI39-recovered!BH39</f>
        <v>0</v>
      </c>
      <c r="BJ39" s="5">
        <f>recovered!BJ39-recovered!BI39</f>
        <v>0</v>
      </c>
      <c r="BK39" s="5">
        <f>recovered!BK39-recovered!BJ39</f>
        <v>0</v>
      </c>
      <c r="BL39" s="5">
        <f>recovered!BL39-recovered!BK39</f>
        <v>0</v>
      </c>
      <c r="BM39" s="5">
        <f>recovered!BM39-recovered!BL39</f>
        <v>0</v>
      </c>
      <c r="BN39" s="5">
        <f>recovered!BN39-recovered!BM39</f>
        <v>0</v>
      </c>
      <c r="BO39" s="5">
        <f>recovered!BO39-recovered!BN39</f>
        <v>0</v>
      </c>
      <c r="BP39" s="5">
        <f>recovered!BP39-recovered!BO39</f>
        <v>0</v>
      </c>
      <c r="BQ39" s="5">
        <f>recovered!BQ39-recovered!BP39</f>
        <v>0</v>
      </c>
      <c r="BR39" s="5">
        <f>recovered!BR39-recovered!BQ39</f>
        <v>0</v>
      </c>
      <c r="BS39" s="5">
        <f>recovered!BS39-recovered!BR39</f>
        <v>0</v>
      </c>
      <c r="BT39" s="5">
        <f>recovered!BT39-recovered!BS39</f>
        <v>0</v>
      </c>
      <c r="BU39" s="5">
        <f>recovered!BU39-recovered!BT39</f>
        <v>0</v>
      </c>
      <c r="BV39" s="5">
        <f>recovered!BV39-recovered!BU39</f>
        <v>0</v>
      </c>
      <c r="BW39" s="5">
        <f>recovered!BW39-recovered!BV39</f>
        <v>0</v>
      </c>
      <c r="BX39" s="5">
        <f>recovered!BX39-recovered!BW39</f>
        <v>0</v>
      </c>
      <c r="BY39" s="5">
        <f>recovered!BY39-recovered!BX39</f>
        <v>0</v>
      </c>
    </row>
    <row r="40">
      <c r="B40" s="1" t="str">
        <f>recovered!B40</f>
        <v>Chad</v>
      </c>
      <c r="C40" s="4">
        <f>recovered!C40</f>
        <v>15.4542</v>
      </c>
      <c r="D40" s="4">
        <f>recovered!D40</f>
        <v>18.7322</v>
      </c>
      <c r="E40" s="5">
        <f>recovered!E40</f>
        <v>0</v>
      </c>
      <c r="F40" s="5">
        <f>recovered!F40-recovered!E40</f>
        <v>0</v>
      </c>
      <c r="G40" s="5">
        <f>recovered!G40-recovered!F40</f>
        <v>0</v>
      </c>
      <c r="H40" s="5">
        <f>recovered!H40-recovered!G40</f>
        <v>0</v>
      </c>
      <c r="I40" s="5">
        <f>recovered!I40-recovered!H40</f>
        <v>0</v>
      </c>
      <c r="J40" s="5">
        <f>recovered!J40-recovered!I40</f>
        <v>0</v>
      </c>
      <c r="K40" s="5">
        <f>recovered!K40-recovered!J40</f>
        <v>0</v>
      </c>
      <c r="L40" s="5">
        <f>recovered!L40-recovered!K40</f>
        <v>0</v>
      </c>
      <c r="M40" s="5">
        <f>recovered!M40-recovered!L40</f>
        <v>0</v>
      </c>
      <c r="N40" s="5">
        <f>recovered!N40-recovered!M40</f>
        <v>0</v>
      </c>
      <c r="O40" s="5">
        <f>recovered!O40-recovered!N40</f>
        <v>0</v>
      </c>
      <c r="P40" s="5">
        <f>recovered!P40-recovered!O40</f>
        <v>0</v>
      </c>
      <c r="Q40" s="5">
        <f>recovered!Q40-recovered!P40</f>
        <v>0</v>
      </c>
      <c r="R40" s="5">
        <f>recovered!R40-recovered!Q40</f>
        <v>0</v>
      </c>
      <c r="S40" s="5">
        <f>recovered!S40-recovered!R40</f>
        <v>0</v>
      </c>
      <c r="T40" s="5">
        <f>recovered!T40-recovered!S40</f>
        <v>0</v>
      </c>
      <c r="U40" s="5">
        <f>recovered!U40-recovered!T40</f>
        <v>0</v>
      </c>
      <c r="V40" s="5">
        <f>recovered!V40-recovered!U40</f>
        <v>0</v>
      </c>
      <c r="W40" s="5">
        <f>recovered!W40-recovered!V40</f>
        <v>0</v>
      </c>
      <c r="X40" s="5">
        <f>recovered!X40-recovered!W40</f>
        <v>0</v>
      </c>
      <c r="Y40" s="5">
        <f>recovered!Y40-recovered!X40</f>
        <v>0</v>
      </c>
      <c r="Z40" s="5">
        <f>recovered!Z40-recovered!Y40</f>
        <v>0</v>
      </c>
      <c r="AA40" s="5">
        <f>recovered!AA40-recovered!Z40</f>
        <v>0</v>
      </c>
      <c r="AB40" s="5">
        <f>recovered!AB40-recovered!AA40</f>
        <v>0</v>
      </c>
      <c r="AC40" s="5">
        <f>recovered!AC40-recovered!AB40</f>
        <v>0</v>
      </c>
      <c r="AD40" s="5">
        <f>recovered!AD40-recovered!AC40</f>
        <v>0</v>
      </c>
      <c r="AE40" s="5">
        <f>recovered!AE40-recovered!AD40</f>
        <v>0</v>
      </c>
      <c r="AF40" s="5">
        <f>recovered!AF40-recovered!AE40</f>
        <v>0</v>
      </c>
      <c r="AG40" s="5">
        <f>recovered!AG40-recovered!AF40</f>
        <v>0</v>
      </c>
      <c r="AH40" s="5">
        <f>recovered!AH40-recovered!AG40</f>
        <v>0</v>
      </c>
      <c r="AI40" s="5">
        <f>recovered!AI40-recovered!AH40</f>
        <v>0</v>
      </c>
      <c r="AJ40" s="5">
        <f>recovered!AJ40-recovered!AI40</f>
        <v>0</v>
      </c>
      <c r="AK40" s="5">
        <f>recovered!AK40-recovered!AJ40</f>
        <v>0</v>
      </c>
      <c r="AL40" s="5">
        <f>recovered!AL40-recovered!AK40</f>
        <v>0</v>
      </c>
      <c r="AM40" s="5">
        <f>recovered!AM40-recovered!AL40</f>
        <v>0</v>
      </c>
      <c r="AN40" s="5">
        <f>recovered!AN40-recovered!AM40</f>
        <v>0</v>
      </c>
      <c r="AO40" s="5">
        <f>recovered!AO40-recovered!AN40</f>
        <v>0</v>
      </c>
      <c r="AP40" s="5">
        <f>recovered!AP40-recovered!AO40</f>
        <v>0</v>
      </c>
      <c r="AQ40" s="5">
        <f>recovered!AQ40-recovered!AP40</f>
        <v>0</v>
      </c>
      <c r="AR40" s="5">
        <f>recovered!AR40-recovered!AQ40</f>
        <v>0</v>
      </c>
      <c r="AS40" s="5">
        <f>recovered!AS40-recovered!AR40</f>
        <v>0</v>
      </c>
      <c r="AT40" s="5">
        <f>recovered!AT40-recovered!AS40</f>
        <v>0</v>
      </c>
      <c r="AU40" s="5">
        <f>recovered!AU40-recovered!AT40</f>
        <v>0</v>
      </c>
      <c r="AV40" s="5">
        <f>recovered!AV40-recovered!AU40</f>
        <v>0</v>
      </c>
      <c r="AW40" s="5">
        <f>recovered!AW40-recovered!AV40</f>
        <v>0</v>
      </c>
      <c r="AX40" s="5">
        <f>recovered!AX40-recovered!AW40</f>
        <v>0</v>
      </c>
      <c r="AY40" s="5">
        <f>recovered!AY40-recovered!AX40</f>
        <v>0</v>
      </c>
      <c r="AZ40" s="5">
        <f>recovered!AZ40-recovered!AY40</f>
        <v>0</v>
      </c>
      <c r="BA40" s="5">
        <f>recovered!BA40-recovered!AZ40</f>
        <v>0</v>
      </c>
      <c r="BB40" s="5">
        <f>recovered!BB40-recovered!BA40</f>
        <v>0</v>
      </c>
      <c r="BC40" s="5">
        <f>recovered!BC40-recovered!BB40</f>
        <v>0</v>
      </c>
      <c r="BD40" s="5">
        <f>recovered!BD40-recovered!BC40</f>
        <v>0</v>
      </c>
      <c r="BE40" s="5">
        <f>recovered!BE40-recovered!BD40</f>
        <v>0</v>
      </c>
      <c r="BF40" s="5">
        <f>recovered!BF40-recovered!BE40</f>
        <v>0</v>
      </c>
      <c r="BG40" s="5">
        <f>recovered!BG40-recovered!BF40</f>
        <v>0</v>
      </c>
      <c r="BH40" s="5">
        <f>recovered!BH40-recovered!BG40</f>
        <v>0</v>
      </c>
      <c r="BI40" s="5">
        <f>recovered!BI40-recovered!BH40</f>
        <v>0</v>
      </c>
      <c r="BJ40" s="5">
        <f>recovered!BJ40-recovered!BI40</f>
        <v>0</v>
      </c>
      <c r="BK40" s="5">
        <f>recovered!BK40-recovered!BJ40</f>
        <v>0</v>
      </c>
      <c r="BL40" s="5">
        <f>recovered!BL40-recovered!BK40</f>
        <v>0</v>
      </c>
      <c r="BM40" s="5">
        <f>recovered!BM40-recovered!BL40</f>
        <v>0</v>
      </c>
      <c r="BN40" s="5">
        <f>recovered!BN40-recovered!BM40</f>
        <v>0</v>
      </c>
      <c r="BO40" s="5">
        <f>recovered!BO40-recovered!BN40</f>
        <v>0</v>
      </c>
      <c r="BP40" s="5">
        <f>recovered!BP40-recovered!BO40</f>
        <v>0</v>
      </c>
      <c r="BQ40" s="5">
        <f>recovered!BQ40-recovered!BP40</f>
        <v>0</v>
      </c>
      <c r="BR40" s="5">
        <f>recovered!BR40-recovered!BQ40</f>
        <v>0</v>
      </c>
      <c r="BS40" s="5">
        <f>recovered!BS40-recovered!BR40</f>
        <v>0</v>
      </c>
      <c r="BT40" s="5">
        <f>recovered!BT40-recovered!BS40</f>
        <v>0</v>
      </c>
      <c r="BU40" s="5">
        <f>recovered!BU40-recovered!BT40</f>
        <v>0</v>
      </c>
      <c r="BV40" s="5">
        <f>recovered!BV40-recovered!BU40</f>
        <v>0</v>
      </c>
      <c r="BW40" s="5">
        <f>recovered!BW40-recovered!BV40</f>
        <v>0</v>
      </c>
      <c r="BX40" s="5">
        <f>recovered!BX40-recovered!BW40</f>
        <v>0</v>
      </c>
      <c r="BY40" s="5">
        <f>recovered!BY40-recovered!BX40</f>
        <v>0</v>
      </c>
    </row>
    <row r="41">
      <c r="B41" s="1" t="str">
        <f>recovered!B41</f>
        <v>Chile</v>
      </c>
      <c r="C41" s="4">
        <f>recovered!C41</f>
        <v>-35.6751</v>
      </c>
      <c r="D41" s="4">
        <f>recovered!D41</f>
        <v>-71.543</v>
      </c>
      <c r="E41" s="5">
        <f>recovered!E41</f>
        <v>0</v>
      </c>
      <c r="F41" s="5">
        <f>recovered!F41-recovered!E41</f>
        <v>0</v>
      </c>
      <c r="G41" s="5">
        <f>recovered!G41-recovered!F41</f>
        <v>0</v>
      </c>
      <c r="H41" s="5">
        <f>recovered!H41-recovered!G41</f>
        <v>0</v>
      </c>
      <c r="I41" s="5">
        <f>recovered!I41-recovered!H41</f>
        <v>0</v>
      </c>
      <c r="J41" s="5">
        <f>recovered!J41-recovered!I41</f>
        <v>0</v>
      </c>
      <c r="K41" s="5">
        <f>recovered!K41-recovered!J41</f>
        <v>0</v>
      </c>
      <c r="L41" s="5">
        <f>recovered!L41-recovered!K41</f>
        <v>0</v>
      </c>
      <c r="M41" s="5">
        <f>recovered!M41-recovered!L41</f>
        <v>0</v>
      </c>
      <c r="N41" s="5">
        <f>recovered!N41-recovered!M41</f>
        <v>0</v>
      </c>
      <c r="O41" s="5">
        <f>recovered!O41-recovered!N41</f>
        <v>0</v>
      </c>
      <c r="P41" s="5">
        <f>recovered!P41-recovered!O41</f>
        <v>0</v>
      </c>
      <c r="Q41" s="5">
        <f>recovered!Q41-recovered!P41</f>
        <v>0</v>
      </c>
      <c r="R41" s="5">
        <f>recovered!R41-recovered!Q41</f>
        <v>0</v>
      </c>
      <c r="S41" s="5">
        <f>recovered!S41-recovered!R41</f>
        <v>0</v>
      </c>
      <c r="T41" s="5">
        <f>recovered!T41-recovered!S41</f>
        <v>0</v>
      </c>
      <c r="U41" s="5">
        <f>recovered!U41-recovered!T41</f>
        <v>0</v>
      </c>
      <c r="V41" s="5">
        <f>recovered!V41-recovered!U41</f>
        <v>0</v>
      </c>
      <c r="W41" s="5">
        <f>recovered!W41-recovered!V41</f>
        <v>0</v>
      </c>
      <c r="X41" s="5">
        <f>recovered!X41-recovered!W41</f>
        <v>0</v>
      </c>
      <c r="Y41" s="5">
        <f>recovered!Y41-recovered!X41</f>
        <v>0</v>
      </c>
      <c r="Z41" s="5">
        <f>recovered!Z41-recovered!Y41</f>
        <v>0</v>
      </c>
      <c r="AA41" s="5">
        <f>recovered!AA41-recovered!Z41</f>
        <v>0</v>
      </c>
      <c r="AB41" s="5">
        <f>recovered!AB41-recovered!AA41</f>
        <v>0</v>
      </c>
      <c r="AC41" s="5">
        <f>recovered!AC41-recovered!AB41</f>
        <v>0</v>
      </c>
      <c r="AD41" s="5">
        <f>recovered!AD41-recovered!AC41</f>
        <v>0</v>
      </c>
      <c r="AE41" s="5">
        <f>recovered!AE41-recovered!AD41</f>
        <v>0</v>
      </c>
      <c r="AF41" s="5">
        <f>recovered!AF41-recovered!AE41</f>
        <v>0</v>
      </c>
      <c r="AG41" s="5">
        <f>recovered!AG41-recovered!AF41</f>
        <v>0</v>
      </c>
      <c r="AH41" s="5">
        <f>recovered!AH41-recovered!AG41</f>
        <v>0</v>
      </c>
      <c r="AI41" s="5">
        <f>recovered!AI41-recovered!AH41</f>
        <v>0</v>
      </c>
      <c r="AJ41" s="5">
        <f>recovered!AJ41-recovered!AI41</f>
        <v>0</v>
      </c>
      <c r="AK41" s="5">
        <f>recovered!AK41-recovered!AJ41</f>
        <v>0</v>
      </c>
      <c r="AL41" s="5">
        <f>recovered!AL41-recovered!AK41</f>
        <v>0</v>
      </c>
      <c r="AM41" s="5">
        <f>recovered!AM41-recovered!AL41</f>
        <v>0</v>
      </c>
      <c r="AN41" s="5">
        <f>recovered!AN41-recovered!AM41</f>
        <v>0</v>
      </c>
      <c r="AO41" s="5">
        <f>recovered!AO41-recovered!AN41</f>
        <v>0</v>
      </c>
      <c r="AP41" s="5">
        <f>recovered!AP41-recovered!AO41</f>
        <v>0</v>
      </c>
      <c r="AQ41" s="5">
        <f>recovered!AQ41-recovered!AP41</f>
        <v>0</v>
      </c>
      <c r="AR41" s="5">
        <f>recovered!AR41-recovered!AQ41</f>
        <v>0</v>
      </c>
      <c r="AS41" s="5">
        <f>recovered!AS41-recovered!AR41</f>
        <v>0</v>
      </c>
      <c r="AT41" s="5">
        <f>recovered!AT41-recovered!AS41</f>
        <v>0</v>
      </c>
      <c r="AU41" s="5">
        <f>recovered!AU41-recovered!AT41</f>
        <v>0</v>
      </c>
      <c r="AV41" s="5">
        <f>recovered!AV41-recovered!AU41</f>
        <v>0</v>
      </c>
      <c r="AW41" s="5">
        <f>recovered!AW41-recovered!AV41</f>
        <v>0</v>
      </c>
      <c r="AX41" s="5">
        <f>recovered!AX41-recovered!AW41</f>
        <v>0</v>
      </c>
      <c r="AY41" s="5">
        <f>recovered!AY41-recovered!AX41</f>
        <v>0</v>
      </c>
      <c r="AZ41" s="5">
        <f>recovered!AZ41-recovered!AY41</f>
        <v>0</v>
      </c>
      <c r="BA41" s="5">
        <f>recovered!BA41-recovered!AZ41</f>
        <v>0</v>
      </c>
      <c r="BB41" s="5">
        <f>recovered!BB41-recovered!BA41</f>
        <v>0</v>
      </c>
      <c r="BC41" s="5">
        <f>recovered!BC41-recovered!BB41</f>
        <v>0</v>
      </c>
      <c r="BD41" s="5">
        <f>recovered!BD41-recovered!BC41</f>
        <v>0</v>
      </c>
      <c r="BE41" s="5">
        <f>recovered!BE41-recovered!BD41</f>
        <v>0</v>
      </c>
      <c r="BF41" s="5">
        <f>recovered!BF41-recovered!BE41</f>
        <v>0</v>
      </c>
      <c r="BG41" s="5">
        <f>recovered!BG41-recovered!BF41</f>
        <v>0</v>
      </c>
      <c r="BH41" s="5">
        <f>recovered!BH41-recovered!BG41</f>
        <v>0</v>
      </c>
      <c r="BI41" s="5">
        <f>recovered!BI41-recovered!BH41</f>
        <v>0</v>
      </c>
      <c r="BJ41" s="5">
        <f>recovered!BJ41-recovered!BI41</f>
        <v>0</v>
      </c>
      <c r="BK41" s="5">
        <f>recovered!BK41-recovered!BJ41</f>
        <v>6</v>
      </c>
      <c r="BL41" s="5">
        <f>recovered!BL41-recovered!BK41</f>
        <v>0</v>
      </c>
      <c r="BM41" s="5">
        <f>recovered!BM41-recovered!BL41</f>
        <v>2</v>
      </c>
      <c r="BN41" s="5">
        <f>recovered!BN41-recovered!BM41</f>
        <v>0</v>
      </c>
      <c r="BO41" s="5">
        <f>recovered!BO41-recovered!BN41</f>
        <v>9</v>
      </c>
      <c r="BP41" s="5">
        <f>recovered!BP41-recovered!BO41</f>
        <v>5</v>
      </c>
      <c r="BQ41" s="5">
        <f>recovered!BQ41-recovered!BP41</f>
        <v>0</v>
      </c>
      <c r="BR41" s="5">
        <f>recovered!BR41-recovered!BQ41</f>
        <v>21</v>
      </c>
      <c r="BS41" s="5">
        <f>recovered!BS41-recovered!BR41</f>
        <v>18</v>
      </c>
      <c r="BT41" s="5">
        <f>recovered!BT41-recovered!BS41</f>
        <v>14</v>
      </c>
      <c r="BU41" s="5">
        <f>recovered!BU41-recovered!BT41</f>
        <v>81</v>
      </c>
      <c r="BV41" s="5">
        <f>recovered!BV41-recovered!BU41</f>
        <v>0</v>
      </c>
      <c r="BW41" s="5">
        <f>recovered!BW41-recovered!BV41</f>
        <v>78</v>
      </c>
      <c r="BX41" s="5">
        <f>recovered!BX41-recovered!BW41</f>
        <v>101</v>
      </c>
      <c r="BY41" s="5">
        <f>recovered!BY41-recovered!BX41</f>
        <v>92</v>
      </c>
    </row>
    <row r="42">
      <c r="B42" s="1" t="str">
        <f>recovered!B42</f>
        <v>China</v>
      </c>
      <c r="C42" s="4">
        <f>recovered!C42</f>
        <v>31.8257</v>
      </c>
      <c r="D42" s="4">
        <f>recovered!D42</f>
        <v>117.2264</v>
      </c>
      <c r="E42" s="5">
        <f>recovered!E42</f>
        <v>0</v>
      </c>
      <c r="F42" s="5">
        <f>recovered!F42-recovered!E42</f>
        <v>0</v>
      </c>
      <c r="G42" s="5">
        <f>recovered!G42-recovered!F42</f>
        <v>0</v>
      </c>
      <c r="H42" s="5">
        <f>recovered!H42-recovered!G42</f>
        <v>0</v>
      </c>
      <c r="I42" s="5">
        <f>recovered!I42-recovered!H42</f>
        <v>0</v>
      </c>
      <c r="J42" s="5">
        <f>recovered!J42-recovered!I42</f>
        <v>0</v>
      </c>
      <c r="K42" s="5">
        <f>recovered!K42-recovered!J42</f>
        <v>0</v>
      </c>
      <c r="L42" s="5">
        <f>recovered!L42-recovered!K42</f>
        <v>2</v>
      </c>
      <c r="M42" s="5">
        <f>recovered!M42-recovered!L42</f>
        <v>0</v>
      </c>
      <c r="N42" s="5">
        <f>recovered!N42-recovered!M42</f>
        <v>1</v>
      </c>
      <c r="O42" s="5">
        <f>recovered!O42-recovered!N42</f>
        <v>2</v>
      </c>
      <c r="P42" s="5">
        <f>recovered!P42-recovered!O42</f>
        <v>2</v>
      </c>
      <c r="Q42" s="5">
        <f>recovered!Q42-recovered!P42</f>
        <v>7</v>
      </c>
      <c r="R42" s="5">
        <f>recovered!R42-recovered!Q42</f>
        <v>6</v>
      </c>
      <c r="S42" s="5">
        <f>recovered!S42-recovered!R42</f>
        <v>3</v>
      </c>
      <c r="T42" s="5">
        <f>recovered!T42-recovered!S42</f>
        <v>11</v>
      </c>
      <c r="U42" s="5">
        <f>recovered!U42-recovered!T42</f>
        <v>13</v>
      </c>
      <c r="V42" s="5">
        <f>recovered!V42-recovered!U42</f>
        <v>12</v>
      </c>
      <c r="W42" s="5">
        <f>recovered!W42-recovered!V42</f>
        <v>13</v>
      </c>
      <c r="X42" s="5">
        <f>recovered!X42-recovered!W42</f>
        <v>16</v>
      </c>
      <c r="Y42" s="5">
        <f>recovered!Y42-recovered!X42</f>
        <v>17</v>
      </c>
      <c r="Z42" s="5">
        <f>recovered!Z42-recovered!Y42</f>
        <v>22</v>
      </c>
      <c r="AA42" s="5">
        <f>recovered!AA42-recovered!Z42</f>
        <v>30</v>
      </c>
      <c r="AB42" s="5">
        <f>recovered!AB42-recovered!AA42</f>
        <v>36</v>
      </c>
      <c r="AC42" s="5">
        <f>recovered!AC42-recovered!AB42</f>
        <v>28</v>
      </c>
      <c r="AD42" s="5">
        <f>recovered!AD42-recovered!AC42</f>
        <v>34</v>
      </c>
      <c r="AE42" s="5">
        <f>recovered!AE42-recovered!AD42</f>
        <v>25</v>
      </c>
      <c r="AF42" s="5">
        <f>recovered!AF42-recovered!AE42</f>
        <v>81</v>
      </c>
      <c r="AG42" s="5">
        <f>recovered!AG42-recovered!AF42</f>
        <v>52</v>
      </c>
      <c r="AH42" s="5">
        <f>recovered!AH42-recovered!AG42</f>
        <v>61</v>
      </c>
      <c r="AI42" s="5">
        <f>recovered!AI42-recovered!AH42</f>
        <v>65</v>
      </c>
      <c r="AJ42" s="5">
        <f>recovered!AJ42-recovered!AI42</f>
        <v>58</v>
      </c>
      <c r="AK42" s="5">
        <f>recovered!AK42-recovered!AJ42</f>
        <v>40</v>
      </c>
      <c r="AL42" s="5">
        <f>recovered!AL42-recovered!AK42</f>
        <v>26</v>
      </c>
      <c r="AM42" s="5">
        <f>recovered!AM42-recovered!AL42</f>
        <v>49</v>
      </c>
      <c r="AN42" s="5">
        <f>recovered!AN42-recovered!AM42</f>
        <v>32</v>
      </c>
      <c r="AO42" s="5">
        <f>recovered!AO42-recovered!AN42</f>
        <v>48</v>
      </c>
      <c r="AP42" s="5">
        <f>recovered!AP42-recovered!AO42</f>
        <v>29</v>
      </c>
      <c r="AQ42" s="5">
        <f>recovered!AQ42-recovered!AP42</f>
        <v>47</v>
      </c>
      <c r="AR42" s="5">
        <f>recovered!AR42-recovered!AQ42</f>
        <v>5</v>
      </c>
      <c r="AS42" s="5">
        <f>recovered!AS42-recovered!AR42</f>
        <v>44</v>
      </c>
      <c r="AT42" s="5">
        <f>recovered!AT42-recovered!AS42</f>
        <v>19</v>
      </c>
      <c r="AU42" s="5">
        <f>recovered!AU42-recovered!AT42</f>
        <v>20</v>
      </c>
      <c r="AV42" s="5">
        <f>recovered!AV42-recovered!AU42</f>
        <v>14</v>
      </c>
      <c r="AW42" s="5">
        <f>recovered!AW42-recovered!AV42</f>
        <v>9</v>
      </c>
      <c r="AX42" s="5">
        <f>recovered!AX42-recovered!AW42</f>
        <v>0</v>
      </c>
      <c r="AY42" s="5">
        <f>recovered!AY42-recovered!AX42</f>
        <v>5</v>
      </c>
      <c r="AZ42" s="5">
        <f>recovered!AZ42-recovered!AY42</f>
        <v>0</v>
      </c>
      <c r="BA42" s="5">
        <f>recovered!BA42-recovered!AZ42</f>
        <v>0</v>
      </c>
      <c r="BB42" s="5">
        <f>recovered!BB42-recovered!BA42</f>
        <v>0</v>
      </c>
      <c r="BC42" s="5">
        <f>recovered!BC42-recovered!BB42</f>
        <v>0</v>
      </c>
      <c r="BD42" s="5">
        <f>recovered!BD42-recovered!BC42</f>
        <v>0</v>
      </c>
      <c r="BE42" s="5">
        <f>recovered!BE42-recovered!BD42</f>
        <v>0</v>
      </c>
      <c r="BF42" s="5">
        <f>recovered!BF42-recovered!BE42</f>
        <v>0</v>
      </c>
      <c r="BG42" s="5">
        <f>recovered!BG42-recovered!BF42</f>
        <v>0</v>
      </c>
      <c r="BH42" s="5">
        <f>recovered!BH42-recovered!BG42</f>
        <v>0</v>
      </c>
      <c r="BI42" s="5">
        <f>recovered!BI42-recovered!BH42</f>
        <v>0</v>
      </c>
      <c r="BJ42" s="5">
        <f>recovered!BJ42-recovered!BI42</f>
        <v>0</v>
      </c>
      <c r="BK42" s="5">
        <f>recovered!BK42-recovered!BJ42</f>
        <v>0</v>
      </c>
      <c r="BL42" s="5">
        <f>recovered!BL42-recovered!BK42</f>
        <v>0</v>
      </c>
      <c r="BM42" s="5">
        <f>recovered!BM42-recovered!BL42</f>
        <v>0</v>
      </c>
      <c r="BN42" s="5">
        <f>recovered!BN42-recovered!BM42</f>
        <v>0</v>
      </c>
      <c r="BO42" s="5">
        <f>recovered!BO42-recovered!BN42</f>
        <v>0</v>
      </c>
      <c r="BP42" s="5">
        <f>recovered!BP42-recovered!BO42</f>
        <v>0</v>
      </c>
      <c r="BQ42" s="5">
        <f>recovered!BQ42-recovered!BP42</f>
        <v>0</v>
      </c>
      <c r="BR42" s="5">
        <f>recovered!BR42-recovered!BQ42</f>
        <v>0</v>
      </c>
      <c r="BS42" s="5">
        <f>recovered!BS42-recovered!BR42</f>
        <v>0</v>
      </c>
      <c r="BT42" s="5">
        <f>recovered!BT42-recovered!BS42</f>
        <v>0</v>
      </c>
      <c r="BU42" s="5">
        <f>recovered!BU42-recovered!BT42</f>
        <v>0</v>
      </c>
      <c r="BV42" s="5">
        <f>recovered!BV42-recovered!BU42</f>
        <v>0</v>
      </c>
      <c r="BW42" s="5">
        <f>recovered!BW42-recovered!BV42</f>
        <v>0</v>
      </c>
      <c r="BX42" s="5">
        <f>recovered!BX42-recovered!BW42</f>
        <v>0</v>
      </c>
      <c r="BY42" s="5">
        <f>recovered!BY42-recovered!BX42</f>
        <v>0</v>
      </c>
    </row>
    <row r="43">
      <c r="B43" s="1" t="str">
        <f>recovered!B43</f>
        <v>China</v>
      </c>
      <c r="C43" s="4">
        <f>recovered!C43</f>
        <v>40.1824</v>
      </c>
      <c r="D43" s="4">
        <f>recovered!D43</f>
        <v>116.4142</v>
      </c>
      <c r="E43" s="5">
        <f>recovered!E43</f>
        <v>0</v>
      </c>
      <c r="F43" s="5">
        <f>recovered!F43-recovered!E43</f>
        <v>0</v>
      </c>
      <c r="G43" s="5">
        <f>recovered!G43-recovered!F43</f>
        <v>1</v>
      </c>
      <c r="H43" s="5">
        <f>recovered!H43-recovered!G43</f>
        <v>1</v>
      </c>
      <c r="I43" s="5">
        <f>recovered!I43-recovered!H43</f>
        <v>0</v>
      </c>
      <c r="J43" s="5">
        <f>recovered!J43-recovered!I43</f>
        <v>0</v>
      </c>
      <c r="K43" s="5">
        <f>recovered!K43-recovered!J43</f>
        <v>2</v>
      </c>
      <c r="L43" s="5">
        <f>recovered!L43-recovered!K43</f>
        <v>0</v>
      </c>
      <c r="M43" s="5">
        <f>recovered!M43-recovered!L43</f>
        <v>0</v>
      </c>
      <c r="N43" s="5">
        <f>recovered!N43-recovered!M43</f>
        <v>1</v>
      </c>
      <c r="O43" s="5">
        <f>recovered!O43-recovered!N43</f>
        <v>4</v>
      </c>
      <c r="P43" s="5">
        <f>recovered!P43-recovered!O43</f>
        <v>0</v>
      </c>
      <c r="Q43" s="5">
        <f>recovered!Q43-recovered!P43</f>
        <v>3</v>
      </c>
      <c r="R43" s="5">
        <f>recovered!R43-recovered!Q43</f>
        <v>11</v>
      </c>
      <c r="S43" s="5">
        <f>recovered!S43-recovered!R43</f>
        <v>1</v>
      </c>
      <c r="T43" s="5">
        <f>recovered!T43-recovered!S43</f>
        <v>7</v>
      </c>
      <c r="U43" s="5">
        <f>recovered!U43-recovered!T43</f>
        <v>2</v>
      </c>
      <c r="V43" s="5">
        <f>recovered!V43-recovered!U43</f>
        <v>1</v>
      </c>
      <c r="W43" s="5">
        <f>recovered!W43-recovered!V43</f>
        <v>3</v>
      </c>
      <c r="X43" s="5">
        <f>recovered!X43-recovered!W43</f>
        <v>7</v>
      </c>
      <c r="Y43" s="5">
        <f>recovered!Y43-recovered!X43</f>
        <v>4</v>
      </c>
      <c r="Z43" s="5">
        <f>recovered!Z43-recovered!Y43</f>
        <v>8</v>
      </c>
      <c r="AA43" s="5">
        <f>recovered!AA43-recovered!Z43</f>
        <v>13</v>
      </c>
      <c r="AB43" s="5">
        <f>recovered!AB43-recovered!AA43</f>
        <v>11</v>
      </c>
      <c r="AC43" s="5">
        <f>recovered!AC43-recovered!AB43</f>
        <v>18</v>
      </c>
      <c r="AD43" s="5">
        <f>recovered!AD43-recovered!AC43</f>
        <v>10</v>
      </c>
      <c r="AE43" s="5">
        <f>recovered!AE43-recovered!AD43</f>
        <v>6</v>
      </c>
      <c r="AF43" s="5">
        <f>recovered!AF43-recovered!AE43</f>
        <v>8</v>
      </c>
      <c r="AG43" s="5">
        <f>recovered!AG43-recovered!AF43</f>
        <v>23</v>
      </c>
      <c r="AH43" s="5">
        <f>recovered!AH43-recovered!AG43</f>
        <v>8</v>
      </c>
      <c r="AI43" s="5">
        <f>recovered!AI43-recovered!AH43</f>
        <v>16</v>
      </c>
      <c r="AJ43" s="5">
        <f>recovered!AJ43-recovered!AI43</f>
        <v>9</v>
      </c>
      <c r="AK43" s="5">
        <f>recovered!AK43-recovered!AJ43</f>
        <v>11</v>
      </c>
      <c r="AL43" s="5">
        <f>recovered!AL43-recovered!AK43</f>
        <v>9</v>
      </c>
      <c r="AM43" s="5">
        <f>recovered!AM43-recovered!AL43</f>
        <v>17</v>
      </c>
      <c r="AN43" s="5">
        <f>recovered!AN43-recovered!AM43</f>
        <v>20</v>
      </c>
      <c r="AO43" s="5">
        <f>recovered!AO43-recovered!AN43</f>
        <v>13</v>
      </c>
      <c r="AP43" s="5">
        <f>recovered!AP43-recovered!AO43</f>
        <v>9</v>
      </c>
      <c r="AQ43" s="5">
        <f>recovered!AQ43-recovered!AP43</f>
        <v>14</v>
      </c>
      <c r="AR43" s="5">
        <f>recovered!AR43-recovered!AQ43</f>
        <v>5</v>
      </c>
      <c r="AS43" s="5">
        <f>recovered!AS43-recovered!AR43</f>
        <v>6</v>
      </c>
      <c r="AT43" s="5">
        <f>recovered!AT43-recovered!AS43</f>
        <v>6</v>
      </c>
      <c r="AU43" s="5">
        <f>recovered!AU43-recovered!AT43</f>
        <v>9</v>
      </c>
      <c r="AV43" s="5">
        <f>recovered!AV43-recovered!AU43</f>
        <v>0</v>
      </c>
      <c r="AW43" s="5">
        <f>recovered!AW43-recovered!AV43</f>
        <v>2</v>
      </c>
      <c r="AX43" s="5">
        <f>recovered!AX43-recovered!AW43</f>
        <v>4</v>
      </c>
      <c r="AY43" s="5">
        <f>recovered!AY43-recovered!AX43</f>
        <v>5</v>
      </c>
      <c r="AZ43" s="5">
        <f>recovered!AZ43-recovered!AY43</f>
        <v>7</v>
      </c>
      <c r="BA43" s="5">
        <f>recovered!BA43-recovered!AZ43</f>
        <v>5</v>
      </c>
      <c r="BB43" s="5">
        <f>recovered!BB43-recovered!BA43</f>
        <v>6</v>
      </c>
      <c r="BC43" s="5">
        <f>recovered!BC43-recovered!BB43</f>
        <v>8</v>
      </c>
      <c r="BD43" s="5">
        <f>recovered!BD43-recovered!BC43</f>
        <v>8</v>
      </c>
      <c r="BE43" s="5">
        <f>recovered!BE43-recovered!BD43</f>
        <v>7</v>
      </c>
      <c r="BF43" s="5">
        <f>recovered!BF43-recovered!BE43</f>
        <v>4</v>
      </c>
      <c r="BG43" s="5">
        <f>recovered!BG43-recovered!BF43</f>
        <v>7</v>
      </c>
      <c r="BH43" s="5">
        <f>recovered!BH43-recovered!BG43</f>
        <v>9</v>
      </c>
      <c r="BI43" s="5">
        <f>recovered!BI43-recovered!BH43</f>
        <v>9</v>
      </c>
      <c r="BJ43" s="5">
        <f>recovered!BJ43-recovered!BI43</f>
        <v>2</v>
      </c>
      <c r="BK43" s="5">
        <f>recovered!BK43-recovered!BJ43</f>
        <v>10</v>
      </c>
      <c r="BL43" s="5">
        <f>recovered!BL43-recovered!BK43</f>
        <v>6</v>
      </c>
      <c r="BM43" s="5">
        <f>recovered!BM43-recovered!BL43</f>
        <v>4</v>
      </c>
      <c r="BN43" s="5">
        <f>recovered!BN43-recovered!BM43</f>
        <v>0</v>
      </c>
      <c r="BO43" s="5">
        <f>recovered!BO43-recovered!BN43</f>
        <v>1</v>
      </c>
      <c r="BP43" s="5">
        <f>recovered!BP43-recovered!BO43</f>
        <v>2</v>
      </c>
      <c r="BQ43" s="5">
        <f>recovered!BQ43-recovered!BP43</f>
        <v>3</v>
      </c>
      <c r="BR43" s="5">
        <f>recovered!BR43-recovered!BQ43</f>
        <v>2</v>
      </c>
      <c r="BS43" s="5">
        <f>recovered!BS43-recovered!BR43</f>
        <v>2</v>
      </c>
      <c r="BT43" s="5">
        <f>recovered!BT43-recovered!BS43</f>
        <v>2</v>
      </c>
      <c r="BU43" s="5">
        <f>recovered!BU43-recovered!BT43</f>
        <v>3</v>
      </c>
      <c r="BV43" s="5">
        <f>recovered!BV43-recovered!BU43</f>
        <v>3</v>
      </c>
      <c r="BW43" s="5">
        <f>recovered!BW43-recovered!BV43</f>
        <v>0</v>
      </c>
      <c r="BX43" s="5">
        <f>recovered!BX43-recovered!BW43</f>
        <v>6</v>
      </c>
      <c r="BY43" s="5">
        <f>recovered!BY43-recovered!BX43</f>
        <v>10</v>
      </c>
    </row>
    <row r="44">
      <c r="B44" s="1" t="str">
        <f>recovered!B44</f>
        <v>China</v>
      </c>
      <c r="C44" s="4">
        <f>recovered!C44</f>
        <v>30.0572</v>
      </c>
      <c r="D44" s="4">
        <f>recovered!D44</f>
        <v>107.874</v>
      </c>
      <c r="E44" s="5">
        <f>recovered!E44</f>
        <v>0</v>
      </c>
      <c r="F44" s="5">
        <f>recovered!F44-recovered!E44</f>
        <v>0</v>
      </c>
      <c r="G44" s="5">
        <f>recovered!G44-recovered!F44</f>
        <v>0</v>
      </c>
      <c r="H44" s="5">
        <f>recovered!H44-recovered!G44</f>
        <v>0</v>
      </c>
      <c r="I44" s="5">
        <f>recovered!I44-recovered!H44</f>
        <v>0</v>
      </c>
      <c r="J44" s="5">
        <f>recovered!J44-recovered!I44</f>
        <v>0</v>
      </c>
      <c r="K44" s="5">
        <f>recovered!K44-recovered!J44</f>
        <v>0</v>
      </c>
      <c r="L44" s="5">
        <f>recovered!L44-recovered!K44</f>
        <v>1</v>
      </c>
      <c r="M44" s="5">
        <f>recovered!M44-recovered!L44</f>
        <v>0</v>
      </c>
      <c r="N44" s="5">
        <f>recovered!N44-recovered!M44</f>
        <v>0</v>
      </c>
      <c r="O44" s="5">
        <f>recovered!O44-recovered!N44</f>
        <v>2</v>
      </c>
      <c r="P44" s="5">
        <f>recovered!P44-recovered!O44</f>
        <v>4</v>
      </c>
      <c r="Q44" s="5">
        <f>recovered!Q44-recovered!P44</f>
        <v>2</v>
      </c>
      <c r="R44" s="5">
        <f>recovered!R44-recovered!Q44</f>
        <v>0</v>
      </c>
      <c r="S44" s="5">
        <f>recovered!S44-recovered!R44</f>
        <v>6</v>
      </c>
      <c r="T44" s="5">
        <f>recovered!T44-recovered!S44</f>
        <v>9</v>
      </c>
      <c r="U44" s="5">
        <f>recovered!U44-recovered!T44</f>
        <v>7</v>
      </c>
      <c r="V44" s="5">
        <f>recovered!V44-recovered!U44</f>
        <v>8</v>
      </c>
      <c r="W44" s="5">
        <f>recovered!W44-recovered!V44</f>
        <v>12</v>
      </c>
      <c r="X44" s="5">
        <f>recovered!X44-recovered!W44</f>
        <v>15</v>
      </c>
      <c r="Y44" s="5">
        <f>recovered!Y44-recovered!X44</f>
        <v>13</v>
      </c>
      <c r="Z44" s="5">
        <f>recovered!Z44-recovered!Y44</f>
        <v>23</v>
      </c>
      <c r="AA44" s="5">
        <f>recovered!AA44-recovered!Z44</f>
        <v>26</v>
      </c>
      <c r="AB44" s="5">
        <f>recovered!AB44-recovered!AA44</f>
        <v>24</v>
      </c>
      <c r="AC44" s="5">
        <f>recovered!AC44-recovered!AB44</f>
        <v>32</v>
      </c>
      <c r="AD44" s="5">
        <f>recovered!AD44-recovered!AC44</f>
        <v>23</v>
      </c>
      <c r="AE44" s="5">
        <f>recovered!AE44-recovered!AD44</f>
        <v>18</v>
      </c>
      <c r="AF44" s="5">
        <f>recovered!AF44-recovered!AE44</f>
        <v>29</v>
      </c>
      <c r="AG44" s="5">
        <f>recovered!AG44-recovered!AF44</f>
        <v>20</v>
      </c>
      <c r="AH44" s="5">
        <f>recovered!AH44-recovered!AG44</f>
        <v>25</v>
      </c>
      <c r="AI44" s="5">
        <f>recovered!AI44-recovered!AH44</f>
        <v>17</v>
      </c>
      <c r="AJ44" s="5">
        <f>recovered!AJ44-recovered!AI44</f>
        <v>12</v>
      </c>
      <c r="AK44" s="5">
        <f>recovered!AK44-recovered!AJ44</f>
        <v>7</v>
      </c>
      <c r="AL44" s="5">
        <f>recovered!AL44-recovered!AK44</f>
        <v>14</v>
      </c>
      <c r="AM44" s="5">
        <f>recovered!AM44-recovered!AL44</f>
        <v>23</v>
      </c>
      <c r="AN44" s="5">
        <f>recovered!AN44-recovered!AM44</f>
        <v>12</v>
      </c>
      <c r="AO44" s="5">
        <f>recovered!AO44-recovered!AN44</f>
        <v>17</v>
      </c>
      <c r="AP44" s="5">
        <f>recovered!AP44-recovered!AO44</f>
        <v>21</v>
      </c>
      <c r="AQ44" s="5">
        <f>recovered!AQ44-recovered!AP44</f>
        <v>16</v>
      </c>
      <c r="AR44" s="5">
        <f>recovered!AR44-recovered!AQ44</f>
        <v>12</v>
      </c>
      <c r="AS44" s="5">
        <f>recovered!AS44-recovered!AR44</f>
        <v>19</v>
      </c>
      <c r="AT44" s="5">
        <f>recovered!AT44-recovered!AS44</f>
        <v>21</v>
      </c>
      <c r="AU44" s="5">
        <f>recovered!AU44-recovered!AT44</f>
        <v>12</v>
      </c>
      <c r="AV44" s="5">
        <f>recovered!AV44-recovered!AU44</f>
        <v>10</v>
      </c>
      <c r="AW44" s="5">
        <f>recovered!AW44-recovered!AV44</f>
        <v>1</v>
      </c>
      <c r="AX44" s="5">
        <f>recovered!AX44-recovered!AW44</f>
        <v>13</v>
      </c>
      <c r="AY44" s="5">
        <f>recovered!AY44-recovered!AX44</f>
        <v>1</v>
      </c>
      <c r="AZ44" s="5">
        <f>recovered!AZ44-recovered!AY44</f>
        <v>15</v>
      </c>
      <c r="BA44" s="5">
        <f>recovered!BA44-recovered!AZ44</f>
        <v>5</v>
      </c>
      <c r="BB44" s="5">
        <f>recovered!BB44-recovered!BA44</f>
        <v>7</v>
      </c>
      <c r="BC44" s="5">
        <f>recovered!BC44-recovered!BB44</f>
        <v>10</v>
      </c>
      <c r="BD44" s="5">
        <f>recovered!BD44-recovered!BC44</f>
        <v>2</v>
      </c>
      <c r="BE44" s="5">
        <f>recovered!BE44-recovered!BD44</f>
        <v>3</v>
      </c>
      <c r="BF44" s="5">
        <f>recovered!BF44-recovered!BE44</f>
        <v>1</v>
      </c>
      <c r="BG44" s="5">
        <f>recovered!BG44-recovered!BF44</f>
        <v>0</v>
      </c>
      <c r="BH44" s="5">
        <f>recovered!BH44-recovered!BG44</f>
        <v>0</v>
      </c>
      <c r="BI44" s="5">
        <f>recovered!BI44-recovered!BH44</f>
        <v>0</v>
      </c>
      <c r="BJ44" s="5">
        <f>recovered!BJ44-recovered!BI44</f>
        <v>0</v>
      </c>
      <c r="BK44" s="5">
        <f>recovered!BK44-recovered!BJ44</f>
        <v>0</v>
      </c>
      <c r="BL44" s="5">
        <f>recovered!BL44-recovered!BK44</f>
        <v>0</v>
      </c>
      <c r="BM44" s="5">
        <f>recovered!BM44-recovered!BL44</f>
        <v>0</v>
      </c>
      <c r="BN44" s="5">
        <f>recovered!BN44-recovered!BM44</f>
        <v>0</v>
      </c>
      <c r="BO44" s="5">
        <f>recovered!BO44-recovered!BN44</f>
        <v>0</v>
      </c>
      <c r="BP44" s="5">
        <f>recovered!BP44-recovered!BO44</f>
        <v>0</v>
      </c>
      <c r="BQ44" s="5">
        <f>recovered!BQ44-recovered!BP44</f>
        <v>0</v>
      </c>
      <c r="BR44" s="5">
        <f>recovered!BR44-recovered!BQ44</f>
        <v>0</v>
      </c>
      <c r="BS44" s="5">
        <f>recovered!BS44-recovered!BR44</f>
        <v>0</v>
      </c>
      <c r="BT44" s="5">
        <f>recovered!BT44-recovered!BS44</f>
        <v>0</v>
      </c>
      <c r="BU44" s="5">
        <f>recovered!BU44-recovered!BT44</f>
        <v>0</v>
      </c>
      <c r="BV44" s="5">
        <f>recovered!BV44-recovered!BU44</f>
        <v>0</v>
      </c>
      <c r="BW44" s="5">
        <f>recovered!BW44-recovered!BV44</f>
        <v>0</v>
      </c>
      <c r="BX44" s="5">
        <f>recovered!BX44-recovered!BW44</f>
        <v>0</v>
      </c>
      <c r="BY44" s="5">
        <f>recovered!BY44-recovered!BX44</f>
        <v>0</v>
      </c>
    </row>
    <row r="45">
      <c r="B45" s="1" t="str">
        <f>recovered!B45</f>
        <v>China</v>
      </c>
      <c r="C45" s="4">
        <f>recovered!C45</f>
        <v>26.0789</v>
      </c>
      <c r="D45" s="4">
        <f>recovered!D45</f>
        <v>117.9874</v>
      </c>
      <c r="E45" s="5">
        <f>recovered!E45</f>
        <v>0</v>
      </c>
      <c r="F45" s="5">
        <f>recovered!F45-recovered!E45</f>
        <v>0</v>
      </c>
      <c r="G45" s="5">
        <f>recovered!G45-recovered!F45</f>
        <v>0</v>
      </c>
      <c r="H45" s="5">
        <f>recovered!H45-recovered!G45</f>
        <v>0</v>
      </c>
      <c r="I45" s="5">
        <f>recovered!I45-recovered!H45</f>
        <v>0</v>
      </c>
      <c r="J45" s="5">
        <f>recovered!J45-recovered!I45</f>
        <v>0</v>
      </c>
      <c r="K45" s="5">
        <f>recovered!K45-recovered!J45</f>
        <v>0</v>
      </c>
      <c r="L45" s="5">
        <f>recovered!L45-recovered!K45</f>
        <v>0</v>
      </c>
      <c r="M45" s="5">
        <f>recovered!M45-recovered!L45</f>
        <v>0</v>
      </c>
      <c r="N45" s="5">
        <f>recovered!N45-recovered!M45</f>
        <v>0</v>
      </c>
      <c r="O45" s="5">
        <f>recovered!O45-recovered!N45</f>
        <v>0</v>
      </c>
      <c r="P45" s="5">
        <f>recovered!P45-recovered!O45</f>
        <v>0</v>
      </c>
      <c r="Q45" s="5">
        <f>recovered!Q45-recovered!P45</f>
        <v>1</v>
      </c>
      <c r="R45" s="5">
        <f>recovered!R45-recovered!Q45</f>
        <v>2</v>
      </c>
      <c r="S45" s="5">
        <f>recovered!S45-recovered!R45</f>
        <v>8</v>
      </c>
      <c r="T45" s="5">
        <f>recovered!T45-recovered!S45</f>
        <v>3</v>
      </c>
      <c r="U45" s="5">
        <f>recovered!U45-recovered!T45</f>
        <v>6</v>
      </c>
      <c r="V45" s="5">
        <f>recovered!V45-recovered!U45</f>
        <v>4</v>
      </c>
      <c r="W45" s="5">
        <f>recovered!W45-recovered!V45</f>
        <v>11</v>
      </c>
      <c r="X45" s="5">
        <f>recovered!X45-recovered!W45</f>
        <v>4</v>
      </c>
      <c r="Y45" s="5">
        <f>recovered!Y45-recovered!X45</f>
        <v>6</v>
      </c>
      <c r="Z45" s="5">
        <f>recovered!Z45-recovered!Y45</f>
        <v>8</v>
      </c>
      <c r="AA45" s="5">
        <f>recovered!AA45-recovered!Z45</f>
        <v>4</v>
      </c>
      <c r="AB45" s="5">
        <f>recovered!AB45-recovered!AA45</f>
        <v>6</v>
      </c>
      <c r="AC45" s="5">
        <f>recovered!AC45-recovered!AB45</f>
        <v>8</v>
      </c>
      <c r="AD45" s="5">
        <f>recovered!AD45-recovered!AC45</f>
        <v>11</v>
      </c>
      <c r="AE45" s="5">
        <f>recovered!AE45-recovered!AD45</f>
        <v>8</v>
      </c>
      <c r="AF45" s="5">
        <f>recovered!AF45-recovered!AE45</f>
        <v>3</v>
      </c>
      <c r="AG45" s="5">
        <f>recovered!AG45-recovered!AF45</f>
        <v>19</v>
      </c>
      <c r="AH45" s="5">
        <f>recovered!AH45-recovered!AG45</f>
        <v>14</v>
      </c>
      <c r="AI45" s="5">
        <f>recovered!AI45-recovered!AH45</f>
        <v>23</v>
      </c>
      <c r="AJ45" s="5">
        <f>recovered!AJ45-recovered!AI45</f>
        <v>13</v>
      </c>
      <c r="AK45" s="5">
        <f>recovered!AK45-recovered!AJ45</f>
        <v>8</v>
      </c>
      <c r="AL45" s="5">
        <f>recovered!AL45-recovered!AK45</f>
        <v>13</v>
      </c>
      <c r="AM45" s="5">
        <f>recovered!AM45-recovered!AL45</f>
        <v>16</v>
      </c>
      <c r="AN45" s="5">
        <f>recovered!AN45-recovered!AM45</f>
        <v>19</v>
      </c>
      <c r="AO45" s="5">
        <f>recovered!AO45-recovered!AN45</f>
        <v>10</v>
      </c>
      <c r="AP45" s="5">
        <f>recovered!AP45-recovered!AO45</f>
        <v>7</v>
      </c>
      <c r="AQ45" s="5">
        <f>recovered!AQ45-recovered!AP45</f>
        <v>8</v>
      </c>
      <c r="AR45" s="5">
        <f>recovered!AR45-recovered!AQ45</f>
        <v>4</v>
      </c>
      <c r="AS45" s="5">
        <f>recovered!AS45-recovered!AR45</f>
        <v>8</v>
      </c>
      <c r="AT45" s="5">
        <f>recovered!AT45-recovered!AS45</f>
        <v>5</v>
      </c>
      <c r="AU45" s="5">
        <f>recovered!AU45-recovered!AT45</f>
        <v>10</v>
      </c>
      <c r="AV45" s="5">
        <f>recovered!AV45-recovered!AU45</f>
        <v>7</v>
      </c>
      <c r="AW45" s="5">
        <f>recovered!AW45-recovered!AV45</f>
        <v>7</v>
      </c>
      <c r="AX45" s="5">
        <f>recovered!AX45-recovered!AW45</f>
        <v>11</v>
      </c>
      <c r="AY45" s="5">
        <f>recovered!AY45-recovered!AX45</f>
        <v>0</v>
      </c>
      <c r="AZ45" s="5">
        <f>recovered!AZ45-recovered!AY45</f>
        <v>0</v>
      </c>
      <c r="BA45" s="5">
        <f>recovered!BA45-recovered!AZ45</f>
        <v>0</v>
      </c>
      <c r="BB45" s="5">
        <f>recovered!BB45-recovered!BA45</f>
        <v>0</v>
      </c>
      <c r="BC45" s="5">
        <f>recovered!BC45-recovered!BB45</f>
        <v>0</v>
      </c>
      <c r="BD45" s="5">
        <f>recovered!BD45-recovered!BC45</f>
        <v>0</v>
      </c>
      <c r="BE45" s="5">
        <f>recovered!BE45-recovered!BD45</f>
        <v>0</v>
      </c>
      <c r="BF45" s="5">
        <f>recovered!BF45-recovered!BE45</f>
        <v>0</v>
      </c>
      <c r="BG45" s="5">
        <f>recovered!BG45-recovered!BF45</f>
        <v>0</v>
      </c>
      <c r="BH45" s="5">
        <f>recovered!BH45-recovered!BG45</f>
        <v>0</v>
      </c>
      <c r="BI45" s="5">
        <f>recovered!BI45-recovered!BH45</f>
        <v>0</v>
      </c>
      <c r="BJ45" s="5">
        <f>recovered!BJ45-recovered!BI45</f>
        <v>0</v>
      </c>
      <c r="BK45" s="5">
        <f>recovered!BK45-recovered!BJ45</f>
        <v>0</v>
      </c>
      <c r="BL45" s="5">
        <f>recovered!BL45-recovered!BK45</f>
        <v>0</v>
      </c>
      <c r="BM45" s="5">
        <f>recovered!BM45-recovered!BL45</f>
        <v>0</v>
      </c>
      <c r="BN45" s="5">
        <f>recovered!BN45-recovered!BM45</f>
        <v>0</v>
      </c>
      <c r="BO45" s="5">
        <f>recovered!BO45-recovered!BN45</f>
        <v>0</v>
      </c>
      <c r="BP45" s="5">
        <f>recovered!BP45-recovered!BO45</f>
        <v>0</v>
      </c>
      <c r="BQ45" s="5">
        <f>recovered!BQ45-recovered!BP45</f>
        <v>0</v>
      </c>
      <c r="BR45" s="5">
        <f>recovered!BR45-recovered!BQ45</f>
        <v>0</v>
      </c>
      <c r="BS45" s="5">
        <f>recovered!BS45-recovered!BR45</f>
        <v>0</v>
      </c>
      <c r="BT45" s="5">
        <f>recovered!BT45-recovered!BS45</f>
        <v>0</v>
      </c>
      <c r="BU45" s="5">
        <f>recovered!BU45-recovered!BT45</f>
        <v>0</v>
      </c>
      <c r="BV45" s="5">
        <f>recovered!BV45-recovered!BU45</f>
        <v>0</v>
      </c>
      <c r="BW45" s="5">
        <f>recovered!BW45-recovered!BV45</f>
        <v>3</v>
      </c>
      <c r="BX45" s="5">
        <f>recovered!BX45-recovered!BW45</f>
        <v>1</v>
      </c>
      <c r="BY45" s="5">
        <f>recovered!BY45-recovered!BX45</f>
        <v>1</v>
      </c>
    </row>
    <row r="46">
      <c r="B46" s="1" t="str">
        <f>recovered!B46</f>
        <v>China</v>
      </c>
      <c r="C46" s="4">
        <f>recovered!C46</f>
        <v>37.8099</v>
      </c>
      <c r="D46" s="4">
        <f>recovered!D46</f>
        <v>101.0583</v>
      </c>
      <c r="E46" s="5">
        <f>recovered!E46</f>
        <v>0</v>
      </c>
      <c r="F46" s="5">
        <f>recovered!F46-recovered!E46</f>
        <v>0</v>
      </c>
      <c r="G46" s="5">
        <f>recovered!G46-recovered!F46</f>
        <v>0</v>
      </c>
      <c r="H46" s="5">
        <f>recovered!H46-recovered!G46</f>
        <v>0</v>
      </c>
      <c r="I46" s="5">
        <f>recovered!I46-recovered!H46</f>
        <v>0</v>
      </c>
      <c r="J46" s="5">
        <f>recovered!J46-recovered!I46</f>
        <v>0</v>
      </c>
      <c r="K46" s="5">
        <f>recovered!K46-recovered!J46</f>
        <v>0</v>
      </c>
      <c r="L46" s="5">
        <f>recovered!L46-recovered!K46</f>
        <v>0</v>
      </c>
      <c r="M46" s="5">
        <f>recovered!M46-recovered!L46</f>
        <v>0</v>
      </c>
      <c r="N46" s="5">
        <f>recovered!N46-recovered!M46</f>
        <v>0</v>
      </c>
      <c r="O46" s="5">
        <f>recovered!O46-recovered!N46</f>
        <v>0</v>
      </c>
      <c r="P46" s="5">
        <f>recovered!P46-recovered!O46</f>
        <v>3</v>
      </c>
      <c r="Q46" s="5">
        <f>recovered!Q46-recovered!P46</f>
        <v>0</v>
      </c>
      <c r="R46" s="5">
        <f>recovered!R46-recovered!Q46</f>
        <v>1</v>
      </c>
      <c r="S46" s="5">
        <f>recovered!S46-recovered!R46</f>
        <v>2</v>
      </c>
      <c r="T46" s="5">
        <f>recovered!T46-recovered!S46</f>
        <v>0</v>
      </c>
      <c r="U46" s="5">
        <f>recovered!U46-recovered!T46</f>
        <v>3</v>
      </c>
      <c r="V46" s="5">
        <f>recovered!V46-recovered!U46</f>
        <v>3</v>
      </c>
      <c r="W46" s="5">
        <f>recovered!W46-recovered!V46</f>
        <v>4</v>
      </c>
      <c r="X46" s="5">
        <f>recovered!X46-recovered!W46</f>
        <v>1</v>
      </c>
      <c r="Y46" s="5">
        <f>recovered!Y46-recovered!X46</f>
        <v>7</v>
      </c>
      <c r="Z46" s="5">
        <f>recovered!Z46-recovered!Y46</f>
        <v>7</v>
      </c>
      <c r="AA46" s="5">
        <f>recovered!AA46-recovered!Z46</f>
        <v>8</v>
      </c>
      <c r="AB46" s="5">
        <f>recovered!AB46-recovered!AA46</f>
        <v>0</v>
      </c>
      <c r="AC46" s="5">
        <f>recovered!AC46-recovered!AB46</f>
        <v>10</v>
      </c>
      <c r="AD46" s="5">
        <f>recovered!AD46-recovered!AC46</f>
        <v>5</v>
      </c>
      <c r="AE46" s="5">
        <f>recovered!AE46-recovered!AD46</f>
        <v>4</v>
      </c>
      <c r="AF46" s="5">
        <f>recovered!AF46-recovered!AE46</f>
        <v>4</v>
      </c>
      <c r="AG46" s="5">
        <f>recovered!AG46-recovered!AF46</f>
        <v>3</v>
      </c>
      <c r="AH46" s="5">
        <f>recovered!AH46-recovered!AG46</f>
        <v>6</v>
      </c>
      <c r="AI46" s="5">
        <f>recovered!AI46-recovered!AH46</f>
        <v>5</v>
      </c>
      <c r="AJ46" s="5">
        <f>recovered!AJ46-recovered!AI46</f>
        <v>0</v>
      </c>
      <c r="AK46" s="5">
        <f>recovered!AK46-recovered!AJ46</f>
        <v>2</v>
      </c>
      <c r="AL46" s="5">
        <f>recovered!AL46-recovered!AK46</f>
        <v>2</v>
      </c>
      <c r="AM46" s="5">
        <f>recovered!AM46-recovered!AL46</f>
        <v>0</v>
      </c>
      <c r="AN46" s="5">
        <f>recovered!AN46-recovered!AM46</f>
        <v>1</v>
      </c>
      <c r="AO46" s="5">
        <f>recovered!AO46-recovered!AN46</f>
        <v>0</v>
      </c>
      <c r="AP46" s="5">
        <f>recovered!AP46-recovered!AO46</f>
        <v>1</v>
      </c>
      <c r="AQ46" s="5">
        <f>recovered!AQ46-recovered!AP46</f>
        <v>0</v>
      </c>
      <c r="AR46" s="5">
        <f>recovered!AR46-recovered!AQ46</f>
        <v>2</v>
      </c>
      <c r="AS46" s="5">
        <f>recovered!AS46-recovered!AR46</f>
        <v>1</v>
      </c>
      <c r="AT46" s="5">
        <f>recovered!AT46-recovered!AS46</f>
        <v>1</v>
      </c>
      <c r="AU46" s="5">
        <f>recovered!AU46-recovered!AT46</f>
        <v>1</v>
      </c>
      <c r="AV46" s="5">
        <f>recovered!AV46-recovered!AU46</f>
        <v>0</v>
      </c>
      <c r="AW46" s="5">
        <f>recovered!AW46-recovered!AV46</f>
        <v>0</v>
      </c>
      <c r="AX46" s="5">
        <f>recovered!AX46-recovered!AW46</f>
        <v>0</v>
      </c>
      <c r="AY46" s="5">
        <f>recovered!AY46-recovered!AX46</f>
        <v>0</v>
      </c>
      <c r="AZ46" s="5">
        <f>recovered!AZ46-recovered!AY46</f>
        <v>1</v>
      </c>
      <c r="BA46" s="5">
        <f>recovered!BA46-recovered!AZ46</f>
        <v>0</v>
      </c>
      <c r="BB46" s="5">
        <f>recovered!BB46-recovered!BA46</f>
        <v>0</v>
      </c>
      <c r="BC46" s="5">
        <f>recovered!BC46-recovered!BB46</f>
        <v>0</v>
      </c>
      <c r="BD46" s="5">
        <f>recovered!BD46-recovered!BC46</f>
        <v>0</v>
      </c>
      <c r="BE46" s="5">
        <f>recovered!BE46-recovered!BD46</f>
        <v>1</v>
      </c>
      <c r="BF46" s="5">
        <f>recovered!BF46-recovered!BE46</f>
        <v>2</v>
      </c>
      <c r="BG46" s="5">
        <f>recovered!BG46-recovered!BF46</f>
        <v>0</v>
      </c>
      <c r="BH46" s="5">
        <f>recovered!BH46-recovered!BG46</f>
        <v>0</v>
      </c>
      <c r="BI46" s="5">
        <f>recovered!BI46-recovered!BH46</f>
        <v>0</v>
      </c>
      <c r="BJ46" s="5">
        <f>recovered!BJ46-recovered!BI46</f>
        <v>0</v>
      </c>
      <c r="BK46" s="5">
        <f>recovered!BK46-recovered!BJ46</f>
        <v>7</v>
      </c>
      <c r="BL46" s="5">
        <f>recovered!BL46-recovered!BK46</f>
        <v>15</v>
      </c>
      <c r="BM46" s="5">
        <f>recovered!BM46-recovered!BL46</f>
        <v>1</v>
      </c>
      <c r="BN46" s="5">
        <f>recovered!BN46-recovered!BM46</f>
        <v>0</v>
      </c>
      <c r="BO46" s="5">
        <f>recovered!BO46-recovered!BN46</f>
        <v>5</v>
      </c>
      <c r="BP46" s="5">
        <f>recovered!BP46-recovered!BO46</f>
        <v>0</v>
      </c>
      <c r="BQ46" s="5">
        <f>recovered!BQ46-recovered!BP46</f>
        <v>2</v>
      </c>
      <c r="BR46" s="5">
        <f>recovered!BR46-recovered!BQ46</f>
        <v>2</v>
      </c>
      <c r="BS46" s="5">
        <f>recovered!BS46-recovered!BR46</f>
        <v>2</v>
      </c>
      <c r="BT46" s="5">
        <f>recovered!BT46-recovered!BS46</f>
        <v>0</v>
      </c>
      <c r="BU46" s="5">
        <f>recovered!BU46-recovered!BT46</f>
        <v>0</v>
      </c>
      <c r="BV46" s="5">
        <f>recovered!BV46-recovered!BU46</f>
        <v>0</v>
      </c>
      <c r="BW46" s="5">
        <f>recovered!BW46-recovered!BV46</f>
        <v>2</v>
      </c>
      <c r="BX46" s="5">
        <f>recovered!BX46-recovered!BW46</f>
        <v>0</v>
      </c>
      <c r="BY46" s="5">
        <f>recovered!BY46-recovered!BX46</f>
        <v>0</v>
      </c>
    </row>
    <row r="47">
      <c r="B47" s="1" t="str">
        <f>recovered!B47</f>
        <v>China</v>
      </c>
      <c r="C47" s="4">
        <f>recovered!C47</f>
        <v>23.3417</v>
      </c>
      <c r="D47" s="4">
        <f>recovered!D47</f>
        <v>113.4244</v>
      </c>
      <c r="E47" s="5">
        <f>recovered!E47</f>
        <v>0</v>
      </c>
      <c r="F47" s="5">
        <f>recovered!F47-recovered!E47</f>
        <v>2</v>
      </c>
      <c r="G47" s="5">
        <f>recovered!G47-recovered!F47</f>
        <v>0</v>
      </c>
      <c r="H47" s="5">
        <f>recovered!H47-recovered!G47</f>
        <v>0</v>
      </c>
      <c r="I47" s="5">
        <f>recovered!I47-recovered!H47</f>
        <v>0</v>
      </c>
      <c r="J47" s="5">
        <f>recovered!J47-recovered!I47</f>
        <v>2</v>
      </c>
      <c r="K47" s="5">
        <f>recovered!K47-recovered!J47</f>
        <v>0</v>
      </c>
      <c r="L47" s="5">
        <f>recovered!L47-recovered!K47</f>
        <v>1</v>
      </c>
      <c r="M47" s="5">
        <f>recovered!M47-recovered!L47</f>
        <v>5</v>
      </c>
      <c r="N47" s="5">
        <f>recovered!N47-recovered!M47</f>
        <v>1</v>
      </c>
      <c r="O47" s="5">
        <f>recovered!O47-recovered!N47</f>
        <v>3</v>
      </c>
      <c r="P47" s="5">
        <f>recovered!P47-recovered!O47</f>
        <v>1</v>
      </c>
      <c r="Q47" s="5">
        <f>recovered!Q47-recovered!P47</f>
        <v>6</v>
      </c>
      <c r="R47" s="5">
        <f>recovered!R47-recovered!Q47</f>
        <v>9</v>
      </c>
      <c r="S47" s="5">
        <f>recovered!S47-recovered!R47</f>
        <v>19</v>
      </c>
      <c r="T47" s="5">
        <f>recovered!T47-recovered!S47</f>
        <v>20</v>
      </c>
      <c r="U47" s="5">
        <f>recovered!U47-recovered!T47</f>
        <v>19</v>
      </c>
      <c r="V47" s="5">
        <f>recovered!V47-recovered!U47</f>
        <v>24</v>
      </c>
      <c r="W47" s="5">
        <f>recovered!W47-recovered!V47</f>
        <v>29</v>
      </c>
      <c r="X47" s="5">
        <f>recovered!X47-recovered!W47</f>
        <v>26</v>
      </c>
      <c r="Y47" s="5">
        <f>recovered!Y47-recovered!X47</f>
        <v>45</v>
      </c>
      <c r="Z47" s="5">
        <f>recovered!Z47-recovered!Y47</f>
        <v>63</v>
      </c>
      <c r="AA47" s="5">
        <f>recovered!AA47-recovered!Z47</f>
        <v>39</v>
      </c>
      <c r="AB47" s="5">
        <f>recovered!AB47-recovered!AA47</f>
        <v>48</v>
      </c>
      <c r="AC47" s="5">
        <f>recovered!AC47-recovered!AB47</f>
        <v>48</v>
      </c>
      <c r="AD47" s="5">
        <f>recovered!AD47-recovered!AC47</f>
        <v>55</v>
      </c>
      <c r="AE47" s="5">
        <f>recovered!AE47-recovered!AD47</f>
        <v>59</v>
      </c>
      <c r="AF47" s="5">
        <f>recovered!AF47-recovered!AE47</f>
        <v>41</v>
      </c>
      <c r="AG47" s="5">
        <f>recovered!AG47-recovered!AF47</f>
        <v>41</v>
      </c>
      <c r="AH47" s="5">
        <f>recovered!AH47-recovered!AG47</f>
        <v>36</v>
      </c>
      <c r="AI47" s="5">
        <f>recovered!AI47-recovered!AH47</f>
        <v>48</v>
      </c>
      <c r="AJ47" s="5">
        <f>recovered!AJ47-recovered!AI47</f>
        <v>38</v>
      </c>
      <c r="AK47" s="5">
        <f>recovered!AK47-recovered!AJ47</f>
        <v>27</v>
      </c>
      <c r="AL47" s="5">
        <f>recovered!AL47-recovered!AK47</f>
        <v>31</v>
      </c>
      <c r="AM47" s="5">
        <f>recovered!AM47-recovered!AL47</f>
        <v>36</v>
      </c>
      <c r="AN47" s="5">
        <f>recovered!AN47-recovered!AM47</f>
        <v>29</v>
      </c>
      <c r="AO47" s="5">
        <f>recovered!AO47-recovered!AN47</f>
        <v>39</v>
      </c>
      <c r="AP47" s="5">
        <f>recovered!AP47-recovered!AO47</f>
        <v>45</v>
      </c>
      <c r="AQ47" s="5">
        <f>recovered!AQ47-recovered!AP47</f>
        <v>48</v>
      </c>
      <c r="AR47" s="5">
        <f>recovered!AR47-recovered!AQ47</f>
        <v>33</v>
      </c>
      <c r="AS47" s="5">
        <f>recovered!AS47-recovered!AR47</f>
        <v>43</v>
      </c>
      <c r="AT47" s="5">
        <f>recovered!AT47-recovered!AS47</f>
        <v>42</v>
      </c>
      <c r="AU47" s="5">
        <f>recovered!AU47-recovered!AT47</f>
        <v>32</v>
      </c>
      <c r="AV47" s="5">
        <f>recovered!AV47-recovered!AU47</f>
        <v>48</v>
      </c>
      <c r="AW47" s="5">
        <f>recovered!AW47-recovered!AV47</f>
        <v>35</v>
      </c>
      <c r="AX47" s="5">
        <f>recovered!AX47-recovered!AW47</f>
        <v>21</v>
      </c>
      <c r="AY47" s="5">
        <f>recovered!AY47-recovered!AX47</f>
        <v>19</v>
      </c>
      <c r="AZ47" s="5">
        <f>recovered!AZ47-recovered!AY47</f>
        <v>4</v>
      </c>
      <c r="BA47" s="5">
        <f>recovered!BA47-recovered!AZ47</f>
        <v>14</v>
      </c>
      <c r="BB47" s="5">
        <f>recovered!BB47-recovered!BA47</f>
        <v>8</v>
      </c>
      <c r="BC47" s="5">
        <f>recovered!BC47-recovered!BB47</f>
        <v>7</v>
      </c>
      <c r="BD47" s="5">
        <f>recovered!BD47-recovered!BC47</f>
        <v>7</v>
      </c>
      <c r="BE47" s="5">
        <f>recovered!BE47-recovered!BD47</f>
        <v>3</v>
      </c>
      <c r="BF47" s="5">
        <f>recovered!BF47-recovered!BE47</f>
        <v>5</v>
      </c>
      <c r="BG47" s="5">
        <f>recovered!BG47-recovered!BF47</f>
        <v>2</v>
      </c>
      <c r="BH47" s="5">
        <f>recovered!BH47-recovered!BG47</f>
        <v>1</v>
      </c>
      <c r="BI47" s="5">
        <f>recovered!BI47-recovered!BH47</f>
        <v>6</v>
      </c>
      <c r="BJ47" s="5">
        <f>recovered!BJ47-recovered!BI47</f>
        <v>5</v>
      </c>
      <c r="BK47" s="5">
        <f>recovered!BK47-recovered!BJ47</f>
        <v>5</v>
      </c>
      <c r="BL47" s="5">
        <f>recovered!BL47-recovered!BK47</f>
        <v>2</v>
      </c>
      <c r="BM47" s="5">
        <f>recovered!BM47-recovered!BL47</f>
        <v>4</v>
      </c>
      <c r="BN47" s="5">
        <f>recovered!BN47-recovered!BM47</f>
        <v>3</v>
      </c>
      <c r="BO47" s="5">
        <f>recovered!BO47-recovered!BN47</f>
        <v>1</v>
      </c>
      <c r="BP47" s="5">
        <f>recovered!BP47-recovered!BO47</f>
        <v>3</v>
      </c>
      <c r="BQ47" s="5">
        <f>recovered!BQ47-recovered!BP47</f>
        <v>0</v>
      </c>
      <c r="BR47" s="5">
        <f>recovered!BR47-recovered!BQ47</f>
        <v>1</v>
      </c>
      <c r="BS47" s="5">
        <f>recovered!BS47-recovered!BR47</f>
        <v>4</v>
      </c>
      <c r="BT47" s="5">
        <f>recovered!BT47-recovered!BS47</f>
        <v>8</v>
      </c>
      <c r="BU47" s="5">
        <f>recovered!BU47-recovered!BT47</f>
        <v>2</v>
      </c>
      <c r="BV47" s="5">
        <f>recovered!BV47-recovered!BU47</f>
        <v>5</v>
      </c>
      <c r="BW47" s="5">
        <f>recovered!BW47-recovered!BV47</f>
        <v>1</v>
      </c>
      <c r="BX47" s="5">
        <f>recovered!BX47-recovered!BW47</f>
        <v>8</v>
      </c>
      <c r="BY47" s="5">
        <f>recovered!BY47-recovered!BX47</f>
        <v>3</v>
      </c>
    </row>
    <row r="48">
      <c r="B48" s="1" t="str">
        <f>recovered!B48</f>
        <v>China</v>
      </c>
      <c r="C48" s="4">
        <f>recovered!C48</f>
        <v>23.8298</v>
      </c>
      <c r="D48" s="4">
        <f>recovered!D48</f>
        <v>108.7881</v>
      </c>
      <c r="E48" s="5">
        <f>recovered!E48</f>
        <v>0</v>
      </c>
      <c r="F48" s="5">
        <f>recovered!F48-recovered!E48</f>
        <v>0</v>
      </c>
      <c r="G48" s="5">
        <f>recovered!G48-recovered!F48</f>
        <v>0</v>
      </c>
      <c r="H48" s="5">
        <f>recovered!H48-recovered!G48</f>
        <v>0</v>
      </c>
      <c r="I48" s="5">
        <f>recovered!I48-recovered!H48</f>
        <v>0</v>
      </c>
      <c r="J48" s="5">
        <f>recovered!J48-recovered!I48</f>
        <v>0</v>
      </c>
      <c r="K48" s="5">
        <f>recovered!K48-recovered!J48</f>
        <v>2</v>
      </c>
      <c r="L48" s="5">
        <f>recovered!L48-recovered!K48</f>
        <v>0</v>
      </c>
      <c r="M48" s="5">
        <f>recovered!M48-recovered!L48</f>
        <v>0</v>
      </c>
      <c r="N48" s="5">
        <f>recovered!N48-recovered!M48</f>
        <v>0</v>
      </c>
      <c r="O48" s="5">
        <f>recovered!O48-recovered!N48</f>
        <v>0</v>
      </c>
      <c r="P48" s="5">
        <f>recovered!P48-recovered!O48</f>
        <v>0</v>
      </c>
      <c r="Q48" s="5">
        <f>recovered!Q48-recovered!P48</f>
        <v>5</v>
      </c>
      <c r="R48" s="5">
        <f>recovered!R48-recovered!Q48</f>
        <v>3</v>
      </c>
      <c r="S48" s="5">
        <f>recovered!S48-recovered!R48</f>
        <v>3</v>
      </c>
      <c r="T48" s="5">
        <f>recovered!T48-recovered!S48</f>
        <v>1</v>
      </c>
      <c r="U48" s="5">
        <f>recovered!U48-recovered!T48</f>
        <v>3</v>
      </c>
      <c r="V48" s="5">
        <f>recovered!V48-recovered!U48</f>
        <v>0</v>
      </c>
      <c r="W48" s="5">
        <f>recovered!W48-recovered!V48</f>
        <v>1</v>
      </c>
      <c r="X48" s="5">
        <f>recovered!X48-recovered!W48</f>
        <v>6</v>
      </c>
      <c r="Y48" s="5">
        <f>recovered!Y48-recovered!X48</f>
        <v>9</v>
      </c>
      <c r="Z48" s="5">
        <f>recovered!Z48-recovered!Y48</f>
        <v>-1</v>
      </c>
      <c r="AA48" s="5">
        <f>recovered!AA48-recovered!Z48</f>
        <v>1</v>
      </c>
      <c r="AB48" s="5">
        <f>recovered!AB48-recovered!AA48</f>
        <v>3</v>
      </c>
      <c r="AC48" s="5">
        <f>recovered!AC48-recovered!AB48</f>
        <v>8</v>
      </c>
      <c r="AD48" s="5">
        <f>recovered!AD48-recovered!AC48</f>
        <v>5</v>
      </c>
      <c r="AE48" s="5">
        <f>recovered!AE48-recovered!AD48</f>
        <v>4</v>
      </c>
      <c r="AF48" s="5">
        <f>recovered!AF48-recovered!AE48</f>
        <v>16</v>
      </c>
      <c r="AG48" s="5">
        <f>recovered!AG48-recovered!AF48</f>
        <v>17</v>
      </c>
      <c r="AH48" s="5">
        <f>recovered!AH48-recovered!AG48</f>
        <v>4</v>
      </c>
      <c r="AI48" s="5">
        <f>recovered!AI48-recovered!AH48</f>
        <v>7</v>
      </c>
      <c r="AJ48" s="5">
        <f>recovered!AJ48-recovered!AI48</f>
        <v>7</v>
      </c>
      <c r="AK48" s="5">
        <f>recovered!AK48-recovered!AJ48</f>
        <v>2</v>
      </c>
      <c r="AL48" s="5">
        <f>recovered!AL48-recovered!AK48</f>
        <v>6</v>
      </c>
      <c r="AM48" s="5">
        <f>recovered!AM48-recovered!AL48</f>
        <v>22</v>
      </c>
      <c r="AN48" s="5">
        <f>recovered!AN48-recovered!AM48</f>
        <v>13</v>
      </c>
      <c r="AO48" s="5">
        <f>recovered!AO48-recovered!AN48</f>
        <v>14</v>
      </c>
      <c r="AP48" s="5">
        <f>recovered!AP48-recovered!AO48</f>
        <v>7</v>
      </c>
      <c r="AQ48" s="5">
        <f>recovered!AQ48-recovered!AP48</f>
        <v>8</v>
      </c>
      <c r="AR48" s="5">
        <f>recovered!AR48-recovered!AQ48</f>
        <v>5</v>
      </c>
      <c r="AS48" s="5">
        <f>recovered!AS48-recovered!AR48</f>
        <v>11</v>
      </c>
      <c r="AT48" s="5">
        <f>recovered!AT48-recovered!AS48</f>
        <v>10</v>
      </c>
      <c r="AU48" s="5">
        <f>recovered!AU48-recovered!AT48</f>
        <v>8</v>
      </c>
      <c r="AV48" s="5">
        <f>recovered!AV48-recovered!AU48</f>
        <v>4</v>
      </c>
      <c r="AW48" s="5">
        <f>recovered!AW48-recovered!AV48</f>
        <v>3</v>
      </c>
      <c r="AX48" s="5">
        <f>recovered!AX48-recovered!AW48</f>
        <v>1</v>
      </c>
      <c r="AY48" s="5">
        <f>recovered!AY48-recovered!AX48</f>
        <v>5</v>
      </c>
      <c r="AZ48" s="5">
        <f>recovered!AZ48-recovered!AY48</f>
        <v>7</v>
      </c>
      <c r="BA48" s="5">
        <f>recovered!BA48-recovered!AZ48</f>
        <v>4</v>
      </c>
      <c r="BB48" s="5">
        <f>recovered!BB48-recovered!BA48</f>
        <v>4</v>
      </c>
      <c r="BC48" s="5">
        <f>recovered!BC48-recovered!BB48</f>
        <v>3</v>
      </c>
      <c r="BD48" s="5">
        <f>recovered!BD48-recovered!BC48</f>
        <v>2</v>
      </c>
      <c r="BE48" s="5">
        <f>recovered!BE48-recovered!BD48</f>
        <v>0</v>
      </c>
      <c r="BF48" s="5">
        <f>recovered!BF48-recovered!BE48</f>
        <v>0</v>
      </c>
      <c r="BG48" s="5">
        <f>recovered!BG48-recovered!BF48</f>
        <v>5</v>
      </c>
      <c r="BH48" s="5">
        <f>recovered!BH48-recovered!BG48</f>
        <v>0</v>
      </c>
      <c r="BI48" s="5">
        <f>recovered!BI48-recovered!BH48</f>
        <v>2</v>
      </c>
      <c r="BJ48" s="5">
        <f>recovered!BJ48-recovered!BI48</f>
        <v>0</v>
      </c>
      <c r="BK48" s="5">
        <f>recovered!BK48-recovered!BJ48</f>
        <v>0</v>
      </c>
      <c r="BL48" s="5">
        <f>recovered!BL48-recovered!BK48</f>
        <v>0</v>
      </c>
      <c r="BM48" s="5">
        <f>recovered!BM48-recovered!BL48</f>
        <v>0</v>
      </c>
      <c r="BN48" s="5">
        <f>recovered!BN48-recovered!BM48</f>
        <v>0</v>
      </c>
      <c r="BO48" s="5">
        <f>recovered!BO48-recovered!BN48</f>
        <v>0</v>
      </c>
      <c r="BP48" s="5">
        <f>recovered!BP48-recovered!BO48</f>
        <v>0</v>
      </c>
      <c r="BQ48" s="5">
        <f>recovered!BQ48-recovered!BP48</f>
        <v>0</v>
      </c>
      <c r="BR48" s="5">
        <f>recovered!BR48-recovered!BQ48</f>
        <v>0</v>
      </c>
      <c r="BS48" s="5">
        <f>recovered!BS48-recovered!BR48</f>
        <v>0</v>
      </c>
      <c r="BT48" s="5">
        <f>recovered!BT48-recovered!BS48</f>
        <v>0</v>
      </c>
      <c r="BU48" s="5">
        <f>recovered!BU48-recovered!BT48</f>
        <v>0</v>
      </c>
      <c r="BV48" s="5">
        <f>recovered!BV48-recovered!BU48</f>
        <v>0</v>
      </c>
      <c r="BW48" s="5">
        <f>recovered!BW48-recovered!BV48</f>
        <v>0</v>
      </c>
      <c r="BX48" s="5">
        <f>recovered!BX48-recovered!BW48</f>
        <v>2</v>
      </c>
      <c r="BY48" s="5">
        <f>recovered!BY48-recovered!BX48</f>
        <v>0</v>
      </c>
    </row>
    <row r="49">
      <c r="B49" s="1" t="str">
        <f>recovered!B49</f>
        <v>China</v>
      </c>
      <c r="C49" s="4">
        <f>recovered!C49</f>
        <v>26.8154</v>
      </c>
      <c r="D49" s="4">
        <f>recovered!D49</f>
        <v>106.8748</v>
      </c>
      <c r="E49" s="5">
        <f>recovered!E49</f>
        <v>0</v>
      </c>
      <c r="F49" s="5">
        <f>recovered!F49-recovered!E49</f>
        <v>0</v>
      </c>
      <c r="G49" s="5">
        <f>recovered!G49-recovered!F49</f>
        <v>0</v>
      </c>
      <c r="H49" s="5">
        <f>recovered!H49-recovered!G49</f>
        <v>0</v>
      </c>
      <c r="I49" s="5">
        <f>recovered!I49-recovered!H49</f>
        <v>0</v>
      </c>
      <c r="J49" s="5">
        <f>recovered!J49-recovered!I49</f>
        <v>0</v>
      </c>
      <c r="K49" s="5">
        <f>recovered!K49-recovered!J49</f>
        <v>0</v>
      </c>
      <c r="L49" s="5">
        <f>recovered!L49-recovered!K49</f>
        <v>1</v>
      </c>
      <c r="M49" s="5">
        <f>recovered!M49-recovered!L49</f>
        <v>0</v>
      </c>
      <c r="N49" s="5">
        <f>recovered!N49-recovered!M49</f>
        <v>1</v>
      </c>
      <c r="O49" s="5">
        <f>recovered!O49-recovered!N49</f>
        <v>0</v>
      </c>
      <c r="P49" s="5">
        <f>recovered!P49-recovered!O49</f>
        <v>0</v>
      </c>
      <c r="Q49" s="5">
        <f>recovered!Q49-recovered!P49</f>
        <v>0</v>
      </c>
      <c r="R49" s="5">
        <f>recovered!R49-recovered!Q49</f>
        <v>0</v>
      </c>
      <c r="S49" s="5">
        <f>recovered!S49-recovered!R49</f>
        <v>7</v>
      </c>
      <c r="T49" s="5">
        <f>recovered!T49-recovered!S49</f>
        <v>-3</v>
      </c>
      <c r="U49" s="5">
        <f>recovered!U49-recovered!T49</f>
        <v>0</v>
      </c>
      <c r="V49" s="5">
        <f>recovered!V49-recovered!U49</f>
        <v>1</v>
      </c>
      <c r="W49" s="5">
        <f>recovered!W49-recovered!V49</f>
        <v>0</v>
      </c>
      <c r="X49" s="5">
        <f>recovered!X49-recovered!W49</f>
        <v>3</v>
      </c>
      <c r="Y49" s="5">
        <f>recovered!Y49-recovered!X49</f>
        <v>7</v>
      </c>
      <c r="Z49" s="5">
        <f>recovered!Z49-recovered!Y49</f>
        <v>1</v>
      </c>
      <c r="AA49" s="5">
        <f>recovered!AA49-recovered!Z49</f>
        <v>9</v>
      </c>
      <c r="AB49" s="5">
        <f>recovered!AB49-recovered!AA49</f>
        <v>1</v>
      </c>
      <c r="AC49" s="5">
        <f>recovered!AC49-recovered!AB49</f>
        <v>13</v>
      </c>
      <c r="AD49" s="5">
        <f>recovered!AD49-recovered!AC49</f>
        <v>5</v>
      </c>
      <c r="AE49" s="5">
        <f>recovered!AE49-recovered!AD49</f>
        <v>11</v>
      </c>
      <c r="AF49" s="5">
        <f>recovered!AF49-recovered!AE49</f>
        <v>9</v>
      </c>
      <c r="AG49" s="5">
        <f>recovered!AG49-recovered!AF49</f>
        <v>4</v>
      </c>
      <c r="AH49" s="5">
        <f>recovered!AH49-recovered!AG49</f>
        <v>2</v>
      </c>
      <c r="AI49" s="5">
        <f>recovered!AI49-recovered!AH49</f>
        <v>5</v>
      </c>
      <c r="AJ49" s="5">
        <f>recovered!AJ49-recovered!AI49</f>
        <v>13</v>
      </c>
      <c r="AK49" s="5">
        <f>recovered!AK49-recovered!AJ49</f>
        <v>12</v>
      </c>
      <c r="AL49" s="5">
        <f>recovered!AL49-recovered!AK49</f>
        <v>0</v>
      </c>
      <c r="AM49" s="5">
        <f>recovered!AM49-recovered!AL49</f>
        <v>2</v>
      </c>
      <c r="AN49" s="5">
        <f>recovered!AN49-recovered!AM49</f>
        <v>0</v>
      </c>
      <c r="AO49" s="5">
        <f>recovered!AO49-recovered!AN49</f>
        <v>8</v>
      </c>
      <c r="AP49" s="5">
        <f>recovered!AP49-recovered!AO49</f>
        <v>0</v>
      </c>
      <c r="AQ49" s="5">
        <f>recovered!AQ49-recovered!AP49</f>
        <v>0</v>
      </c>
      <c r="AR49" s="5">
        <f>recovered!AR49-recovered!AQ49</f>
        <v>0</v>
      </c>
      <c r="AS49" s="5">
        <f>recovered!AS49-recovered!AR49</f>
        <v>2</v>
      </c>
      <c r="AT49" s="5">
        <f>recovered!AT49-recovered!AS49</f>
        <v>0</v>
      </c>
      <c r="AU49" s="5">
        <f>recovered!AU49-recovered!AT49</f>
        <v>0</v>
      </c>
      <c r="AV49" s="5">
        <f>recovered!AV49-recovered!AU49</f>
        <v>0</v>
      </c>
      <c r="AW49" s="5">
        <f>recovered!AW49-recovered!AV49</f>
        <v>0</v>
      </c>
      <c r="AX49" s="5">
        <f>recovered!AX49-recovered!AW49</f>
        <v>1</v>
      </c>
      <c r="AY49" s="5">
        <f>recovered!AY49-recovered!AX49</f>
        <v>2</v>
      </c>
      <c r="AZ49" s="5">
        <f>recovered!AZ49-recovered!AY49</f>
        <v>6</v>
      </c>
      <c r="BA49" s="5">
        <f>recovered!BA49-recovered!AZ49</f>
        <v>6</v>
      </c>
      <c r="BB49" s="5">
        <f>recovered!BB49-recovered!BA49</f>
        <v>4</v>
      </c>
      <c r="BC49" s="5">
        <f>recovered!BC49-recovered!BB49</f>
        <v>4</v>
      </c>
      <c r="BD49" s="5">
        <f>recovered!BD49-recovered!BC49</f>
        <v>3</v>
      </c>
      <c r="BE49" s="5">
        <f>recovered!BE49-recovered!BD49</f>
        <v>3</v>
      </c>
      <c r="BF49" s="5">
        <f>recovered!BF49-recovered!BE49</f>
        <v>0</v>
      </c>
      <c r="BG49" s="5">
        <f>recovered!BG49-recovered!BF49</f>
        <v>1</v>
      </c>
      <c r="BH49" s="5">
        <f>recovered!BH49-recovered!BG49</f>
        <v>0</v>
      </c>
      <c r="BI49" s="5">
        <f>recovered!BI49-recovered!BH49</f>
        <v>0</v>
      </c>
      <c r="BJ49" s="5">
        <f>recovered!BJ49-recovered!BI49</f>
        <v>0</v>
      </c>
      <c r="BK49" s="5">
        <f>recovered!BK49-recovered!BJ49</f>
        <v>0</v>
      </c>
      <c r="BL49" s="5">
        <f>recovered!BL49-recovered!BK49</f>
        <v>0</v>
      </c>
      <c r="BM49" s="5">
        <f>recovered!BM49-recovered!BL49</f>
        <v>0</v>
      </c>
      <c r="BN49" s="5">
        <f>recovered!BN49-recovered!BM49</f>
        <v>0</v>
      </c>
      <c r="BO49" s="5">
        <f>recovered!BO49-recovered!BN49</f>
        <v>0</v>
      </c>
      <c r="BP49" s="5">
        <f>recovered!BP49-recovered!BO49</f>
        <v>0</v>
      </c>
      <c r="BQ49" s="5">
        <f>recovered!BQ49-recovered!BP49</f>
        <v>0</v>
      </c>
      <c r="BR49" s="5">
        <f>recovered!BR49-recovered!BQ49</f>
        <v>0</v>
      </c>
      <c r="BS49" s="5">
        <f>recovered!BS49-recovered!BR49</f>
        <v>0</v>
      </c>
      <c r="BT49" s="5">
        <f>recovered!BT49-recovered!BS49</f>
        <v>0</v>
      </c>
      <c r="BU49" s="5">
        <f>recovered!BU49-recovered!BT49</f>
        <v>0</v>
      </c>
      <c r="BV49" s="5">
        <f>recovered!BV49-recovered!BU49</f>
        <v>0</v>
      </c>
      <c r="BW49" s="5">
        <f>recovered!BW49-recovered!BV49</f>
        <v>0</v>
      </c>
      <c r="BX49" s="5">
        <f>recovered!BX49-recovered!BW49</f>
        <v>0</v>
      </c>
      <c r="BY49" s="5">
        <f>recovered!BY49-recovered!BX49</f>
        <v>0</v>
      </c>
    </row>
    <row r="50">
      <c r="B50" s="1" t="str">
        <f>recovered!B50</f>
        <v>China</v>
      </c>
      <c r="C50" s="4">
        <f>recovered!C50</f>
        <v>19.1959</v>
      </c>
      <c r="D50" s="4">
        <f>recovered!D50</f>
        <v>109.7453</v>
      </c>
      <c r="E50" s="5">
        <f>recovered!E50</f>
        <v>0</v>
      </c>
      <c r="F50" s="5">
        <f>recovered!F50-recovered!E50</f>
        <v>0</v>
      </c>
      <c r="G50" s="5">
        <f>recovered!G50-recovered!F50</f>
        <v>0</v>
      </c>
      <c r="H50" s="5">
        <f>recovered!H50-recovered!G50</f>
        <v>0</v>
      </c>
      <c r="I50" s="5">
        <f>recovered!I50-recovered!H50</f>
        <v>0</v>
      </c>
      <c r="J50" s="5">
        <f>recovered!J50-recovered!I50</f>
        <v>0</v>
      </c>
      <c r="K50" s="5">
        <f>recovered!K50-recovered!J50</f>
        <v>0</v>
      </c>
      <c r="L50" s="5">
        <f>recovered!L50-recovered!K50</f>
        <v>0</v>
      </c>
      <c r="M50" s="5">
        <f>recovered!M50-recovered!L50</f>
        <v>1</v>
      </c>
      <c r="N50" s="5">
        <f>recovered!N50-recovered!M50</f>
        <v>0</v>
      </c>
      <c r="O50" s="5">
        <f>recovered!O50-recovered!N50</f>
        <v>0</v>
      </c>
      <c r="P50" s="5">
        <f>recovered!P50-recovered!O50</f>
        <v>3</v>
      </c>
      <c r="Q50" s="5">
        <f>recovered!Q50-recovered!P50</f>
        <v>0</v>
      </c>
      <c r="R50" s="5">
        <f>recovered!R50-recovered!Q50</f>
        <v>1</v>
      </c>
      <c r="S50" s="5">
        <f>recovered!S50-recovered!R50</f>
        <v>0</v>
      </c>
      <c r="T50" s="5">
        <f>recovered!T50-recovered!S50</f>
        <v>3</v>
      </c>
      <c r="U50" s="5">
        <f>recovered!U50-recovered!T50</f>
        <v>2</v>
      </c>
      <c r="V50" s="5">
        <f>recovered!V50-recovered!U50</f>
        <v>4</v>
      </c>
      <c r="W50" s="5">
        <f>recovered!W50-recovered!V50</f>
        <v>5</v>
      </c>
      <c r="X50" s="5">
        <f>recovered!X50-recovered!W50</f>
        <v>0</v>
      </c>
      <c r="Y50" s="5">
        <f>recovered!Y50-recovered!X50</f>
        <v>1</v>
      </c>
      <c r="Z50" s="5">
        <f>recovered!Z50-recovered!Y50</f>
        <v>7</v>
      </c>
      <c r="AA50" s="5">
        <f>recovered!AA50-recovered!Z50</f>
        <v>3</v>
      </c>
      <c r="AB50" s="5">
        <f>recovered!AB50-recovered!AA50</f>
        <v>13</v>
      </c>
      <c r="AC50" s="5">
        <f>recovered!AC50-recovered!AB50</f>
        <v>-4</v>
      </c>
      <c r="AD50" s="5">
        <f>recovered!AD50-recovered!AC50</f>
        <v>13</v>
      </c>
      <c r="AE50" s="5">
        <f>recovered!AE50-recovered!AD50</f>
        <v>7</v>
      </c>
      <c r="AF50" s="5">
        <f>recovered!AF50-recovered!AE50</f>
        <v>20</v>
      </c>
      <c r="AG50" s="5">
        <f>recovered!AG50-recovered!AF50</f>
        <v>5</v>
      </c>
      <c r="AH50" s="5">
        <f>recovered!AH50-recovered!AG50</f>
        <v>2</v>
      </c>
      <c r="AI50" s="5">
        <f>recovered!AI50-recovered!AH50</f>
        <v>9</v>
      </c>
      <c r="AJ50" s="5">
        <f>recovered!AJ50-recovered!AI50</f>
        <v>9</v>
      </c>
      <c r="AK50" s="5">
        <f>recovered!AK50-recovered!AJ50</f>
        <v>2</v>
      </c>
      <c r="AL50" s="5">
        <f>recovered!AL50-recovered!AK50</f>
        <v>10</v>
      </c>
      <c r="AM50" s="5">
        <f>recovered!AM50-recovered!AL50</f>
        <v>8</v>
      </c>
      <c r="AN50" s="5">
        <f>recovered!AN50-recovered!AM50</f>
        <v>5</v>
      </c>
      <c r="AO50" s="5">
        <f>recovered!AO50-recovered!AN50</f>
        <v>2</v>
      </c>
      <c r="AP50" s="5">
        <f>recovered!AP50-recovered!AO50</f>
        <v>2</v>
      </c>
      <c r="AQ50" s="5">
        <f>recovered!AQ50-recovered!AP50</f>
        <v>15</v>
      </c>
      <c r="AR50" s="5">
        <f>recovered!AR50-recovered!AQ50</f>
        <v>1</v>
      </c>
      <c r="AS50" s="5">
        <f>recovered!AS50-recovered!AR50</f>
        <v>2</v>
      </c>
      <c r="AT50" s="5">
        <f>recovered!AT50-recovered!AS50</f>
        <v>4</v>
      </c>
      <c r="AU50" s="5">
        <f>recovered!AU50-recovered!AT50</f>
        <v>3</v>
      </c>
      <c r="AV50" s="5">
        <f>recovered!AV50-recovered!AU50</f>
        <v>0</v>
      </c>
      <c r="AW50" s="5">
        <f>recovered!AW50-recovered!AV50</f>
        <v>0</v>
      </c>
      <c r="AX50" s="5">
        <f>recovered!AX50-recovered!AW50</f>
        <v>0</v>
      </c>
      <c r="AY50" s="5">
        <f>recovered!AY50-recovered!AX50</f>
        <v>1</v>
      </c>
      <c r="AZ50" s="5">
        <f>recovered!AZ50-recovered!AY50</f>
        <v>0</v>
      </c>
      <c r="BA50" s="5">
        <f>recovered!BA50-recovered!AZ50</f>
        <v>0</v>
      </c>
      <c r="BB50" s="5">
        <f>recovered!BB50-recovered!BA50</f>
        <v>0</v>
      </c>
      <c r="BC50" s="5">
        <f>recovered!BC50-recovered!BB50</f>
        <v>1</v>
      </c>
      <c r="BD50" s="5">
        <f>recovered!BD50-recovered!BC50</f>
        <v>0</v>
      </c>
      <c r="BE50" s="5">
        <f>recovered!BE50-recovered!BD50</f>
        <v>0</v>
      </c>
      <c r="BF50" s="5">
        <f>recovered!BF50-recovered!BE50</f>
        <v>0</v>
      </c>
      <c r="BG50" s="5">
        <f>recovered!BG50-recovered!BF50</f>
        <v>1</v>
      </c>
      <c r="BH50" s="5">
        <f>recovered!BH50-recovered!BG50</f>
        <v>0</v>
      </c>
      <c r="BI50" s="5">
        <f>recovered!BI50-recovered!BH50</f>
        <v>0</v>
      </c>
      <c r="BJ50" s="5">
        <f>recovered!BJ50-recovered!BI50</f>
        <v>0</v>
      </c>
      <c r="BK50" s="5">
        <f>recovered!BK50-recovered!BJ50</f>
        <v>0</v>
      </c>
      <c r="BL50" s="5">
        <f>recovered!BL50-recovered!BK50</f>
        <v>0</v>
      </c>
      <c r="BM50" s="5">
        <f>recovered!BM50-recovered!BL50</f>
        <v>0</v>
      </c>
      <c r="BN50" s="5">
        <f>recovered!BN50-recovered!BM50</f>
        <v>0</v>
      </c>
      <c r="BO50" s="5">
        <f>recovered!BO50-recovered!BN50</f>
        <v>7</v>
      </c>
      <c r="BP50" s="5">
        <f>recovered!BP50-recovered!BO50</f>
        <v>0</v>
      </c>
      <c r="BQ50" s="5">
        <f>recovered!BQ50-recovered!BP50</f>
        <v>0</v>
      </c>
      <c r="BR50" s="5">
        <f>recovered!BR50-recovered!BQ50</f>
        <v>0</v>
      </c>
      <c r="BS50" s="5">
        <f>recovered!BS50-recovered!BR50</f>
        <v>0</v>
      </c>
      <c r="BT50" s="5">
        <f>recovered!BT50-recovered!BS50</f>
        <v>0</v>
      </c>
      <c r="BU50" s="5">
        <f>recovered!BU50-recovered!BT50</f>
        <v>0</v>
      </c>
      <c r="BV50" s="5">
        <f>recovered!BV50-recovered!BU50</f>
        <v>0</v>
      </c>
      <c r="BW50" s="5">
        <f>recovered!BW50-recovered!BV50</f>
        <v>0</v>
      </c>
      <c r="BX50" s="5">
        <f>recovered!BX50-recovered!BW50</f>
        <v>-6</v>
      </c>
      <c r="BY50" s="5">
        <f>recovered!BY50-recovered!BX50</f>
        <v>0</v>
      </c>
    </row>
    <row r="51">
      <c r="B51" s="1" t="str">
        <f>recovered!B51</f>
        <v>China</v>
      </c>
      <c r="C51" s="4">
        <f>recovered!C51</f>
        <v>39.549</v>
      </c>
      <c r="D51" s="4">
        <f>recovered!D51</f>
        <v>116.1306</v>
      </c>
      <c r="E51" s="5">
        <f>recovered!E51</f>
        <v>0</v>
      </c>
      <c r="F51" s="5">
        <f>recovered!F51-recovered!E51</f>
        <v>0</v>
      </c>
      <c r="G51" s="5">
        <f>recovered!G51-recovered!F51</f>
        <v>0</v>
      </c>
      <c r="H51" s="5">
        <f>recovered!H51-recovered!G51</f>
        <v>0</v>
      </c>
      <c r="I51" s="5">
        <f>recovered!I51-recovered!H51</f>
        <v>0</v>
      </c>
      <c r="J51" s="5">
        <f>recovered!J51-recovered!I51</f>
        <v>0</v>
      </c>
      <c r="K51" s="5">
        <f>recovered!K51-recovered!J51</f>
        <v>0</v>
      </c>
      <c r="L51" s="5">
        <f>recovered!L51-recovered!K51</f>
        <v>0</v>
      </c>
      <c r="M51" s="5">
        <f>recovered!M51-recovered!L51</f>
        <v>0</v>
      </c>
      <c r="N51" s="5">
        <f>recovered!N51-recovered!M51</f>
        <v>0</v>
      </c>
      <c r="O51" s="5">
        <f>recovered!O51-recovered!N51</f>
        <v>0</v>
      </c>
      <c r="P51" s="5">
        <f>recovered!P51-recovered!O51</f>
        <v>3</v>
      </c>
      <c r="Q51" s="5">
        <f>recovered!Q51-recovered!P51</f>
        <v>0</v>
      </c>
      <c r="R51" s="5">
        <f>recovered!R51-recovered!Q51</f>
        <v>1</v>
      </c>
      <c r="S51" s="5">
        <f>recovered!S51-recovered!R51</f>
        <v>2</v>
      </c>
      <c r="T51" s="5">
        <f>recovered!T51-recovered!S51</f>
        <v>7</v>
      </c>
      <c r="U51" s="5">
        <f>recovered!U51-recovered!T51</f>
        <v>9</v>
      </c>
      <c r="V51" s="5">
        <f>recovered!V51-recovered!U51</f>
        <v>8</v>
      </c>
      <c r="W51" s="5">
        <f>recovered!W51-recovered!V51</f>
        <v>4</v>
      </c>
      <c r="X51" s="5">
        <f>recovered!X51-recovered!W51</f>
        <v>7</v>
      </c>
      <c r="Y51" s="5">
        <f>recovered!Y51-recovered!X51</f>
        <v>7</v>
      </c>
      <c r="Z51" s="5">
        <f>recovered!Z51-recovered!Y51</f>
        <v>6</v>
      </c>
      <c r="AA51" s="5">
        <f>recovered!AA51-recovered!Z51</f>
        <v>14</v>
      </c>
      <c r="AB51" s="5">
        <f>recovered!AB51-recovered!AA51</f>
        <v>19</v>
      </c>
      <c r="AC51" s="5">
        <f>recovered!AC51-recovered!AB51</f>
        <v>14</v>
      </c>
      <c r="AD51" s="5">
        <f>recovered!AD51-recovered!AC51</f>
        <v>4</v>
      </c>
      <c r="AE51" s="5">
        <f>recovered!AE51-recovered!AD51</f>
        <v>17</v>
      </c>
      <c r="AF51" s="5">
        <f>recovered!AF51-recovered!AE51</f>
        <v>14</v>
      </c>
      <c r="AG51" s="5">
        <f>recovered!AG51-recovered!AF51</f>
        <v>16</v>
      </c>
      <c r="AH51" s="5">
        <f>recovered!AH51-recovered!AG51</f>
        <v>17</v>
      </c>
      <c r="AI51" s="5">
        <f>recovered!AI51-recovered!AH51</f>
        <v>15</v>
      </c>
      <c r="AJ51" s="5">
        <f>recovered!AJ51-recovered!AI51</f>
        <v>19</v>
      </c>
      <c r="AK51" s="5">
        <f>recovered!AK51-recovered!AJ51</f>
        <v>16</v>
      </c>
      <c r="AL51" s="5">
        <f>recovered!AL51-recovered!AK51</f>
        <v>15</v>
      </c>
      <c r="AM51" s="5">
        <f>recovered!AM51-recovered!AL51</f>
        <v>14</v>
      </c>
      <c r="AN51" s="5">
        <f>recovered!AN51-recovered!AM51</f>
        <v>13</v>
      </c>
      <c r="AO51" s="5">
        <f>recovered!AO51-recovered!AN51</f>
        <v>13</v>
      </c>
      <c r="AP51" s="5">
        <f>recovered!AP51-recovered!AO51</f>
        <v>3</v>
      </c>
      <c r="AQ51" s="5">
        <f>recovered!AQ51-recovered!AP51</f>
        <v>5</v>
      </c>
      <c r="AR51" s="5">
        <f>recovered!AR51-recovered!AQ51</f>
        <v>12</v>
      </c>
      <c r="AS51" s="5">
        <f>recovered!AS51-recovered!AR51</f>
        <v>2</v>
      </c>
      <c r="AT51" s="5">
        <f>recovered!AT51-recovered!AS51</f>
        <v>4</v>
      </c>
      <c r="AU51" s="5">
        <f>recovered!AU51-recovered!AT51</f>
        <v>1</v>
      </c>
      <c r="AV51" s="5">
        <f>recovered!AV51-recovered!AU51</f>
        <v>3</v>
      </c>
      <c r="AW51" s="5">
        <f>recovered!AW51-recovered!AV51</f>
        <v>1</v>
      </c>
      <c r="AX51" s="5">
        <f>recovered!AX51-recovered!AW51</f>
        <v>2</v>
      </c>
      <c r="AY51" s="5">
        <f>recovered!AY51-recovered!AX51</f>
        <v>0</v>
      </c>
      <c r="AZ51" s="5">
        <f>recovered!AZ51-recovered!AY51</f>
        <v>0</v>
      </c>
      <c r="BA51" s="5">
        <f>recovered!BA51-recovered!AZ51</f>
        <v>0</v>
      </c>
      <c r="BB51" s="5">
        <f>recovered!BB51-recovered!BA51</f>
        <v>0</v>
      </c>
      <c r="BC51" s="5">
        <f>recovered!BC51-recovered!BB51</f>
        <v>1</v>
      </c>
      <c r="BD51" s="5">
        <f>recovered!BD51-recovered!BC51</f>
        <v>2</v>
      </c>
      <c r="BE51" s="5">
        <f>recovered!BE51-recovered!BD51</f>
        <v>0</v>
      </c>
      <c r="BF51" s="5">
        <f>recovered!BF51-recovered!BE51</f>
        <v>0</v>
      </c>
      <c r="BG51" s="5">
        <f>recovered!BG51-recovered!BF51</f>
        <v>0</v>
      </c>
      <c r="BH51" s="5">
        <f>recovered!BH51-recovered!BG51</f>
        <v>0</v>
      </c>
      <c r="BI51" s="5">
        <f>recovered!BI51-recovered!BH51</f>
        <v>0</v>
      </c>
      <c r="BJ51" s="5">
        <f>recovered!BJ51-recovered!BI51</f>
        <v>0</v>
      </c>
      <c r="BK51" s="5">
        <f>recovered!BK51-recovered!BJ51</f>
        <v>0</v>
      </c>
      <c r="BL51" s="5">
        <f>recovered!BL51-recovered!BK51</f>
        <v>0</v>
      </c>
      <c r="BM51" s="5">
        <f>recovered!BM51-recovered!BL51</f>
        <v>0</v>
      </c>
      <c r="BN51" s="5">
        <f>recovered!BN51-recovered!BM51</f>
        <v>0</v>
      </c>
      <c r="BO51" s="5">
        <f>recovered!BO51-recovered!BN51</f>
        <v>0</v>
      </c>
      <c r="BP51" s="5">
        <f>recovered!BP51-recovered!BO51</f>
        <v>0</v>
      </c>
      <c r="BQ51" s="5">
        <f>recovered!BQ51-recovered!BP51</f>
        <v>0</v>
      </c>
      <c r="BR51" s="5">
        <f>recovered!BR51-recovered!BQ51</f>
        <v>0</v>
      </c>
      <c r="BS51" s="5">
        <f>recovered!BS51-recovered!BR51</f>
        <v>0</v>
      </c>
      <c r="BT51" s="5">
        <f>recovered!BT51-recovered!BS51</f>
        <v>0</v>
      </c>
      <c r="BU51" s="5">
        <f>recovered!BU51-recovered!BT51</f>
        <v>0</v>
      </c>
      <c r="BV51" s="5">
        <f>recovered!BV51-recovered!BU51</f>
        <v>0</v>
      </c>
      <c r="BW51" s="5">
        <f>recovered!BW51-recovered!BV51</f>
        <v>0</v>
      </c>
      <c r="BX51" s="5">
        <f>recovered!BX51-recovered!BW51</f>
        <v>0</v>
      </c>
      <c r="BY51" s="5">
        <f>recovered!BY51-recovered!BX51</f>
        <v>0</v>
      </c>
    </row>
    <row r="52">
      <c r="B52" s="1" t="str">
        <f>recovered!B52</f>
        <v>China</v>
      </c>
      <c r="C52" s="4">
        <f>recovered!C52</f>
        <v>47.862</v>
      </c>
      <c r="D52" s="4">
        <f>recovered!D52</f>
        <v>127.7615</v>
      </c>
      <c r="E52" s="5">
        <f>recovered!E52</f>
        <v>0</v>
      </c>
      <c r="F52" s="5">
        <f>recovered!F52-recovered!E52</f>
        <v>0</v>
      </c>
      <c r="G52" s="5">
        <f>recovered!G52-recovered!F52</f>
        <v>0</v>
      </c>
      <c r="H52" s="5">
        <f>recovered!H52-recovered!G52</f>
        <v>0</v>
      </c>
      <c r="I52" s="5">
        <f>recovered!I52-recovered!H52</f>
        <v>0</v>
      </c>
      <c r="J52" s="5">
        <f>recovered!J52-recovered!I52</f>
        <v>0</v>
      </c>
      <c r="K52" s="5">
        <f>recovered!K52-recovered!J52</f>
        <v>0</v>
      </c>
      <c r="L52" s="5">
        <f>recovered!L52-recovered!K52</f>
        <v>0</v>
      </c>
      <c r="M52" s="5">
        <f>recovered!M52-recovered!L52</f>
        <v>0</v>
      </c>
      <c r="N52" s="5">
        <f>recovered!N52-recovered!M52</f>
        <v>0</v>
      </c>
      <c r="O52" s="5">
        <f>recovered!O52-recovered!N52</f>
        <v>2</v>
      </c>
      <c r="P52" s="5">
        <f>recovered!P52-recovered!O52</f>
        <v>0</v>
      </c>
      <c r="Q52" s="5">
        <f>recovered!Q52-recovered!P52</f>
        <v>0</v>
      </c>
      <c r="R52" s="5">
        <f>recovered!R52-recovered!Q52</f>
        <v>2</v>
      </c>
      <c r="S52" s="5">
        <f>recovered!S52-recovered!R52</f>
        <v>3</v>
      </c>
      <c r="T52" s="5">
        <f>recovered!T52-recovered!S52</f>
        <v>1</v>
      </c>
      <c r="U52" s="5">
        <f>recovered!U52-recovered!T52</f>
        <v>4</v>
      </c>
      <c r="V52" s="5">
        <f>recovered!V52-recovered!U52</f>
        <v>1</v>
      </c>
      <c r="W52" s="5">
        <f>recovered!W52-recovered!V52</f>
        <v>1</v>
      </c>
      <c r="X52" s="5">
        <f>recovered!X52-recovered!W52</f>
        <v>16</v>
      </c>
      <c r="Y52" s="5">
        <f>recovered!Y52-recovered!X52</f>
        <v>-2</v>
      </c>
      <c r="Z52" s="5">
        <f>recovered!Z52-recovered!Y52</f>
        <v>3</v>
      </c>
      <c r="AA52" s="5">
        <f>recovered!AA52-recovered!Z52</f>
        <v>2</v>
      </c>
      <c r="AB52" s="5">
        <f>recovered!AB52-recovered!AA52</f>
        <v>14</v>
      </c>
      <c r="AC52" s="5">
        <f>recovered!AC52-recovered!AB52</f>
        <v>21</v>
      </c>
      <c r="AD52" s="5">
        <f>recovered!AD52-recovered!AC52</f>
        <v>11</v>
      </c>
      <c r="AE52" s="5">
        <f>recovered!AE52-recovered!AD52</f>
        <v>6</v>
      </c>
      <c r="AF52" s="5">
        <f>recovered!AF52-recovered!AE52</f>
        <v>26</v>
      </c>
      <c r="AG52" s="5">
        <f>recovered!AG52-recovered!AF52</f>
        <v>9</v>
      </c>
      <c r="AH52" s="5">
        <f>recovered!AH52-recovered!AG52</f>
        <v>16</v>
      </c>
      <c r="AI52" s="5">
        <f>recovered!AI52-recovered!AH52</f>
        <v>39</v>
      </c>
      <c r="AJ52" s="5">
        <f>recovered!AJ52-recovered!AI52</f>
        <v>29</v>
      </c>
      <c r="AK52" s="5">
        <f>recovered!AK52-recovered!AJ52</f>
        <v>18</v>
      </c>
      <c r="AL52" s="5">
        <f>recovered!AL52-recovered!AK52</f>
        <v>5</v>
      </c>
      <c r="AM52" s="5">
        <f>recovered!AM52-recovered!AL52</f>
        <v>16</v>
      </c>
      <c r="AN52" s="5">
        <f>recovered!AN52-recovered!AM52</f>
        <v>6</v>
      </c>
      <c r="AO52" s="5">
        <f>recovered!AO52-recovered!AN52</f>
        <v>21</v>
      </c>
      <c r="AP52" s="5">
        <f>recovered!AP52-recovered!AO52</f>
        <v>13</v>
      </c>
      <c r="AQ52" s="5">
        <f>recovered!AQ52-recovered!AP52</f>
        <v>18</v>
      </c>
      <c r="AR52" s="5">
        <f>recovered!AR52-recovered!AQ52</f>
        <v>41</v>
      </c>
      <c r="AS52" s="5">
        <f>recovered!AS52-recovered!AR52</f>
        <v>14</v>
      </c>
      <c r="AT52" s="5">
        <f>recovered!AT52-recovered!AS52</f>
        <v>10</v>
      </c>
      <c r="AU52" s="5">
        <f>recovered!AU52-recovered!AT52</f>
        <v>7</v>
      </c>
      <c r="AV52" s="5">
        <f>recovered!AV52-recovered!AU52</f>
        <v>6</v>
      </c>
      <c r="AW52" s="5">
        <f>recovered!AW52-recovered!AV52</f>
        <v>17</v>
      </c>
      <c r="AX52" s="5">
        <f>recovered!AX52-recovered!AW52</f>
        <v>7</v>
      </c>
      <c r="AY52" s="5">
        <f>recovered!AY52-recovered!AX52</f>
        <v>9</v>
      </c>
      <c r="AZ52" s="5">
        <f>recovered!AZ52-recovered!AY52</f>
        <v>18</v>
      </c>
      <c r="BA52" s="5">
        <f>recovered!BA52-recovered!AZ52</f>
        <v>4</v>
      </c>
      <c r="BB52" s="5">
        <f>recovered!BB52-recovered!BA52</f>
        <v>2</v>
      </c>
      <c r="BC52" s="5">
        <f>recovered!BC52-recovered!BB52</f>
        <v>5</v>
      </c>
      <c r="BD52" s="5">
        <f>recovered!BD52-recovered!BC52</f>
        <v>5</v>
      </c>
      <c r="BE52" s="5">
        <f>recovered!BE52-recovered!BD52</f>
        <v>1</v>
      </c>
      <c r="BF52" s="5">
        <f>recovered!BF52-recovered!BE52</f>
        <v>6</v>
      </c>
      <c r="BG52" s="5">
        <f>recovered!BG52-recovered!BF52</f>
        <v>2</v>
      </c>
      <c r="BH52" s="5">
        <f>recovered!BH52-recovered!BG52</f>
        <v>1</v>
      </c>
      <c r="BI52" s="5">
        <f>recovered!BI52-recovered!BH52</f>
        <v>3</v>
      </c>
      <c r="BJ52" s="5">
        <f>recovered!BJ52-recovered!BI52</f>
        <v>1</v>
      </c>
      <c r="BK52" s="5">
        <f>recovered!BK52-recovered!BJ52</f>
        <v>3</v>
      </c>
      <c r="BL52" s="5">
        <f>recovered!BL52-recovered!BK52</f>
        <v>0</v>
      </c>
      <c r="BM52" s="5">
        <f>recovered!BM52-recovered!BL52</f>
        <v>3</v>
      </c>
      <c r="BN52" s="5">
        <f>recovered!BN52-recovered!BM52</f>
        <v>-1</v>
      </c>
      <c r="BO52" s="5">
        <f>recovered!BO52-recovered!BN52</f>
        <v>3</v>
      </c>
      <c r="BP52" s="5">
        <f>recovered!BP52-recovered!BO52</f>
        <v>0</v>
      </c>
      <c r="BQ52" s="5">
        <f>recovered!BQ52-recovered!BP52</f>
        <v>1</v>
      </c>
      <c r="BR52" s="5">
        <f>recovered!BR52-recovered!BQ52</f>
        <v>0</v>
      </c>
      <c r="BS52" s="5">
        <f>recovered!BS52-recovered!BR52</f>
        <v>0</v>
      </c>
      <c r="BT52" s="5">
        <f>recovered!BT52-recovered!BS52</f>
        <v>0</v>
      </c>
      <c r="BU52" s="5">
        <f>recovered!BU52-recovered!BT52</f>
        <v>0</v>
      </c>
      <c r="BV52" s="5">
        <f>recovered!BV52-recovered!BU52</f>
        <v>0</v>
      </c>
      <c r="BW52" s="5">
        <f>recovered!BW52-recovered!BV52</f>
        <v>0</v>
      </c>
      <c r="BX52" s="5">
        <f>recovered!BX52-recovered!BW52</f>
        <v>0</v>
      </c>
      <c r="BY52" s="5">
        <f>recovered!BY52-recovered!BX52</f>
        <v>0</v>
      </c>
    </row>
    <row r="53">
      <c r="B53" s="1" t="str">
        <f>recovered!B53</f>
        <v>China</v>
      </c>
      <c r="C53" s="4">
        <f>recovered!C53</f>
        <v>33.882</v>
      </c>
      <c r="D53" s="4">
        <f>recovered!D53</f>
        <v>113.614</v>
      </c>
      <c r="E53" s="5">
        <f>recovered!E53</f>
        <v>0</v>
      </c>
      <c r="F53" s="5">
        <f>recovered!F53-recovered!E53</f>
        <v>0</v>
      </c>
      <c r="G53" s="5">
        <f>recovered!G53-recovered!F53</f>
        <v>0</v>
      </c>
      <c r="H53" s="5">
        <f>recovered!H53-recovered!G53</f>
        <v>0</v>
      </c>
      <c r="I53" s="5">
        <f>recovered!I53-recovered!H53</f>
        <v>0</v>
      </c>
      <c r="J53" s="5">
        <f>recovered!J53-recovered!I53</f>
        <v>0</v>
      </c>
      <c r="K53" s="5">
        <f>recovered!K53-recovered!J53</f>
        <v>0</v>
      </c>
      <c r="L53" s="5">
        <f>recovered!L53-recovered!K53</f>
        <v>1</v>
      </c>
      <c r="M53" s="5">
        <f>recovered!M53-recovered!L53</f>
        <v>1</v>
      </c>
      <c r="N53" s="5">
        <f>recovered!N53-recovered!M53</f>
        <v>1</v>
      </c>
      <c r="O53" s="5">
        <f>recovered!O53-recovered!N53</f>
        <v>0</v>
      </c>
      <c r="P53" s="5">
        <f>recovered!P53-recovered!O53</f>
        <v>7</v>
      </c>
      <c r="Q53" s="5">
        <f>recovered!Q53-recovered!P53</f>
        <v>6</v>
      </c>
      <c r="R53" s="5">
        <f>recovered!R53-recovered!Q53</f>
        <v>11</v>
      </c>
      <c r="S53" s="5">
        <f>recovered!S53-recovered!R53</f>
        <v>20</v>
      </c>
      <c r="T53" s="5">
        <f>recovered!T53-recovered!S53</f>
        <v>9</v>
      </c>
      <c r="U53" s="5">
        <f>recovered!U53-recovered!T53</f>
        <v>30</v>
      </c>
      <c r="V53" s="5">
        <f>recovered!V53-recovered!U53</f>
        <v>30</v>
      </c>
      <c r="W53" s="5">
        <f>recovered!W53-recovered!V53</f>
        <v>37</v>
      </c>
      <c r="X53" s="5">
        <f>recovered!X53-recovered!W53</f>
        <v>38</v>
      </c>
      <c r="Y53" s="5">
        <f>recovered!Y53-recovered!X53</f>
        <v>27</v>
      </c>
      <c r="Z53" s="5">
        <f>recovered!Z53-recovered!Y53</f>
        <v>28</v>
      </c>
      <c r="AA53" s="5">
        <f>recovered!AA53-recovered!Z53</f>
        <v>50</v>
      </c>
      <c r="AB53" s="5">
        <f>recovered!AB53-recovered!AA53</f>
        <v>61</v>
      </c>
      <c r="AC53" s="5">
        <f>recovered!AC53-recovered!AB53</f>
        <v>34</v>
      </c>
      <c r="AD53" s="5">
        <f>recovered!AD53-recovered!AC53</f>
        <v>49</v>
      </c>
      <c r="AE53" s="5">
        <f>recovered!AE53-recovered!AD53</f>
        <v>69</v>
      </c>
      <c r="AF53" s="5">
        <f>recovered!AF53-recovered!AE53</f>
        <v>13</v>
      </c>
      <c r="AG53" s="5">
        <f>recovered!AG53-recovered!AF53</f>
        <v>51</v>
      </c>
      <c r="AH53" s="5">
        <f>recovered!AH53-recovered!AG53</f>
        <v>64</v>
      </c>
      <c r="AI53" s="5">
        <f>recovered!AI53-recovered!AH53</f>
        <v>99</v>
      </c>
      <c r="AJ53" s="5">
        <f>recovered!AJ53-recovered!AI53</f>
        <v>94</v>
      </c>
      <c r="AK53" s="5">
        <f>recovered!AK53-recovered!AJ53</f>
        <v>38</v>
      </c>
      <c r="AL53" s="5">
        <f>recovered!AL53-recovered!AK53</f>
        <v>75</v>
      </c>
      <c r="AM53" s="5">
        <f>recovered!AM53-recovered!AL53</f>
        <v>59</v>
      </c>
      <c r="AN53" s="5">
        <f>recovered!AN53-recovered!AM53</f>
        <v>31</v>
      </c>
      <c r="AO53" s="5">
        <f>recovered!AO53-recovered!AN53</f>
        <v>35</v>
      </c>
      <c r="AP53" s="5">
        <f>recovered!AP53-recovered!AO53</f>
        <v>44</v>
      </c>
      <c r="AQ53" s="5">
        <f>recovered!AQ53-recovered!AP53</f>
        <v>58</v>
      </c>
      <c r="AR53" s="5">
        <f>recovered!AR53-recovered!AQ53</f>
        <v>28</v>
      </c>
      <c r="AS53" s="5">
        <f>recovered!AS53-recovered!AR53</f>
        <v>7</v>
      </c>
      <c r="AT53" s="5">
        <f>recovered!AT53-recovered!AS53</f>
        <v>26</v>
      </c>
      <c r="AU53" s="5">
        <f>recovered!AU53-recovered!AT53</f>
        <v>3</v>
      </c>
      <c r="AV53" s="5">
        <f>recovered!AV53-recovered!AU53</f>
        <v>5</v>
      </c>
      <c r="AW53" s="5">
        <f>recovered!AW53-recovered!AV53</f>
        <v>5</v>
      </c>
      <c r="AX53" s="5">
        <f>recovered!AX53-recovered!AW53</f>
        <v>0</v>
      </c>
      <c r="AY53" s="5">
        <f>recovered!AY53-recovered!AX53</f>
        <v>3</v>
      </c>
      <c r="AZ53" s="5">
        <f>recovered!AZ53-recovered!AY53</f>
        <v>0</v>
      </c>
      <c r="BA53" s="5">
        <f>recovered!BA53-recovered!AZ53</f>
        <v>0</v>
      </c>
      <c r="BB53" s="5">
        <f>recovered!BB53-recovered!BA53</f>
        <v>2</v>
      </c>
      <c r="BC53" s="5">
        <f>recovered!BC53-recovered!BB53</f>
        <v>0</v>
      </c>
      <c r="BD53" s="5">
        <f>recovered!BD53-recovered!BC53</f>
        <v>0</v>
      </c>
      <c r="BE53" s="5">
        <f>recovered!BE53-recovered!BD53</f>
        <v>1</v>
      </c>
      <c r="BF53" s="5">
        <f>recovered!BF53-recovered!BE53</f>
        <v>0</v>
      </c>
      <c r="BG53" s="5">
        <f>recovered!BG53-recovered!BF53</f>
        <v>0</v>
      </c>
      <c r="BH53" s="5">
        <f>recovered!BH53-recovered!BG53</f>
        <v>0</v>
      </c>
      <c r="BI53" s="5">
        <f>recovered!BI53-recovered!BH53</f>
        <v>0</v>
      </c>
      <c r="BJ53" s="5">
        <f>recovered!BJ53-recovered!BI53</f>
        <v>0</v>
      </c>
      <c r="BK53" s="5">
        <f>recovered!BK53-recovered!BJ53</f>
        <v>0</v>
      </c>
      <c r="BL53" s="5">
        <f>recovered!BL53-recovered!BK53</f>
        <v>0</v>
      </c>
      <c r="BM53" s="5">
        <f>recovered!BM53-recovered!BL53</f>
        <v>0</v>
      </c>
      <c r="BN53" s="5">
        <f>recovered!BN53-recovered!BM53</f>
        <v>0</v>
      </c>
      <c r="BO53" s="5">
        <f>recovered!BO53-recovered!BN53</f>
        <v>0</v>
      </c>
      <c r="BP53" s="5">
        <f>recovered!BP53-recovered!BO53</f>
        <v>0</v>
      </c>
      <c r="BQ53" s="5">
        <f>recovered!BQ53-recovered!BP53</f>
        <v>0</v>
      </c>
      <c r="BR53" s="5">
        <f>recovered!BR53-recovered!BQ53</f>
        <v>0</v>
      </c>
      <c r="BS53" s="5">
        <f>recovered!BS53-recovered!BR53</f>
        <v>1</v>
      </c>
      <c r="BT53" s="5">
        <f>recovered!BT53-recovered!BS53</f>
        <v>0</v>
      </c>
      <c r="BU53" s="5">
        <f>recovered!BU53-recovered!BT53</f>
        <v>0</v>
      </c>
      <c r="BV53" s="5">
        <f>recovered!BV53-recovered!BU53</f>
        <v>0</v>
      </c>
      <c r="BW53" s="5">
        <f>recovered!BW53-recovered!BV53</f>
        <v>0</v>
      </c>
      <c r="BX53" s="5">
        <f>recovered!BX53-recovered!BW53</f>
        <v>0</v>
      </c>
      <c r="BY53" s="5">
        <f>recovered!BY53-recovered!BX53</f>
        <v>0</v>
      </c>
    </row>
    <row r="54">
      <c r="B54" s="1" t="str">
        <f>recovered!B54</f>
        <v>China</v>
      </c>
      <c r="C54" s="4">
        <f>recovered!C54</f>
        <v>22.3</v>
      </c>
      <c r="D54" s="4">
        <f>recovered!D54</f>
        <v>114.2</v>
      </c>
      <c r="E54" s="5">
        <f>recovered!E54</f>
        <v>0</v>
      </c>
      <c r="F54" s="5">
        <f>recovered!F54-recovered!E54</f>
        <v>0</v>
      </c>
      <c r="G54" s="5">
        <f>recovered!G54-recovered!F54</f>
        <v>0</v>
      </c>
      <c r="H54" s="5">
        <f>recovered!H54-recovered!G54</f>
        <v>0</v>
      </c>
      <c r="I54" s="5">
        <f>recovered!I54-recovered!H54</f>
        <v>0</v>
      </c>
      <c r="J54" s="5">
        <f>recovered!J54-recovered!I54</f>
        <v>0</v>
      </c>
      <c r="K54" s="5">
        <f>recovered!K54-recovered!J54</f>
        <v>0</v>
      </c>
      <c r="L54" s="5">
        <f>recovered!L54-recovered!K54</f>
        <v>0</v>
      </c>
      <c r="M54" s="5">
        <f>recovered!M54-recovered!L54</f>
        <v>0</v>
      </c>
      <c r="N54" s="5">
        <f>recovered!N54-recovered!M54</f>
        <v>0</v>
      </c>
      <c r="O54" s="5">
        <f>recovered!O54-recovered!N54</f>
        <v>0</v>
      </c>
      <c r="P54" s="5">
        <f>recovered!P54-recovered!O54</f>
        <v>0</v>
      </c>
      <c r="Q54" s="5">
        <f>recovered!Q54-recovered!P54</f>
        <v>0</v>
      </c>
      <c r="R54" s="5">
        <f>recovered!R54-recovered!Q54</f>
        <v>0</v>
      </c>
      <c r="S54" s="5">
        <f>recovered!S54-recovered!R54</f>
        <v>0</v>
      </c>
      <c r="T54" s="5">
        <f>recovered!T54-recovered!S54</f>
        <v>0</v>
      </c>
      <c r="U54" s="5">
        <f>recovered!U54-recovered!T54</f>
        <v>0</v>
      </c>
      <c r="V54" s="5">
        <f>recovered!V54-recovered!U54</f>
        <v>0</v>
      </c>
      <c r="W54" s="5">
        <f>recovered!W54-recovered!V54</f>
        <v>0</v>
      </c>
      <c r="X54" s="5">
        <f>recovered!X54-recovered!W54</f>
        <v>0</v>
      </c>
      <c r="Y54" s="5">
        <f>recovered!Y54-recovered!X54</f>
        <v>0</v>
      </c>
      <c r="Z54" s="5">
        <f>recovered!Z54-recovered!Y54</f>
        <v>1</v>
      </c>
      <c r="AA54" s="5">
        <f>recovered!AA54-recovered!Z54</f>
        <v>0</v>
      </c>
      <c r="AB54" s="5">
        <f>recovered!AB54-recovered!AA54</f>
        <v>0</v>
      </c>
      <c r="AC54" s="5">
        <f>recovered!AC54-recovered!AB54</f>
        <v>0</v>
      </c>
      <c r="AD54" s="5">
        <f>recovered!AD54-recovered!AC54</f>
        <v>1</v>
      </c>
      <c r="AE54" s="5">
        <f>recovered!AE54-recovered!AD54</f>
        <v>0</v>
      </c>
      <c r="AF54" s="5">
        <f>recovered!AF54-recovered!AE54</f>
        <v>0</v>
      </c>
      <c r="AG54" s="5">
        <f>recovered!AG54-recovered!AF54</f>
        <v>3</v>
      </c>
      <c r="AH54" s="5">
        <f>recovered!AH54-recovered!AG54</f>
        <v>1</v>
      </c>
      <c r="AI54" s="5">
        <f>recovered!AI54-recovered!AH54</f>
        <v>-1</v>
      </c>
      <c r="AJ54" s="5">
        <f>recovered!AJ54-recovered!AI54</f>
        <v>1</v>
      </c>
      <c r="AK54" s="5">
        <f>recovered!AK54-recovered!AJ54</f>
        <v>5</v>
      </c>
      <c r="AL54" s="5">
        <f>recovered!AL54-recovered!AK54</f>
        <v>8</v>
      </c>
      <c r="AM54" s="5">
        <f>recovered!AM54-recovered!AL54</f>
        <v>0</v>
      </c>
      <c r="AN54" s="5">
        <f>recovered!AN54-recovered!AM54</f>
        <v>5</v>
      </c>
      <c r="AO54" s="5">
        <f>recovered!AO54-recovered!AN54</f>
        <v>0</v>
      </c>
      <c r="AP54" s="5">
        <f>recovered!AP54-recovered!AO54</f>
        <v>6</v>
      </c>
      <c r="AQ54" s="5">
        <f>recovered!AQ54-recovered!AP54</f>
        <v>3</v>
      </c>
      <c r="AR54" s="5">
        <f>recovered!AR54-recovered!AQ54</f>
        <v>3</v>
      </c>
      <c r="AS54" s="5">
        <f>recovered!AS54-recovered!AR54</f>
        <v>0</v>
      </c>
      <c r="AT54" s="5">
        <f>recovered!AT54-recovered!AS54</f>
        <v>1</v>
      </c>
      <c r="AU54" s="5">
        <f>recovered!AU54-recovered!AT54</f>
        <v>0</v>
      </c>
      <c r="AV54" s="5">
        <f>recovered!AV54-recovered!AU54</f>
        <v>6</v>
      </c>
      <c r="AW54" s="5">
        <f>recovered!AW54-recovered!AV54</f>
        <v>3</v>
      </c>
      <c r="AX54" s="5">
        <f>recovered!AX54-recovered!AW54</f>
        <v>5</v>
      </c>
      <c r="AY54" s="5">
        <f>recovered!AY54-recovered!AX54</f>
        <v>7</v>
      </c>
      <c r="AZ54" s="5">
        <f>recovered!AZ54-recovered!AY54</f>
        <v>1</v>
      </c>
      <c r="BA54" s="5">
        <f>recovered!BA54-recovered!AZ54</f>
        <v>6</v>
      </c>
      <c r="BB54" s="5">
        <f>recovered!BB54-recovered!BA54</f>
        <v>0</v>
      </c>
      <c r="BC54" s="5">
        <f>recovered!BC54-recovered!BB54</f>
        <v>2</v>
      </c>
      <c r="BD54" s="5">
        <f>recovered!BD54-recovered!BC54</f>
        <v>10</v>
      </c>
      <c r="BE54" s="5">
        <f>recovered!BE54-recovered!BD54</f>
        <v>1</v>
      </c>
      <c r="BF54" s="5">
        <f>recovered!BF54-recovered!BE54</f>
        <v>3</v>
      </c>
      <c r="BG54" s="5">
        <f>recovered!BG54-recovered!BF54</f>
        <v>3</v>
      </c>
      <c r="BH54" s="5">
        <f>recovered!BH54-recovered!BG54</f>
        <v>4</v>
      </c>
      <c r="BI54" s="5">
        <f>recovered!BI54-recovered!BH54</f>
        <v>4</v>
      </c>
      <c r="BJ54" s="5">
        <f>recovered!BJ54-recovered!BI54</f>
        <v>3</v>
      </c>
      <c r="BK54" s="5">
        <f>recovered!BK54-recovered!BJ54</f>
        <v>3</v>
      </c>
      <c r="BL54" s="5">
        <f>recovered!BL54-recovered!BK54</f>
        <v>0</v>
      </c>
      <c r="BM54" s="5">
        <f>recovered!BM54-recovered!BL54</f>
        <v>2</v>
      </c>
      <c r="BN54" s="5">
        <f>recovered!BN54-recovered!BM54</f>
        <v>0</v>
      </c>
      <c r="BO54" s="5">
        <f>recovered!BO54-recovered!BN54</f>
        <v>1</v>
      </c>
      <c r="BP54" s="5">
        <f>recovered!BP54-recovered!BO54</f>
        <v>1</v>
      </c>
      <c r="BQ54" s="5">
        <f>recovered!BQ54-recovered!BP54</f>
        <v>8</v>
      </c>
      <c r="BR54" s="5">
        <f>recovered!BR54-recovered!BQ54</f>
        <v>0</v>
      </c>
      <c r="BS54" s="5">
        <f>recovered!BS54-recovered!BR54</f>
        <v>2</v>
      </c>
      <c r="BT54" s="5">
        <f>recovered!BT54-recovered!BS54</f>
        <v>0</v>
      </c>
      <c r="BU54" s="5">
        <f>recovered!BU54-recovered!BT54</f>
        <v>11</v>
      </c>
      <c r="BV54" s="5">
        <f>recovered!BV54-recovered!BU54</f>
        <v>5</v>
      </c>
      <c r="BW54" s="5">
        <f>recovered!BW54-recovered!BV54</f>
        <v>19</v>
      </c>
      <c r="BX54" s="5">
        <f>recovered!BX54-recovered!BW54</f>
        <v>0</v>
      </c>
      <c r="BY54" s="5">
        <f>recovered!BY54-recovered!BX54</f>
        <v>26</v>
      </c>
    </row>
    <row r="55">
      <c r="B55" s="1" t="str">
        <f>recovered!B55</f>
        <v>China</v>
      </c>
      <c r="C55" s="4">
        <f>recovered!C55</f>
        <v>30.9756</v>
      </c>
      <c r="D55" s="4">
        <f>recovered!D55</f>
        <v>112.2707</v>
      </c>
      <c r="E55" s="5">
        <f>recovered!E55</f>
        <v>28</v>
      </c>
      <c r="F55" s="5">
        <f>recovered!F55-recovered!E55</f>
        <v>0</v>
      </c>
      <c r="G55" s="5">
        <f>recovered!G55-recovered!F55</f>
        <v>3</v>
      </c>
      <c r="H55" s="5">
        <f>recovered!H55-recovered!G55</f>
        <v>1</v>
      </c>
      <c r="I55" s="5">
        <f>recovered!I55-recovered!H55</f>
        <v>10</v>
      </c>
      <c r="J55" s="5">
        <f>recovered!J55-recovered!I55</f>
        <v>3</v>
      </c>
      <c r="K55" s="5">
        <f>recovered!K55-recovered!J55</f>
        <v>35</v>
      </c>
      <c r="L55" s="5">
        <f>recovered!L55-recovered!K55</f>
        <v>8</v>
      </c>
      <c r="M55" s="5">
        <f>recovered!M55-recovered!L55</f>
        <v>2</v>
      </c>
      <c r="N55" s="5">
        <f>recovered!N55-recovered!M55</f>
        <v>51</v>
      </c>
      <c r="O55" s="5">
        <f>recovered!O55-recovered!N55</f>
        <v>27</v>
      </c>
      <c r="P55" s="5">
        <f>recovered!P55-recovered!O55</f>
        <v>127</v>
      </c>
      <c r="Q55" s="5">
        <f>recovered!Q55-recovered!P55</f>
        <v>91</v>
      </c>
      <c r="R55" s="5">
        <f>recovered!R55-recovered!Q55</f>
        <v>136</v>
      </c>
      <c r="S55" s="5">
        <f>recovered!S55-recovered!R55</f>
        <v>111</v>
      </c>
      <c r="T55" s="5">
        <f>recovered!T55-recovered!S55</f>
        <v>184</v>
      </c>
      <c r="U55" s="5">
        <f>recovered!U55-recovered!T55</f>
        <v>298</v>
      </c>
      <c r="V55" s="5">
        <f>recovered!V55-recovered!U55</f>
        <v>324</v>
      </c>
      <c r="W55" s="5">
        <f>recovered!W55-recovered!V55</f>
        <v>356</v>
      </c>
      <c r="X55" s="5">
        <f>recovered!X55-recovered!W55</f>
        <v>427</v>
      </c>
      <c r="Y55" s="5">
        <f>recovered!Y55-recovered!X55</f>
        <v>417</v>
      </c>
      <c r="Z55" s="5">
        <f>recovered!Z55-recovered!Y55</f>
        <v>47</v>
      </c>
      <c r="AA55" s="5">
        <f>recovered!AA55-recovered!Z55</f>
        <v>773</v>
      </c>
      <c r="AB55" s="5">
        <f>recovered!AB55-recovered!AA55</f>
        <v>1315</v>
      </c>
      <c r="AC55" s="5">
        <f>recovered!AC55-recovered!AB55</f>
        <v>849</v>
      </c>
      <c r="AD55" s="5">
        <f>recovered!AD55-recovered!AC55</f>
        <v>1016</v>
      </c>
      <c r="AE55" s="5">
        <f>recovered!AE55-recovered!AD55</f>
        <v>1223</v>
      </c>
      <c r="AF55" s="5">
        <f>recovered!AF55-recovered!AE55</f>
        <v>1266</v>
      </c>
      <c r="AG55" s="5">
        <f>recovered!AG55-recovered!AF55</f>
        <v>1209</v>
      </c>
      <c r="AH55" s="5">
        <f>recovered!AH55-recovered!AG55</f>
        <v>1451</v>
      </c>
      <c r="AI55" s="5">
        <f>recovered!AI55-recovered!AH55</f>
        <v>93</v>
      </c>
      <c r="AJ55" s="5">
        <f>recovered!AJ55-recovered!AI55</f>
        <v>3418</v>
      </c>
      <c r="AK55" s="5">
        <f>recovered!AK55-recovered!AJ55</f>
        <v>44</v>
      </c>
      <c r="AL55" s="5">
        <f>recovered!AL55-recovered!AK55</f>
        <v>1405</v>
      </c>
      <c r="AM55" s="5">
        <f>recovered!AM55-recovered!AL55</f>
        <v>2223</v>
      </c>
      <c r="AN55" s="5">
        <f>recovered!AN55-recovered!AM55</f>
        <v>1998</v>
      </c>
      <c r="AO55" s="5">
        <f>recovered!AO55-recovered!AN55</f>
        <v>2414</v>
      </c>
      <c r="AP55" s="5">
        <f>recovered!AP55-recovered!AO55</f>
        <v>3020</v>
      </c>
      <c r="AQ55" s="5">
        <f>recovered!AQ55-recovered!AP55</f>
        <v>2590</v>
      </c>
      <c r="AR55" s="5">
        <f>recovered!AR55-recovered!AQ55</f>
        <v>2543</v>
      </c>
      <c r="AS55" s="5">
        <f>recovered!AS55-recovered!AR55</f>
        <v>2398</v>
      </c>
      <c r="AT55" s="5">
        <f>recovered!AT55-recovered!AS55</f>
        <v>2274</v>
      </c>
      <c r="AU55" s="5">
        <f>recovered!AU55-recovered!AT55</f>
        <v>2349</v>
      </c>
      <c r="AV55" s="5">
        <f>recovered!AV55-recovered!AU55</f>
        <v>2035</v>
      </c>
      <c r="AW55" s="5">
        <f>recovered!AW55-recovered!AV55</f>
        <v>1441</v>
      </c>
      <c r="AX55" s="5">
        <f>recovered!AX55-recovered!AW55</f>
        <v>1467</v>
      </c>
      <c r="AY55" s="5">
        <f>recovered!AY55-recovered!AX55</f>
        <v>1735</v>
      </c>
      <c r="AZ55" s="5">
        <f>recovered!AZ55-recovered!AY55</f>
        <v>1253</v>
      </c>
      <c r="BA55" s="5">
        <f>recovered!BA55-recovered!AZ55</f>
        <v>1255</v>
      </c>
      <c r="BB55" s="5">
        <f>recovered!BB55-recovered!BA55</f>
        <v>1391</v>
      </c>
      <c r="BC55" s="5">
        <f>recovered!BC55-recovered!BB55</f>
        <v>1184</v>
      </c>
      <c r="BD55" s="5">
        <f>recovered!BD55-recovered!BC55</f>
        <v>1235</v>
      </c>
      <c r="BE55" s="5">
        <f>recovered!BE55-recovered!BD55</f>
        <v>1407</v>
      </c>
      <c r="BF55" s="5">
        <f>recovered!BF55-recovered!BE55</f>
        <v>1328</v>
      </c>
      <c r="BG55" s="5">
        <f>recovered!BG55-recovered!BF55</f>
        <v>854</v>
      </c>
      <c r="BH55" s="5">
        <f>recovered!BH55-recovered!BG55</f>
        <v>861</v>
      </c>
      <c r="BI55" s="5">
        <f>recovered!BI55-recovered!BH55</f>
        <v>924</v>
      </c>
      <c r="BJ55" s="5">
        <f>recovered!BJ55-recovered!BI55</f>
        <v>755</v>
      </c>
      <c r="BK55" s="5">
        <f>recovered!BK55-recovered!BJ55</f>
        <v>700</v>
      </c>
      <c r="BL55" s="5">
        <f>recovered!BL55-recovered!BK55</f>
        <v>564</v>
      </c>
      <c r="BM55" s="5">
        <f>recovered!BM55-recovered!BL55</f>
        <v>487</v>
      </c>
      <c r="BN55" s="5">
        <f>recovered!BN55-recovered!BM55</f>
        <v>446</v>
      </c>
      <c r="BO55" s="5">
        <f>recovered!BO55-recovered!BN55</f>
        <v>445</v>
      </c>
      <c r="BP55" s="5">
        <f>recovered!BP55-recovered!BO55</f>
        <v>487</v>
      </c>
      <c r="BQ55" s="5">
        <f>recovered!BQ55-recovered!BP55</f>
        <v>390</v>
      </c>
      <c r="BR55" s="5">
        <f>recovered!BR55-recovered!BQ55</f>
        <v>531</v>
      </c>
      <c r="BS55" s="5">
        <f>recovered!BS55-recovered!BR55</f>
        <v>366</v>
      </c>
      <c r="BT55" s="5">
        <f>recovered!BT55-recovered!BS55</f>
        <v>472</v>
      </c>
      <c r="BU55" s="5">
        <f>recovered!BU55-recovered!BT55</f>
        <v>319</v>
      </c>
      <c r="BV55" s="5">
        <f>recovered!BV55-recovered!BU55</f>
        <v>264</v>
      </c>
      <c r="BW55" s="5">
        <f>recovered!BW55-recovered!BV55</f>
        <v>173</v>
      </c>
      <c r="BX55" s="5">
        <f>recovered!BX55-recovered!BW55</f>
        <v>145</v>
      </c>
      <c r="BY55" s="5">
        <f>recovered!BY55-recovered!BX55</f>
        <v>141</v>
      </c>
    </row>
    <row r="56">
      <c r="B56" s="1" t="str">
        <f>recovered!B56</f>
        <v>China</v>
      </c>
      <c r="C56" s="4">
        <f>recovered!C56</f>
        <v>27.6104</v>
      </c>
      <c r="D56" s="4">
        <f>recovered!D56</f>
        <v>111.7088</v>
      </c>
      <c r="E56" s="5">
        <f>recovered!E56</f>
        <v>0</v>
      </c>
      <c r="F56" s="5">
        <f>recovered!F56-recovered!E56</f>
        <v>0</v>
      </c>
      <c r="G56" s="5">
        <f>recovered!G56-recovered!F56</f>
        <v>0</v>
      </c>
      <c r="H56" s="5">
        <f>recovered!H56-recovered!G56</f>
        <v>0</v>
      </c>
      <c r="I56" s="5">
        <f>recovered!I56-recovered!H56</f>
        <v>0</v>
      </c>
      <c r="J56" s="5">
        <f>recovered!J56-recovered!I56</f>
        <v>0</v>
      </c>
      <c r="K56" s="5">
        <f>recovered!K56-recovered!J56</f>
        <v>0</v>
      </c>
      <c r="L56" s="5">
        <f>recovered!L56-recovered!K56</f>
        <v>0</v>
      </c>
      <c r="M56" s="5">
        <f>recovered!M56-recovered!L56</f>
        <v>2</v>
      </c>
      <c r="N56" s="5">
        <f>recovered!N56-recovered!M56</f>
        <v>0</v>
      </c>
      <c r="O56" s="5">
        <f>recovered!O56-recovered!N56</f>
        <v>6</v>
      </c>
      <c r="P56" s="5">
        <f>recovered!P56-recovered!O56</f>
        <v>8</v>
      </c>
      <c r="Q56" s="5">
        <f>recovered!Q56-recovered!P56</f>
        <v>6</v>
      </c>
      <c r="R56" s="5">
        <f>recovered!R56-recovered!Q56</f>
        <v>9</v>
      </c>
      <c r="S56" s="5">
        <f>recovered!S56-recovered!R56</f>
        <v>23</v>
      </c>
      <c r="T56" s="5">
        <f>recovered!T56-recovered!S56</f>
        <v>27</v>
      </c>
      <c r="U56" s="5">
        <f>recovered!U56-recovered!T56</f>
        <v>31</v>
      </c>
      <c r="V56" s="5">
        <f>recovered!V56-recovered!U56</f>
        <v>44</v>
      </c>
      <c r="W56" s="5">
        <f>recovered!W56-recovered!V56</f>
        <v>30</v>
      </c>
      <c r="X56" s="5">
        <f>recovered!X56-recovered!W56</f>
        <v>22</v>
      </c>
      <c r="Y56" s="5">
        <f>recovered!Y56-recovered!X56</f>
        <v>39</v>
      </c>
      <c r="Z56" s="5">
        <f>recovered!Z56-recovered!Y56</f>
        <v>57</v>
      </c>
      <c r="AA56" s="5">
        <f>recovered!AA56-recovered!Z56</f>
        <v>35</v>
      </c>
      <c r="AB56" s="5">
        <f>recovered!AB56-recovered!AA56</f>
        <v>25</v>
      </c>
      <c r="AC56" s="5">
        <f>recovered!AC56-recovered!AB56</f>
        <v>61</v>
      </c>
      <c r="AD56" s="5">
        <f>recovered!AD56-recovered!AC56</f>
        <v>39</v>
      </c>
      <c r="AE56" s="5">
        <f>recovered!AE56-recovered!AD56</f>
        <v>34</v>
      </c>
      <c r="AF56" s="5">
        <f>recovered!AF56-recovered!AE56</f>
        <v>29</v>
      </c>
      <c r="AG56" s="5">
        <f>recovered!AG56-recovered!AF56</f>
        <v>34</v>
      </c>
      <c r="AH56" s="5">
        <f>recovered!AH56-recovered!AG56</f>
        <v>73</v>
      </c>
      <c r="AI56" s="5">
        <f>recovered!AI56-recovered!AH56</f>
        <v>27</v>
      </c>
      <c r="AJ56" s="5">
        <f>recovered!AJ56-recovered!AI56</f>
        <v>31</v>
      </c>
      <c r="AK56" s="5">
        <f>recovered!AK56-recovered!AJ56</f>
        <v>22</v>
      </c>
      <c r="AL56" s="5">
        <f>recovered!AL56-recovered!AK56</f>
        <v>17</v>
      </c>
      <c r="AM56" s="5">
        <f>recovered!AM56-recovered!AL56</f>
        <v>37</v>
      </c>
      <c r="AN56" s="5">
        <f>recovered!AN56-recovered!AM56</f>
        <v>15</v>
      </c>
      <c r="AO56" s="5">
        <f>recovered!AO56-recovered!AN56</f>
        <v>21</v>
      </c>
      <c r="AP56" s="5">
        <f>recovered!AP56-recovered!AO56</f>
        <v>26</v>
      </c>
      <c r="AQ56" s="5">
        <f>recovered!AQ56-recovered!AP56</f>
        <v>16</v>
      </c>
      <c r="AR56" s="5">
        <f>recovered!AR56-recovered!AQ56</f>
        <v>20</v>
      </c>
      <c r="AS56" s="5">
        <f>recovered!AS56-recovered!AR56</f>
        <v>21</v>
      </c>
      <c r="AT56" s="5">
        <f>recovered!AT56-recovered!AS56</f>
        <v>19</v>
      </c>
      <c r="AU56" s="5">
        <f>recovered!AU56-recovered!AT56</f>
        <v>10</v>
      </c>
      <c r="AV56" s="5">
        <f>recovered!AV56-recovered!AU56</f>
        <v>22</v>
      </c>
      <c r="AW56" s="5">
        <f>recovered!AW56-recovered!AV56</f>
        <v>17</v>
      </c>
      <c r="AX56" s="5">
        <f>recovered!AX56-recovered!AW56</f>
        <v>5</v>
      </c>
      <c r="AY56" s="5">
        <f>recovered!AY56-recovered!AX56</f>
        <v>8</v>
      </c>
      <c r="AZ56" s="5">
        <f>recovered!AZ56-recovered!AY56</f>
        <v>11</v>
      </c>
      <c r="BA56" s="5">
        <f>recovered!BA56-recovered!AZ56</f>
        <v>11</v>
      </c>
      <c r="BB56" s="5">
        <f>recovered!BB56-recovered!BA56</f>
        <v>5</v>
      </c>
      <c r="BC56" s="5">
        <f>recovered!BC56-recovered!BB56</f>
        <v>4</v>
      </c>
      <c r="BD56" s="5">
        <f>recovered!BD56-recovered!BC56</f>
        <v>6</v>
      </c>
      <c r="BE56" s="5">
        <f>recovered!BE56-recovered!BD56</f>
        <v>9</v>
      </c>
      <c r="BF56" s="5">
        <f>recovered!BF56-recovered!BE56</f>
        <v>0</v>
      </c>
      <c r="BG56" s="5">
        <f>recovered!BG56-recovered!BF56</f>
        <v>0</v>
      </c>
      <c r="BH56" s="5">
        <f>recovered!BH56-recovered!BG56</f>
        <v>0</v>
      </c>
      <c r="BI56" s="5">
        <f>recovered!BI56-recovered!BH56</f>
        <v>0</v>
      </c>
      <c r="BJ56" s="5">
        <f>recovered!BJ56-recovered!BI56</f>
        <v>0</v>
      </c>
      <c r="BK56" s="5">
        <f>recovered!BK56-recovered!BJ56</f>
        <v>0</v>
      </c>
      <c r="BL56" s="5">
        <f>recovered!BL56-recovered!BK56</f>
        <v>0</v>
      </c>
      <c r="BM56" s="5">
        <f>recovered!BM56-recovered!BL56</f>
        <v>0</v>
      </c>
      <c r="BN56" s="5">
        <f>recovered!BN56-recovered!BM56</f>
        <v>0</v>
      </c>
      <c r="BO56" s="5">
        <f>recovered!BO56-recovered!BN56</f>
        <v>0</v>
      </c>
      <c r="BP56" s="5">
        <f>recovered!BP56-recovered!BO56</f>
        <v>0</v>
      </c>
      <c r="BQ56" s="5">
        <f>recovered!BQ56-recovered!BP56</f>
        <v>0</v>
      </c>
      <c r="BR56" s="5">
        <f>recovered!BR56-recovered!BQ56</f>
        <v>0</v>
      </c>
      <c r="BS56" s="5">
        <f>recovered!BS56-recovered!BR56</f>
        <v>0</v>
      </c>
      <c r="BT56" s="5">
        <f>recovered!BT56-recovered!BS56</f>
        <v>0</v>
      </c>
      <c r="BU56" s="5">
        <f>recovered!BU56-recovered!BT56</f>
        <v>0</v>
      </c>
      <c r="BV56" s="5">
        <f>recovered!BV56-recovered!BU56</f>
        <v>0</v>
      </c>
      <c r="BW56" s="5">
        <f>recovered!BW56-recovered!BV56</f>
        <v>0</v>
      </c>
      <c r="BX56" s="5">
        <f>recovered!BX56-recovered!BW56</f>
        <v>0</v>
      </c>
      <c r="BY56" s="5">
        <f>recovered!BY56-recovered!BX56</f>
        <v>0</v>
      </c>
    </row>
    <row r="57">
      <c r="B57" s="1" t="str">
        <f>recovered!B57</f>
        <v>China</v>
      </c>
      <c r="C57" s="4">
        <f>recovered!C57</f>
        <v>44.0935</v>
      </c>
      <c r="D57" s="4">
        <f>recovered!D57</f>
        <v>113.9448</v>
      </c>
      <c r="E57" s="5">
        <f>recovered!E57</f>
        <v>0</v>
      </c>
      <c r="F57" s="5">
        <f>recovered!F57-recovered!E57</f>
        <v>0</v>
      </c>
      <c r="G57" s="5">
        <f>recovered!G57-recovered!F57</f>
        <v>0</v>
      </c>
      <c r="H57" s="5">
        <f>recovered!H57-recovered!G57</f>
        <v>0</v>
      </c>
      <c r="I57" s="5">
        <f>recovered!I57-recovered!H57</f>
        <v>0</v>
      </c>
      <c r="J57" s="5">
        <f>recovered!J57-recovered!I57</f>
        <v>0</v>
      </c>
      <c r="K57" s="5">
        <f>recovered!K57-recovered!J57</f>
        <v>0</v>
      </c>
      <c r="L57" s="5">
        <f>recovered!L57-recovered!K57</f>
        <v>0</v>
      </c>
      <c r="M57" s="5">
        <f>recovered!M57-recovered!L57</f>
        <v>0</v>
      </c>
      <c r="N57" s="5">
        <f>recovered!N57-recovered!M57</f>
        <v>1</v>
      </c>
      <c r="O57" s="5">
        <f>recovered!O57-recovered!N57</f>
        <v>0</v>
      </c>
      <c r="P57" s="5">
        <f>recovered!P57-recovered!O57</f>
        <v>0</v>
      </c>
      <c r="Q57" s="5">
        <f>recovered!Q57-recovered!P57</f>
        <v>0</v>
      </c>
      <c r="R57" s="5">
        <f>recovered!R57-recovered!Q57</f>
        <v>0</v>
      </c>
      <c r="S57" s="5">
        <f>recovered!S57-recovered!R57</f>
        <v>2</v>
      </c>
      <c r="T57" s="5">
        <f>recovered!T57-recovered!S57</f>
        <v>1</v>
      </c>
      <c r="U57" s="5">
        <f>recovered!U57-recovered!T57</f>
        <v>1</v>
      </c>
      <c r="V57" s="5">
        <f>recovered!V57-recovered!U57</f>
        <v>0</v>
      </c>
      <c r="W57" s="5">
        <f>recovered!W57-recovered!V57</f>
        <v>0</v>
      </c>
      <c r="X57" s="5">
        <f>recovered!X57-recovered!W57</f>
        <v>0</v>
      </c>
      <c r="Y57" s="5">
        <f>recovered!Y57-recovered!X57</f>
        <v>0</v>
      </c>
      <c r="Z57" s="5">
        <f>recovered!Z57-recovered!Y57</f>
        <v>1</v>
      </c>
      <c r="AA57" s="5">
        <f>recovered!AA57-recovered!Z57</f>
        <v>0</v>
      </c>
      <c r="AB57" s="5">
        <f>recovered!AB57-recovered!AA57</f>
        <v>0</v>
      </c>
      <c r="AC57" s="5">
        <f>recovered!AC57-recovered!AB57</f>
        <v>1</v>
      </c>
      <c r="AD57" s="5">
        <f>recovered!AD57-recovered!AC57</f>
        <v>1</v>
      </c>
      <c r="AE57" s="5">
        <f>recovered!AE57-recovered!AD57</f>
        <v>0</v>
      </c>
      <c r="AF57" s="5">
        <f>recovered!AF57-recovered!AE57</f>
        <v>0</v>
      </c>
      <c r="AG57" s="5">
        <f>recovered!AG57-recovered!AF57</f>
        <v>2</v>
      </c>
      <c r="AH57" s="5">
        <f>recovered!AH57-recovered!AG57</f>
        <v>6</v>
      </c>
      <c r="AI57" s="5">
        <f>recovered!AI57-recovered!AH57</f>
        <v>1</v>
      </c>
      <c r="AJ57" s="5">
        <f>recovered!AJ57-recovered!AI57</f>
        <v>9</v>
      </c>
      <c r="AK57" s="5">
        <f>recovered!AK57-recovered!AJ57</f>
        <v>1</v>
      </c>
      <c r="AL57" s="5">
        <f>recovered!AL57-recovered!AK57</f>
        <v>7</v>
      </c>
      <c r="AM57" s="5">
        <f>recovered!AM57-recovered!AL57</f>
        <v>1</v>
      </c>
      <c r="AN57" s="5">
        <f>recovered!AN57-recovered!AM57</f>
        <v>3</v>
      </c>
      <c r="AO57" s="5">
        <f>recovered!AO57-recovered!AN57</f>
        <v>5</v>
      </c>
      <c r="AP57" s="5">
        <f>recovered!AP57-recovered!AO57</f>
        <v>2</v>
      </c>
      <c r="AQ57" s="5">
        <f>recovered!AQ57-recovered!AP57</f>
        <v>4</v>
      </c>
      <c r="AR57" s="5">
        <f>recovered!AR57-recovered!AQ57</f>
        <v>3</v>
      </c>
      <c r="AS57" s="5">
        <f>recovered!AS57-recovered!AR57</f>
        <v>2</v>
      </c>
      <c r="AT57" s="5">
        <f>recovered!AT57-recovered!AS57</f>
        <v>5</v>
      </c>
      <c r="AU57" s="5">
        <f>recovered!AU57-recovered!AT57</f>
        <v>4</v>
      </c>
      <c r="AV57" s="5">
        <f>recovered!AV57-recovered!AU57</f>
        <v>2</v>
      </c>
      <c r="AW57" s="5">
        <f>recovered!AW57-recovered!AV57</f>
        <v>0</v>
      </c>
      <c r="AX57" s="5">
        <f>recovered!AX57-recovered!AW57</f>
        <v>2</v>
      </c>
      <c r="AY57" s="5">
        <f>recovered!AY57-recovered!AX57</f>
        <v>3</v>
      </c>
      <c r="AZ57" s="5">
        <f>recovered!AZ57-recovered!AY57</f>
        <v>0</v>
      </c>
      <c r="BA57" s="5">
        <f>recovered!BA57-recovered!AZ57</f>
        <v>0</v>
      </c>
      <c r="BB57" s="5">
        <f>recovered!BB57-recovered!BA57</f>
        <v>1</v>
      </c>
      <c r="BC57" s="5">
        <f>recovered!BC57-recovered!BB57</f>
        <v>0</v>
      </c>
      <c r="BD57" s="5">
        <f>recovered!BD57-recovered!BC57</f>
        <v>0</v>
      </c>
      <c r="BE57" s="5">
        <f>recovered!BE57-recovered!BD57</f>
        <v>0</v>
      </c>
      <c r="BF57" s="5">
        <f>recovered!BF57-recovered!BE57</f>
        <v>0</v>
      </c>
      <c r="BG57" s="5">
        <f>recovered!BG57-recovered!BF57</f>
        <v>2</v>
      </c>
      <c r="BH57" s="5">
        <f>recovered!BH57-recovered!BG57</f>
        <v>0</v>
      </c>
      <c r="BI57" s="5">
        <f>recovered!BI57-recovered!BH57</f>
        <v>0</v>
      </c>
      <c r="BJ57" s="5">
        <f>recovered!BJ57-recovered!BI57</f>
        <v>1</v>
      </c>
      <c r="BK57" s="5">
        <f>recovered!BK57-recovered!BJ57</f>
        <v>0</v>
      </c>
      <c r="BL57" s="5">
        <f>recovered!BL57-recovered!BK57</f>
        <v>0</v>
      </c>
      <c r="BM57" s="5">
        <f>recovered!BM57-recovered!BL57</f>
        <v>0</v>
      </c>
      <c r="BN57" s="5">
        <f>recovered!BN57-recovered!BM57</f>
        <v>0</v>
      </c>
      <c r="BO57" s="5">
        <f>recovered!BO57-recovered!BN57</f>
        <v>0</v>
      </c>
      <c r="BP57" s="5">
        <f>recovered!BP57-recovered!BO57</f>
        <v>0</v>
      </c>
      <c r="BQ57" s="5">
        <f>recovered!BQ57-recovered!BP57</f>
        <v>0</v>
      </c>
      <c r="BR57" s="5">
        <f>recovered!BR57-recovered!BQ57</f>
        <v>0</v>
      </c>
      <c r="BS57" s="5">
        <f>recovered!BS57-recovered!BR57</f>
        <v>0</v>
      </c>
      <c r="BT57" s="5">
        <f>recovered!BT57-recovered!BS57</f>
        <v>0</v>
      </c>
      <c r="BU57" s="5">
        <f>recovered!BU57-recovered!BT57</f>
        <v>0</v>
      </c>
      <c r="BV57" s="5">
        <f>recovered!BV57-recovered!BU57</f>
        <v>0</v>
      </c>
      <c r="BW57" s="5">
        <f>recovered!BW57-recovered!BV57</f>
        <v>0</v>
      </c>
      <c r="BX57" s="5">
        <f>recovered!BX57-recovered!BW57</f>
        <v>0</v>
      </c>
      <c r="BY57" s="5">
        <f>recovered!BY57-recovered!BX57</f>
        <v>0</v>
      </c>
    </row>
    <row r="58">
      <c r="B58" s="1" t="str">
        <f>recovered!B58</f>
        <v>China</v>
      </c>
      <c r="C58" s="4">
        <f>recovered!C58</f>
        <v>32.9711</v>
      </c>
      <c r="D58" s="4">
        <f>recovered!D58</f>
        <v>119.455</v>
      </c>
      <c r="E58" s="5">
        <f>recovered!E58</f>
        <v>0</v>
      </c>
      <c r="F58" s="5">
        <f>recovered!F58-recovered!E58</f>
        <v>0</v>
      </c>
      <c r="G58" s="5">
        <f>recovered!G58-recovered!F58</f>
        <v>0</v>
      </c>
      <c r="H58" s="5">
        <f>recovered!H58-recovered!G58</f>
        <v>1</v>
      </c>
      <c r="I58" s="5">
        <f>recovered!I58-recovered!H58</f>
        <v>0</v>
      </c>
      <c r="J58" s="5">
        <f>recovered!J58-recovered!I58</f>
        <v>0</v>
      </c>
      <c r="K58" s="5">
        <f>recovered!K58-recovered!J58</f>
        <v>0</v>
      </c>
      <c r="L58" s="5">
        <f>recovered!L58-recovered!K58</f>
        <v>0</v>
      </c>
      <c r="M58" s="5">
        <f>recovered!M58-recovered!L58</f>
        <v>0</v>
      </c>
      <c r="N58" s="5">
        <f>recovered!N58-recovered!M58</f>
        <v>4</v>
      </c>
      <c r="O58" s="5">
        <f>recovered!O58-recovered!N58</f>
        <v>1</v>
      </c>
      <c r="P58" s="5">
        <f>recovered!P58-recovered!O58</f>
        <v>1</v>
      </c>
      <c r="Q58" s="5">
        <f>recovered!Q58-recovered!P58</f>
        <v>1</v>
      </c>
      <c r="R58" s="5">
        <f>recovered!R58-recovered!Q58</f>
        <v>4</v>
      </c>
      <c r="S58" s="5">
        <f>recovered!S58-recovered!R58</f>
        <v>11</v>
      </c>
      <c r="T58" s="5">
        <f>recovered!T58-recovered!S58</f>
        <v>11</v>
      </c>
      <c r="U58" s="5">
        <f>recovered!U58-recovered!T58</f>
        <v>9</v>
      </c>
      <c r="V58" s="5">
        <f>recovered!V58-recovered!U58</f>
        <v>8</v>
      </c>
      <c r="W58" s="5">
        <f>recovered!W58-recovered!V58</f>
        <v>20</v>
      </c>
      <c r="X58" s="5">
        <f>recovered!X58-recovered!W58</f>
        <v>10</v>
      </c>
      <c r="Y58" s="5">
        <f>recovered!Y58-recovered!X58</f>
        <v>12</v>
      </c>
      <c r="Z58" s="5">
        <f>recovered!Z58-recovered!Y58</f>
        <v>32</v>
      </c>
      <c r="AA58" s="5">
        <f>recovered!AA58-recovered!Z58</f>
        <v>14</v>
      </c>
      <c r="AB58" s="5">
        <f>recovered!AB58-recovered!AA58</f>
        <v>18</v>
      </c>
      <c r="AC58" s="5">
        <f>recovered!AC58-recovered!AB58</f>
        <v>29</v>
      </c>
      <c r="AD58" s="5">
        <f>recovered!AD58-recovered!AC58</f>
        <v>32</v>
      </c>
      <c r="AE58" s="5">
        <f>recovered!AE58-recovered!AD58</f>
        <v>40</v>
      </c>
      <c r="AF58" s="5">
        <f>recovered!AF58-recovered!AE58</f>
        <v>22</v>
      </c>
      <c r="AG58" s="5">
        <f>recovered!AG58-recovered!AF58</f>
        <v>38</v>
      </c>
      <c r="AH58" s="5">
        <f>recovered!AH58-recovered!AG58</f>
        <v>38</v>
      </c>
      <c r="AI58" s="5">
        <f>recovered!AI58-recovered!AH58</f>
        <v>17</v>
      </c>
      <c r="AJ58" s="5">
        <f>recovered!AJ58-recovered!AI58</f>
        <v>28</v>
      </c>
      <c r="AK58" s="5">
        <f>recovered!AK58-recovered!AJ58</f>
        <v>17</v>
      </c>
      <c r="AL58" s="5">
        <f>recovered!AL58-recovered!AK58</f>
        <v>34</v>
      </c>
      <c r="AM58" s="5">
        <f>recovered!AM58-recovered!AL58</f>
        <v>6</v>
      </c>
      <c r="AN58" s="5">
        <f>recovered!AN58-recovered!AM58</f>
        <v>20</v>
      </c>
      <c r="AO58" s="5">
        <f>recovered!AO58-recovered!AN58</f>
        <v>20</v>
      </c>
      <c r="AP58" s="5">
        <f>recovered!AP58-recovered!AO58</f>
        <v>17</v>
      </c>
      <c r="AQ58" s="5">
        <f>recovered!AQ58-recovered!AP58</f>
        <v>8</v>
      </c>
      <c r="AR58" s="5">
        <f>recovered!AR58-recovered!AQ58</f>
        <v>13</v>
      </c>
      <c r="AS58" s="5">
        <f>recovered!AS58-recovered!AR58</f>
        <v>7</v>
      </c>
      <c r="AT58" s="5">
        <f>recovered!AT58-recovered!AS58</f>
        <v>19</v>
      </c>
      <c r="AU58" s="5">
        <f>recovered!AU58-recovered!AT58</f>
        <v>15</v>
      </c>
      <c r="AV58" s="5">
        <f>recovered!AV58-recovered!AU58</f>
        <v>6</v>
      </c>
      <c r="AW58" s="5">
        <f>recovered!AW58-recovered!AV58</f>
        <v>11</v>
      </c>
      <c r="AX58" s="5">
        <f>recovered!AX58-recovered!AW58</f>
        <v>12</v>
      </c>
      <c r="AY58" s="5">
        <f>recovered!AY58-recovered!AX58</f>
        <v>6</v>
      </c>
      <c r="AZ58" s="5">
        <f>recovered!AZ58-recovered!AY58</f>
        <v>9</v>
      </c>
      <c r="BA58" s="5">
        <f>recovered!BA58-recovered!AZ58</f>
        <v>6</v>
      </c>
      <c r="BB58" s="5">
        <f>recovered!BB58-recovered!BA58</f>
        <v>0</v>
      </c>
      <c r="BC58" s="5">
        <f>recovered!BC58-recovered!BB58</f>
        <v>2</v>
      </c>
      <c r="BD58" s="5">
        <f>recovered!BD58-recovered!BC58</f>
        <v>1</v>
      </c>
      <c r="BE58" s="5">
        <f>recovered!BE58-recovered!BD58</f>
        <v>0</v>
      </c>
      <c r="BF58" s="5">
        <f>recovered!BF58-recovered!BE58</f>
        <v>1</v>
      </c>
      <c r="BG58" s="5">
        <f>recovered!BG58-recovered!BF58</f>
        <v>0</v>
      </c>
      <c r="BH58" s="5">
        <f>recovered!BH58-recovered!BG58</f>
        <v>0</v>
      </c>
      <c r="BI58" s="5">
        <f>recovered!BI58-recovered!BH58</f>
        <v>0</v>
      </c>
      <c r="BJ58" s="5">
        <f>recovered!BJ58-recovered!BI58</f>
        <v>0</v>
      </c>
      <c r="BK58" s="5">
        <f>recovered!BK58-recovered!BJ58</f>
        <v>0</v>
      </c>
      <c r="BL58" s="5">
        <f>recovered!BL58-recovered!BK58</f>
        <v>0</v>
      </c>
      <c r="BM58" s="5">
        <f>recovered!BM58-recovered!BL58</f>
        <v>0</v>
      </c>
      <c r="BN58" s="5">
        <f>recovered!BN58-recovered!BM58</f>
        <v>0</v>
      </c>
      <c r="BO58" s="5">
        <f>recovered!BO58-recovered!BN58</f>
        <v>0</v>
      </c>
      <c r="BP58" s="5">
        <f>recovered!BP58-recovered!BO58</f>
        <v>0</v>
      </c>
      <c r="BQ58" s="5">
        <f>recovered!BQ58-recovered!BP58</f>
        <v>0</v>
      </c>
      <c r="BR58" s="5">
        <f>recovered!BR58-recovered!BQ58</f>
        <v>0</v>
      </c>
      <c r="BS58" s="5">
        <f>recovered!BS58-recovered!BR58</f>
        <v>0</v>
      </c>
      <c r="BT58" s="5">
        <f>recovered!BT58-recovered!BS58</f>
        <v>0</v>
      </c>
      <c r="BU58" s="5">
        <f>recovered!BU58-recovered!BT58</f>
        <v>0</v>
      </c>
      <c r="BV58" s="5">
        <f>recovered!BV58-recovered!BU58</f>
        <v>0</v>
      </c>
      <c r="BW58" s="5">
        <f>recovered!BW58-recovered!BV58</f>
        <v>0</v>
      </c>
      <c r="BX58" s="5">
        <f>recovered!BX58-recovered!BW58</f>
        <v>0</v>
      </c>
      <c r="BY58" s="5">
        <f>recovered!BY58-recovered!BX58</f>
        <v>1</v>
      </c>
    </row>
    <row r="59">
      <c r="B59" s="1" t="str">
        <f>recovered!B59</f>
        <v>China</v>
      </c>
      <c r="C59" s="4">
        <f>recovered!C59</f>
        <v>27.614</v>
      </c>
      <c r="D59" s="4">
        <f>recovered!D59</f>
        <v>115.7221</v>
      </c>
      <c r="E59" s="5">
        <f>recovered!E59</f>
        <v>0</v>
      </c>
      <c r="F59" s="5">
        <f>recovered!F59-recovered!E59</f>
        <v>0</v>
      </c>
      <c r="G59" s="5">
        <f>recovered!G59-recovered!F59</f>
        <v>0</v>
      </c>
      <c r="H59" s="5">
        <f>recovered!H59-recovered!G59</f>
        <v>0</v>
      </c>
      <c r="I59" s="5">
        <f>recovered!I59-recovered!H59</f>
        <v>0</v>
      </c>
      <c r="J59" s="5">
        <f>recovered!J59-recovered!I59</f>
        <v>2</v>
      </c>
      <c r="K59" s="5">
        <f>recovered!K59-recovered!J59</f>
        <v>1</v>
      </c>
      <c r="L59" s="5">
        <f>recovered!L59-recovered!K59</f>
        <v>0</v>
      </c>
      <c r="M59" s="5">
        <f>recovered!M59-recovered!L59</f>
        <v>2</v>
      </c>
      <c r="N59" s="5">
        <f>recovered!N59-recovered!M59</f>
        <v>2</v>
      </c>
      <c r="O59" s="5">
        <f>recovered!O59-recovered!N59</f>
        <v>2</v>
      </c>
      <c r="P59" s="5">
        <f>recovered!P59-recovered!O59</f>
        <v>3</v>
      </c>
      <c r="Q59" s="5">
        <f>recovered!Q59-recovered!P59</f>
        <v>6</v>
      </c>
      <c r="R59" s="5">
        <f>recovered!R59-recovered!Q59</f>
        <v>2</v>
      </c>
      <c r="S59" s="5">
        <f>recovered!S59-recovered!R59</f>
        <v>7</v>
      </c>
      <c r="T59" s="5">
        <f>recovered!T59-recovered!S59</f>
        <v>10</v>
      </c>
      <c r="U59" s="5">
        <f>recovered!U59-recovered!T59</f>
        <v>8</v>
      </c>
      <c r="V59" s="5">
        <f>recovered!V59-recovered!U59</f>
        <v>10</v>
      </c>
      <c r="W59" s="5">
        <f>recovered!W59-recovered!V59</f>
        <v>18</v>
      </c>
      <c r="X59" s="5">
        <f>recovered!X59-recovered!W59</f>
        <v>32</v>
      </c>
      <c r="Y59" s="5">
        <f>recovered!Y59-recovered!X59</f>
        <v>23</v>
      </c>
      <c r="Z59" s="5">
        <f>recovered!Z59-recovered!Y59</f>
        <v>24</v>
      </c>
      <c r="AA59" s="5">
        <f>recovered!AA59-recovered!Z59</f>
        <v>18</v>
      </c>
      <c r="AB59" s="5">
        <f>recovered!AB59-recovered!AA59</f>
        <v>17</v>
      </c>
      <c r="AC59" s="5">
        <f>recovered!AC59-recovered!AB59</f>
        <v>23</v>
      </c>
      <c r="AD59" s="5">
        <f>recovered!AD59-recovered!AC59</f>
        <v>30</v>
      </c>
      <c r="AE59" s="5">
        <f>recovered!AE59-recovered!AD59</f>
        <v>35</v>
      </c>
      <c r="AF59" s="5">
        <f>recovered!AF59-recovered!AE59</f>
        <v>35</v>
      </c>
      <c r="AG59" s="5">
        <f>recovered!AG59-recovered!AF59</f>
        <v>52</v>
      </c>
      <c r="AH59" s="5">
        <f>recovered!AH59-recovered!AG59</f>
        <v>71</v>
      </c>
      <c r="AI59" s="5">
        <f>recovered!AI59-recovered!AH59</f>
        <v>56</v>
      </c>
      <c r="AJ59" s="5">
        <f>recovered!AJ59-recovered!AI59</f>
        <v>66</v>
      </c>
      <c r="AK59" s="5">
        <f>recovered!AK59-recovered!AJ59</f>
        <v>58</v>
      </c>
      <c r="AL59" s="5">
        <f>recovered!AL59-recovered!AK59</f>
        <v>32</v>
      </c>
      <c r="AM59" s="5">
        <f>recovered!AM59-recovered!AL59</f>
        <v>38</v>
      </c>
      <c r="AN59" s="5">
        <f>recovered!AN59-recovered!AM59</f>
        <v>36</v>
      </c>
      <c r="AO59" s="5">
        <f>recovered!AO59-recovered!AN59</f>
        <v>35</v>
      </c>
      <c r="AP59" s="5">
        <f>recovered!AP59-recovered!AO59</f>
        <v>36</v>
      </c>
      <c r="AQ59" s="5">
        <f>recovered!AQ59-recovered!AP59</f>
        <v>21</v>
      </c>
      <c r="AR59" s="5">
        <f>recovered!AR59-recovered!AQ59</f>
        <v>20</v>
      </c>
      <c r="AS59" s="5">
        <f>recovered!AS59-recovered!AR59</f>
        <v>19</v>
      </c>
      <c r="AT59" s="5">
        <f>recovered!AT59-recovered!AS59</f>
        <v>20</v>
      </c>
      <c r="AU59" s="5">
        <f>recovered!AU59-recovered!AT59</f>
        <v>14</v>
      </c>
      <c r="AV59" s="5">
        <f>recovered!AV59-recovered!AU59</f>
        <v>17</v>
      </c>
      <c r="AW59" s="5">
        <f>recovered!AW59-recovered!AV59</f>
        <v>8</v>
      </c>
      <c r="AX59" s="5">
        <f>recovered!AX59-recovered!AW59</f>
        <v>7</v>
      </c>
      <c r="AY59" s="5">
        <f>recovered!AY59-recovered!AX59</f>
        <v>3</v>
      </c>
      <c r="AZ59" s="5">
        <f>recovered!AZ59-recovered!AY59</f>
        <v>4</v>
      </c>
      <c r="BA59" s="5">
        <f>recovered!BA59-recovered!AZ59</f>
        <v>4</v>
      </c>
      <c r="BB59" s="5">
        <f>recovered!BB59-recovered!BA59</f>
        <v>5</v>
      </c>
      <c r="BC59" s="5">
        <f>recovered!BC59-recovered!BB59</f>
        <v>2</v>
      </c>
      <c r="BD59" s="5">
        <f>recovered!BD59-recovered!BC59</f>
        <v>0</v>
      </c>
      <c r="BE59" s="5">
        <f>recovered!BE59-recovered!BD59</f>
        <v>0</v>
      </c>
      <c r="BF59" s="5">
        <f>recovered!BF59-recovered!BE59</f>
        <v>0</v>
      </c>
      <c r="BG59" s="5">
        <f>recovered!BG59-recovered!BF59</f>
        <v>0</v>
      </c>
      <c r="BH59" s="5">
        <f>recovered!BH59-recovered!BG59</f>
        <v>0</v>
      </c>
      <c r="BI59" s="5">
        <f>recovered!BI59-recovered!BH59</f>
        <v>0</v>
      </c>
      <c r="BJ59" s="5">
        <f>recovered!BJ59-recovered!BI59</f>
        <v>0</v>
      </c>
      <c r="BK59" s="5">
        <f>recovered!BK59-recovered!BJ59</f>
        <v>0</v>
      </c>
      <c r="BL59" s="5">
        <f>recovered!BL59-recovered!BK59</f>
        <v>0</v>
      </c>
      <c r="BM59" s="5">
        <f>recovered!BM59-recovered!BL59</f>
        <v>0</v>
      </c>
      <c r="BN59" s="5">
        <f>recovered!BN59-recovered!BM59</f>
        <v>0</v>
      </c>
      <c r="BO59" s="5">
        <f>recovered!BO59-recovered!BN59</f>
        <v>0</v>
      </c>
      <c r="BP59" s="5">
        <f>recovered!BP59-recovered!BO59</f>
        <v>0</v>
      </c>
      <c r="BQ59" s="5">
        <f>recovered!BQ59-recovered!BP59</f>
        <v>0</v>
      </c>
      <c r="BR59" s="5">
        <f>recovered!BR59-recovered!BQ59</f>
        <v>0</v>
      </c>
      <c r="BS59" s="5">
        <f>recovered!BS59-recovered!BR59</f>
        <v>0</v>
      </c>
      <c r="BT59" s="5">
        <f>recovered!BT59-recovered!BS59</f>
        <v>0</v>
      </c>
      <c r="BU59" s="5">
        <f>recovered!BU59-recovered!BT59</f>
        <v>1</v>
      </c>
      <c r="BV59" s="5">
        <f>recovered!BV59-recovered!BU59</f>
        <v>0</v>
      </c>
      <c r="BW59" s="5">
        <f>recovered!BW59-recovered!BV59</f>
        <v>0</v>
      </c>
      <c r="BX59" s="5">
        <f>recovered!BX59-recovered!BW59</f>
        <v>0</v>
      </c>
      <c r="BY59" s="5">
        <f>recovered!BY59-recovered!BX59</f>
        <v>0</v>
      </c>
    </row>
    <row r="60">
      <c r="B60" s="1" t="str">
        <f>recovered!B60</f>
        <v>China</v>
      </c>
      <c r="C60" s="4">
        <f>recovered!C60</f>
        <v>43.6661</v>
      </c>
      <c r="D60" s="4">
        <f>recovered!D60</f>
        <v>126.1923</v>
      </c>
      <c r="E60" s="5">
        <f>recovered!E60</f>
        <v>0</v>
      </c>
      <c r="F60" s="5">
        <f>recovered!F60-recovered!E60</f>
        <v>0</v>
      </c>
      <c r="G60" s="5">
        <f>recovered!G60-recovered!F60</f>
        <v>0</v>
      </c>
      <c r="H60" s="5">
        <f>recovered!H60-recovered!G60</f>
        <v>0</v>
      </c>
      <c r="I60" s="5">
        <f>recovered!I60-recovered!H60</f>
        <v>0</v>
      </c>
      <c r="J60" s="5">
        <f>recovered!J60-recovered!I60</f>
        <v>0</v>
      </c>
      <c r="K60" s="5">
        <f>recovered!K60-recovered!J60</f>
        <v>0</v>
      </c>
      <c r="L60" s="5">
        <f>recovered!L60-recovered!K60</f>
        <v>0</v>
      </c>
      <c r="M60" s="5">
        <f>recovered!M60-recovered!L60</f>
        <v>1</v>
      </c>
      <c r="N60" s="5">
        <f>recovered!N60-recovered!M60</f>
        <v>0</v>
      </c>
      <c r="O60" s="5">
        <f>recovered!O60-recovered!N60</f>
        <v>0</v>
      </c>
      <c r="P60" s="5">
        <f>recovered!P60-recovered!O60</f>
        <v>0</v>
      </c>
      <c r="Q60" s="5">
        <f>recovered!Q60-recovered!P60</f>
        <v>0</v>
      </c>
      <c r="R60" s="5">
        <f>recovered!R60-recovered!Q60</f>
        <v>0</v>
      </c>
      <c r="S60" s="5">
        <f>recovered!S60-recovered!R60</f>
        <v>1</v>
      </c>
      <c r="T60" s="5">
        <f>recovered!T60-recovered!S60</f>
        <v>2</v>
      </c>
      <c r="U60" s="5">
        <f>recovered!U60-recovered!T60</f>
        <v>0</v>
      </c>
      <c r="V60" s="5">
        <f>recovered!V60-recovered!U60</f>
        <v>0</v>
      </c>
      <c r="W60" s="5">
        <f>recovered!W60-recovered!V60</f>
        <v>8</v>
      </c>
      <c r="X60" s="5">
        <f>recovered!X60-recovered!W60</f>
        <v>1</v>
      </c>
      <c r="Y60" s="5">
        <f>recovered!Y60-recovered!X60</f>
        <v>5</v>
      </c>
      <c r="Z60" s="5">
        <f>recovered!Z60-recovered!Y60</f>
        <v>4</v>
      </c>
      <c r="AA60" s="5">
        <f>recovered!AA60-recovered!Z60</f>
        <v>2</v>
      </c>
      <c r="AB60" s="5">
        <f>recovered!AB60-recovered!AA60</f>
        <v>1</v>
      </c>
      <c r="AC60" s="5">
        <f>recovered!AC60-recovered!AB60</f>
        <v>1</v>
      </c>
      <c r="AD60" s="5">
        <f>recovered!AD60-recovered!AC60</f>
        <v>4</v>
      </c>
      <c r="AE60" s="5">
        <f>recovered!AE60-recovered!AD60</f>
        <v>4</v>
      </c>
      <c r="AF60" s="5">
        <f>recovered!AF60-recovered!AE60</f>
        <v>2</v>
      </c>
      <c r="AG60" s="5">
        <f>recovered!AG60-recovered!AF60</f>
        <v>1</v>
      </c>
      <c r="AH60" s="5">
        <f>recovered!AH60-recovered!AG60</f>
        <v>6</v>
      </c>
      <c r="AI60" s="5">
        <f>recovered!AI60-recovered!AH60</f>
        <v>2</v>
      </c>
      <c r="AJ60" s="5">
        <f>recovered!AJ60-recovered!AI60</f>
        <v>7</v>
      </c>
      <c r="AK60" s="5">
        <f>recovered!AK60-recovered!AJ60</f>
        <v>2</v>
      </c>
      <c r="AL60" s="5">
        <f>recovered!AL60-recovered!AK60</f>
        <v>6</v>
      </c>
      <c r="AM60" s="5">
        <f>recovered!AM60-recovered!AL60</f>
        <v>3</v>
      </c>
      <c r="AN60" s="5">
        <f>recovered!AN60-recovered!AM60</f>
        <v>2</v>
      </c>
      <c r="AO60" s="5">
        <f>recovered!AO60-recovered!AN60</f>
        <v>2</v>
      </c>
      <c r="AP60" s="5">
        <f>recovered!AP60-recovered!AO60</f>
        <v>6</v>
      </c>
      <c r="AQ60" s="5">
        <f>recovered!AQ60-recovered!AP60</f>
        <v>2</v>
      </c>
      <c r="AR60" s="5">
        <f>recovered!AR60-recovered!AQ60</f>
        <v>3</v>
      </c>
      <c r="AS60" s="5">
        <f>recovered!AS60-recovered!AR60</f>
        <v>5</v>
      </c>
      <c r="AT60" s="5">
        <f>recovered!AT60-recovered!AS60</f>
        <v>0</v>
      </c>
      <c r="AU60" s="5">
        <f>recovered!AU60-recovered!AT60</f>
        <v>3</v>
      </c>
      <c r="AV60" s="5">
        <f>recovered!AV60-recovered!AU60</f>
        <v>2</v>
      </c>
      <c r="AW60" s="5">
        <f>recovered!AW60-recovered!AV60</f>
        <v>2</v>
      </c>
      <c r="AX60" s="5">
        <f>recovered!AX60-recovered!AW60</f>
        <v>0</v>
      </c>
      <c r="AY60" s="5">
        <f>recovered!AY60-recovered!AX60</f>
        <v>0</v>
      </c>
      <c r="AZ60" s="5">
        <f>recovered!AZ60-recovered!AY60</f>
        <v>1</v>
      </c>
      <c r="BA60" s="5">
        <f>recovered!BA60-recovered!AZ60</f>
        <v>0</v>
      </c>
      <c r="BB60" s="5">
        <f>recovered!BB60-recovered!BA60</f>
        <v>0</v>
      </c>
      <c r="BC60" s="5">
        <f>recovered!BC60-recovered!BB60</f>
        <v>0</v>
      </c>
      <c r="BD60" s="5">
        <f>recovered!BD60-recovered!BC60</f>
        <v>0</v>
      </c>
      <c r="BE60" s="5">
        <f>recovered!BE60-recovered!BD60</f>
        <v>0</v>
      </c>
      <c r="BF60" s="5">
        <f>recovered!BF60-recovered!BE60</f>
        <v>0</v>
      </c>
      <c r="BG60" s="5">
        <f>recovered!BG60-recovered!BF60</f>
        <v>1</v>
      </c>
      <c r="BH60" s="5">
        <f>recovered!BH60-recovered!BG60</f>
        <v>0</v>
      </c>
      <c r="BI60" s="5">
        <f>recovered!BI60-recovered!BH60</f>
        <v>0</v>
      </c>
      <c r="BJ60" s="5">
        <f>recovered!BJ60-recovered!BI60</f>
        <v>0</v>
      </c>
      <c r="BK60" s="5">
        <f>recovered!BK60-recovered!BJ60</f>
        <v>0</v>
      </c>
      <c r="BL60" s="5">
        <f>recovered!BL60-recovered!BK60</f>
        <v>0</v>
      </c>
      <c r="BM60" s="5">
        <f>recovered!BM60-recovered!BL60</f>
        <v>0</v>
      </c>
      <c r="BN60" s="5">
        <f>recovered!BN60-recovered!BM60</f>
        <v>0</v>
      </c>
      <c r="BO60" s="5">
        <f>recovered!BO60-recovered!BN60</f>
        <v>0</v>
      </c>
      <c r="BP60" s="5">
        <f>recovered!BP60-recovered!BO60</f>
        <v>0</v>
      </c>
      <c r="BQ60" s="5">
        <f>recovered!BQ60-recovered!BP60</f>
        <v>0</v>
      </c>
      <c r="BR60" s="5">
        <f>recovered!BR60-recovered!BQ60</f>
        <v>0</v>
      </c>
      <c r="BS60" s="5">
        <f>recovered!BS60-recovered!BR60</f>
        <v>0</v>
      </c>
      <c r="BT60" s="5">
        <f>recovered!BT60-recovered!BS60</f>
        <v>0</v>
      </c>
      <c r="BU60" s="5">
        <f>recovered!BU60-recovered!BT60</f>
        <v>0</v>
      </c>
      <c r="BV60" s="5">
        <f>recovered!BV60-recovered!BU60</f>
        <v>0</v>
      </c>
      <c r="BW60" s="5">
        <f>recovered!BW60-recovered!BV60</f>
        <v>0</v>
      </c>
      <c r="BX60" s="5">
        <f>recovered!BX60-recovered!BW60</f>
        <v>0</v>
      </c>
      <c r="BY60" s="5">
        <f>recovered!BY60-recovered!BX60</f>
        <v>0</v>
      </c>
    </row>
    <row r="61">
      <c r="B61" s="1" t="str">
        <f>recovered!B61</f>
        <v>China</v>
      </c>
      <c r="C61" s="4">
        <f>recovered!C61</f>
        <v>41.2956</v>
      </c>
      <c r="D61" s="4">
        <f>recovered!D61</f>
        <v>122.6085</v>
      </c>
      <c r="E61" s="5">
        <f>recovered!E61</f>
        <v>0</v>
      </c>
      <c r="F61" s="5">
        <f>recovered!F61-recovered!E61</f>
        <v>0</v>
      </c>
      <c r="G61" s="5">
        <f>recovered!G61-recovered!F61</f>
        <v>0</v>
      </c>
      <c r="H61" s="5">
        <f>recovered!H61-recovered!G61</f>
        <v>0</v>
      </c>
      <c r="I61" s="5">
        <f>recovered!I61-recovered!H61</f>
        <v>0</v>
      </c>
      <c r="J61" s="5">
        <f>recovered!J61-recovered!I61</f>
        <v>0</v>
      </c>
      <c r="K61" s="5">
        <f>recovered!K61-recovered!J61</f>
        <v>0</v>
      </c>
      <c r="L61" s="5">
        <f>recovered!L61-recovered!K61</f>
        <v>1</v>
      </c>
      <c r="M61" s="5">
        <f>recovered!M61-recovered!L61</f>
        <v>0</v>
      </c>
      <c r="N61" s="5">
        <f>recovered!N61-recovered!M61</f>
        <v>0</v>
      </c>
      <c r="O61" s="5">
        <f>recovered!O61-recovered!N61</f>
        <v>0</v>
      </c>
      <c r="P61" s="5">
        <f>recovered!P61-recovered!O61</f>
        <v>0</v>
      </c>
      <c r="Q61" s="5">
        <f>recovered!Q61-recovered!P61</f>
        <v>0</v>
      </c>
      <c r="R61" s="5">
        <f>recovered!R61-recovered!Q61</f>
        <v>1</v>
      </c>
      <c r="S61" s="5">
        <f>recovered!S61-recovered!R61</f>
        <v>2</v>
      </c>
      <c r="T61" s="5">
        <f>recovered!T61-recovered!S61</f>
        <v>1</v>
      </c>
      <c r="U61" s="5">
        <f>recovered!U61-recovered!T61</f>
        <v>2</v>
      </c>
      <c r="V61" s="5">
        <f>recovered!V61-recovered!U61</f>
        <v>1</v>
      </c>
      <c r="W61" s="5">
        <f>recovered!W61-recovered!V61</f>
        <v>4</v>
      </c>
      <c r="X61" s="5">
        <f>recovered!X61-recovered!W61</f>
        <v>1</v>
      </c>
      <c r="Y61" s="5">
        <f>recovered!Y61-recovered!X61</f>
        <v>6</v>
      </c>
      <c r="Z61" s="5">
        <f>recovered!Z61-recovered!Y61</f>
        <v>1</v>
      </c>
      <c r="AA61" s="5">
        <f>recovered!AA61-recovered!Z61</f>
        <v>2</v>
      </c>
      <c r="AB61" s="5">
        <f>recovered!AB61-recovered!AA61</f>
        <v>7</v>
      </c>
      <c r="AC61" s="5">
        <f>recovered!AC61-recovered!AB61</f>
        <v>2</v>
      </c>
      <c r="AD61" s="5">
        <f>recovered!AD61-recovered!AC61</f>
        <v>9</v>
      </c>
      <c r="AE61" s="5">
        <f>recovered!AE61-recovered!AD61</f>
        <v>3</v>
      </c>
      <c r="AF61" s="5">
        <f>recovered!AF61-recovered!AE61</f>
        <v>10</v>
      </c>
      <c r="AG61" s="5">
        <f>recovered!AG61-recovered!AF61</f>
        <v>2</v>
      </c>
      <c r="AH61" s="5">
        <f>recovered!AH61-recovered!AG61</f>
        <v>4</v>
      </c>
      <c r="AI61" s="5">
        <f>recovered!AI61-recovered!AH61</f>
        <v>2</v>
      </c>
      <c r="AJ61" s="5">
        <f>recovered!AJ61-recovered!AI61</f>
        <v>5</v>
      </c>
      <c r="AK61" s="5">
        <f>recovered!AK61-recovered!AJ61</f>
        <v>7</v>
      </c>
      <c r="AL61" s="5">
        <f>recovered!AL61-recovered!AK61</f>
        <v>7</v>
      </c>
      <c r="AM61" s="5">
        <f>recovered!AM61-recovered!AL61</f>
        <v>3</v>
      </c>
      <c r="AN61" s="5">
        <f>recovered!AN61-recovered!AM61</f>
        <v>5</v>
      </c>
      <c r="AO61" s="5">
        <f>recovered!AO61-recovered!AN61</f>
        <v>5</v>
      </c>
      <c r="AP61" s="5">
        <f>recovered!AP61-recovered!AO61</f>
        <v>0</v>
      </c>
      <c r="AQ61" s="5">
        <f>recovered!AQ61-recovered!AP61</f>
        <v>3</v>
      </c>
      <c r="AR61" s="5">
        <f>recovered!AR61-recovered!AQ61</f>
        <v>7</v>
      </c>
      <c r="AS61" s="5">
        <f>recovered!AS61-recovered!AR61</f>
        <v>0</v>
      </c>
      <c r="AT61" s="5">
        <f>recovered!AT61-recovered!AS61</f>
        <v>3</v>
      </c>
      <c r="AU61" s="5">
        <f>recovered!AU61-recovered!AT61</f>
        <v>0</v>
      </c>
      <c r="AV61" s="5">
        <f>recovered!AV61-recovered!AU61</f>
        <v>0</v>
      </c>
      <c r="AW61" s="5">
        <f>recovered!AW61-recovered!AV61</f>
        <v>0</v>
      </c>
      <c r="AX61" s="5">
        <f>recovered!AX61-recovered!AW61</f>
        <v>1</v>
      </c>
      <c r="AY61" s="5">
        <f>recovered!AY61-recovered!AX61</f>
        <v>2</v>
      </c>
      <c r="AZ61" s="5">
        <f>recovered!AZ61-recovered!AY61</f>
        <v>0</v>
      </c>
      <c r="BA61" s="5">
        <f>recovered!BA61-recovered!AZ61</f>
        <v>2</v>
      </c>
      <c r="BB61" s="5">
        <f>recovered!BB61-recovered!BA61</f>
        <v>0</v>
      </c>
      <c r="BC61" s="5">
        <f>recovered!BC61-recovered!BB61</f>
        <v>1</v>
      </c>
      <c r="BD61" s="5">
        <f>recovered!BD61-recovered!BC61</f>
        <v>0</v>
      </c>
      <c r="BE61" s="5">
        <f>recovered!BE61-recovered!BD61</f>
        <v>1</v>
      </c>
      <c r="BF61" s="5">
        <f>recovered!BF61-recovered!BE61</f>
        <v>1</v>
      </c>
      <c r="BG61" s="5">
        <f>recovered!BG61-recovered!BF61</f>
        <v>1</v>
      </c>
      <c r="BH61" s="5">
        <f>recovered!BH61-recovered!BG61</f>
        <v>5</v>
      </c>
      <c r="BI61" s="5">
        <f>recovered!BI61-recovered!BH61</f>
        <v>2</v>
      </c>
      <c r="BJ61" s="5">
        <f>recovered!BJ61-recovered!BI61</f>
        <v>0</v>
      </c>
      <c r="BK61" s="5">
        <f>recovered!BK61-recovered!BJ61</f>
        <v>0</v>
      </c>
      <c r="BL61" s="5">
        <f>recovered!BL61-recovered!BK61</f>
        <v>0</v>
      </c>
      <c r="BM61" s="5">
        <f>recovered!BM61-recovered!BL61</f>
        <v>2</v>
      </c>
      <c r="BN61" s="5">
        <f>recovered!BN61-recovered!BM61</f>
        <v>0</v>
      </c>
      <c r="BO61" s="5">
        <f>recovered!BO61-recovered!BN61</f>
        <v>0</v>
      </c>
      <c r="BP61" s="5">
        <f>recovered!BP61-recovered!BO61</f>
        <v>0</v>
      </c>
      <c r="BQ61" s="5">
        <f>recovered!BQ61-recovered!BP61</f>
        <v>0</v>
      </c>
      <c r="BR61" s="5">
        <f>recovered!BR61-recovered!BQ61</f>
        <v>0</v>
      </c>
      <c r="BS61" s="5">
        <f>recovered!BS61-recovered!BR61</f>
        <v>0</v>
      </c>
      <c r="BT61" s="5">
        <f>recovered!BT61-recovered!BS61</f>
        <v>0</v>
      </c>
      <c r="BU61" s="5">
        <f>recovered!BU61-recovered!BT61</f>
        <v>0</v>
      </c>
      <c r="BV61" s="5">
        <f>recovered!BV61-recovered!BU61</f>
        <v>0</v>
      </c>
      <c r="BW61" s="5">
        <f>recovered!BW61-recovered!BV61</f>
        <v>0</v>
      </c>
      <c r="BX61" s="5">
        <f>recovered!BX61-recovered!BW61</f>
        <v>0</v>
      </c>
      <c r="BY61" s="5">
        <f>recovered!BY61-recovered!BX61</f>
        <v>0</v>
      </c>
    </row>
    <row r="62">
      <c r="B62" s="1" t="str">
        <f>recovered!B62</f>
        <v>China</v>
      </c>
      <c r="C62" s="4">
        <f>recovered!C62</f>
        <v>22.1667</v>
      </c>
      <c r="D62" s="4">
        <f>recovered!D62</f>
        <v>113.55</v>
      </c>
      <c r="E62" s="5">
        <f>recovered!E62</f>
        <v>0</v>
      </c>
      <c r="F62" s="5">
        <f>recovered!F62-recovered!E62</f>
        <v>0</v>
      </c>
      <c r="G62" s="5">
        <f>recovered!G62-recovered!F62</f>
        <v>0</v>
      </c>
      <c r="H62" s="5">
        <f>recovered!H62-recovered!G62</f>
        <v>0</v>
      </c>
      <c r="I62" s="5">
        <f>recovered!I62-recovered!H62</f>
        <v>0</v>
      </c>
      <c r="J62" s="5">
        <f>recovered!J62-recovered!I62</f>
        <v>0</v>
      </c>
      <c r="K62" s="5">
        <f>recovered!K62-recovered!J62</f>
        <v>0</v>
      </c>
      <c r="L62" s="5">
        <f>recovered!L62-recovered!K62</f>
        <v>0</v>
      </c>
      <c r="M62" s="5">
        <f>recovered!M62-recovered!L62</f>
        <v>0</v>
      </c>
      <c r="N62" s="5">
        <f>recovered!N62-recovered!M62</f>
        <v>0</v>
      </c>
      <c r="O62" s="5">
        <f>recovered!O62-recovered!N62</f>
        <v>0</v>
      </c>
      <c r="P62" s="5">
        <f>recovered!P62-recovered!O62</f>
        <v>0</v>
      </c>
      <c r="Q62" s="5">
        <f>recovered!Q62-recovered!P62</f>
        <v>0</v>
      </c>
      <c r="R62" s="5">
        <f>recovered!R62-recovered!Q62</f>
        <v>0</v>
      </c>
      <c r="S62" s="5">
        <f>recovered!S62-recovered!R62</f>
        <v>0</v>
      </c>
      <c r="T62" s="5">
        <f>recovered!T62-recovered!S62</f>
        <v>1</v>
      </c>
      <c r="U62" s="5">
        <f>recovered!U62-recovered!T62</f>
        <v>0</v>
      </c>
      <c r="V62" s="5">
        <f>recovered!V62-recovered!U62</f>
        <v>0</v>
      </c>
      <c r="W62" s="5">
        <f>recovered!W62-recovered!V62</f>
        <v>0</v>
      </c>
      <c r="X62" s="5">
        <f>recovered!X62-recovered!W62</f>
        <v>0</v>
      </c>
      <c r="Y62" s="5">
        <f>recovered!Y62-recovered!X62</f>
        <v>0</v>
      </c>
      <c r="Z62" s="5">
        <f>recovered!Z62-recovered!Y62</f>
        <v>1</v>
      </c>
      <c r="AA62" s="5">
        <f>recovered!AA62-recovered!Z62</f>
        <v>1</v>
      </c>
      <c r="AB62" s="5">
        <f>recovered!AB62-recovered!AA62</f>
        <v>0</v>
      </c>
      <c r="AC62" s="5">
        <f>recovered!AC62-recovered!AB62</f>
        <v>0</v>
      </c>
      <c r="AD62" s="5">
        <f>recovered!AD62-recovered!AC62</f>
        <v>2</v>
      </c>
      <c r="AE62" s="5">
        <f>recovered!AE62-recovered!AD62</f>
        <v>0</v>
      </c>
      <c r="AF62" s="5">
        <f>recovered!AF62-recovered!AE62</f>
        <v>0</v>
      </c>
      <c r="AG62" s="5">
        <f>recovered!AG62-recovered!AF62</f>
        <v>0</v>
      </c>
      <c r="AH62" s="5">
        <f>recovered!AH62-recovered!AG62</f>
        <v>1</v>
      </c>
      <c r="AI62" s="5">
        <f>recovered!AI62-recovered!AH62</f>
        <v>0</v>
      </c>
      <c r="AJ62" s="5">
        <f>recovered!AJ62-recovered!AI62</f>
        <v>0</v>
      </c>
      <c r="AK62" s="5">
        <f>recovered!AK62-recovered!AJ62</f>
        <v>0</v>
      </c>
      <c r="AL62" s="5">
        <f>recovered!AL62-recovered!AK62</f>
        <v>0</v>
      </c>
      <c r="AM62" s="5">
        <f>recovered!AM62-recovered!AL62</f>
        <v>1</v>
      </c>
      <c r="AN62" s="5">
        <f>recovered!AN62-recovered!AM62</f>
        <v>0</v>
      </c>
      <c r="AO62" s="5">
        <f>recovered!AO62-recovered!AN62</f>
        <v>1</v>
      </c>
      <c r="AP62" s="5">
        <f>recovered!AP62-recovered!AO62</f>
        <v>0</v>
      </c>
      <c r="AQ62" s="5">
        <f>recovered!AQ62-recovered!AP62</f>
        <v>0</v>
      </c>
      <c r="AR62" s="5">
        <f>recovered!AR62-recovered!AQ62</f>
        <v>0</v>
      </c>
      <c r="AS62" s="5">
        <f>recovered!AS62-recovered!AR62</f>
        <v>0</v>
      </c>
      <c r="AT62" s="5">
        <f>recovered!AT62-recovered!AS62</f>
        <v>1</v>
      </c>
      <c r="AU62" s="5">
        <f>recovered!AU62-recovered!AT62</f>
        <v>0</v>
      </c>
      <c r="AV62" s="5">
        <f>recovered!AV62-recovered!AU62</f>
        <v>0</v>
      </c>
      <c r="AW62" s="5">
        <f>recovered!AW62-recovered!AV62</f>
        <v>1</v>
      </c>
      <c r="AX62" s="5">
        <f>recovered!AX62-recovered!AW62</f>
        <v>0</v>
      </c>
      <c r="AY62" s="5">
        <f>recovered!AY62-recovered!AX62</f>
        <v>0</v>
      </c>
      <c r="AZ62" s="5">
        <f>recovered!AZ62-recovered!AY62</f>
        <v>0</v>
      </c>
      <c r="BA62" s="5">
        <f>recovered!BA62-recovered!AZ62</f>
        <v>0</v>
      </c>
      <c r="BB62" s="5">
        <f>recovered!BB62-recovered!BA62</f>
        <v>0</v>
      </c>
      <c r="BC62" s="5">
        <f>recovered!BC62-recovered!BB62</f>
        <v>0</v>
      </c>
      <c r="BD62" s="5">
        <f>recovered!BD62-recovered!BC62</f>
        <v>0</v>
      </c>
      <c r="BE62" s="5">
        <f>recovered!BE62-recovered!BD62</f>
        <v>0</v>
      </c>
      <c r="BF62" s="5">
        <f>recovered!BF62-recovered!BE62</f>
        <v>0</v>
      </c>
      <c r="BG62" s="5">
        <f>recovered!BG62-recovered!BF62</f>
        <v>0</v>
      </c>
      <c r="BH62" s="5">
        <f>recovered!BH62-recovered!BG62</f>
        <v>0</v>
      </c>
      <c r="BI62" s="5">
        <f>recovered!BI62-recovered!BH62</f>
        <v>0</v>
      </c>
      <c r="BJ62" s="5">
        <f>recovered!BJ62-recovered!BI62</f>
        <v>0</v>
      </c>
      <c r="BK62" s="5">
        <f>recovered!BK62-recovered!BJ62</f>
        <v>0</v>
      </c>
      <c r="BL62" s="5">
        <f>recovered!BL62-recovered!BK62</f>
        <v>0</v>
      </c>
      <c r="BM62" s="5">
        <f>recovered!BM62-recovered!BL62</f>
        <v>0</v>
      </c>
      <c r="BN62" s="5">
        <f>recovered!BN62-recovered!BM62</f>
        <v>0</v>
      </c>
      <c r="BO62" s="5">
        <f>recovered!BO62-recovered!BN62</f>
        <v>0</v>
      </c>
      <c r="BP62" s="5">
        <f>recovered!BP62-recovered!BO62</f>
        <v>0</v>
      </c>
      <c r="BQ62" s="5">
        <f>recovered!BQ62-recovered!BP62</f>
        <v>0</v>
      </c>
      <c r="BR62" s="5">
        <f>recovered!BR62-recovered!BQ62</f>
        <v>0</v>
      </c>
      <c r="BS62" s="5">
        <f>recovered!BS62-recovered!BR62</f>
        <v>0</v>
      </c>
      <c r="BT62" s="5">
        <f>recovered!BT62-recovered!BS62</f>
        <v>0</v>
      </c>
      <c r="BU62" s="5">
        <f>recovered!BU62-recovered!BT62</f>
        <v>0</v>
      </c>
      <c r="BV62" s="5">
        <f>recovered!BV62-recovered!BU62</f>
        <v>0</v>
      </c>
      <c r="BW62" s="5">
        <f>recovered!BW62-recovered!BV62</f>
        <v>0</v>
      </c>
      <c r="BX62" s="5">
        <f>recovered!BX62-recovered!BW62</f>
        <v>0</v>
      </c>
      <c r="BY62" s="5">
        <f>recovered!BY62-recovered!BX62</f>
        <v>0</v>
      </c>
    </row>
    <row r="63">
      <c r="B63" s="1" t="str">
        <f>recovered!B63</f>
        <v>China</v>
      </c>
      <c r="C63" s="4">
        <f>recovered!C63</f>
        <v>37.2692</v>
      </c>
      <c r="D63" s="4">
        <f>recovered!D63</f>
        <v>106.1655</v>
      </c>
      <c r="E63" s="5">
        <f>recovered!E63</f>
        <v>0</v>
      </c>
      <c r="F63" s="5">
        <f>recovered!F63-recovered!E63</f>
        <v>0</v>
      </c>
      <c r="G63" s="5">
        <f>recovered!G63-recovered!F63</f>
        <v>0</v>
      </c>
      <c r="H63" s="5">
        <f>recovered!H63-recovered!G63</f>
        <v>0</v>
      </c>
      <c r="I63" s="5">
        <f>recovered!I63-recovered!H63</f>
        <v>0</v>
      </c>
      <c r="J63" s="5">
        <f>recovered!J63-recovered!I63</f>
        <v>0</v>
      </c>
      <c r="K63" s="5">
        <f>recovered!K63-recovered!J63</f>
        <v>0</v>
      </c>
      <c r="L63" s="5">
        <f>recovered!L63-recovered!K63</f>
        <v>0</v>
      </c>
      <c r="M63" s="5">
        <f>recovered!M63-recovered!L63</f>
        <v>0</v>
      </c>
      <c r="N63" s="5">
        <f>recovered!N63-recovered!M63</f>
        <v>0</v>
      </c>
      <c r="O63" s="5">
        <f>recovered!O63-recovered!N63</f>
        <v>0</v>
      </c>
      <c r="P63" s="5">
        <f>recovered!P63-recovered!O63</f>
        <v>0</v>
      </c>
      <c r="Q63" s="5">
        <f>recovered!Q63-recovered!P63</f>
        <v>1</v>
      </c>
      <c r="R63" s="5">
        <f>recovered!R63-recovered!Q63</f>
        <v>0</v>
      </c>
      <c r="S63" s="5">
        <f>recovered!S63-recovered!R63</f>
        <v>0</v>
      </c>
      <c r="T63" s="5">
        <f>recovered!T63-recovered!S63</f>
        <v>0</v>
      </c>
      <c r="U63" s="5">
        <f>recovered!U63-recovered!T63</f>
        <v>4</v>
      </c>
      <c r="V63" s="5">
        <f>recovered!V63-recovered!U63</f>
        <v>10</v>
      </c>
      <c r="W63" s="5">
        <f>recovered!W63-recovered!V63</f>
        <v>-2</v>
      </c>
      <c r="X63" s="5">
        <f>recovered!X63-recovered!W63</f>
        <v>0</v>
      </c>
      <c r="Y63" s="5">
        <f>recovered!Y63-recovered!X63</f>
        <v>9</v>
      </c>
      <c r="Z63" s="5">
        <f>recovered!Z63-recovered!Y63</f>
        <v>2</v>
      </c>
      <c r="AA63" s="5">
        <f>recovered!AA63-recovered!Z63</f>
        <v>0</v>
      </c>
      <c r="AB63" s="5">
        <f>recovered!AB63-recovered!AA63</f>
        <v>0</v>
      </c>
      <c r="AC63" s="5">
        <f>recovered!AC63-recovered!AB63</f>
        <v>9</v>
      </c>
      <c r="AD63" s="5">
        <f>recovered!AD63-recovered!AC63</f>
        <v>0</v>
      </c>
      <c r="AE63" s="5">
        <f>recovered!AE63-recovered!AD63</f>
        <v>2</v>
      </c>
      <c r="AF63" s="5">
        <f>recovered!AF63-recovered!AE63</f>
        <v>7</v>
      </c>
      <c r="AG63" s="5">
        <f>recovered!AG63-recovered!AF63</f>
        <v>0</v>
      </c>
      <c r="AH63" s="5">
        <f>recovered!AH63-recovered!AG63</f>
        <v>2</v>
      </c>
      <c r="AI63" s="5">
        <f>recovered!AI63-recovered!AH63</f>
        <v>4</v>
      </c>
      <c r="AJ63" s="5">
        <f>recovered!AJ63-recovered!AI63</f>
        <v>0</v>
      </c>
      <c r="AK63" s="5">
        <f>recovered!AK63-recovered!AJ63</f>
        <v>8</v>
      </c>
      <c r="AL63" s="5">
        <f>recovered!AL63-recovered!AK63</f>
        <v>2</v>
      </c>
      <c r="AM63" s="5">
        <f>recovered!AM63-recovered!AL63</f>
        <v>3</v>
      </c>
      <c r="AN63" s="5">
        <f>recovered!AN63-recovered!AM63</f>
        <v>4</v>
      </c>
      <c r="AO63" s="5">
        <f>recovered!AO63-recovered!AN63</f>
        <v>3</v>
      </c>
      <c r="AP63" s="5">
        <f>recovered!AP63-recovered!AO63</f>
        <v>0</v>
      </c>
      <c r="AQ63" s="5">
        <f>recovered!AQ63-recovered!AP63</f>
        <v>1</v>
      </c>
      <c r="AR63" s="5">
        <f>recovered!AR63-recovered!AQ63</f>
        <v>0</v>
      </c>
      <c r="AS63" s="5">
        <f>recovered!AS63-recovered!AR63</f>
        <v>0</v>
      </c>
      <c r="AT63" s="5">
        <f>recovered!AT63-recovered!AS63</f>
        <v>0</v>
      </c>
      <c r="AU63" s="5">
        <f>recovered!AU63-recovered!AT63</f>
        <v>0</v>
      </c>
      <c r="AV63" s="5">
        <f>recovered!AV63-recovered!AU63</f>
        <v>0</v>
      </c>
      <c r="AW63" s="5">
        <f>recovered!AW63-recovered!AV63</f>
        <v>2</v>
      </c>
      <c r="AX63" s="5">
        <f>recovered!AX63-recovered!AW63</f>
        <v>0</v>
      </c>
      <c r="AY63" s="5">
        <f>recovered!AY63-recovered!AX63</f>
        <v>0</v>
      </c>
      <c r="AZ63" s="5">
        <f>recovered!AZ63-recovered!AY63</f>
        <v>0</v>
      </c>
      <c r="BA63" s="5">
        <f>recovered!BA63-recovered!AZ63</f>
        <v>0</v>
      </c>
      <c r="BB63" s="5">
        <f>recovered!BB63-recovered!BA63</f>
        <v>1</v>
      </c>
      <c r="BC63" s="5">
        <f>recovered!BC63-recovered!BB63</f>
        <v>0</v>
      </c>
      <c r="BD63" s="5">
        <f>recovered!BD63-recovered!BC63</f>
        <v>0</v>
      </c>
      <c r="BE63" s="5">
        <f>recovered!BE63-recovered!BD63</f>
        <v>1</v>
      </c>
      <c r="BF63" s="5">
        <f>recovered!BF63-recovered!BE63</f>
        <v>0</v>
      </c>
      <c r="BG63" s="5">
        <f>recovered!BG63-recovered!BF63</f>
        <v>2</v>
      </c>
      <c r="BH63" s="5">
        <f>recovered!BH63-recovered!BG63</f>
        <v>0</v>
      </c>
      <c r="BI63" s="5">
        <f>recovered!BI63-recovered!BH63</f>
        <v>0</v>
      </c>
      <c r="BJ63" s="5">
        <f>recovered!BJ63-recovered!BI63</f>
        <v>0</v>
      </c>
      <c r="BK63" s="5">
        <f>recovered!BK63-recovered!BJ63</f>
        <v>0</v>
      </c>
      <c r="BL63" s="5">
        <f>recovered!BL63-recovered!BK63</f>
        <v>0</v>
      </c>
      <c r="BM63" s="5">
        <f>recovered!BM63-recovered!BL63</f>
        <v>0</v>
      </c>
      <c r="BN63" s="5">
        <f>recovered!BN63-recovered!BM63</f>
        <v>0</v>
      </c>
      <c r="BO63" s="5">
        <f>recovered!BO63-recovered!BN63</f>
        <v>0</v>
      </c>
      <c r="BP63" s="5">
        <f>recovered!BP63-recovered!BO63</f>
        <v>0</v>
      </c>
      <c r="BQ63" s="5">
        <f>recovered!BQ63-recovered!BP63</f>
        <v>0</v>
      </c>
      <c r="BR63" s="5">
        <f>recovered!BR63-recovered!BQ63</f>
        <v>0</v>
      </c>
      <c r="BS63" s="5">
        <f>recovered!BS63-recovered!BR63</f>
        <v>0</v>
      </c>
      <c r="BT63" s="5">
        <f>recovered!BT63-recovered!BS63</f>
        <v>0</v>
      </c>
      <c r="BU63" s="5">
        <f>recovered!BU63-recovered!BT63</f>
        <v>0</v>
      </c>
      <c r="BV63" s="5">
        <f>recovered!BV63-recovered!BU63</f>
        <v>0</v>
      </c>
      <c r="BW63" s="5">
        <f>recovered!BW63-recovered!BV63</f>
        <v>0</v>
      </c>
      <c r="BX63" s="5">
        <f>recovered!BX63-recovered!BW63</f>
        <v>0</v>
      </c>
      <c r="BY63" s="5">
        <f>recovered!BY63-recovered!BX63</f>
        <v>0</v>
      </c>
    </row>
    <row r="64">
      <c r="B64" s="1" t="str">
        <f>recovered!B64</f>
        <v>China</v>
      </c>
      <c r="C64" s="4">
        <f>recovered!C64</f>
        <v>35.7452</v>
      </c>
      <c r="D64" s="4">
        <f>recovered!D64</f>
        <v>95.9956</v>
      </c>
      <c r="E64" s="5">
        <f>recovered!E64</f>
        <v>0</v>
      </c>
      <c r="F64" s="5">
        <f>recovered!F64-recovered!E64</f>
        <v>0</v>
      </c>
      <c r="G64" s="5">
        <f>recovered!G64-recovered!F64</f>
        <v>0</v>
      </c>
      <c r="H64" s="5">
        <f>recovered!H64-recovered!G64</f>
        <v>0</v>
      </c>
      <c r="I64" s="5">
        <f>recovered!I64-recovered!H64</f>
        <v>0</v>
      </c>
      <c r="J64" s="5">
        <f>recovered!J64-recovered!I64</f>
        <v>0</v>
      </c>
      <c r="K64" s="5">
        <f>recovered!K64-recovered!J64</f>
        <v>0</v>
      </c>
      <c r="L64" s="5">
        <f>recovered!L64-recovered!K64</f>
        <v>0</v>
      </c>
      <c r="M64" s="5">
        <f>recovered!M64-recovered!L64</f>
        <v>0</v>
      </c>
      <c r="N64" s="5">
        <f>recovered!N64-recovered!M64</f>
        <v>0</v>
      </c>
      <c r="O64" s="5">
        <f>recovered!O64-recovered!N64</f>
        <v>0</v>
      </c>
      <c r="P64" s="5">
        <f>recovered!P64-recovered!O64</f>
        <v>0</v>
      </c>
      <c r="Q64" s="5">
        <f>recovered!Q64-recovered!P64</f>
        <v>0</v>
      </c>
      <c r="R64" s="5">
        <f>recovered!R64-recovered!Q64</f>
        <v>0</v>
      </c>
      <c r="S64" s="5">
        <f>recovered!S64-recovered!R64</f>
        <v>3</v>
      </c>
      <c r="T64" s="5">
        <f>recovered!T64-recovered!S64</f>
        <v>0</v>
      </c>
      <c r="U64" s="5">
        <f>recovered!U64-recovered!T64</f>
        <v>0</v>
      </c>
      <c r="V64" s="5">
        <f>recovered!V64-recovered!U64</f>
        <v>0</v>
      </c>
      <c r="W64" s="5">
        <f>recovered!W64-recovered!V64</f>
        <v>0</v>
      </c>
      <c r="X64" s="5">
        <f>recovered!X64-recovered!W64</f>
        <v>0</v>
      </c>
      <c r="Y64" s="5">
        <f>recovered!Y64-recovered!X64</f>
        <v>2</v>
      </c>
      <c r="Z64" s="5">
        <f>recovered!Z64-recovered!Y64</f>
        <v>4</v>
      </c>
      <c r="AA64" s="5">
        <f>recovered!AA64-recovered!Z64</f>
        <v>2</v>
      </c>
      <c r="AB64" s="5">
        <f>recovered!AB64-recovered!AA64</f>
        <v>0</v>
      </c>
      <c r="AC64" s="5">
        <f>recovered!AC64-recovered!AB64</f>
        <v>2</v>
      </c>
      <c r="AD64" s="5">
        <f>recovered!AD64-recovered!AC64</f>
        <v>0</v>
      </c>
      <c r="AE64" s="5">
        <f>recovered!AE64-recovered!AD64</f>
        <v>0</v>
      </c>
      <c r="AF64" s="5">
        <f>recovered!AF64-recovered!AE64</f>
        <v>2</v>
      </c>
      <c r="AG64" s="5">
        <f>recovered!AG64-recovered!AF64</f>
        <v>1</v>
      </c>
      <c r="AH64" s="5">
        <f>recovered!AH64-recovered!AG64</f>
        <v>0</v>
      </c>
      <c r="AI64" s="5">
        <f>recovered!AI64-recovered!AH64</f>
        <v>2</v>
      </c>
      <c r="AJ64" s="5">
        <f>recovered!AJ64-recovered!AI64</f>
        <v>0</v>
      </c>
      <c r="AK64" s="5">
        <f>recovered!AK64-recovered!AJ64</f>
        <v>0</v>
      </c>
      <c r="AL64" s="5">
        <f>recovered!AL64-recovered!AK64</f>
        <v>0</v>
      </c>
      <c r="AM64" s="5">
        <f>recovered!AM64-recovered!AL64</f>
        <v>0</v>
      </c>
      <c r="AN64" s="5">
        <f>recovered!AN64-recovered!AM64</f>
        <v>0</v>
      </c>
      <c r="AO64" s="5">
        <f>recovered!AO64-recovered!AN64</f>
        <v>0</v>
      </c>
      <c r="AP64" s="5">
        <f>recovered!AP64-recovered!AO64</f>
        <v>0</v>
      </c>
      <c r="AQ64" s="5">
        <f>recovered!AQ64-recovered!AP64</f>
        <v>0</v>
      </c>
      <c r="AR64" s="5">
        <f>recovered!AR64-recovered!AQ64</f>
        <v>0</v>
      </c>
      <c r="AS64" s="5">
        <f>recovered!AS64-recovered!AR64</f>
        <v>0</v>
      </c>
      <c r="AT64" s="5">
        <f>recovered!AT64-recovered!AS64</f>
        <v>0</v>
      </c>
      <c r="AU64" s="5">
        <f>recovered!AU64-recovered!AT64</f>
        <v>0</v>
      </c>
      <c r="AV64" s="5">
        <f>recovered!AV64-recovered!AU64</f>
        <v>0</v>
      </c>
      <c r="AW64" s="5">
        <f>recovered!AW64-recovered!AV64</f>
        <v>0</v>
      </c>
      <c r="AX64" s="5">
        <f>recovered!AX64-recovered!AW64</f>
        <v>0</v>
      </c>
      <c r="AY64" s="5">
        <f>recovered!AY64-recovered!AX64</f>
        <v>0</v>
      </c>
      <c r="AZ64" s="5">
        <f>recovered!AZ64-recovered!AY64</f>
        <v>0</v>
      </c>
      <c r="BA64" s="5">
        <f>recovered!BA64-recovered!AZ64</f>
        <v>0</v>
      </c>
      <c r="BB64" s="5">
        <f>recovered!BB64-recovered!BA64</f>
        <v>0</v>
      </c>
      <c r="BC64" s="5">
        <f>recovered!BC64-recovered!BB64</f>
        <v>0</v>
      </c>
      <c r="BD64" s="5">
        <f>recovered!BD64-recovered!BC64</f>
        <v>0</v>
      </c>
      <c r="BE64" s="5">
        <f>recovered!BE64-recovered!BD64</f>
        <v>0</v>
      </c>
      <c r="BF64" s="5">
        <f>recovered!BF64-recovered!BE64</f>
        <v>0</v>
      </c>
      <c r="BG64" s="5">
        <f>recovered!BG64-recovered!BF64</f>
        <v>0</v>
      </c>
      <c r="BH64" s="5">
        <f>recovered!BH64-recovered!BG64</f>
        <v>0</v>
      </c>
      <c r="BI64" s="5">
        <f>recovered!BI64-recovered!BH64</f>
        <v>0</v>
      </c>
      <c r="BJ64" s="5">
        <f>recovered!BJ64-recovered!BI64</f>
        <v>0</v>
      </c>
      <c r="BK64" s="5">
        <f>recovered!BK64-recovered!BJ64</f>
        <v>0</v>
      </c>
      <c r="BL64" s="5">
        <f>recovered!BL64-recovered!BK64</f>
        <v>0</v>
      </c>
      <c r="BM64" s="5">
        <f>recovered!BM64-recovered!BL64</f>
        <v>0</v>
      </c>
      <c r="BN64" s="5">
        <f>recovered!BN64-recovered!BM64</f>
        <v>0</v>
      </c>
      <c r="BO64" s="5">
        <f>recovered!BO64-recovered!BN64</f>
        <v>0</v>
      </c>
      <c r="BP64" s="5">
        <f>recovered!BP64-recovered!BO64</f>
        <v>0</v>
      </c>
      <c r="BQ64" s="5">
        <f>recovered!BQ64-recovered!BP64</f>
        <v>0</v>
      </c>
      <c r="BR64" s="5">
        <f>recovered!BR64-recovered!BQ64</f>
        <v>0</v>
      </c>
      <c r="BS64" s="5">
        <f>recovered!BS64-recovered!BR64</f>
        <v>0</v>
      </c>
      <c r="BT64" s="5">
        <f>recovered!BT64-recovered!BS64</f>
        <v>0</v>
      </c>
      <c r="BU64" s="5">
        <f>recovered!BU64-recovered!BT64</f>
        <v>0</v>
      </c>
      <c r="BV64" s="5">
        <f>recovered!BV64-recovered!BU64</f>
        <v>0</v>
      </c>
      <c r="BW64" s="5">
        <f>recovered!BW64-recovered!BV64</f>
        <v>0</v>
      </c>
      <c r="BX64" s="5">
        <f>recovered!BX64-recovered!BW64</f>
        <v>0</v>
      </c>
      <c r="BY64" s="5">
        <f>recovered!BY64-recovered!BX64</f>
        <v>0</v>
      </c>
    </row>
    <row r="65">
      <c r="B65" s="1" t="str">
        <f>recovered!B65</f>
        <v>China</v>
      </c>
      <c r="C65" s="4">
        <f>recovered!C65</f>
        <v>35.1917</v>
      </c>
      <c r="D65" s="4">
        <f>recovered!D65</f>
        <v>108.8701</v>
      </c>
      <c r="E65" s="5">
        <f>recovered!E65</f>
        <v>0</v>
      </c>
      <c r="F65" s="5">
        <f>recovered!F65-recovered!E65</f>
        <v>0</v>
      </c>
      <c r="G65" s="5">
        <f>recovered!G65-recovered!F65</f>
        <v>0</v>
      </c>
      <c r="H65" s="5">
        <f>recovered!H65-recovered!G65</f>
        <v>0</v>
      </c>
      <c r="I65" s="5">
        <f>recovered!I65-recovered!H65</f>
        <v>0</v>
      </c>
      <c r="J65" s="5">
        <f>recovered!J65-recovered!I65</f>
        <v>0</v>
      </c>
      <c r="K65" s="5">
        <f>recovered!K65-recovered!J65</f>
        <v>0</v>
      </c>
      <c r="L65" s="5">
        <f>recovered!L65-recovered!K65</f>
        <v>0</v>
      </c>
      <c r="M65" s="5">
        <f>recovered!M65-recovered!L65</f>
        <v>0</v>
      </c>
      <c r="N65" s="5">
        <f>recovered!N65-recovered!M65</f>
        <v>0</v>
      </c>
      <c r="O65" s="5">
        <f>recovered!O65-recovered!N65</f>
        <v>0</v>
      </c>
      <c r="P65" s="5">
        <f>recovered!P65-recovered!O65</f>
        <v>0</v>
      </c>
      <c r="Q65" s="5">
        <f>recovered!Q65-recovered!P65</f>
        <v>0</v>
      </c>
      <c r="R65" s="5">
        <f>recovered!R65-recovered!Q65</f>
        <v>2</v>
      </c>
      <c r="S65" s="5">
        <f>recovered!S65-recovered!R65</f>
        <v>4</v>
      </c>
      <c r="T65" s="5">
        <f>recovered!T65-recovered!S65</f>
        <v>3</v>
      </c>
      <c r="U65" s="5">
        <f>recovered!U65-recovered!T65</f>
        <v>8</v>
      </c>
      <c r="V65" s="5">
        <f>recovered!V65-recovered!U65</f>
        <v>3</v>
      </c>
      <c r="W65" s="5">
        <f>recovered!W65-recovered!V65</f>
        <v>5</v>
      </c>
      <c r="X65" s="5">
        <f>recovered!X65-recovered!W65</f>
        <v>5</v>
      </c>
      <c r="Y65" s="5">
        <f>recovered!Y65-recovered!X65</f>
        <v>2</v>
      </c>
      <c r="Z65" s="5">
        <f>recovered!Z65-recovered!Y65</f>
        <v>11</v>
      </c>
      <c r="AA65" s="5">
        <f>recovered!AA65-recovered!Z65</f>
        <v>3</v>
      </c>
      <c r="AB65" s="5">
        <f>recovered!AB65-recovered!AA65</f>
        <v>8</v>
      </c>
      <c r="AC65" s="5">
        <f>recovered!AC65-recovered!AB65</f>
        <v>6</v>
      </c>
      <c r="AD65" s="5">
        <f>recovered!AD65-recovered!AC65</f>
        <v>11</v>
      </c>
      <c r="AE65" s="5">
        <f>recovered!AE65-recovered!AD65</f>
        <v>8</v>
      </c>
      <c r="AF65" s="5">
        <f>recovered!AF65-recovered!AE65</f>
        <v>10</v>
      </c>
      <c r="AG65" s="5">
        <f>recovered!AG65-recovered!AF65</f>
        <v>13</v>
      </c>
      <c r="AH65" s="5">
        <f>recovered!AH65-recovered!AG65</f>
        <v>16</v>
      </c>
      <c r="AI65" s="5">
        <f>recovered!AI65-recovered!AH65</f>
        <v>16</v>
      </c>
      <c r="AJ65" s="5">
        <f>recovered!AJ65-recovered!AI65</f>
        <v>15</v>
      </c>
      <c r="AK65" s="5">
        <f>recovered!AK65-recovered!AJ65</f>
        <v>14</v>
      </c>
      <c r="AL65" s="5">
        <f>recovered!AL65-recovered!AK65</f>
        <v>10</v>
      </c>
      <c r="AM65" s="5">
        <f>recovered!AM65-recovered!AL65</f>
        <v>13</v>
      </c>
      <c r="AN65" s="5">
        <f>recovered!AN65-recovered!AM65</f>
        <v>6</v>
      </c>
      <c r="AO65" s="5">
        <f>recovered!AO65-recovered!AN65</f>
        <v>3</v>
      </c>
      <c r="AP65" s="5">
        <f>recovered!AP65-recovered!AO65</f>
        <v>4</v>
      </c>
      <c r="AQ65" s="5">
        <f>recovered!AQ65-recovered!AP65</f>
        <v>8</v>
      </c>
      <c r="AR65" s="5">
        <f>recovered!AR65-recovered!AQ65</f>
        <v>1</v>
      </c>
      <c r="AS65" s="5">
        <f>recovered!AS65-recovered!AR65</f>
        <v>8</v>
      </c>
      <c r="AT65" s="5">
        <f>recovered!AT65-recovered!AS65</f>
        <v>0</v>
      </c>
      <c r="AU65" s="5">
        <f>recovered!AU65-recovered!AT65</f>
        <v>7</v>
      </c>
      <c r="AV65" s="5">
        <f>recovered!AV65-recovered!AU65</f>
        <v>1</v>
      </c>
      <c r="AW65" s="5">
        <f>recovered!AW65-recovered!AV65</f>
        <v>2</v>
      </c>
      <c r="AX65" s="5">
        <f>recovered!AX65-recovered!AW65</f>
        <v>0</v>
      </c>
      <c r="AY65" s="5">
        <f>recovered!AY65-recovered!AX65</f>
        <v>1</v>
      </c>
      <c r="AZ65" s="5">
        <f>recovered!AZ65-recovered!AY65</f>
        <v>0</v>
      </c>
      <c r="BA65" s="5">
        <f>recovered!BA65-recovered!AZ65</f>
        <v>0</v>
      </c>
      <c r="BB65" s="5">
        <f>recovered!BB65-recovered!BA65</f>
        <v>5</v>
      </c>
      <c r="BC65" s="5">
        <f>recovered!BC65-recovered!BB65</f>
        <v>0</v>
      </c>
      <c r="BD65" s="5">
        <f>recovered!BD65-recovered!BC65</f>
        <v>0</v>
      </c>
      <c r="BE65" s="5">
        <f>recovered!BE65-recovered!BD65</f>
        <v>0</v>
      </c>
      <c r="BF65" s="5">
        <f>recovered!BF65-recovered!BE65</f>
        <v>0</v>
      </c>
      <c r="BG65" s="5">
        <f>recovered!BG65-recovered!BF65</f>
        <v>1</v>
      </c>
      <c r="BH65" s="5">
        <f>recovered!BH65-recovered!BG65</f>
        <v>3</v>
      </c>
      <c r="BI65" s="5">
        <f>recovered!BI65-recovered!BH65</f>
        <v>1</v>
      </c>
      <c r="BJ65" s="5">
        <f>recovered!BJ65-recovered!BI65</f>
        <v>0</v>
      </c>
      <c r="BK65" s="5">
        <f>recovered!BK65-recovered!BJ65</f>
        <v>0</v>
      </c>
      <c r="BL65" s="5">
        <f>recovered!BL65-recovered!BK65</f>
        <v>2</v>
      </c>
      <c r="BM65" s="5">
        <f>recovered!BM65-recovered!BL65</f>
        <v>0</v>
      </c>
      <c r="BN65" s="5">
        <f>recovered!BN65-recovered!BM65</f>
        <v>0</v>
      </c>
      <c r="BO65" s="5">
        <f>recovered!BO65-recovered!BN65</f>
        <v>1</v>
      </c>
      <c r="BP65" s="5">
        <f>recovered!BP65-recovered!BO65</f>
        <v>0</v>
      </c>
      <c r="BQ65" s="5">
        <f>recovered!BQ65-recovered!BP65</f>
        <v>2</v>
      </c>
      <c r="BR65" s="5">
        <f>recovered!BR65-recovered!BQ65</f>
        <v>0</v>
      </c>
      <c r="BS65" s="5">
        <f>recovered!BS65-recovered!BR65</f>
        <v>0</v>
      </c>
      <c r="BT65" s="5">
        <f>recovered!BT65-recovered!BS65</f>
        <v>0</v>
      </c>
      <c r="BU65" s="5">
        <f>recovered!BU65-recovered!BT65</f>
        <v>0</v>
      </c>
      <c r="BV65" s="5">
        <f>recovered!BV65-recovered!BU65</f>
        <v>0</v>
      </c>
      <c r="BW65" s="5">
        <f>recovered!BW65-recovered!BV65</f>
        <v>0</v>
      </c>
      <c r="BX65" s="5">
        <f>recovered!BX65-recovered!BW65</f>
        <v>0</v>
      </c>
      <c r="BY65" s="5">
        <f>recovered!BY65-recovered!BX65</f>
        <v>2</v>
      </c>
    </row>
    <row r="66">
      <c r="B66" s="1" t="str">
        <f>recovered!B66</f>
        <v>China</v>
      </c>
      <c r="C66" s="4">
        <f>recovered!C66</f>
        <v>36.3427</v>
      </c>
      <c r="D66" s="4">
        <f>recovered!D66</f>
        <v>118.1498</v>
      </c>
      <c r="E66" s="5">
        <f>recovered!E66</f>
        <v>0</v>
      </c>
      <c r="F66" s="5">
        <f>recovered!F66-recovered!E66</f>
        <v>0</v>
      </c>
      <c r="G66" s="5">
        <f>recovered!G66-recovered!F66</f>
        <v>0</v>
      </c>
      <c r="H66" s="5">
        <f>recovered!H66-recovered!G66</f>
        <v>0</v>
      </c>
      <c r="I66" s="5">
        <f>recovered!I66-recovered!H66</f>
        <v>0</v>
      </c>
      <c r="J66" s="5">
        <f>recovered!J66-recovered!I66</f>
        <v>0</v>
      </c>
      <c r="K66" s="5">
        <f>recovered!K66-recovered!J66</f>
        <v>0</v>
      </c>
      <c r="L66" s="5">
        <f>recovered!L66-recovered!K66</f>
        <v>1</v>
      </c>
      <c r="M66" s="5">
        <f>recovered!M66-recovered!L66</f>
        <v>0</v>
      </c>
      <c r="N66" s="5">
        <f>recovered!N66-recovered!M66</f>
        <v>1</v>
      </c>
      <c r="O66" s="5">
        <f>recovered!O66-recovered!N66</f>
        <v>1</v>
      </c>
      <c r="P66" s="5">
        <f>recovered!P66-recovered!O66</f>
        <v>3</v>
      </c>
      <c r="Q66" s="5">
        <f>recovered!Q66-recovered!P66</f>
        <v>1</v>
      </c>
      <c r="R66" s="5">
        <f>recovered!R66-recovered!Q66</f>
        <v>4</v>
      </c>
      <c r="S66" s="5">
        <f>recovered!S66-recovered!R66</f>
        <v>4</v>
      </c>
      <c r="T66" s="5">
        <f>recovered!T66-recovered!S66</f>
        <v>12</v>
      </c>
      <c r="U66" s="5">
        <f>recovered!U66-recovered!T66</f>
        <v>10</v>
      </c>
      <c r="V66" s="5">
        <f>recovered!V66-recovered!U66</f>
        <v>7</v>
      </c>
      <c r="W66" s="5">
        <f>recovered!W66-recovered!V66</f>
        <v>19</v>
      </c>
      <c r="X66" s="5">
        <f>recovered!X66-recovered!W66</f>
        <v>3</v>
      </c>
      <c r="Y66" s="5">
        <f>recovered!Y66-recovered!X66</f>
        <v>14</v>
      </c>
      <c r="Z66" s="5">
        <f>recovered!Z66-recovered!Y66</f>
        <v>12</v>
      </c>
      <c r="AA66" s="5">
        <f>recovered!AA66-recovered!Z66</f>
        <v>13</v>
      </c>
      <c r="AB66" s="5">
        <f>recovered!AB66-recovered!AA66</f>
        <v>31</v>
      </c>
      <c r="AC66" s="5">
        <f>recovered!AC66-recovered!AB66</f>
        <v>20</v>
      </c>
      <c r="AD66" s="5">
        <f>recovered!AD66-recovered!AC66</f>
        <v>17</v>
      </c>
      <c r="AE66" s="5">
        <f>recovered!AE66-recovered!AD66</f>
        <v>18</v>
      </c>
      <c r="AF66" s="5">
        <f>recovered!AF66-recovered!AE66</f>
        <v>20</v>
      </c>
      <c r="AG66" s="5">
        <f>recovered!AG66-recovered!AF66</f>
        <v>20</v>
      </c>
      <c r="AH66" s="5">
        <f>recovered!AH66-recovered!AG66</f>
        <v>23</v>
      </c>
      <c r="AI66" s="5">
        <f>recovered!AI66-recovered!AH66</f>
        <v>27</v>
      </c>
      <c r="AJ66" s="5">
        <f>recovered!AJ66-recovered!AI66</f>
        <v>21</v>
      </c>
      <c r="AK66" s="5">
        <f>recovered!AK66-recovered!AJ66</f>
        <v>19</v>
      </c>
      <c r="AL66" s="5">
        <f>recovered!AL66-recovered!AK66</f>
        <v>22</v>
      </c>
      <c r="AM66" s="5">
        <f>recovered!AM66-recovered!AL66</f>
        <v>12</v>
      </c>
      <c r="AN66" s="5">
        <f>recovered!AN66-recovered!AM66</f>
        <v>22</v>
      </c>
      <c r="AO66" s="5">
        <f>recovered!AO66-recovered!AN66</f>
        <v>10</v>
      </c>
      <c r="AP66" s="5">
        <f>recovered!AP66-recovered!AO66</f>
        <v>18</v>
      </c>
      <c r="AQ66" s="5">
        <f>recovered!AQ66-recovered!AP66</f>
        <v>16</v>
      </c>
      <c r="AR66" s="5">
        <f>recovered!AR66-recovered!AQ66</f>
        <v>22</v>
      </c>
      <c r="AS66" s="5">
        <f>recovered!AS66-recovered!AR66</f>
        <v>17</v>
      </c>
      <c r="AT66" s="5">
        <f>recovered!AT66-recovered!AS66</f>
        <v>51</v>
      </c>
      <c r="AU66" s="5">
        <f>recovered!AU66-recovered!AT66</f>
        <v>5</v>
      </c>
      <c r="AV66" s="5">
        <f>recovered!AV66-recovered!AU66</f>
        <v>62</v>
      </c>
      <c r="AW66" s="5">
        <f>recovered!AW66-recovered!AV66</f>
        <v>40</v>
      </c>
      <c r="AX66" s="5">
        <f>recovered!AX66-recovered!AW66</f>
        <v>9</v>
      </c>
      <c r="AY66" s="5">
        <f>recovered!AY66-recovered!AX66</f>
        <v>15</v>
      </c>
      <c r="AZ66" s="5">
        <f>recovered!AZ66-recovered!AY66</f>
        <v>58</v>
      </c>
      <c r="BA66" s="5">
        <f>recovered!BA66-recovered!AZ66</f>
        <v>19</v>
      </c>
      <c r="BB66" s="5">
        <f>recovered!BB66-recovered!BA66</f>
        <v>7</v>
      </c>
      <c r="BC66" s="5">
        <f>recovered!BC66-recovered!BB66</f>
        <v>8</v>
      </c>
      <c r="BD66" s="5">
        <f>recovered!BD66-recovered!BC66</f>
        <v>5</v>
      </c>
      <c r="BE66" s="5">
        <f>recovered!BE66-recovered!BD66</f>
        <v>2</v>
      </c>
      <c r="BF66" s="5">
        <f>recovered!BF66-recovered!BE66</f>
        <v>0</v>
      </c>
      <c r="BG66" s="5">
        <f>recovered!BG66-recovered!BF66</f>
        <v>5</v>
      </c>
      <c r="BH66" s="5">
        <f>recovered!BH66-recovered!BG66</f>
        <v>0</v>
      </c>
      <c r="BI66" s="5">
        <f>recovered!BI66-recovered!BH66</f>
        <v>0</v>
      </c>
      <c r="BJ66" s="5">
        <f>recovered!BJ66-recovered!BI66</f>
        <v>1</v>
      </c>
      <c r="BK66" s="5">
        <f>recovered!BK66-recovered!BJ66</f>
        <v>1</v>
      </c>
      <c r="BL66" s="5">
        <f>recovered!BL66-recovered!BK66</f>
        <v>1</v>
      </c>
      <c r="BM66" s="5">
        <f>recovered!BM66-recovered!BL66</f>
        <v>1</v>
      </c>
      <c r="BN66" s="5">
        <f>recovered!BN66-recovered!BM66</f>
        <v>1</v>
      </c>
      <c r="BO66" s="5">
        <f>recovered!BO66-recovered!BN66</f>
        <v>1</v>
      </c>
      <c r="BP66" s="5">
        <f>recovered!BP66-recovered!BO66</f>
        <v>0</v>
      </c>
      <c r="BQ66" s="5">
        <f>recovered!BQ66-recovered!BP66</f>
        <v>0</v>
      </c>
      <c r="BR66" s="5">
        <f>recovered!BR66-recovered!BQ66</f>
        <v>0</v>
      </c>
      <c r="BS66" s="5">
        <f>recovered!BS66-recovered!BR66</f>
        <v>0</v>
      </c>
      <c r="BT66" s="5">
        <f>recovered!BT66-recovered!BS66</f>
        <v>0</v>
      </c>
      <c r="BU66" s="5">
        <f>recovered!BU66-recovered!BT66</f>
        <v>1</v>
      </c>
      <c r="BV66" s="5">
        <f>recovered!BV66-recovered!BU66</f>
        <v>0</v>
      </c>
      <c r="BW66" s="5">
        <f>recovered!BW66-recovered!BV66</f>
        <v>0</v>
      </c>
      <c r="BX66" s="5">
        <f>recovered!BX66-recovered!BW66</f>
        <v>0</v>
      </c>
      <c r="BY66" s="5">
        <f>recovered!BY66-recovered!BX66</f>
        <v>1</v>
      </c>
    </row>
    <row r="67">
      <c r="B67" s="1" t="str">
        <f>recovered!B67</f>
        <v>China</v>
      </c>
      <c r="C67" s="4">
        <f>recovered!C67</f>
        <v>31.202</v>
      </c>
      <c r="D67" s="4">
        <f>recovered!D67</f>
        <v>121.4491</v>
      </c>
      <c r="E67" s="5">
        <f>recovered!E67</f>
        <v>0</v>
      </c>
      <c r="F67" s="5">
        <f>recovered!F67-recovered!E67</f>
        <v>0</v>
      </c>
      <c r="G67" s="5">
        <f>recovered!G67-recovered!F67</f>
        <v>1</v>
      </c>
      <c r="H67" s="5">
        <f>recovered!H67-recovered!G67</f>
        <v>0</v>
      </c>
      <c r="I67" s="5">
        <f>recovered!I67-recovered!H67</f>
        <v>0</v>
      </c>
      <c r="J67" s="5">
        <f>recovered!J67-recovered!I67</f>
        <v>2</v>
      </c>
      <c r="K67" s="5">
        <f>recovered!K67-recovered!J67</f>
        <v>1</v>
      </c>
      <c r="L67" s="5">
        <f>recovered!L67-recovered!K67</f>
        <v>1</v>
      </c>
      <c r="M67" s="5">
        <f>recovered!M67-recovered!L67</f>
        <v>0</v>
      </c>
      <c r="N67" s="5">
        <f>recovered!N67-recovered!M67</f>
        <v>4</v>
      </c>
      <c r="O67" s="5">
        <f>recovered!O67-recovered!N67</f>
        <v>1</v>
      </c>
      <c r="P67" s="5">
        <f>recovered!P67-recovered!O67</f>
        <v>0</v>
      </c>
      <c r="Q67" s="5">
        <f>recovered!Q67-recovered!P67</f>
        <v>0</v>
      </c>
      <c r="R67" s="5">
        <f>recovered!R67-recovered!Q67</f>
        <v>2</v>
      </c>
      <c r="S67" s="5">
        <f>recovered!S67-recovered!R67</f>
        <v>3</v>
      </c>
      <c r="T67" s="5">
        <f>recovered!T67-recovered!S67</f>
        <v>10</v>
      </c>
      <c r="U67" s="5">
        <f>recovered!U67-recovered!T67</f>
        <v>5</v>
      </c>
      <c r="V67" s="5">
        <f>recovered!V67-recovered!U67</f>
        <v>11</v>
      </c>
      <c r="W67" s="5">
        <f>recovered!W67-recovered!V67</f>
        <v>3</v>
      </c>
      <c r="X67" s="5">
        <f>recovered!X67-recovered!W67</f>
        <v>4</v>
      </c>
      <c r="Y67" s="5">
        <f>recovered!Y67-recovered!X67</f>
        <v>4</v>
      </c>
      <c r="Z67" s="5">
        <f>recovered!Z67-recovered!Y67</f>
        <v>5</v>
      </c>
      <c r="AA67" s="5">
        <f>recovered!AA67-recovered!Z67</f>
        <v>5</v>
      </c>
      <c r="AB67" s="5">
        <f>recovered!AB67-recovered!AA67</f>
        <v>28</v>
      </c>
      <c r="AC67" s="5">
        <f>recovered!AC67-recovered!AB67</f>
        <v>34</v>
      </c>
      <c r="AD67" s="5">
        <f>recovered!AD67-recovered!AC67</f>
        <v>16</v>
      </c>
      <c r="AE67" s="5">
        <f>recovered!AE67-recovered!AD67</f>
        <v>21</v>
      </c>
      <c r="AF67" s="5">
        <f>recovered!AF67-recovered!AE67</f>
        <v>16</v>
      </c>
      <c r="AG67" s="5">
        <f>recovered!AG67-recovered!AF67</f>
        <v>9</v>
      </c>
      <c r="AH67" s="5">
        <f>recovered!AH67-recovered!AG67</f>
        <v>13</v>
      </c>
      <c r="AI67" s="5">
        <f>recovered!AI67-recovered!AH67</f>
        <v>12</v>
      </c>
      <c r="AJ67" s="5">
        <f>recovered!AJ67-recovered!AI67</f>
        <v>16</v>
      </c>
      <c r="AK67" s="5">
        <f>recovered!AK67-recovered!AJ67</f>
        <v>22</v>
      </c>
      <c r="AL67" s="5">
        <f>recovered!AL67-recovered!AK67</f>
        <v>12</v>
      </c>
      <c r="AM67" s="5">
        <f>recovered!AM67-recovered!AL67</f>
        <v>7</v>
      </c>
      <c r="AN67" s="5">
        <f>recovered!AN67-recovered!AM67</f>
        <v>4</v>
      </c>
      <c r="AO67" s="5">
        <f>recovered!AO67-recovered!AN67</f>
        <v>4</v>
      </c>
      <c r="AP67" s="5">
        <f>recovered!AP67-recovered!AO67</f>
        <v>3</v>
      </c>
      <c r="AQ67" s="5">
        <f>recovered!AQ67-recovered!AP67</f>
        <v>8</v>
      </c>
      <c r="AR67" s="5">
        <f>recovered!AR67-recovered!AQ67</f>
        <v>3</v>
      </c>
      <c r="AS67" s="5">
        <f>recovered!AS67-recovered!AR67</f>
        <v>2</v>
      </c>
      <c r="AT67" s="5">
        <f>recovered!AT67-recovered!AS67</f>
        <v>2</v>
      </c>
      <c r="AU67" s="5">
        <f>recovered!AU67-recovered!AT67</f>
        <v>4</v>
      </c>
      <c r="AV67" s="5">
        <f>recovered!AV67-recovered!AU67</f>
        <v>5</v>
      </c>
      <c r="AW67" s="5">
        <f>recovered!AW67-recovered!AV67</f>
        <v>3</v>
      </c>
      <c r="AX67" s="5">
        <f>recovered!AX67-recovered!AW67</f>
        <v>7</v>
      </c>
      <c r="AY67" s="5">
        <f>recovered!AY67-recovered!AX67</f>
        <v>1</v>
      </c>
      <c r="AZ67" s="5">
        <f>recovered!AZ67-recovered!AY67</f>
        <v>1</v>
      </c>
      <c r="BA67" s="5">
        <f>recovered!BA67-recovered!AZ67</f>
        <v>4</v>
      </c>
      <c r="BB67" s="5">
        <f>recovered!BB67-recovered!BA67</f>
        <v>1</v>
      </c>
      <c r="BC67" s="5">
        <f>recovered!BC67-recovered!BB67</f>
        <v>1</v>
      </c>
      <c r="BD67" s="5">
        <f>recovered!BD67-recovered!BC67</f>
        <v>3</v>
      </c>
      <c r="BE67" s="5">
        <f>recovered!BE67-recovered!BD67</f>
        <v>0</v>
      </c>
      <c r="BF67" s="5">
        <f>recovered!BF67-recovered!BE67</f>
        <v>0</v>
      </c>
      <c r="BG67" s="5">
        <f>recovered!BG67-recovered!BF67</f>
        <v>1</v>
      </c>
      <c r="BH67" s="5">
        <f>recovered!BH67-recovered!BG67</f>
        <v>0</v>
      </c>
      <c r="BI67" s="5">
        <f>recovered!BI67-recovered!BH67</f>
        <v>1</v>
      </c>
      <c r="BJ67" s="5">
        <f>recovered!BJ67-recovered!BI67</f>
        <v>0</v>
      </c>
      <c r="BK67" s="5">
        <f>recovered!BK67-recovered!BJ67</f>
        <v>0</v>
      </c>
      <c r="BL67" s="5">
        <f>recovered!BL67-recovered!BK67</f>
        <v>1</v>
      </c>
      <c r="BM67" s="5">
        <f>recovered!BM67-recovered!BL67</f>
        <v>1</v>
      </c>
      <c r="BN67" s="5">
        <f>recovered!BN67-recovered!BM67</f>
        <v>1</v>
      </c>
      <c r="BO67" s="5">
        <f>recovered!BO67-recovered!BN67</f>
        <v>1</v>
      </c>
      <c r="BP67" s="5">
        <f>recovered!BP67-recovered!BO67</f>
        <v>0</v>
      </c>
      <c r="BQ67" s="5">
        <f>recovered!BQ67-recovered!BP67</f>
        <v>1</v>
      </c>
      <c r="BR67" s="5">
        <f>recovered!BR67-recovered!BQ67</f>
        <v>3</v>
      </c>
      <c r="BS67" s="5">
        <f>recovered!BS67-recovered!BR67</f>
        <v>0</v>
      </c>
      <c r="BT67" s="5">
        <f>recovered!BT67-recovered!BS67</f>
        <v>0</v>
      </c>
      <c r="BU67" s="5">
        <f>recovered!BU67-recovered!BT67</f>
        <v>4</v>
      </c>
      <c r="BV67" s="5">
        <f>recovered!BV67-recovered!BU67</f>
        <v>3</v>
      </c>
      <c r="BW67" s="5">
        <f>recovered!BW67-recovered!BV67</f>
        <v>0</v>
      </c>
      <c r="BX67" s="5">
        <f>recovered!BX67-recovered!BW67</f>
        <v>2</v>
      </c>
      <c r="BY67" s="5">
        <f>recovered!BY67-recovered!BX67</f>
        <v>5</v>
      </c>
    </row>
    <row r="68">
      <c r="B68" s="1" t="str">
        <f>recovered!B68</f>
        <v>China</v>
      </c>
      <c r="C68" s="4">
        <f>recovered!C68</f>
        <v>37.5777</v>
      </c>
      <c r="D68" s="4">
        <f>recovered!D68</f>
        <v>112.2922</v>
      </c>
      <c r="E68" s="5">
        <f>recovered!E68</f>
        <v>0</v>
      </c>
      <c r="F68" s="5">
        <f>recovered!F68-recovered!E68</f>
        <v>0</v>
      </c>
      <c r="G68" s="5">
        <f>recovered!G68-recovered!F68</f>
        <v>0</v>
      </c>
      <c r="H68" s="5">
        <f>recovered!H68-recovered!G68</f>
        <v>0</v>
      </c>
      <c r="I68" s="5">
        <f>recovered!I68-recovered!H68</f>
        <v>0</v>
      </c>
      <c r="J68" s="5">
        <f>recovered!J68-recovered!I68</f>
        <v>0</v>
      </c>
      <c r="K68" s="5">
        <f>recovered!K68-recovered!J68</f>
        <v>0</v>
      </c>
      <c r="L68" s="5">
        <f>recovered!L68-recovered!K68</f>
        <v>1</v>
      </c>
      <c r="M68" s="5">
        <f>recovered!M68-recovered!L68</f>
        <v>0</v>
      </c>
      <c r="N68" s="5">
        <f>recovered!N68-recovered!M68</f>
        <v>0</v>
      </c>
      <c r="O68" s="5">
        <f>recovered!O68-recovered!N68</f>
        <v>0</v>
      </c>
      <c r="P68" s="5">
        <f>recovered!P68-recovered!O68</f>
        <v>2</v>
      </c>
      <c r="Q68" s="5">
        <f>recovered!Q68-recovered!P68</f>
        <v>-1</v>
      </c>
      <c r="R68" s="5">
        <f>recovered!R68-recovered!Q68</f>
        <v>2</v>
      </c>
      <c r="S68" s="5">
        <f>recovered!S68-recovered!R68</f>
        <v>1</v>
      </c>
      <c r="T68" s="5">
        <f>recovered!T68-recovered!S68</f>
        <v>7</v>
      </c>
      <c r="U68" s="5">
        <f>recovered!U68-recovered!T68</f>
        <v>3</v>
      </c>
      <c r="V68" s="5">
        <f>recovered!V68-recovered!U68</f>
        <v>6</v>
      </c>
      <c r="W68" s="5">
        <f>recovered!W68-recovered!V68</f>
        <v>4</v>
      </c>
      <c r="X68" s="5">
        <f>recovered!X68-recovered!W68</f>
        <v>0</v>
      </c>
      <c r="Y68" s="5">
        <f>recovered!Y68-recovered!X68</f>
        <v>5</v>
      </c>
      <c r="Z68" s="5">
        <f>recovered!Z68-recovered!Y68</f>
        <v>3</v>
      </c>
      <c r="AA68" s="5">
        <f>recovered!AA68-recovered!Z68</f>
        <v>3</v>
      </c>
      <c r="AB68" s="5">
        <f>recovered!AB68-recovered!AA68</f>
        <v>2</v>
      </c>
      <c r="AC68" s="5">
        <f>recovered!AC68-recovered!AB68</f>
        <v>8</v>
      </c>
      <c r="AD68" s="5">
        <f>recovered!AD68-recovered!AC68</f>
        <v>4</v>
      </c>
      <c r="AE68" s="5">
        <f>recovered!AE68-recovered!AD68</f>
        <v>3</v>
      </c>
      <c r="AF68" s="5">
        <f>recovered!AF68-recovered!AE68</f>
        <v>8</v>
      </c>
      <c r="AG68" s="5">
        <f>recovered!AG68-recovered!AF68</f>
        <v>7</v>
      </c>
      <c r="AH68" s="5">
        <f>recovered!AH68-recovered!AG68</f>
        <v>8</v>
      </c>
      <c r="AI68" s="5">
        <f>recovered!AI68-recovered!AH68</f>
        <v>2</v>
      </c>
      <c r="AJ68" s="5">
        <f>recovered!AJ68-recovered!AI68</f>
        <v>3</v>
      </c>
      <c r="AK68" s="5">
        <f>recovered!AK68-recovered!AJ68</f>
        <v>7</v>
      </c>
      <c r="AL68" s="5">
        <f>recovered!AL68-recovered!AK68</f>
        <v>6</v>
      </c>
      <c r="AM68" s="5">
        <f>recovered!AM68-recovered!AL68</f>
        <v>4</v>
      </c>
      <c r="AN68" s="5">
        <f>recovered!AN68-recovered!AM68</f>
        <v>6</v>
      </c>
      <c r="AO68" s="5">
        <f>recovered!AO68-recovered!AN68</f>
        <v>3</v>
      </c>
      <c r="AP68" s="5">
        <f>recovered!AP68-recovered!AO68</f>
        <v>5</v>
      </c>
      <c r="AQ68" s="5">
        <f>recovered!AQ68-recovered!AP68</f>
        <v>2</v>
      </c>
      <c r="AR68" s="5">
        <f>recovered!AR68-recovered!AQ68</f>
        <v>2</v>
      </c>
      <c r="AS68" s="5">
        <f>recovered!AS68-recovered!AR68</f>
        <v>3</v>
      </c>
      <c r="AT68" s="5">
        <f>recovered!AT68-recovered!AS68</f>
        <v>5</v>
      </c>
      <c r="AU68" s="5">
        <f>recovered!AU68-recovered!AT68</f>
        <v>0</v>
      </c>
      <c r="AV68" s="5">
        <f>recovered!AV68-recovered!AU68</f>
        <v>2</v>
      </c>
      <c r="AW68" s="5">
        <f>recovered!AW68-recovered!AV68</f>
        <v>0</v>
      </c>
      <c r="AX68" s="5">
        <f>recovered!AX68-recovered!AW68</f>
        <v>0</v>
      </c>
      <c r="AY68" s="5">
        <f>recovered!AY68-recovered!AX68</f>
        <v>0</v>
      </c>
      <c r="AZ68" s="5">
        <f>recovered!AZ68-recovered!AY68</f>
        <v>1</v>
      </c>
      <c r="BA68" s="5">
        <f>recovered!BA68-recovered!AZ68</f>
        <v>4</v>
      </c>
      <c r="BB68" s="5">
        <f>recovered!BB68-recovered!BA68</f>
        <v>0</v>
      </c>
      <c r="BC68" s="5">
        <f>recovered!BC68-recovered!BB68</f>
        <v>1</v>
      </c>
      <c r="BD68" s="5">
        <f>recovered!BD68-recovered!BC68</f>
        <v>1</v>
      </c>
      <c r="BE68" s="5">
        <f>recovered!BE68-recovered!BD68</f>
        <v>0</v>
      </c>
      <c r="BF68" s="5">
        <f>recovered!BF68-recovered!BE68</f>
        <v>0</v>
      </c>
      <c r="BG68" s="5">
        <f>recovered!BG68-recovered!BF68</f>
        <v>0</v>
      </c>
      <c r="BH68" s="5">
        <f>recovered!BH68-recovered!BG68</f>
        <v>0</v>
      </c>
      <c r="BI68" s="5">
        <f>recovered!BI68-recovered!BH68</f>
        <v>0</v>
      </c>
      <c r="BJ68" s="5">
        <f>recovered!BJ68-recovered!BI68</f>
        <v>0</v>
      </c>
      <c r="BK68" s="5">
        <f>recovered!BK68-recovered!BJ68</f>
        <v>0</v>
      </c>
      <c r="BL68" s="5">
        <f>recovered!BL68-recovered!BK68</f>
        <v>0</v>
      </c>
      <c r="BM68" s="5">
        <f>recovered!BM68-recovered!BL68</f>
        <v>0</v>
      </c>
      <c r="BN68" s="5">
        <f>recovered!BN68-recovered!BM68</f>
        <v>0</v>
      </c>
      <c r="BO68" s="5">
        <f>recovered!BO68-recovered!BN68</f>
        <v>0</v>
      </c>
      <c r="BP68" s="5">
        <f>recovered!BP68-recovered!BO68</f>
        <v>0</v>
      </c>
      <c r="BQ68" s="5">
        <f>recovered!BQ68-recovered!BP68</f>
        <v>0</v>
      </c>
      <c r="BR68" s="5">
        <f>recovered!BR68-recovered!BQ68</f>
        <v>0</v>
      </c>
      <c r="BS68" s="5">
        <f>recovered!BS68-recovered!BR68</f>
        <v>0</v>
      </c>
      <c r="BT68" s="5">
        <f>recovered!BT68-recovered!BS68</f>
        <v>0</v>
      </c>
      <c r="BU68" s="5">
        <f>recovered!BU68-recovered!BT68</f>
        <v>0</v>
      </c>
      <c r="BV68" s="5">
        <f>recovered!BV68-recovered!BU68</f>
        <v>0</v>
      </c>
      <c r="BW68" s="5">
        <f>recovered!BW68-recovered!BV68</f>
        <v>0</v>
      </c>
      <c r="BX68" s="5">
        <f>recovered!BX68-recovered!BW68</f>
        <v>0</v>
      </c>
      <c r="BY68" s="5">
        <f>recovered!BY68-recovered!BX68</f>
        <v>0</v>
      </c>
    </row>
    <row r="69">
      <c r="B69" s="1" t="str">
        <f>recovered!B69</f>
        <v>China</v>
      </c>
      <c r="C69" s="4">
        <f>recovered!C69</f>
        <v>30.6171</v>
      </c>
      <c r="D69" s="4">
        <f>recovered!D69</f>
        <v>102.7103</v>
      </c>
      <c r="E69" s="5">
        <f>recovered!E69</f>
        <v>0</v>
      </c>
      <c r="F69" s="5">
        <f>recovered!F69-recovered!E69</f>
        <v>0</v>
      </c>
      <c r="G69" s="5">
        <f>recovered!G69-recovered!F69</f>
        <v>0</v>
      </c>
      <c r="H69" s="5">
        <f>recovered!H69-recovered!G69</f>
        <v>0</v>
      </c>
      <c r="I69" s="5">
        <f>recovered!I69-recovered!H69</f>
        <v>0</v>
      </c>
      <c r="J69" s="5">
        <f>recovered!J69-recovered!I69</f>
        <v>0</v>
      </c>
      <c r="K69" s="5">
        <f>recovered!K69-recovered!J69</f>
        <v>0</v>
      </c>
      <c r="L69" s="5">
        <f>recovered!L69-recovered!K69</f>
        <v>1</v>
      </c>
      <c r="M69" s="5">
        <f>recovered!M69-recovered!L69</f>
        <v>0</v>
      </c>
      <c r="N69" s="5">
        <f>recovered!N69-recovered!M69</f>
        <v>0</v>
      </c>
      <c r="O69" s="5">
        <f>recovered!O69-recovered!N69</f>
        <v>2</v>
      </c>
      <c r="P69" s="5">
        <f>recovered!P69-recovered!O69</f>
        <v>8</v>
      </c>
      <c r="Q69" s="5">
        <f>recovered!Q69-recovered!P69</f>
        <v>3</v>
      </c>
      <c r="R69" s="5">
        <f>recovered!R69-recovered!Q69</f>
        <v>0</v>
      </c>
      <c r="S69" s="5">
        <f>recovered!S69-recovered!R69</f>
        <v>10</v>
      </c>
      <c r="T69" s="5">
        <f>recovered!T69-recovered!S69</f>
        <v>7</v>
      </c>
      <c r="U69" s="5">
        <f>recovered!U69-recovered!T69</f>
        <v>11</v>
      </c>
      <c r="V69" s="5">
        <f>recovered!V69-recovered!U69</f>
        <v>18</v>
      </c>
      <c r="W69" s="5">
        <f>recovered!W69-recovered!V69</f>
        <v>11</v>
      </c>
      <c r="X69" s="5">
        <f>recovered!X69-recovered!W69</f>
        <v>9</v>
      </c>
      <c r="Y69" s="5">
        <f>recovered!Y69-recovered!X69</f>
        <v>5</v>
      </c>
      <c r="Z69" s="5">
        <f>recovered!Z69-recovered!Y69</f>
        <v>7</v>
      </c>
      <c r="AA69" s="5">
        <f>recovered!AA69-recovered!Z69</f>
        <v>12</v>
      </c>
      <c r="AB69" s="5">
        <f>recovered!AB69-recovered!AA69</f>
        <v>10</v>
      </c>
      <c r="AC69" s="5">
        <f>recovered!AC69-recovered!AB69</f>
        <v>5</v>
      </c>
      <c r="AD69" s="5">
        <f>recovered!AD69-recovered!AC69</f>
        <v>12</v>
      </c>
      <c r="AE69" s="5">
        <f>recovered!AE69-recovered!AD69</f>
        <v>25</v>
      </c>
      <c r="AF69" s="5">
        <f>recovered!AF69-recovered!AE69</f>
        <v>13</v>
      </c>
      <c r="AG69" s="5">
        <f>recovered!AG69-recovered!AF69</f>
        <v>19</v>
      </c>
      <c r="AH69" s="5">
        <f>recovered!AH69-recovered!AG69</f>
        <v>29</v>
      </c>
      <c r="AI69" s="5">
        <f>recovered!AI69-recovered!AH69</f>
        <v>14</v>
      </c>
      <c r="AJ69" s="5">
        <f>recovered!AJ69-recovered!AI69</f>
        <v>19</v>
      </c>
      <c r="AK69" s="5">
        <f>recovered!AK69-recovered!AJ69</f>
        <v>11</v>
      </c>
      <c r="AL69" s="5">
        <f>recovered!AL69-recovered!AK69</f>
        <v>15</v>
      </c>
      <c r="AM69" s="5">
        <f>recovered!AM69-recovered!AL69</f>
        <v>13</v>
      </c>
      <c r="AN69" s="5">
        <f>recovered!AN69-recovered!AM69</f>
        <v>18</v>
      </c>
      <c r="AO69" s="5">
        <f>recovered!AO69-recovered!AN69</f>
        <v>14</v>
      </c>
      <c r="AP69" s="5">
        <f>recovered!AP69-recovered!AO69</f>
        <v>17</v>
      </c>
      <c r="AQ69" s="5">
        <f>recovered!AQ69-recovered!AP69</f>
        <v>13</v>
      </c>
      <c r="AR69" s="5">
        <f>recovered!AR69-recovered!AQ69</f>
        <v>14</v>
      </c>
      <c r="AS69" s="5">
        <f>recovered!AS69-recovered!AR69</f>
        <v>21</v>
      </c>
      <c r="AT69" s="5">
        <f>recovered!AT69-recovered!AS69</f>
        <v>8</v>
      </c>
      <c r="AU69" s="5">
        <f>recovered!AU69-recovered!AT69</f>
        <v>12</v>
      </c>
      <c r="AV69" s="5">
        <f>recovered!AV69-recovered!AU69</f>
        <v>19</v>
      </c>
      <c r="AW69" s="5">
        <f>recovered!AW69-recovered!AV69</f>
        <v>17</v>
      </c>
      <c r="AX69" s="5">
        <f>recovered!AX69-recovered!AW69</f>
        <v>12</v>
      </c>
      <c r="AY69" s="5">
        <f>recovered!AY69-recovered!AX69</f>
        <v>10</v>
      </c>
      <c r="AZ69" s="5">
        <f>recovered!AZ69-recovered!AY69</f>
        <v>2</v>
      </c>
      <c r="BA69" s="5">
        <f>recovered!BA69-recovered!AZ69</f>
        <v>12</v>
      </c>
      <c r="BB69" s="5">
        <f>recovered!BB69-recovered!BA69</f>
        <v>10</v>
      </c>
      <c r="BC69" s="5">
        <f>recovered!BC69-recovered!BB69</f>
        <v>10</v>
      </c>
      <c r="BD69" s="5">
        <f>recovered!BD69-recovered!BC69</f>
        <v>5</v>
      </c>
      <c r="BE69" s="5">
        <f>recovered!BE69-recovered!BD69</f>
        <v>8</v>
      </c>
      <c r="BF69" s="5">
        <f>recovered!BF69-recovered!BE69</f>
        <v>5</v>
      </c>
      <c r="BG69" s="5">
        <f>recovered!BG69-recovered!BF69</f>
        <v>0</v>
      </c>
      <c r="BH69" s="5">
        <f>recovered!BH69-recovered!BG69</f>
        <v>4</v>
      </c>
      <c r="BI69" s="5">
        <f>recovered!BI69-recovered!BH69</f>
        <v>5</v>
      </c>
      <c r="BJ69" s="5">
        <f>recovered!BJ69-recovered!BI69</f>
        <v>11</v>
      </c>
      <c r="BK69" s="5">
        <f>recovered!BK69-recovered!BJ69</f>
        <v>0</v>
      </c>
      <c r="BL69" s="5">
        <f>recovered!BL69-recovered!BK69</f>
        <v>0</v>
      </c>
      <c r="BM69" s="5">
        <f>recovered!BM69-recovered!BL69</f>
        <v>0</v>
      </c>
      <c r="BN69" s="5">
        <f>recovered!BN69-recovered!BM69</f>
        <v>0</v>
      </c>
      <c r="BO69" s="5">
        <f>recovered!BO69-recovered!BN69</f>
        <v>0</v>
      </c>
      <c r="BP69" s="5">
        <f>recovered!BP69-recovered!BO69</f>
        <v>0</v>
      </c>
      <c r="BQ69" s="5">
        <f>recovered!BQ69-recovered!BP69</f>
        <v>0</v>
      </c>
      <c r="BR69" s="5">
        <f>recovered!BR69-recovered!BQ69</f>
        <v>0</v>
      </c>
      <c r="BS69" s="5">
        <f>recovered!BS69-recovered!BR69</f>
        <v>0</v>
      </c>
      <c r="BT69" s="5">
        <f>recovered!BT69-recovered!BS69</f>
        <v>0</v>
      </c>
      <c r="BU69" s="5">
        <f>recovered!BU69-recovered!BT69</f>
        <v>0</v>
      </c>
      <c r="BV69" s="5">
        <f>recovered!BV69-recovered!BU69</f>
        <v>0</v>
      </c>
      <c r="BW69" s="5">
        <f>recovered!BW69-recovered!BV69</f>
        <v>1</v>
      </c>
      <c r="BX69" s="5">
        <f>recovered!BX69-recovered!BW69</f>
        <v>0</v>
      </c>
      <c r="BY69" s="5">
        <f>recovered!BY69-recovered!BX69</f>
        <v>0</v>
      </c>
    </row>
    <row r="70">
      <c r="B70" s="1" t="str">
        <f>recovered!B70</f>
        <v>China</v>
      </c>
      <c r="C70" s="4">
        <f>recovered!C70</f>
        <v>39.3054</v>
      </c>
      <c r="D70" s="4">
        <f>recovered!D70</f>
        <v>117.323</v>
      </c>
      <c r="E70" s="5">
        <f>recovered!E70</f>
        <v>0</v>
      </c>
      <c r="F70" s="5">
        <f>recovered!F70-recovered!E70</f>
        <v>0</v>
      </c>
      <c r="G70" s="5">
        <f>recovered!G70-recovered!F70</f>
        <v>0</v>
      </c>
      <c r="H70" s="5">
        <f>recovered!H70-recovered!G70</f>
        <v>0</v>
      </c>
      <c r="I70" s="5">
        <f>recovered!I70-recovered!H70</f>
        <v>0</v>
      </c>
      <c r="J70" s="5">
        <f>recovered!J70-recovered!I70</f>
        <v>0</v>
      </c>
      <c r="K70" s="5">
        <f>recovered!K70-recovered!J70</f>
        <v>0</v>
      </c>
      <c r="L70" s="5">
        <f>recovered!L70-recovered!K70</f>
        <v>0</v>
      </c>
      <c r="M70" s="5">
        <f>recovered!M70-recovered!L70</f>
        <v>0</v>
      </c>
      <c r="N70" s="5">
        <f>recovered!N70-recovered!M70</f>
        <v>0</v>
      </c>
      <c r="O70" s="5">
        <f>recovered!O70-recovered!N70</f>
        <v>0</v>
      </c>
      <c r="P70" s="5">
        <f>recovered!P70-recovered!O70</f>
        <v>1</v>
      </c>
      <c r="Q70" s="5">
        <f>recovered!Q70-recovered!P70</f>
        <v>0</v>
      </c>
      <c r="R70" s="5">
        <f>recovered!R70-recovered!Q70</f>
        <v>1</v>
      </c>
      <c r="S70" s="5">
        <f>recovered!S70-recovered!R70</f>
        <v>0</v>
      </c>
      <c r="T70" s="5">
        <f>recovered!T70-recovered!S70</f>
        <v>0</v>
      </c>
      <c r="U70" s="5">
        <f>recovered!U70-recovered!T70</f>
        <v>0</v>
      </c>
      <c r="V70" s="5">
        <f>recovered!V70-recovered!U70</f>
        <v>2</v>
      </c>
      <c r="W70" s="5">
        <f>recovered!W70-recovered!V70</f>
        <v>0</v>
      </c>
      <c r="X70" s="5">
        <f>recovered!X70-recovered!W70</f>
        <v>4</v>
      </c>
      <c r="Y70" s="5">
        <f>recovered!Y70-recovered!X70</f>
        <v>2</v>
      </c>
      <c r="Z70" s="5">
        <f>recovered!Z70-recovered!Y70</f>
        <v>1</v>
      </c>
      <c r="AA70" s="5">
        <f>recovered!AA70-recovered!Z70</f>
        <v>10</v>
      </c>
      <c r="AB70" s="5">
        <f>recovered!AB70-recovered!AA70</f>
        <v>10</v>
      </c>
      <c r="AC70" s="5">
        <f>recovered!AC70-recovered!AB70</f>
        <v>6</v>
      </c>
      <c r="AD70" s="5">
        <f>recovered!AD70-recovered!AC70</f>
        <v>8</v>
      </c>
      <c r="AE70" s="5">
        <f>recovered!AE70-recovered!AD70</f>
        <v>1</v>
      </c>
      <c r="AF70" s="5">
        <f>recovered!AF70-recovered!AE70</f>
        <v>2</v>
      </c>
      <c r="AG70" s="5">
        <f>recovered!AG70-recovered!AF70</f>
        <v>6</v>
      </c>
      <c r="AH70" s="5">
        <f>recovered!AH70-recovered!AG70</f>
        <v>5</v>
      </c>
      <c r="AI70" s="5">
        <f>recovered!AI70-recovered!AH70</f>
        <v>3</v>
      </c>
      <c r="AJ70" s="5">
        <f>recovered!AJ70-recovered!AI70</f>
        <v>3</v>
      </c>
      <c r="AK70" s="5">
        <f>recovered!AK70-recovered!AJ70</f>
        <v>16</v>
      </c>
      <c r="AL70" s="5">
        <f>recovered!AL70-recovered!AK70</f>
        <v>6</v>
      </c>
      <c r="AM70" s="5">
        <f>recovered!AM70-recovered!AL70</f>
        <v>4</v>
      </c>
      <c r="AN70" s="5">
        <f>recovered!AN70-recovered!AM70</f>
        <v>5</v>
      </c>
      <c r="AO70" s="5">
        <f>recovered!AO70-recovered!AN70</f>
        <v>6</v>
      </c>
      <c r="AP70" s="5">
        <f>recovered!AP70-recovered!AO70</f>
        <v>0</v>
      </c>
      <c r="AQ70" s="5">
        <f>recovered!AQ70-recovered!AP70</f>
        <v>7</v>
      </c>
      <c r="AR70" s="5">
        <f>recovered!AR70-recovered!AQ70</f>
        <v>2</v>
      </c>
      <c r="AS70" s="5">
        <f>recovered!AS70-recovered!AR70</f>
        <v>0</v>
      </c>
      <c r="AT70" s="5">
        <f>recovered!AT70-recovered!AS70</f>
        <v>13</v>
      </c>
      <c r="AU70" s="5">
        <f>recovered!AU70-recovered!AT70</f>
        <v>0</v>
      </c>
      <c r="AV70" s="5">
        <f>recovered!AV70-recovered!AU70</f>
        <v>4</v>
      </c>
      <c r="AW70" s="5">
        <f>recovered!AW70-recovered!AV70</f>
        <v>0</v>
      </c>
      <c r="AX70" s="5">
        <f>recovered!AX70-recovered!AW70</f>
        <v>0</v>
      </c>
      <c r="AY70" s="5">
        <f>recovered!AY70-recovered!AX70</f>
        <v>0</v>
      </c>
      <c r="AZ70" s="5">
        <f>recovered!AZ70-recovered!AY70</f>
        <v>2</v>
      </c>
      <c r="BA70" s="5">
        <f>recovered!BA70-recovered!AZ70</f>
        <v>1</v>
      </c>
      <c r="BB70" s="5">
        <f>recovered!BB70-recovered!BA70</f>
        <v>0</v>
      </c>
      <c r="BC70" s="5">
        <f>recovered!BC70-recovered!BB70</f>
        <v>1</v>
      </c>
      <c r="BD70" s="5">
        <f>recovered!BD70-recovered!BC70</f>
        <v>0</v>
      </c>
      <c r="BE70" s="5">
        <f>recovered!BE70-recovered!BD70</f>
        <v>0</v>
      </c>
      <c r="BF70" s="5">
        <f>recovered!BF70-recovered!BE70</f>
        <v>1</v>
      </c>
      <c r="BG70" s="5">
        <f>recovered!BG70-recovered!BF70</f>
        <v>0</v>
      </c>
      <c r="BH70" s="5">
        <f>recovered!BH70-recovered!BG70</f>
        <v>0</v>
      </c>
      <c r="BI70" s="5">
        <f>recovered!BI70-recovered!BH70</f>
        <v>0</v>
      </c>
      <c r="BJ70" s="5">
        <f>recovered!BJ70-recovered!BI70</f>
        <v>0</v>
      </c>
      <c r="BK70" s="5">
        <f>recovered!BK70-recovered!BJ70</f>
        <v>0</v>
      </c>
      <c r="BL70" s="5">
        <f>recovered!BL70-recovered!BK70</f>
        <v>0</v>
      </c>
      <c r="BM70" s="5">
        <f>recovered!BM70-recovered!BL70</f>
        <v>0</v>
      </c>
      <c r="BN70" s="5">
        <f>recovered!BN70-recovered!BM70</f>
        <v>0</v>
      </c>
      <c r="BO70" s="5">
        <f>recovered!BO70-recovered!BN70</f>
        <v>0</v>
      </c>
      <c r="BP70" s="5">
        <f>recovered!BP70-recovered!BO70</f>
        <v>0</v>
      </c>
      <c r="BQ70" s="5">
        <f>recovered!BQ70-recovered!BP70</f>
        <v>0</v>
      </c>
      <c r="BR70" s="5">
        <f>recovered!BR70-recovered!BQ70</f>
        <v>0</v>
      </c>
      <c r="BS70" s="5">
        <f>recovered!BS70-recovered!BR70</f>
        <v>0</v>
      </c>
      <c r="BT70" s="5">
        <f>recovered!BT70-recovered!BS70</f>
        <v>0</v>
      </c>
      <c r="BU70" s="5">
        <f>recovered!BU70-recovered!BT70</f>
        <v>0</v>
      </c>
      <c r="BV70" s="5">
        <f>recovered!BV70-recovered!BU70</f>
        <v>2</v>
      </c>
      <c r="BW70" s="5">
        <f>recovered!BW70-recovered!BV70</f>
        <v>0</v>
      </c>
      <c r="BX70" s="5">
        <f>recovered!BX70-recovered!BW70</f>
        <v>0</v>
      </c>
      <c r="BY70" s="5">
        <f>recovered!BY70-recovered!BX70</f>
        <v>5</v>
      </c>
    </row>
    <row r="71">
      <c r="B71" s="1" t="str">
        <f>recovered!B71</f>
        <v>China</v>
      </c>
      <c r="C71" s="4">
        <f>recovered!C71</f>
        <v>31.6927</v>
      </c>
      <c r="D71" s="4">
        <f>recovered!D71</f>
        <v>88.0924</v>
      </c>
      <c r="E71" s="5">
        <f>recovered!E71</f>
        <v>0</v>
      </c>
      <c r="F71" s="5">
        <f>recovered!F71-recovered!E71</f>
        <v>0</v>
      </c>
      <c r="G71" s="5">
        <f>recovered!G71-recovered!F71</f>
        <v>0</v>
      </c>
      <c r="H71" s="5">
        <f>recovered!H71-recovered!G71</f>
        <v>0</v>
      </c>
      <c r="I71" s="5">
        <f>recovered!I71-recovered!H71</f>
        <v>0</v>
      </c>
      <c r="J71" s="5">
        <f>recovered!J71-recovered!I71</f>
        <v>0</v>
      </c>
      <c r="K71" s="5">
        <f>recovered!K71-recovered!J71</f>
        <v>0</v>
      </c>
      <c r="L71" s="5">
        <f>recovered!L71-recovered!K71</f>
        <v>0</v>
      </c>
      <c r="M71" s="5">
        <f>recovered!M71-recovered!L71</f>
        <v>0</v>
      </c>
      <c r="N71" s="5">
        <f>recovered!N71-recovered!M71</f>
        <v>0</v>
      </c>
      <c r="O71" s="5">
        <f>recovered!O71-recovered!N71</f>
        <v>0</v>
      </c>
      <c r="P71" s="5">
        <f>recovered!P71-recovered!O71</f>
        <v>0</v>
      </c>
      <c r="Q71" s="5">
        <f>recovered!Q71-recovered!P71</f>
        <v>0</v>
      </c>
      <c r="R71" s="5">
        <f>recovered!R71-recovered!Q71</f>
        <v>0</v>
      </c>
      <c r="S71" s="5">
        <f>recovered!S71-recovered!R71</f>
        <v>0</v>
      </c>
      <c r="T71" s="5">
        <f>recovered!T71-recovered!S71</f>
        <v>0</v>
      </c>
      <c r="U71" s="5">
        <f>recovered!U71-recovered!T71</f>
        <v>0</v>
      </c>
      <c r="V71" s="5">
        <f>recovered!V71-recovered!U71</f>
        <v>0</v>
      </c>
      <c r="W71" s="5">
        <f>recovered!W71-recovered!V71</f>
        <v>0</v>
      </c>
      <c r="X71" s="5">
        <f>recovered!X71-recovered!W71</f>
        <v>0</v>
      </c>
      <c r="Y71" s="5">
        <f>recovered!Y71-recovered!X71</f>
        <v>0</v>
      </c>
      <c r="Z71" s="5">
        <f>recovered!Z71-recovered!Y71</f>
        <v>1</v>
      </c>
      <c r="AA71" s="5">
        <f>recovered!AA71-recovered!Z71</f>
        <v>0</v>
      </c>
      <c r="AB71" s="5">
        <f>recovered!AB71-recovered!AA71</f>
        <v>0</v>
      </c>
      <c r="AC71" s="5">
        <f>recovered!AC71-recovered!AB71</f>
        <v>0</v>
      </c>
      <c r="AD71" s="5">
        <f>recovered!AD71-recovered!AC71</f>
        <v>0</v>
      </c>
      <c r="AE71" s="5">
        <f>recovered!AE71-recovered!AD71</f>
        <v>0</v>
      </c>
      <c r="AF71" s="5">
        <f>recovered!AF71-recovered!AE71</f>
        <v>0</v>
      </c>
      <c r="AG71" s="5">
        <f>recovered!AG71-recovered!AF71</f>
        <v>0</v>
      </c>
      <c r="AH71" s="5">
        <f>recovered!AH71-recovered!AG71</f>
        <v>0</v>
      </c>
      <c r="AI71" s="5">
        <f>recovered!AI71-recovered!AH71</f>
        <v>0</v>
      </c>
      <c r="AJ71" s="5">
        <f>recovered!AJ71-recovered!AI71</f>
        <v>0</v>
      </c>
      <c r="AK71" s="5">
        <f>recovered!AK71-recovered!AJ71</f>
        <v>0</v>
      </c>
      <c r="AL71" s="5">
        <f>recovered!AL71-recovered!AK71</f>
        <v>0</v>
      </c>
      <c r="AM71" s="5">
        <f>recovered!AM71-recovered!AL71</f>
        <v>0</v>
      </c>
      <c r="AN71" s="5">
        <f>recovered!AN71-recovered!AM71</f>
        <v>0</v>
      </c>
      <c r="AO71" s="5">
        <f>recovered!AO71-recovered!AN71</f>
        <v>0</v>
      </c>
      <c r="AP71" s="5">
        <f>recovered!AP71-recovered!AO71</f>
        <v>0</v>
      </c>
      <c r="AQ71" s="5">
        <f>recovered!AQ71-recovered!AP71</f>
        <v>0</v>
      </c>
      <c r="AR71" s="5">
        <f>recovered!AR71-recovered!AQ71</f>
        <v>0</v>
      </c>
      <c r="AS71" s="5">
        <f>recovered!AS71-recovered!AR71</f>
        <v>0</v>
      </c>
      <c r="AT71" s="5">
        <f>recovered!AT71-recovered!AS71</f>
        <v>0</v>
      </c>
      <c r="AU71" s="5">
        <f>recovered!AU71-recovered!AT71</f>
        <v>0</v>
      </c>
      <c r="AV71" s="5">
        <f>recovered!AV71-recovered!AU71</f>
        <v>0</v>
      </c>
      <c r="AW71" s="5">
        <f>recovered!AW71-recovered!AV71</f>
        <v>0</v>
      </c>
      <c r="AX71" s="5">
        <f>recovered!AX71-recovered!AW71</f>
        <v>0</v>
      </c>
      <c r="AY71" s="5">
        <f>recovered!AY71-recovered!AX71</f>
        <v>0</v>
      </c>
      <c r="AZ71" s="5">
        <f>recovered!AZ71-recovered!AY71</f>
        <v>0</v>
      </c>
      <c r="BA71" s="5">
        <f>recovered!BA71-recovered!AZ71</f>
        <v>0</v>
      </c>
      <c r="BB71" s="5">
        <f>recovered!BB71-recovered!BA71</f>
        <v>0</v>
      </c>
      <c r="BC71" s="5">
        <f>recovered!BC71-recovered!BB71</f>
        <v>0</v>
      </c>
      <c r="BD71" s="5">
        <f>recovered!BD71-recovered!BC71</f>
        <v>0</v>
      </c>
      <c r="BE71" s="5">
        <f>recovered!BE71-recovered!BD71</f>
        <v>0</v>
      </c>
      <c r="BF71" s="5">
        <f>recovered!BF71-recovered!BE71</f>
        <v>0</v>
      </c>
      <c r="BG71" s="5">
        <f>recovered!BG71-recovered!BF71</f>
        <v>0</v>
      </c>
      <c r="BH71" s="5">
        <f>recovered!BH71-recovered!BG71</f>
        <v>0</v>
      </c>
      <c r="BI71" s="5">
        <f>recovered!BI71-recovered!BH71</f>
        <v>0</v>
      </c>
      <c r="BJ71" s="5">
        <f>recovered!BJ71-recovered!BI71</f>
        <v>0</v>
      </c>
      <c r="BK71" s="5">
        <f>recovered!BK71-recovered!BJ71</f>
        <v>0</v>
      </c>
      <c r="BL71" s="5">
        <f>recovered!BL71-recovered!BK71</f>
        <v>0</v>
      </c>
      <c r="BM71" s="5">
        <f>recovered!BM71-recovered!BL71</f>
        <v>0</v>
      </c>
      <c r="BN71" s="5">
        <f>recovered!BN71-recovered!BM71</f>
        <v>0</v>
      </c>
      <c r="BO71" s="5">
        <f>recovered!BO71-recovered!BN71</f>
        <v>0</v>
      </c>
      <c r="BP71" s="5">
        <f>recovered!BP71-recovered!BO71</f>
        <v>0</v>
      </c>
      <c r="BQ71" s="5">
        <f>recovered!BQ71-recovered!BP71</f>
        <v>0</v>
      </c>
      <c r="BR71" s="5">
        <f>recovered!BR71-recovered!BQ71</f>
        <v>0</v>
      </c>
      <c r="BS71" s="5">
        <f>recovered!BS71-recovered!BR71</f>
        <v>0</v>
      </c>
      <c r="BT71" s="5">
        <f>recovered!BT71-recovered!BS71</f>
        <v>0</v>
      </c>
      <c r="BU71" s="5">
        <f>recovered!BU71-recovered!BT71</f>
        <v>0</v>
      </c>
      <c r="BV71" s="5">
        <f>recovered!BV71-recovered!BU71</f>
        <v>0</v>
      </c>
      <c r="BW71" s="5">
        <f>recovered!BW71-recovered!BV71</f>
        <v>0</v>
      </c>
      <c r="BX71" s="5">
        <f>recovered!BX71-recovered!BW71</f>
        <v>0</v>
      </c>
      <c r="BY71" s="5">
        <f>recovered!BY71-recovered!BX71</f>
        <v>0</v>
      </c>
    </row>
    <row r="72">
      <c r="B72" s="1" t="str">
        <f>recovered!B72</f>
        <v>China</v>
      </c>
      <c r="C72" s="4">
        <f>recovered!C72</f>
        <v>41.1129</v>
      </c>
      <c r="D72" s="4">
        <f>recovered!D72</f>
        <v>85.2401</v>
      </c>
      <c r="E72" s="5">
        <f>recovered!E72</f>
        <v>0</v>
      </c>
      <c r="F72" s="5">
        <f>recovered!F72-recovered!E72</f>
        <v>0</v>
      </c>
      <c r="G72" s="5">
        <f>recovered!G72-recovered!F72</f>
        <v>0</v>
      </c>
      <c r="H72" s="5">
        <f>recovered!H72-recovered!G72</f>
        <v>0</v>
      </c>
      <c r="I72" s="5">
        <f>recovered!I72-recovered!H72</f>
        <v>0</v>
      </c>
      <c r="J72" s="5">
        <f>recovered!J72-recovered!I72</f>
        <v>0</v>
      </c>
      <c r="K72" s="5">
        <f>recovered!K72-recovered!J72</f>
        <v>0</v>
      </c>
      <c r="L72" s="5">
        <f>recovered!L72-recovered!K72</f>
        <v>0</v>
      </c>
      <c r="M72" s="5">
        <f>recovered!M72-recovered!L72</f>
        <v>0</v>
      </c>
      <c r="N72" s="5">
        <f>recovered!N72-recovered!M72</f>
        <v>0</v>
      </c>
      <c r="O72" s="5">
        <f>recovered!O72-recovered!N72</f>
        <v>0</v>
      </c>
      <c r="P72" s="5">
        <f>recovered!P72-recovered!O72</f>
        <v>0</v>
      </c>
      <c r="Q72" s="5">
        <f>recovered!Q72-recovered!P72</f>
        <v>0</v>
      </c>
      <c r="R72" s="5">
        <f>recovered!R72-recovered!Q72</f>
        <v>0</v>
      </c>
      <c r="S72" s="5">
        <f>recovered!S72-recovered!R72</f>
        <v>0</v>
      </c>
      <c r="T72" s="5">
        <f>recovered!T72-recovered!S72</f>
        <v>0</v>
      </c>
      <c r="U72" s="5">
        <f>recovered!U72-recovered!T72</f>
        <v>0</v>
      </c>
      <c r="V72" s="5">
        <f>recovered!V72-recovered!U72</f>
        <v>0</v>
      </c>
      <c r="W72" s="5">
        <f>recovered!W72-recovered!V72</f>
        <v>0</v>
      </c>
      <c r="X72" s="5">
        <f>recovered!X72-recovered!W72</f>
        <v>0</v>
      </c>
      <c r="Y72" s="5">
        <f>recovered!Y72-recovered!X72</f>
        <v>3</v>
      </c>
      <c r="Z72" s="5">
        <f>recovered!Z72-recovered!Y72</f>
        <v>0</v>
      </c>
      <c r="AA72" s="5">
        <f>recovered!AA72-recovered!Z72</f>
        <v>3</v>
      </c>
      <c r="AB72" s="5">
        <f>recovered!AB72-recovered!AA72</f>
        <v>0</v>
      </c>
      <c r="AC72" s="5">
        <f>recovered!AC72-recovered!AB72</f>
        <v>4</v>
      </c>
      <c r="AD72" s="5">
        <f>recovered!AD72-recovered!AC72</f>
        <v>2</v>
      </c>
      <c r="AE72" s="5">
        <f>recovered!AE72-recovered!AD72</f>
        <v>0</v>
      </c>
      <c r="AF72" s="5">
        <f>recovered!AF72-recovered!AE72</f>
        <v>0</v>
      </c>
      <c r="AG72" s="5">
        <f>recovered!AG72-recovered!AF72</f>
        <v>8</v>
      </c>
      <c r="AH72" s="5">
        <f>recovered!AH72-recovered!AG72</f>
        <v>2</v>
      </c>
      <c r="AI72" s="5">
        <f>recovered!AI72-recovered!AH72</f>
        <v>2</v>
      </c>
      <c r="AJ72" s="5">
        <f>recovered!AJ72-recovered!AI72</f>
        <v>1</v>
      </c>
      <c r="AK72" s="5">
        <f>recovered!AK72-recovered!AJ72</f>
        <v>3</v>
      </c>
      <c r="AL72" s="5">
        <f>recovered!AL72-recovered!AK72</f>
        <v>2</v>
      </c>
      <c r="AM72" s="5">
        <f>recovered!AM72-recovered!AL72</f>
        <v>0</v>
      </c>
      <c r="AN72" s="5">
        <f>recovered!AN72-recovered!AM72</f>
        <v>4</v>
      </c>
      <c r="AO72" s="5">
        <f>recovered!AO72-recovered!AN72</f>
        <v>9</v>
      </c>
      <c r="AP72" s="5">
        <f>recovered!AP72-recovered!AO72</f>
        <v>9</v>
      </c>
      <c r="AQ72" s="5">
        <f>recovered!AQ72-recovered!AP72</f>
        <v>10</v>
      </c>
      <c r="AR72" s="5">
        <f>recovered!AR72-recovered!AQ72</f>
        <v>2</v>
      </c>
      <c r="AS72" s="5">
        <f>recovered!AS72-recovered!AR72</f>
        <v>2</v>
      </c>
      <c r="AT72" s="5">
        <f>recovered!AT72-recovered!AS72</f>
        <v>2</v>
      </c>
      <c r="AU72" s="5">
        <f>recovered!AU72-recovered!AT72</f>
        <v>1</v>
      </c>
      <c r="AV72" s="5">
        <f>recovered!AV72-recovered!AU72</f>
        <v>1</v>
      </c>
      <c r="AW72" s="5">
        <f>recovered!AW72-recovered!AV72</f>
        <v>1</v>
      </c>
      <c r="AX72" s="5">
        <f>recovered!AX72-recovered!AW72</f>
        <v>1</v>
      </c>
      <c r="AY72" s="5">
        <f>recovered!AY72-recovered!AX72</f>
        <v>1</v>
      </c>
      <c r="AZ72" s="5">
        <f>recovered!AZ72-recovered!AY72</f>
        <v>0</v>
      </c>
      <c r="BA72" s="5">
        <f>recovered!BA72-recovered!AZ72</f>
        <v>0</v>
      </c>
      <c r="BB72" s="5">
        <f>recovered!BB72-recovered!BA72</f>
        <v>0</v>
      </c>
      <c r="BC72" s="5">
        <f>recovered!BC72-recovered!BB72</f>
        <v>0</v>
      </c>
      <c r="BD72" s="5">
        <f>recovered!BD72-recovered!BC72</f>
        <v>0</v>
      </c>
      <c r="BE72" s="5">
        <f>recovered!BE72-recovered!BD72</f>
        <v>0</v>
      </c>
      <c r="BF72" s="5">
        <f>recovered!BF72-recovered!BE72</f>
        <v>0</v>
      </c>
      <c r="BG72" s="5">
        <f>recovered!BG72-recovered!BF72</f>
        <v>0</v>
      </c>
      <c r="BH72" s="5">
        <f>recovered!BH72-recovered!BG72</f>
        <v>0</v>
      </c>
      <c r="BI72" s="5">
        <f>recovered!BI72-recovered!BH72</f>
        <v>0</v>
      </c>
      <c r="BJ72" s="5">
        <f>recovered!BJ72-recovered!BI72</f>
        <v>0</v>
      </c>
      <c r="BK72" s="5">
        <f>recovered!BK72-recovered!BJ72</f>
        <v>0</v>
      </c>
      <c r="BL72" s="5">
        <f>recovered!BL72-recovered!BK72</f>
        <v>0</v>
      </c>
      <c r="BM72" s="5">
        <f>recovered!BM72-recovered!BL72</f>
        <v>0</v>
      </c>
      <c r="BN72" s="5">
        <f>recovered!BN72-recovered!BM72</f>
        <v>0</v>
      </c>
      <c r="BO72" s="5">
        <f>recovered!BO72-recovered!BN72</f>
        <v>0</v>
      </c>
      <c r="BP72" s="5">
        <f>recovered!BP72-recovered!BO72</f>
        <v>0</v>
      </c>
      <c r="BQ72" s="5">
        <f>recovered!BQ72-recovered!BP72</f>
        <v>0</v>
      </c>
      <c r="BR72" s="5">
        <f>recovered!BR72-recovered!BQ72</f>
        <v>0</v>
      </c>
      <c r="BS72" s="5">
        <f>recovered!BS72-recovered!BR72</f>
        <v>0</v>
      </c>
      <c r="BT72" s="5">
        <f>recovered!BT72-recovered!BS72</f>
        <v>0</v>
      </c>
      <c r="BU72" s="5">
        <f>recovered!BU72-recovered!BT72</f>
        <v>0</v>
      </c>
      <c r="BV72" s="5">
        <f>recovered!BV72-recovered!BU72</f>
        <v>0</v>
      </c>
      <c r="BW72" s="5">
        <f>recovered!BW72-recovered!BV72</f>
        <v>0</v>
      </c>
      <c r="BX72" s="5">
        <f>recovered!BX72-recovered!BW72</f>
        <v>0</v>
      </c>
      <c r="BY72" s="5">
        <f>recovered!BY72-recovered!BX72</f>
        <v>0</v>
      </c>
    </row>
    <row r="73">
      <c r="B73" s="1" t="str">
        <f>recovered!B73</f>
        <v>China</v>
      </c>
      <c r="C73" s="4">
        <f>recovered!C73</f>
        <v>24.974</v>
      </c>
      <c r="D73" s="4">
        <f>recovered!D73</f>
        <v>101.487</v>
      </c>
      <c r="E73" s="5">
        <f>recovered!E73</f>
        <v>0</v>
      </c>
      <c r="F73" s="5">
        <f>recovered!F73-recovered!E73</f>
        <v>0</v>
      </c>
      <c r="G73" s="5">
        <f>recovered!G73-recovered!F73</f>
        <v>0</v>
      </c>
      <c r="H73" s="5">
        <f>recovered!H73-recovered!G73</f>
        <v>0</v>
      </c>
      <c r="I73" s="5">
        <f>recovered!I73-recovered!H73</f>
        <v>0</v>
      </c>
      <c r="J73" s="5">
        <f>recovered!J73-recovered!I73</f>
        <v>0</v>
      </c>
      <c r="K73" s="5">
        <f>recovered!K73-recovered!J73</f>
        <v>0</v>
      </c>
      <c r="L73" s="5">
        <f>recovered!L73-recovered!K73</f>
        <v>0</v>
      </c>
      <c r="M73" s="5">
        <f>recovered!M73-recovered!L73</f>
        <v>0</v>
      </c>
      <c r="N73" s="5">
        <f>recovered!N73-recovered!M73</f>
        <v>1</v>
      </c>
      <c r="O73" s="5">
        <f>recovered!O73-recovered!N73</f>
        <v>1</v>
      </c>
      <c r="P73" s="5">
        <f>recovered!P73-recovered!O73</f>
        <v>1</v>
      </c>
      <c r="Q73" s="5">
        <f>recovered!Q73-recovered!P73</f>
        <v>2</v>
      </c>
      <c r="R73" s="5">
        <f>recovered!R73-recovered!Q73</f>
        <v>0</v>
      </c>
      <c r="S73" s="5">
        <f>recovered!S73-recovered!R73</f>
        <v>0</v>
      </c>
      <c r="T73" s="5">
        <f>recovered!T73-recovered!S73</f>
        <v>2</v>
      </c>
      <c r="U73" s="5">
        <f>recovered!U73-recovered!T73</f>
        <v>5</v>
      </c>
      <c r="V73" s="5">
        <f>recovered!V73-recovered!U73</f>
        <v>5</v>
      </c>
      <c r="W73" s="5">
        <f>recovered!W73-recovered!V73</f>
        <v>1</v>
      </c>
      <c r="X73" s="5">
        <f>recovered!X73-recovered!W73</f>
        <v>1</v>
      </c>
      <c r="Y73" s="5">
        <f>recovered!Y73-recovered!X73</f>
        <v>1</v>
      </c>
      <c r="Z73" s="5">
        <f>recovered!Z73-recovered!Y73</f>
        <v>6</v>
      </c>
      <c r="AA73" s="5">
        <f>recovered!AA73-recovered!Z73</f>
        <v>1</v>
      </c>
      <c r="AB73" s="5">
        <f>recovered!AB73-recovered!AA73</f>
        <v>9</v>
      </c>
      <c r="AC73" s="5">
        <f>recovered!AC73-recovered!AB73</f>
        <v>6</v>
      </c>
      <c r="AD73" s="5">
        <f>recovered!AD73-recovered!AC73</f>
        <v>0</v>
      </c>
      <c r="AE73" s="5">
        <f>recovered!AE73-recovered!AD73</f>
        <v>5</v>
      </c>
      <c r="AF73" s="5">
        <f>recovered!AF73-recovered!AE73</f>
        <v>10</v>
      </c>
      <c r="AG73" s="5">
        <f>recovered!AG73-recovered!AF73</f>
        <v>3</v>
      </c>
      <c r="AH73" s="5">
        <f>recovered!AH73-recovered!AG73</f>
        <v>19</v>
      </c>
      <c r="AI73" s="5">
        <f>recovered!AI73-recovered!AH73</f>
        <v>17</v>
      </c>
      <c r="AJ73" s="5">
        <f>recovered!AJ73-recovered!AI73</f>
        <v>11</v>
      </c>
      <c r="AK73" s="5">
        <f>recovered!AK73-recovered!AJ73</f>
        <v>8</v>
      </c>
      <c r="AL73" s="5">
        <f>recovered!AL73-recovered!AK73</f>
        <v>9</v>
      </c>
      <c r="AM73" s="5">
        <f>recovered!AM73-recovered!AL73</f>
        <v>5</v>
      </c>
      <c r="AN73" s="5">
        <f>recovered!AN73-recovered!AM73</f>
        <v>15</v>
      </c>
      <c r="AO73" s="5">
        <f>recovered!AO73-recovered!AN73</f>
        <v>6</v>
      </c>
      <c r="AP73" s="5">
        <f>recovered!AP73-recovered!AO73</f>
        <v>6</v>
      </c>
      <c r="AQ73" s="5">
        <f>recovered!AQ73-recovered!AP73</f>
        <v>1</v>
      </c>
      <c r="AR73" s="5">
        <f>recovered!AR73-recovered!AQ73</f>
        <v>6</v>
      </c>
      <c r="AS73" s="5">
        <f>recovered!AS73-recovered!AR73</f>
        <v>5</v>
      </c>
      <c r="AT73" s="5">
        <f>recovered!AT73-recovered!AS73</f>
        <v>1</v>
      </c>
      <c r="AU73" s="5">
        <f>recovered!AU73-recovered!AT73</f>
        <v>0</v>
      </c>
      <c r="AV73" s="5">
        <f>recovered!AV73-recovered!AU73</f>
        <v>0</v>
      </c>
      <c r="AW73" s="5">
        <f>recovered!AW73-recovered!AV73</f>
        <v>1</v>
      </c>
      <c r="AX73" s="5">
        <f>recovered!AX73-recovered!AW73</f>
        <v>0</v>
      </c>
      <c r="AY73" s="5">
        <f>recovered!AY73-recovered!AX73</f>
        <v>0</v>
      </c>
      <c r="AZ73" s="5">
        <f>recovered!AZ73-recovered!AY73</f>
        <v>0</v>
      </c>
      <c r="BA73" s="5">
        <f>recovered!BA73-recovered!AZ73</f>
        <v>0</v>
      </c>
      <c r="BB73" s="5">
        <f>recovered!BB73-recovered!BA73</f>
        <v>0</v>
      </c>
      <c r="BC73" s="5">
        <f>recovered!BC73-recovered!BB73</f>
        <v>0</v>
      </c>
      <c r="BD73" s="5">
        <f>recovered!BD73-recovered!BC73</f>
        <v>0</v>
      </c>
      <c r="BE73" s="5">
        <f>recovered!BE73-recovered!BD73</f>
        <v>2</v>
      </c>
      <c r="BF73" s="5">
        <f>recovered!BF73-recovered!BE73</f>
        <v>0</v>
      </c>
      <c r="BG73" s="5">
        <f>recovered!BG73-recovered!BF73</f>
        <v>0</v>
      </c>
      <c r="BH73" s="5">
        <f>recovered!BH73-recovered!BG73</f>
        <v>0</v>
      </c>
      <c r="BI73" s="5">
        <f>recovered!BI73-recovered!BH73</f>
        <v>0</v>
      </c>
      <c r="BJ73" s="5">
        <f>recovered!BJ73-recovered!BI73</f>
        <v>0</v>
      </c>
      <c r="BK73" s="5">
        <f>recovered!BK73-recovered!BJ73</f>
        <v>0</v>
      </c>
      <c r="BL73" s="5">
        <f>recovered!BL73-recovered!BK73</f>
        <v>0</v>
      </c>
      <c r="BM73" s="5">
        <f>recovered!BM73-recovered!BL73</f>
        <v>0</v>
      </c>
      <c r="BN73" s="5">
        <f>recovered!BN73-recovered!BM73</f>
        <v>0</v>
      </c>
      <c r="BO73" s="5">
        <f>recovered!BO73-recovered!BN73</f>
        <v>0</v>
      </c>
      <c r="BP73" s="5">
        <f>recovered!BP73-recovered!BO73</f>
        <v>0</v>
      </c>
      <c r="BQ73" s="5">
        <f>recovered!BQ73-recovered!BP73</f>
        <v>0</v>
      </c>
      <c r="BR73" s="5">
        <f>recovered!BR73-recovered!BQ73</f>
        <v>0</v>
      </c>
      <c r="BS73" s="5">
        <f>recovered!BS73-recovered!BR73</f>
        <v>0</v>
      </c>
      <c r="BT73" s="5">
        <f>recovered!BT73-recovered!BS73</f>
        <v>0</v>
      </c>
      <c r="BU73" s="5">
        <f>recovered!BU73-recovered!BT73</f>
        <v>0</v>
      </c>
      <c r="BV73" s="5">
        <f>recovered!BV73-recovered!BU73</f>
        <v>0</v>
      </c>
      <c r="BW73" s="5">
        <f>recovered!BW73-recovered!BV73</f>
        <v>0</v>
      </c>
      <c r="BX73" s="5">
        <f>recovered!BX73-recovered!BW73</f>
        <v>0</v>
      </c>
      <c r="BY73" s="5">
        <f>recovered!BY73-recovered!BX73</f>
        <v>0</v>
      </c>
    </row>
    <row r="74">
      <c r="B74" s="1" t="str">
        <f>recovered!B74</f>
        <v>China</v>
      </c>
      <c r="C74" s="4">
        <f>recovered!C74</f>
        <v>29.1832</v>
      </c>
      <c r="D74" s="4">
        <f>recovered!D74</f>
        <v>120.0934</v>
      </c>
      <c r="E74" s="5">
        <f>recovered!E74</f>
        <v>0</v>
      </c>
      <c r="F74" s="5">
        <f>recovered!F74-recovered!E74</f>
        <v>0</v>
      </c>
      <c r="G74" s="5">
        <f>recovered!G74-recovered!F74</f>
        <v>1</v>
      </c>
      <c r="H74" s="5">
        <f>recovered!H74-recovered!G74</f>
        <v>0</v>
      </c>
      <c r="I74" s="5">
        <f>recovered!I74-recovered!H74</f>
        <v>0</v>
      </c>
      <c r="J74" s="5">
        <f>recovered!J74-recovered!I74</f>
        <v>0</v>
      </c>
      <c r="K74" s="5">
        <f>recovered!K74-recovered!J74</f>
        <v>2</v>
      </c>
      <c r="L74" s="5">
        <f>recovered!L74-recovered!K74</f>
        <v>0</v>
      </c>
      <c r="M74" s="5">
        <f>recovered!M74-recovered!L74</f>
        <v>1</v>
      </c>
      <c r="N74" s="5">
        <f>recovered!N74-recovered!M74</f>
        <v>10</v>
      </c>
      <c r="O74" s="5">
        <f>recovered!O74-recovered!N74</f>
        <v>7</v>
      </c>
      <c r="P74" s="5">
        <f>recovered!P74-recovered!O74</f>
        <v>11</v>
      </c>
      <c r="Q74" s="5">
        <f>recovered!Q74-recovered!P74</f>
        <v>11</v>
      </c>
      <c r="R74" s="5">
        <f>recovered!R74-recovered!Q74</f>
        <v>19</v>
      </c>
      <c r="S74" s="5">
        <f>recovered!S74-recovered!R74</f>
        <v>16</v>
      </c>
      <c r="T74" s="5">
        <f>recovered!T74-recovered!S74</f>
        <v>16</v>
      </c>
      <c r="U74" s="5">
        <f>recovered!U74-recovered!T74</f>
        <v>29</v>
      </c>
      <c r="V74" s="5">
        <f>recovered!V74-recovered!U74</f>
        <v>52</v>
      </c>
      <c r="W74" s="5">
        <f>recovered!W74-recovered!V74</f>
        <v>26</v>
      </c>
      <c r="X74" s="5">
        <f>recovered!X74-recovered!W74</f>
        <v>41</v>
      </c>
      <c r="Y74" s="5">
        <f>recovered!Y74-recovered!X74</f>
        <v>28</v>
      </c>
      <c r="Z74" s="5">
        <f>recovered!Z74-recovered!Y74</f>
        <v>51</v>
      </c>
      <c r="AA74" s="5">
        <f>recovered!AA74-recovered!Z74</f>
        <v>39</v>
      </c>
      <c r="AB74" s="5">
        <f>recovered!AB74-recovered!AA74</f>
        <v>43</v>
      </c>
      <c r="AC74" s="5">
        <f>recovered!AC74-recovered!AB74</f>
        <v>25</v>
      </c>
      <c r="AD74" s="5">
        <f>recovered!AD74-recovered!AC74</f>
        <v>28</v>
      </c>
      <c r="AE74" s="5">
        <f>recovered!AE74-recovered!AD74</f>
        <v>51</v>
      </c>
      <c r="AF74" s="5">
        <f>recovered!AF74-recovered!AE74</f>
        <v>28</v>
      </c>
      <c r="AG74" s="5">
        <f>recovered!AG74-recovered!AF74</f>
        <v>69</v>
      </c>
      <c r="AH74" s="5">
        <f>recovered!AH74-recovered!AG74</f>
        <v>29</v>
      </c>
      <c r="AI74" s="5">
        <f>recovered!AI74-recovered!AH74</f>
        <v>46</v>
      </c>
      <c r="AJ74" s="5">
        <f>recovered!AJ74-recovered!AI74</f>
        <v>40</v>
      </c>
      <c r="AK74" s="5">
        <f>recovered!AK74-recovered!AJ74</f>
        <v>41</v>
      </c>
      <c r="AL74" s="5">
        <f>recovered!AL74-recovered!AK74</f>
        <v>22</v>
      </c>
      <c r="AM74" s="5">
        <f>recovered!AM74-recovered!AL74</f>
        <v>26</v>
      </c>
      <c r="AN74" s="5">
        <f>recovered!AN74-recovered!AM74</f>
        <v>59</v>
      </c>
      <c r="AO74" s="5">
        <f>recovered!AO74-recovered!AN74</f>
        <v>65</v>
      </c>
      <c r="AP74" s="5">
        <f>recovered!AP74-recovered!AO74</f>
        <v>43</v>
      </c>
      <c r="AQ74" s="5">
        <f>recovered!AQ74-recovered!AP74</f>
        <v>41</v>
      </c>
      <c r="AR74" s="5">
        <f>recovered!AR74-recovered!AQ74</f>
        <v>30</v>
      </c>
      <c r="AS74" s="5">
        <f>recovered!AS74-recovered!AR74</f>
        <v>23</v>
      </c>
      <c r="AT74" s="5">
        <f>recovered!AT74-recovered!AS74</f>
        <v>24</v>
      </c>
      <c r="AU74" s="5">
        <f>recovered!AU74-recovered!AT74</f>
        <v>21</v>
      </c>
      <c r="AV74" s="5">
        <f>recovered!AV74-recovered!AU74</f>
        <v>10</v>
      </c>
      <c r="AW74" s="5">
        <f>recovered!AW74-recovered!AV74</f>
        <v>23</v>
      </c>
      <c r="AX74" s="5">
        <f>recovered!AX74-recovered!AW74</f>
        <v>7</v>
      </c>
      <c r="AY74" s="5">
        <f>recovered!AY74-recovered!AX74</f>
        <v>7</v>
      </c>
      <c r="AZ74" s="5">
        <f>recovered!AZ74-recovered!AY74</f>
        <v>15</v>
      </c>
      <c r="BA74" s="5">
        <f>recovered!BA74-recovered!AZ74</f>
        <v>15</v>
      </c>
      <c r="BB74" s="5">
        <f>recovered!BB74-recovered!BA74</f>
        <v>4</v>
      </c>
      <c r="BC74" s="5">
        <f>recovered!BC74-recovered!BB74</f>
        <v>2</v>
      </c>
      <c r="BD74" s="5">
        <f>recovered!BD74-recovered!BC74</f>
        <v>0</v>
      </c>
      <c r="BE74" s="5">
        <f>recovered!BE74-recovered!BD74</f>
        <v>14</v>
      </c>
      <c r="BF74" s="5">
        <f>recovered!BF74-recovered!BE74</f>
        <v>0</v>
      </c>
      <c r="BG74" s="5">
        <f>recovered!BG74-recovered!BF74</f>
        <v>5</v>
      </c>
      <c r="BH74" s="5">
        <f>recovered!BH74-recovered!BG74</f>
        <v>0</v>
      </c>
      <c r="BI74" s="5">
        <f>recovered!BI74-recovered!BH74</f>
        <v>0</v>
      </c>
      <c r="BJ74" s="5">
        <f>recovered!BJ74-recovered!BI74</f>
        <v>1</v>
      </c>
      <c r="BK74" s="5">
        <f>recovered!BK74-recovered!BJ74</f>
        <v>2</v>
      </c>
      <c r="BL74" s="5">
        <f>recovered!BL74-recovered!BK74</f>
        <v>0</v>
      </c>
      <c r="BM74" s="5">
        <f>recovered!BM74-recovered!BL74</f>
        <v>0</v>
      </c>
      <c r="BN74" s="5">
        <f>recovered!BN74-recovered!BM74</f>
        <v>2</v>
      </c>
      <c r="BO74" s="5">
        <f>recovered!BO74-recovered!BN74</f>
        <v>0</v>
      </c>
      <c r="BP74" s="5">
        <f>recovered!BP74-recovered!BO74</f>
        <v>0</v>
      </c>
      <c r="BQ74" s="5">
        <f>recovered!BQ74-recovered!BP74</f>
        <v>1</v>
      </c>
      <c r="BR74" s="5">
        <f>recovered!BR74-recovered!BQ74</f>
        <v>0</v>
      </c>
      <c r="BS74" s="5">
        <f>recovered!BS74-recovered!BR74</f>
        <v>3</v>
      </c>
      <c r="BT74" s="5">
        <f>recovered!BT74-recovered!BS74</f>
        <v>0</v>
      </c>
      <c r="BU74" s="5">
        <f>recovered!BU74-recovered!BT74</f>
        <v>0</v>
      </c>
      <c r="BV74" s="5">
        <f>recovered!BV74-recovered!BU74</f>
        <v>1</v>
      </c>
      <c r="BW74" s="5">
        <f>recovered!BW74-recovered!BV74</f>
        <v>0</v>
      </c>
      <c r="BX74" s="5">
        <f>recovered!BX74-recovered!BW74</f>
        <v>2</v>
      </c>
      <c r="BY74" s="5">
        <f>recovered!BY74-recovered!BX74</f>
        <v>0</v>
      </c>
    </row>
    <row r="75">
      <c r="B75" s="1" t="str">
        <f>recovered!B75</f>
        <v>Colombia</v>
      </c>
      <c r="C75" s="4">
        <f>recovered!C75</f>
        <v>4.5709</v>
      </c>
      <c r="D75" s="4">
        <f>recovered!D75</f>
        <v>-74.2973</v>
      </c>
      <c r="E75" s="5">
        <f>recovered!E75</f>
        <v>0</v>
      </c>
      <c r="F75" s="5">
        <f>recovered!F75-recovered!E75</f>
        <v>0</v>
      </c>
      <c r="G75" s="5">
        <f>recovered!G75-recovered!F75</f>
        <v>0</v>
      </c>
      <c r="H75" s="5">
        <f>recovered!H75-recovered!G75</f>
        <v>0</v>
      </c>
      <c r="I75" s="5">
        <f>recovered!I75-recovered!H75</f>
        <v>0</v>
      </c>
      <c r="J75" s="5">
        <f>recovered!J75-recovered!I75</f>
        <v>0</v>
      </c>
      <c r="K75" s="5">
        <f>recovered!K75-recovered!J75</f>
        <v>0</v>
      </c>
      <c r="L75" s="5">
        <f>recovered!L75-recovered!K75</f>
        <v>0</v>
      </c>
      <c r="M75" s="5">
        <f>recovered!M75-recovered!L75</f>
        <v>0</v>
      </c>
      <c r="N75" s="5">
        <f>recovered!N75-recovered!M75</f>
        <v>0</v>
      </c>
      <c r="O75" s="5">
        <f>recovered!O75-recovered!N75</f>
        <v>0</v>
      </c>
      <c r="P75" s="5">
        <f>recovered!P75-recovered!O75</f>
        <v>0</v>
      </c>
      <c r="Q75" s="5">
        <f>recovered!Q75-recovered!P75</f>
        <v>0</v>
      </c>
      <c r="R75" s="5">
        <f>recovered!R75-recovered!Q75</f>
        <v>0</v>
      </c>
      <c r="S75" s="5">
        <f>recovered!S75-recovered!R75</f>
        <v>0</v>
      </c>
      <c r="T75" s="5">
        <f>recovered!T75-recovered!S75</f>
        <v>0</v>
      </c>
      <c r="U75" s="5">
        <f>recovered!U75-recovered!T75</f>
        <v>0</v>
      </c>
      <c r="V75" s="5">
        <f>recovered!V75-recovered!U75</f>
        <v>0</v>
      </c>
      <c r="W75" s="5">
        <f>recovered!W75-recovered!V75</f>
        <v>0</v>
      </c>
      <c r="X75" s="5">
        <f>recovered!X75-recovered!W75</f>
        <v>0</v>
      </c>
      <c r="Y75" s="5">
        <f>recovered!Y75-recovered!X75</f>
        <v>0</v>
      </c>
      <c r="Z75" s="5">
        <f>recovered!Z75-recovered!Y75</f>
        <v>0</v>
      </c>
      <c r="AA75" s="5">
        <f>recovered!AA75-recovered!Z75</f>
        <v>0</v>
      </c>
      <c r="AB75" s="5">
        <f>recovered!AB75-recovered!AA75</f>
        <v>0</v>
      </c>
      <c r="AC75" s="5">
        <f>recovered!AC75-recovered!AB75</f>
        <v>0</v>
      </c>
      <c r="AD75" s="5">
        <f>recovered!AD75-recovered!AC75</f>
        <v>0</v>
      </c>
      <c r="AE75" s="5">
        <f>recovered!AE75-recovered!AD75</f>
        <v>0</v>
      </c>
      <c r="AF75" s="5">
        <f>recovered!AF75-recovered!AE75</f>
        <v>0</v>
      </c>
      <c r="AG75" s="5">
        <f>recovered!AG75-recovered!AF75</f>
        <v>0</v>
      </c>
      <c r="AH75" s="5">
        <f>recovered!AH75-recovered!AG75</f>
        <v>0</v>
      </c>
      <c r="AI75" s="5">
        <f>recovered!AI75-recovered!AH75</f>
        <v>0</v>
      </c>
      <c r="AJ75" s="5">
        <f>recovered!AJ75-recovered!AI75</f>
        <v>0</v>
      </c>
      <c r="AK75" s="5">
        <f>recovered!AK75-recovered!AJ75</f>
        <v>0</v>
      </c>
      <c r="AL75" s="5">
        <f>recovered!AL75-recovered!AK75</f>
        <v>0</v>
      </c>
      <c r="AM75" s="5">
        <f>recovered!AM75-recovered!AL75</f>
        <v>0</v>
      </c>
      <c r="AN75" s="5">
        <f>recovered!AN75-recovered!AM75</f>
        <v>0</v>
      </c>
      <c r="AO75" s="5">
        <f>recovered!AO75-recovered!AN75</f>
        <v>0</v>
      </c>
      <c r="AP75" s="5">
        <f>recovered!AP75-recovered!AO75</f>
        <v>0</v>
      </c>
      <c r="AQ75" s="5">
        <f>recovered!AQ75-recovered!AP75</f>
        <v>0</v>
      </c>
      <c r="AR75" s="5">
        <f>recovered!AR75-recovered!AQ75</f>
        <v>0</v>
      </c>
      <c r="AS75" s="5">
        <f>recovered!AS75-recovered!AR75</f>
        <v>0</v>
      </c>
      <c r="AT75" s="5">
        <f>recovered!AT75-recovered!AS75</f>
        <v>0</v>
      </c>
      <c r="AU75" s="5">
        <f>recovered!AU75-recovered!AT75</f>
        <v>0</v>
      </c>
      <c r="AV75" s="5">
        <f>recovered!AV75-recovered!AU75</f>
        <v>0</v>
      </c>
      <c r="AW75" s="5">
        <f>recovered!AW75-recovered!AV75</f>
        <v>0</v>
      </c>
      <c r="AX75" s="5">
        <f>recovered!AX75-recovered!AW75</f>
        <v>0</v>
      </c>
      <c r="AY75" s="5">
        <f>recovered!AY75-recovered!AX75</f>
        <v>0</v>
      </c>
      <c r="AZ75" s="5">
        <f>recovered!AZ75-recovered!AY75</f>
        <v>0</v>
      </c>
      <c r="BA75" s="5">
        <f>recovered!BA75-recovered!AZ75</f>
        <v>0</v>
      </c>
      <c r="BB75" s="5">
        <f>recovered!BB75-recovered!BA75</f>
        <v>0</v>
      </c>
      <c r="BC75" s="5">
        <f>recovered!BC75-recovered!BB75</f>
        <v>0</v>
      </c>
      <c r="BD75" s="5">
        <f>recovered!BD75-recovered!BC75</f>
        <v>0</v>
      </c>
      <c r="BE75" s="5">
        <f>recovered!BE75-recovered!BD75</f>
        <v>0</v>
      </c>
      <c r="BF75" s="5">
        <f>recovered!BF75-recovered!BE75</f>
        <v>0</v>
      </c>
      <c r="BG75" s="5">
        <f>recovered!BG75-recovered!BF75</f>
        <v>0</v>
      </c>
      <c r="BH75" s="5">
        <f>recovered!BH75-recovered!BG75</f>
        <v>1</v>
      </c>
      <c r="BI75" s="5">
        <f>recovered!BI75-recovered!BH75</f>
        <v>0</v>
      </c>
      <c r="BJ75" s="5">
        <f>recovered!BJ75-recovered!BI75</f>
        <v>0</v>
      </c>
      <c r="BK75" s="5">
        <f>recovered!BK75-recovered!BJ75</f>
        <v>0</v>
      </c>
      <c r="BL75" s="5">
        <f>recovered!BL75-recovered!BK75</f>
        <v>0</v>
      </c>
      <c r="BM75" s="5">
        <f>recovered!BM75-recovered!BL75</f>
        <v>2</v>
      </c>
      <c r="BN75" s="5">
        <f>recovered!BN75-recovered!BM75</f>
        <v>0</v>
      </c>
      <c r="BO75" s="5">
        <f>recovered!BO75-recovered!BN75</f>
        <v>3</v>
      </c>
      <c r="BP75" s="5">
        <f>recovered!BP75-recovered!BO75</f>
        <v>2</v>
      </c>
      <c r="BQ75" s="5">
        <f>recovered!BQ75-recovered!BP75</f>
        <v>0</v>
      </c>
      <c r="BR75" s="5">
        <f>recovered!BR75-recovered!BQ75</f>
        <v>2</v>
      </c>
      <c r="BS75" s="5">
        <f>recovered!BS75-recovered!BR75</f>
        <v>0</v>
      </c>
      <c r="BT75" s="5">
        <f>recovered!BT75-recovered!BS75</f>
        <v>0</v>
      </c>
      <c r="BU75" s="5">
        <f>recovered!BU75-recovered!BT75</f>
        <v>5</v>
      </c>
      <c r="BV75" s="5">
        <f>recovered!BV75-recovered!BU75</f>
        <v>16</v>
      </c>
      <c r="BW75" s="5">
        <f>recovered!BW75-recovered!BV75</f>
        <v>8</v>
      </c>
      <c r="BX75" s="5">
        <f>recovered!BX75-recovered!BW75</f>
        <v>16</v>
      </c>
      <c r="BY75" s="5">
        <f>recovered!BY75-recovered!BX75</f>
        <v>0</v>
      </c>
    </row>
    <row r="76">
      <c r="B76" s="1" t="str">
        <f>recovered!B76</f>
        <v>Congo (Brazzaville)</v>
      </c>
      <c r="C76" s="4">
        <f>recovered!C76</f>
        <v>-4.0383</v>
      </c>
      <c r="D76" s="4">
        <f>recovered!D76</f>
        <v>21.7587</v>
      </c>
      <c r="E76" s="5">
        <f>recovered!E76</f>
        <v>0</v>
      </c>
      <c r="F76" s="5">
        <f>recovered!F76-recovered!E76</f>
        <v>0</v>
      </c>
      <c r="G76" s="5">
        <f>recovered!G76-recovered!F76</f>
        <v>0</v>
      </c>
      <c r="H76" s="5">
        <f>recovered!H76-recovered!G76</f>
        <v>0</v>
      </c>
      <c r="I76" s="5">
        <f>recovered!I76-recovered!H76</f>
        <v>0</v>
      </c>
      <c r="J76" s="5">
        <f>recovered!J76-recovered!I76</f>
        <v>0</v>
      </c>
      <c r="K76" s="5">
        <f>recovered!K76-recovered!J76</f>
        <v>0</v>
      </c>
      <c r="L76" s="5">
        <f>recovered!L76-recovered!K76</f>
        <v>0</v>
      </c>
      <c r="M76" s="5">
        <f>recovered!M76-recovered!L76</f>
        <v>0</v>
      </c>
      <c r="N76" s="5">
        <f>recovered!N76-recovered!M76</f>
        <v>0</v>
      </c>
      <c r="O76" s="5">
        <f>recovered!O76-recovered!N76</f>
        <v>0</v>
      </c>
      <c r="P76" s="5">
        <f>recovered!P76-recovered!O76</f>
        <v>0</v>
      </c>
      <c r="Q76" s="5">
        <f>recovered!Q76-recovered!P76</f>
        <v>0</v>
      </c>
      <c r="R76" s="5">
        <f>recovered!R76-recovered!Q76</f>
        <v>0</v>
      </c>
      <c r="S76" s="5">
        <f>recovered!S76-recovered!R76</f>
        <v>0</v>
      </c>
      <c r="T76" s="5">
        <f>recovered!T76-recovered!S76</f>
        <v>0</v>
      </c>
      <c r="U76" s="5">
        <f>recovered!U76-recovered!T76</f>
        <v>0</v>
      </c>
      <c r="V76" s="5">
        <f>recovered!V76-recovered!U76</f>
        <v>0</v>
      </c>
      <c r="W76" s="5">
        <f>recovered!W76-recovered!V76</f>
        <v>0</v>
      </c>
      <c r="X76" s="5">
        <f>recovered!X76-recovered!W76</f>
        <v>0</v>
      </c>
      <c r="Y76" s="5">
        <f>recovered!Y76-recovered!X76</f>
        <v>0</v>
      </c>
      <c r="Z76" s="5">
        <f>recovered!Z76-recovered!Y76</f>
        <v>0</v>
      </c>
      <c r="AA76" s="5">
        <f>recovered!AA76-recovered!Z76</f>
        <v>0</v>
      </c>
      <c r="AB76" s="5">
        <f>recovered!AB76-recovered!AA76</f>
        <v>0</v>
      </c>
      <c r="AC76" s="5">
        <f>recovered!AC76-recovered!AB76</f>
        <v>0</v>
      </c>
      <c r="AD76" s="5">
        <f>recovered!AD76-recovered!AC76</f>
        <v>0</v>
      </c>
      <c r="AE76" s="5">
        <f>recovered!AE76-recovered!AD76</f>
        <v>0</v>
      </c>
      <c r="AF76" s="5">
        <f>recovered!AF76-recovered!AE76</f>
        <v>0</v>
      </c>
      <c r="AG76" s="5">
        <f>recovered!AG76-recovered!AF76</f>
        <v>0</v>
      </c>
      <c r="AH76" s="5">
        <f>recovered!AH76-recovered!AG76</f>
        <v>0</v>
      </c>
      <c r="AI76" s="5">
        <f>recovered!AI76-recovered!AH76</f>
        <v>0</v>
      </c>
      <c r="AJ76" s="5">
        <f>recovered!AJ76-recovered!AI76</f>
        <v>0</v>
      </c>
      <c r="AK76" s="5">
        <f>recovered!AK76-recovered!AJ76</f>
        <v>0</v>
      </c>
      <c r="AL76" s="5">
        <f>recovered!AL76-recovered!AK76</f>
        <v>0</v>
      </c>
      <c r="AM76" s="5">
        <f>recovered!AM76-recovered!AL76</f>
        <v>0</v>
      </c>
      <c r="AN76" s="5">
        <f>recovered!AN76-recovered!AM76</f>
        <v>0</v>
      </c>
      <c r="AO76" s="5">
        <f>recovered!AO76-recovered!AN76</f>
        <v>0</v>
      </c>
      <c r="AP76" s="5">
        <f>recovered!AP76-recovered!AO76</f>
        <v>0</v>
      </c>
      <c r="AQ76" s="5">
        <f>recovered!AQ76-recovered!AP76</f>
        <v>0</v>
      </c>
      <c r="AR76" s="5">
        <f>recovered!AR76-recovered!AQ76</f>
        <v>0</v>
      </c>
      <c r="AS76" s="5">
        <f>recovered!AS76-recovered!AR76</f>
        <v>0</v>
      </c>
      <c r="AT76" s="5">
        <f>recovered!AT76-recovered!AS76</f>
        <v>0</v>
      </c>
      <c r="AU76" s="5">
        <f>recovered!AU76-recovered!AT76</f>
        <v>0</v>
      </c>
      <c r="AV76" s="5">
        <f>recovered!AV76-recovered!AU76</f>
        <v>0</v>
      </c>
      <c r="AW76" s="5">
        <f>recovered!AW76-recovered!AV76</f>
        <v>0</v>
      </c>
      <c r="AX76" s="5">
        <f>recovered!AX76-recovered!AW76</f>
        <v>0</v>
      </c>
      <c r="AY76" s="5">
        <f>recovered!AY76-recovered!AX76</f>
        <v>0</v>
      </c>
      <c r="AZ76" s="5">
        <f>recovered!AZ76-recovered!AY76</f>
        <v>0</v>
      </c>
      <c r="BA76" s="5">
        <f>recovered!BA76-recovered!AZ76</f>
        <v>0</v>
      </c>
      <c r="BB76" s="5">
        <f>recovered!BB76-recovered!BA76</f>
        <v>0</v>
      </c>
      <c r="BC76" s="5">
        <f>recovered!BC76-recovered!BB76</f>
        <v>0</v>
      </c>
      <c r="BD76" s="5">
        <f>recovered!BD76-recovered!BC76</f>
        <v>0</v>
      </c>
      <c r="BE76" s="5">
        <f>recovered!BE76-recovered!BD76</f>
        <v>0</v>
      </c>
      <c r="BF76" s="5">
        <f>recovered!BF76-recovered!BE76</f>
        <v>0</v>
      </c>
      <c r="BG76" s="5">
        <f>recovered!BG76-recovered!BF76</f>
        <v>0</v>
      </c>
      <c r="BH76" s="5">
        <f>recovered!BH76-recovered!BG76</f>
        <v>0</v>
      </c>
      <c r="BI76" s="5">
        <f>recovered!BI76-recovered!BH76</f>
        <v>0</v>
      </c>
      <c r="BJ76" s="5">
        <f>recovered!BJ76-recovered!BI76</f>
        <v>0</v>
      </c>
      <c r="BK76" s="5">
        <f>recovered!BK76-recovered!BJ76</f>
        <v>0</v>
      </c>
      <c r="BL76" s="5">
        <f>recovered!BL76-recovered!BK76</f>
        <v>0</v>
      </c>
      <c r="BM76" s="5">
        <f>recovered!BM76-recovered!BL76</f>
        <v>0</v>
      </c>
      <c r="BN76" s="5">
        <f>recovered!BN76-recovered!BM76</f>
        <v>0</v>
      </c>
      <c r="BO76" s="5">
        <f>recovered!BO76-recovered!BN76</f>
        <v>0</v>
      </c>
      <c r="BP76" s="5">
        <f>recovered!BP76-recovered!BO76</f>
        <v>0</v>
      </c>
      <c r="BQ76" s="5">
        <f>recovered!BQ76-recovered!BP76</f>
        <v>0</v>
      </c>
      <c r="BR76" s="5">
        <f>recovered!BR76-recovered!BQ76</f>
        <v>0</v>
      </c>
      <c r="BS76" s="5">
        <f>recovered!BS76-recovered!BR76</f>
        <v>0</v>
      </c>
      <c r="BT76" s="5">
        <f>recovered!BT76-recovered!BS76</f>
        <v>0</v>
      </c>
      <c r="BU76" s="5">
        <f>recovered!BU76-recovered!BT76</f>
        <v>0</v>
      </c>
      <c r="BV76" s="5">
        <f>recovered!BV76-recovered!BU76</f>
        <v>0</v>
      </c>
      <c r="BW76" s="5">
        <f>recovered!BW76-recovered!BV76</f>
        <v>0</v>
      </c>
      <c r="BX76" s="5">
        <f>recovered!BX76-recovered!BW76</f>
        <v>2</v>
      </c>
      <c r="BY76" s="5">
        <f>recovered!BY76-recovered!BX76</f>
        <v>0</v>
      </c>
    </row>
    <row r="77">
      <c r="B77" s="1" t="str">
        <f>recovered!B77</f>
        <v>Congo (Kinshasa)</v>
      </c>
      <c r="C77" s="4">
        <f>recovered!C77</f>
        <v>-4.0383</v>
      </c>
      <c r="D77" s="4">
        <f>recovered!D77</f>
        <v>21.7587</v>
      </c>
      <c r="E77" s="5">
        <f>recovered!E77</f>
        <v>0</v>
      </c>
      <c r="F77" s="5">
        <f>recovered!F77-recovered!E77</f>
        <v>0</v>
      </c>
      <c r="G77" s="5">
        <f>recovered!G77-recovered!F77</f>
        <v>0</v>
      </c>
      <c r="H77" s="5">
        <f>recovered!H77-recovered!G77</f>
        <v>0</v>
      </c>
      <c r="I77" s="5">
        <f>recovered!I77-recovered!H77</f>
        <v>0</v>
      </c>
      <c r="J77" s="5">
        <f>recovered!J77-recovered!I77</f>
        <v>0</v>
      </c>
      <c r="K77" s="5">
        <f>recovered!K77-recovered!J77</f>
        <v>0</v>
      </c>
      <c r="L77" s="5">
        <f>recovered!L77-recovered!K77</f>
        <v>0</v>
      </c>
      <c r="M77" s="5">
        <f>recovered!M77-recovered!L77</f>
        <v>0</v>
      </c>
      <c r="N77" s="5">
        <f>recovered!N77-recovered!M77</f>
        <v>0</v>
      </c>
      <c r="O77" s="5">
        <f>recovered!O77-recovered!N77</f>
        <v>0</v>
      </c>
      <c r="P77" s="5">
        <f>recovered!P77-recovered!O77</f>
        <v>0</v>
      </c>
      <c r="Q77" s="5">
        <f>recovered!Q77-recovered!P77</f>
        <v>0</v>
      </c>
      <c r="R77" s="5">
        <f>recovered!R77-recovered!Q77</f>
        <v>0</v>
      </c>
      <c r="S77" s="5">
        <f>recovered!S77-recovered!R77</f>
        <v>0</v>
      </c>
      <c r="T77" s="5">
        <f>recovered!T77-recovered!S77</f>
        <v>0</v>
      </c>
      <c r="U77" s="5">
        <f>recovered!U77-recovered!T77</f>
        <v>0</v>
      </c>
      <c r="V77" s="5">
        <f>recovered!V77-recovered!U77</f>
        <v>0</v>
      </c>
      <c r="W77" s="5">
        <f>recovered!W77-recovered!V77</f>
        <v>0</v>
      </c>
      <c r="X77" s="5">
        <f>recovered!X77-recovered!W77</f>
        <v>0</v>
      </c>
      <c r="Y77" s="5">
        <f>recovered!Y77-recovered!X77</f>
        <v>0</v>
      </c>
      <c r="Z77" s="5">
        <f>recovered!Z77-recovered!Y77</f>
        <v>0</v>
      </c>
      <c r="AA77" s="5">
        <f>recovered!AA77-recovered!Z77</f>
        <v>0</v>
      </c>
      <c r="AB77" s="5">
        <f>recovered!AB77-recovered!AA77</f>
        <v>0</v>
      </c>
      <c r="AC77" s="5">
        <f>recovered!AC77-recovered!AB77</f>
        <v>0</v>
      </c>
      <c r="AD77" s="5">
        <f>recovered!AD77-recovered!AC77</f>
        <v>0</v>
      </c>
      <c r="AE77" s="5">
        <f>recovered!AE77-recovered!AD77</f>
        <v>0</v>
      </c>
      <c r="AF77" s="5">
        <f>recovered!AF77-recovered!AE77</f>
        <v>0</v>
      </c>
      <c r="AG77" s="5">
        <f>recovered!AG77-recovered!AF77</f>
        <v>0</v>
      </c>
      <c r="AH77" s="5">
        <f>recovered!AH77-recovered!AG77</f>
        <v>0</v>
      </c>
      <c r="AI77" s="5">
        <f>recovered!AI77-recovered!AH77</f>
        <v>0</v>
      </c>
      <c r="AJ77" s="5">
        <f>recovered!AJ77-recovered!AI77</f>
        <v>0</v>
      </c>
      <c r="AK77" s="5">
        <f>recovered!AK77-recovered!AJ77</f>
        <v>0</v>
      </c>
      <c r="AL77" s="5">
        <f>recovered!AL77-recovered!AK77</f>
        <v>0</v>
      </c>
      <c r="AM77" s="5">
        <f>recovered!AM77-recovered!AL77</f>
        <v>0</v>
      </c>
      <c r="AN77" s="5">
        <f>recovered!AN77-recovered!AM77</f>
        <v>0</v>
      </c>
      <c r="AO77" s="5">
        <f>recovered!AO77-recovered!AN77</f>
        <v>0</v>
      </c>
      <c r="AP77" s="5">
        <f>recovered!AP77-recovered!AO77</f>
        <v>0</v>
      </c>
      <c r="AQ77" s="5">
        <f>recovered!AQ77-recovered!AP77</f>
        <v>0</v>
      </c>
      <c r="AR77" s="5">
        <f>recovered!AR77-recovered!AQ77</f>
        <v>0</v>
      </c>
      <c r="AS77" s="5">
        <f>recovered!AS77-recovered!AR77</f>
        <v>0</v>
      </c>
      <c r="AT77" s="5">
        <f>recovered!AT77-recovered!AS77</f>
        <v>0</v>
      </c>
      <c r="AU77" s="5">
        <f>recovered!AU77-recovered!AT77</f>
        <v>0</v>
      </c>
      <c r="AV77" s="5">
        <f>recovered!AV77-recovered!AU77</f>
        <v>0</v>
      </c>
      <c r="AW77" s="5">
        <f>recovered!AW77-recovered!AV77</f>
        <v>0</v>
      </c>
      <c r="AX77" s="5">
        <f>recovered!AX77-recovered!AW77</f>
        <v>0</v>
      </c>
      <c r="AY77" s="5">
        <f>recovered!AY77-recovered!AX77</f>
        <v>0</v>
      </c>
      <c r="AZ77" s="5">
        <f>recovered!AZ77-recovered!AY77</f>
        <v>0</v>
      </c>
      <c r="BA77" s="5">
        <f>recovered!BA77-recovered!AZ77</f>
        <v>0</v>
      </c>
      <c r="BB77" s="5">
        <f>recovered!BB77-recovered!BA77</f>
        <v>0</v>
      </c>
      <c r="BC77" s="5">
        <f>recovered!BC77-recovered!BB77</f>
        <v>0</v>
      </c>
      <c r="BD77" s="5">
        <f>recovered!BD77-recovered!BC77</f>
        <v>0</v>
      </c>
      <c r="BE77" s="5">
        <f>recovered!BE77-recovered!BD77</f>
        <v>0</v>
      </c>
      <c r="BF77" s="5">
        <f>recovered!BF77-recovered!BE77</f>
        <v>0</v>
      </c>
      <c r="BG77" s="5">
        <f>recovered!BG77-recovered!BF77</f>
        <v>0</v>
      </c>
      <c r="BH77" s="5">
        <f>recovered!BH77-recovered!BG77</f>
        <v>0</v>
      </c>
      <c r="BI77" s="5">
        <f>recovered!BI77-recovered!BH77</f>
        <v>0</v>
      </c>
      <c r="BJ77" s="5">
        <f>recovered!BJ77-recovered!BI77</f>
        <v>0</v>
      </c>
      <c r="BK77" s="5">
        <f>recovered!BK77-recovered!BJ77</f>
        <v>0</v>
      </c>
      <c r="BL77" s="5">
        <f>recovered!BL77-recovered!BK77</f>
        <v>0</v>
      </c>
      <c r="BM77" s="5">
        <f>recovered!BM77-recovered!BL77</f>
        <v>0</v>
      </c>
      <c r="BN77" s="5">
        <f>recovered!BN77-recovered!BM77</f>
        <v>0</v>
      </c>
      <c r="BO77" s="5">
        <f>recovered!BO77-recovered!BN77</f>
        <v>0</v>
      </c>
      <c r="BP77" s="5">
        <f>recovered!BP77-recovered!BO77</f>
        <v>0</v>
      </c>
      <c r="BQ77" s="5">
        <f>recovered!BQ77-recovered!BP77</f>
        <v>0</v>
      </c>
      <c r="BR77" s="5">
        <f>recovered!BR77-recovered!BQ77</f>
        <v>2</v>
      </c>
      <c r="BS77" s="5">
        <f>recovered!BS77-recovered!BR77</f>
        <v>0</v>
      </c>
      <c r="BT77" s="5">
        <f>recovered!BT77-recovered!BS77</f>
        <v>0</v>
      </c>
      <c r="BU77" s="5">
        <f>recovered!BU77-recovered!BT77</f>
        <v>0</v>
      </c>
      <c r="BV77" s="5">
        <f>recovered!BV77-recovered!BU77</f>
        <v>0</v>
      </c>
      <c r="BW77" s="5">
        <f>recovered!BW77-recovered!BV77</f>
        <v>1</v>
      </c>
      <c r="BX77" s="5">
        <f>recovered!BX77-recovered!BW77</f>
        <v>0</v>
      </c>
      <c r="BY77" s="5">
        <f>recovered!BY77-recovered!BX77</f>
        <v>0</v>
      </c>
    </row>
    <row r="78">
      <c r="B78" s="1" t="str">
        <f>recovered!B78</f>
        <v>Costa Rica</v>
      </c>
      <c r="C78" s="4">
        <f>recovered!C78</f>
        <v>9.7489</v>
      </c>
      <c r="D78" s="4">
        <f>recovered!D78</f>
        <v>-83.7534</v>
      </c>
      <c r="E78" s="5">
        <f>recovered!E78</f>
        <v>0</v>
      </c>
      <c r="F78" s="5">
        <f>recovered!F78-recovered!E78</f>
        <v>0</v>
      </c>
      <c r="G78" s="5">
        <f>recovered!G78-recovered!F78</f>
        <v>0</v>
      </c>
      <c r="H78" s="5">
        <f>recovered!H78-recovered!G78</f>
        <v>0</v>
      </c>
      <c r="I78" s="5">
        <f>recovered!I78-recovered!H78</f>
        <v>0</v>
      </c>
      <c r="J78" s="5">
        <f>recovered!J78-recovered!I78</f>
        <v>0</v>
      </c>
      <c r="K78" s="5">
        <f>recovered!K78-recovered!J78</f>
        <v>0</v>
      </c>
      <c r="L78" s="5">
        <f>recovered!L78-recovered!K78</f>
        <v>0</v>
      </c>
      <c r="M78" s="5">
        <f>recovered!M78-recovered!L78</f>
        <v>0</v>
      </c>
      <c r="N78" s="5">
        <f>recovered!N78-recovered!M78</f>
        <v>0</v>
      </c>
      <c r="O78" s="5">
        <f>recovered!O78-recovered!N78</f>
        <v>0</v>
      </c>
      <c r="P78" s="5">
        <f>recovered!P78-recovered!O78</f>
        <v>0</v>
      </c>
      <c r="Q78" s="5">
        <f>recovered!Q78-recovered!P78</f>
        <v>0</v>
      </c>
      <c r="R78" s="5">
        <f>recovered!R78-recovered!Q78</f>
        <v>0</v>
      </c>
      <c r="S78" s="5">
        <f>recovered!S78-recovered!R78</f>
        <v>0</v>
      </c>
      <c r="T78" s="5">
        <f>recovered!T78-recovered!S78</f>
        <v>0</v>
      </c>
      <c r="U78" s="5">
        <f>recovered!U78-recovered!T78</f>
        <v>0</v>
      </c>
      <c r="V78" s="5">
        <f>recovered!V78-recovered!U78</f>
        <v>0</v>
      </c>
      <c r="W78" s="5">
        <f>recovered!W78-recovered!V78</f>
        <v>0</v>
      </c>
      <c r="X78" s="5">
        <f>recovered!X78-recovered!W78</f>
        <v>0</v>
      </c>
      <c r="Y78" s="5">
        <f>recovered!Y78-recovered!X78</f>
        <v>0</v>
      </c>
      <c r="Z78" s="5">
        <f>recovered!Z78-recovered!Y78</f>
        <v>0</v>
      </c>
      <c r="AA78" s="5">
        <f>recovered!AA78-recovered!Z78</f>
        <v>0</v>
      </c>
      <c r="AB78" s="5">
        <f>recovered!AB78-recovered!AA78</f>
        <v>0</v>
      </c>
      <c r="AC78" s="5">
        <f>recovered!AC78-recovered!AB78</f>
        <v>0</v>
      </c>
      <c r="AD78" s="5">
        <f>recovered!AD78-recovered!AC78</f>
        <v>0</v>
      </c>
      <c r="AE78" s="5">
        <f>recovered!AE78-recovered!AD78</f>
        <v>0</v>
      </c>
      <c r="AF78" s="5">
        <f>recovered!AF78-recovered!AE78</f>
        <v>0</v>
      </c>
      <c r="AG78" s="5">
        <f>recovered!AG78-recovered!AF78</f>
        <v>0</v>
      </c>
      <c r="AH78" s="5">
        <f>recovered!AH78-recovered!AG78</f>
        <v>0</v>
      </c>
      <c r="AI78" s="5">
        <f>recovered!AI78-recovered!AH78</f>
        <v>0</v>
      </c>
      <c r="AJ78" s="5">
        <f>recovered!AJ78-recovered!AI78</f>
        <v>0</v>
      </c>
      <c r="AK78" s="5">
        <f>recovered!AK78-recovered!AJ78</f>
        <v>0</v>
      </c>
      <c r="AL78" s="5">
        <f>recovered!AL78-recovered!AK78</f>
        <v>0</v>
      </c>
      <c r="AM78" s="5">
        <f>recovered!AM78-recovered!AL78</f>
        <v>0</v>
      </c>
      <c r="AN78" s="5">
        <f>recovered!AN78-recovered!AM78</f>
        <v>0</v>
      </c>
      <c r="AO78" s="5">
        <f>recovered!AO78-recovered!AN78</f>
        <v>0</v>
      </c>
      <c r="AP78" s="5">
        <f>recovered!AP78-recovered!AO78</f>
        <v>0</v>
      </c>
      <c r="AQ78" s="5">
        <f>recovered!AQ78-recovered!AP78</f>
        <v>0</v>
      </c>
      <c r="AR78" s="5">
        <f>recovered!AR78-recovered!AQ78</f>
        <v>0</v>
      </c>
      <c r="AS78" s="5">
        <f>recovered!AS78-recovered!AR78</f>
        <v>0</v>
      </c>
      <c r="AT78" s="5">
        <f>recovered!AT78-recovered!AS78</f>
        <v>0</v>
      </c>
      <c r="AU78" s="5">
        <f>recovered!AU78-recovered!AT78</f>
        <v>0</v>
      </c>
      <c r="AV78" s="5">
        <f>recovered!AV78-recovered!AU78</f>
        <v>0</v>
      </c>
      <c r="AW78" s="5">
        <f>recovered!AW78-recovered!AV78</f>
        <v>0</v>
      </c>
      <c r="AX78" s="5">
        <f>recovered!AX78-recovered!AW78</f>
        <v>0</v>
      </c>
      <c r="AY78" s="5">
        <f>recovered!AY78-recovered!AX78</f>
        <v>0</v>
      </c>
      <c r="AZ78" s="5">
        <f>recovered!AZ78-recovered!AY78</f>
        <v>0</v>
      </c>
      <c r="BA78" s="5">
        <f>recovered!BA78-recovered!AZ78</f>
        <v>0</v>
      </c>
      <c r="BB78" s="5">
        <f>recovered!BB78-recovered!BA78</f>
        <v>0</v>
      </c>
      <c r="BC78" s="5">
        <f>recovered!BC78-recovered!BB78</f>
        <v>0</v>
      </c>
      <c r="BD78" s="5">
        <f>recovered!BD78-recovered!BC78</f>
        <v>0</v>
      </c>
      <c r="BE78" s="5">
        <f>recovered!BE78-recovered!BD78</f>
        <v>0</v>
      </c>
      <c r="BF78" s="5">
        <f>recovered!BF78-recovered!BE78</f>
        <v>0</v>
      </c>
      <c r="BG78" s="5">
        <f>recovered!BG78-recovered!BF78</f>
        <v>0</v>
      </c>
      <c r="BH78" s="5">
        <f>recovered!BH78-recovered!BG78</f>
        <v>0</v>
      </c>
      <c r="BI78" s="5">
        <f>recovered!BI78-recovered!BH78</f>
        <v>0</v>
      </c>
      <c r="BJ78" s="5">
        <f>recovered!BJ78-recovered!BI78</f>
        <v>0</v>
      </c>
      <c r="BK78" s="5">
        <f>recovered!BK78-recovered!BJ78</f>
        <v>0</v>
      </c>
      <c r="BL78" s="5">
        <f>recovered!BL78-recovered!BK78</f>
        <v>2</v>
      </c>
      <c r="BM78" s="5">
        <f>recovered!BM78-recovered!BL78</f>
        <v>0</v>
      </c>
      <c r="BN78" s="5">
        <f>recovered!BN78-recovered!BM78</f>
        <v>0</v>
      </c>
      <c r="BO78" s="5">
        <f>recovered!BO78-recovered!BN78</f>
        <v>0</v>
      </c>
      <c r="BP78" s="5">
        <f>recovered!BP78-recovered!BO78</f>
        <v>0</v>
      </c>
      <c r="BQ78" s="5">
        <f>recovered!BQ78-recovered!BP78</f>
        <v>0</v>
      </c>
      <c r="BR78" s="5">
        <f>recovered!BR78-recovered!BQ78</f>
        <v>1</v>
      </c>
      <c r="BS78" s="5">
        <f>recovered!BS78-recovered!BR78</f>
        <v>0</v>
      </c>
      <c r="BT78" s="5">
        <f>recovered!BT78-recovered!BS78</f>
        <v>0</v>
      </c>
      <c r="BU78" s="5">
        <f>recovered!BU78-recovered!BT78</f>
        <v>1</v>
      </c>
      <c r="BV78" s="5">
        <f>recovered!BV78-recovered!BU78</f>
        <v>0</v>
      </c>
      <c r="BW78" s="5">
        <f>recovered!BW78-recovered!BV78</f>
        <v>0</v>
      </c>
      <c r="BX78" s="5">
        <f>recovered!BX78-recovered!BW78</f>
        <v>2</v>
      </c>
      <c r="BY78" s="5">
        <f>recovered!BY78-recovered!BX78</f>
        <v>5</v>
      </c>
    </row>
    <row r="79">
      <c r="B79" s="1" t="str">
        <f>recovered!B79</f>
        <v>Cote d'Ivoire</v>
      </c>
      <c r="C79" s="4">
        <f>recovered!C79</f>
        <v>7.54</v>
      </c>
      <c r="D79" s="4">
        <f>recovered!D79</f>
        <v>-5.5471</v>
      </c>
      <c r="E79" s="5">
        <f>recovered!E79</f>
        <v>0</v>
      </c>
      <c r="F79" s="5">
        <f>recovered!F79-recovered!E79</f>
        <v>0</v>
      </c>
      <c r="G79" s="5">
        <f>recovered!G79-recovered!F79</f>
        <v>0</v>
      </c>
      <c r="H79" s="5">
        <f>recovered!H79-recovered!G79</f>
        <v>0</v>
      </c>
      <c r="I79" s="5">
        <f>recovered!I79-recovered!H79</f>
        <v>0</v>
      </c>
      <c r="J79" s="5">
        <f>recovered!J79-recovered!I79</f>
        <v>0</v>
      </c>
      <c r="K79" s="5">
        <f>recovered!K79-recovered!J79</f>
        <v>0</v>
      </c>
      <c r="L79" s="5">
        <f>recovered!L79-recovered!K79</f>
        <v>0</v>
      </c>
      <c r="M79" s="5">
        <f>recovered!M79-recovered!L79</f>
        <v>0</v>
      </c>
      <c r="N79" s="5">
        <f>recovered!N79-recovered!M79</f>
        <v>0</v>
      </c>
      <c r="O79" s="5">
        <f>recovered!O79-recovered!N79</f>
        <v>0</v>
      </c>
      <c r="P79" s="5">
        <f>recovered!P79-recovered!O79</f>
        <v>0</v>
      </c>
      <c r="Q79" s="5">
        <f>recovered!Q79-recovered!P79</f>
        <v>0</v>
      </c>
      <c r="R79" s="5">
        <f>recovered!R79-recovered!Q79</f>
        <v>0</v>
      </c>
      <c r="S79" s="5">
        <f>recovered!S79-recovered!R79</f>
        <v>0</v>
      </c>
      <c r="T79" s="5">
        <f>recovered!T79-recovered!S79</f>
        <v>0</v>
      </c>
      <c r="U79" s="5">
        <f>recovered!U79-recovered!T79</f>
        <v>0</v>
      </c>
      <c r="V79" s="5">
        <f>recovered!V79-recovered!U79</f>
        <v>0</v>
      </c>
      <c r="W79" s="5">
        <f>recovered!W79-recovered!V79</f>
        <v>0</v>
      </c>
      <c r="X79" s="5">
        <f>recovered!X79-recovered!W79</f>
        <v>0</v>
      </c>
      <c r="Y79" s="5">
        <f>recovered!Y79-recovered!X79</f>
        <v>0</v>
      </c>
      <c r="Z79" s="5">
        <f>recovered!Z79-recovered!Y79</f>
        <v>0</v>
      </c>
      <c r="AA79" s="5">
        <f>recovered!AA79-recovered!Z79</f>
        <v>0</v>
      </c>
      <c r="AB79" s="5">
        <f>recovered!AB79-recovered!AA79</f>
        <v>0</v>
      </c>
      <c r="AC79" s="5">
        <f>recovered!AC79-recovered!AB79</f>
        <v>0</v>
      </c>
      <c r="AD79" s="5">
        <f>recovered!AD79-recovered!AC79</f>
        <v>0</v>
      </c>
      <c r="AE79" s="5">
        <f>recovered!AE79-recovered!AD79</f>
        <v>0</v>
      </c>
      <c r="AF79" s="5">
        <f>recovered!AF79-recovered!AE79</f>
        <v>0</v>
      </c>
      <c r="AG79" s="5">
        <f>recovered!AG79-recovered!AF79</f>
        <v>0</v>
      </c>
      <c r="AH79" s="5">
        <f>recovered!AH79-recovered!AG79</f>
        <v>0</v>
      </c>
      <c r="AI79" s="5">
        <f>recovered!AI79-recovered!AH79</f>
        <v>0</v>
      </c>
      <c r="AJ79" s="5">
        <f>recovered!AJ79-recovered!AI79</f>
        <v>0</v>
      </c>
      <c r="AK79" s="5">
        <f>recovered!AK79-recovered!AJ79</f>
        <v>0</v>
      </c>
      <c r="AL79" s="5">
        <f>recovered!AL79-recovered!AK79</f>
        <v>0</v>
      </c>
      <c r="AM79" s="5">
        <f>recovered!AM79-recovered!AL79</f>
        <v>0</v>
      </c>
      <c r="AN79" s="5">
        <f>recovered!AN79-recovered!AM79</f>
        <v>0</v>
      </c>
      <c r="AO79" s="5">
        <f>recovered!AO79-recovered!AN79</f>
        <v>0</v>
      </c>
      <c r="AP79" s="5">
        <f>recovered!AP79-recovered!AO79</f>
        <v>0</v>
      </c>
      <c r="AQ79" s="5">
        <f>recovered!AQ79-recovered!AP79</f>
        <v>0</v>
      </c>
      <c r="AR79" s="5">
        <f>recovered!AR79-recovered!AQ79</f>
        <v>0</v>
      </c>
      <c r="AS79" s="5">
        <f>recovered!AS79-recovered!AR79</f>
        <v>0</v>
      </c>
      <c r="AT79" s="5">
        <f>recovered!AT79-recovered!AS79</f>
        <v>0</v>
      </c>
      <c r="AU79" s="5">
        <f>recovered!AU79-recovered!AT79</f>
        <v>0</v>
      </c>
      <c r="AV79" s="5">
        <f>recovered!AV79-recovered!AU79</f>
        <v>0</v>
      </c>
      <c r="AW79" s="5">
        <f>recovered!AW79-recovered!AV79</f>
        <v>0</v>
      </c>
      <c r="AX79" s="5">
        <f>recovered!AX79-recovered!AW79</f>
        <v>0</v>
      </c>
      <c r="AY79" s="5">
        <f>recovered!AY79-recovered!AX79</f>
        <v>0</v>
      </c>
      <c r="AZ79" s="5">
        <f>recovered!AZ79-recovered!AY79</f>
        <v>0</v>
      </c>
      <c r="BA79" s="5">
        <f>recovered!BA79-recovered!AZ79</f>
        <v>0</v>
      </c>
      <c r="BB79" s="5">
        <f>recovered!BB79-recovered!BA79</f>
        <v>0</v>
      </c>
      <c r="BC79" s="5">
        <f>recovered!BC79-recovered!BB79</f>
        <v>0</v>
      </c>
      <c r="BD79" s="5">
        <f>recovered!BD79-recovered!BC79</f>
        <v>0</v>
      </c>
      <c r="BE79" s="5">
        <f>recovered!BE79-recovered!BD79</f>
        <v>0</v>
      </c>
      <c r="BF79" s="5">
        <f>recovered!BF79-recovered!BE79</f>
        <v>0</v>
      </c>
      <c r="BG79" s="5">
        <f>recovered!BG79-recovered!BF79</f>
        <v>0</v>
      </c>
      <c r="BH79" s="5">
        <f>recovered!BH79-recovered!BG79</f>
        <v>1</v>
      </c>
      <c r="BI79" s="5">
        <f>recovered!BI79-recovered!BH79</f>
        <v>0</v>
      </c>
      <c r="BJ79" s="5">
        <f>recovered!BJ79-recovered!BI79</f>
        <v>0</v>
      </c>
      <c r="BK79" s="5">
        <f>recovered!BK79-recovered!BJ79</f>
        <v>0</v>
      </c>
      <c r="BL79" s="5">
        <f>recovered!BL79-recovered!BK79</f>
        <v>0</v>
      </c>
      <c r="BM79" s="5">
        <f>recovered!BM79-recovered!BL79</f>
        <v>0</v>
      </c>
      <c r="BN79" s="5">
        <f>recovered!BN79-recovered!BM79</f>
        <v>0</v>
      </c>
      <c r="BO79" s="5">
        <f>recovered!BO79-recovered!BN79</f>
        <v>1</v>
      </c>
      <c r="BP79" s="5">
        <f>recovered!BP79-recovered!BO79</f>
        <v>1</v>
      </c>
      <c r="BQ79" s="5">
        <f>recovered!BQ79-recovered!BP79</f>
        <v>0</v>
      </c>
      <c r="BR79" s="5">
        <f>recovered!BR79-recovered!BQ79</f>
        <v>0</v>
      </c>
      <c r="BS79" s="5">
        <f>recovered!BS79-recovered!BR79</f>
        <v>0</v>
      </c>
      <c r="BT79" s="5">
        <f>recovered!BT79-recovered!BS79</f>
        <v>1</v>
      </c>
      <c r="BU79" s="5">
        <f>recovered!BU79-recovered!BT79</f>
        <v>2</v>
      </c>
      <c r="BV79" s="5">
        <f>recovered!BV79-recovered!BU79</f>
        <v>1</v>
      </c>
      <c r="BW79" s="5">
        <f>recovered!BW79-recovered!BV79</f>
        <v>2</v>
      </c>
      <c r="BX79" s="5">
        <f>recovered!BX79-recovered!BW79</f>
        <v>6</v>
      </c>
      <c r="BY79" s="5">
        <f>recovered!BY79-recovered!BX79</f>
        <v>4</v>
      </c>
    </row>
    <row r="80">
      <c r="B80" s="1" t="str">
        <f>recovered!B80</f>
        <v>Croatia</v>
      </c>
      <c r="C80" s="4">
        <f>recovered!C80</f>
        <v>45.1</v>
      </c>
      <c r="D80" s="4">
        <f>recovered!D80</f>
        <v>15.2</v>
      </c>
      <c r="E80" s="5">
        <f>recovered!E80</f>
        <v>0</v>
      </c>
      <c r="F80" s="5">
        <f>recovered!F80-recovered!E80</f>
        <v>0</v>
      </c>
      <c r="G80" s="5">
        <f>recovered!G80-recovered!F80</f>
        <v>0</v>
      </c>
      <c r="H80" s="5">
        <f>recovered!H80-recovered!G80</f>
        <v>0</v>
      </c>
      <c r="I80" s="5">
        <f>recovered!I80-recovered!H80</f>
        <v>0</v>
      </c>
      <c r="J80" s="5">
        <f>recovered!J80-recovered!I80</f>
        <v>0</v>
      </c>
      <c r="K80" s="5">
        <f>recovered!K80-recovered!J80</f>
        <v>0</v>
      </c>
      <c r="L80" s="5">
        <f>recovered!L80-recovered!K80</f>
        <v>0</v>
      </c>
      <c r="M80" s="5">
        <f>recovered!M80-recovered!L80</f>
        <v>0</v>
      </c>
      <c r="N80" s="5">
        <f>recovered!N80-recovered!M80</f>
        <v>0</v>
      </c>
      <c r="O80" s="5">
        <f>recovered!O80-recovered!N80</f>
        <v>0</v>
      </c>
      <c r="P80" s="5">
        <f>recovered!P80-recovered!O80</f>
        <v>0</v>
      </c>
      <c r="Q80" s="5">
        <f>recovered!Q80-recovered!P80</f>
        <v>0</v>
      </c>
      <c r="R80" s="5">
        <f>recovered!R80-recovered!Q80</f>
        <v>0</v>
      </c>
      <c r="S80" s="5">
        <f>recovered!S80-recovered!R80</f>
        <v>0</v>
      </c>
      <c r="T80" s="5">
        <f>recovered!T80-recovered!S80</f>
        <v>0</v>
      </c>
      <c r="U80" s="5">
        <f>recovered!U80-recovered!T80</f>
        <v>0</v>
      </c>
      <c r="V80" s="5">
        <f>recovered!V80-recovered!U80</f>
        <v>0</v>
      </c>
      <c r="W80" s="5">
        <f>recovered!W80-recovered!V80</f>
        <v>0</v>
      </c>
      <c r="X80" s="5">
        <f>recovered!X80-recovered!W80</f>
        <v>0</v>
      </c>
      <c r="Y80" s="5">
        <f>recovered!Y80-recovered!X80</f>
        <v>0</v>
      </c>
      <c r="Z80" s="5">
        <f>recovered!Z80-recovered!Y80</f>
        <v>0</v>
      </c>
      <c r="AA80" s="5">
        <f>recovered!AA80-recovered!Z80</f>
        <v>0</v>
      </c>
      <c r="AB80" s="5">
        <f>recovered!AB80-recovered!AA80</f>
        <v>0</v>
      </c>
      <c r="AC80" s="5">
        <f>recovered!AC80-recovered!AB80</f>
        <v>0</v>
      </c>
      <c r="AD80" s="5">
        <f>recovered!AD80-recovered!AC80</f>
        <v>0</v>
      </c>
      <c r="AE80" s="5">
        <f>recovered!AE80-recovered!AD80</f>
        <v>0</v>
      </c>
      <c r="AF80" s="5">
        <f>recovered!AF80-recovered!AE80</f>
        <v>0</v>
      </c>
      <c r="AG80" s="5">
        <f>recovered!AG80-recovered!AF80</f>
        <v>0</v>
      </c>
      <c r="AH80" s="5">
        <f>recovered!AH80-recovered!AG80</f>
        <v>0</v>
      </c>
      <c r="AI80" s="5">
        <f>recovered!AI80-recovered!AH80</f>
        <v>0</v>
      </c>
      <c r="AJ80" s="5">
        <f>recovered!AJ80-recovered!AI80</f>
        <v>0</v>
      </c>
      <c r="AK80" s="5">
        <f>recovered!AK80-recovered!AJ80</f>
        <v>0</v>
      </c>
      <c r="AL80" s="5">
        <f>recovered!AL80-recovered!AK80</f>
        <v>0</v>
      </c>
      <c r="AM80" s="5">
        <f>recovered!AM80-recovered!AL80</f>
        <v>0</v>
      </c>
      <c r="AN80" s="5">
        <f>recovered!AN80-recovered!AM80</f>
        <v>0</v>
      </c>
      <c r="AO80" s="5">
        <f>recovered!AO80-recovered!AN80</f>
        <v>0</v>
      </c>
      <c r="AP80" s="5">
        <f>recovered!AP80-recovered!AO80</f>
        <v>0</v>
      </c>
      <c r="AQ80" s="5">
        <f>recovered!AQ80-recovered!AP80</f>
        <v>0</v>
      </c>
      <c r="AR80" s="5">
        <f>recovered!AR80-recovered!AQ80</f>
        <v>0</v>
      </c>
      <c r="AS80" s="5">
        <f>recovered!AS80-recovered!AR80</f>
        <v>0</v>
      </c>
      <c r="AT80" s="5">
        <f>recovered!AT80-recovered!AS80</f>
        <v>0</v>
      </c>
      <c r="AU80" s="5">
        <f>recovered!AU80-recovered!AT80</f>
        <v>0</v>
      </c>
      <c r="AV80" s="5">
        <f>recovered!AV80-recovered!AU80</f>
        <v>0</v>
      </c>
      <c r="AW80" s="5">
        <f>recovered!AW80-recovered!AV80</f>
        <v>0</v>
      </c>
      <c r="AX80" s="5">
        <f>recovered!AX80-recovered!AW80</f>
        <v>0</v>
      </c>
      <c r="AY80" s="5">
        <f>recovered!AY80-recovered!AX80</f>
        <v>0</v>
      </c>
      <c r="AZ80" s="5">
        <f>recovered!AZ80-recovered!AY80</f>
        <v>0</v>
      </c>
      <c r="BA80" s="5">
        <f>recovered!BA80-recovered!AZ80</f>
        <v>0</v>
      </c>
      <c r="BB80" s="5">
        <f>recovered!BB80-recovered!BA80</f>
        <v>0</v>
      </c>
      <c r="BC80" s="5">
        <f>recovered!BC80-recovered!BB80</f>
        <v>0</v>
      </c>
      <c r="BD80" s="5">
        <f>recovered!BD80-recovered!BC80</f>
        <v>1</v>
      </c>
      <c r="BE80" s="5">
        <f>recovered!BE80-recovered!BD80</f>
        <v>0</v>
      </c>
      <c r="BF80" s="5">
        <f>recovered!BF80-recovered!BE80</f>
        <v>0</v>
      </c>
      <c r="BG80" s="5">
        <f>recovered!BG80-recovered!BF80</f>
        <v>1</v>
      </c>
      <c r="BH80" s="5">
        <f>recovered!BH80-recovered!BG80</f>
        <v>2</v>
      </c>
      <c r="BI80" s="5">
        <f>recovered!BI80-recovered!BH80</f>
        <v>0</v>
      </c>
      <c r="BJ80" s="5">
        <f>recovered!BJ80-recovered!BI80</f>
        <v>1</v>
      </c>
      <c r="BK80" s="5">
        <f>recovered!BK80-recovered!BJ80</f>
        <v>0</v>
      </c>
      <c r="BL80" s="5">
        <f>recovered!BL80-recovered!BK80</f>
        <v>0</v>
      </c>
      <c r="BM80" s="5">
        <f>recovered!BM80-recovered!BL80</f>
        <v>0</v>
      </c>
      <c r="BN80" s="5">
        <f>recovered!BN80-recovered!BM80</f>
        <v>0</v>
      </c>
      <c r="BO80" s="5">
        <f>recovered!BO80-recovered!BN80</f>
        <v>0</v>
      </c>
      <c r="BP80" s="5">
        <f>recovered!BP80-recovered!BO80</f>
        <v>17</v>
      </c>
      <c r="BQ80" s="5">
        <f>recovered!BQ80-recovered!BP80</f>
        <v>0</v>
      </c>
      <c r="BR80" s="5">
        <f>recovered!BR80-recovered!BQ80</f>
        <v>15</v>
      </c>
      <c r="BS80" s="5">
        <f>recovered!BS80-recovered!BR80</f>
        <v>8</v>
      </c>
      <c r="BT80" s="5">
        <f>recovered!BT80-recovered!BS80</f>
        <v>7</v>
      </c>
      <c r="BU80" s="5">
        <f>recovered!BU80-recovered!BT80</f>
        <v>15</v>
      </c>
      <c r="BV80" s="5">
        <f>recovered!BV80-recovered!BU80</f>
        <v>0</v>
      </c>
      <c r="BW80" s="5">
        <f>recovered!BW80-recovered!BV80</f>
        <v>6</v>
      </c>
      <c r="BX80" s="5">
        <f>recovered!BX80-recovered!BW80</f>
        <v>15</v>
      </c>
      <c r="BY80" s="5">
        <f>recovered!BY80-recovered!BX80</f>
        <v>4</v>
      </c>
    </row>
    <row r="81">
      <c r="B81" s="1" t="str">
        <f>recovered!B81</f>
        <v>Diamond Princess</v>
      </c>
      <c r="C81" s="4">
        <f>recovered!C81</f>
        <v>0</v>
      </c>
      <c r="D81" s="4">
        <f>recovered!D81</f>
        <v>0</v>
      </c>
      <c r="E81" s="5">
        <f>recovered!E81</f>
        <v>0</v>
      </c>
      <c r="F81" s="5">
        <f>recovered!F81-recovered!E81</f>
        <v>0</v>
      </c>
      <c r="G81" s="5">
        <f>recovered!G81-recovered!F81</f>
        <v>0</v>
      </c>
      <c r="H81" s="5">
        <f>recovered!H81-recovered!G81</f>
        <v>0</v>
      </c>
      <c r="I81" s="5">
        <f>recovered!I81-recovered!H81</f>
        <v>0</v>
      </c>
      <c r="J81" s="5">
        <f>recovered!J81-recovered!I81</f>
        <v>0</v>
      </c>
      <c r="K81" s="5">
        <f>recovered!K81-recovered!J81</f>
        <v>0</v>
      </c>
      <c r="L81" s="5">
        <f>recovered!L81-recovered!K81</f>
        <v>0</v>
      </c>
      <c r="M81" s="5">
        <f>recovered!M81-recovered!L81</f>
        <v>0</v>
      </c>
      <c r="N81" s="5">
        <f>recovered!N81-recovered!M81</f>
        <v>0</v>
      </c>
      <c r="O81" s="5">
        <f>recovered!O81-recovered!N81</f>
        <v>0</v>
      </c>
      <c r="P81" s="5">
        <f>recovered!P81-recovered!O81</f>
        <v>0</v>
      </c>
      <c r="Q81" s="5">
        <f>recovered!Q81-recovered!P81</f>
        <v>0</v>
      </c>
      <c r="R81" s="5">
        <f>recovered!R81-recovered!Q81</f>
        <v>0</v>
      </c>
      <c r="S81" s="5">
        <f>recovered!S81-recovered!R81</f>
        <v>0</v>
      </c>
      <c r="T81" s="5">
        <f>recovered!T81-recovered!S81</f>
        <v>0</v>
      </c>
      <c r="U81" s="5">
        <f>recovered!U81-recovered!T81</f>
        <v>0</v>
      </c>
      <c r="V81" s="5">
        <f>recovered!V81-recovered!U81</f>
        <v>0</v>
      </c>
      <c r="W81" s="5">
        <f>recovered!W81-recovered!V81</f>
        <v>0</v>
      </c>
      <c r="X81" s="5">
        <f>recovered!X81-recovered!W81</f>
        <v>0</v>
      </c>
      <c r="Y81" s="5">
        <f>recovered!Y81-recovered!X81</f>
        <v>0</v>
      </c>
      <c r="Z81" s="5">
        <f>recovered!Z81-recovered!Y81</f>
        <v>0</v>
      </c>
      <c r="AA81" s="5">
        <f>recovered!AA81-recovered!Z81</f>
        <v>0</v>
      </c>
      <c r="AB81" s="5">
        <f>recovered!AB81-recovered!AA81</f>
        <v>0</v>
      </c>
      <c r="AC81" s="5">
        <f>recovered!AC81-recovered!AB81</f>
        <v>0</v>
      </c>
      <c r="AD81" s="5">
        <f>recovered!AD81-recovered!AC81</f>
        <v>0</v>
      </c>
      <c r="AE81" s="5">
        <f>recovered!AE81-recovered!AD81</f>
        <v>0</v>
      </c>
      <c r="AF81" s="5">
        <f>recovered!AF81-recovered!AE81</f>
        <v>0</v>
      </c>
      <c r="AG81" s="5">
        <f>recovered!AG81-recovered!AF81</f>
        <v>1</v>
      </c>
      <c r="AH81" s="5">
        <f>recovered!AH81-recovered!AG81</f>
        <v>0</v>
      </c>
      <c r="AI81" s="5">
        <f>recovered!AI81-recovered!AH81</f>
        <v>0</v>
      </c>
      <c r="AJ81" s="5">
        <f>recovered!AJ81-recovered!AI81</f>
        <v>0</v>
      </c>
      <c r="AK81" s="5">
        <f>recovered!AK81-recovered!AJ81</f>
        <v>-1</v>
      </c>
      <c r="AL81" s="5">
        <f>recovered!AL81-recovered!AK81</f>
        <v>0</v>
      </c>
      <c r="AM81" s="5">
        <f>recovered!AM81-recovered!AL81</f>
        <v>0</v>
      </c>
      <c r="AN81" s="5">
        <f>recovered!AN81-recovered!AM81</f>
        <v>10</v>
      </c>
      <c r="AO81" s="5">
        <f>recovered!AO81-recovered!AN81</f>
        <v>0</v>
      </c>
      <c r="AP81" s="5">
        <f>recovered!AP81-recovered!AO81</f>
        <v>0</v>
      </c>
      <c r="AQ81" s="5">
        <f>recovered!AQ81-recovered!AP81</f>
        <v>0</v>
      </c>
      <c r="AR81" s="5">
        <f>recovered!AR81-recovered!AQ81</f>
        <v>0</v>
      </c>
      <c r="AS81" s="5">
        <f>recovered!AS81-recovered!AR81</f>
        <v>0</v>
      </c>
      <c r="AT81" s="5">
        <f>recovered!AT81-recovered!AS81</f>
        <v>0</v>
      </c>
      <c r="AU81" s="5">
        <f>recovered!AU81-recovered!AT81</f>
        <v>0</v>
      </c>
      <c r="AV81" s="5">
        <f>recovered!AV81-recovered!AU81</f>
        <v>0</v>
      </c>
      <c r="AW81" s="5">
        <f>recovered!AW81-recovered!AV81</f>
        <v>30</v>
      </c>
      <c r="AX81" s="5">
        <f>recovered!AX81-recovered!AW81</f>
        <v>0</v>
      </c>
      <c r="AY81" s="5">
        <f>recovered!AY81-recovered!AX81</f>
        <v>0</v>
      </c>
      <c r="AZ81" s="5">
        <f>recovered!AZ81-recovered!AY81</f>
        <v>0</v>
      </c>
      <c r="BA81" s="5">
        <f>recovered!BA81-recovered!AZ81</f>
        <v>0</v>
      </c>
      <c r="BB81" s="5">
        <f>recovered!BB81-recovered!BA81</f>
        <v>285</v>
      </c>
      <c r="BC81" s="5">
        <f>recovered!BC81-recovered!BB81</f>
        <v>0</v>
      </c>
      <c r="BD81" s="5">
        <f>recovered!BD81-recovered!BC81</f>
        <v>0</v>
      </c>
      <c r="BE81" s="5">
        <f>recovered!BE81-recovered!BD81</f>
        <v>0</v>
      </c>
      <c r="BF81" s="5">
        <f>recovered!BF81-recovered!BE81</f>
        <v>0</v>
      </c>
      <c r="BG81" s="5">
        <f>recovered!BG81-recovered!BF81</f>
        <v>0</v>
      </c>
      <c r="BH81" s="5">
        <f>recovered!BH81-recovered!BG81</f>
        <v>0</v>
      </c>
      <c r="BI81" s="5">
        <f>recovered!BI81-recovered!BH81</f>
        <v>0</v>
      </c>
      <c r="BJ81" s="5">
        <f>recovered!BJ81-recovered!BI81</f>
        <v>0</v>
      </c>
      <c r="BK81" s="5">
        <f>recovered!BK81-recovered!BJ81</f>
        <v>0</v>
      </c>
      <c r="BL81" s="5">
        <f>recovered!BL81-recovered!BK81</f>
        <v>0</v>
      </c>
      <c r="BM81" s="5">
        <f>recovered!BM81-recovered!BL81</f>
        <v>0</v>
      </c>
      <c r="BN81" s="5">
        <f>recovered!BN81-recovered!BM81</f>
        <v>0</v>
      </c>
      <c r="BO81" s="5">
        <f>recovered!BO81-recovered!BN81</f>
        <v>0</v>
      </c>
      <c r="BP81" s="5">
        <f>recovered!BP81-recovered!BO81</f>
        <v>262</v>
      </c>
      <c r="BQ81" s="5">
        <f>recovered!BQ81-recovered!BP81</f>
        <v>10</v>
      </c>
      <c r="BR81" s="5">
        <f>recovered!BR81-recovered!BQ81</f>
        <v>0</v>
      </c>
      <c r="BS81" s="5">
        <f>recovered!BS81-recovered!BR81</f>
        <v>0</v>
      </c>
      <c r="BT81" s="5">
        <f>recovered!BT81-recovered!BS81</f>
        <v>6</v>
      </c>
      <c r="BU81" s="5">
        <f>recovered!BU81-recovered!BT81</f>
        <v>0</v>
      </c>
      <c r="BV81" s="5">
        <f>recovered!BV81-recovered!BU81</f>
        <v>0</v>
      </c>
      <c r="BW81" s="5">
        <f>recovered!BW81-recovered!BV81</f>
        <v>0</v>
      </c>
      <c r="BX81" s="5">
        <f>recovered!BX81-recovered!BW81</f>
        <v>16</v>
      </c>
      <c r="BY81" s="5">
        <f>recovered!BY81-recovered!BX81</f>
        <v>0</v>
      </c>
    </row>
    <row r="82">
      <c r="B82" s="1" t="str">
        <f>recovered!B82</f>
        <v>Cuba</v>
      </c>
      <c r="C82" s="4">
        <f>recovered!C82</f>
        <v>22</v>
      </c>
      <c r="D82" s="4">
        <f>recovered!D82</f>
        <v>-80</v>
      </c>
      <c r="E82" s="5">
        <f>recovered!E82</f>
        <v>0</v>
      </c>
      <c r="F82" s="5">
        <f>recovered!F82-recovered!E82</f>
        <v>0</v>
      </c>
      <c r="G82" s="5">
        <f>recovered!G82-recovered!F82</f>
        <v>0</v>
      </c>
      <c r="H82" s="5">
        <f>recovered!H82-recovered!G82</f>
        <v>0</v>
      </c>
      <c r="I82" s="5">
        <f>recovered!I82-recovered!H82</f>
        <v>0</v>
      </c>
      <c r="J82" s="5">
        <f>recovered!J82-recovered!I82</f>
        <v>0</v>
      </c>
      <c r="K82" s="5">
        <f>recovered!K82-recovered!J82</f>
        <v>0</v>
      </c>
      <c r="L82" s="5">
        <f>recovered!L82-recovered!K82</f>
        <v>0</v>
      </c>
      <c r="M82" s="5">
        <f>recovered!M82-recovered!L82</f>
        <v>0</v>
      </c>
      <c r="N82" s="5">
        <f>recovered!N82-recovered!M82</f>
        <v>0</v>
      </c>
      <c r="O82" s="5">
        <f>recovered!O82-recovered!N82</f>
        <v>0</v>
      </c>
      <c r="P82" s="5">
        <f>recovered!P82-recovered!O82</f>
        <v>0</v>
      </c>
      <c r="Q82" s="5">
        <f>recovered!Q82-recovered!P82</f>
        <v>0</v>
      </c>
      <c r="R82" s="5">
        <f>recovered!R82-recovered!Q82</f>
        <v>0</v>
      </c>
      <c r="S82" s="5">
        <f>recovered!S82-recovered!R82</f>
        <v>0</v>
      </c>
      <c r="T82" s="5">
        <f>recovered!T82-recovered!S82</f>
        <v>0</v>
      </c>
      <c r="U82" s="5">
        <f>recovered!U82-recovered!T82</f>
        <v>0</v>
      </c>
      <c r="V82" s="5">
        <f>recovered!V82-recovered!U82</f>
        <v>0</v>
      </c>
      <c r="W82" s="5">
        <f>recovered!W82-recovered!V82</f>
        <v>0</v>
      </c>
      <c r="X82" s="5">
        <f>recovered!X82-recovered!W82</f>
        <v>0</v>
      </c>
      <c r="Y82" s="5">
        <f>recovered!Y82-recovered!X82</f>
        <v>0</v>
      </c>
      <c r="Z82" s="5">
        <f>recovered!Z82-recovered!Y82</f>
        <v>0</v>
      </c>
      <c r="AA82" s="5">
        <f>recovered!AA82-recovered!Z82</f>
        <v>0</v>
      </c>
      <c r="AB82" s="5">
        <f>recovered!AB82-recovered!AA82</f>
        <v>0</v>
      </c>
      <c r="AC82" s="5">
        <f>recovered!AC82-recovered!AB82</f>
        <v>0</v>
      </c>
      <c r="AD82" s="5">
        <f>recovered!AD82-recovered!AC82</f>
        <v>0</v>
      </c>
      <c r="AE82" s="5">
        <f>recovered!AE82-recovered!AD82</f>
        <v>0</v>
      </c>
      <c r="AF82" s="5">
        <f>recovered!AF82-recovered!AE82</f>
        <v>0</v>
      </c>
      <c r="AG82" s="5">
        <f>recovered!AG82-recovered!AF82</f>
        <v>0</v>
      </c>
      <c r="AH82" s="5">
        <f>recovered!AH82-recovered!AG82</f>
        <v>0</v>
      </c>
      <c r="AI82" s="5">
        <f>recovered!AI82-recovered!AH82</f>
        <v>0</v>
      </c>
      <c r="AJ82" s="5">
        <f>recovered!AJ82-recovered!AI82</f>
        <v>0</v>
      </c>
      <c r="AK82" s="5">
        <f>recovered!AK82-recovered!AJ82</f>
        <v>0</v>
      </c>
      <c r="AL82" s="5">
        <f>recovered!AL82-recovered!AK82</f>
        <v>0</v>
      </c>
      <c r="AM82" s="5">
        <f>recovered!AM82-recovered!AL82</f>
        <v>0</v>
      </c>
      <c r="AN82" s="5">
        <f>recovered!AN82-recovered!AM82</f>
        <v>0</v>
      </c>
      <c r="AO82" s="5">
        <f>recovered!AO82-recovered!AN82</f>
        <v>0</v>
      </c>
      <c r="AP82" s="5">
        <f>recovered!AP82-recovered!AO82</f>
        <v>0</v>
      </c>
      <c r="AQ82" s="5">
        <f>recovered!AQ82-recovered!AP82</f>
        <v>0</v>
      </c>
      <c r="AR82" s="5">
        <f>recovered!AR82-recovered!AQ82</f>
        <v>0</v>
      </c>
      <c r="AS82" s="5">
        <f>recovered!AS82-recovered!AR82</f>
        <v>0</v>
      </c>
      <c r="AT82" s="5">
        <f>recovered!AT82-recovered!AS82</f>
        <v>0</v>
      </c>
      <c r="AU82" s="5">
        <f>recovered!AU82-recovered!AT82</f>
        <v>0</v>
      </c>
      <c r="AV82" s="5">
        <f>recovered!AV82-recovered!AU82</f>
        <v>0</v>
      </c>
      <c r="AW82" s="5">
        <f>recovered!AW82-recovered!AV82</f>
        <v>0</v>
      </c>
      <c r="AX82" s="5">
        <f>recovered!AX82-recovered!AW82</f>
        <v>0</v>
      </c>
      <c r="AY82" s="5">
        <f>recovered!AY82-recovered!AX82</f>
        <v>0</v>
      </c>
      <c r="AZ82" s="5">
        <f>recovered!AZ82-recovered!AY82</f>
        <v>0</v>
      </c>
      <c r="BA82" s="5">
        <f>recovered!BA82-recovered!AZ82</f>
        <v>0</v>
      </c>
      <c r="BB82" s="5">
        <f>recovered!BB82-recovered!BA82</f>
        <v>0</v>
      </c>
      <c r="BC82" s="5">
        <f>recovered!BC82-recovered!BB82</f>
        <v>0</v>
      </c>
      <c r="BD82" s="5">
        <f>recovered!BD82-recovered!BC82</f>
        <v>0</v>
      </c>
      <c r="BE82" s="5">
        <f>recovered!BE82-recovered!BD82</f>
        <v>0</v>
      </c>
      <c r="BF82" s="5">
        <f>recovered!BF82-recovered!BE82</f>
        <v>0</v>
      </c>
      <c r="BG82" s="5">
        <f>recovered!BG82-recovered!BF82</f>
        <v>0</v>
      </c>
      <c r="BH82" s="5">
        <f>recovered!BH82-recovered!BG82</f>
        <v>0</v>
      </c>
      <c r="BI82" s="5">
        <f>recovered!BI82-recovered!BH82</f>
        <v>0</v>
      </c>
      <c r="BJ82" s="5">
        <f>recovered!BJ82-recovered!BI82</f>
        <v>0</v>
      </c>
      <c r="BK82" s="5">
        <f>recovered!BK82-recovered!BJ82</f>
        <v>0</v>
      </c>
      <c r="BL82" s="5">
        <f>recovered!BL82-recovered!BK82</f>
        <v>0</v>
      </c>
      <c r="BM82" s="5">
        <f>recovered!BM82-recovered!BL82</f>
        <v>0</v>
      </c>
      <c r="BN82" s="5">
        <f>recovered!BN82-recovered!BM82</f>
        <v>0</v>
      </c>
      <c r="BO82" s="5">
        <f>recovered!BO82-recovered!BN82</f>
        <v>1</v>
      </c>
      <c r="BP82" s="5">
        <f>recovered!BP82-recovered!BO82</f>
        <v>0</v>
      </c>
      <c r="BQ82" s="5">
        <f>recovered!BQ82-recovered!BP82</f>
        <v>0</v>
      </c>
      <c r="BR82" s="5">
        <f>recovered!BR82-recovered!BQ82</f>
        <v>3</v>
      </c>
      <c r="BS82" s="5">
        <f>recovered!BS82-recovered!BR82</f>
        <v>0</v>
      </c>
      <c r="BT82" s="5">
        <f>recovered!BT82-recovered!BS82</f>
        <v>0</v>
      </c>
      <c r="BU82" s="5">
        <f>recovered!BU82-recovered!BT82</f>
        <v>0</v>
      </c>
      <c r="BV82" s="5">
        <f>recovered!BV82-recovered!BU82</f>
        <v>4</v>
      </c>
      <c r="BW82" s="5">
        <f>recovered!BW82-recovered!BV82</f>
        <v>4</v>
      </c>
      <c r="BX82" s="5">
        <f>recovered!BX82-recovered!BW82</f>
        <v>1</v>
      </c>
      <c r="BY82" s="5">
        <f>recovered!BY82-recovered!BX82</f>
        <v>2</v>
      </c>
    </row>
    <row r="83">
      <c r="B83" s="1" t="str">
        <f>recovered!B83</f>
        <v>Cyprus</v>
      </c>
      <c r="C83" s="4">
        <f>recovered!C83</f>
        <v>35.1264</v>
      </c>
      <c r="D83" s="4">
        <f>recovered!D83</f>
        <v>33.4299</v>
      </c>
      <c r="E83" s="5">
        <f>recovered!E83</f>
        <v>0</v>
      </c>
      <c r="F83" s="5">
        <f>recovered!F83-recovered!E83</f>
        <v>0</v>
      </c>
      <c r="G83" s="5">
        <f>recovered!G83-recovered!F83</f>
        <v>0</v>
      </c>
      <c r="H83" s="5">
        <f>recovered!H83-recovered!G83</f>
        <v>0</v>
      </c>
      <c r="I83" s="5">
        <f>recovered!I83-recovered!H83</f>
        <v>0</v>
      </c>
      <c r="J83" s="5">
        <f>recovered!J83-recovered!I83</f>
        <v>0</v>
      </c>
      <c r="K83" s="5">
        <f>recovered!K83-recovered!J83</f>
        <v>0</v>
      </c>
      <c r="L83" s="5">
        <f>recovered!L83-recovered!K83</f>
        <v>0</v>
      </c>
      <c r="M83" s="5">
        <f>recovered!M83-recovered!L83</f>
        <v>0</v>
      </c>
      <c r="N83" s="5">
        <f>recovered!N83-recovered!M83</f>
        <v>0</v>
      </c>
      <c r="O83" s="5">
        <f>recovered!O83-recovered!N83</f>
        <v>0</v>
      </c>
      <c r="P83" s="5">
        <f>recovered!P83-recovered!O83</f>
        <v>0</v>
      </c>
      <c r="Q83" s="5">
        <f>recovered!Q83-recovered!P83</f>
        <v>0</v>
      </c>
      <c r="R83" s="5">
        <f>recovered!R83-recovered!Q83</f>
        <v>0</v>
      </c>
      <c r="S83" s="5">
        <f>recovered!S83-recovered!R83</f>
        <v>0</v>
      </c>
      <c r="T83" s="5">
        <f>recovered!T83-recovered!S83</f>
        <v>0</v>
      </c>
      <c r="U83" s="5">
        <f>recovered!U83-recovered!T83</f>
        <v>0</v>
      </c>
      <c r="V83" s="5">
        <f>recovered!V83-recovered!U83</f>
        <v>0</v>
      </c>
      <c r="W83" s="5">
        <f>recovered!W83-recovered!V83</f>
        <v>0</v>
      </c>
      <c r="X83" s="5">
        <f>recovered!X83-recovered!W83</f>
        <v>0</v>
      </c>
      <c r="Y83" s="5">
        <f>recovered!Y83-recovered!X83</f>
        <v>0</v>
      </c>
      <c r="Z83" s="5">
        <f>recovered!Z83-recovered!Y83</f>
        <v>0</v>
      </c>
      <c r="AA83" s="5">
        <f>recovered!AA83-recovered!Z83</f>
        <v>0</v>
      </c>
      <c r="AB83" s="5">
        <f>recovered!AB83-recovered!AA83</f>
        <v>0</v>
      </c>
      <c r="AC83" s="5">
        <f>recovered!AC83-recovered!AB83</f>
        <v>0</v>
      </c>
      <c r="AD83" s="5">
        <f>recovered!AD83-recovered!AC83</f>
        <v>0</v>
      </c>
      <c r="AE83" s="5">
        <f>recovered!AE83-recovered!AD83</f>
        <v>0</v>
      </c>
      <c r="AF83" s="5">
        <f>recovered!AF83-recovered!AE83</f>
        <v>0</v>
      </c>
      <c r="AG83" s="5">
        <f>recovered!AG83-recovered!AF83</f>
        <v>0</v>
      </c>
      <c r="AH83" s="5">
        <f>recovered!AH83-recovered!AG83</f>
        <v>0</v>
      </c>
      <c r="AI83" s="5">
        <f>recovered!AI83-recovered!AH83</f>
        <v>0</v>
      </c>
      <c r="AJ83" s="5">
        <f>recovered!AJ83-recovered!AI83</f>
        <v>0</v>
      </c>
      <c r="AK83" s="5">
        <f>recovered!AK83-recovered!AJ83</f>
        <v>0</v>
      </c>
      <c r="AL83" s="5">
        <f>recovered!AL83-recovered!AK83</f>
        <v>0</v>
      </c>
      <c r="AM83" s="5">
        <f>recovered!AM83-recovered!AL83</f>
        <v>0</v>
      </c>
      <c r="AN83" s="5">
        <f>recovered!AN83-recovered!AM83</f>
        <v>0</v>
      </c>
      <c r="AO83" s="5">
        <f>recovered!AO83-recovered!AN83</f>
        <v>0</v>
      </c>
      <c r="AP83" s="5">
        <f>recovered!AP83-recovered!AO83</f>
        <v>0</v>
      </c>
      <c r="AQ83" s="5">
        <f>recovered!AQ83-recovered!AP83</f>
        <v>0</v>
      </c>
      <c r="AR83" s="5">
        <f>recovered!AR83-recovered!AQ83</f>
        <v>0</v>
      </c>
      <c r="AS83" s="5">
        <f>recovered!AS83-recovered!AR83</f>
        <v>0</v>
      </c>
      <c r="AT83" s="5">
        <f>recovered!AT83-recovered!AS83</f>
        <v>0</v>
      </c>
      <c r="AU83" s="5">
        <f>recovered!AU83-recovered!AT83</f>
        <v>0</v>
      </c>
      <c r="AV83" s="5">
        <f>recovered!AV83-recovered!AU83</f>
        <v>0</v>
      </c>
      <c r="AW83" s="5">
        <f>recovered!AW83-recovered!AV83</f>
        <v>0</v>
      </c>
      <c r="AX83" s="5">
        <f>recovered!AX83-recovered!AW83</f>
        <v>0</v>
      </c>
      <c r="AY83" s="5">
        <f>recovered!AY83-recovered!AX83</f>
        <v>0</v>
      </c>
      <c r="AZ83" s="5">
        <f>recovered!AZ83-recovered!AY83</f>
        <v>0</v>
      </c>
      <c r="BA83" s="5">
        <f>recovered!BA83-recovered!AZ83</f>
        <v>0</v>
      </c>
      <c r="BB83" s="5">
        <f>recovered!BB83-recovered!BA83</f>
        <v>0</v>
      </c>
      <c r="BC83" s="5">
        <f>recovered!BC83-recovered!BB83</f>
        <v>0</v>
      </c>
      <c r="BD83" s="5">
        <f>recovered!BD83-recovered!BC83</f>
        <v>0</v>
      </c>
      <c r="BE83" s="5">
        <f>recovered!BE83-recovered!BD83</f>
        <v>0</v>
      </c>
      <c r="BF83" s="5">
        <f>recovered!BF83-recovered!BE83</f>
        <v>0</v>
      </c>
      <c r="BG83" s="5">
        <f>recovered!BG83-recovered!BF83</f>
        <v>0</v>
      </c>
      <c r="BH83" s="5">
        <f>recovered!BH83-recovered!BG83</f>
        <v>0</v>
      </c>
      <c r="BI83" s="5">
        <f>recovered!BI83-recovered!BH83</f>
        <v>0</v>
      </c>
      <c r="BJ83" s="5">
        <f>recovered!BJ83-recovered!BI83</f>
        <v>0</v>
      </c>
      <c r="BK83" s="5">
        <f>recovered!BK83-recovered!BJ83</f>
        <v>0</v>
      </c>
      <c r="BL83" s="5">
        <f>recovered!BL83-recovered!BK83</f>
        <v>0</v>
      </c>
      <c r="BM83" s="5">
        <f>recovered!BM83-recovered!BL83</f>
        <v>3</v>
      </c>
      <c r="BN83" s="5">
        <f>recovered!BN83-recovered!BM83</f>
        <v>0</v>
      </c>
      <c r="BO83" s="5">
        <f>recovered!BO83-recovered!BN83</f>
        <v>0</v>
      </c>
      <c r="BP83" s="5">
        <f>recovered!BP83-recovered!BO83</f>
        <v>0</v>
      </c>
      <c r="BQ83" s="5">
        <f>recovered!BQ83-recovered!BP83</f>
        <v>1</v>
      </c>
      <c r="BR83" s="5">
        <f>recovered!BR83-recovered!BQ83</f>
        <v>11</v>
      </c>
      <c r="BS83" s="5">
        <f>recovered!BS83-recovered!BR83</f>
        <v>0</v>
      </c>
      <c r="BT83" s="5">
        <f>recovered!BT83-recovered!BS83</f>
        <v>0</v>
      </c>
      <c r="BU83" s="5">
        <f>recovered!BU83-recovered!BT83</f>
        <v>7</v>
      </c>
      <c r="BV83" s="5">
        <f>recovered!BV83-recovered!BU83</f>
        <v>1</v>
      </c>
      <c r="BW83" s="5">
        <f>recovered!BW83-recovered!BV83</f>
        <v>5</v>
      </c>
      <c r="BX83" s="5">
        <f>recovered!BX83-recovered!BW83</f>
        <v>0</v>
      </c>
      <c r="BY83" s="5">
        <f>recovered!BY83-recovered!BX83</f>
        <v>0</v>
      </c>
    </row>
    <row r="84">
      <c r="B84" s="1" t="str">
        <f>recovered!B84</f>
        <v>Czechia</v>
      </c>
      <c r="C84" s="4">
        <f>recovered!C84</f>
        <v>49.8175</v>
      </c>
      <c r="D84" s="4">
        <f>recovered!D84</f>
        <v>15.473</v>
      </c>
      <c r="E84" s="5">
        <f>recovered!E84</f>
        <v>0</v>
      </c>
      <c r="F84" s="5">
        <f>recovered!F84-recovered!E84</f>
        <v>0</v>
      </c>
      <c r="G84" s="5">
        <f>recovered!G84-recovered!F84</f>
        <v>0</v>
      </c>
      <c r="H84" s="5">
        <f>recovered!H84-recovered!G84</f>
        <v>0</v>
      </c>
      <c r="I84" s="5">
        <f>recovered!I84-recovered!H84</f>
        <v>0</v>
      </c>
      <c r="J84" s="5">
        <f>recovered!J84-recovered!I84</f>
        <v>0</v>
      </c>
      <c r="K84" s="5">
        <f>recovered!K84-recovered!J84</f>
        <v>0</v>
      </c>
      <c r="L84" s="5">
        <f>recovered!L84-recovered!K84</f>
        <v>0</v>
      </c>
      <c r="M84" s="5">
        <f>recovered!M84-recovered!L84</f>
        <v>0</v>
      </c>
      <c r="N84" s="5">
        <f>recovered!N84-recovered!M84</f>
        <v>0</v>
      </c>
      <c r="O84" s="5">
        <f>recovered!O84-recovered!N84</f>
        <v>0</v>
      </c>
      <c r="P84" s="5">
        <f>recovered!P84-recovered!O84</f>
        <v>0</v>
      </c>
      <c r="Q84" s="5">
        <f>recovered!Q84-recovered!P84</f>
        <v>0</v>
      </c>
      <c r="R84" s="5">
        <f>recovered!R84-recovered!Q84</f>
        <v>0</v>
      </c>
      <c r="S84" s="5">
        <f>recovered!S84-recovered!R84</f>
        <v>0</v>
      </c>
      <c r="T84" s="5">
        <f>recovered!T84-recovered!S84</f>
        <v>0</v>
      </c>
      <c r="U84" s="5">
        <f>recovered!U84-recovered!T84</f>
        <v>0</v>
      </c>
      <c r="V84" s="5">
        <f>recovered!V84-recovered!U84</f>
        <v>0</v>
      </c>
      <c r="W84" s="5">
        <f>recovered!W84-recovered!V84</f>
        <v>0</v>
      </c>
      <c r="X84" s="5">
        <f>recovered!X84-recovered!W84</f>
        <v>0</v>
      </c>
      <c r="Y84" s="5">
        <f>recovered!Y84-recovered!X84</f>
        <v>0</v>
      </c>
      <c r="Z84" s="5">
        <f>recovered!Z84-recovered!Y84</f>
        <v>0</v>
      </c>
      <c r="AA84" s="5">
        <f>recovered!AA84-recovered!Z84</f>
        <v>0</v>
      </c>
      <c r="AB84" s="5">
        <f>recovered!AB84-recovered!AA84</f>
        <v>0</v>
      </c>
      <c r="AC84" s="5">
        <f>recovered!AC84-recovered!AB84</f>
        <v>0</v>
      </c>
      <c r="AD84" s="5">
        <f>recovered!AD84-recovered!AC84</f>
        <v>0</v>
      </c>
      <c r="AE84" s="5">
        <f>recovered!AE84-recovered!AD84</f>
        <v>0</v>
      </c>
      <c r="AF84" s="5">
        <f>recovered!AF84-recovered!AE84</f>
        <v>0</v>
      </c>
      <c r="AG84" s="5">
        <f>recovered!AG84-recovered!AF84</f>
        <v>0</v>
      </c>
      <c r="AH84" s="5">
        <f>recovered!AH84-recovered!AG84</f>
        <v>0</v>
      </c>
      <c r="AI84" s="5">
        <f>recovered!AI84-recovered!AH84</f>
        <v>0</v>
      </c>
      <c r="AJ84" s="5">
        <f>recovered!AJ84-recovered!AI84</f>
        <v>0</v>
      </c>
      <c r="AK84" s="5">
        <f>recovered!AK84-recovered!AJ84</f>
        <v>0</v>
      </c>
      <c r="AL84" s="5">
        <f>recovered!AL84-recovered!AK84</f>
        <v>0</v>
      </c>
      <c r="AM84" s="5">
        <f>recovered!AM84-recovered!AL84</f>
        <v>0</v>
      </c>
      <c r="AN84" s="5">
        <f>recovered!AN84-recovered!AM84</f>
        <v>0</v>
      </c>
      <c r="AO84" s="5">
        <f>recovered!AO84-recovered!AN84</f>
        <v>0</v>
      </c>
      <c r="AP84" s="5">
        <f>recovered!AP84-recovered!AO84</f>
        <v>0</v>
      </c>
      <c r="AQ84" s="5">
        <f>recovered!AQ84-recovered!AP84</f>
        <v>0</v>
      </c>
      <c r="AR84" s="5">
        <f>recovered!AR84-recovered!AQ84</f>
        <v>0</v>
      </c>
      <c r="AS84" s="5">
        <f>recovered!AS84-recovered!AR84</f>
        <v>0</v>
      </c>
      <c r="AT84" s="5">
        <f>recovered!AT84-recovered!AS84</f>
        <v>0</v>
      </c>
      <c r="AU84" s="5">
        <f>recovered!AU84-recovered!AT84</f>
        <v>0</v>
      </c>
      <c r="AV84" s="5">
        <f>recovered!AV84-recovered!AU84</f>
        <v>0</v>
      </c>
      <c r="AW84" s="5">
        <f>recovered!AW84-recovered!AV84</f>
        <v>0</v>
      </c>
      <c r="AX84" s="5">
        <f>recovered!AX84-recovered!AW84</f>
        <v>0</v>
      </c>
      <c r="AY84" s="5">
        <f>recovered!AY84-recovered!AX84</f>
        <v>0</v>
      </c>
      <c r="AZ84" s="5">
        <f>recovered!AZ84-recovered!AY84</f>
        <v>0</v>
      </c>
      <c r="BA84" s="5">
        <f>recovered!BA84-recovered!AZ84</f>
        <v>0</v>
      </c>
      <c r="BB84" s="5">
        <f>recovered!BB84-recovered!BA84</f>
        <v>0</v>
      </c>
      <c r="BC84" s="5">
        <f>recovered!BC84-recovered!BB84</f>
        <v>0</v>
      </c>
      <c r="BD84" s="5">
        <f>recovered!BD84-recovered!BC84</f>
        <v>0</v>
      </c>
      <c r="BE84" s="5">
        <f>recovered!BE84-recovered!BD84</f>
        <v>0</v>
      </c>
      <c r="BF84" s="5">
        <f>recovered!BF84-recovered!BE84</f>
        <v>0</v>
      </c>
      <c r="BG84" s="5">
        <f>recovered!BG84-recovered!BF84</f>
        <v>3</v>
      </c>
      <c r="BH84" s="5">
        <f>recovered!BH84-recovered!BG84</f>
        <v>0</v>
      </c>
      <c r="BI84" s="5">
        <f>recovered!BI84-recovered!BH84</f>
        <v>0</v>
      </c>
      <c r="BJ84" s="5">
        <f>recovered!BJ84-recovered!BI84</f>
        <v>0</v>
      </c>
      <c r="BK84" s="5">
        <f>recovered!BK84-recovered!BJ84</f>
        <v>1</v>
      </c>
      <c r="BL84" s="5">
        <f>recovered!BL84-recovered!BK84</f>
        <v>2</v>
      </c>
      <c r="BM84" s="5">
        <f>recovered!BM84-recovered!BL84</f>
        <v>0</v>
      </c>
      <c r="BN84" s="5">
        <f>recovered!BN84-recovered!BM84</f>
        <v>0</v>
      </c>
      <c r="BO84" s="5">
        <f>recovered!BO84-recovered!BN84</f>
        <v>4</v>
      </c>
      <c r="BP84" s="5">
        <f>recovered!BP84-recovered!BO84</f>
        <v>0</v>
      </c>
      <c r="BQ84" s="5">
        <f>recovered!BQ84-recovered!BP84</f>
        <v>0</v>
      </c>
      <c r="BR84" s="5">
        <f>recovered!BR84-recovered!BQ84</f>
        <v>1</v>
      </c>
      <c r="BS84" s="5">
        <f>recovered!BS84-recovered!BR84</f>
        <v>0</v>
      </c>
      <c r="BT84" s="5">
        <f>recovered!BT84-recovered!BS84</f>
        <v>0</v>
      </c>
      <c r="BU84" s="5">
        <f>recovered!BU84-recovered!BT84</f>
        <v>14</v>
      </c>
      <c r="BV84" s="5">
        <f>recovered!BV84-recovered!BU84</f>
        <v>20</v>
      </c>
      <c r="BW84" s="5">
        <f>recovered!BW84-recovered!BV84</f>
        <v>16</v>
      </c>
      <c r="BX84" s="5">
        <f>recovered!BX84-recovered!BW84</f>
        <v>6</v>
      </c>
      <c r="BY84" s="5">
        <f>recovered!BY84-recovered!BX84</f>
        <v>5</v>
      </c>
    </row>
    <row r="85">
      <c r="B85" s="1" t="str">
        <f>recovered!B85</f>
        <v>Denmark</v>
      </c>
      <c r="C85" s="4">
        <f>recovered!C85</f>
        <v>61.8926</v>
      </c>
      <c r="D85" s="4">
        <f>recovered!D85</f>
        <v>-6.9118</v>
      </c>
      <c r="E85" s="5">
        <f>recovered!E85</f>
        <v>0</v>
      </c>
      <c r="F85" s="5">
        <f>recovered!F85-recovered!E85</f>
        <v>0</v>
      </c>
      <c r="G85" s="5">
        <f>recovered!G85-recovered!F85</f>
        <v>0</v>
      </c>
      <c r="H85" s="5">
        <f>recovered!H85-recovered!G85</f>
        <v>0</v>
      </c>
      <c r="I85" s="5">
        <f>recovered!I85-recovered!H85</f>
        <v>0</v>
      </c>
      <c r="J85" s="5">
        <f>recovered!J85-recovered!I85</f>
        <v>0</v>
      </c>
      <c r="K85" s="5">
        <f>recovered!K85-recovered!J85</f>
        <v>0</v>
      </c>
      <c r="L85" s="5">
        <f>recovered!L85-recovered!K85</f>
        <v>0</v>
      </c>
      <c r="M85" s="5">
        <f>recovered!M85-recovered!L85</f>
        <v>0</v>
      </c>
      <c r="N85" s="5">
        <f>recovered!N85-recovered!M85</f>
        <v>0</v>
      </c>
      <c r="O85" s="5">
        <f>recovered!O85-recovered!N85</f>
        <v>0</v>
      </c>
      <c r="P85" s="5">
        <f>recovered!P85-recovered!O85</f>
        <v>0</v>
      </c>
      <c r="Q85" s="5">
        <f>recovered!Q85-recovered!P85</f>
        <v>0</v>
      </c>
      <c r="R85" s="5">
        <f>recovered!R85-recovered!Q85</f>
        <v>0</v>
      </c>
      <c r="S85" s="5">
        <f>recovered!S85-recovered!R85</f>
        <v>0</v>
      </c>
      <c r="T85" s="5">
        <f>recovered!T85-recovered!S85</f>
        <v>0</v>
      </c>
      <c r="U85" s="5">
        <f>recovered!U85-recovered!T85</f>
        <v>0</v>
      </c>
      <c r="V85" s="5">
        <f>recovered!V85-recovered!U85</f>
        <v>0</v>
      </c>
      <c r="W85" s="5">
        <f>recovered!W85-recovered!V85</f>
        <v>0</v>
      </c>
      <c r="X85" s="5">
        <f>recovered!X85-recovered!W85</f>
        <v>0</v>
      </c>
      <c r="Y85" s="5">
        <f>recovered!Y85-recovered!X85</f>
        <v>0</v>
      </c>
      <c r="Z85" s="5">
        <f>recovered!Z85-recovered!Y85</f>
        <v>0</v>
      </c>
      <c r="AA85" s="5">
        <f>recovered!AA85-recovered!Z85</f>
        <v>0</v>
      </c>
      <c r="AB85" s="5">
        <f>recovered!AB85-recovered!AA85</f>
        <v>0</v>
      </c>
      <c r="AC85" s="5">
        <f>recovered!AC85-recovered!AB85</f>
        <v>0</v>
      </c>
      <c r="AD85" s="5">
        <f>recovered!AD85-recovered!AC85</f>
        <v>0</v>
      </c>
      <c r="AE85" s="5">
        <f>recovered!AE85-recovered!AD85</f>
        <v>0</v>
      </c>
      <c r="AF85" s="5">
        <f>recovered!AF85-recovered!AE85</f>
        <v>0</v>
      </c>
      <c r="AG85" s="5">
        <f>recovered!AG85-recovered!AF85</f>
        <v>0</v>
      </c>
      <c r="AH85" s="5">
        <f>recovered!AH85-recovered!AG85</f>
        <v>0</v>
      </c>
      <c r="AI85" s="5">
        <f>recovered!AI85-recovered!AH85</f>
        <v>0</v>
      </c>
      <c r="AJ85" s="5">
        <f>recovered!AJ85-recovered!AI85</f>
        <v>0</v>
      </c>
      <c r="AK85" s="5">
        <f>recovered!AK85-recovered!AJ85</f>
        <v>0</v>
      </c>
      <c r="AL85" s="5">
        <f>recovered!AL85-recovered!AK85</f>
        <v>0</v>
      </c>
      <c r="AM85" s="5">
        <f>recovered!AM85-recovered!AL85</f>
        <v>0</v>
      </c>
      <c r="AN85" s="5">
        <f>recovered!AN85-recovered!AM85</f>
        <v>0</v>
      </c>
      <c r="AO85" s="5">
        <f>recovered!AO85-recovered!AN85</f>
        <v>0</v>
      </c>
      <c r="AP85" s="5">
        <f>recovered!AP85-recovered!AO85</f>
        <v>0</v>
      </c>
      <c r="AQ85" s="5">
        <f>recovered!AQ85-recovered!AP85</f>
        <v>0</v>
      </c>
      <c r="AR85" s="5">
        <f>recovered!AR85-recovered!AQ85</f>
        <v>0</v>
      </c>
      <c r="AS85" s="5">
        <f>recovered!AS85-recovered!AR85</f>
        <v>0</v>
      </c>
      <c r="AT85" s="5">
        <f>recovered!AT85-recovered!AS85</f>
        <v>0</v>
      </c>
      <c r="AU85" s="5">
        <f>recovered!AU85-recovered!AT85</f>
        <v>0</v>
      </c>
      <c r="AV85" s="5">
        <f>recovered!AV85-recovered!AU85</f>
        <v>0</v>
      </c>
      <c r="AW85" s="5">
        <f>recovered!AW85-recovered!AV85</f>
        <v>0</v>
      </c>
      <c r="AX85" s="5">
        <f>recovered!AX85-recovered!AW85</f>
        <v>0</v>
      </c>
      <c r="AY85" s="5">
        <f>recovered!AY85-recovered!AX85</f>
        <v>0</v>
      </c>
      <c r="AZ85" s="5">
        <f>recovered!AZ85-recovered!AY85</f>
        <v>0</v>
      </c>
      <c r="BA85" s="5">
        <f>recovered!BA85-recovered!AZ85</f>
        <v>0</v>
      </c>
      <c r="BB85" s="5">
        <f>recovered!BB85-recovered!BA85</f>
        <v>0</v>
      </c>
      <c r="BC85" s="5">
        <f>recovered!BC85-recovered!BB85</f>
        <v>0</v>
      </c>
      <c r="BD85" s="5">
        <f>recovered!BD85-recovered!BC85</f>
        <v>0</v>
      </c>
      <c r="BE85" s="5">
        <f>recovered!BE85-recovered!BD85</f>
        <v>0</v>
      </c>
      <c r="BF85" s="5">
        <f>recovered!BF85-recovered!BE85</f>
        <v>0</v>
      </c>
      <c r="BG85" s="5">
        <f>recovered!BG85-recovered!BF85</f>
        <v>0</v>
      </c>
      <c r="BH85" s="5">
        <f>recovered!BH85-recovered!BG85</f>
        <v>0</v>
      </c>
      <c r="BI85" s="5">
        <f>recovered!BI85-recovered!BH85</f>
        <v>0</v>
      </c>
      <c r="BJ85" s="5">
        <f>recovered!BJ85-recovered!BI85</f>
        <v>0</v>
      </c>
      <c r="BK85" s="5">
        <f>recovered!BK85-recovered!BJ85</f>
        <v>0</v>
      </c>
      <c r="BL85" s="5">
        <f>recovered!BL85-recovered!BK85</f>
        <v>0</v>
      </c>
      <c r="BM85" s="5">
        <f>recovered!BM85-recovered!BL85</f>
        <v>0</v>
      </c>
      <c r="BN85" s="5">
        <f>recovered!BN85-recovered!BM85</f>
        <v>0</v>
      </c>
      <c r="BO85" s="5">
        <f>recovered!BO85-recovered!BN85</f>
        <v>33</v>
      </c>
      <c r="BP85" s="5">
        <f>recovered!BP85-recovered!BO85</f>
        <v>5</v>
      </c>
      <c r="BQ85" s="5">
        <f>recovered!BQ85-recovered!BP85</f>
        <v>9</v>
      </c>
      <c r="BR85" s="5">
        <f>recovered!BR85-recovered!BQ85</f>
        <v>7</v>
      </c>
      <c r="BS85" s="5">
        <f>recovered!BS85-recovered!BR85</f>
        <v>0</v>
      </c>
      <c r="BT85" s="5">
        <f>recovered!BT85-recovered!BS85</f>
        <v>16</v>
      </c>
      <c r="BU85" s="5">
        <f>recovered!BU85-recovered!BT85</f>
        <v>0</v>
      </c>
      <c r="BV85" s="5">
        <f>recovered!BV85-recovered!BU85</f>
        <v>4</v>
      </c>
      <c r="BW85" s="5">
        <f>recovered!BW85-recovered!BV85</f>
        <v>1</v>
      </c>
      <c r="BX85" s="5">
        <f>recovered!BX85-recovered!BW85</f>
        <v>6</v>
      </c>
      <c r="BY85" s="5">
        <f>recovered!BY85-recovered!BX85</f>
        <v>10</v>
      </c>
    </row>
    <row r="86">
      <c r="B86" s="1" t="str">
        <f>recovered!B86</f>
        <v>Denmark</v>
      </c>
      <c r="C86" s="4">
        <f>recovered!C86</f>
        <v>71.7069</v>
      </c>
      <c r="D86" s="4">
        <f>recovered!D86</f>
        <v>-42.6043</v>
      </c>
      <c r="E86" s="5">
        <f>recovered!E86</f>
        <v>0</v>
      </c>
      <c r="F86" s="5">
        <f>recovered!F86-recovered!E86</f>
        <v>0</v>
      </c>
      <c r="G86" s="5">
        <f>recovered!G86-recovered!F86</f>
        <v>0</v>
      </c>
      <c r="H86" s="5">
        <f>recovered!H86-recovered!G86</f>
        <v>0</v>
      </c>
      <c r="I86" s="5">
        <f>recovered!I86-recovered!H86</f>
        <v>0</v>
      </c>
      <c r="J86" s="5">
        <f>recovered!J86-recovered!I86</f>
        <v>0</v>
      </c>
      <c r="K86" s="5">
        <f>recovered!K86-recovered!J86</f>
        <v>0</v>
      </c>
      <c r="L86" s="5">
        <f>recovered!L86-recovered!K86</f>
        <v>0</v>
      </c>
      <c r="M86" s="5">
        <f>recovered!M86-recovered!L86</f>
        <v>0</v>
      </c>
      <c r="N86" s="5">
        <f>recovered!N86-recovered!M86</f>
        <v>0</v>
      </c>
      <c r="O86" s="5">
        <f>recovered!O86-recovered!N86</f>
        <v>0</v>
      </c>
      <c r="P86" s="5">
        <f>recovered!P86-recovered!O86</f>
        <v>0</v>
      </c>
      <c r="Q86" s="5">
        <f>recovered!Q86-recovered!P86</f>
        <v>0</v>
      </c>
      <c r="R86" s="5">
        <f>recovered!R86-recovered!Q86</f>
        <v>0</v>
      </c>
      <c r="S86" s="5">
        <f>recovered!S86-recovered!R86</f>
        <v>0</v>
      </c>
      <c r="T86" s="5">
        <f>recovered!T86-recovered!S86</f>
        <v>0</v>
      </c>
      <c r="U86" s="5">
        <f>recovered!U86-recovered!T86</f>
        <v>0</v>
      </c>
      <c r="V86" s="5">
        <f>recovered!V86-recovered!U86</f>
        <v>0</v>
      </c>
      <c r="W86" s="5">
        <f>recovered!W86-recovered!V86</f>
        <v>0</v>
      </c>
      <c r="X86" s="5">
        <f>recovered!X86-recovered!W86</f>
        <v>0</v>
      </c>
      <c r="Y86" s="5">
        <f>recovered!Y86-recovered!X86</f>
        <v>0</v>
      </c>
      <c r="Z86" s="5">
        <f>recovered!Z86-recovered!Y86</f>
        <v>0</v>
      </c>
      <c r="AA86" s="5">
        <f>recovered!AA86-recovered!Z86</f>
        <v>0</v>
      </c>
      <c r="AB86" s="5">
        <f>recovered!AB86-recovered!AA86</f>
        <v>0</v>
      </c>
      <c r="AC86" s="5">
        <f>recovered!AC86-recovered!AB86</f>
        <v>0</v>
      </c>
      <c r="AD86" s="5">
        <f>recovered!AD86-recovered!AC86</f>
        <v>0</v>
      </c>
      <c r="AE86" s="5">
        <f>recovered!AE86-recovered!AD86</f>
        <v>0</v>
      </c>
      <c r="AF86" s="5">
        <f>recovered!AF86-recovered!AE86</f>
        <v>0</v>
      </c>
      <c r="AG86" s="5">
        <f>recovered!AG86-recovered!AF86</f>
        <v>0</v>
      </c>
      <c r="AH86" s="5">
        <f>recovered!AH86-recovered!AG86</f>
        <v>0</v>
      </c>
      <c r="AI86" s="5">
        <f>recovered!AI86-recovered!AH86</f>
        <v>0</v>
      </c>
      <c r="AJ86" s="5">
        <f>recovered!AJ86-recovered!AI86</f>
        <v>0</v>
      </c>
      <c r="AK86" s="5">
        <f>recovered!AK86-recovered!AJ86</f>
        <v>0</v>
      </c>
      <c r="AL86" s="5">
        <f>recovered!AL86-recovered!AK86</f>
        <v>0</v>
      </c>
      <c r="AM86" s="5">
        <f>recovered!AM86-recovered!AL86</f>
        <v>0</v>
      </c>
      <c r="AN86" s="5">
        <f>recovered!AN86-recovered!AM86</f>
        <v>0</v>
      </c>
      <c r="AO86" s="5">
        <f>recovered!AO86-recovered!AN86</f>
        <v>0</v>
      </c>
      <c r="AP86" s="5">
        <f>recovered!AP86-recovered!AO86</f>
        <v>0</v>
      </c>
      <c r="AQ86" s="5">
        <f>recovered!AQ86-recovered!AP86</f>
        <v>0</v>
      </c>
      <c r="AR86" s="5">
        <f>recovered!AR86-recovered!AQ86</f>
        <v>0</v>
      </c>
      <c r="AS86" s="5">
        <f>recovered!AS86-recovered!AR86</f>
        <v>0</v>
      </c>
      <c r="AT86" s="5">
        <f>recovered!AT86-recovered!AS86</f>
        <v>0</v>
      </c>
      <c r="AU86" s="5">
        <f>recovered!AU86-recovered!AT86</f>
        <v>0</v>
      </c>
      <c r="AV86" s="5">
        <f>recovered!AV86-recovered!AU86</f>
        <v>0</v>
      </c>
      <c r="AW86" s="5">
        <f>recovered!AW86-recovered!AV86</f>
        <v>0</v>
      </c>
      <c r="AX86" s="5">
        <f>recovered!AX86-recovered!AW86</f>
        <v>0</v>
      </c>
      <c r="AY86" s="5">
        <f>recovered!AY86-recovered!AX86</f>
        <v>0</v>
      </c>
      <c r="AZ86" s="5">
        <f>recovered!AZ86-recovered!AY86</f>
        <v>0</v>
      </c>
      <c r="BA86" s="5">
        <f>recovered!BA86-recovered!AZ86</f>
        <v>0</v>
      </c>
      <c r="BB86" s="5">
        <f>recovered!BB86-recovered!BA86</f>
        <v>0</v>
      </c>
      <c r="BC86" s="5">
        <f>recovered!BC86-recovered!BB86</f>
        <v>0</v>
      </c>
      <c r="BD86" s="5">
        <f>recovered!BD86-recovered!BC86</f>
        <v>0</v>
      </c>
      <c r="BE86" s="5">
        <f>recovered!BE86-recovered!BD86</f>
        <v>0</v>
      </c>
      <c r="BF86" s="5">
        <f>recovered!BF86-recovered!BE86</f>
        <v>0</v>
      </c>
      <c r="BG86" s="5">
        <f>recovered!BG86-recovered!BF86</f>
        <v>0</v>
      </c>
      <c r="BH86" s="5">
        <f>recovered!BH86-recovered!BG86</f>
        <v>0</v>
      </c>
      <c r="BI86" s="5">
        <f>recovered!BI86-recovered!BH86</f>
        <v>0</v>
      </c>
      <c r="BJ86" s="5">
        <f>recovered!BJ86-recovered!BI86</f>
        <v>0</v>
      </c>
      <c r="BK86" s="5">
        <f>recovered!BK86-recovered!BJ86</f>
        <v>0</v>
      </c>
      <c r="BL86" s="5">
        <f>recovered!BL86-recovered!BK86</f>
        <v>0</v>
      </c>
      <c r="BM86" s="5">
        <f>recovered!BM86-recovered!BL86</f>
        <v>0</v>
      </c>
      <c r="BN86" s="5">
        <f>recovered!BN86-recovered!BM86</f>
        <v>0</v>
      </c>
      <c r="BO86" s="5">
        <f>recovered!BO86-recovered!BN86</f>
        <v>2</v>
      </c>
      <c r="BP86" s="5">
        <f>recovered!BP86-recovered!BO86</f>
        <v>0</v>
      </c>
      <c r="BQ86" s="5">
        <f>recovered!BQ86-recovered!BP86</f>
        <v>0</v>
      </c>
      <c r="BR86" s="5">
        <f>recovered!BR86-recovered!BQ86</f>
        <v>0</v>
      </c>
      <c r="BS86" s="5">
        <f>recovered!BS86-recovered!BR86</f>
        <v>0</v>
      </c>
      <c r="BT86" s="5">
        <f>recovered!BT86-recovered!BS86</f>
        <v>0</v>
      </c>
      <c r="BU86" s="5">
        <f>recovered!BU86-recovered!BT86</f>
        <v>0</v>
      </c>
      <c r="BV86" s="5">
        <f>recovered!BV86-recovered!BU86</f>
        <v>0</v>
      </c>
      <c r="BW86" s="5">
        <f>recovered!BW86-recovered!BV86</f>
        <v>0</v>
      </c>
      <c r="BX86" s="5">
        <f>recovered!BX86-recovered!BW86</f>
        <v>0</v>
      </c>
      <c r="BY86" s="5">
        <f>recovered!BY86-recovered!BX86</f>
        <v>1</v>
      </c>
    </row>
    <row r="87">
      <c r="B87" s="1" t="str">
        <f>recovered!B87</f>
        <v>Denmark</v>
      </c>
      <c r="C87" s="4">
        <f>recovered!C87</f>
        <v>56.2639</v>
      </c>
      <c r="D87" s="4">
        <f>recovered!D87</f>
        <v>9.5018</v>
      </c>
      <c r="E87" s="5">
        <f>recovered!E87</f>
        <v>0</v>
      </c>
      <c r="F87" s="5">
        <f>recovered!F87-recovered!E87</f>
        <v>0</v>
      </c>
      <c r="G87" s="5">
        <f>recovered!G87-recovered!F87</f>
        <v>0</v>
      </c>
      <c r="H87" s="5">
        <f>recovered!H87-recovered!G87</f>
        <v>0</v>
      </c>
      <c r="I87" s="5">
        <f>recovered!I87-recovered!H87</f>
        <v>0</v>
      </c>
      <c r="J87" s="5">
        <f>recovered!J87-recovered!I87</f>
        <v>0</v>
      </c>
      <c r="K87" s="5">
        <f>recovered!K87-recovered!J87</f>
        <v>0</v>
      </c>
      <c r="L87" s="5">
        <f>recovered!L87-recovered!K87</f>
        <v>0</v>
      </c>
      <c r="M87" s="5">
        <f>recovered!M87-recovered!L87</f>
        <v>0</v>
      </c>
      <c r="N87" s="5">
        <f>recovered!N87-recovered!M87</f>
        <v>0</v>
      </c>
      <c r="O87" s="5">
        <f>recovered!O87-recovered!N87</f>
        <v>0</v>
      </c>
      <c r="P87" s="5">
        <f>recovered!P87-recovered!O87</f>
        <v>0</v>
      </c>
      <c r="Q87" s="5">
        <f>recovered!Q87-recovered!P87</f>
        <v>0</v>
      </c>
      <c r="R87" s="5">
        <f>recovered!R87-recovered!Q87</f>
        <v>0</v>
      </c>
      <c r="S87" s="5">
        <f>recovered!S87-recovered!R87</f>
        <v>0</v>
      </c>
      <c r="T87" s="5">
        <f>recovered!T87-recovered!S87</f>
        <v>0</v>
      </c>
      <c r="U87" s="5">
        <f>recovered!U87-recovered!T87</f>
        <v>0</v>
      </c>
      <c r="V87" s="5">
        <f>recovered!V87-recovered!U87</f>
        <v>0</v>
      </c>
      <c r="W87" s="5">
        <f>recovered!W87-recovered!V87</f>
        <v>0</v>
      </c>
      <c r="X87" s="5">
        <f>recovered!X87-recovered!W87</f>
        <v>0</v>
      </c>
      <c r="Y87" s="5">
        <f>recovered!Y87-recovered!X87</f>
        <v>0</v>
      </c>
      <c r="Z87" s="5">
        <f>recovered!Z87-recovered!Y87</f>
        <v>0</v>
      </c>
      <c r="AA87" s="5">
        <f>recovered!AA87-recovered!Z87</f>
        <v>0</v>
      </c>
      <c r="AB87" s="5">
        <f>recovered!AB87-recovered!AA87</f>
        <v>0</v>
      </c>
      <c r="AC87" s="5">
        <f>recovered!AC87-recovered!AB87</f>
        <v>0</v>
      </c>
      <c r="AD87" s="5">
        <f>recovered!AD87-recovered!AC87</f>
        <v>0</v>
      </c>
      <c r="AE87" s="5">
        <f>recovered!AE87-recovered!AD87</f>
        <v>0</v>
      </c>
      <c r="AF87" s="5">
        <f>recovered!AF87-recovered!AE87</f>
        <v>0</v>
      </c>
      <c r="AG87" s="5">
        <f>recovered!AG87-recovered!AF87</f>
        <v>0</v>
      </c>
      <c r="AH87" s="5">
        <f>recovered!AH87-recovered!AG87</f>
        <v>0</v>
      </c>
      <c r="AI87" s="5">
        <f>recovered!AI87-recovered!AH87</f>
        <v>0</v>
      </c>
      <c r="AJ87" s="5">
        <f>recovered!AJ87-recovered!AI87</f>
        <v>0</v>
      </c>
      <c r="AK87" s="5">
        <f>recovered!AK87-recovered!AJ87</f>
        <v>0</v>
      </c>
      <c r="AL87" s="5">
        <f>recovered!AL87-recovered!AK87</f>
        <v>0</v>
      </c>
      <c r="AM87" s="5">
        <f>recovered!AM87-recovered!AL87</f>
        <v>0</v>
      </c>
      <c r="AN87" s="5">
        <f>recovered!AN87-recovered!AM87</f>
        <v>0</v>
      </c>
      <c r="AO87" s="5">
        <f>recovered!AO87-recovered!AN87</f>
        <v>0</v>
      </c>
      <c r="AP87" s="5">
        <f>recovered!AP87-recovered!AO87</f>
        <v>0</v>
      </c>
      <c r="AQ87" s="5">
        <f>recovered!AQ87-recovered!AP87</f>
        <v>0</v>
      </c>
      <c r="AR87" s="5">
        <f>recovered!AR87-recovered!AQ87</f>
        <v>0</v>
      </c>
      <c r="AS87" s="5">
        <f>recovered!AS87-recovered!AR87</f>
        <v>0</v>
      </c>
      <c r="AT87" s="5">
        <f>recovered!AT87-recovered!AS87</f>
        <v>0</v>
      </c>
      <c r="AU87" s="5">
        <f>recovered!AU87-recovered!AT87</f>
        <v>0</v>
      </c>
      <c r="AV87" s="5">
        <f>recovered!AV87-recovered!AU87</f>
        <v>0</v>
      </c>
      <c r="AW87" s="5">
        <f>recovered!AW87-recovered!AV87</f>
        <v>1</v>
      </c>
      <c r="AX87" s="5">
        <f>recovered!AX87-recovered!AW87</f>
        <v>0</v>
      </c>
      <c r="AY87" s="5">
        <f>recovered!AY87-recovered!AX87</f>
        <v>0</v>
      </c>
      <c r="AZ87" s="5">
        <f>recovered!AZ87-recovered!AY87</f>
        <v>0</v>
      </c>
      <c r="BA87" s="5">
        <f>recovered!BA87-recovered!AZ87</f>
        <v>0</v>
      </c>
      <c r="BB87" s="5">
        <f>recovered!BB87-recovered!BA87</f>
        <v>0</v>
      </c>
      <c r="BC87" s="5">
        <f>recovered!BC87-recovered!BB87</f>
        <v>0</v>
      </c>
      <c r="BD87" s="5">
        <f>recovered!BD87-recovered!BC87</f>
        <v>0</v>
      </c>
      <c r="BE87" s="5">
        <f>recovered!BE87-recovered!BD87</f>
        <v>0</v>
      </c>
      <c r="BF87" s="5">
        <f>recovered!BF87-recovered!BE87</f>
        <v>0</v>
      </c>
      <c r="BG87" s="5">
        <f>recovered!BG87-recovered!BF87</f>
        <v>0</v>
      </c>
      <c r="BH87" s="5">
        <f>recovered!BH87-recovered!BG87</f>
        <v>0</v>
      </c>
      <c r="BI87" s="5">
        <f>recovered!BI87-recovered!BH87</f>
        <v>0</v>
      </c>
      <c r="BJ87" s="5">
        <f>recovered!BJ87-recovered!BI87</f>
        <v>0</v>
      </c>
      <c r="BK87" s="5">
        <f>recovered!BK87-recovered!BJ87</f>
        <v>0</v>
      </c>
      <c r="BL87" s="5">
        <f>recovered!BL87-recovered!BK87</f>
        <v>0</v>
      </c>
      <c r="BM87" s="5">
        <f>recovered!BM87-recovered!BL87</f>
        <v>0</v>
      </c>
      <c r="BN87" s="5">
        <f>recovered!BN87-recovered!BM87</f>
        <v>0</v>
      </c>
      <c r="BO87" s="5">
        <f>recovered!BO87-recovered!BN87</f>
        <v>0</v>
      </c>
      <c r="BP87" s="5">
        <f>recovered!BP87-recovered!BO87</f>
        <v>0</v>
      </c>
      <c r="BQ87" s="5">
        <f>recovered!BQ87-recovered!BP87</f>
        <v>0</v>
      </c>
      <c r="BR87" s="5">
        <f>recovered!BR87-recovered!BQ87</f>
        <v>0</v>
      </c>
      <c r="BS87" s="5">
        <f>recovered!BS87-recovered!BR87</f>
        <v>0</v>
      </c>
      <c r="BT87" s="5">
        <f>recovered!BT87-recovered!BS87</f>
        <v>0</v>
      </c>
      <c r="BU87" s="5">
        <f>recovered!BU87-recovered!BT87</f>
        <v>0</v>
      </c>
      <c r="BV87" s="5">
        <f>recovered!BV87-recovered!BU87</f>
        <v>0</v>
      </c>
      <c r="BW87" s="5">
        <f>recovered!BW87-recovered!BV87</f>
        <v>893</v>
      </c>
      <c r="BX87" s="5">
        <f>recovered!BX87-recovered!BW87</f>
        <v>195</v>
      </c>
      <c r="BY87" s="5">
        <f>recovered!BY87-recovered!BX87</f>
        <v>104</v>
      </c>
    </row>
    <row r="88">
      <c r="B88" s="1" t="str">
        <f>recovered!B88</f>
        <v>Djibouti</v>
      </c>
      <c r="C88" s="4">
        <f>recovered!C88</f>
        <v>11.8251</v>
      </c>
      <c r="D88" s="4">
        <f>recovered!D88</f>
        <v>42.5903</v>
      </c>
      <c r="E88" s="5">
        <f>recovered!E88</f>
        <v>0</v>
      </c>
      <c r="F88" s="5">
        <f>recovered!F88-recovered!E88</f>
        <v>0</v>
      </c>
      <c r="G88" s="5">
        <f>recovered!G88-recovered!F88</f>
        <v>0</v>
      </c>
      <c r="H88" s="5">
        <f>recovered!H88-recovered!G88</f>
        <v>0</v>
      </c>
      <c r="I88" s="5">
        <f>recovered!I88-recovered!H88</f>
        <v>0</v>
      </c>
      <c r="J88" s="5">
        <f>recovered!J88-recovered!I88</f>
        <v>0</v>
      </c>
      <c r="K88" s="5">
        <f>recovered!K88-recovered!J88</f>
        <v>0</v>
      </c>
      <c r="L88" s="5">
        <f>recovered!L88-recovered!K88</f>
        <v>0</v>
      </c>
      <c r="M88" s="5">
        <f>recovered!M88-recovered!L88</f>
        <v>0</v>
      </c>
      <c r="N88" s="5">
        <f>recovered!N88-recovered!M88</f>
        <v>0</v>
      </c>
      <c r="O88" s="5">
        <f>recovered!O88-recovered!N88</f>
        <v>0</v>
      </c>
      <c r="P88" s="5">
        <f>recovered!P88-recovered!O88</f>
        <v>0</v>
      </c>
      <c r="Q88" s="5">
        <f>recovered!Q88-recovered!P88</f>
        <v>0</v>
      </c>
      <c r="R88" s="5">
        <f>recovered!R88-recovered!Q88</f>
        <v>0</v>
      </c>
      <c r="S88" s="5">
        <f>recovered!S88-recovered!R88</f>
        <v>0</v>
      </c>
      <c r="T88" s="5">
        <f>recovered!T88-recovered!S88</f>
        <v>0</v>
      </c>
      <c r="U88" s="5">
        <f>recovered!U88-recovered!T88</f>
        <v>0</v>
      </c>
      <c r="V88" s="5">
        <f>recovered!V88-recovered!U88</f>
        <v>0</v>
      </c>
      <c r="W88" s="5">
        <f>recovered!W88-recovered!V88</f>
        <v>0</v>
      </c>
      <c r="X88" s="5">
        <f>recovered!X88-recovered!W88</f>
        <v>0</v>
      </c>
      <c r="Y88" s="5">
        <f>recovered!Y88-recovered!X88</f>
        <v>0</v>
      </c>
      <c r="Z88" s="5">
        <f>recovered!Z88-recovered!Y88</f>
        <v>0</v>
      </c>
      <c r="AA88" s="5">
        <f>recovered!AA88-recovered!Z88</f>
        <v>0</v>
      </c>
      <c r="AB88" s="5">
        <f>recovered!AB88-recovered!AA88</f>
        <v>0</v>
      </c>
      <c r="AC88" s="5">
        <f>recovered!AC88-recovered!AB88</f>
        <v>0</v>
      </c>
      <c r="AD88" s="5">
        <f>recovered!AD88-recovered!AC88</f>
        <v>0</v>
      </c>
      <c r="AE88" s="5">
        <f>recovered!AE88-recovered!AD88</f>
        <v>0</v>
      </c>
      <c r="AF88" s="5">
        <f>recovered!AF88-recovered!AE88</f>
        <v>0</v>
      </c>
      <c r="AG88" s="5">
        <f>recovered!AG88-recovered!AF88</f>
        <v>0</v>
      </c>
      <c r="AH88" s="5">
        <f>recovered!AH88-recovered!AG88</f>
        <v>0</v>
      </c>
      <c r="AI88" s="5">
        <f>recovered!AI88-recovered!AH88</f>
        <v>0</v>
      </c>
      <c r="AJ88" s="5">
        <f>recovered!AJ88-recovered!AI88</f>
        <v>0</v>
      </c>
      <c r="AK88" s="5">
        <f>recovered!AK88-recovered!AJ88</f>
        <v>0</v>
      </c>
      <c r="AL88" s="5">
        <f>recovered!AL88-recovered!AK88</f>
        <v>0</v>
      </c>
      <c r="AM88" s="5">
        <f>recovered!AM88-recovered!AL88</f>
        <v>0</v>
      </c>
      <c r="AN88" s="5">
        <f>recovered!AN88-recovered!AM88</f>
        <v>0</v>
      </c>
      <c r="AO88" s="5">
        <f>recovered!AO88-recovered!AN88</f>
        <v>0</v>
      </c>
      <c r="AP88" s="5">
        <f>recovered!AP88-recovered!AO88</f>
        <v>0</v>
      </c>
      <c r="AQ88" s="5">
        <f>recovered!AQ88-recovered!AP88</f>
        <v>0</v>
      </c>
      <c r="AR88" s="5">
        <f>recovered!AR88-recovered!AQ88</f>
        <v>0</v>
      </c>
      <c r="AS88" s="5">
        <f>recovered!AS88-recovered!AR88</f>
        <v>0</v>
      </c>
      <c r="AT88" s="5">
        <f>recovered!AT88-recovered!AS88</f>
        <v>0</v>
      </c>
      <c r="AU88" s="5">
        <f>recovered!AU88-recovered!AT88</f>
        <v>0</v>
      </c>
      <c r="AV88" s="5">
        <f>recovered!AV88-recovered!AU88</f>
        <v>0</v>
      </c>
      <c r="AW88" s="5">
        <f>recovered!AW88-recovered!AV88</f>
        <v>0</v>
      </c>
      <c r="AX88" s="5">
        <f>recovered!AX88-recovered!AW88</f>
        <v>0</v>
      </c>
      <c r="AY88" s="5">
        <f>recovered!AY88-recovered!AX88</f>
        <v>0</v>
      </c>
      <c r="AZ88" s="5">
        <f>recovered!AZ88-recovered!AY88</f>
        <v>0</v>
      </c>
      <c r="BA88" s="5">
        <f>recovered!BA88-recovered!AZ88</f>
        <v>0</v>
      </c>
      <c r="BB88" s="5">
        <f>recovered!BB88-recovered!BA88</f>
        <v>0</v>
      </c>
      <c r="BC88" s="5">
        <f>recovered!BC88-recovered!BB88</f>
        <v>0</v>
      </c>
      <c r="BD88" s="5">
        <f>recovered!BD88-recovered!BC88</f>
        <v>0</v>
      </c>
      <c r="BE88" s="5">
        <f>recovered!BE88-recovered!BD88</f>
        <v>0</v>
      </c>
      <c r="BF88" s="5">
        <f>recovered!BF88-recovered!BE88</f>
        <v>0</v>
      </c>
      <c r="BG88" s="5">
        <f>recovered!BG88-recovered!BF88</f>
        <v>0</v>
      </c>
      <c r="BH88" s="5">
        <f>recovered!BH88-recovered!BG88</f>
        <v>0</v>
      </c>
      <c r="BI88" s="5">
        <f>recovered!BI88-recovered!BH88</f>
        <v>0</v>
      </c>
      <c r="BJ88" s="5">
        <f>recovered!BJ88-recovered!BI88</f>
        <v>0</v>
      </c>
      <c r="BK88" s="5">
        <f>recovered!BK88-recovered!BJ88</f>
        <v>0</v>
      </c>
      <c r="BL88" s="5">
        <f>recovered!BL88-recovered!BK88</f>
        <v>0</v>
      </c>
      <c r="BM88" s="5">
        <f>recovered!BM88-recovered!BL88</f>
        <v>0</v>
      </c>
      <c r="BN88" s="5">
        <f>recovered!BN88-recovered!BM88</f>
        <v>0</v>
      </c>
      <c r="BO88" s="5">
        <f>recovered!BO88-recovered!BN88</f>
        <v>0</v>
      </c>
      <c r="BP88" s="5">
        <f>recovered!BP88-recovered!BO88</f>
        <v>0</v>
      </c>
      <c r="BQ88" s="5">
        <f>recovered!BQ88-recovered!BP88</f>
        <v>0</v>
      </c>
      <c r="BR88" s="5">
        <f>recovered!BR88-recovered!BQ88</f>
        <v>0</v>
      </c>
      <c r="BS88" s="5">
        <f>recovered!BS88-recovered!BR88</f>
        <v>0</v>
      </c>
      <c r="BT88" s="5">
        <f>recovered!BT88-recovered!BS88</f>
        <v>0</v>
      </c>
      <c r="BU88" s="5">
        <f>recovered!BU88-recovered!BT88</f>
        <v>0</v>
      </c>
      <c r="BV88" s="5">
        <f>recovered!BV88-recovered!BU88</f>
        <v>0</v>
      </c>
      <c r="BW88" s="5">
        <f>recovered!BW88-recovered!BV88</f>
        <v>0</v>
      </c>
      <c r="BX88" s="5">
        <f>recovered!BX88-recovered!BW88</f>
        <v>0</v>
      </c>
      <c r="BY88" s="5">
        <f>recovered!BY88-recovered!BX88</f>
        <v>8</v>
      </c>
    </row>
    <row r="89">
      <c r="B89" s="1" t="str">
        <f>recovered!B89</f>
        <v>Dominica</v>
      </c>
      <c r="C89" s="4">
        <f>recovered!C89</f>
        <v>15.415</v>
      </c>
      <c r="D89" s="4">
        <f>recovered!D89</f>
        <v>-61.371</v>
      </c>
      <c r="E89" s="5">
        <f>recovered!E89</f>
        <v>0</v>
      </c>
      <c r="F89" s="5">
        <f>recovered!F89-recovered!E89</f>
        <v>0</v>
      </c>
      <c r="G89" s="5">
        <f>recovered!G89-recovered!F89</f>
        <v>0</v>
      </c>
      <c r="H89" s="5">
        <f>recovered!H89-recovered!G89</f>
        <v>0</v>
      </c>
      <c r="I89" s="5">
        <f>recovered!I89-recovered!H89</f>
        <v>0</v>
      </c>
      <c r="J89" s="5">
        <f>recovered!J89-recovered!I89</f>
        <v>0</v>
      </c>
      <c r="K89" s="5">
        <f>recovered!K89-recovered!J89</f>
        <v>0</v>
      </c>
      <c r="L89" s="5">
        <f>recovered!L89-recovered!K89</f>
        <v>0</v>
      </c>
      <c r="M89" s="5">
        <f>recovered!M89-recovered!L89</f>
        <v>0</v>
      </c>
      <c r="N89" s="5">
        <f>recovered!N89-recovered!M89</f>
        <v>0</v>
      </c>
      <c r="O89" s="5">
        <f>recovered!O89-recovered!N89</f>
        <v>0</v>
      </c>
      <c r="P89" s="5">
        <f>recovered!P89-recovered!O89</f>
        <v>0</v>
      </c>
      <c r="Q89" s="5">
        <f>recovered!Q89-recovered!P89</f>
        <v>0</v>
      </c>
      <c r="R89" s="5">
        <f>recovered!R89-recovered!Q89</f>
        <v>0</v>
      </c>
      <c r="S89" s="5">
        <f>recovered!S89-recovered!R89</f>
        <v>0</v>
      </c>
      <c r="T89" s="5">
        <f>recovered!T89-recovered!S89</f>
        <v>0</v>
      </c>
      <c r="U89" s="5">
        <f>recovered!U89-recovered!T89</f>
        <v>0</v>
      </c>
      <c r="V89" s="5">
        <f>recovered!V89-recovered!U89</f>
        <v>0</v>
      </c>
      <c r="W89" s="5">
        <f>recovered!W89-recovered!V89</f>
        <v>0</v>
      </c>
      <c r="X89" s="5">
        <f>recovered!X89-recovered!W89</f>
        <v>0</v>
      </c>
      <c r="Y89" s="5">
        <f>recovered!Y89-recovered!X89</f>
        <v>0</v>
      </c>
      <c r="Z89" s="5">
        <f>recovered!Z89-recovered!Y89</f>
        <v>0</v>
      </c>
      <c r="AA89" s="5">
        <f>recovered!AA89-recovered!Z89</f>
        <v>0</v>
      </c>
      <c r="AB89" s="5">
        <f>recovered!AB89-recovered!AA89</f>
        <v>0</v>
      </c>
      <c r="AC89" s="5">
        <f>recovered!AC89-recovered!AB89</f>
        <v>0</v>
      </c>
      <c r="AD89" s="5">
        <f>recovered!AD89-recovered!AC89</f>
        <v>0</v>
      </c>
      <c r="AE89" s="5">
        <f>recovered!AE89-recovered!AD89</f>
        <v>0</v>
      </c>
      <c r="AF89" s="5">
        <f>recovered!AF89-recovered!AE89</f>
        <v>0</v>
      </c>
      <c r="AG89" s="5">
        <f>recovered!AG89-recovered!AF89</f>
        <v>0</v>
      </c>
      <c r="AH89" s="5">
        <f>recovered!AH89-recovered!AG89</f>
        <v>0</v>
      </c>
      <c r="AI89" s="5">
        <f>recovered!AI89-recovered!AH89</f>
        <v>0</v>
      </c>
      <c r="AJ89" s="5">
        <f>recovered!AJ89-recovered!AI89</f>
        <v>0</v>
      </c>
      <c r="AK89" s="5">
        <f>recovered!AK89-recovered!AJ89</f>
        <v>0</v>
      </c>
      <c r="AL89" s="5">
        <f>recovered!AL89-recovered!AK89</f>
        <v>0</v>
      </c>
      <c r="AM89" s="5">
        <f>recovered!AM89-recovered!AL89</f>
        <v>0</v>
      </c>
      <c r="AN89" s="5">
        <f>recovered!AN89-recovered!AM89</f>
        <v>0</v>
      </c>
      <c r="AO89" s="5">
        <f>recovered!AO89-recovered!AN89</f>
        <v>0</v>
      </c>
      <c r="AP89" s="5">
        <f>recovered!AP89-recovered!AO89</f>
        <v>0</v>
      </c>
      <c r="AQ89" s="5">
        <f>recovered!AQ89-recovered!AP89</f>
        <v>0</v>
      </c>
      <c r="AR89" s="5">
        <f>recovered!AR89-recovered!AQ89</f>
        <v>0</v>
      </c>
      <c r="AS89" s="5">
        <f>recovered!AS89-recovered!AR89</f>
        <v>0</v>
      </c>
      <c r="AT89" s="5">
        <f>recovered!AT89-recovered!AS89</f>
        <v>0</v>
      </c>
      <c r="AU89" s="5">
        <f>recovered!AU89-recovered!AT89</f>
        <v>0</v>
      </c>
      <c r="AV89" s="5">
        <f>recovered!AV89-recovered!AU89</f>
        <v>0</v>
      </c>
      <c r="AW89" s="5">
        <f>recovered!AW89-recovered!AV89</f>
        <v>0</v>
      </c>
      <c r="AX89" s="5">
        <f>recovered!AX89-recovered!AW89</f>
        <v>0</v>
      </c>
      <c r="AY89" s="5">
        <f>recovered!AY89-recovered!AX89</f>
        <v>0</v>
      </c>
      <c r="AZ89" s="5">
        <f>recovered!AZ89-recovered!AY89</f>
        <v>0</v>
      </c>
      <c r="BA89" s="5">
        <f>recovered!BA89-recovered!AZ89</f>
        <v>0</v>
      </c>
      <c r="BB89" s="5">
        <f>recovered!BB89-recovered!BA89</f>
        <v>0</v>
      </c>
      <c r="BC89" s="5">
        <f>recovered!BC89-recovered!BB89</f>
        <v>0</v>
      </c>
      <c r="BD89" s="5">
        <f>recovered!BD89-recovered!BC89</f>
        <v>0</v>
      </c>
      <c r="BE89" s="5">
        <f>recovered!BE89-recovered!BD89</f>
        <v>0</v>
      </c>
      <c r="BF89" s="5">
        <f>recovered!BF89-recovered!BE89</f>
        <v>0</v>
      </c>
      <c r="BG89" s="5">
        <f>recovered!BG89-recovered!BF89</f>
        <v>0</v>
      </c>
      <c r="BH89" s="5">
        <f>recovered!BH89-recovered!BG89</f>
        <v>0</v>
      </c>
      <c r="BI89" s="5">
        <f>recovered!BI89-recovered!BH89</f>
        <v>0</v>
      </c>
      <c r="BJ89" s="5">
        <f>recovered!BJ89-recovered!BI89</f>
        <v>0</v>
      </c>
      <c r="BK89" s="5">
        <f>recovered!BK89-recovered!BJ89</f>
        <v>0</v>
      </c>
      <c r="BL89" s="5">
        <f>recovered!BL89-recovered!BK89</f>
        <v>0</v>
      </c>
      <c r="BM89" s="5">
        <f>recovered!BM89-recovered!BL89</f>
        <v>0</v>
      </c>
      <c r="BN89" s="5">
        <f>recovered!BN89-recovered!BM89</f>
        <v>0</v>
      </c>
      <c r="BO89" s="5">
        <f>recovered!BO89-recovered!BN89</f>
        <v>0</v>
      </c>
      <c r="BP89" s="5">
        <f>recovered!BP89-recovered!BO89</f>
        <v>0</v>
      </c>
      <c r="BQ89" s="5">
        <f>recovered!BQ89-recovered!BP89</f>
        <v>0</v>
      </c>
      <c r="BR89" s="5">
        <f>recovered!BR89-recovered!BQ89</f>
        <v>0</v>
      </c>
      <c r="BS89" s="5">
        <f>recovered!BS89-recovered!BR89</f>
        <v>0</v>
      </c>
      <c r="BT89" s="5">
        <f>recovered!BT89-recovered!BS89</f>
        <v>0</v>
      </c>
      <c r="BU89" s="5">
        <f>recovered!BU89-recovered!BT89</f>
        <v>0</v>
      </c>
      <c r="BV89" s="5">
        <f>recovered!BV89-recovered!BU89</f>
        <v>0</v>
      </c>
      <c r="BW89" s="5">
        <f>recovered!BW89-recovered!BV89</f>
        <v>0</v>
      </c>
      <c r="BX89" s="5">
        <f>recovered!BX89-recovered!BW89</f>
        <v>0</v>
      </c>
      <c r="BY89" s="5">
        <f>recovered!BY89-recovered!BX89</f>
        <v>0</v>
      </c>
    </row>
    <row r="90">
      <c r="B90" s="1" t="str">
        <f>recovered!B90</f>
        <v>Dominican Republic</v>
      </c>
      <c r="C90" s="4">
        <f>recovered!C90</f>
        <v>18.7357</v>
      </c>
      <c r="D90" s="4">
        <f>recovered!D90</f>
        <v>-70.1627</v>
      </c>
      <c r="E90" s="5">
        <f>recovered!E90</f>
        <v>0</v>
      </c>
      <c r="F90" s="5">
        <f>recovered!F90-recovered!E90</f>
        <v>0</v>
      </c>
      <c r="G90" s="5">
        <f>recovered!G90-recovered!F90</f>
        <v>0</v>
      </c>
      <c r="H90" s="5">
        <f>recovered!H90-recovered!G90</f>
        <v>0</v>
      </c>
      <c r="I90" s="5">
        <f>recovered!I90-recovered!H90</f>
        <v>0</v>
      </c>
      <c r="J90" s="5">
        <f>recovered!J90-recovered!I90</f>
        <v>0</v>
      </c>
      <c r="K90" s="5">
        <f>recovered!K90-recovered!J90</f>
        <v>0</v>
      </c>
      <c r="L90" s="5">
        <f>recovered!L90-recovered!K90</f>
        <v>0</v>
      </c>
      <c r="M90" s="5">
        <f>recovered!M90-recovered!L90</f>
        <v>0</v>
      </c>
      <c r="N90" s="5">
        <f>recovered!N90-recovered!M90</f>
        <v>0</v>
      </c>
      <c r="O90" s="5">
        <f>recovered!O90-recovered!N90</f>
        <v>0</v>
      </c>
      <c r="P90" s="5">
        <f>recovered!P90-recovered!O90</f>
        <v>0</v>
      </c>
      <c r="Q90" s="5">
        <f>recovered!Q90-recovered!P90</f>
        <v>0</v>
      </c>
      <c r="R90" s="5">
        <f>recovered!R90-recovered!Q90</f>
        <v>0</v>
      </c>
      <c r="S90" s="5">
        <f>recovered!S90-recovered!R90</f>
        <v>0</v>
      </c>
      <c r="T90" s="5">
        <f>recovered!T90-recovered!S90</f>
        <v>0</v>
      </c>
      <c r="U90" s="5">
        <f>recovered!U90-recovered!T90</f>
        <v>0</v>
      </c>
      <c r="V90" s="5">
        <f>recovered!V90-recovered!U90</f>
        <v>0</v>
      </c>
      <c r="W90" s="5">
        <f>recovered!W90-recovered!V90</f>
        <v>0</v>
      </c>
      <c r="X90" s="5">
        <f>recovered!X90-recovered!W90</f>
        <v>0</v>
      </c>
      <c r="Y90" s="5">
        <f>recovered!Y90-recovered!X90</f>
        <v>0</v>
      </c>
      <c r="Z90" s="5">
        <f>recovered!Z90-recovered!Y90</f>
        <v>0</v>
      </c>
      <c r="AA90" s="5">
        <f>recovered!AA90-recovered!Z90</f>
        <v>0</v>
      </c>
      <c r="AB90" s="5">
        <f>recovered!AB90-recovered!AA90</f>
        <v>0</v>
      </c>
      <c r="AC90" s="5">
        <f>recovered!AC90-recovered!AB90</f>
        <v>0</v>
      </c>
      <c r="AD90" s="5">
        <f>recovered!AD90-recovered!AC90</f>
        <v>0</v>
      </c>
      <c r="AE90" s="5">
        <f>recovered!AE90-recovered!AD90</f>
        <v>0</v>
      </c>
      <c r="AF90" s="5">
        <f>recovered!AF90-recovered!AE90</f>
        <v>0</v>
      </c>
      <c r="AG90" s="5">
        <f>recovered!AG90-recovered!AF90</f>
        <v>0</v>
      </c>
      <c r="AH90" s="5">
        <f>recovered!AH90-recovered!AG90</f>
        <v>0</v>
      </c>
      <c r="AI90" s="5">
        <f>recovered!AI90-recovered!AH90</f>
        <v>0</v>
      </c>
      <c r="AJ90" s="5">
        <f>recovered!AJ90-recovered!AI90</f>
        <v>0</v>
      </c>
      <c r="AK90" s="5">
        <f>recovered!AK90-recovered!AJ90</f>
        <v>0</v>
      </c>
      <c r="AL90" s="5">
        <f>recovered!AL90-recovered!AK90</f>
        <v>0</v>
      </c>
      <c r="AM90" s="5">
        <f>recovered!AM90-recovered!AL90</f>
        <v>0</v>
      </c>
      <c r="AN90" s="5">
        <f>recovered!AN90-recovered!AM90</f>
        <v>0</v>
      </c>
      <c r="AO90" s="5">
        <f>recovered!AO90-recovered!AN90</f>
        <v>0</v>
      </c>
      <c r="AP90" s="5">
        <f>recovered!AP90-recovered!AO90</f>
        <v>0</v>
      </c>
      <c r="AQ90" s="5">
        <f>recovered!AQ90-recovered!AP90</f>
        <v>0</v>
      </c>
      <c r="AR90" s="5">
        <f>recovered!AR90-recovered!AQ90</f>
        <v>0</v>
      </c>
      <c r="AS90" s="5">
        <f>recovered!AS90-recovered!AR90</f>
        <v>0</v>
      </c>
      <c r="AT90" s="5">
        <f>recovered!AT90-recovered!AS90</f>
        <v>0</v>
      </c>
      <c r="AU90" s="5">
        <f>recovered!AU90-recovered!AT90</f>
        <v>0</v>
      </c>
      <c r="AV90" s="5">
        <f>recovered!AV90-recovered!AU90</f>
        <v>0</v>
      </c>
      <c r="AW90" s="5">
        <f>recovered!AW90-recovered!AV90</f>
        <v>0</v>
      </c>
      <c r="AX90" s="5">
        <f>recovered!AX90-recovered!AW90</f>
        <v>0</v>
      </c>
      <c r="AY90" s="5">
        <f>recovered!AY90-recovered!AX90</f>
        <v>0</v>
      </c>
      <c r="AZ90" s="5">
        <f>recovered!AZ90-recovered!AY90</f>
        <v>0</v>
      </c>
      <c r="BA90" s="5">
        <f>recovered!BA90-recovered!AZ90</f>
        <v>0</v>
      </c>
      <c r="BB90" s="5">
        <f>recovered!BB90-recovered!BA90</f>
        <v>0</v>
      </c>
      <c r="BC90" s="5">
        <f>recovered!BC90-recovered!BB90</f>
        <v>0</v>
      </c>
      <c r="BD90" s="5">
        <f>recovered!BD90-recovered!BC90</f>
        <v>0</v>
      </c>
      <c r="BE90" s="5">
        <f>recovered!BE90-recovered!BD90</f>
        <v>0</v>
      </c>
      <c r="BF90" s="5">
        <f>recovered!BF90-recovered!BE90</f>
        <v>0</v>
      </c>
      <c r="BG90" s="5">
        <f>recovered!BG90-recovered!BF90</f>
        <v>0</v>
      </c>
      <c r="BH90" s="5">
        <f>recovered!BH90-recovered!BG90</f>
        <v>0</v>
      </c>
      <c r="BI90" s="5">
        <f>recovered!BI90-recovered!BH90</f>
        <v>0</v>
      </c>
      <c r="BJ90" s="5">
        <f>recovered!BJ90-recovered!BI90</f>
        <v>0</v>
      </c>
      <c r="BK90" s="5">
        <f>recovered!BK90-recovered!BJ90</f>
        <v>0</v>
      </c>
      <c r="BL90" s="5">
        <f>recovered!BL90-recovered!BK90</f>
        <v>0</v>
      </c>
      <c r="BM90" s="5">
        <f>recovered!BM90-recovered!BL90</f>
        <v>0</v>
      </c>
      <c r="BN90" s="5">
        <f>recovered!BN90-recovered!BM90</f>
        <v>0</v>
      </c>
      <c r="BO90" s="5">
        <f>recovered!BO90-recovered!BN90</f>
        <v>3</v>
      </c>
      <c r="BP90" s="5">
        <f>recovered!BP90-recovered!BO90</f>
        <v>0</v>
      </c>
      <c r="BQ90" s="5">
        <f>recovered!BQ90-recovered!BP90</f>
        <v>0</v>
      </c>
      <c r="BR90" s="5">
        <f>recovered!BR90-recovered!BQ90</f>
        <v>0</v>
      </c>
      <c r="BS90" s="5">
        <f>recovered!BS90-recovered!BR90</f>
        <v>0</v>
      </c>
      <c r="BT90" s="5">
        <f>recovered!BT90-recovered!BS90</f>
        <v>0</v>
      </c>
      <c r="BU90" s="5">
        <f>recovered!BU90-recovered!BT90</f>
        <v>1</v>
      </c>
      <c r="BV90" s="5">
        <f>recovered!BV90-recovered!BU90</f>
        <v>1</v>
      </c>
      <c r="BW90" s="5">
        <f>recovered!BW90-recovered!BV90</f>
        <v>4</v>
      </c>
      <c r="BX90" s="5">
        <f>recovered!BX90-recovered!BW90</f>
        <v>7</v>
      </c>
      <c r="BY90" s="5">
        <f>recovered!BY90-recovered!BX90</f>
        <v>0</v>
      </c>
    </row>
    <row r="91">
      <c r="B91" s="1" t="str">
        <f>recovered!B91</f>
        <v>Ecuador</v>
      </c>
      <c r="C91" s="4">
        <f>recovered!C91</f>
        <v>-1.8312</v>
      </c>
      <c r="D91" s="4">
        <f>recovered!D91</f>
        <v>-78.1834</v>
      </c>
      <c r="E91" s="5">
        <f>recovered!E91</f>
        <v>0</v>
      </c>
      <c r="F91" s="5">
        <f>recovered!F91-recovered!E91</f>
        <v>0</v>
      </c>
      <c r="G91" s="5">
        <f>recovered!G91-recovered!F91</f>
        <v>0</v>
      </c>
      <c r="H91" s="5">
        <f>recovered!H91-recovered!G91</f>
        <v>0</v>
      </c>
      <c r="I91" s="5">
        <f>recovered!I91-recovered!H91</f>
        <v>0</v>
      </c>
      <c r="J91" s="5">
        <f>recovered!J91-recovered!I91</f>
        <v>0</v>
      </c>
      <c r="K91" s="5">
        <f>recovered!K91-recovered!J91</f>
        <v>0</v>
      </c>
      <c r="L91" s="5">
        <f>recovered!L91-recovered!K91</f>
        <v>0</v>
      </c>
      <c r="M91" s="5">
        <f>recovered!M91-recovered!L91</f>
        <v>0</v>
      </c>
      <c r="N91" s="5">
        <f>recovered!N91-recovered!M91</f>
        <v>0</v>
      </c>
      <c r="O91" s="5">
        <f>recovered!O91-recovered!N91</f>
        <v>0</v>
      </c>
      <c r="P91" s="5">
        <f>recovered!P91-recovered!O91</f>
        <v>0</v>
      </c>
      <c r="Q91" s="5">
        <f>recovered!Q91-recovered!P91</f>
        <v>0</v>
      </c>
      <c r="R91" s="5">
        <f>recovered!R91-recovered!Q91</f>
        <v>0</v>
      </c>
      <c r="S91" s="5">
        <f>recovered!S91-recovered!R91</f>
        <v>0</v>
      </c>
      <c r="T91" s="5">
        <f>recovered!T91-recovered!S91</f>
        <v>0</v>
      </c>
      <c r="U91" s="5">
        <f>recovered!U91-recovered!T91</f>
        <v>0</v>
      </c>
      <c r="V91" s="5">
        <f>recovered!V91-recovered!U91</f>
        <v>0</v>
      </c>
      <c r="W91" s="5">
        <f>recovered!W91-recovered!V91</f>
        <v>0</v>
      </c>
      <c r="X91" s="5">
        <f>recovered!X91-recovered!W91</f>
        <v>0</v>
      </c>
      <c r="Y91" s="5">
        <f>recovered!Y91-recovered!X91</f>
        <v>0</v>
      </c>
      <c r="Z91" s="5">
        <f>recovered!Z91-recovered!Y91</f>
        <v>0</v>
      </c>
      <c r="AA91" s="5">
        <f>recovered!AA91-recovered!Z91</f>
        <v>0</v>
      </c>
      <c r="AB91" s="5">
        <f>recovered!AB91-recovered!AA91</f>
        <v>0</v>
      </c>
      <c r="AC91" s="5">
        <f>recovered!AC91-recovered!AB91</f>
        <v>0</v>
      </c>
      <c r="AD91" s="5">
        <f>recovered!AD91-recovered!AC91</f>
        <v>0</v>
      </c>
      <c r="AE91" s="5">
        <f>recovered!AE91-recovered!AD91</f>
        <v>0</v>
      </c>
      <c r="AF91" s="5">
        <f>recovered!AF91-recovered!AE91</f>
        <v>0</v>
      </c>
      <c r="AG91" s="5">
        <f>recovered!AG91-recovered!AF91</f>
        <v>0</v>
      </c>
      <c r="AH91" s="5">
        <f>recovered!AH91-recovered!AG91</f>
        <v>0</v>
      </c>
      <c r="AI91" s="5">
        <f>recovered!AI91-recovered!AH91</f>
        <v>0</v>
      </c>
      <c r="AJ91" s="5">
        <f>recovered!AJ91-recovered!AI91</f>
        <v>0</v>
      </c>
      <c r="AK91" s="5">
        <f>recovered!AK91-recovered!AJ91</f>
        <v>0</v>
      </c>
      <c r="AL91" s="5">
        <f>recovered!AL91-recovered!AK91</f>
        <v>0</v>
      </c>
      <c r="AM91" s="5">
        <f>recovered!AM91-recovered!AL91</f>
        <v>0</v>
      </c>
      <c r="AN91" s="5">
        <f>recovered!AN91-recovered!AM91</f>
        <v>0</v>
      </c>
      <c r="AO91" s="5">
        <f>recovered!AO91-recovered!AN91</f>
        <v>0</v>
      </c>
      <c r="AP91" s="5">
        <f>recovered!AP91-recovered!AO91</f>
        <v>0</v>
      </c>
      <c r="AQ91" s="5">
        <f>recovered!AQ91-recovered!AP91</f>
        <v>0</v>
      </c>
      <c r="AR91" s="5">
        <f>recovered!AR91-recovered!AQ91</f>
        <v>0</v>
      </c>
      <c r="AS91" s="5">
        <f>recovered!AS91-recovered!AR91</f>
        <v>0</v>
      </c>
      <c r="AT91" s="5">
        <f>recovered!AT91-recovered!AS91</f>
        <v>0</v>
      </c>
      <c r="AU91" s="5">
        <f>recovered!AU91-recovered!AT91</f>
        <v>0</v>
      </c>
      <c r="AV91" s="5">
        <f>recovered!AV91-recovered!AU91</f>
        <v>0</v>
      </c>
      <c r="AW91" s="5">
        <f>recovered!AW91-recovered!AV91</f>
        <v>0</v>
      </c>
      <c r="AX91" s="5">
        <f>recovered!AX91-recovered!AW91</f>
        <v>0</v>
      </c>
      <c r="AY91" s="5">
        <f>recovered!AY91-recovered!AX91</f>
        <v>0</v>
      </c>
      <c r="AZ91" s="5">
        <f>recovered!AZ91-recovered!AY91</f>
        <v>0</v>
      </c>
      <c r="BA91" s="5">
        <f>recovered!BA91-recovered!AZ91</f>
        <v>0</v>
      </c>
      <c r="BB91" s="5">
        <f>recovered!BB91-recovered!BA91</f>
        <v>0</v>
      </c>
      <c r="BC91" s="5">
        <f>recovered!BC91-recovered!BB91</f>
        <v>0</v>
      </c>
      <c r="BD91" s="5">
        <f>recovered!BD91-recovered!BC91</f>
        <v>0</v>
      </c>
      <c r="BE91" s="5">
        <f>recovered!BE91-recovered!BD91</f>
        <v>0</v>
      </c>
      <c r="BF91" s="5">
        <f>recovered!BF91-recovered!BE91</f>
        <v>0</v>
      </c>
      <c r="BG91" s="5">
        <f>recovered!BG91-recovered!BF91</f>
        <v>0</v>
      </c>
      <c r="BH91" s="5">
        <f>recovered!BH91-recovered!BG91</f>
        <v>0</v>
      </c>
      <c r="BI91" s="5">
        <f>recovered!BI91-recovered!BH91</f>
        <v>0</v>
      </c>
      <c r="BJ91" s="5">
        <f>recovered!BJ91-recovered!BI91</f>
        <v>0</v>
      </c>
      <c r="BK91" s="5">
        <f>recovered!BK91-recovered!BJ91</f>
        <v>0</v>
      </c>
      <c r="BL91" s="5">
        <f>recovered!BL91-recovered!BK91</f>
        <v>3</v>
      </c>
      <c r="BM91" s="5">
        <f>recovered!BM91-recovered!BL91</f>
        <v>0</v>
      </c>
      <c r="BN91" s="5">
        <f>recovered!BN91-recovered!BM91</f>
        <v>0</v>
      </c>
      <c r="BO91" s="5">
        <f>recovered!BO91-recovered!BN91</f>
        <v>0</v>
      </c>
      <c r="BP91" s="5">
        <f>recovered!BP91-recovered!BO91</f>
        <v>0</v>
      </c>
      <c r="BQ91" s="5">
        <f>recovered!BQ91-recovered!BP91</f>
        <v>0</v>
      </c>
      <c r="BR91" s="5">
        <f>recovered!BR91-recovered!BQ91</f>
        <v>0</v>
      </c>
      <c r="BS91" s="5">
        <f>recovered!BS91-recovered!BR91</f>
        <v>0</v>
      </c>
      <c r="BT91" s="5">
        <f>recovered!BT91-recovered!BS91</f>
        <v>0</v>
      </c>
      <c r="BU91" s="5">
        <f>recovered!BU91-recovered!BT91</f>
        <v>0</v>
      </c>
      <c r="BV91" s="5">
        <f>recovered!BV91-recovered!BU91</f>
        <v>51</v>
      </c>
      <c r="BW91" s="5">
        <f>recovered!BW91-recovered!BV91</f>
        <v>4</v>
      </c>
      <c r="BX91" s="5">
        <f>recovered!BX91-recovered!BW91</f>
        <v>7</v>
      </c>
      <c r="BY91" s="5">
        <f>recovered!BY91-recovered!BX91</f>
        <v>0</v>
      </c>
    </row>
    <row r="92">
      <c r="B92" s="1" t="str">
        <f>recovered!B92</f>
        <v>Egypt</v>
      </c>
      <c r="C92" s="4">
        <f>recovered!C92</f>
        <v>26</v>
      </c>
      <c r="D92" s="4">
        <f>recovered!D92</f>
        <v>30</v>
      </c>
      <c r="E92" s="5">
        <f>recovered!E92</f>
        <v>0</v>
      </c>
      <c r="F92" s="5">
        <f>recovered!F92-recovered!E92</f>
        <v>0</v>
      </c>
      <c r="G92" s="5">
        <f>recovered!G92-recovered!F92</f>
        <v>0</v>
      </c>
      <c r="H92" s="5">
        <f>recovered!H92-recovered!G92</f>
        <v>0</v>
      </c>
      <c r="I92" s="5">
        <f>recovered!I92-recovered!H92</f>
        <v>0</v>
      </c>
      <c r="J92" s="5">
        <f>recovered!J92-recovered!I92</f>
        <v>0</v>
      </c>
      <c r="K92" s="5">
        <f>recovered!K92-recovered!J92</f>
        <v>0</v>
      </c>
      <c r="L92" s="5">
        <f>recovered!L92-recovered!K92</f>
        <v>0</v>
      </c>
      <c r="M92" s="5">
        <f>recovered!M92-recovered!L92</f>
        <v>0</v>
      </c>
      <c r="N92" s="5">
        <f>recovered!N92-recovered!M92</f>
        <v>0</v>
      </c>
      <c r="O92" s="5">
        <f>recovered!O92-recovered!N92</f>
        <v>0</v>
      </c>
      <c r="P92" s="5">
        <f>recovered!P92-recovered!O92</f>
        <v>0</v>
      </c>
      <c r="Q92" s="5">
        <f>recovered!Q92-recovered!P92</f>
        <v>0</v>
      </c>
      <c r="R92" s="5">
        <f>recovered!R92-recovered!Q92</f>
        <v>0</v>
      </c>
      <c r="S92" s="5">
        <f>recovered!S92-recovered!R92</f>
        <v>0</v>
      </c>
      <c r="T92" s="5">
        <f>recovered!T92-recovered!S92</f>
        <v>0</v>
      </c>
      <c r="U92" s="5">
        <f>recovered!U92-recovered!T92</f>
        <v>0</v>
      </c>
      <c r="V92" s="5">
        <f>recovered!V92-recovered!U92</f>
        <v>0</v>
      </c>
      <c r="W92" s="5">
        <f>recovered!W92-recovered!V92</f>
        <v>0</v>
      </c>
      <c r="X92" s="5">
        <f>recovered!X92-recovered!W92</f>
        <v>0</v>
      </c>
      <c r="Y92" s="5">
        <f>recovered!Y92-recovered!X92</f>
        <v>0</v>
      </c>
      <c r="Z92" s="5">
        <f>recovered!Z92-recovered!Y92</f>
        <v>0</v>
      </c>
      <c r="AA92" s="5">
        <f>recovered!AA92-recovered!Z92</f>
        <v>0</v>
      </c>
      <c r="AB92" s="5">
        <f>recovered!AB92-recovered!AA92</f>
        <v>0</v>
      </c>
      <c r="AC92" s="5">
        <f>recovered!AC92-recovered!AB92</f>
        <v>0</v>
      </c>
      <c r="AD92" s="5">
        <f>recovered!AD92-recovered!AC92</f>
        <v>0</v>
      </c>
      <c r="AE92" s="5">
        <f>recovered!AE92-recovered!AD92</f>
        <v>0</v>
      </c>
      <c r="AF92" s="5">
        <f>recovered!AF92-recovered!AE92</f>
        <v>0</v>
      </c>
      <c r="AG92" s="5">
        <f>recovered!AG92-recovered!AF92</f>
        <v>0</v>
      </c>
      <c r="AH92" s="5">
        <f>recovered!AH92-recovered!AG92</f>
        <v>0</v>
      </c>
      <c r="AI92" s="5">
        <f>recovered!AI92-recovered!AH92</f>
        <v>0</v>
      </c>
      <c r="AJ92" s="5">
        <f>recovered!AJ92-recovered!AI92</f>
        <v>0</v>
      </c>
      <c r="AK92" s="5">
        <f>recovered!AK92-recovered!AJ92</f>
        <v>0</v>
      </c>
      <c r="AL92" s="5">
        <f>recovered!AL92-recovered!AK92</f>
        <v>0</v>
      </c>
      <c r="AM92" s="5">
        <f>recovered!AM92-recovered!AL92</f>
        <v>0</v>
      </c>
      <c r="AN92" s="5">
        <f>recovered!AN92-recovered!AM92</f>
        <v>0</v>
      </c>
      <c r="AO92" s="5">
        <f>recovered!AO92-recovered!AN92</f>
        <v>0</v>
      </c>
      <c r="AP92" s="5">
        <f>recovered!AP92-recovered!AO92</f>
        <v>1</v>
      </c>
      <c r="AQ92" s="5">
        <f>recovered!AQ92-recovered!AP92</f>
        <v>0</v>
      </c>
      <c r="AR92" s="5">
        <f>recovered!AR92-recovered!AQ92</f>
        <v>0</v>
      </c>
      <c r="AS92" s="5">
        <f>recovered!AS92-recovered!AR92</f>
        <v>0</v>
      </c>
      <c r="AT92" s="5">
        <f>recovered!AT92-recovered!AS92</f>
        <v>0</v>
      </c>
      <c r="AU92" s="5">
        <f>recovered!AU92-recovered!AT92</f>
        <v>0</v>
      </c>
      <c r="AV92" s="5">
        <f>recovered!AV92-recovered!AU92</f>
        <v>0</v>
      </c>
      <c r="AW92" s="5">
        <f>recovered!AW92-recovered!AV92</f>
        <v>0</v>
      </c>
      <c r="AX92" s="5">
        <f>recovered!AX92-recovered!AW92</f>
        <v>0</v>
      </c>
      <c r="AY92" s="5">
        <f>recovered!AY92-recovered!AX92</f>
        <v>0</v>
      </c>
      <c r="AZ92" s="5">
        <f>recovered!AZ92-recovered!AY92</f>
        <v>0</v>
      </c>
      <c r="BA92" s="5">
        <f>recovered!BA92-recovered!AZ92</f>
        <v>0</v>
      </c>
      <c r="BB92" s="5">
        <f>recovered!BB92-recovered!BA92</f>
        <v>26</v>
      </c>
      <c r="BC92" s="5">
        <f>recovered!BC92-recovered!BB92</f>
        <v>0</v>
      </c>
      <c r="BD92" s="5">
        <f>recovered!BD92-recovered!BC92</f>
        <v>0</v>
      </c>
      <c r="BE92" s="5">
        <f>recovered!BE92-recovered!BD92</f>
        <v>0</v>
      </c>
      <c r="BF92" s="5">
        <f>recovered!BF92-recovered!BE92</f>
        <v>-6</v>
      </c>
      <c r="BG92" s="5">
        <f>recovered!BG92-recovered!BF92</f>
        <v>6</v>
      </c>
      <c r="BH92" s="5">
        <f>recovered!BH92-recovered!BG92</f>
        <v>5</v>
      </c>
      <c r="BI92" s="5">
        <f>recovered!BI92-recovered!BH92</f>
        <v>0</v>
      </c>
      <c r="BJ92" s="5">
        <f>recovered!BJ92-recovered!BI92</f>
        <v>0</v>
      </c>
      <c r="BK92" s="5">
        <f>recovered!BK92-recovered!BJ92</f>
        <v>7</v>
      </c>
      <c r="BL92" s="5">
        <f>recovered!BL92-recovered!BK92</f>
        <v>2</v>
      </c>
      <c r="BM92" s="5">
        <f>recovered!BM92-recovered!BL92</f>
        <v>15</v>
      </c>
      <c r="BN92" s="5">
        <f>recovered!BN92-recovered!BM92</f>
        <v>0</v>
      </c>
      <c r="BO92" s="5">
        <f>recovered!BO92-recovered!BN92</f>
        <v>24</v>
      </c>
      <c r="BP92" s="5">
        <f>recovered!BP92-recovered!BO92</f>
        <v>15</v>
      </c>
      <c r="BQ92" s="5">
        <f>recovered!BQ92-recovered!BP92</f>
        <v>7</v>
      </c>
      <c r="BR92" s="5">
        <f>recovered!BR92-recovered!BQ92</f>
        <v>14</v>
      </c>
      <c r="BS92" s="5">
        <f>recovered!BS92-recovered!BR92</f>
        <v>5</v>
      </c>
      <c r="BT92" s="5">
        <f>recovered!BT92-recovered!BS92</f>
        <v>11</v>
      </c>
      <c r="BU92" s="5">
        <f>recovered!BU92-recovered!BT92</f>
        <v>18</v>
      </c>
      <c r="BV92" s="5">
        <f>recovered!BV92-recovered!BU92</f>
        <v>7</v>
      </c>
      <c r="BW92" s="5">
        <f>recovered!BW92-recovered!BV92</f>
        <v>22</v>
      </c>
      <c r="BX92" s="5">
        <f>recovered!BX92-recovered!BW92</f>
        <v>22</v>
      </c>
      <c r="BY92" s="5">
        <f>recovered!BY92-recovered!BX92</f>
        <v>15</v>
      </c>
    </row>
    <row r="93">
      <c r="B93" s="1" t="str">
        <f>recovered!B93</f>
        <v>El Salvador</v>
      </c>
      <c r="C93" s="4">
        <f>recovered!C93</f>
        <v>13.7942</v>
      </c>
      <c r="D93" s="4">
        <f>recovered!D93</f>
        <v>-88.8965</v>
      </c>
      <c r="E93" s="5">
        <f>recovered!E93</f>
        <v>0</v>
      </c>
      <c r="F93" s="5">
        <f>recovered!F93-recovered!E93</f>
        <v>0</v>
      </c>
      <c r="G93" s="5">
        <f>recovered!G93-recovered!F93</f>
        <v>0</v>
      </c>
      <c r="H93" s="5">
        <f>recovered!H93-recovered!G93</f>
        <v>0</v>
      </c>
      <c r="I93" s="5">
        <f>recovered!I93-recovered!H93</f>
        <v>0</v>
      </c>
      <c r="J93" s="5">
        <f>recovered!J93-recovered!I93</f>
        <v>0</v>
      </c>
      <c r="K93" s="5">
        <f>recovered!K93-recovered!J93</f>
        <v>0</v>
      </c>
      <c r="L93" s="5">
        <f>recovered!L93-recovered!K93</f>
        <v>0</v>
      </c>
      <c r="M93" s="5">
        <f>recovered!M93-recovered!L93</f>
        <v>0</v>
      </c>
      <c r="N93" s="5">
        <f>recovered!N93-recovered!M93</f>
        <v>0</v>
      </c>
      <c r="O93" s="5">
        <f>recovered!O93-recovered!N93</f>
        <v>0</v>
      </c>
      <c r="P93" s="5">
        <f>recovered!P93-recovered!O93</f>
        <v>0</v>
      </c>
      <c r="Q93" s="5">
        <f>recovered!Q93-recovered!P93</f>
        <v>0</v>
      </c>
      <c r="R93" s="5">
        <f>recovered!R93-recovered!Q93</f>
        <v>0</v>
      </c>
      <c r="S93" s="5">
        <f>recovered!S93-recovered!R93</f>
        <v>0</v>
      </c>
      <c r="T93" s="5">
        <f>recovered!T93-recovered!S93</f>
        <v>0</v>
      </c>
      <c r="U93" s="5">
        <f>recovered!U93-recovered!T93</f>
        <v>0</v>
      </c>
      <c r="V93" s="5">
        <f>recovered!V93-recovered!U93</f>
        <v>0</v>
      </c>
      <c r="W93" s="5">
        <f>recovered!W93-recovered!V93</f>
        <v>0</v>
      </c>
      <c r="X93" s="5">
        <f>recovered!X93-recovered!W93</f>
        <v>0</v>
      </c>
      <c r="Y93" s="5">
        <f>recovered!Y93-recovered!X93</f>
        <v>0</v>
      </c>
      <c r="Z93" s="5">
        <f>recovered!Z93-recovered!Y93</f>
        <v>0</v>
      </c>
      <c r="AA93" s="5">
        <f>recovered!AA93-recovered!Z93</f>
        <v>0</v>
      </c>
      <c r="AB93" s="5">
        <f>recovered!AB93-recovered!AA93</f>
        <v>0</v>
      </c>
      <c r="AC93" s="5">
        <f>recovered!AC93-recovered!AB93</f>
        <v>0</v>
      </c>
      <c r="AD93" s="5">
        <f>recovered!AD93-recovered!AC93</f>
        <v>0</v>
      </c>
      <c r="AE93" s="5">
        <f>recovered!AE93-recovered!AD93</f>
        <v>0</v>
      </c>
      <c r="AF93" s="5">
        <f>recovered!AF93-recovered!AE93</f>
        <v>0</v>
      </c>
      <c r="AG93" s="5">
        <f>recovered!AG93-recovered!AF93</f>
        <v>0</v>
      </c>
      <c r="AH93" s="5">
        <f>recovered!AH93-recovered!AG93</f>
        <v>0</v>
      </c>
      <c r="AI93" s="5">
        <f>recovered!AI93-recovered!AH93</f>
        <v>0</v>
      </c>
      <c r="AJ93" s="5">
        <f>recovered!AJ93-recovered!AI93</f>
        <v>0</v>
      </c>
      <c r="AK93" s="5">
        <f>recovered!AK93-recovered!AJ93</f>
        <v>0</v>
      </c>
      <c r="AL93" s="5">
        <f>recovered!AL93-recovered!AK93</f>
        <v>0</v>
      </c>
      <c r="AM93" s="5">
        <f>recovered!AM93-recovered!AL93</f>
        <v>0</v>
      </c>
      <c r="AN93" s="5">
        <f>recovered!AN93-recovered!AM93</f>
        <v>0</v>
      </c>
      <c r="AO93" s="5">
        <f>recovered!AO93-recovered!AN93</f>
        <v>0</v>
      </c>
      <c r="AP93" s="5">
        <f>recovered!AP93-recovered!AO93</f>
        <v>0</v>
      </c>
      <c r="AQ93" s="5">
        <f>recovered!AQ93-recovered!AP93</f>
        <v>0</v>
      </c>
      <c r="AR93" s="5">
        <f>recovered!AR93-recovered!AQ93</f>
        <v>0</v>
      </c>
      <c r="AS93" s="5">
        <f>recovered!AS93-recovered!AR93</f>
        <v>0</v>
      </c>
      <c r="AT93" s="5">
        <f>recovered!AT93-recovered!AS93</f>
        <v>0</v>
      </c>
      <c r="AU93" s="5">
        <f>recovered!AU93-recovered!AT93</f>
        <v>0</v>
      </c>
      <c r="AV93" s="5">
        <f>recovered!AV93-recovered!AU93</f>
        <v>0</v>
      </c>
      <c r="AW93" s="5">
        <f>recovered!AW93-recovered!AV93</f>
        <v>0</v>
      </c>
      <c r="AX93" s="5">
        <f>recovered!AX93-recovered!AW93</f>
        <v>0</v>
      </c>
      <c r="AY93" s="5">
        <f>recovered!AY93-recovered!AX93</f>
        <v>0</v>
      </c>
      <c r="AZ93" s="5">
        <f>recovered!AZ93-recovered!AY93</f>
        <v>0</v>
      </c>
      <c r="BA93" s="5">
        <f>recovered!BA93-recovered!AZ93</f>
        <v>0</v>
      </c>
      <c r="BB93" s="5">
        <f>recovered!BB93-recovered!BA93</f>
        <v>0</v>
      </c>
      <c r="BC93" s="5">
        <f>recovered!BC93-recovered!BB93</f>
        <v>0</v>
      </c>
      <c r="BD93" s="5">
        <f>recovered!BD93-recovered!BC93</f>
        <v>0</v>
      </c>
      <c r="BE93" s="5">
        <f>recovered!BE93-recovered!BD93</f>
        <v>0</v>
      </c>
      <c r="BF93" s="5">
        <f>recovered!BF93-recovered!BE93</f>
        <v>0</v>
      </c>
      <c r="BG93" s="5">
        <f>recovered!BG93-recovered!BF93</f>
        <v>0</v>
      </c>
      <c r="BH93" s="5">
        <f>recovered!BH93-recovered!BG93</f>
        <v>0</v>
      </c>
      <c r="BI93" s="5">
        <f>recovered!BI93-recovered!BH93</f>
        <v>0</v>
      </c>
      <c r="BJ93" s="5">
        <f>recovered!BJ93-recovered!BI93</f>
        <v>0</v>
      </c>
      <c r="BK93" s="5">
        <f>recovered!BK93-recovered!BJ93</f>
        <v>0</v>
      </c>
      <c r="BL93" s="5">
        <f>recovered!BL93-recovered!BK93</f>
        <v>0</v>
      </c>
      <c r="BM93" s="5">
        <f>recovered!BM93-recovered!BL93</f>
        <v>0</v>
      </c>
      <c r="BN93" s="5">
        <f>recovered!BN93-recovered!BM93</f>
        <v>0</v>
      </c>
      <c r="BO93" s="5">
        <f>recovered!BO93-recovered!BN93</f>
        <v>0</v>
      </c>
      <c r="BP93" s="5">
        <f>recovered!BP93-recovered!BO93</f>
        <v>0</v>
      </c>
      <c r="BQ93" s="5">
        <f>recovered!BQ93-recovered!BP93</f>
        <v>0</v>
      </c>
      <c r="BR93" s="5">
        <f>recovered!BR93-recovered!BQ93</f>
        <v>0</v>
      </c>
      <c r="BS93" s="5">
        <f>recovered!BS93-recovered!BR93</f>
        <v>0</v>
      </c>
      <c r="BT93" s="5">
        <f>recovered!BT93-recovered!BS93</f>
        <v>0</v>
      </c>
      <c r="BU93" s="5">
        <f>recovered!BU93-recovered!BT93</f>
        <v>0</v>
      </c>
      <c r="BV93" s="5">
        <f>recovered!BV93-recovered!BU93</f>
        <v>0</v>
      </c>
      <c r="BW93" s="5">
        <f>recovered!BW93-recovered!BV93</f>
        <v>0</v>
      </c>
      <c r="BX93" s="5">
        <f>recovered!BX93-recovered!BW93</f>
        <v>0</v>
      </c>
      <c r="BY93" s="5">
        <f>recovered!BY93-recovered!BX93</f>
        <v>0</v>
      </c>
    </row>
    <row r="94">
      <c r="B94" s="1" t="str">
        <f>recovered!B94</f>
        <v>Equatorial Guinea</v>
      </c>
      <c r="C94" s="4">
        <f>recovered!C94</f>
        <v>1.5</v>
      </c>
      <c r="D94" s="4">
        <f>recovered!D94</f>
        <v>10</v>
      </c>
      <c r="E94" s="5">
        <f>recovered!E94</f>
        <v>0</v>
      </c>
      <c r="F94" s="5">
        <f>recovered!F94-recovered!E94</f>
        <v>0</v>
      </c>
      <c r="G94" s="5">
        <f>recovered!G94-recovered!F94</f>
        <v>0</v>
      </c>
      <c r="H94" s="5">
        <f>recovered!H94-recovered!G94</f>
        <v>0</v>
      </c>
      <c r="I94" s="5">
        <f>recovered!I94-recovered!H94</f>
        <v>0</v>
      </c>
      <c r="J94" s="5">
        <f>recovered!J94-recovered!I94</f>
        <v>0</v>
      </c>
      <c r="K94" s="5">
        <f>recovered!K94-recovered!J94</f>
        <v>0</v>
      </c>
      <c r="L94" s="5">
        <f>recovered!L94-recovered!K94</f>
        <v>0</v>
      </c>
      <c r="M94" s="5">
        <f>recovered!M94-recovered!L94</f>
        <v>0</v>
      </c>
      <c r="N94" s="5">
        <f>recovered!N94-recovered!M94</f>
        <v>0</v>
      </c>
      <c r="O94" s="5">
        <f>recovered!O94-recovered!N94</f>
        <v>0</v>
      </c>
      <c r="P94" s="5">
        <f>recovered!P94-recovered!O94</f>
        <v>0</v>
      </c>
      <c r="Q94" s="5">
        <f>recovered!Q94-recovered!P94</f>
        <v>0</v>
      </c>
      <c r="R94" s="5">
        <f>recovered!R94-recovered!Q94</f>
        <v>0</v>
      </c>
      <c r="S94" s="5">
        <f>recovered!S94-recovered!R94</f>
        <v>0</v>
      </c>
      <c r="T94" s="5">
        <f>recovered!T94-recovered!S94</f>
        <v>0</v>
      </c>
      <c r="U94" s="5">
        <f>recovered!U94-recovered!T94</f>
        <v>0</v>
      </c>
      <c r="V94" s="5">
        <f>recovered!V94-recovered!U94</f>
        <v>0</v>
      </c>
      <c r="W94" s="5">
        <f>recovered!W94-recovered!V94</f>
        <v>0</v>
      </c>
      <c r="X94" s="5">
        <f>recovered!X94-recovered!W94</f>
        <v>0</v>
      </c>
      <c r="Y94" s="5">
        <f>recovered!Y94-recovered!X94</f>
        <v>0</v>
      </c>
      <c r="Z94" s="5">
        <f>recovered!Z94-recovered!Y94</f>
        <v>0</v>
      </c>
      <c r="AA94" s="5">
        <f>recovered!AA94-recovered!Z94</f>
        <v>0</v>
      </c>
      <c r="AB94" s="5">
        <f>recovered!AB94-recovered!AA94</f>
        <v>0</v>
      </c>
      <c r="AC94" s="5">
        <f>recovered!AC94-recovered!AB94</f>
        <v>0</v>
      </c>
      <c r="AD94" s="5">
        <f>recovered!AD94-recovered!AC94</f>
        <v>0</v>
      </c>
      <c r="AE94" s="5">
        <f>recovered!AE94-recovered!AD94</f>
        <v>0</v>
      </c>
      <c r="AF94" s="5">
        <f>recovered!AF94-recovered!AE94</f>
        <v>0</v>
      </c>
      <c r="AG94" s="5">
        <f>recovered!AG94-recovered!AF94</f>
        <v>0</v>
      </c>
      <c r="AH94" s="5">
        <f>recovered!AH94-recovered!AG94</f>
        <v>0</v>
      </c>
      <c r="AI94" s="5">
        <f>recovered!AI94-recovered!AH94</f>
        <v>0</v>
      </c>
      <c r="AJ94" s="5">
        <f>recovered!AJ94-recovered!AI94</f>
        <v>0</v>
      </c>
      <c r="AK94" s="5">
        <f>recovered!AK94-recovered!AJ94</f>
        <v>0</v>
      </c>
      <c r="AL94" s="5">
        <f>recovered!AL94-recovered!AK94</f>
        <v>0</v>
      </c>
      <c r="AM94" s="5">
        <f>recovered!AM94-recovered!AL94</f>
        <v>0</v>
      </c>
      <c r="AN94" s="5">
        <f>recovered!AN94-recovered!AM94</f>
        <v>0</v>
      </c>
      <c r="AO94" s="5">
        <f>recovered!AO94-recovered!AN94</f>
        <v>0</v>
      </c>
      <c r="AP94" s="5">
        <f>recovered!AP94-recovered!AO94</f>
        <v>0</v>
      </c>
      <c r="AQ94" s="5">
        <f>recovered!AQ94-recovered!AP94</f>
        <v>0</v>
      </c>
      <c r="AR94" s="5">
        <f>recovered!AR94-recovered!AQ94</f>
        <v>0</v>
      </c>
      <c r="AS94" s="5">
        <f>recovered!AS94-recovered!AR94</f>
        <v>0</v>
      </c>
      <c r="AT94" s="5">
        <f>recovered!AT94-recovered!AS94</f>
        <v>0</v>
      </c>
      <c r="AU94" s="5">
        <f>recovered!AU94-recovered!AT94</f>
        <v>0</v>
      </c>
      <c r="AV94" s="5">
        <f>recovered!AV94-recovered!AU94</f>
        <v>0</v>
      </c>
      <c r="AW94" s="5">
        <f>recovered!AW94-recovered!AV94</f>
        <v>0</v>
      </c>
      <c r="AX94" s="5">
        <f>recovered!AX94-recovered!AW94</f>
        <v>0</v>
      </c>
      <c r="AY94" s="5">
        <f>recovered!AY94-recovered!AX94</f>
        <v>0</v>
      </c>
      <c r="AZ94" s="5">
        <f>recovered!AZ94-recovered!AY94</f>
        <v>0</v>
      </c>
      <c r="BA94" s="5">
        <f>recovered!BA94-recovered!AZ94</f>
        <v>0</v>
      </c>
      <c r="BB94" s="5">
        <f>recovered!BB94-recovered!BA94</f>
        <v>0</v>
      </c>
      <c r="BC94" s="5">
        <f>recovered!BC94-recovered!BB94</f>
        <v>0</v>
      </c>
      <c r="BD94" s="5">
        <f>recovered!BD94-recovered!BC94</f>
        <v>0</v>
      </c>
      <c r="BE94" s="5">
        <f>recovered!BE94-recovered!BD94</f>
        <v>0</v>
      </c>
      <c r="BF94" s="5">
        <f>recovered!BF94-recovered!BE94</f>
        <v>0</v>
      </c>
      <c r="BG94" s="5">
        <f>recovered!BG94-recovered!BF94</f>
        <v>0</v>
      </c>
      <c r="BH94" s="5">
        <f>recovered!BH94-recovered!BG94</f>
        <v>0</v>
      </c>
      <c r="BI94" s="5">
        <f>recovered!BI94-recovered!BH94</f>
        <v>0</v>
      </c>
      <c r="BJ94" s="5">
        <f>recovered!BJ94-recovered!BI94</f>
        <v>0</v>
      </c>
      <c r="BK94" s="5">
        <f>recovered!BK94-recovered!BJ94</f>
        <v>0</v>
      </c>
      <c r="BL94" s="5">
        <f>recovered!BL94-recovered!BK94</f>
        <v>0</v>
      </c>
      <c r="BM94" s="5">
        <f>recovered!BM94-recovered!BL94</f>
        <v>0</v>
      </c>
      <c r="BN94" s="5">
        <f>recovered!BN94-recovered!BM94</f>
        <v>0</v>
      </c>
      <c r="BO94" s="5">
        <f>recovered!BO94-recovered!BN94</f>
        <v>0</v>
      </c>
      <c r="BP94" s="5">
        <f>recovered!BP94-recovered!BO94</f>
        <v>0</v>
      </c>
      <c r="BQ94" s="5">
        <f>recovered!BQ94-recovered!BP94</f>
        <v>0</v>
      </c>
      <c r="BR94" s="5">
        <f>recovered!BR94-recovered!BQ94</f>
        <v>0</v>
      </c>
      <c r="BS94" s="5">
        <f>recovered!BS94-recovered!BR94</f>
        <v>0</v>
      </c>
      <c r="BT94" s="5">
        <f>recovered!BT94-recovered!BS94</f>
        <v>0</v>
      </c>
      <c r="BU94" s="5">
        <f>recovered!BU94-recovered!BT94</f>
        <v>0</v>
      </c>
      <c r="BV94" s="5">
        <f>recovered!BV94-recovered!BU94</f>
        <v>1</v>
      </c>
      <c r="BW94" s="5">
        <f>recovered!BW94-recovered!BV94</f>
        <v>0</v>
      </c>
      <c r="BX94" s="5">
        <f>recovered!BX94-recovered!BW94</f>
        <v>0</v>
      </c>
      <c r="BY94" s="5">
        <f>recovered!BY94-recovered!BX94</f>
        <v>0</v>
      </c>
    </row>
    <row r="95">
      <c r="B95" s="1" t="str">
        <f>recovered!B95</f>
        <v>Eritrea</v>
      </c>
      <c r="C95" s="4">
        <f>recovered!C95</f>
        <v>15.1794</v>
      </c>
      <c r="D95" s="4">
        <f>recovered!D95</f>
        <v>39.7823</v>
      </c>
      <c r="E95" s="5">
        <f>recovered!E95</f>
        <v>0</v>
      </c>
      <c r="F95" s="5">
        <f>recovered!F95-recovered!E95</f>
        <v>0</v>
      </c>
      <c r="G95" s="5">
        <f>recovered!G95-recovered!F95</f>
        <v>0</v>
      </c>
      <c r="H95" s="5">
        <f>recovered!H95-recovered!G95</f>
        <v>0</v>
      </c>
      <c r="I95" s="5">
        <f>recovered!I95-recovered!H95</f>
        <v>0</v>
      </c>
      <c r="J95" s="5">
        <f>recovered!J95-recovered!I95</f>
        <v>0</v>
      </c>
      <c r="K95" s="5">
        <f>recovered!K95-recovered!J95</f>
        <v>0</v>
      </c>
      <c r="L95" s="5">
        <f>recovered!L95-recovered!K95</f>
        <v>0</v>
      </c>
      <c r="M95" s="5">
        <f>recovered!M95-recovered!L95</f>
        <v>0</v>
      </c>
      <c r="N95" s="5">
        <f>recovered!N95-recovered!M95</f>
        <v>0</v>
      </c>
      <c r="O95" s="5">
        <f>recovered!O95-recovered!N95</f>
        <v>0</v>
      </c>
      <c r="P95" s="5">
        <f>recovered!P95-recovered!O95</f>
        <v>0</v>
      </c>
      <c r="Q95" s="5">
        <f>recovered!Q95-recovered!P95</f>
        <v>0</v>
      </c>
      <c r="R95" s="5">
        <f>recovered!R95-recovered!Q95</f>
        <v>0</v>
      </c>
      <c r="S95" s="5">
        <f>recovered!S95-recovered!R95</f>
        <v>0</v>
      </c>
      <c r="T95" s="5">
        <f>recovered!T95-recovered!S95</f>
        <v>0</v>
      </c>
      <c r="U95" s="5">
        <f>recovered!U95-recovered!T95</f>
        <v>0</v>
      </c>
      <c r="V95" s="5">
        <f>recovered!V95-recovered!U95</f>
        <v>0</v>
      </c>
      <c r="W95" s="5">
        <f>recovered!W95-recovered!V95</f>
        <v>0</v>
      </c>
      <c r="X95" s="5">
        <f>recovered!X95-recovered!W95</f>
        <v>0</v>
      </c>
      <c r="Y95" s="5">
        <f>recovered!Y95-recovered!X95</f>
        <v>0</v>
      </c>
      <c r="Z95" s="5">
        <f>recovered!Z95-recovered!Y95</f>
        <v>0</v>
      </c>
      <c r="AA95" s="5">
        <f>recovered!AA95-recovered!Z95</f>
        <v>0</v>
      </c>
      <c r="AB95" s="5">
        <f>recovered!AB95-recovered!AA95</f>
        <v>0</v>
      </c>
      <c r="AC95" s="5">
        <f>recovered!AC95-recovered!AB95</f>
        <v>0</v>
      </c>
      <c r="AD95" s="5">
        <f>recovered!AD95-recovered!AC95</f>
        <v>0</v>
      </c>
      <c r="AE95" s="5">
        <f>recovered!AE95-recovered!AD95</f>
        <v>0</v>
      </c>
      <c r="AF95" s="5">
        <f>recovered!AF95-recovered!AE95</f>
        <v>0</v>
      </c>
      <c r="AG95" s="5">
        <f>recovered!AG95-recovered!AF95</f>
        <v>0</v>
      </c>
      <c r="AH95" s="5">
        <f>recovered!AH95-recovered!AG95</f>
        <v>0</v>
      </c>
      <c r="AI95" s="5">
        <f>recovered!AI95-recovered!AH95</f>
        <v>0</v>
      </c>
      <c r="AJ95" s="5">
        <f>recovered!AJ95-recovered!AI95</f>
        <v>0</v>
      </c>
      <c r="AK95" s="5">
        <f>recovered!AK95-recovered!AJ95</f>
        <v>0</v>
      </c>
      <c r="AL95" s="5">
        <f>recovered!AL95-recovered!AK95</f>
        <v>0</v>
      </c>
      <c r="AM95" s="5">
        <f>recovered!AM95-recovered!AL95</f>
        <v>0</v>
      </c>
      <c r="AN95" s="5">
        <f>recovered!AN95-recovered!AM95</f>
        <v>0</v>
      </c>
      <c r="AO95" s="5">
        <f>recovered!AO95-recovered!AN95</f>
        <v>0</v>
      </c>
      <c r="AP95" s="5">
        <f>recovered!AP95-recovered!AO95</f>
        <v>0</v>
      </c>
      <c r="AQ95" s="5">
        <f>recovered!AQ95-recovered!AP95</f>
        <v>0</v>
      </c>
      <c r="AR95" s="5">
        <f>recovered!AR95-recovered!AQ95</f>
        <v>0</v>
      </c>
      <c r="AS95" s="5">
        <f>recovered!AS95-recovered!AR95</f>
        <v>0</v>
      </c>
      <c r="AT95" s="5">
        <f>recovered!AT95-recovered!AS95</f>
        <v>0</v>
      </c>
      <c r="AU95" s="5">
        <f>recovered!AU95-recovered!AT95</f>
        <v>0</v>
      </c>
      <c r="AV95" s="5">
        <f>recovered!AV95-recovered!AU95</f>
        <v>0</v>
      </c>
      <c r="AW95" s="5">
        <f>recovered!AW95-recovered!AV95</f>
        <v>0</v>
      </c>
      <c r="AX95" s="5">
        <f>recovered!AX95-recovered!AW95</f>
        <v>0</v>
      </c>
      <c r="AY95" s="5">
        <f>recovered!AY95-recovered!AX95</f>
        <v>0</v>
      </c>
      <c r="AZ95" s="5">
        <f>recovered!AZ95-recovered!AY95</f>
        <v>0</v>
      </c>
      <c r="BA95" s="5">
        <f>recovered!BA95-recovered!AZ95</f>
        <v>0</v>
      </c>
      <c r="BB95" s="5">
        <f>recovered!BB95-recovered!BA95</f>
        <v>0</v>
      </c>
      <c r="BC95" s="5">
        <f>recovered!BC95-recovered!BB95</f>
        <v>0</v>
      </c>
      <c r="BD95" s="5">
        <f>recovered!BD95-recovered!BC95</f>
        <v>0</v>
      </c>
      <c r="BE95" s="5">
        <f>recovered!BE95-recovered!BD95</f>
        <v>0</v>
      </c>
      <c r="BF95" s="5">
        <f>recovered!BF95-recovered!BE95</f>
        <v>0</v>
      </c>
      <c r="BG95" s="5">
        <f>recovered!BG95-recovered!BF95</f>
        <v>0</v>
      </c>
      <c r="BH95" s="5">
        <f>recovered!BH95-recovered!BG95</f>
        <v>0</v>
      </c>
      <c r="BI95" s="5">
        <f>recovered!BI95-recovered!BH95</f>
        <v>0</v>
      </c>
      <c r="BJ95" s="5">
        <f>recovered!BJ95-recovered!BI95</f>
        <v>0</v>
      </c>
      <c r="BK95" s="5">
        <f>recovered!BK95-recovered!BJ95</f>
        <v>0</v>
      </c>
      <c r="BL95" s="5">
        <f>recovered!BL95-recovered!BK95</f>
        <v>0</v>
      </c>
      <c r="BM95" s="5">
        <f>recovered!BM95-recovered!BL95</f>
        <v>0</v>
      </c>
      <c r="BN95" s="5">
        <f>recovered!BN95-recovered!BM95</f>
        <v>0</v>
      </c>
      <c r="BO95" s="5">
        <f>recovered!BO95-recovered!BN95</f>
        <v>0</v>
      </c>
      <c r="BP95" s="5">
        <f>recovered!BP95-recovered!BO95</f>
        <v>0</v>
      </c>
      <c r="BQ95" s="5">
        <f>recovered!BQ95-recovered!BP95</f>
        <v>0</v>
      </c>
      <c r="BR95" s="5">
        <f>recovered!BR95-recovered!BQ95</f>
        <v>0</v>
      </c>
      <c r="BS95" s="5">
        <f>recovered!BS95-recovered!BR95</f>
        <v>0</v>
      </c>
      <c r="BT95" s="5">
        <f>recovered!BT95-recovered!BS95</f>
        <v>0</v>
      </c>
      <c r="BU95" s="5">
        <f>recovered!BU95-recovered!BT95</f>
        <v>0</v>
      </c>
      <c r="BV95" s="5">
        <f>recovered!BV95-recovered!BU95</f>
        <v>0</v>
      </c>
      <c r="BW95" s="5">
        <f>recovered!BW95-recovered!BV95</f>
        <v>0</v>
      </c>
      <c r="BX95" s="5">
        <f>recovered!BX95-recovered!BW95</f>
        <v>0</v>
      </c>
      <c r="BY95" s="5">
        <f>recovered!BY95-recovered!BX95</f>
        <v>0</v>
      </c>
    </row>
    <row r="96">
      <c r="B96" s="1" t="str">
        <f>recovered!B96</f>
        <v>Estonia</v>
      </c>
      <c r="C96" s="4">
        <f>recovered!C96</f>
        <v>58.5953</v>
      </c>
      <c r="D96" s="4">
        <f>recovered!D96</f>
        <v>25.0136</v>
      </c>
      <c r="E96" s="5">
        <f>recovered!E96</f>
        <v>0</v>
      </c>
      <c r="F96" s="5">
        <f>recovered!F96-recovered!E96</f>
        <v>0</v>
      </c>
      <c r="G96" s="5">
        <f>recovered!G96-recovered!F96</f>
        <v>0</v>
      </c>
      <c r="H96" s="5">
        <f>recovered!H96-recovered!G96</f>
        <v>0</v>
      </c>
      <c r="I96" s="5">
        <f>recovered!I96-recovered!H96</f>
        <v>0</v>
      </c>
      <c r="J96" s="5">
        <f>recovered!J96-recovered!I96</f>
        <v>0</v>
      </c>
      <c r="K96" s="5">
        <f>recovered!K96-recovered!J96</f>
        <v>0</v>
      </c>
      <c r="L96" s="5">
        <f>recovered!L96-recovered!K96</f>
        <v>0</v>
      </c>
      <c r="M96" s="5">
        <f>recovered!M96-recovered!L96</f>
        <v>0</v>
      </c>
      <c r="N96" s="5">
        <f>recovered!N96-recovered!M96</f>
        <v>0</v>
      </c>
      <c r="O96" s="5">
        <f>recovered!O96-recovered!N96</f>
        <v>0</v>
      </c>
      <c r="P96" s="5">
        <f>recovered!P96-recovered!O96</f>
        <v>0</v>
      </c>
      <c r="Q96" s="5">
        <f>recovered!Q96-recovered!P96</f>
        <v>0</v>
      </c>
      <c r="R96" s="5">
        <f>recovered!R96-recovered!Q96</f>
        <v>0</v>
      </c>
      <c r="S96" s="5">
        <f>recovered!S96-recovered!R96</f>
        <v>0</v>
      </c>
      <c r="T96" s="5">
        <f>recovered!T96-recovered!S96</f>
        <v>0</v>
      </c>
      <c r="U96" s="5">
        <f>recovered!U96-recovered!T96</f>
        <v>0</v>
      </c>
      <c r="V96" s="5">
        <f>recovered!V96-recovered!U96</f>
        <v>0</v>
      </c>
      <c r="W96" s="5">
        <f>recovered!W96-recovered!V96</f>
        <v>0</v>
      </c>
      <c r="X96" s="5">
        <f>recovered!X96-recovered!W96</f>
        <v>0</v>
      </c>
      <c r="Y96" s="5">
        <f>recovered!Y96-recovered!X96</f>
        <v>0</v>
      </c>
      <c r="Z96" s="5">
        <f>recovered!Z96-recovered!Y96</f>
        <v>0</v>
      </c>
      <c r="AA96" s="5">
        <f>recovered!AA96-recovered!Z96</f>
        <v>0</v>
      </c>
      <c r="AB96" s="5">
        <f>recovered!AB96-recovered!AA96</f>
        <v>0</v>
      </c>
      <c r="AC96" s="5">
        <f>recovered!AC96-recovered!AB96</f>
        <v>0</v>
      </c>
      <c r="AD96" s="5">
        <f>recovered!AD96-recovered!AC96</f>
        <v>0</v>
      </c>
      <c r="AE96" s="5">
        <f>recovered!AE96-recovered!AD96</f>
        <v>0</v>
      </c>
      <c r="AF96" s="5">
        <f>recovered!AF96-recovered!AE96</f>
        <v>0</v>
      </c>
      <c r="AG96" s="5">
        <f>recovered!AG96-recovered!AF96</f>
        <v>0</v>
      </c>
      <c r="AH96" s="5">
        <f>recovered!AH96-recovered!AG96</f>
        <v>0</v>
      </c>
      <c r="AI96" s="5">
        <f>recovered!AI96-recovered!AH96</f>
        <v>0</v>
      </c>
      <c r="AJ96" s="5">
        <f>recovered!AJ96-recovered!AI96</f>
        <v>0</v>
      </c>
      <c r="AK96" s="5">
        <f>recovered!AK96-recovered!AJ96</f>
        <v>0</v>
      </c>
      <c r="AL96" s="5">
        <f>recovered!AL96-recovered!AK96</f>
        <v>0</v>
      </c>
      <c r="AM96" s="5">
        <f>recovered!AM96-recovered!AL96</f>
        <v>0</v>
      </c>
      <c r="AN96" s="5">
        <f>recovered!AN96-recovered!AM96</f>
        <v>0</v>
      </c>
      <c r="AO96" s="5">
        <f>recovered!AO96-recovered!AN96</f>
        <v>0</v>
      </c>
      <c r="AP96" s="5">
        <f>recovered!AP96-recovered!AO96</f>
        <v>0</v>
      </c>
      <c r="AQ96" s="5">
        <f>recovered!AQ96-recovered!AP96</f>
        <v>0</v>
      </c>
      <c r="AR96" s="5">
        <f>recovered!AR96-recovered!AQ96</f>
        <v>0</v>
      </c>
      <c r="AS96" s="5">
        <f>recovered!AS96-recovered!AR96</f>
        <v>0</v>
      </c>
      <c r="AT96" s="5">
        <f>recovered!AT96-recovered!AS96</f>
        <v>0</v>
      </c>
      <c r="AU96" s="5">
        <f>recovered!AU96-recovered!AT96</f>
        <v>0</v>
      </c>
      <c r="AV96" s="5">
        <f>recovered!AV96-recovered!AU96</f>
        <v>0</v>
      </c>
      <c r="AW96" s="5">
        <f>recovered!AW96-recovered!AV96</f>
        <v>0</v>
      </c>
      <c r="AX96" s="5">
        <f>recovered!AX96-recovered!AW96</f>
        <v>0</v>
      </c>
      <c r="AY96" s="5">
        <f>recovered!AY96-recovered!AX96</f>
        <v>0</v>
      </c>
      <c r="AZ96" s="5">
        <f>recovered!AZ96-recovered!AY96</f>
        <v>0</v>
      </c>
      <c r="BA96" s="5">
        <f>recovered!BA96-recovered!AZ96</f>
        <v>0</v>
      </c>
      <c r="BB96" s="5">
        <f>recovered!BB96-recovered!BA96</f>
        <v>0</v>
      </c>
      <c r="BC96" s="5">
        <f>recovered!BC96-recovered!BB96</f>
        <v>0</v>
      </c>
      <c r="BD96" s="5">
        <f>recovered!BD96-recovered!BC96</f>
        <v>0</v>
      </c>
      <c r="BE96" s="5">
        <f>recovered!BE96-recovered!BD96</f>
        <v>0</v>
      </c>
      <c r="BF96" s="5">
        <f>recovered!BF96-recovered!BE96</f>
        <v>1</v>
      </c>
      <c r="BG96" s="5">
        <f>recovered!BG96-recovered!BF96</f>
        <v>0</v>
      </c>
      <c r="BH96" s="5">
        <f>recovered!BH96-recovered!BG96</f>
        <v>0</v>
      </c>
      <c r="BI96" s="5">
        <f>recovered!BI96-recovered!BH96</f>
        <v>0</v>
      </c>
      <c r="BJ96" s="5">
        <f>recovered!BJ96-recovered!BI96</f>
        <v>0</v>
      </c>
      <c r="BK96" s="5">
        <f>recovered!BK96-recovered!BJ96</f>
        <v>0</v>
      </c>
      <c r="BL96" s="5">
        <f>recovered!BL96-recovered!BK96</f>
        <v>0</v>
      </c>
      <c r="BM96" s="5">
        <f>recovered!BM96-recovered!BL96</f>
        <v>1</v>
      </c>
      <c r="BN96" s="5">
        <f>recovered!BN96-recovered!BM96</f>
        <v>0</v>
      </c>
      <c r="BO96" s="5">
        <f>recovered!BO96-recovered!BN96</f>
        <v>5</v>
      </c>
      <c r="BP96" s="5">
        <f>recovered!BP96-recovered!BO96</f>
        <v>1</v>
      </c>
      <c r="BQ96" s="5">
        <f>recovered!BQ96-recovered!BP96</f>
        <v>0</v>
      </c>
      <c r="BR96" s="5">
        <f>recovered!BR96-recovered!BQ96</f>
        <v>3</v>
      </c>
      <c r="BS96" s="5">
        <f>recovered!BS96-recovered!BR96</f>
        <v>9</v>
      </c>
      <c r="BT96" s="5">
        <f>recovered!BT96-recovered!BS96</f>
        <v>0</v>
      </c>
      <c r="BU96" s="5">
        <f>recovered!BU96-recovered!BT96</f>
        <v>0</v>
      </c>
      <c r="BV96" s="5">
        <f>recovered!BV96-recovered!BU96</f>
        <v>6</v>
      </c>
      <c r="BW96" s="5">
        <f>recovered!BW96-recovered!BV96</f>
        <v>7</v>
      </c>
      <c r="BX96" s="5">
        <f>recovered!BX96-recovered!BW96</f>
        <v>12</v>
      </c>
      <c r="BY96" s="5">
        <f>recovered!BY96-recovered!BX96</f>
        <v>3</v>
      </c>
    </row>
    <row r="97">
      <c r="B97" s="1" t="str">
        <f>recovered!B97</f>
        <v>Eswatini</v>
      </c>
      <c r="C97" s="4">
        <f>recovered!C97</f>
        <v>-26.5225</v>
      </c>
      <c r="D97" s="4">
        <f>recovered!D97</f>
        <v>31.4659</v>
      </c>
      <c r="E97" s="5">
        <f>recovered!E97</f>
        <v>0</v>
      </c>
      <c r="F97" s="5">
        <f>recovered!F97-recovered!E97</f>
        <v>0</v>
      </c>
      <c r="G97" s="5">
        <f>recovered!G97-recovered!F97</f>
        <v>0</v>
      </c>
      <c r="H97" s="5">
        <f>recovered!H97-recovered!G97</f>
        <v>0</v>
      </c>
      <c r="I97" s="5">
        <f>recovered!I97-recovered!H97</f>
        <v>0</v>
      </c>
      <c r="J97" s="5">
        <f>recovered!J97-recovered!I97</f>
        <v>0</v>
      </c>
      <c r="K97" s="5">
        <f>recovered!K97-recovered!J97</f>
        <v>0</v>
      </c>
      <c r="L97" s="5">
        <f>recovered!L97-recovered!K97</f>
        <v>0</v>
      </c>
      <c r="M97" s="5">
        <f>recovered!M97-recovered!L97</f>
        <v>0</v>
      </c>
      <c r="N97" s="5">
        <f>recovered!N97-recovered!M97</f>
        <v>0</v>
      </c>
      <c r="O97" s="5">
        <f>recovered!O97-recovered!N97</f>
        <v>0</v>
      </c>
      <c r="P97" s="5">
        <f>recovered!P97-recovered!O97</f>
        <v>0</v>
      </c>
      <c r="Q97" s="5">
        <f>recovered!Q97-recovered!P97</f>
        <v>0</v>
      </c>
      <c r="R97" s="5">
        <f>recovered!R97-recovered!Q97</f>
        <v>0</v>
      </c>
      <c r="S97" s="5">
        <f>recovered!S97-recovered!R97</f>
        <v>0</v>
      </c>
      <c r="T97" s="5">
        <f>recovered!T97-recovered!S97</f>
        <v>0</v>
      </c>
      <c r="U97" s="5">
        <f>recovered!U97-recovered!T97</f>
        <v>0</v>
      </c>
      <c r="V97" s="5">
        <f>recovered!V97-recovered!U97</f>
        <v>0</v>
      </c>
      <c r="W97" s="5">
        <f>recovered!W97-recovered!V97</f>
        <v>0</v>
      </c>
      <c r="X97" s="5">
        <f>recovered!X97-recovered!W97</f>
        <v>0</v>
      </c>
      <c r="Y97" s="5">
        <f>recovered!Y97-recovered!X97</f>
        <v>0</v>
      </c>
      <c r="Z97" s="5">
        <f>recovered!Z97-recovered!Y97</f>
        <v>0</v>
      </c>
      <c r="AA97" s="5">
        <f>recovered!AA97-recovered!Z97</f>
        <v>0</v>
      </c>
      <c r="AB97" s="5">
        <f>recovered!AB97-recovered!AA97</f>
        <v>0</v>
      </c>
      <c r="AC97" s="5">
        <f>recovered!AC97-recovered!AB97</f>
        <v>0</v>
      </c>
      <c r="AD97" s="5">
        <f>recovered!AD97-recovered!AC97</f>
        <v>0</v>
      </c>
      <c r="AE97" s="5">
        <f>recovered!AE97-recovered!AD97</f>
        <v>0</v>
      </c>
      <c r="AF97" s="5">
        <f>recovered!AF97-recovered!AE97</f>
        <v>0</v>
      </c>
      <c r="AG97" s="5">
        <f>recovered!AG97-recovered!AF97</f>
        <v>0</v>
      </c>
      <c r="AH97" s="5">
        <f>recovered!AH97-recovered!AG97</f>
        <v>0</v>
      </c>
      <c r="AI97" s="5">
        <f>recovered!AI97-recovered!AH97</f>
        <v>0</v>
      </c>
      <c r="AJ97" s="5">
        <f>recovered!AJ97-recovered!AI97</f>
        <v>0</v>
      </c>
      <c r="AK97" s="5">
        <f>recovered!AK97-recovered!AJ97</f>
        <v>0</v>
      </c>
      <c r="AL97" s="5">
        <f>recovered!AL97-recovered!AK97</f>
        <v>0</v>
      </c>
      <c r="AM97" s="5">
        <f>recovered!AM97-recovered!AL97</f>
        <v>0</v>
      </c>
      <c r="AN97" s="5">
        <f>recovered!AN97-recovered!AM97</f>
        <v>0</v>
      </c>
      <c r="AO97" s="5">
        <f>recovered!AO97-recovered!AN97</f>
        <v>0</v>
      </c>
      <c r="AP97" s="5">
        <f>recovered!AP97-recovered!AO97</f>
        <v>0</v>
      </c>
      <c r="AQ97" s="5">
        <f>recovered!AQ97-recovered!AP97</f>
        <v>0</v>
      </c>
      <c r="AR97" s="5">
        <f>recovered!AR97-recovered!AQ97</f>
        <v>0</v>
      </c>
      <c r="AS97" s="5">
        <f>recovered!AS97-recovered!AR97</f>
        <v>0</v>
      </c>
      <c r="AT97" s="5">
        <f>recovered!AT97-recovered!AS97</f>
        <v>0</v>
      </c>
      <c r="AU97" s="5">
        <f>recovered!AU97-recovered!AT97</f>
        <v>0</v>
      </c>
      <c r="AV97" s="5">
        <f>recovered!AV97-recovered!AU97</f>
        <v>0</v>
      </c>
      <c r="AW97" s="5">
        <f>recovered!AW97-recovered!AV97</f>
        <v>0</v>
      </c>
      <c r="AX97" s="5">
        <f>recovered!AX97-recovered!AW97</f>
        <v>0</v>
      </c>
      <c r="AY97" s="5">
        <f>recovered!AY97-recovered!AX97</f>
        <v>0</v>
      </c>
      <c r="AZ97" s="5">
        <f>recovered!AZ97-recovered!AY97</f>
        <v>0</v>
      </c>
      <c r="BA97" s="5">
        <f>recovered!BA97-recovered!AZ97</f>
        <v>0</v>
      </c>
      <c r="BB97" s="5">
        <f>recovered!BB97-recovered!BA97</f>
        <v>0</v>
      </c>
      <c r="BC97" s="5">
        <f>recovered!BC97-recovered!BB97</f>
        <v>0</v>
      </c>
      <c r="BD97" s="5">
        <f>recovered!BD97-recovered!BC97</f>
        <v>0</v>
      </c>
      <c r="BE97" s="5">
        <f>recovered!BE97-recovered!BD97</f>
        <v>0</v>
      </c>
      <c r="BF97" s="5">
        <f>recovered!BF97-recovered!BE97</f>
        <v>0</v>
      </c>
      <c r="BG97" s="5">
        <f>recovered!BG97-recovered!BF97</f>
        <v>0</v>
      </c>
      <c r="BH97" s="5">
        <f>recovered!BH97-recovered!BG97</f>
        <v>0</v>
      </c>
      <c r="BI97" s="5">
        <f>recovered!BI97-recovered!BH97</f>
        <v>0</v>
      </c>
      <c r="BJ97" s="5">
        <f>recovered!BJ97-recovered!BI97</f>
        <v>0</v>
      </c>
      <c r="BK97" s="5">
        <f>recovered!BK97-recovered!BJ97</f>
        <v>0</v>
      </c>
      <c r="BL97" s="5">
        <f>recovered!BL97-recovered!BK97</f>
        <v>0</v>
      </c>
      <c r="BM97" s="5">
        <f>recovered!BM97-recovered!BL97</f>
        <v>0</v>
      </c>
      <c r="BN97" s="5">
        <f>recovered!BN97-recovered!BM97</f>
        <v>0</v>
      </c>
      <c r="BO97" s="5">
        <f>recovered!BO97-recovered!BN97</f>
        <v>0</v>
      </c>
      <c r="BP97" s="5">
        <f>recovered!BP97-recovered!BO97</f>
        <v>0</v>
      </c>
      <c r="BQ97" s="5">
        <f>recovered!BQ97-recovered!BP97</f>
        <v>0</v>
      </c>
      <c r="BR97" s="5">
        <f>recovered!BR97-recovered!BQ97</f>
        <v>0</v>
      </c>
      <c r="BS97" s="5">
        <f>recovered!BS97-recovered!BR97</f>
        <v>0</v>
      </c>
      <c r="BT97" s="5">
        <f>recovered!BT97-recovered!BS97</f>
        <v>0</v>
      </c>
      <c r="BU97" s="5">
        <f>recovered!BU97-recovered!BT97</f>
        <v>0</v>
      </c>
      <c r="BV97" s="5">
        <f>recovered!BV97-recovered!BU97</f>
        <v>0</v>
      </c>
      <c r="BW97" s="5">
        <f>recovered!BW97-recovered!BV97</f>
        <v>0</v>
      </c>
      <c r="BX97" s="5">
        <f>recovered!BX97-recovered!BW97</f>
        <v>0</v>
      </c>
      <c r="BY97" s="5">
        <f>recovered!BY97-recovered!BX97</f>
        <v>0</v>
      </c>
    </row>
    <row r="98">
      <c r="B98" s="1" t="str">
        <f>recovered!B98</f>
        <v>Ethiopia</v>
      </c>
      <c r="C98" s="4">
        <f>recovered!C98</f>
        <v>9.145</v>
      </c>
      <c r="D98" s="4">
        <f>recovered!D98</f>
        <v>40.4897</v>
      </c>
      <c r="E98" s="5">
        <f>recovered!E98</f>
        <v>0</v>
      </c>
      <c r="F98" s="5">
        <f>recovered!F98-recovered!E98</f>
        <v>0</v>
      </c>
      <c r="G98" s="5">
        <f>recovered!G98-recovered!F98</f>
        <v>0</v>
      </c>
      <c r="H98" s="5">
        <f>recovered!H98-recovered!G98</f>
        <v>0</v>
      </c>
      <c r="I98" s="5">
        <f>recovered!I98-recovered!H98</f>
        <v>0</v>
      </c>
      <c r="J98" s="5">
        <f>recovered!J98-recovered!I98</f>
        <v>0</v>
      </c>
      <c r="K98" s="5">
        <f>recovered!K98-recovered!J98</f>
        <v>0</v>
      </c>
      <c r="L98" s="5">
        <f>recovered!L98-recovered!K98</f>
        <v>0</v>
      </c>
      <c r="M98" s="5">
        <f>recovered!M98-recovered!L98</f>
        <v>0</v>
      </c>
      <c r="N98" s="5">
        <f>recovered!N98-recovered!M98</f>
        <v>0</v>
      </c>
      <c r="O98" s="5">
        <f>recovered!O98-recovered!N98</f>
        <v>0</v>
      </c>
      <c r="P98" s="5">
        <f>recovered!P98-recovered!O98</f>
        <v>0</v>
      </c>
      <c r="Q98" s="5">
        <f>recovered!Q98-recovered!P98</f>
        <v>0</v>
      </c>
      <c r="R98" s="5">
        <f>recovered!R98-recovered!Q98</f>
        <v>0</v>
      </c>
      <c r="S98" s="5">
        <f>recovered!S98-recovered!R98</f>
        <v>0</v>
      </c>
      <c r="T98" s="5">
        <f>recovered!T98-recovered!S98</f>
        <v>0</v>
      </c>
      <c r="U98" s="5">
        <f>recovered!U98-recovered!T98</f>
        <v>0</v>
      </c>
      <c r="V98" s="5">
        <f>recovered!V98-recovered!U98</f>
        <v>0</v>
      </c>
      <c r="W98" s="5">
        <f>recovered!W98-recovered!V98</f>
        <v>0</v>
      </c>
      <c r="X98" s="5">
        <f>recovered!X98-recovered!W98</f>
        <v>0</v>
      </c>
      <c r="Y98" s="5">
        <f>recovered!Y98-recovered!X98</f>
        <v>0</v>
      </c>
      <c r="Z98" s="5">
        <f>recovered!Z98-recovered!Y98</f>
        <v>0</v>
      </c>
      <c r="AA98" s="5">
        <f>recovered!AA98-recovered!Z98</f>
        <v>0</v>
      </c>
      <c r="AB98" s="5">
        <f>recovered!AB98-recovered!AA98</f>
        <v>0</v>
      </c>
      <c r="AC98" s="5">
        <f>recovered!AC98-recovered!AB98</f>
        <v>0</v>
      </c>
      <c r="AD98" s="5">
        <f>recovered!AD98-recovered!AC98</f>
        <v>0</v>
      </c>
      <c r="AE98" s="5">
        <f>recovered!AE98-recovered!AD98</f>
        <v>0</v>
      </c>
      <c r="AF98" s="5">
        <f>recovered!AF98-recovered!AE98</f>
        <v>0</v>
      </c>
      <c r="AG98" s="5">
        <f>recovered!AG98-recovered!AF98</f>
        <v>0</v>
      </c>
      <c r="AH98" s="5">
        <f>recovered!AH98-recovered!AG98</f>
        <v>0</v>
      </c>
      <c r="AI98" s="5">
        <f>recovered!AI98-recovered!AH98</f>
        <v>0</v>
      </c>
      <c r="AJ98" s="5">
        <f>recovered!AJ98-recovered!AI98</f>
        <v>0</v>
      </c>
      <c r="AK98" s="5">
        <f>recovered!AK98-recovered!AJ98</f>
        <v>0</v>
      </c>
      <c r="AL98" s="5">
        <f>recovered!AL98-recovered!AK98</f>
        <v>0</v>
      </c>
      <c r="AM98" s="5">
        <f>recovered!AM98-recovered!AL98</f>
        <v>0</v>
      </c>
      <c r="AN98" s="5">
        <f>recovered!AN98-recovered!AM98</f>
        <v>0</v>
      </c>
      <c r="AO98" s="5">
        <f>recovered!AO98-recovered!AN98</f>
        <v>0</v>
      </c>
      <c r="AP98" s="5">
        <f>recovered!AP98-recovered!AO98</f>
        <v>0</v>
      </c>
      <c r="AQ98" s="5">
        <f>recovered!AQ98-recovered!AP98</f>
        <v>0</v>
      </c>
      <c r="AR98" s="5">
        <f>recovered!AR98-recovered!AQ98</f>
        <v>0</v>
      </c>
      <c r="AS98" s="5">
        <f>recovered!AS98-recovered!AR98</f>
        <v>0</v>
      </c>
      <c r="AT98" s="5">
        <f>recovered!AT98-recovered!AS98</f>
        <v>0</v>
      </c>
      <c r="AU98" s="5">
        <f>recovered!AU98-recovered!AT98</f>
        <v>0</v>
      </c>
      <c r="AV98" s="5">
        <f>recovered!AV98-recovered!AU98</f>
        <v>0</v>
      </c>
      <c r="AW98" s="5">
        <f>recovered!AW98-recovered!AV98</f>
        <v>0</v>
      </c>
      <c r="AX98" s="5">
        <f>recovered!AX98-recovered!AW98</f>
        <v>0</v>
      </c>
      <c r="AY98" s="5">
        <f>recovered!AY98-recovered!AX98</f>
        <v>0</v>
      </c>
      <c r="AZ98" s="5">
        <f>recovered!AZ98-recovered!AY98</f>
        <v>0</v>
      </c>
      <c r="BA98" s="5">
        <f>recovered!BA98-recovered!AZ98</f>
        <v>0</v>
      </c>
      <c r="BB98" s="5">
        <f>recovered!BB98-recovered!BA98</f>
        <v>0</v>
      </c>
      <c r="BC98" s="5">
        <f>recovered!BC98-recovered!BB98</f>
        <v>0</v>
      </c>
      <c r="BD98" s="5">
        <f>recovered!BD98-recovered!BC98</f>
        <v>0</v>
      </c>
      <c r="BE98" s="5">
        <f>recovered!BE98-recovered!BD98</f>
        <v>0</v>
      </c>
      <c r="BF98" s="5">
        <f>recovered!BF98-recovered!BE98</f>
        <v>0</v>
      </c>
      <c r="BG98" s="5">
        <f>recovered!BG98-recovered!BF98</f>
        <v>0</v>
      </c>
      <c r="BH98" s="5">
        <f>recovered!BH98-recovered!BG98</f>
        <v>0</v>
      </c>
      <c r="BI98" s="5">
        <f>recovered!BI98-recovered!BH98</f>
        <v>0</v>
      </c>
      <c r="BJ98" s="5">
        <f>recovered!BJ98-recovered!BI98</f>
        <v>0</v>
      </c>
      <c r="BK98" s="5">
        <f>recovered!BK98-recovered!BJ98</f>
        <v>0</v>
      </c>
      <c r="BL98" s="5">
        <f>recovered!BL98-recovered!BK98</f>
        <v>0</v>
      </c>
      <c r="BM98" s="5">
        <f>recovered!BM98-recovered!BL98</f>
        <v>4</v>
      </c>
      <c r="BN98" s="5">
        <f>recovered!BN98-recovered!BM98</f>
        <v>0</v>
      </c>
      <c r="BO98" s="5">
        <f>recovered!BO98-recovered!BN98</f>
        <v>-4</v>
      </c>
      <c r="BP98" s="5">
        <f>recovered!BP98-recovered!BO98</f>
        <v>0</v>
      </c>
      <c r="BQ98" s="5">
        <f>recovered!BQ98-recovered!BP98</f>
        <v>0</v>
      </c>
      <c r="BR98" s="5">
        <f>recovered!BR98-recovered!BQ98</f>
        <v>0</v>
      </c>
      <c r="BS98" s="5">
        <f>recovered!BS98-recovered!BR98</f>
        <v>1</v>
      </c>
      <c r="BT98" s="5">
        <f>recovered!BT98-recovered!BS98</f>
        <v>0</v>
      </c>
      <c r="BU98" s="5">
        <f>recovered!BU98-recovered!BT98</f>
        <v>3</v>
      </c>
      <c r="BV98" s="5">
        <f>recovered!BV98-recovered!BU98</f>
        <v>-2</v>
      </c>
      <c r="BW98" s="5">
        <f>recovered!BW98-recovered!BV98</f>
        <v>0</v>
      </c>
      <c r="BX98" s="5">
        <f>recovered!BX98-recovered!BW98</f>
        <v>1</v>
      </c>
      <c r="BY98" s="5">
        <f>recovered!BY98-recovered!BX98</f>
        <v>0</v>
      </c>
    </row>
    <row r="99">
      <c r="B99" s="1" t="str">
        <f>recovered!B99</f>
        <v>Fiji</v>
      </c>
      <c r="C99" s="4">
        <f>recovered!C99</f>
        <v>-17.7134</v>
      </c>
      <c r="D99" s="4">
        <f>recovered!D99</f>
        <v>178.065</v>
      </c>
      <c r="E99" s="5">
        <f>recovered!E99</f>
        <v>0</v>
      </c>
      <c r="F99" s="5">
        <f>recovered!F99-recovered!E99</f>
        <v>0</v>
      </c>
      <c r="G99" s="5">
        <f>recovered!G99-recovered!F99</f>
        <v>0</v>
      </c>
      <c r="H99" s="5">
        <f>recovered!H99-recovered!G99</f>
        <v>0</v>
      </c>
      <c r="I99" s="5">
        <f>recovered!I99-recovered!H99</f>
        <v>0</v>
      </c>
      <c r="J99" s="5">
        <f>recovered!J99-recovered!I99</f>
        <v>0</v>
      </c>
      <c r="K99" s="5">
        <f>recovered!K99-recovered!J99</f>
        <v>0</v>
      </c>
      <c r="L99" s="5">
        <f>recovered!L99-recovered!K99</f>
        <v>0</v>
      </c>
      <c r="M99" s="5">
        <f>recovered!M99-recovered!L99</f>
        <v>0</v>
      </c>
      <c r="N99" s="5">
        <f>recovered!N99-recovered!M99</f>
        <v>0</v>
      </c>
      <c r="O99" s="5">
        <f>recovered!O99-recovered!N99</f>
        <v>0</v>
      </c>
      <c r="P99" s="5">
        <f>recovered!P99-recovered!O99</f>
        <v>0</v>
      </c>
      <c r="Q99" s="5">
        <f>recovered!Q99-recovered!P99</f>
        <v>0</v>
      </c>
      <c r="R99" s="5">
        <f>recovered!R99-recovered!Q99</f>
        <v>0</v>
      </c>
      <c r="S99" s="5">
        <f>recovered!S99-recovered!R99</f>
        <v>0</v>
      </c>
      <c r="T99" s="5">
        <f>recovered!T99-recovered!S99</f>
        <v>0</v>
      </c>
      <c r="U99" s="5">
        <f>recovered!U99-recovered!T99</f>
        <v>0</v>
      </c>
      <c r="V99" s="5">
        <f>recovered!V99-recovered!U99</f>
        <v>0</v>
      </c>
      <c r="W99" s="5">
        <f>recovered!W99-recovered!V99</f>
        <v>0</v>
      </c>
      <c r="X99" s="5">
        <f>recovered!X99-recovered!W99</f>
        <v>0</v>
      </c>
      <c r="Y99" s="5">
        <f>recovered!Y99-recovered!X99</f>
        <v>0</v>
      </c>
      <c r="Z99" s="5">
        <f>recovered!Z99-recovered!Y99</f>
        <v>0</v>
      </c>
      <c r="AA99" s="5">
        <f>recovered!AA99-recovered!Z99</f>
        <v>0</v>
      </c>
      <c r="AB99" s="5">
        <f>recovered!AB99-recovered!AA99</f>
        <v>0</v>
      </c>
      <c r="AC99" s="5">
        <f>recovered!AC99-recovered!AB99</f>
        <v>0</v>
      </c>
      <c r="AD99" s="5">
        <f>recovered!AD99-recovered!AC99</f>
        <v>0</v>
      </c>
      <c r="AE99" s="5">
        <f>recovered!AE99-recovered!AD99</f>
        <v>0</v>
      </c>
      <c r="AF99" s="5">
        <f>recovered!AF99-recovered!AE99</f>
        <v>0</v>
      </c>
      <c r="AG99" s="5">
        <f>recovered!AG99-recovered!AF99</f>
        <v>0</v>
      </c>
      <c r="AH99" s="5">
        <f>recovered!AH99-recovered!AG99</f>
        <v>0</v>
      </c>
      <c r="AI99" s="5">
        <f>recovered!AI99-recovered!AH99</f>
        <v>0</v>
      </c>
      <c r="AJ99" s="5">
        <f>recovered!AJ99-recovered!AI99</f>
        <v>0</v>
      </c>
      <c r="AK99" s="5">
        <f>recovered!AK99-recovered!AJ99</f>
        <v>0</v>
      </c>
      <c r="AL99" s="5">
        <f>recovered!AL99-recovered!AK99</f>
        <v>0</v>
      </c>
      <c r="AM99" s="5">
        <f>recovered!AM99-recovered!AL99</f>
        <v>0</v>
      </c>
      <c r="AN99" s="5">
        <f>recovered!AN99-recovered!AM99</f>
        <v>0</v>
      </c>
      <c r="AO99" s="5">
        <f>recovered!AO99-recovered!AN99</f>
        <v>0</v>
      </c>
      <c r="AP99" s="5">
        <f>recovered!AP99-recovered!AO99</f>
        <v>0</v>
      </c>
      <c r="AQ99" s="5">
        <f>recovered!AQ99-recovered!AP99</f>
        <v>0</v>
      </c>
      <c r="AR99" s="5">
        <f>recovered!AR99-recovered!AQ99</f>
        <v>0</v>
      </c>
      <c r="AS99" s="5">
        <f>recovered!AS99-recovered!AR99</f>
        <v>0</v>
      </c>
      <c r="AT99" s="5">
        <f>recovered!AT99-recovered!AS99</f>
        <v>0</v>
      </c>
      <c r="AU99" s="5">
        <f>recovered!AU99-recovered!AT99</f>
        <v>0</v>
      </c>
      <c r="AV99" s="5">
        <f>recovered!AV99-recovered!AU99</f>
        <v>0</v>
      </c>
      <c r="AW99" s="5">
        <f>recovered!AW99-recovered!AV99</f>
        <v>0</v>
      </c>
      <c r="AX99" s="5">
        <f>recovered!AX99-recovered!AW99</f>
        <v>0</v>
      </c>
      <c r="AY99" s="5">
        <f>recovered!AY99-recovered!AX99</f>
        <v>0</v>
      </c>
      <c r="AZ99" s="5">
        <f>recovered!AZ99-recovered!AY99</f>
        <v>0</v>
      </c>
      <c r="BA99" s="5">
        <f>recovered!BA99-recovered!AZ99</f>
        <v>0</v>
      </c>
      <c r="BB99" s="5">
        <f>recovered!BB99-recovered!BA99</f>
        <v>0</v>
      </c>
      <c r="BC99" s="5">
        <f>recovered!BC99-recovered!BB99</f>
        <v>0</v>
      </c>
      <c r="BD99" s="5">
        <f>recovered!BD99-recovered!BC99</f>
        <v>0</v>
      </c>
      <c r="BE99" s="5">
        <f>recovered!BE99-recovered!BD99</f>
        <v>0</v>
      </c>
      <c r="BF99" s="5">
        <f>recovered!BF99-recovered!BE99</f>
        <v>0</v>
      </c>
      <c r="BG99" s="5">
        <f>recovered!BG99-recovered!BF99</f>
        <v>0</v>
      </c>
      <c r="BH99" s="5">
        <f>recovered!BH99-recovered!BG99</f>
        <v>0</v>
      </c>
      <c r="BI99" s="5">
        <f>recovered!BI99-recovered!BH99</f>
        <v>0</v>
      </c>
      <c r="BJ99" s="5">
        <f>recovered!BJ99-recovered!BI99</f>
        <v>0</v>
      </c>
      <c r="BK99" s="5">
        <f>recovered!BK99-recovered!BJ99</f>
        <v>0</v>
      </c>
      <c r="BL99" s="5">
        <f>recovered!BL99-recovered!BK99</f>
        <v>0</v>
      </c>
      <c r="BM99" s="5">
        <f>recovered!BM99-recovered!BL99</f>
        <v>0</v>
      </c>
      <c r="BN99" s="5">
        <f>recovered!BN99-recovered!BM99</f>
        <v>0</v>
      </c>
      <c r="BO99" s="5">
        <f>recovered!BO99-recovered!BN99</f>
        <v>0</v>
      </c>
      <c r="BP99" s="5">
        <f>recovered!BP99-recovered!BO99</f>
        <v>0</v>
      </c>
      <c r="BQ99" s="5">
        <f>recovered!BQ99-recovered!BP99</f>
        <v>0</v>
      </c>
      <c r="BR99" s="5">
        <f>recovered!BR99-recovered!BQ99</f>
        <v>0</v>
      </c>
      <c r="BS99" s="5">
        <f>recovered!BS99-recovered!BR99</f>
        <v>0</v>
      </c>
      <c r="BT99" s="5">
        <f>recovered!BT99-recovered!BS99</f>
        <v>0</v>
      </c>
      <c r="BU99" s="5">
        <f>recovered!BU99-recovered!BT99</f>
        <v>0</v>
      </c>
      <c r="BV99" s="5">
        <f>recovered!BV99-recovered!BU99</f>
        <v>0</v>
      </c>
      <c r="BW99" s="5">
        <f>recovered!BW99-recovered!BV99</f>
        <v>0</v>
      </c>
      <c r="BX99" s="5">
        <f>recovered!BX99-recovered!BW99</f>
        <v>0</v>
      </c>
      <c r="BY99" s="5">
        <f>recovered!BY99-recovered!BX99</f>
        <v>0</v>
      </c>
    </row>
    <row r="100">
      <c r="B100" s="1" t="str">
        <f>recovered!B100</f>
        <v>Finland</v>
      </c>
      <c r="C100" s="4">
        <f>recovered!C100</f>
        <v>64</v>
      </c>
      <c r="D100" s="4">
        <f>recovered!D100</f>
        <v>26</v>
      </c>
      <c r="E100" s="5">
        <f>recovered!E100</f>
        <v>0</v>
      </c>
      <c r="F100" s="5">
        <f>recovered!F100-recovered!E100</f>
        <v>0</v>
      </c>
      <c r="G100" s="5">
        <f>recovered!G100-recovered!F100</f>
        <v>0</v>
      </c>
      <c r="H100" s="5">
        <f>recovered!H100-recovered!G100</f>
        <v>0</v>
      </c>
      <c r="I100" s="5">
        <f>recovered!I100-recovered!H100</f>
        <v>0</v>
      </c>
      <c r="J100" s="5">
        <f>recovered!J100-recovered!I100</f>
        <v>0</v>
      </c>
      <c r="K100" s="5">
        <f>recovered!K100-recovered!J100</f>
        <v>0</v>
      </c>
      <c r="L100" s="5">
        <f>recovered!L100-recovered!K100</f>
        <v>0</v>
      </c>
      <c r="M100" s="5">
        <f>recovered!M100-recovered!L100</f>
        <v>0</v>
      </c>
      <c r="N100" s="5">
        <f>recovered!N100-recovered!M100</f>
        <v>0</v>
      </c>
      <c r="O100" s="5">
        <f>recovered!O100-recovered!N100</f>
        <v>0</v>
      </c>
      <c r="P100" s="5">
        <f>recovered!P100-recovered!O100</f>
        <v>0</v>
      </c>
      <c r="Q100" s="5">
        <f>recovered!Q100-recovered!P100</f>
        <v>0</v>
      </c>
      <c r="R100" s="5">
        <f>recovered!R100-recovered!Q100</f>
        <v>0</v>
      </c>
      <c r="S100" s="5">
        <f>recovered!S100-recovered!R100</f>
        <v>0</v>
      </c>
      <c r="T100" s="5">
        <f>recovered!T100-recovered!S100</f>
        <v>0</v>
      </c>
      <c r="U100" s="5">
        <f>recovered!U100-recovered!T100</f>
        <v>0</v>
      </c>
      <c r="V100" s="5">
        <f>recovered!V100-recovered!U100</f>
        <v>0</v>
      </c>
      <c r="W100" s="5">
        <f>recovered!W100-recovered!V100</f>
        <v>0</v>
      </c>
      <c r="X100" s="5">
        <f>recovered!X100-recovered!W100</f>
        <v>0</v>
      </c>
      <c r="Y100" s="5">
        <f>recovered!Y100-recovered!X100</f>
        <v>0</v>
      </c>
      <c r="Z100" s="5">
        <f>recovered!Z100-recovered!Y100</f>
        <v>1</v>
      </c>
      <c r="AA100" s="5">
        <f>recovered!AA100-recovered!Z100</f>
        <v>0</v>
      </c>
      <c r="AB100" s="5">
        <f>recovered!AB100-recovered!AA100</f>
        <v>0</v>
      </c>
      <c r="AC100" s="5">
        <f>recovered!AC100-recovered!AB100</f>
        <v>0</v>
      </c>
      <c r="AD100" s="5">
        <f>recovered!AD100-recovered!AC100</f>
        <v>0</v>
      </c>
      <c r="AE100" s="5">
        <f>recovered!AE100-recovered!AD100</f>
        <v>0</v>
      </c>
      <c r="AF100" s="5">
        <f>recovered!AF100-recovered!AE100</f>
        <v>0</v>
      </c>
      <c r="AG100" s="5">
        <f>recovered!AG100-recovered!AF100</f>
        <v>0</v>
      </c>
      <c r="AH100" s="5">
        <f>recovered!AH100-recovered!AG100</f>
        <v>0</v>
      </c>
      <c r="AI100" s="5">
        <f>recovered!AI100-recovered!AH100</f>
        <v>0</v>
      </c>
      <c r="AJ100" s="5">
        <f>recovered!AJ100-recovered!AI100</f>
        <v>0</v>
      </c>
      <c r="AK100" s="5">
        <f>recovered!AK100-recovered!AJ100</f>
        <v>0</v>
      </c>
      <c r="AL100" s="5">
        <f>recovered!AL100-recovered!AK100</f>
        <v>0</v>
      </c>
      <c r="AM100" s="5">
        <f>recovered!AM100-recovered!AL100</f>
        <v>0</v>
      </c>
      <c r="AN100" s="5">
        <f>recovered!AN100-recovered!AM100</f>
        <v>0</v>
      </c>
      <c r="AO100" s="5">
        <f>recovered!AO100-recovered!AN100</f>
        <v>0</v>
      </c>
      <c r="AP100" s="5">
        <f>recovered!AP100-recovered!AO100</f>
        <v>0</v>
      </c>
      <c r="AQ100" s="5">
        <f>recovered!AQ100-recovered!AP100</f>
        <v>0</v>
      </c>
      <c r="AR100" s="5">
        <f>recovered!AR100-recovered!AQ100</f>
        <v>0</v>
      </c>
      <c r="AS100" s="5">
        <f>recovered!AS100-recovered!AR100</f>
        <v>0</v>
      </c>
      <c r="AT100" s="5">
        <f>recovered!AT100-recovered!AS100</f>
        <v>0</v>
      </c>
      <c r="AU100" s="5">
        <f>recovered!AU100-recovered!AT100</f>
        <v>0</v>
      </c>
      <c r="AV100" s="5">
        <f>recovered!AV100-recovered!AU100</f>
        <v>0</v>
      </c>
      <c r="AW100" s="5">
        <f>recovered!AW100-recovered!AV100</f>
        <v>0</v>
      </c>
      <c r="AX100" s="5">
        <f>recovered!AX100-recovered!AW100</f>
        <v>0</v>
      </c>
      <c r="AY100" s="5">
        <f>recovered!AY100-recovered!AX100</f>
        <v>0</v>
      </c>
      <c r="AZ100" s="5">
        <f>recovered!AZ100-recovered!AY100</f>
        <v>0</v>
      </c>
      <c r="BA100" s="5">
        <f>recovered!BA100-recovered!AZ100</f>
        <v>0</v>
      </c>
      <c r="BB100" s="5">
        <f>recovered!BB100-recovered!BA100</f>
        <v>0</v>
      </c>
      <c r="BC100" s="5">
        <f>recovered!BC100-recovered!BB100</f>
        <v>0</v>
      </c>
      <c r="BD100" s="5">
        <f>recovered!BD100-recovered!BC100</f>
        <v>0</v>
      </c>
      <c r="BE100" s="5">
        <f>recovered!BE100-recovered!BD100</f>
        <v>0</v>
      </c>
      <c r="BF100" s="5">
        <f>recovered!BF100-recovered!BE100</f>
        <v>9</v>
      </c>
      <c r="BG100" s="5">
        <f>recovered!BG100-recovered!BF100</f>
        <v>0</v>
      </c>
      <c r="BH100" s="5">
        <f>recovered!BH100-recovered!BG100</f>
        <v>0</v>
      </c>
      <c r="BI100" s="5">
        <f>recovered!BI100-recovered!BH100</f>
        <v>0</v>
      </c>
      <c r="BJ100" s="5">
        <f>recovered!BJ100-recovered!BI100</f>
        <v>0</v>
      </c>
      <c r="BK100" s="5">
        <f>recovered!BK100-recovered!BJ100</f>
        <v>0</v>
      </c>
      <c r="BL100" s="5">
        <f>recovered!BL100-recovered!BK100</f>
        <v>0</v>
      </c>
      <c r="BM100" s="5">
        <f>recovered!BM100-recovered!BL100</f>
        <v>0</v>
      </c>
      <c r="BN100" s="5">
        <f>recovered!BN100-recovered!BM100</f>
        <v>0</v>
      </c>
      <c r="BO100" s="5">
        <f>recovered!BO100-recovered!BN100</f>
        <v>0</v>
      </c>
      <c r="BP100" s="5">
        <f>recovered!BP100-recovered!BO100</f>
        <v>0</v>
      </c>
      <c r="BQ100" s="5">
        <f>recovered!BQ100-recovered!BP100</f>
        <v>0</v>
      </c>
      <c r="BR100" s="5">
        <f>recovered!BR100-recovered!BQ100</f>
        <v>0</v>
      </c>
      <c r="BS100" s="5">
        <f>recovered!BS100-recovered!BR100</f>
        <v>0</v>
      </c>
      <c r="BT100" s="5">
        <f>recovered!BT100-recovered!BS100</f>
        <v>0</v>
      </c>
      <c r="BU100" s="5">
        <f>recovered!BU100-recovered!BT100</f>
        <v>0</v>
      </c>
      <c r="BV100" s="5">
        <f>recovered!BV100-recovered!BU100</f>
        <v>0</v>
      </c>
      <c r="BW100" s="5">
        <f>recovered!BW100-recovered!BV100</f>
        <v>0</v>
      </c>
      <c r="BX100" s="5">
        <f>recovered!BX100-recovered!BW100</f>
        <v>290</v>
      </c>
      <c r="BY100" s="5">
        <f>recovered!BY100-recovered!BX100</f>
        <v>0</v>
      </c>
    </row>
    <row r="101">
      <c r="B101" s="1" t="str">
        <f>recovered!B101</f>
        <v>France</v>
      </c>
      <c r="C101" s="4">
        <f>recovered!C101</f>
        <v>3.9339</v>
      </c>
      <c r="D101" s="4">
        <f>recovered!D101</f>
        <v>-53.1258</v>
      </c>
      <c r="E101" s="5">
        <f>recovered!E101</f>
        <v>0</v>
      </c>
      <c r="F101" s="5">
        <f>recovered!F101-recovered!E101</f>
        <v>0</v>
      </c>
      <c r="G101" s="5">
        <f>recovered!G101-recovered!F101</f>
        <v>0</v>
      </c>
      <c r="H101" s="5">
        <f>recovered!H101-recovered!G101</f>
        <v>0</v>
      </c>
      <c r="I101" s="5">
        <f>recovered!I101-recovered!H101</f>
        <v>0</v>
      </c>
      <c r="J101" s="5">
        <f>recovered!J101-recovered!I101</f>
        <v>0</v>
      </c>
      <c r="K101" s="5">
        <f>recovered!K101-recovered!J101</f>
        <v>0</v>
      </c>
      <c r="L101" s="5">
        <f>recovered!L101-recovered!K101</f>
        <v>0</v>
      </c>
      <c r="M101" s="5">
        <f>recovered!M101-recovered!L101</f>
        <v>0</v>
      </c>
      <c r="N101" s="5">
        <f>recovered!N101-recovered!M101</f>
        <v>0</v>
      </c>
      <c r="O101" s="5">
        <f>recovered!O101-recovered!N101</f>
        <v>0</v>
      </c>
      <c r="P101" s="5">
        <f>recovered!P101-recovered!O101</f>
        <v>0</v>
      </c>
      <c r="Q101" s="5">
        <f>recovered!Q101-recovered!P101</f>
        <v>0</v>
      </c>
      <c r="R101" s="5">
        <f>recovered!R101-recovered!Q101</f>
        <v>0</v>
      </c>
      <c r="S101" s="5">
        <f>recovered!S101-recovered!R101</f>
        <v>0</v>
      </c>
      <c r="T101" s="5">
        <f>recovered!T101-recovered!S101</f>
        <v>0</v>
      </c>
      <c r="U101" s="5">
        <f>recovered!U101-recovered!T101</f>
        <v>0</v>
      </c>
      <c r="V101" s="5">
        <f>recovered!V101-recovered!U101</f>
        <v>0</v>
      </c>
      <c r="W101" s="5">
        <f>recovered!W101-recovered!V101</f>
        <v>0</v>
      </c>
      <c r="X101" s="5">
        <f>recovered!X101-recovered!W101</f>
        <v>0</v>
      </c>
      <c r="Y101" s="5">
        <f>recovered!Y101-recovered!X101</f>
        <v>0</v>
      </c>
      <c r="Z101" s="5">
        <f>recovered!Z101-recovered!Y101</f>
        <v>0</v>
      </c>
      <c r="AA101" s="5">
        <f>recovered!AA101-recovered!Z101</f>
        <v>0</v>
      </c>
      <c r="AB101" s="5">
        <f>recovered!AB101-recovered!AA101</f>
        <v>0</v>
      </c>
      <c r="AC101" s="5">
        <f>recovered!AC101-recovered!AB101</f>
        <v>0</v>
      </c>
      <c r="AD101" s="5">
        <f>recovered!AD101-recovered!AC101</f>
        <v>0</v>
      </c>
      <c r="AE101" s="5">
        <f>recovered!AE101-recovered!AD101</f>
        <v>0</v>
      </c>
      <c r="AF101" s="5">
        <f>recovered!AF101-recovered!AE101</f>
        <v>0</v>
      </c>
      <c r="AG101" s="5">
        <f>recovered!AG101-recovered!AF101</f>
        <v>0</v>
      </c>
      <c r="AH101" s="5">
        <f>recovered!AH101-recovered!AG101</f>
        <v>0</v>
      </c>
      <c r="AI101" s="5">
        <f>recovered!AI101-recovered!AH101</f>
        <v>0</v>
      </c>
      <c r="AJ101" s="5">
        <f>recovered!AJ101-recovered!AI101</f>
        <v>0</v>
      </c>
      <c r="AK101" s="5">
        <f>recovered!AK101-recovered!AJ101</f>
        <v>0</v>
      </c>
      <c r="AL101" s="5">
        <f>recovered!AL101-recovered!AK101</f>
        <v>0</v>
      </c>
      <c r="AM101" s="5">
        <f>recovered!AM101-recovered!AL101</f>
        <v>0</v>
      </c>
      <c r="AN101" s="5">
        <f>recovered!AN101-recovered!AM101</f>
        <v>0</v>
      </c>
      <c r="AO101" s="5">
        <f>recovered!AO101-recovered!AN101</f>
        <v>0</v>
      </c>
      <c r="AP101" s="5">
        <f>recovered!AP101-recovered!AO101</f>
        <v>0</v>
      </c>
      <c r="AQ101" s="5">
        <f>recovered!AQ101-recovered!AP101</f>
        <v>0</v>
      </c>
      <c r="AR101" s="5">
        <f>recovered!AR101-recovered!AQ101</f>
        <v>0</v>
      </c>
      <c r="AS101" s="5">
        <f>recovered!AS101-recovered!AR101</f>
        <v>0</v>
      </c>
      <c r="AT101" s="5">
        <f>recovered!AT101-recovered!AS101</f>
        <v>0</v>
      </c>
      <c r="AU101" s="5">
        <f>recovered!AU101-recovered!AT101</f>
        <v>0</v>
      </c>
      <c r="AV101" s="5">
        <f>recovered!AV101-recovered!AU101</f>
        <v>0</v>
      </c>
      <c r="AW101" s="5">
        <f>recovered!AW101-recovered!AV101</f>
        <v>0</v>
      </c>
      <c r="AX101" s="5">
        <f>recovered!AX101-recovered!AW101</f>
        <v>0</v>
      </c>
      <c r="AY101" s="5">
        <f>recovered!AY101-recovered!AX101</f>
        <v>0</v>
      </c>
      <c r="AZ101" s="5">
        <f>recovered!AZ101-recovered!AY101</f>
        <v>0</v>
      </c>
      <c r="BA101" s="5">
        <f>recovered!BA101-recovered!AZ101</f>
        <v>0</v>
      </c>
      <c r="BB101" s="5">
        <f>recovered!BB101-recovered!BA101</f>
        <v>0</v>
      </c>
      <c r="BC101" s="5">
        <f>recovered!BC101-recovered!BB101</f>
        <v>0</v>
      </c>
      <c r="BD101" s="5">
        <f>recovered!BD101-recovered!BC101</f>
        <v>0</v>
      </c>
      <c r="BE101" s="5">
        <f>recovered!BE101-recovered!BD101</f>
        <v>0</v>
      </c>
      <c r="BF101" s="5">
        <f>recovered!BF101-recovered!BE101</f>
        <v>0</v>
      </c>
      <c r="BG101" s="5">
        <f>recovered!BG101-recovered!BF101</f>
        <v>0</v>
      </c>
      <c r="BH101" s="5">
        <f>recovered!BH101-recovered!BG101</f>
        <v>0</v>
      </c>
      <c r="BI101" s="5">
        <f>recovered!BI101-recovered!BH101</f>
        <v>0</v>
      </c>
      <c r="BJ101" s="5">
        <f>recovered!BJ101-recovered!BI101</f>
        <v>0</v>
      </c>
      <c r="BK101" s="5">
        <f>recovered!BK101-recovered!BJ101</f>
        <v>0</v>
      </c>
      <c r="BL101" s="5">
        <f>recovered!BL101-recovered!BK101</f>
        <v>0</v>
      </c>
      <c r="BM101" s="5">
        <f>recovered!BM101-recovered!BL101</f>
        <v>6</v>
      </c>
      <c r="BN101" s="5">
        <f>recovered!BN101-recovered!BM101</f>
        <v>0</v>
      </c>
      <c r="BO101" s="5">
        <f>recovered!BO101-recovered!BN101</f>
        <v>0</v>
      </c>
      <c r="BP101" s="5">
        <f>recovered!BP101-recovered!BO101</f>
        <v>0</v>
      </c>
      <c r="BQ101" s="5">
        <f>recovered!BQ101-recovered!BP101</f>
        <v>0</v>
      </c>
      <c r="BR101" s="5">
        <f>recovered!BR101-recovered!BQ101</f>
        <v>0</v>
      </c>
      <c r="BS101" s="5">
        <f>recovered!BS101-recovered!BR101</f>
        <v>0</v>
      </c>
      <c r="BT101" s="5">
        <f>recovered!BT101-recovered!BS101</f>
        <v>0</v>
      </c>
      <c r="BU101" s="5">
        <f>recovered!BU101-recovered!BT101</f>
        <v>0</v>
      </c>
      <c r="BV101" s="5">
        <f>recovered!BV101-recovered!BU101</f>
        <v>0</v>
      </c>
      <c r="BW101" s="5">
        <f>recovered!BW101-recovered!BV101</f>
        <v>9</v>
      </c>
      <c r="BX101" s="5">
        <f>recovered!BX101-recovered!BW101</f>
        <v>0</v>
      </c>
      <c r="BY101" s="5">
        <f>recovered!BY101-recovered!BX101</f>
        <v>7</v>
      </c>
    </row>
    <row r="102">
      <c r="B102" s="1" t="str">
        <f>recovered!B102</f>
        <v>France</v>
      </c>
      <c r="C102" s="4">
        <f>recovered!C102</f>
        <v>-17.6797</v>
      </c>
      <c r="D102" s="4">
        <f>recovered!D102</f>
        <v>149.4068</v>
      </c>
      <c r="E102" s="5">
        <f>recovered!E102</f>
        <v>0</v>
      </c>
      <c r="F102" s="5">
        <f>recovered!F102-recovered!E102</f>
        <v>0</v>
      </c>
      <c r="G102" s="5">
        <f>recovered!G102-recovered!F102</f>
        <v>0</v>
      </c>
      <c r="H102" s="5">
        <f>recovered!H102-recovered!G102</f>
        <v>0</v>
      </c>
      <c r="I102" s="5">
        <f>recovered!I102-recovered!H102</f>
        <v>0</v>
      </c>
      <c r="J102" s="5">
        <f>recovered!J102-recovered!I102</f>
        <v>0</v>
      </c>
      <c r="K102" s="5">
        <f>recovered!K102-recovered!J102</f>
        <v>0</v>
      </c>
      <c r="L102" s="5">
        <f>recovered!L102-recovered!K102</f>
        <v>0</v>
      </c>
      <c r="M102" s="5">
        <f>recovered!M102-recovered!L102</f>
        <v>0</v>
      </c>
      <c r="N102" s="5">
        <f>recovered!N102-recovered!M102</f>
        <v>0</v>
      </c>
      <c r="O102" s="5">
        <f>recovered!O102-recovered!N102</f>
        <v>0</v>
      </c>
      <c r="P102" s="5">
        <f>recovered!P102-recovered!O102</f>
        <v>0</v>
      </c>
      <c r="Q102" s="5">
        <f>recovered!Q102-recovered!P102</f>
        <v>0</v>
      </c>
      <c r="R102" s="5">
        <f>recovered!R102-recovered!Q102</f>
        <v>0</v>
      </c>
      <c r="S102" s="5">
        <f>recovered!S102-recovered!R102</f>
        <v>0</v>
      </c>
      <c r="T102" s="5">
        <f>recovered!T102-recovered!S102</f>
        <v>0</v>
      </c>
      <c r="U102" s="5">
        <f>recovered!U102-recovered!T102</f>
        <v>0</v>
      </c>
      <c r="V102" s="5">
        <f>recovered!V102-recovered!U102</f>
        <v>0</v>
      </c>
      <c r="W102" s="5">
        <f>recovered!W102-recovered!V102</f>
        <v>0</v>
      </c>
      <c r="X102" s="5">
        <f>recovered!X102-recovered!W102</f>
        <v>0</v>
      </c>
      <c r="Y102" s="5">
        <f>recovered!Y102-recovered!X102</f>
        <v>0</v>
      </c>
      <c r="Z102" s="5">
        <f>recovered!Z102-recovered!Y102</f>
        <v>0</v>
      </c>
      <c r="AA102" s="5">
        <f>recovered!AA102-recovered!Z102</f>
        <v>0</v>
      </c>
      <c r="AB102" s="5">
        <f>recovered!AB102-recovered!AA102</f>
        <v>0</v>
      </c>
      <c r="AC102" s="5">
        <f>recovered!AC102-recovered!AB102</f>
        <v>0</v>
      </c>
      <c r="AD102" s="5">
        <f>recovered!AD102-recovered!AC102</f>
        <v>0</v>
      </c>
      <c r="AE102" s="5">
        <f>recovered!AE102-recovered!AD102</f>
        <v>0</v>
      </c>
      <c r="AF102" s="5">
        <f>recovered!AF102-recovered!AE102</f>
        <v>0</v>
      </c>
      <c r="AG102" s="5">
        <f>recovered!AG102-recovered!AF102</f>
        <v>0</v>
      </c>
      <c r="AH102" s="5">
        <f>recovered!AH102-recovered!AG102</f>
        <v>0</v>
      </c>
      <c r="AI102" s="5">
        <f>recovered!AI102-recovered!AH102</f>
        <v>0</v>
      </c>
      <c r="AJ102" s="5">
        <f>recovered!AJ102-recovered!AI102</f>
        <v>0</v>
      </c>
      <c r="AK102" s="5">
        <f>recovered!AK102-recovered!AJ102</f>
        <v>0</v>
      </c>
      <c r="AL102" s="5">
        <f>recovered!AL102-recovered!AK102</f>
        <v>0</v>
      </c>
      <c r="AM102" s="5">
        <f>recovered!AM102-recovered!AL102</f>
        <v>0</v>
      </c>
      <c r="AN102" s="5">
        <f>recovered!AN102-recovered!AM102</f>
        <v>0</v>
      </c>
      <c r="AO102" s="5">
        <f>recovered!AO102-recovered!AN102</f>
        <v>0</v>
      </c>
      <c r="AP102" s="5">
        <f>recovered!AP102-recovered!AO102</f>
        <v>0</v>
      </c>
      <c r="AQ102" s="5">
        <f>recovered!AQ102-recovered!AP102</f>
        <v>0</v>
      </c>
      <c r="AR102" s="5">
        <f>recovered!AR102-recovered!AQ102</f>
        <v>0</v>
      </c>
      <c r="AS102" s="5">
        <f>recovered!AS102-recovered!AR102</f>
        <v>0</v>
      </c>
      <c r="AT102" s="5">
        <f>recovered!AT102-recovered!AS102</f>
        <v>0</v>
      </c>
      <c r="AU102" s="5">
        <f>recovered!AU102-recovered!AT102</f>
        <v>0</v>
      </c>
      <c r="AV102" s="5">
        <f>recovered!AV102-recovered!AU102</f>
        <v>0</v>
      </c>
      <c r="AW102" s="5">
        <f>recovered!AW102-recovered!AV102</f>
        <v>0</v>
      </c>
      <c r="AX102" s="5">
        <f>recovered!AX102-recovered!AW102</f>
        <v>0</v>
      </c>
      <c r="AY102" s="5">
        <f>recovered!AY102-recovered!AX102</f>
        <v>0</v>
      </c>
      <c r="AZ102" s="5">
        <f>recovered!AZ102-recovered!AY102</f>
        <v>0</v>
      </c>
      <c r="BA102" s="5">
        <f>recovered!BA102-recovered!AZ102</f>
        <v>0</v>
      </c>
      <c r="BB102" s="5">
        <f>recovered!BB102-recovered!BA102</f>
        <v>0</v>
      </c>
      <c r="BC102" s="5">
        <f>recovered!BC102-recovered!BB102</f>
        <v>0</v>
      </c>
      <c r="BD102" s="5">
        <f>recovered!BD102-recovered!BC102</f>
        <v>0</v>
      </c>
      <c r="BE102" s="5">
        <f>recovered!BE102-recovered!BD102</f>
        <v>0</v>
      </c>
      <c r="BF102" s="5">
        <f>recovered!BF102-recovered!BE102</f>
        <v>0</v>
      </c>
      <c r="BG102" s="5">
        <f>recovered!BG102-recovered!BF102</f>
        <v>0</v>
      </c>
      <c r="BH102" s="5">
        <f>recovered!BH102-recovered!BG102</f>
        <v>0</v>
      </c>
      <c r="BI102" s="5">
        <f>recovered!BI102-recovered!BH102</f>
        <v>0</v>
      </c>
      <c r="BJ102" s="5">
        <f>recovered!BJ102-recovered!BI102</f>
        <v>0</v>
      </c>
      <c r="BK102" s="5">
        <f>recovered!BK102-recovered!BJ102</f>
        <v>0</v>
      </c>
      <c r="BL102" s="5">
        <f>recovered!BL102-recovered!BK102</f>
        <v>0</v>
      </c>
      <c r="BM102" s="5">
        <f>recovered!BM102-recovered!BL102</f>
        <v>0</v>
      </c>
      <c r="BN102" s="5">
        <f>recovered!BN102-recovered!BM102</f>
        <v>0</v>
      </c>
      <c r="BO102" s="5">
        <f>recovered!BO102-recovered!BN102</f>
        <v>0</v>
      </c>
      <c r="BP102" s="5">
        <f>recovered!BP102-recovered!BO102</f>
        <v>0</v>
      </c>
      <c r="BQ102" s="5">
        <f>recovered!BQ102-recovered!BP102</f>
        <v>0</v>
      </c>
      <c r="BR102" s="5">
        <f>recovered!BR102-recovered!BQ102</f>
        <v>0</v>
      </c>
      <c r="BS102" s="5">
        <f>recovered!BS102-recovered!BR102</f>
        <v>0</v>
      </c>
      <c r="BT102" s="5">
        <f>recovered!BT102-recovered!BS102</f>
        <v>0</v>
      </c>
      <c r="BU102" s="5">
        <f>recovered!BU102-recovered!BT102</f>
        <v>0</v>
      </c>
      <c r="BV102" s="5">
        <f>recovered!BV102-recovered!BU102</f>
        <v>0</v>
      </c>
      <c r="BW102" s="5">
        <f>recovered!BW102-recovered!BV102</f>
        <v>0</v>
      </c>
      <c r="BX102" s="5">
        <f>recovered!BX102-recovered!BW102</f>
        <v>0</v>
      </c>
      <c r="BY102" s="5">
        <f>recovered!BY102-recovered!BX102</f>
        <v>0</v>
      </c>
    </row>
    <row r="103">
      <c r="B103" s="1" t="str">
        <f>recovered!B103</f>
        <v>France</v>
      </c>
      <c r="C103" s="4">
        <f>recovered!C103</f>
        <v>16.25</v>
      </c>
      <c r="D103" s="4">
        <f>recovered!D103</f>
        <v>-61.5833</v>
      </c>
      <c r="E103" s="5">
        <f>recovered!E103</f>
        <v>0</v>
      </c>
      <c r="F103" s="5">
        <f>recovered!F103-recovered!E103</f>
        <v>0</v>
      </c>
      <c r="G103" s="5">
        <f>recovered!G103-recovered!F103</f>
        <v>0</v>
      </c>
      <c r="H103" s="5">
        <f>recovered!H103-recovered!G103</f>
        <v>0</v>
      </c>
      <c r="I103" s="5">
        <f>recovered!I103-recovered!H103</f>
        <v>0</v>
      </c>
      <c r="J103" s="5">
        <f>recovered!J103-recovered!I103</f>
        <v>0</v>
      </c>
      <c r="K103" s="5">
        <f>recovered!K103-recovered!J103</f>
        <v>0</v>
      </c>
      <c r="L103" s="5">
        <f>recovered!L103-recovered!K103</f>
        <v>0</v>
      </c>
      <c r="M103" s="5">
        <f>recovered!M103-recovered!L103</f>
        <v>0</v>
      </c>
      <c r="N103" s="5">
        <f>recovered!N103-recovered!M103</f>
        <v>0</v>
      </c>
      <c r="O103" s="5">
        <f>recovered!O103-recovered!N103</f>
        <v>0</v>
      </c>
      <c r="P103" s="5">
        <f>recovered!P103-recovered!O103</f>
        <v>0</v>
      </c>
      <c r="Q103" s="5">
        <f>recovered!Q103-recovered!P103</f>
        <v>0</v>
      </c>
      <c r="R103" s="5">
        <f>recovered!R103-recovered!Q103</f>
        <v>0</v>
      </c>
      <c r="S103" s="5">
        <f>recovered!S103-recovered!R103</f>
        <v>0</v>
      </c>
      <c r="T103" s="5">
        <f>recovered!T103-recovered!S103</f>
        <v>0</v>
      </c>
      <c r="U103" s="5">
        <f>recovered!U103-recovered!T103</f>
        <v>0</v>
      </c>
      <c r="V103" s="5">
        <f>recovered!V103-recovered!U103</f>
        <v>0</v>
      </c>
      <c r="W103" s="5">
        <f>recovered!W103-recovered!V103</f>
        <v>0</v>
      </c>
      <c r="X103" s="5">
        <f>recovered!X103-recovered!W103</f>
        <v>0</v>
      </c>
      <c r="Y103" s="5">
        <f>recovered!Y103-recovered!X103</f>
        <v>0</v>
      </c>
      <c r="Z103" s="5">
        <f>recovered!Z103-recovered!Y103</f>
        <v>0</v>
      </c>
      <c r="AA103" s="5">
        <f>recovered!AA103-recovered!Z103</f>
        <v>0</v>
      </c>
      <c r="AB103" s="5">
        <f>recovered!AB103-recovered!AA103</f>
        <v>0</v>
      </c>
      <c r="AC103" s="5">
        <f>recovered!AC103-recovered!AB103</f>
        <v>0</v>
      </c>
      <c r="AD103" s="5">
        <f>recovered!AD103-recovered!AC103</f>
        <v>0</v>
      </c>
      <c r="AE103" s="5">
        <f>recovered!AE103-recovered!AD103</f>
        <v>0</v>
      </c>
      <c r="AF103" s="5">
        <f>recovered!AF103-recovered!AE103</f>
        <v>0</v>
      </c>
      <c r="AG103" s="5">
        <f>recovered!AG103-recovered!AF103</f>
        <v>0</v>
      </c>
      <c r="AH103" s="5">
        <f>recovered!AH103-recovered!AG103</f>
        <v>0</v>
      </c>
      <c r="AI103" s="5">
        <f>recovered!AI103-recovered!AH103</f>
        <v>0</v>
      </c>
      <c r="AJ103" s="5">
        <f>recovered!AJ103-recovered!AI103</f>
        <v>0</v>
      </c>
      <c r="AK103" s="5">
        <f>recovered!AK103-recovered!AJ103</f>
        <v>0</v>
      </c>
      <c r="AL103" s="5">
        <f>recovered!AL103-recovered!AK103</f>
        <v>0</v>
      </c>
      <c r="AM103" s="5">
        <f>recovered!AM103-recovered!AL103</f>
        <v>0</v>
      </c>
      <c r="AN103" s="5">
        <f>recovered!AN103-recovered!AM103</f>
        <v>0</v>
      </c>
      <c r="AO103" s="5">
        <f>recovered!AO103-recovered!AN103</f>
        <v>0</v>
      </c>
      <c r="AP103" s="5">
        <f>recovered!AP103-recovered!AO103</f>
        <v>0</v>
      </c>
      <c r="AQ103" s="5">
        <f>recovered!AQ103-recovered!AP103</f>
        <v>0</v>
      </c>
      <c r="AR103" s="5">
        <f>recovered!AR103-recovered!AQ103</f>
        <v>0</v>
      </c>
      <c r="AS103" s="5">
        <f>recovered!AS103-recovered!AR103</f>
        <v>0</v>
      </c>
      <c r="AT103" s="5">
        <f>recovered!AT103-recovered!AS103</f>
        <v>0</v>
      </c>
      <c r="AU103" s="5">
        <f>recovered!AU103-recovered!AT103</f>
        <v>0</v>
      </c>
      <c r="AV103" s="5">
        <f>recovered!AV103-recovered!AU103</f>
        <v>0</v>
      </c>
      <c r="AW103" s="5">
        <f>recovered!AW103-recovered!AV103</f>
        <v>0</v>
      </c>
      <c r="AX103" s="5">
        <f>recovered!AX103-recovered!AW103</f>
        <v>0</v>
      </c>
      <c r="AY103" s="5">
        <f>recovered!AY103-recovered!AX103</f>
        <v>0</v>
      </c>
      <c r="AZ103" s="5">
        <f>recovered!AZ103-recovered!AY103</f>
        <v>0</v>
      </c>
      <c r="BA103" s="5">
        <f>recovered!BA103-recovered!AZ103</f>
        <v>0</v>
      </c>
      <c r="BB103" s="5">
        <f>recovered!BB103-recovered!BA103</f>
        <v>0</v>
      </c>
      <c r="BC103" s="5">
        <f>recovered!BC103-recovered!BB103</f>
        <v>0</v>
      </c>
      <c r="BD103" s="5">
        <f>recovered!BD103-recovered!BC103</f>
        <v>0</v>
      </c>
      <c r="BE103" s="5">
        <f>recovered!BE103-recovered!BD103</f>
        <v>0</v>
      </c>
      <c r="BF103" s="5">
        <f>recovered!BF103-recovered!BE103</f>
        <v>0</v>
      </c>
      <c r="BG103" s="5">
        <f>recovered!BG103-recovered!BF103</f>
        <v>0</v>
      </c>
      <c r="BH103" s="5">
        <f>recovered!BH103-recovered!BG103</f>
        <v>0</v>
      </c>
      <c r="BI103" s="5">
        <f>recovered!BI103-recovered!BH103</f>
        <v>0</v>
      </c>
      <c r="BJ103" s="5">
        <f>recovered!BJ103-recovered!BI103</f>
        <v>0</v>
      </c>
      <c r="BK103" s="5">
        <f>recovered!BK103-recovered!BJ103</f>
        <v>0</v>
      </c>
      <c r="BL103" s="5">
        <f>recovered!BL103-recovered!BK103</f>
        <v>0</v>
      </c>
      <c r="BM103" s="5">
        <f>recovered!BM103-recovered!BL103</f>
        <v>0</v>
      </c>
      <c r="BN103" s="5">
        <f>recovered!BN103-recovered!BM103</f>
        <v>0</v>
      </c>
      <c r="BO103" s="5">
        <f>recovered!BO103-recovered!BN103</f>
        <v>0</v>
      </c>
      <c r="BP103" s="5">
        <f>recovered!BP103-recovered!BO103</f>
        <v>0</v>
      </c>
      <c r="BQ103" s="5">
        <f>recovered!BQ103-recovered!BP103</f>
        <v>0</v>
      </c>
      <c r="BR103" s="5">
        <f>recovered!BR103-recovered!BQ103</f>
        <v>0</v>
      </c>
      <c r="BS103" s="5">
        <f>recovered!BS103-recovered!BR103</f>
        <v>17</v>
      </c>
      <c r="BT103" s="5">
        <f>recovered!BT103-recovered!BS103</f>
        <v>0</v>
      </c>
      <c r="BU103" s="5">
        <f>recovered!BU103-recovered!BT103</f>
        <v>0</v>
      </c>
      <c r="BV103" s="5">
        <f>recovered!BV103-recovered!BU103</f>
        <v>5</v>
      </c>
      <c r="BW103" s="5">
        <f>recovered!BW103-recovered!BV103</f>
        <v>2</v>
      </c>
      <c r="BX103" s="5">
        <f>recovered!BX103-recovered!BW103</f>
        <v>0</v>
      </c>
      <c r="BY103" s="5">
        <f>recovered!BY103-recovered!BX103</f>
        <v>0</v>
      </c>
    </row>
    <row r="104">
      <c r="B104" s="1" t="str">
        <f>recovered!B104</f>
        <v>France</v>
      </c>
      <c r="C104" s="4">
        <f>recovered!C104</f>
        <v>14.6415</v>
      </c>
      <c r="D104" s="4">
        <f>recovered!D104</f>
        <v>-61.0242</v>
      </c>
      <c r="E104" s="5">
        <f>recovered!E104</f>
        <v>0</v>
      </c>
      <c r="F104" s="5">
        <f>recovered!F104-recovered!E104</f>
        <v>0</v>
      </c>
      <c r="G104" s="5">
        <f>recovered!G104-recovered!F104</f>
        <v>0</v>
      </c>
      <c r="H104" s="5">
        <f>recovered!H104-recovered!G104</f>
        <v>0</v>
      </c>
      <c r="I104" s="5">
        <f>recovered!I104-recovered!H104</f>
        <v>0</v>
      </c>
      <c r="J104" s="5">
        <f>recovered!J104-recovered!I104</f>
        <v>0</v>
      </c>
      <c r="K104" s="5">
        <f>recovered!K104-recovered!J104</f>
        <v>0</v>
      </c>
      <c r="L104" s="5">
        <f>recovered!L104-recovered!K104</f>
        <v>0</v>
      </c>
      <c r="M104" s="5">
        <f>recovered!M104-recovered!L104</f>
        <v>0</v>
      </c>
      <c r="N104" s="5">
        <f>recovered!N104-recovered!M104</f>
        <v>0</v>
      </c>
      <c r="O104" s="5">
        <f>recovered!O104-recovered!N104</f>
        <v>0</v>
      </c>
      <c r="P104" s="5">
        <f>recovered!P104-recovered!O104</f>
        <v>0</v>
      </c>
      <c r="Q104" s="5">
        <f>recovered!Q104-recovered!P104</f>
        <v>0</v>
      </c>
      <c r="R104" s="5">
        <f>recovered!R104-recovered!Q104</f>
        <v>0</v>
      </c>
      <c r="S104" s="5">
        <f>recovered!S104-recovered!R104</f>
        <v>0</v>
      </c>
      <c r="T104" s="5">
        <f>recovered!T104-recovered!S104</f>
        <v>0</v>
      </c>
      <c r="U104" s="5">
        <f>recovered!U104-recovered!T104</f>
        <v>0</v>
      </c>
      <c r="V104" s="5">
        <f>recovered!V104-recovered!U104</f>
        <v>0</v>
      </c>
      <c r="W104" s="5">
        <f>recovered!W104-recovered!V104</f>
        <v>0</v>
      </c>
      <c r="X104" s="5">
        <f>recovered!X104-recovered!W104</f>
        <v>0</v>
      </c>
      <c r="Y104" s="5">
        <f>recovered!Y104-recovered!X104</f>
        <v>0</v>
      </c>
      <c r="Z104" s="5">
        <f>recovered!Z104-recovered!Y104</f>
        <v>0</v>
      </c>
      <c r="AA104" s="5">
        <f>recovered!AA104-recovered!Z104</f>
        <v>0</v>
      </c>
      <c r="AB104" s="5">
        <f>recovered!AB104-recovered!AA104</f>
        <v>0</v>
      </c>
      <c r="AC104" s="5">
        <f>recovered!AC104-recovered!AB104</f>
        <v>0</v>
      </c>
      <c r="AD104" s="5">
        <f>recovered!AD104-recovered!AC104</f>
        <v>0</v>
      </c>
      <c r="AE104" s="5">
        <f>recovered!AE104-recovered!AD104</f>
        <v>0</v>
      </c>
      <c r="AF104" s="5">
        <f>recovered!AF104-recovered!AE104</f>
        <v>0</v>
      </c>
      <c r="AG104" s="5">
        <f>recovered!AG104-recovered!AF104</f>
        <v>0</v>
      </c>
      <c r="AH104" s="5">
        <f>recovered!AH104-recovered!AG104</f>
        <v>0</v>
      </c>
      <c r="AI104" s="5">
        <f>recovered!AI104-recovered!AH104</f>
        <v>0</v>
      </c>
      <c r="AJ104" s="5">
        <f>recovered!AJ104-recovered!AI104</f>
        <v>0</v>
      </c>
      <c r="AK104" s="5">
        <f>recovered!AK104-recovered!AJ104</f>
        <v>0</v>
      </c>
      <c r="AL104" s="5">
        <f>recovered!AL104-recovered!AK104</f>
        <v>0</v>
      </c>
      <c r="AM104" s="5">
        <f>recovered!AM104-recovered!AL104</f>
        <v>0</v>
      </c>
      <c r="AN104" s="5">
        <f>recovered!AN104-recovered!AM104</f>
        <v>0</v>
      </c>
      <c r="AO104" s="5">
        <f>recovered!AO104-recovered!AN104</f>
        <v>0</v>
      </c>
      <c r="AP104" s="5">
        <f>recovered!AP104-recovered!AO104</f>
        <v>0</v>
      </c>
      <c r="AQ104" s="5">
        <f>recovered!AQ104-recovered!AP104</f>
        <v>0</v>
      </c>
      <c r="AR104" s="5">
        <f>recovered!AR104-recovered!AQ104</f>
        <v>0</v>
      </c>
      <c r="AS104" s="5">
        <f>recovered!AS104-recovered!AR104</f>
        <v>0</v>
      </c>
      <c r="AT104" s="5">
        <f>recovered!AT104-recovered!AS104</f>
        <v>0</v>
      </c>
      <c r="AU104" s="5">
        <f>recovered!AU104-recovered!AT104</f>
        <v>0</v>
      </c>
      <c r="AV104" s="5">
        <f>recovered!AV104-recovered!AU104</f>
        <v>0</v>
      </c>
      <c r="AW104" s="5">
        <f>recovered!AW104-recovered!AV104</f>
        <v>0</v>
      </c>
      <c r="AX104" s="5">
        <f>recovered!AX104-recovered!AW104</f>
        <v>0</v>
      </c>
      <c r="AY104" s="5">
        <f>recovered!AY104-recovered!AX104</f>
        <v>0</v>
      </c>
      <c r="AZ104" s="5">
        <f>recovered!AZ104-recovered!AY104</f>
        <v>0</v>
      </c>
      <c r="BA104" s="5">
        <f>recovered!BA104-recovered!AZ104</f>
        <v>0</v>
      </c>
      <c r="BB104" s="5">
        <f>recovered!BB104-recovered!BA104</f>
        <v>0</v>
      </c>
      <c r="BC104" s="5">
        <f>recovered!BC104-recovered!BB104</f>
        <v>0</v>
      </c>
      <c r="BD104" s="5">
        <f>recovered!BD104-recovered!BC104</f>
        <v>0</v>
      </c>
      <c r="BE104" s="5">
        <f>recovered!BE104-recovered!BD104</f>
        <v>0</v>
      </c>
      <c r="BF104" s="5">
        <f>recovered!BF104-recovered!BE104</f>
        <v>0</v>
      </c>
      <c r="BG104" s="5">
        <f>recovered!BG104-recovered!BF104</f>
        <v>0</v>
      </c>
      <c r="BH104" s="5">
        <f>recovered!BH104-recovered!BG104</f>
        <v>0</v>
      </c>
      <c r="BI104" s="5">
        <f>recovered!BI104-recovered!BH104</f>
        <v>0</v>
      </c>
      <c r="BJ104" s="5">
        <f>recovered!BJ104-recovered!BI104</f>
        <v>0</v>
      </c>
      <c r="BK104" s="5">
        <f>recovered!BK104-recovered!BJ104</f>
        <v>0</v>
      </c>
      <c r="BL104" s="5">
        <f>recovered!BL104-recovered!BK104</f>
        <v>0</v>
      </c>
      <c r="BM104" s="5">
        <f>recovered!BM104-recovered!BL104</f>
        <v>0</v>
      </c>
      <c r="BN104" s="5">
        <f>recovered!BN104-recovered!BM104</f>
        <v>0</v>
      </c>
      <c r="BO104" s="5">
        <f>recovered!BO104-recovered!BN104</f>
        <v>0</v>
      </c>
      <c r="BP104" s="5">
        <f>recovered!BP104-recovered!BO104</f>
        <v>0</v>
      </c>
      <c r="BQ104" s="5">
        <f>recovered!BQ104-recovered!BP104</f>
        <v>0</v>
      </c>
      <c r="BR104" s="5">
        <f>recovered!BR104-recovered!BQ104</f>
        <v>0</v>
      </c>
      <c r="BS104" s="5">
        <f>recovered!BS104-recovered!BR104</f>
        <v>0</v>
      </c>
      <c r="BT104" s="5">
        <f>recovered!BT104-recovered!BS104</f>
        <v>0</v>
      </c>
      <c r="BU104" s="5">
        <f>recovered!BU104-recovered!BT104</f>
        <v>0</v>
      </c>
      <c r="BV104" s="5">
        <f>recovered!BV104-recovered!BU104</f>
        <v>27</v>
      </c>
      <c r="BW104" s="5">
        <f>recovered!BW104-recovered!BV104</f>
        <v>0</v>
      </c>
      <c r="BX104" s="5">
        <f>recovered!BX104-recovered!BW104</f>
        <v>0</v>
      </c>
      <c r="BY104" s="5">
        <f>recovered!BY104-recovered!BX104</f>
        <v>0</v>
      </c>
    </row>
    <row r="105">
      <c r="B105" s="1" t="str">
        <f>recovered!B105</f>
        <v>France</v>
      </c>
      <c r="C105" s="4">
        <f>recovered!C105</f>
        <v>-12.8275</v>
      </c>
      <c r="D105" s="4">
        <f>recovered!D105</f>
        <v>45.1662</v>
      </c>
      <c r="E105" s="5">
        <f>recovered!E105</f>
        <v>0</v>
      </c>
      <c r="F105" s="5">
        <f>recovered!F105-recovered!E105</f>
        <v>0</v>
      </c>
      <c r="G105" s="5">
        <f>recovered!G105-recovered!F105</f>
        <v>0</v>
      </c>
      <c r="H105" s="5">
        <f>recovered!H105-recovered!G105</f>
        <v>0</v>
      </c>
      <c r="I105" s="5">
        <f>recovered!I105-recovered!H105</f>
        <v>0</v>
      </c>
      <c r="J105" s="5">
        <f>recovered!J105-recovered!I105</f>
        <v>0</v>
      </c>
      <c r="K105" s="5">
        <f>recovered!K105-recovered!J105</f>
        <v>0</v>
      </c>
      <c r="L105" s="5">
        <f>recovered!L105-recovered!K105</f>
        <v>0</v>
      </c>
      <c r="M105" s="5">
        <f>recovered!M105-recovered!L105</f>
        <v>0</v>
      </c>
      <c r="N105" s="5">
        <f>recovered!N105-recovered!M105</f>
        <v>0</v>
      </c>
      <c r="O105" s="5">
        <f>recovered!O105-recovered!N105</f>
        <v>0</v>
      </c>
      <c r="P105" s="5">
        <f>recovered!P105-recovered!O105</f>
        <v>0</v>
      </c>
      <c r="Q105" s="5">
        <f>recovered!Q105-recovered!P105</f>
        <v>0</v>
      </c>
      <c r="R105" s="5">
        <f>recovered!R105-recovered!Q105</f>
        <v>0</v>
      </c>
      <c r="S105" s="5">
        <f>recovered!S105-recovered!R105</f>
        <v>0</v>
      </c>
      <c r="T105" s="5">
        <f>recovered!T105-recovered!S105</f>
        <v>0</v>
      </c>
      <c r="U105" s="5">
        <f>recovered!U105-recovered!T105</f>
        <v>0</v>
      </c>
      <c r="V105" s="5">
        <f>recovered!V105-recovered!U105</f>
        <v>0</v>
      </c>
      <c r="W105" s="5">
        <f>recovered!W105-recovered!V105</f>
        <v>0</v>
      </c>
      <c r="X105" s="5">
        <f>recovered!X105-recovered!W105</f>
        <v>0</v>
      </c>
      <c r="Y105" s="5">
        <f>recovered!Y105-recovered!X105</f>
        <v>0</v>
      </c>
      <c r="Z105" s="5">
        <f>recovered!Z105-recovered!Y105</f>
        <v>0</v>
      </c>
      <c r="AA105" s="5">
        <f>recovered!AA105-recovered!Z105</f>
        <v>0</v>
      </c>
      <c r="AB105" s="5">
        <f>recovered!AB105-recovered!AA105</f>
        <v>0</v>
      </c>
      <c r="AC105" s="5">
        <f>recovered!AC105-recovered!AB105</f>
        <v>0</v>
      </c>
      <c r="AD105" s="5">
        <f>recovered!AD105-recovered!AC105</f>
        <v>0</v>
      </c>
      <c r="AE105" s="5">
        <f>recovered!AE105-recovered!AD105</f>
        <v>0</v>
      </c>
      <c r="AF105" s="5">
        <f>recovered!AF105-recovered!AE105</f>
        <v>0</v>
      </c>
      <c r="AG105" s="5">
        <f>recovered!AG105-recovered!AF105</f>
        <v>0</v>
      </c>
      <c r="AH105" s="5">
        <f>recovered!AH105-recovered!AG105</f>
        <v>0</v>
      </c>
      <c r="AI105" s="5">
        <f>recovered!AI105-recovered!AH105</f>
        <v>0</v>
      </c>
      <c r="AJ105" s="5">
        <f>recovered!AJ105-recovered!AI105</f>
        <v>0</v>
      </c>
      <c r="AK105" s="5">
        <f>recovered!AK105-recovered!AJ105</f>
        <v>0</v>
      </c>
      <c r="AL105" s="5">
        <f>recovered!AL105-recovered!AK105</f>
        <v>0</v>
      </c>
      <c r="AM105" s="5">
        <f>recovered!AM105-recovered!AL105</f>
        <v>0</v>
      </c>
      <c r="AN105" s="5">
        <f>recovered!AN105-recovered!AM105</f>
        <v>0</v>
      </c>
      <c r="AO105" s="5">
        <f>recovered!AO105-recovered!AN105</f>
        <v>0</v>
      </c>
      <c r="AP105" s="5">
        <f>recovered!AP105-recovered!AO105</f>
        <v>0</v>
      </c>
      <c r="AQ105" s="5">
        <f>recovered!AQ105-recovered!AP105</f>
        <v>0</v>
      </c>
      <c r="AR105" s="5">
        <f>recovered!AR105-recovered!AQ105</f>
        <v>0</v>
      </c>
      <c r="AS105" s="5">
        <f>recovered!AS105-recovered!AR105</f>
        <v>0</v>
      </c>
      <c r="AT105" s="5">
        <f>recovered!AT105-recovered!AS105</f>
        <v>0</v>
      </c>
      <c r="AU105" s="5">
        <f>recovered!AU105-recovered!AT105</f>
        <v>0</v>
      </c>
      <c r="AV105" s="5">
        <f>recovered!AV105-recovered!AU105</f>
        <v>0</v>
      </c>
      <c r="AW105" s="5">
        <f>recovered!AW105-recovered!AV105</f>
        <v>0</v>
      </c>
      <c r="AX105" s="5">
        <f>recovered!AX105-recovered!AW105</f>
        <v>0</v>
      </c>
      <c r="AY105" s="5">
        <f>recovered!AY105-recovered!AX105</f>
        <v>0</v>
      </c>
      <c r="AZ105" s="5">
        <f>recovered!AZ105-recovered!AY105</f>
        <v>0</v>
      </c>
      <c r="BA105" s="5">
        <f>recovered!BA105-recovered!AZ105</f>
        <v>0</v>
      </c>
      <c r="BB105" s="5">
        <f>recovered!BB105-recovered!BA105</f>
        <v>0</v>
      </c>
      <c r="BC105" s="5">
        <f>recovered!BC105-recovered!BB105</f>
        <v>0</v>
      </c>
      <c r="BD105" s="5">
        <f>recovered!BD105-recovered!BC105</f>
        <v>0</v>
      </c>
      <c r="BE105" s="5">
        <f>recovered!BE105-recovered!BD105</f>
        <v>0</v>
      </c>
      <c r="BF105" s="5">
        <f>recovered!BF105-recovered!BE105</f>
        <v>0</v>
      </c>
      <c r="BG105" s="5">
        <f>recovered!BG105-recovered!BF105</f>
        <v>0</v>
      </c>
      <c r="BH105" s="5">
        <f>recovered!BH105-recovered!BG105</f>
        <v>0</v>
      </c>
      <c r="BI105" s="5">
        <f>recovered!BI105-recovered!BH105</f>
        <v>0</v>
      </c>
      <c r="BJ105" s="5">
        <f>recovered!BJ105-recovered!BI105</f>
        <v>0</v>
      </c>
      <c r="BK105" s="5">
        <f>recovered!BK105-recovered!BJ105</f>
        <v>0</v>
      </c>
      <c r="BL105" s="5">
        <f>recovered!BL105-recovered!BK105</f>
        <v>0</v>
      </c>
      <c r="BM105" s="5">
        <f>recovered!BM105-recovered!BL105</f>
        <v>0</v>
      </c>
      <c r="BN105" s="5">
        <f>recovered!BN105-recovered!BM105</f>
        <v>0</v>
      </c>
      <c r="BO105" s="5">
        <f>recovered!BO105-recovered!BN105</f>
        <v>0</v>
      </c>
      <c r="BP105" s="5">
        <f>recovered!BP105-recovered!BO105</f>
        <v>0</v>
      </c>
      <c r="BQ105" s="5">
        <f>recovered!BQ105-recovered!BP105</f>
        <v>0</v>
      </c>
      <c r="BR105" s="5">
        <f>recovered!BR105-recovered!BQ105</f>
        <v>0</v>
      </c>
      <c r="BS105" s="5">
        <f>recovered!BS105-recovered!BR105</f>
        <v>0</v>
      </c>
      <c r="BT105" s="5">
        <f>recovered!BT105-recovered!BS105</f>
        <v>0</v>
      </c>
      <c r="BU105" s="5">
        <f>recovered!BU105-recovered!BT105</f>
        <v>10</v>
      </c>
      <c r="BV105" s="5">
        <f>recovered!BV105-recovered!BU105</f>
        <v>0</v>
      </c>
      <c r="BW105" s="5">
        <f>recovered!BW105-recovered!BV105</f>
        <v>0</v>
      </c>
      <c r="BX105" s="5">
        <f>recovered!BX105-recovered!BW105</f>
        <v>0</v>
      </c>
      <c r="BY105" s="5">
        <f>recovered!BY105-recovered!BX105</f>
        <v>0</v>
      </c>
    </row>
    <row r="106">
      <c r="B106" s="1" t="str">
        <f>recovered!B106</f>
        <v>France</v>
      </c>
      <c r="C106" s="4">
        <f>recovered!C106</f>
        <v>-20.9043</v>
      </c>
      <c r="D106" s="4">
        <f>recovered!D106</f>
        <v>165.618</v>
      </c>
      <c r="E106" s="5">
        <f>recovered!E106</f>
        <v>0</v>
      </c>
      <c r="F106" s="5">
        <f>recovered!F106-recovered!E106</f>
        <v>0</v>
      </c>
      <c r="G106" s="5">
        <f>recovered!G106-recovered!F106</f>
        <v>0</v>
      </c>
      <c r="H106" s="5">
        <f>recovered!H106-recovered!G106</f>
        <v>0</v>
      </c>
      <c r="I106" s="5">
        <f>recovered!I106-recovered!H106</f>
        <v>0</v>
      </c>
      <c r="J106" s="5">
        <f>recovered!J106-recovered!I106</f>
        <v>0</v>
      </c>
      <c r="K106" s="5">
        <f>recovered!K106-recovered!J106</f>
        <v>0</v>
      </c>
      <c r="L106" s="5">
        <f>recovered!L106-recovered!K106</f>
        <v>0</v>
      </c>
      <c r="M106" s="5">
        <f>recovered!M106-recovered!L106</f>
        <v>0</v>
      </c>
      <c r="N106" s="5">
        <f>recovered!N106-recovered!M106</f>
        <v>0</v>
      </c>
      <c r="O106" s="5">
        <f>recovered!O106-recovered!N106</f>
        <v>0</v>
      </c>
      <c r="P106" s="5">
        <f>recovered!P106-recovered!O106</f>
        <v>0</v>
      </c>
      <c r="Q106" s="5">
        <f>recovered!Q106-recovered!P106</f>
        <v>0</v>
      </c>
      <c r="R106" s="5">
        <f>recovered!R106-recovered!Q106</f>
        <v>0</v>
      </c>
      <c r="S106" s="5">
        <f>recovered!S106-recovered!R106</f>
        <v>0</v>
      </c>
      <c r="T106" s="5">
        <f>recovered!T106-recovered!S106</f>
        <v>0</v>
      </c>
      <c r="U106" s="5">
        <f>recovered!U106-recovered!T106</f>
        <v>0</v>
      </c>
      <c r="V106" s="5">
        <f>recovered!V106-recovered!U106</f>
        <v>0</v>
      </c>
      <c r="W106" s="5">
        <f>recovered!W106-recovered!V106</f>
        <v>0</v>
      </c>
      <c r="X106" s="5">
        <f>recovered!X106-recovered!W106</f>
        <v>0</v>
      </c>
      <c r="Y106" s="5">
        <f>recovered!Y106-recovered!X106</f>
        <v>0</v>
      </c>
      <c r="Z106" s="5">
        <f>recovered!Z106-recovered!Y106</f>
        <v>0</v>
      </c>
      <c r="AA106" s="5">
        <f>recovered!AA106-recovered!Z106</f>
        <v>0</v>
      </c>
      <c r="AB106" s="5">
        <f>recovered!AB106-recovered!AA106</f>
        <v>0</v>
      </c>
      <c r="AC106" s="5">
        <f>recovered!AC106-recovered!AB106</f>
        <v>0</v>
      </c>
      <c r="AD106" s="5">
        <f>recovered!AD106-recovered!AC106</f>
        <v>0</v>
      </c>
      <c r="AE106" s="5">
        <f>recovered!AE106-recovered!AD106</f>
        <v>0</v>
      </c>
      <c r="AF106" s="5">
        <f>recovered!AF106-recovered!AE106</f>
        <v>0</v>
      </c>
      <c r="AG106" s="5">
        <f>recovered!AG106-recovered!AF106</f>
        <v>0</v>
      </c>
      <c r="AH106" s="5">
        <f>recovered!AH106-recovered!AG106</f>
        <v>0</v>
      </c>
      <c r="AI106" s="5">
        <f>recovered!AI106-recovered!AH106</f>
        <v>0</v>
      </c>
      <c r="AJ106" s="5">
        <f>recovered!AJ106-recovered!AI106</f>
        <v>0</v>
      </c>
      <c r="AK106" s="5">
        <f>recovered!AK106-recovered!AJ106</f>
        <v>0</v>
      </c>
      <c r="AL106" s="5">
        <f>recovered!AL106-recovered!AK106</f>
        <v>0</v>
      </c>
      <c r="AM106" s="5">
        <f>recovered!AM106-recovered!AL106</f>
        <v>0</v>
      </c>
      <c r="AN106" s="5">
        <f>recovered!AN106-recovered!AM106</f>
        <v>0</v>
      </c>
      <c r="AO106" s="5">
        <f>recovered!AO106-recovered!AN106</f>
        <v>0</v>
      </c>
      <c r="AP106" s="5">
        <f>recovered!AP106-recovered!AO106</f>
        <v>0</v>
      </c>
      <c r="AQ106" s="5">
        <f>recovered!AQ106-recovered!AP106</f>
        <v>0</v>
      </c>
      <c r="AR106" s="5">
        <f>recovered!AR106-recovered!AQ106</f>
        <v>0</v>
      </c>
      <c r="AS106" s="5">
        <f>recovered!AS106-recovered!AR106</f>
        <v>0</v>
      </c>
      <c r="AT106" s="5">
        <f>recovered!AT106-recovered!AS106</f>
        <v>0</v>
      </c>
      <c r="AU106" s="5">
        <f>recovered!AU106-recovered!AT106</f>
        <v>0</v>
      </c>
      <c r="AV106" s="5">
        <f>recovered!AV106-recovered!AU106</f>
        <v>0</v>
      </c>
      <c r="AW106" s="5">
        <f>recovered!AW106-recovered!AV106</f>
        <v>0</v>
      </c>
      <c r="AX106" s="5">
        <f>recovered!AX106-recovered!AW106</f>
        <v>0</v>
      </c>
      <c r="AY106" s="5">
        <f>recovered!AY106-recovered!AX106</f>
        <v>0</v>
      </c>
      <c r="AZ106" s="5">
        <f>recovered!AZ106-recovered!AY106</f>
        <v>0</v>
      </c>
      <c r="BA106" s="5">
        <f>recovered!BA106-recovered!AZ106</f>
        <v>0</v>
      </c>
      <c r="BB106" s="5">
        <f>recovered!BB106-recovered!BA106</f>
        <v>0</v>
      </c>
      <c r="BC106" s="5">
        <f>recovered!BC106-recovered!BB106</f>
        <v>0</v>
      </c>
      <c r="BD106" s="5">
        <f>recovered!BD106-recovered!BC106</f>
        <v>0</v>
      </c>
      <c r="BE106" s="5">
        <f>recovered!BE106-recovered!BD106</f>
        <v>0</v>
      </c>
      <c r="BF106" s="5">
        <f>recovered!BF106-recovered!BE106</f>
        <v>0</v>
      </c>
      <c r="BG106" s="5">
        <f>recovered!BG106-recovered!BF106</f>
        <v>0</v>
      </c>
      <c r="BH106" s="5">
        <f>recovered!BH106-recovered!BG106</f>
        <v>0</v>
      </c>
      <c r="BI106" s="5">
        <f>recovered!BI106-recovered!BH106</f>
        <v>0</v>
      </c>
      <c r="BJ106" s="5">
        <f>recovered!BJ106-recovered!BI106</f>
        <v>0</v>
      </c>
      <c r="BK106" s="5">
        <f>recovered!BK106-recovered!BJ106</f>
        <v>0</v>
      </c>
      <c r="BL106" s="5">
        <f>recovered!BL106-recovered!BK106</f>
        <v>0</v>
      </c>
      <c r="BM106" s="5">
        <f>recovered!BM106-recovered!BL106</f>
        <v>0</v>
      </c>
      <c r="BN106" s="5">
        <f>recovered!BN106-recovered!BM106</f>
        <v>0</v>
      </c>
      <c r="BO106" s="5">
        <f>recovered!BO106-recovered!BN106</f>
        <v>0</v>
      </c>
      <c r="BP106" s="5">
        <f>recovered!BP106-recovered!BO106</f>
        <v>0</v>
      </c>
      <c r="BQ106" s="5">
        <f>recovered!BQ106-recovered!BP106</f>
        <v>0</v>
      </c>
      <c r="BR106" s="5">
        <f>recovered!BR106-recovered!BQ106</f>
        <v>0</v>
      </c>
      <c r="BS106" s="5">
        <f>recovered!BS106-recovered!BR106</f>
        <v>0</v>
      </c>
      <c r="BT106" s="5">
        <f>recovered!BT106-recovered!BS106</f>
        <v>0</v>
      </c>
      <c r="BU106" s="5">
        <f>recovered!BU106-recovered!BT106</f>
        <v>0</v>
      </c>
      <c r="BV106" s="5">
        <f>recovered!BV106-recovered!BU106</f>
        <v>0</v>
      </c>
      <c r="BW106" s="5">
        <f>recovered!BW106-recovered!BV106</f>
        <v>0</v>
      </c>
      <c r="BX106" s="5">
        <f>recovered!BX106-recovered!BW106</f>
        <v>1</v>
      </c>
      <c r="BY106" s="5">
        <f>recovered!BY106-recovered!BX106</f>
        <v>0</v>
      </c>
    </row>
    <row r="107">
      <c r="B107" s="1" t="str">
        <f>recovered!B107</f>
        <v>France</v>
      </c>
      <c r="C107" s="4">
        <f>recovered!C107</f>
        <v>-21.1351</v>
      </c>
      <c r="D107" s="4">
        <f>recovered!D107</f>
        <v>55.2471</v>
      </c>
      <c r="E107" s="5">
        <f>recovered!E107</f>
        <v>0</v>
      </c>
      <c r="F107" s="5">
        <f>recovered!F107-recovered!E107</f>
        <v>0</v>
      </c>
      <c r="G107" s="5">
        <f>recovered!G107-recovered!F107</f>
        <v>0</v>
      </c>
      <c r="H107" s="5">
        <f>recovered!H107-recovered!G107</f>
        <v>0</v>
      </c>
      <c r="I107" s="5">
        <f>recovered!I107-recovered!H107</f>
        <v>0</v>
      </c>
      <c r="J107" s="5">
        <f>recovered!J107-recovered!I107</f>
        <v>0</v>
      </c>
      <c r="K107" s="5">
        <f>recovered!K107-recovered!J107</f>
        <v>0</v>
      </c>
      <c r="L107" s="5">
        <f>recovered!L107-recovered!K107</f>
        <v>0</v>
      </c>
      <c r="M107" s="5">
        <f>recovered!M107-recovered!L107</f>
        <v>0</v>
      </c>
      <c r="N107" s="5">
        <f>recovered!N107-recovered!M107</f>
        <v>0</v>
      </c>
      <c r="O107" s="5">
        <f>recovered!O107-recovered!N107</f>
        <v>0</v>
      </c>
      <c r="P107" s="5">
        <f>recovered!P107-recovered!O107</f>
        <v>0</v>
      </c>
      <c r="Q107" s="5">
        <f>recovered!Q107-recovered!P107</f>
        <v>0</v>
      </c>
      <c r="R107" s="5">
        <f>recovered!R107-recovered!Q107</f>
        <v>0</v>
      </c>
      <c r="S107" s="5">
        <f>recovered!S107-recovered!R107</f>
        <v>0</v>
      </c>
      <c r="T107" s="5">
        <f>recovered!T107-recovered!S107</f>
        <v>0</v>
      </c>
      <c r="U107" s="5">
        <f>recovered!U107-recovered!T107</f>
        <v>0</v>
      </c>
      <c r="V107" s="5">
        <f>recovered!V107-recovered!U107</f>
        <v>0</v>
      </c>
      <c r="W107" s="5">
        <f>recovered!W107-recovered!V107</f>
        <v>0</v>
      </c>
      <c r="X107" s="5">
        <f>recovered!X107-recovered!W107</f>
        <v>0</v>
      </c>
      <c r="Y107" s="5">
        <f>recovered!Y107-recovered!X107</f>
        <v>0</v>
      </c>
      <c r="Z107" s="5">
        <f>recovered!Z107-recovered!Y107</f>
        <v>0</v>
      </c>
      <c r="AA107" s="5">
        <f>recovered!AA107-recovered!Z107</f>
        <v>0</v>
      </c>
      <c r="AB107" s="5">
        <f>recovered!AB107-recovered!AA107</f>
        <v>0</v>
      </c>
      <c r="AC107" s="5">
        <f>recovered!AC107-recovered!AB107</f>
        <v>0</v>
      </c>
      <c r="AD107" s="5">
        <f>recovered!AD107-recovered!AC107</f>
        <v>0</v>
      </c>
      <c r="AE107" s="5">
        <f>recovered!AE107-recovered!AD107</f>
        <v>0</v>
      </c>
      <c r="AF107" s="5">
        <f>recovered!AF107-recovered!AE107</f>
        <v>0</v>
      </c>
      <c r="AG107" s="5">
        <f>recovered!AG107-recovered!AF107</f>
        <v>0</v>
      </c>
      <c r="AH107" s="5">
        <f>recovered!AH107-recovered!AG107</f>
        <v>0</v>
      </c>
      <c r="AI107" s="5">
        <f>recovered!AI107-recovered!AH107</f>
        <v>0</v>
      </c>
      <c r="AJ107" s="5">
        <f>recovered!AJ107-recovered!AI107</f>
        <v>0</v>
      </c>
      <c r="AK107" s="5">
        <f>recovered!AK107-recovered!AJ107</f>
        <v>0</v>
      </c>
      <c r="AL107" s="5">
        <f>recovered!AL107-recovered!AK107</f>
        <v>0</v>
      </c>
      <c r="AM107" s="5">
        <f>recovered!AM107-recovered!AL107</f>
        <v>0</v>
      </c>
      <c r="AN107" s="5">
        <f>recovered!AN107-recovered!AM107</f>
        <v>0</v>
      </c>
      <c r="AO107" s="5">
        <f>recovered!AO107-recovered!AN107</f>
        <v>0</v>
      </c>
      <c r="AP107" s="5">
        <f>recovered!AP107-recovered!AO107</f>
        <v>0</v>
      </c>
      <c r="AQ107" s="5">
        <f>recovered!AQ107-recovered!AP107</f>
        <v>0</v>
      </c>
      <c r="AR107" s="5">
        <f>recovered!AR107-recovered!AQ107</f>
        <v>0</v>
      </c>
      <c r="AS107" s="5">
        <f>recovered!AS107-recovered!AR107</f>
        <v>0</v>
      </c>
      <c r="AT107" s="5">
        <f>recovered!AT107-recovered!AS107</f>
        <v>0</v>
      </c>
      <c r="AU107" s="5">
        <f>recovered!AU107-recovered!AT107</f>
        <v>0</v>
      </c>
      <c r="AV107" s="5">
        <f>recovered!AV107-recovered!AU107</f>
        <v>0</v>
      </c>
      <c r="AW107" s="5">
        <f>recovered!AW107-recovered!AV107</f>
        <v>0</v>
      </c>
      <c r="AX107" s="5">
        <f>recovered!AX107-recovered!AW107</f>
        <v>0</v>
      </c>
      <c r="AY107" s="5">
        <f>recovered!AY107-recovered!AX107</f>
        <v>0</v>
      </c>
      <c r="AZ107" s="5">
        <f>recovered!AZ107-recovered!AY107</f>
        <v>0</v>
      </c>
      <c r="BA107" s="5">
        <f>recovered!BA107-recovered!AZ107</f>
        <v>0</v>
      </c>
      <c r="BB107" s="5">
        <f>recovered!BB107-recovered!BA107</f>
        <v>0</v>
      </c>
      <c r="BC107" s="5">
        <f>recovered!BC107-recovered!BB107</f>
        <v>0</v>
      </c>
      <c r="BD107" s="5">
        <f>recovered!BD107-recovered!BC107</f>
        <v>0</v>
      </c>
      <c r="BE107" s="5">
        <f>recovered!BE107-recovered!BD107</f>
        <v>0</v>
      </c>
      <c r="BF107" s="5">
        <f>recovered!BF107-recovered!BE107</f>
        <v>0</v>
      </c>
      <c r="BG107" s="5">
        <f>recovered!BG107-recovered!BF107</f>
        <v>0</v>
      </c>
      <c r="BH107" s="5">
        <f>recovered!BH107-recovered!BG107</f>
        <v>0</v>
      </c>
      <c r="BI107" s="5">
        <f>recovered!BI107-recovered!BH107</f>
        <v>0</v>
      </c>
      <c r="BJ107" s="5">
        <f>recovered!BJ107-recovered!BI107</f>
        <v>0</v>
      </c>
      <c r="BK107" s="5">
        <f>recovered!BK107-recovered!BJ107</f>
        <v>0</v>
      </c>
      <c r="BL107" s="5">
        <f>recovered!BL107-recovered!BK107</f>
        <v>0</v>
      </c>
      <c r="BM107" s="5">
        <f>recovered!BM107-recovered!BL107</f>
        <v>0</v>
      </c>
      <c r="BN107" s="5">
        <f>recovered!BN107-recovered!BM107</f>
        <v>0</v>
      </c>
      <c r="BO107" s="5">
        <f>recovered!BO107-recovered!BN107</f>
        <v>1</v>
      </c>
      <c r="BP107" s="5">
        <f>recovered!BP107-recovered!BO107</f>
        <v>0</v>
      </c>
      <c r="BQ107" s="5">
        <f>recovered!BQ107-recovered!BP107</f>
        <v>0</v>
      </c>
      <c r="BR107" s="5">
        <f>recovered!BR107-recovered!BQ107</f>
        <v>0</v>
      </c>
      <c r="BS107" s="5">
        <f>recovered!BS107-recovered!BR107</f>
        <v>0</v>
      </c>
      <c r="BT107" s="5">
        <f>recovered!BT107-recovered!BS107</f>
        <v>0</v>
      </c>
      <c r="BU107" s="5">
        <f>recovered!BU107-recovered!BT107</f>
        <v>0</v>
      </c>
      <c r="BV107" s="5">
        <f>recovered!BV107-recovered!BU107</f>
        <v>0</v>
      </c>
      <c r="BW107" s="5">
        <f>recovered!BW107-recovered!BV107</f>
        <v>39</v>
      </c>
      <c r="BX107" s="5">
        <f>recovered!BX107-recovered!BW107</f>
        <v>0</v>
      </c>
      <c r="BY107" s="5">
        <f>recovered!BY107-recovered!BX107</f>
        <v>0</v>
      </c>
    </row>
    <row r="108">
      <c r="B108" s="1" t="str">
        <f>recovered!B108</f>
        <v>France</v>
      </c>
      <c r="C108" s="4">
        <f>recovered!C108</f>
        <v>17.9</v>
      </c>
      <c r="D108" s="4">
        <f>recovered!D108</f>
        <v>-62.8333</v>
      </c>
      <c r="E108" s="5">
        <f>recovered!E108</f>
        <v>0</v>
      </c>
      <c r="F108" s="5">
        <f>recovered!F108-recovered!E108</f>
        <v>0</v>
      </c>
      <c r="G108" s="5">
        <f>recovered!G108-recovered!F108</f>
        <v>0</v>
      </c>
      <c r="H108" s="5">
        <f>recovered!H108-recovered!G108</f>
        <v>0</v>
      </c>
      <c r="I108" s="5">
        <f>recovered!I108-recovered!H108</f>
        <v>0</v>
      </c>
      <c r="J108" s="5">
        <f>recovered!J108-recovered!I108</f>
        <v>0</v>
      </c>
      <c r="K108" s="5">
        <f>recovered!K108-recovered!J108</f>
        <v>0</v>
      </c>
      <c r="L108" s="5">
        <f>recovered!L108-recovered!K108</f>
        <v>0</v>
      </c>
      <c r="M108" s="5">
        <f>recovered!M108-recovered!L108</f>
        <v>0</v>
      </c>
      <c r="N108" s="5">
        <f>recovered!N108-recovered!M108</f>
        <v>0</v>
      </c>
      <c r="O108" s="5">
        <f>recovered!O108-recovered!N108</f>
        <v>0</v>
      </c>
      <c r="P108" s="5">
        <f>recovered!P108-recovered!O108</f>
        <v>0</v>
      </c>
      <c r="Q108" s="5">
        <f>recovered!Q108-recovered!P108</f>
        <v>0</v>
      </c>
      <c r="R108" s="5">
        <f>recovered!R108-recovered!Q108</f>
        <v>0</v>
      </c>
      <c r="S108" s="5">
        <f>recovered!S108-recovered!R108</f>
        <v>0</v>
      </c>
      <c r="T108" s="5">
        <f>recovered!T108-recovered!S108</f>
        <v>0</v>
      </c>
      <c r="U108" s="5">
        <f>recovered!U108-recovered!T108</f>
        <v>0</v>
      </c>
      <c r="V108" s="5">
        <f>recovered!V108-recovered!U108</f>
        <v>0</v>
      </c>
      <c r="W108" s="5">
        <f>recovered!W108-recovered!V108</f>
        <v>0</v>
      </c>
      <c r="X108" s="5">
        <f>recovered!X108-recovered!W108</f>
        <v>0</v>
      </c>
      <c r="Y108" s="5">
        <f>recovered!Y108-recovered!X108</f>
        <v>0</v>
      </c>
      <c r="Z108" s="5">
        <f>recovered!Z108-recovered!Y108</f>
        <v>0</v>
      </c>
      <c r="AA108" s="5">
        <f>recovered!AA108-recovered!Z108</f>
        <v>0</v>
      </c>
      <c r="AB108" s="5">
        <f>recovered!AB108-recovered!AA108</f>
        <v>0</v>
      </c>
      <c r="AC108" s="5">
        <f>recovered!AC108-recovered!AB108</f>
        <v>0</v>
      </c>
      <c r="AD108" s="5">
        <f>recovered!AD108-recovered!AC108</f>
        <v>0</v>
      </c>
      <c r="AE108" s="5">
        <f>recovered!AE108-recovered!AD108</f>
        <v>0</v>
      </c>
      <c r="AF108" s="5">
        <f>recovered!AF108-recovered!AE108</f>
        <v>0</v>
      </c>
      <c r="AG108" s="5">
        <f>recovered!AG108-recovered!AF108</f>
        <v>0</v>
      </c>
      <c r="AH108" s="5">
        <f>recovered!AH108-recovered!AG108</f>
        <v>0</v>
      </c>
      <c r="AI108" s="5">
        <f>recovered!AI108-recovered!AH108</f>
        <v>0</v>
      </c>
      <c r="AJ108" s="5">
        <f>recovered!AJ108-recovered!AI108</f>
        <v>0</v>
      </c>
      <c r="AK108" s="5">
        <f>recovered!AK108-recovered!AJ108</f>
        <v>0</v>
      </c>
      <c r="AL108" s="5">
        <f>recovered!AL108-recovered!AK108</f>
        <v>0</v>
      </c>
      <c r="AM108" s="5">
        <f>recovered!AM108-recovered!AL108</f>
        <v>0</v>
      </c>
      <c r="AN108" s="5">
        <f>recovered!AN108-recovered!AM108</f>
        <v>0</v>
      </c>
      <c r="AO108" s="5">
        <f>recovered!AO108-recovered!AN108</f>
        <v>0</v>
      </c>
      <c r="AP108" s="5">
        <f>recovered!AP108-recovered!AO108</f>
        <v>0</v>
      </c>
      <c r="AQ108" s="5">
        <f>recovered!AQ108-recovered!AP108</f>
        <v>0</v>
      </c>
      <c r="AR108" s="5">
        <f>recovered!AR108-recovered!AQ108</f>
        <v>0</v>
      </c>
      <c r="AS108" s="5">
        <f>recovered!AS108-recovered!AR108</f>
        <v>0</v>
      </c>
      <c r="AT108" s="5">
        <f>recovered!AT108-recovered!AS108</f>
        <v>0</v>
      </c>
      <c r="AU108" s="5">
        <f>recovered!AU108-recovered!AT108</f>
        <v>0</v>
      </c>
      <c r="AV108" s="5">
        <f>recovered!AV108-recovered!AU108</f>
        <v>0</v>
      </c>
      <c r="AW108" s="5">
        <f>recovered!AW108-recovered!AV108</f>
        <v>0</v>
      </c>
      <c r="AX108" s="5">
        <f>recovered!AX108-recovered!AW108</f>
        <v>0</v>
      </c>
      <c r="AY108" s="5">
        <f>recovered!AY108-recovered!AX108</f>
        <v>0</v>
      </c>
      <c r="AZ108" s="5">
        <f>recovered!AZ108-recovered!AY108</f>
        <v>0</v>
      </c>
      <c r="BA108" s="5">
        <f>recovered!BA108-recovered!AZ108</f>
        <v>0</v>
      </c>
      <c r="BB108" s="5">
        <f>recovered!BB108-recovered!BA108</f>
        <v>0</v>
      </c>
      <c r="BC108" s="5">
        <f>recovered!BC108-recovered!BB108</f>
        <v>0</v>
      </c>
      <c r="BD108" s="5">
        <f>recovered!BD108-recovered!BC108</f>
        <v>0</v>
      </c>
      <c r="BE108" s="5">
        <f>recovered!BE108-recovered!BD108</f>
        <v>0</v>
      </c>
      <c r="BF108" s="5">
        <f>recovered!BF108-recovered!BE108</f>
        <v>0</v>
      </c>
      <c r="BG108" s="5">
        <f>recovered!BG108-recovered!BF108</f>
        <v>0</v>
      </c>
      <c r="BH108" s="5">
        <f>recovered!BH108-recovered!BG108</f>
        <v>0</v>
      </c>
      <c r="BI108" s="5">
        <f>recovered!BI108-recovered!BH108</f>
        <v>0</v>
      </c>
      <c r="BJ108" s="5">
        <f>recovered!BJ108-recovered!BI108</f>
        <v>0</v>
      </c>
      <c r="BK108" s="5">
        <f>recovered!BK108-recovered!BJ108</f>
        <v>0</v>
      </c>
      <c r="BL108" s="5">
        <f>recovered!BL108-recovered!BK108</f>
        <v>0</v>
      </c>
      <c r="BM108" s="5">
        <f>recovered!BM108-recovered!BL108</f>
        <v>0</v>
      </c>
      <c r="BN108" s="5">
        <f>recovered!BN108-recovered!BM108</f>
        <v>0</v>
      </c>
      <c r="BO108" s="5">
        <f>recovered!BO108-recovered!BN108</f>
        <v>0</v>
      </c>
      <c r="BP108" s="5">
        <f>recovered!BP108-recovered!BO108</f>
        <v>0</v>
      </c>
      <c r="BQ108" s="5">
        <f>recovered!BQ108-recovered!BP108</f>
        <v>0</v>
      </c>
      <c r="BR108" s="5">
        <f>recovered!BR108-recovered!BQ108</f>
        <v>0</v>
      </c>
      <c r="BS108" s="5">
        <f>recovered!BS108-recovered!BR108</f>
        <v>0</v>
      </c>
      <c r="BT108" s="5">
        <f>recovered!BT108-recovered!BS108</f>
        <v>0</v>
      </c>
      <c r="BU108" s="5">
        <f>recovered!BU108-recovered!BT108</f>
        <v>1</v>
      </c>
      <c r="BV108" s="5">
        <f>recovered!BV108-recovered!BU108</f>
        <v>0</v>
      </c>
      <c r="BW108" s="5">
        <f>recovered!BW108-recovered!BV108</f>
        <v>0</v>
      </c>
      <c r="BX108" s="5">
        <f>recovered!BX108-recovered!BW108</f>
        <v>0</v>
      </c>
      <c r="BY108" s="5">
        <f>recovered!BY108-recovered!BX108</f>
        <v>0</v>
      </c>
    </row>
    <row r="109">
      <c r="B109" s="1" t="str">
        <f>recovered!B109</f>
        <v>France</v>
      </c>
      <c r="C109" s="4">
        <f>recovered!C109</f>
        <v>18.0708</v>
      </c>
      <c r="D109" s="4">
        <f>recovered!D109</f>
        <v>-63.0501</v>
      </c>
      <c r="E109" s="5">
        <f>recovered!E109</f>
        <v>0</v>
      </c>
      <c r="F109" s="5">
        <f>recovered!F109-recovered!E109</f>
        <v>0</v>
      </c>
      <c r="G109" s="5">
        <f>recovered!G109-recovered!F109</f>
        <v>0</v>
      </c>
      <c r="H109" s="5">
        <f>recovered!H109-recovered!G109</f>
        <v>0</v>
      </c>
      <c r="I109" s="5">
        <f>recovered!I109-recovered!H109</f>
        <v>0</v>
      </c>
      <c r="J109" s="5">
        <f>recovered!J109-recovered!I109</f>
        <v>0</v>
      </c>
      <c r="K109" s="5">
        <f>recovered!K109-recovered!J109</f>
        <v>0</v>
      </c>
      <c r="L109" s="5">
        <f>recovered!L109-recovered!K109</f>
        <v>0</v>
      </c>
      <c r="M109" s="5">
        <f>recovered!M109-recovered!L109</f>
        <v>0</v>
      </c>
      <c r="N109" s="5">
        <f>recovered!N109-recovered!M109</f>
        <v>0</v>
      </c>
      <c r="O109" s="5">
        <f>recovered!O109-recovered!N109</f>
        <v>0</v>
      </c>
      <c r="P109" s="5">
        <f>recovered!P109-recovered!O109</f>
        <v>0</v>
      </c>
      <c r="Q109" s="5">
        <f>recovered!Q109-recovered!P109</f>
        <v>0</v>
      </c>
      <c r="R109" s="5">
        <f>recovered!R109-recovered!Q109</f>
        <v>0</v>
      </c>
      <c r="S109" s="5">
        <f>recovered!S109-recovered!R109</f>
        <v>0</v>
      </c>
      <c r="T109" s="5">
        <f>recovered!T109-recovered!S109</f>
        <v>0</v>
      </c>
      <c r="U109" s="5">
        <f>recovered!U109-recovered!T109</f>
        <v>0</v>
      </c>
      <c r="V109" s="5">
        <f>recovered!V109-recovered!U109</f>
        <v>0</v>
      </c>
      <c r="W109" s="5">
        <f>recovered!W109-recovered!V109</f>
        <v>0</v>
      </c>
      <c r="X109" s="5">
        <f>recovered!X109-recovered!W109</f>
        <v>0</v>
      </c>
      <c r="Y109" s="5">
        <f>recovered!Y109-recovered!X109</f>
        <v>0</v>
      </c>
      <c r="Z109" s="5">
        <f>recovered!Z109-recovered!Y109</f>
        <v>0</v>
      </c>
      <c r="AA109" s="5">
        <f>recovered!AA109-recovered!Z109</f>
        <v>0</v>
      </c>
      <c r="AB109" s="5">
        <f>recovered!AB109-recovered!AA109</f>
        <v>0</v>
      </c>
      <c r="AC109" s="5">
        <f>recovered!AC109-recovered!AB109</f>
        <v>0</v>
      </c>
      <c r="AD109" s="5">
        <f>recovered!AD109-recovered!AC109</f>
        <v>0</v>
      </c>
      <c r="AE109" s="5">
        <f>recovered!AE109-recovered!AD109</f>
        <v>0</v>
      </c>
      <c r="AF109" s="5">
        <f>recovered!AF109-recovered!AE109</f>
        <v>0</v>
      </c>
      <c r="AG109" s="5">
        <f>recovered!AG109-recovered!AF109</f>
        <v>0</v>
      </c>
      <c r="AH109" s="5">
        <f>recovered!AH109-recovered!AG109</f>
        <v>0</v>
      </c>
      <c r="AI109" s="5">
        <f>recovered!AI109-recovered!AH109</f>
        <v>0</v>
      </c>
      <c r="AJ109" s="5">
        <f>recovered!AJ109-recovered!AI109</f>
        <v>0</v>
      </c>
      <c r="AK109" s="5">
        <f>recovered!AK109-recovered!AJ109</f>
        <v>0</v>
      </c>
      <c r="AL109" s="5">
        <f>recovered!AL109-recovered!AK109</f>
        <v>0</v>
      </c>
      <c r="AM109" s="5">
        <f>recovered!AM109-recovered!AL109</f>
        <v>0</v>
      </c>
      <c r="AN109" s="5">
        <f>recovered!AN109-recovered!AM109</f>
        <v>0</v>
      </c>
      <c r="AO109" s="5">
        <f>recovered!AO109-recovered!AN109</f>
        <v>0</v>
      </c>
      <c r="AP109" s="5">
        <f>recovered!AP109-recovered!AO109</f>
        <v>0</v>
      </c>
      <c r="AQ109" s="5">
        <f>recovered!AQ109-recovered!AP109</f>
        <v>0</v>
      </c>
      <c r="AR109" s="5">
        <f>recovered!AR109-recovered!AQ109</f>
        <v>0</v>
      </c>
      <c r="AS109" s="5">
        <f>recovered!AS109-recovered!AR109</f>
        <v>0</v>
      </c>
      <c r="AT109" s="5">
        <f>recovered!AT109-recovered!AS109</f>
        <v>0</v>
      </c>
      <c r="AU109" s="5">
        <f>recovered!AU109-recovered!AT109</f>
        <v>0</v>
      </c>
      <c r="AV109" s="5">
        <f>recovered!AV109-recovered!AU109</f>
        <v>0</v>
      </c>
      <c r="AW109" s="5">
        <f>recovered!AW109-recovered!AV109</f>
        <v>0</v>
      </c>
      <c r="AX109" s="5">
        <f>recovered!AX109-recovered!AW109</f>
        <v>0</v>
      </c>
      <c r="AY109" s="5">
        <f>recovered!AY109-recovered!AX109</f>
        <v>0</v>
      </c>
      <c r="AZ109" s="5">
        <f>recovered!AZ109-recovered!AY109</f>
        <v>0</v>
      </c>
      <c r="BA109" s="5">
        <f>recovered!BA109-recovered!AZ109</f>
        <v>0</v>
      </c>
      <c r="BB109" s="5">
        <f>recovered!BB109-recovered!BA109</f>
        <v>0</v>
      </c>
      <c r="BC109" s="5">
        <f>recovered!BC109-recovered!BB109</f>
        <v>0</v>
      </c>
      <c r="BD109" s="5">
        <f>recovered!BD109-recovered!BC109</f>
        <v>0</v>
      </c>
      <c r="BE109" s="5">
        <f>recovered!BE109-recovered!BD109</f>
        <v>0</v>
      </c>
      <c r="BF109" s="5">
        <f>recovered!BF109-recovered!BE109</f>
        <v>0</v>
      </c>
      <c r="BG109" s="5">
        <f>recovered!BG109-recovered!BF109</f>
        <v>0</v>
      </c>
      <c r="BH109" s="5">
        <f>recovered!BH109-recovered!BG109</f>
        <v>0</v>
      </c>
      <c r="BI109" s="5">
        <f>recovered!BI109-recovered!BH109</f>
        <v>0</v>
      </c>
      <c r="BJ109" s="5">
        <f>recovered!BJ109-recovered!BI109</f>
        <v>0</v>
      </c>
      <c r="BK109" s="5">
        <f>recovered!BK109-recovered!BJ109</f>
        <v>0</v>
      </c>
      <c r="BL109" s="5">
        <f>recovered!BL109-recovered!BK109</f>
        <v>0</v>
      </c>
      <c r="BM109" s="5">
        <f>recovered!BM109-recovered!BL109</f>
        <v>0</v>
      </c>
      <c r="BN109" s="5">
        <f>recovered!BN109-recovered!BM109</f>
        <v>0</v>
      </c>
      <c r="BO109" s="5">
        <f>recovered!BO109-recovered!BN109</f>
        <v>0</v>
      </c>
      <c r="BP109" s="5">
        <f>recovered!BP109-recovered!BO109</f>
        <v>0</v>
      </c>
      <c r="BQ109" s="5">
        <f>recovered!BQ109-recovered!BP109</f>
        <v>0</v>
      </c>
      <c r="BR109" s="5">
        <f>recovered!BR109-recovered!BQ109</f>
        <v>0</v>
      </c>
      <c r="BS109" s="5">
        <f>recovered!BS109-recovered!BR109</f>
        <v>0</v>
      </c>
      <c r="BT109" s="5">
        <f>recovered!BT109-recovered!BS109</f>
        <v>0</v>
      </c>
      <c r="BU109" s="5">
        <f>recovered!BU109-recovered!BT109</f>
        <v>2</v>
      </c>
      <c r="BV109" s="5">
        <f>recovered!BV109-recovered!BU109</f>
        <v>0</v>
      </c>
      <c r="BW109" s="5">
        <f>recovered!BW109-recovered!BV109</f>
        <v>0</v>
      </c>
      <c r="BX109" s="5">
        <f>recovered!BX109-recovered!BW109</f>
        <v>0</v>
      </c>
      <c r="BY109" s="5">
        <f>recovered!BY109-recovered!BX109</f>
        <v>0</v>
      </c>
    </row>
    <row r="110">
      <c r="B110" s="1" t="str">
        <f>recovered!B110</f>
        <v>France</v>
      </c>
      <c r="C110" s="4">
        <f>recovered!C110</f>
        <v>46.2276</v>
      </c>
      <c r="D110" s="4">
        <f>recovered!D110</f>
        <v>2.2137</v>
      </c>
      <c r="E110" s="5">
        <f>recovered!E110</f>
        <v>0</v>
      </c>
      <c r="F110" s="5">
        <f>recovered!F110-recovered!E110</f>
        <v>0</v>
      </c>
      <c r="G110" s="5">
        <f>recovered!G110-recovered!F110</f>
        <v>0</v>
      </c>
      <c r="H110" s="5">
        <f>recovered!H110-recovered!G110</f>
        <v>0</v>
      </c>
      <c r="I110" s="5">
        <f>recovered!I110-recovered!H110</f>
        <v>0</v>
      </c>
      <c r="J110" s="5">
        <f>recovered!J110-recovered!I110</f>
        <v>0</v>
      </c>
      <c r="K110" s="5">
        <f>recovered!K110-recovered!J110</f>
        <v>0</v>
      </c>
      <c r="L110" s="5">
        <f>recovered!L110-recovered!K110</f>
        <v>0</v>
      </c>
      <c r="M110" s="5">
        <f>recovered!M110-recovered!L110</f>
        <v>0</v>
      </c>
      <c r="N110" s="5">
        <f>recovered!N110-recovered!M110</f>
        <v>0</v>
      </c>
      <c r="O110" s="5">
        <f>recovered!O110-recovered!N110</f>
        <v>0</v>
      </c>
      <c r="P110" s="5">
        <f>recovered!P110-recovered!O110</f>
        <v>0</v>
      </c>
      <c r="Q110" s="5">
        <f>recovered!Q110-recovered!P110</f>
        <v>0</v>
      </c>
      <c r="R110" s="5">
        <f>recovered!R110-recovered!Q110</f>
        <v>0</v>
      </c>
      <c r="S110" s="5">
        <f>recovered!S110-recovered!R110</f>
        <v>0</v>
      </c>
      <c r="T110" s="5">
        <f>recovered!T110-recovered!S110</f>
        <v>0</v>
      </c>
      <c r="U110" s="5">
        <f>recovered!U110-recovered!T110</f>
        <v>0</v>
      </c>
      <c r="V110" s="5">
        <f>recovered!V110-recovered!U110</f>
        <v>0</v>
      </c>
      <c r="W110" s="5">
        <f>recovered!W110-recovered!V110</f>
        <v>0</v>
      </c>
      <c r="X110" s="5">
        <f>recovered!X110-recovered!W110</f>
        <v>0</v>
      </c>
      <c r="Y110" s="5">
        <f>recovered!Y110-recovered!X110</f>
        <v>0</v>
      </c>
      <c r="Z110" s="5">
        <f>recovered!Z110-recovered!Y110</f>
        <v>2</v>
      </c>
      <c r="AA110" s="5">
        <f>recovered!AA110-recovered!Z110</f>
        <v>0</v>
      </c>
      <c r="AB110" s="5">
        <f>recovered!AB110-recovered!AA110</f>
        <v>0</v>
      </c>
      <c r="AC110" s="5">
        <f>recovered!AC110-recovered!AB110</f>
        <v>2</v>
      </c>
      <c r="AD110" s="5">
        <f>recovered!AD110-recovered!AC110</f>
        <v>0</v>
      </c>
      <c r="AE110" s="5">
        <f>recovered!AE110-recovered!AD110</f>
        <v>0</v>
      </c>
      <c r="AF110" s="5">
        <f>recovered!AF110-recovered!AE110</f>
        <v>0</v>
      </c>
      <c r="AG110" s="5">
        <f>recovered!AG110-recovered!AF110</f>
        <v>0</v>
      </c>
      <c r="AH110" s="5">
        <f>recovered!AH110-recovered!AG110</f>
        <v>0</v>
      </c>
      <c r="AI110" s="5">
        <f>recovered!AI110-recovered!AH110</f>
        <v>0</v>
      </c>
      <c r="AJ110" s="5">
        <f>recovered!AJ110-recovered!AI110</f>
        <v>0</v>
      </c>
      <c r="AK110" s="5">
        <f>recovered!AK110-recovered!AJ110</f>
        <v>0</v>
      </c>
      <c r="AL110" s="5">
        <f>recovered!AL110-recovered!AK110</f>
        <v>0</v>
      </c>
      <c r="AM110" s="5">
        <f>recovered!AM110-recovered!AL110</f>
        <v>7</v>
      </c>
      <c r="AN110" s="5">
        <f>recovered!AN110-recovered!AM110</f>
        <v>0</v>
      </c>
      <c r="AO110" s="5">
        <f>recovered!AO110-recovered!AN110</f>
        <v>0</v>
      </c>
      <c r="AP110" s="5">
        <f>recovered!AP110-recovered!AO110</f>
        <v>0</v>
      </c>
      <c r="AQ110" s="5">
        <f>recovered!AQ110-recovered!AP110</f>
        <v>1</v>
      </c>
      <c r="AR110" s="5">
        <f>recovered!AR110-recovered!AQ110</f>
        <v>0</v>
      </c>
      <c r="AS110" s="5">
        <f>recovered!AS110-recovered!AR110</f>
        <v>0</v>
      </c>
      <c r="AT110" s="5">
        <f>recovered!AT110-recovered!AS110</f>
        <v>0</v>
      </c>
      <c r="AU110" s="5">
        <f>recovered!AU110-recovered!AT110</f>
        <v>0</v>
      </c>
      <c r="AV110" s="5">
        <f>recovered!AV110-recovered!AU110</f>
        <v>0</v>
      </c>
      <c r="AW110" s="5">
        <f>recovered!AW110-recovered!AV110</f>
        <v>0</v>
      </c>
      <c r="AX110" s="5">
        <f>recovered!AX110-recovered!AW110</f>
        <v>0</v>
      </c>
      <c r="AY110" s="5">
        <f>recovered!AY110-recovered!AX110</f>
        <v>0</v>
      </c>
      <c r="AZ110" s="5">
        <f>recovered!AZ110-recovered!AY110</f>
        <v>0</v>
      </c>
      <c r="BA110" s="5">
        <f>recovered!BA110-recovered!AZ110</f>
        <v>0</v>
      </c>
      <c r="BB110" s="5">
        <f>recovered!BB110-recovered!BA110</f>
        <v>0</v>
      </c>
      <c r="BC110" s="5">
        <f>recovered!BC110-recovered!BB110</f>
        <v>0</v>
      </c>
      <c r="BD110" s="5">
        <f>recovered!BD110-recovered!BC110</f>
        <v>0</v>
      </c>
      <c r="BE110" s="5">
        <f>recovered!BE110-recovered!BD110</f>
        <v>0</v>
      </c>
      <c r="BF110" s="5">
        <f>recovered!BF110-recovered!BE110</f>
        <v>0</v>
      </c>
      <c r="BG110" s="5">
        <f>recovered!BG110-recovered!BF110</f>
        <v>0</v>
      </c>
      <c r="BH110" s="5">
        <f>recovered!BH110-recovered!BG110</f>
        <v>0</v>
      </c>
      <c r="BI110" s="5">
        <f>recovered!BI110-recovered!BH110</f>
        <v>0</v>
      </c>
      <c r="BJ110" s="5">
        <f>recovered!BJ110-recovered!BI110</f>
        <v>0</v>
      </c>
      <c r="BK110" s="5">
        <f>recovered!BK110-recovered!BJ110</f>
        <v>0</v>
      </c>
      <c r="BL110" s="5">
        <f>recovered!BL110-recovered!BK110</f>
        <v>0</v>
      </c>
      <c r="BM110" s="5">
        <f>recovered!BM110-recovered!BL110</f>
        <v>2188</v>
      </c>
      <c r="BN110" s="5">
        <f>recovered!BN110-recovered!BM110</f>
        <v>0</v>
      </c>
      <c r="BO110" s="5">
        <f>recovered!BO110-recovered!BN110</f>
        <v>1043</v>
      </c>
      <c r="BP110" s="5">
        <f>recovered!BP110-recovered!BO110</f>
        <v>657</v>
      </c>
      <c r="BQ110" s="5">
        <f>recovered!BQ110-recovered!BP110</f>
        <v>1048</v>
      </c>
      <c r="BR110" s="5">
        <f>recovered!BR110-recovered!BQ110</f>
        <v>752</v>
      </c>
      <c r="BS110" s="5">
        <f>recovered!BS110-recovered!BR110</f>
        <v>0</v>
      </c>
      <c r="BT110" s="5">
        <f>recovered!BT110-recovered!BS110</f>
        <v>1502</v>
      </c>
      <c r="BU110" s="5">
        <f>recovered!BU110-recovered!BT110</f>
        <v>725</v>
      </c>
      <c r="BV110" s="5">
        <f>recovered!BV110-recovered!BU110</f>
        <v>1517</v>
      </c>
      <c r="BW110" s="5">
        <f>recovered!BW110-recovered!BV110</f>
        <v>1490</v>
      </c>
      <c r="BX110" s="5">
        <f>recovered!BX110-recovered!BW110</f>
        <v>1494</v>
      </c>
      <c r="BY110" s="5">
        <f>recovered!BY110-recovered!BX110</f>
        <v>1580</v>
      </c>
    </row>
    <row r="111">
      <c r="B111" s="1" t="str">
        <f>recovered!B111</f>
        <v>Gabon</v>
      </c>
      <c r="C111" s="4">
        <f>recovered!C111</f>
        <v>-0.8037</v>
      </c>
      <c r="D111" s="4">
        <f>recovered!D111</f>
        <v>11.6094</v>
      </c>
      <c r="E111" s="5">
        <f>recovered!E111</f>
        <v>0</v>
      </c>
      <c r="F111" s="5">
        <f>recovered!F111-recovered!E111</f>
        <v>0</v>
      </c>
      <c r="G111" s="5">
        <f>recovered!G111-recovered!F111</f>
        <v>0</v>
      </c>
      <c r="H111" s="5">
        <f>recovered!H111-recovered!G111</f>
        <v>0</v>
      </c>
      <c r="I111" s="5">
        <f>recovered!I111-recovered!H111</f>
        <v>0</v>
      </c>
      <c r="J111" s="5">
        <f>recovered!J111-recovered!I111</f>
        <v>0</v>
      </c>
      <c r="K111" s="5">
        <f>recovered!K111-recovered!J111</f>
        <v>0</v>
      </c>
      <c r="L111" s="5">
        <f>recovered!L111-recovered!K111</f>
        <v>0</v>
      </c>
      <c r="M111" s="5">
        <f>recovered!M111-recovered!L111</f>
        <v>0</v>
      </c>
      <c r="N111" s="5">
        <f>recovered!N111-recovered!M111</f>
        <v>0</v>
      </c>
      <c r="O111" s="5">
        <f>recovered!O111-recovered!N111</f>
        <v>0</v>
      </c>
      <c r="P111" s="5">
        <f>recovered!P111-recovered!O111</f>
        <v>0</v>
      </c>
      <c r="Q111" s="5">
        <f>recovered!Q111-recovered!P111</f>
        <v>0</v>
      </c>
      <c r="R111" s="5">
        <f>recovered!R111-recovered!Q111</f>
        <v>0</v>
      </c>
      <c r="S111" s="5">
        <f>recovered!S111-recovered!R111</f>
        <v>0</v>
      </c>
      <c r="T111" s="5">
        <f>recovered!T111-recovered!S111</f>
        <v>0</v>
      </c>
      <c r="U111" s="5">
        <f>recovered!U111-recovered!T111</f>
        <v>0</v>
      </c>
      <c r="V111" s="5">
        <f>recovered!V111-recovered!U111</f>
        <v>0</v>
      </c>
      <c r="W111" s="5">
        <f>recovered!W111-recovered!V111</f>
        <v>0</v>
      </c>
      <c r="X111" s="5">
        <f>recovered!X111-recovered!W111</f>
        <v>0</v>
      </c>
      <c r="Y111" s="5">
        <f>recovered!Y111-recovered!X111</f>
        <v>0</v>
      </c>
      <c r="Z111" s="5">
        <f>recovered!Z111-recovered!Y111</f>
        <v>0</v>
      </c>
      <c r="AA111" s="5">
        <f>recovered!AA111-recovered!Z111</f>
        <v>0</v>
      </c>
      <c r="AB111" s="5">
        <f>recovered!AB111-recovered!AA111</f>
        <v>0</v>
      </c>
      <c r="AC111" s="5">
        <f>recovered!AC111-recovered!AB111</f>
        <v>0</v>
      </c>
      <c r="AD111" s="5">
        <f>recovered!AD111-recovered!AC111</f>
        <v>0</v>
      </c>
      <c r="AE111" s="5">
        <f>recovered!AE111-recovered!AD111</f>
        <v>0</v>
      </c>
      <c r="AF111" s="5">
        <f>recovered!AF111-recovered!AE111</f>
        <v>0</v>
      </c>
      <c r="AG111" s="5">
        <f>recovered!AG111-recovered!AF111</f>
        <v>0</v>
      </c>
      <c r="AH111" s="5">
        <f>recovered!AH111-recovered!AG111</f>
        <v>0</v>
      </c>
      <c r="AI111" s="5">
        <f>recovered!AI111-recovered!AH111</f>
        <v>0</v>
      </c>
      <c r="AJ111" s="5">
        <f>recovered!AJ111-recovered!AI111</f>
        <v>0</v>
      </c>
      <c r="AK111" s="5">
        <f>recovered!AK111-recovered!AJ111</f>
        <v>0</v>
      </c>
      <c r="AL111" s="5">
        <f>recovered!AL111-recovered!AK111</f>
        <v>0</v>
      </c>
      <c r="AM111" s="5">
        <f>recovered!AM111-recovered!AL111</f>
        <v>0</v>
      </c>
      <c r="AN111" s="5">
        <f>recovered!AN111-recovered!AM111</f>
        <v>0</v>
      </c>
      <c r="AO111" s="5">
        <f>recovered!AO111-recovered!AN111</f>
        <v>0</v>
      </c>
      <c r="AP111" s="5">
        <f>recovered!AP111-recovered!AO111</f>
        <v>0</v>
      </c>
      <c r="AQ111" s="5">
        <f>recovered!AQ111-recovered!AP111</f>
        <v>0</v>
      </c>
      <c r="AR111" s="5">
        <f>recovered!AR111-recovered!AQ111</f>
        <v>0</v>
      </c>
      <c r="AS111" s="5">
        <f>recovered!AS111-recovered!AR111</f>
        <v>0</v>
      </c>
      <c r="AT111" s="5">
        <f>recovered!AT111-recovered!AS111</f>
        <v>0</v>
      </c>
      <c r="AU111" s="5">
        <f>recovered!AU111-recovered!AT111</f>
        <v>0</v>
      </c>
      <c r="AV111" s="5">
        <f>recovered!AV111-recovered!AU111</f>
        <v>0</v>
      </c>
      <c r="AW111" s="5">
        <f>recovered!AW111-recovered!AV111</f>
        <v>0</v>
      </c>
      <c r="AX111" s="5">
        <f>recovered!AX111-recovered!AW111</f>
        <v>0</v>
      </c>
      <c r="AY111" s="5">
        <f>recovered!AY111-recovered!AX111</f>
        <v>0</v>
      </c>
      <c r="AZ111" s="5">
        <f>recovered!AZ111-recovered!AY111</f>
        <v>0</v>
      </c>
      <c r="BA111" s="5">
        <f>recovered!BA111-recovered!AZ111</f>
        <v>0</v>
      </c>
      <c r="BB111" s="5">
        <f>recovered!BB111-recovered!BA111</f>
        <v>0</v>
      </c>
      <c r="BC111" s="5">
        <f>recovered!BC111-recovered!BB111</f>
        <v>0</v>
      </c>
      <c r="BD111" s="5">
        <f>recovered!BD111-recovered!BC111</f>
        <v>0</v>
      </c>
      <c r="BE111" s="5">
        <f>recovered!BE111-recovered!BD111</f>
        <v>0</v>
      </c>
      <c r="BF111" s="5">
        <f>recovered!BF111-recovered!BE111</f>
        <v>0</v>
      </c>
      <c r="BG111" s="5">
        <f>recovered!BG111-recovered!BF111</f>
        <v>0</v>
      </c>
      <c r="BH111" s="5">
        <f>recovered!BH111-recovered!BG111</f>
        <v>0</v>
      </c>
      <c r="BI111" s="5">
        <f>recovered!BI111-recovered!BH111</f>
        <v>0</v>
      </c>
      <c r="BJ111" s="5">
        <f>recovered!BJ111-recovered!BI111</f>
        <v>0</v>
      </c>
      <c r="BK111" s="5">
        <f>recovered!BK111-recovered!BJ111</f>
        <v>0</v>
      </c>
      <c r="BL111" s="5">
        <f>recovered!BL111-recovered!BK111</f>
        <v>0</v>
      </c>
      <c r="BM111" s="5">
        <f>recovered!BM111-recovered!BL111</f>
        <v>0</v>
      </c>
      <c r="BN111" s="5">
        <f>recovered!BN111-recovered!BM111</f>
        <v>0</v>
      </c>
      <c r="BO111" s="5">
        <f>recovered!BO111-recovered!BN111</f>
        <v>0</v>
      </c>
      <c r="BP111" s="5">
        <f>recovered!BP111-recovered!BO111</f>
        <v>0</v>
      </c>
      <c r="BQ111" s="5">
        <f>recovered!BQ111-recovered!BP111</f>
        <v>0</v>
      </c>
      <c r="BR111" s="5">
        <f>recovered!BR111-recovered!BQ111</f>
        <v>0</v>
      </c>
      <c r="BS111" s="5">
        <f>recovered!BS111-recovered!BR111</f>
        <v>0</v>
      </c>
      <c r="BT111" s="5">
        <f>recovered!BT111-recovered!BS111</f>
        <v>0</v>
      </c>
      <c r="BU111" s="5">
        <f>recovered!BU111-recovered!BT111</f>
        <v>0</v>
      </c>
      <c r="BV111" s="5">
        <f>recovered!BV111-recovered!BU111</f>
        <v>0</v>
      </c>
      <c r="BW111" s="5">
        <f>recovered!BW111-recovered!BV111</f>
        <v>0</v>
      </c>
      <c r="BX111" s="5">
        <f>recovered!BX111-recovered!BW111</f>
        <v>0</v>
      </c>
      <c r="BY111" s="5">
        <f>recovered!BY111-recovered!BX111</f>
        <v>1</v>
      </c>
    </row>
    <row r="112">
      <c r="B112" s="1" t="str">
        <f>recovered!B112</f>
        <v>Gambia</v>
      </c>
      <c r="C112" s="4">
        <f>recovered!C112</f>
        <v>13.4432</v>
      </c>
      <c r="D112" s="4">
        <f>recovered!D112</f>
        <v>-15.3101</v>
      </c>
      <c r="E112" s="5">
        <f>recovered!E112</f>
        <v>0</v>
      </c>
      <c r="F112" s="5">
        <f>recovered!F112-recovered!E112</f>
        <v>0</v>
      </c>
      <c r="G112" s="5">
        <f>recovered!G112-recovered!F112</f>
        <v>0</v>
      </c>
      <c r="H112" s="5">
        <f>recovered!H112-recovered!G112</f>
        <v>0</v>
      </c>
      <c r="I112" s="5">
        <f>recovered!I112-recovered!H112</f>
        <v>0</v>
      </c>
      <c r="J112" s="5">
        <f>recovered!J112-recovered!I112</f>
        <v>0</v>
      </c>
      <c r="K112" s="5">
        <f>recovered!K112-recovered!J112</f>
        <v>0</v>
      </c>
      <c r="L112" s="5">
        <f>recovered!L112-recovered!K112</f>
        <v>0</v>
      </c>
      <c r="M112" s="5">
        <f>recovered!M112-recovered!L112</f>
        <v>0</v>
      </c>
      <c r="N112" s="5">
        <f>recovered!N112-recovered!M112</f>
        <v>0</v>
      </c>
      <c r="O112" s="5">
        <f>recovered!O112-recovered!N112</f>
        <v>0</v>
      </c>
      <c r="P112" s="5">
        <f>recovered!P112-recovered!O112</f>
        <v>0</v>
      </c>
      <c r="Q112" s="5">
        <f>recovered!Q112-recovered!P112</f>
        <v>0</v>
      </c>
      <c r="R112" s="5">
        <f>recovered!R112-recovered!Q112</f>
        <v>0</v>
      </c>
      <c r="S112" s="5">
        <f>recovered!S112-recovered!R112</f>
        <v>0</v>
      </c>
      <c r="T112" s="5">
        <f>recovered!T112-recovered!S112</f>
        <v>0</v>
      </c>
      <c r="U112" s="5">
        <f>recovered!U112-recovered!T112</f>
        <v>0</v>
      </c>
      <c r="V112" s="5">
        <f>recovered!V112-recovered!U112</f>
        <v>0</v>
      </c>
      <c r="W112" s="5">
        <f>recovered!W112-recovered!V112</f>
        <v>0</v>
      </c>
      <c r="X112" s="5">
        <f>recovered!X112-recovered!W112</f>
        <v>0</v>
      </c>
      <c r="Y112" s="5">
        <f>recovered!Y112-recovered!X112</f>
        <v>0</v>
      </c>
      <c r="Z112" s="5">
        <f>recovered!Z112-recovered!Y112</f>
        <v>0</v>
      </c>
      <c r="AA112" s="5">
        <f>recovered!AA112-recovered!Z112</f>
        <v>0</v>
      </c>
      <c r="AB112" s="5">
        <f>recovered!AB112-recovered!AA112</f>
        <v>0</v>
      </c>
      <c r="AC112" s="5">
        <f>recovered!AC112-recovered!AB112</f>
        <v>0</v>
      </c>
      <c r="AD112" s="5">
        <f>recovered!AD112-recovered!AC112</f>
        <v>0</v>
      </c>
      <c r="AE112" s="5">
        <f>recovered!AE112-recovered!AD112</f>
        <v>0</v>
      </c>
      <c r="AF112" s="5">
        <f>recovered!AF112-recovered!AE112</f>
        <v>0</v>
      </c>
      <c r="AG112" s="5">
        <f>recovered!AG112-recovered!AF112</f>
        <v>0</v>
      </c>
      <c r="AH112" s="5">
        <f>recovered!AH112-recovered!AG112</f>
        <v>0</v>
      </c>
      <c r="AI112" s="5">
        <f>recovered!AI112-recovered!AH112</f>
        <v>0</v>
      </c>
      <c r="AJ112" s="5">
        <f>recovered!AJ112-recovered!AI112</f>
        <v>0</v>
      </c>
      <c r="AK112" s="5">
        <f>recovered!AK112-recovered!AJ112</f>
        <v>0</v>
      </c>
      <c r="AL112" s="5">
        <f>recovered!AL112-recovered!AK112</f>
        <v>0</v>
      </c>
      <c r="AM112" s="5">
        <f>recovered!AM112-recovered!AL112</f>
        <v>0</v>
      </c>
      <c r="AN112" s="5">
        <f>recovered!AN112-recovered!AM112</f>
        <v>0</v>
      </c>
      <c r="AO112" s="5">
        <f>recovered!AO112-recovered!AN112</f>
        <v>0</v>
      </c>
      <c r="AP112" s="5">
        <f>recovered!AP112-recovered!AO112</f>
        <v>0</v>
      </c>
      <c r="AQ112" s="5">
        <f>recovered!AQ112-recovered!AP112</f>
        <v>0</v>
      </c>
      <c r="AR112" s="5">
        <f>recovered!AR112-recovered!AQ112</f>
        <v>0</v>
      </c>
      <c r="AS112" s="5">
        <f>recovered!AS112-recovered!AR112</f>
        <v>0</v>
      </c>
      <c r="AT112" s="5">
        <f>recovered!AT112-recovered!AS112</f>
        <v>0</v>
      </c>
      <c r="AU112" s="5">
        <f>recovered!AU112-recovered!AT112</f>
        <v>0</v>
      </c>
      <c r="AV112" s="5">
        <f>recovered!AV112-recovered!AU112</f>
        <v>0</v>
      </c>
      <c r="AW112" s="5">
        <f>recovered!AW112-recovered!AV112</f>
        <v>0</v>
      </c>
      <c r="AX112" s="5">
        <f>recovered!AX112-recovered!AW112</f>
        <v>0</v>
      </c>
      <c r="AY112" s="5">
        <f>recovered!AY112-recovered!AX112</f>
        <v>0</v>
      </c>
      <c r="AZ112" s="5">
        <f>recovered!AZ112-recovered!AY112</f>
        <v>0</v>
      </c>
      <c r="BA112" s="5">
        <f>recovered!BA112-recovered!AZ112</f>
        <v>0</v>
      </c>
      <c r="BB112" s="5">
        <f>recovered!BB112-recovered!BA112</f>
        <v>0</v>
      </c>
      <c r="BC112" s="5">
        <f>recovered!BC112-recovered!BB112</f>
        <v>0</v>
      </c>
      <c r="BD112" s="5">
        <f>recovered!BD112-recovered!BC112</f>
        <v>0</v>
      </c>
      <c r="BE112" s="5">
        <f>recovered!BE112-recovered!BD112</f>
        <v>0</v>
      </c>
      <c r="BF112" s="5">
        <f>recovered!BF112-recovered!BE112</f>
        <v>0</v>
      </c>
      <c r="BG112" s="5">
        <f>recovered!BG112-recovered!BF112</f>
        <v>0</v>
      </c>
      <c r="BH112" s="5">
        <f>recovered!BH112-recovered!BG112</f>
        <v>0</v>
      </c>
      <c r="BI112" s="5">
        <f>recovered!BI112-recovered!BH112</f>
        <v>0</v>
      </c>
      <c r="BJ112" s="5">
        <f>recovered!BJ112-recovered!BI112</f>
        <v>0</v>
      </c>
      <c r="BK112" s="5">
        <f>recovered!BK112-recovered!BJ112</f>
        <v>0</v>
      </c>
      <c r="BL112" s="5">
        <f>recovered!BL112-recovered!BK112</f>
        <v>0</v>
      </c>
      <c r="BM112" s="5">
        <f>recovered!BM112-recovered!BL112</f>
        <v>0</v>
      </c>
      <c r="BN112" s="5">
        <f>recovered!BN112-recovered!BM112</f>
        <v>0</v>
      </c>
      <c r="BO112" s="5">
        <f>recovered!BO112-recovered!BN112</f>
        <v>0</v>
      </c>
      <c r="BP112" s="5">
        <f>recovered!BP112-recovered!BO112</f>
        <v>0</v>
      </c>
      <c r="BQ112" s="5">
        <f>recovered!BQ112-recovered!BP112</f>
        <v>0</v>
      </c>
      <c r="BR112" s="5">
        <f>recovered!BR112-recovered!BQ112</f>
        <v>0</v>
      </c>
      <c r="BS112" s="5">
        <f>recovered!BS112-recovered!BR112</f>
        <v>0</v>
      </c>
      <c r="BT112" s="5">
        <f>recovered!BT112-recovered!BS112</f>
        <v>0</v>
      </c>
      <c r="BU112" s="5">
        <f>recovered!BU112-recovered!BT112</f>
        <v>0</v>
      </c>
      <c r="BV112" s="5">
        <f>recovered!BV112-recovered!BU112</f>
        <v>0</v>
      </c>
      <c r="BW112" s="5">
        <f>recovered!BW112-recovered!BV112</f>
        <v>2</v>
      </c>
      <c r="BX112" s="5">
        <f>recovered!BX112-recovered!BW112</f>
        <v>0</v>
      </c>
      <c r="BY112" s="5">
        <f>recovered!BY112-recovered!BX112</f>
        <v>0</v>
      </c>
    </row>
    <row r="113">
      <c r="B113" s="1" t="str">
        <f>recovered!B113</f>
        <v>Georgia</v>
      </c>
      <c r="C113" s="4">
        <f>recovered!C113</f>
        <v>42.3154</v>
      </c>
      <c r="D113" s="4">
        <f>recovered!D113</f>
        <v>43.3569</v>
      </c>
      <c r="E113" s="5">
        <f>recovered!E113</f>
        <v>0</v>
      </c>
      <c r="F113" s="5">
        <f>recovered!F113-recovered!E113</f>
        <v>0</v>
      </c>
      <c r="G113" s="5">
        <f>recovered!G113-recovered!F113</f>
        <v>0</v>
      </c>
      <c r="H113" s="5">
        <f>recovered!H113-recovered!G113</f>
        <v>0</v>
      </c>
      <c r="I113" s="5">
        <f>recovered!I113-recovered!H113</f>
        <v>0</v>
      </c>
      <c r="J113" s="5">
        <f>recovered!J113-recovered!I113</f>
        <v>0</v>
      </c>
      <c r="K113" s="5">
        <f>recovered!K113-recovered!J113</f>
        <v>0</v>
      </c>
      <c r="L113" s="5">
        <f>recovered!L113-recovered!K113</f>
        <v>0</v>
      </c>
      <c r="M113" s="5">
        <f>recovered!M113-recovered!L113</f>
        <v>0</v>
      </c>
      <c r="N113" s="5">
        <f>recovered!N113-recovered!M113</f>
        <v>0</v>
      </c>
      <c r="O113" s="5">
        <f>recovered!O113-recovered!N113</f>
        <v>0</v>
      </c>
      <c r="P113" s="5">
        <f>recovered!P113-recovered!O113</f>
        <v>0</v>
      </c>
      <c r="Q113" s="5">
        <f>recovered!Q113-recovered!P113</f>
        <v>0</v>
      </c>
      <c r="R113" s="5">
        <f>recovered!R113-recovered!Q113</f>
        <v>0</v>
      </c>
      <c r="S113" s="5">
        <f>recovered!S113-recovered!R113</f>
        <v>0</v>
      </c>
      <c r="T113" s="5">
        <f>recovered!T113-recovered!S113</f>
        <v>0</v>
      </c>
      <c r="U113" s="5">
        <f>recovered!U113-recovered!T113</f>
        <v>0</v>
      </c>
      <c r="V113" s="5">
        <f>recovered!V113-recovered!U113</f>
        <v>0</v>
      </c>
      <c r="W113" s="5">
        <f>recovered!W113-recovered!V113</f>
        <v>0</v>
      </c>
      <c r="X113" s="5">
        <f>recovered!X113-recovered!W113</f>
        <v>0</v>
      </c>
      <c r="Y113" s="5">
        <f>recovered!Y113-recovered!X113</f>
        <v>0</v>
      </c>
      <c r="Z113" s="5">
        <f>recovered!Z113-recovered!Y113</f>
        <v>0</v>
      </c>
      <c r="AA113" s="5">
        <f>recovered!AA113-recovered!Z113</f>
        <v>0</v>
      </c>
      <c r="AB113" s="5">
        <f>recovered!AB113-recovered!AA113</f>
        <v>0</v>
      </c>
      <c r="AC113" s="5">
        <f>recovered!AC113-recovered!AB113</f>
        <v>0</v>
      </c>
      <c r="AD113" s="5">
        <f>recovered!AD113-recovered!AC113</f>
        <v>0</v>
      </c>
      <c r="AE113" s="5">
        <f>recovered!AE113-recovered!AD113</f>
        <v>0</v>
      </c>
      <c r="AF113" s="5">
        <f>recovered!AF113-recovered!AE113</f>
        <v>0</v>
      </c>
      <c r="AG113" s="5">
        <f>recovered!AG113-recovered!AF113</f>
        <v>0</v>
      </c>
      <c r="AH113" s="5">
        <f>recovered!AH113-recovered!AG113</f>
        <v>0</v>
      </c>
      <c r="AI113" s="5">
        <f>recovered!AI113-recovered!AH113</f>
        <v>0</v>
      </c>
      <c r="AJ113" s="5">
        <f>recovered!AJ113-recovered!AI113</f>
        <v>0</v>
      </c>
      <c r="AK113" s="5">
        <f>recovered!AK113-recovered!AJ113</f>
        <v>0</v>
      </c>
      <c r="AL113" s="5">
        <f>recovered!AL113-recovered!AK113</f>
        <v>0</v>
      </c>
      <c r="AM113" s="5">
        <f>recovered!AM113-recovered!AL113</f>
        <v>0</v>
      </c>
      <c r="AN113" s="5">
        <f>recovered!AN113-recovered!AM113</f>
        <v>0</v>
      </c>
      <c r="AO113" s="5">
        <f>recovered!AO113-recovered!AN113</f>
        <v>0</v>
      </c>
      <c r="AP113" s="5">
        <f>recovered!AP113-recovered!AO113</f>
        <v>0</v>
      </c>
      <c r="AQ113" s="5">
        <f>recovered!AQ113-recovered!AP113</f>
        <v>0</v>
      </c>
      <c r="AR113" s="5">
        <f>recovered!AR113-recovered!AQ113</f>
        <v>0</v>
      </c>
      <c r="AS113" s="5">
        <f>recovered!AS113-recovered!AR113</f>
        <v>0</v>
      </c>
      <c r="AT113" s="5">
        <f>recovered!AT113-recovered!AS113</f>
        <v>0</v>
      </c>
      <c r="AU113" s="5">
        <f>recovered!AU113-recovered!AT113</f>
        <v>0</v>
      </c>
      <c r="AV113" s="5">
        <f>recovered!AV113-recovered!AU113</f>
        <v>0</v>
      </c>
      <c r="AW113" s="5">
        <f>recovered!AW113-recovered!AV113</f>
        <v>0</v>
      </c>
      <c r="AX113" s="5">
        <f>recovered!AX113-recovered!AW113</f>
        <v>0</v>
      </c>
      <c r="AY113" s="5">
        <f>recovered!AY113-recovered!AX113</f>
        <v>0</v>
      </c>
      <c r="AZ113" s="5">
        <f>recovered!AZ113-recovered!AY113</f>
        <v>0</v>
      </c>
      <c r="BA113" s="5">
        <f>recovered!BA113-recovered!AZ113</f>
        <v>0</v>
      </c>
      <c r="BB113" s="5">
        <f>recovered!BB113-recovered!BA113</f>
        <v>0</v>
      </c>
      <c r="BC113" s="5">
        <f>recovered!BC113-recovered!BB113</f>
        <v>0</v>
      </c>
      <c r="BD113" s="5">
        <f>recovered!BD113-recovered!BC113</f>
        <v>0</v>
      </c>
      <c r="BE113" s="5">
        <f>recovered!BE113-recovered!BD113</f>
        <v>0</v>
      </c>
      <c r="BF113" s="5">
        <f>recovered!BF113-recovered!BE113</f>
        <v>0</v>
      </c>
      <c r="BG113" s="5">
        <f>recovered!BG113-recovered!BF113</f>
        <v>1</v>
      </c>
      <c r="BH113" s="5">
        <f>recovered!BH113-recovered!BG113</f>
        <v>0</v>
      </c>
      <c r="BI113" s="5">
        <f>recovered!BI113-recovered!BH113</f>
        <v>0</v>
      </c>
      <c r="BJ113" s="5">
        <f>recovered!BJ113-recovered!BI113</f>
        <v>0</v>
      </c>
      <c r="BK113" s="5">
        <f>recovered!BK113-recovered!BJ113</f>
        <v>0</v>
      </c>
      <c r="BL113" s="5">
        <f>recovered!BL113-recovered!BK113</f>
        <v>0</v>
      </c>
      <c r="BM113" s="5">
        <f>recovered!BM113-recovered!BL113</f>
        <v>2</v>
      </c>
      <c r="BN113" s="5">
        <f>recovered!BN113-recovered!BM113</f>
        <v>0</v>
      </c>
      <c r="BO113" s="5">
        <f>recovered!BO113-recovered!BN113</f>
        <v>6</v>
      </c>
      <c r="BP113" s="5">
        <f>recovered!BP113-recovered!BO113</f>
        <v>1</v>
      </c>
      <c r="BQ113" s="5">
        <f>recovered!BQ113-recovered!BP113</f>
        <v>1</v>
      </c>
      <c r="BR113" s="5">
        <f>recovered!BR113-recovered!BQ113</f>
        <v>3</v>
      </c>
      <c r="BS113" s="5">
        <f>recovered!BS113-recovered!BR113</f>
        <v>0</v>
      </c>
      <c r="BT113" s="5">
        <f>recovered!BT113-recovered!BS113</f>
        <v>4</v>
      </c>
      <c r="BU113" s="5">
        <f>recovered!BU113-recovered!BT113</f>
        <v>2</v>
      </c>
      <c r="BV113" s="5">
        <f>recovered!BV113-recovered!BU113</f>
        <v>1</v>
      </c>
      <c r="BW113" s="5">
        <f>recovered!BW113-recovered!BV113</f>
        <v>2</v>
      </c>
      <c r="BX113" s="5">
        <f>recovered!BX113-recovered!BW113</f>
        <v>3</v>
      </c>
      <c r="BY113" s="5">
        <f>recovered!BY113-recovered!BX113</f>
        <v>2</v>
      </c>
    </row>
    <row r="114">
      <c r="B114" s="1" t="str">
        <f>recovered!B114</f>
        <v>Germany</v>
      </c>
      <c r="C114" s="4">
        <f>recovered!C114</f>
        <v>51</v>
      </c>
      <c r="D114" s="4">
        <f>recovered!D114</f>
        <v>9</v>
      </c>
      <c r="E114" s="5">
        <f>recovered!E114</f>
        <v>0</v>
      </c>
      <c r="F114" s="5">
        <f>recovered!F114-recovered!E114</f>
        <v>0</v>
      </c>
      <c r="G114" s="5">
        <f>recovered!G114-recovered!F114</f>
        <v>0</v>
      </c>
      <c r="H114" s="5">
        <f>recovered!H114-recovered!G114</f>
        <v>0</v>
      </c>
      <c r="I114" s="5">
        <f>recovered!I114-recovered!H114</f>
        <v>0</v>
      </c>
      <c r="J114" s="5">
        <f>recovered!J114-recovered!I114</f>
        <v>0</v>
      </c>
      <c r="K114" s="5">
        <f>recovered!K114-recovered!J114</f>
        <v>0</v>
      </c>
      <c r="L114" s="5">
        <f>recovered!L114-recovered!K114</f>
        <v>0</v>
      </c>
      <c r="M114" s="5">
        <f>recovered!M114-recovered!L114</f>
        <v>0</v>
      </c>
      <c r="N114" s="5">
        <f>recovered!N114-recovered!M114</f>
        <v>0</v>
      </c>
      <c r="O114" s="5">
        <f>recovered!O114-recovered!N114</f>
        <v>0</v>
      </c>
      <c r="P114" s="5">
        <f>recovered!P114-recovered!O114</f>
        <v>0</v>
      </c>
      <c r="Q114" s="5">
        <f>recovered!Q114-recovered!P114</f>
        <v>0</v>
      </c>
      <c r="R114" s="5">
        <f>recovered!R114-recovered!Q114</f>
        <v>0</v>
      </c>
      <c r="S114" s="5">
        <f>recovered!S114-recovered!R114</f>
        <v>0</v>
      </c>
      <c r="T114" s="5">
        <f>recovered!T114-recovered!S114</f>
        <v>0</v>
      </c>
      <c r="U114" s="5">
        <f>recovered!U114-recovered!T114</f>
        <v>0</v>
      </c>
      <c r="V114" s="5">
        <f>recovered!V114-recovered!U114</f>
        <v>0</v>
      </c>
      <c r="W114" s="5">
        <f>recovered!W114-recovered!V114</f>
        <v>0</v>
      </c>
      <c r="X114" s="5">
        <f>recovered!X114-recovered!W114</f>
        <v>0</v>
      </c>
      <c r="Y114" s="5">
        <f>recovered!Y114-recovered!X114</f>
        <v>0</v>
      </c>
      <c r="Z114" s="5">
        <f>recovered!Z114-recovered!Y114</f>
        <v>0</v>
      </c>
      <c r="AA114" s="5">
        <f>recovered!AA114-recovered!Z114</f>
        <v>1</v>
      </c>
      <c r="AB114" s="5">
        <f>recovered!AB114-recovered!AA114</f>
        <v>0</v>
      </c>
      <c r="AC114" s="5">
        <f>recovered!AC114-recovered!AB114</f>
        <v>0</v>
      </c>
      <c r="AD114" s="5">
        <f>recovered!AD114-recovered!AC114</f>
        <v>0</v>
      </c>
      <c r="AE114" s="5">
        <f>recovered!AE114-recovered!AD114</f>
        <v>0</v>
      </c>
      <c r="AF114" s="5">
        <f>recovered!AF114-recovered!AE114</f>
        <v>11</v>
      </c>
      <c r="AG114" s="5">
        <f>recovered!AG114-recovered!AF114</f>
        <v>0</v>
      </c>
      <c r="AH114" s="5">
        <f>recovered!AH114-recovered!AG114</f>
        <v>0</v>
      </c>
      <c r="AI114" s="5">
        <f>recovered!AI114-recovered!AH114</f>
        <v>2</v>
      </c>
      <c r="AJ114" s="5">
        <f>recovered!AJ114-recovered!AI114</f>
        <v>0</v>
      </c>
      <c r="AK114" s="5">
        <f>recovered!AK114-recovered!AJ114</f>
        <v>0</v>
      </c>
      <c r="AL114" s="5">
        <f>recovered!AL114-recovered!AK114</f>
        <v>0</v>
      </c>
      <c r="AM114" s="5">
        <f>recovered!AM114-recovered!AL114</f>
        <v>0</v>
      </c>
      <c r="AN114" s="5">
        <f>recovered!AN114-recovered!AM114</f>
        <v>1</v>
      </c>
      <c r="AO114" s="5">
        <f>recovered!AO114-recovered!AN114</f>
        <v>1</v>
      </c>
      <c r="AP114" s="5">
        <f>recovered!AP114-recovered!AO114</f>
        <v>0</v>
      </c>
      <c r="AQ114" s="5">
        <f>recovered!AQ114-recovered!AP114</f>
        <v>0</v>
      </c>
      <c r="AR114" s="5">
        <f>recovered!AR114-recovered!AQ114</f>
        <v>0</v>
      </c>
      <c r="AS114" s="5">
        <f>recovered!AS114-recovered!AR114</f>
        <v>0</v>
      </c>
      <c r="AT114" s="5">
        <f>recovered!AT114-recovered!AS114</f>
        <v>0</v>
      </c>
      <c r="AU114" s="5">
        <f>recovered!AU114-recovered!AT114</f>
        <v>0</v>
      </c>
      <c r="AV114" s="5">
        <f>recovered!AV114-recovered!AU114</f>
        <v>0</v>
      </c>
      <c r="AW114" s="5">
        <f>recovered!AW114-recovered!AV114</f>
        <v>1</v>
      </c>
      <c r="AX114" s="5">
        <f>recovered!AX114-recovered!AW114</f>
        <v>1</v>
      </c>
      <c r="AY114" s="5">
        <f>recovered!AY114-recovered!AX114</f>
        <v>0</v>
      </c>
      <c r="AZ114" s="5">
        <f>recovered!AZ114-recovered!AY114</f>
        <v>0</v>
      </c>
      <c r="BA114" s="5">
        <f>recovered!BA114-recovered!AZ114</f>
        <v>0</v>
      </c>
      <c r="BB114" s="5">
        <f>recovered!BB114-recovered!BA114</f>
        <v>7</v>
      </c>
      <c r="BC114" s="5">
        <f>recovered!BC114-recovered!BB114</f>
        <v>0</v>
      </c>
      <c r="BD114" s="5">
        <f>recovered!BD114-recovered!BC114</f>
        <v>21</v>
      </c>
      <c r="BE114" s="5">
        <f>recovered!BE114-recovered!BD114</f>
        <v>0</v>
      </c>
      <c r="BF114" s="5">
        <f>recovered!BF114-recovered!BE114</f>
        <v>0</v>
      </c>
      <c r="BG114" s="5">
        <f>recovered!BG114-recovered!BF114</f>
        <v>21</v>
      </c>
      <c r="BH114" s="5">
        <f>recovered!BH114-recovered!BG114</f>
        <v>0</v>
      </c>
      <c r="BI114" s="5">
        <f>recovered!BI114-recovered!BH114</f>
        <v>38</v>
      </c>
      <c r="BJ114" s="5">
        <f>recovered!BJ114-recovered!BI114</f>
        <v>8</v>
      </c>
      <c r="BK114" s="5">
        <f>recovered!BK114-recovered!BJ114</f>
        <v>67</v>
      </c>
      <c r="BL114" s="5">
        <f>recovered!BL114-recovered!BK114</f>
        <v>53</v>
      </c>
      <c r="BM114" s="5">
        <f>recovered!BM114-recovered!BL114</f>
        <v>33</v>
      </c>
      <c r="BN114" s="5">
        <f>recovered!BN114-recovered!BM114</f>
        <v>0</v>
      </c>
      <c r="BO114" s="5">
        <f>recovered!BO114-recovered!BN114</f>
        <v>2977</v>
      </c>
      <c r="BP114" s="5">
        <f>recovered!BP114-recovered!BO114</f>
        <v>304</v>
      </c>
      <c r="BQ114" s="5">
        <f>recovered!BQ114-recovered!BP114</f>
        <v>2126</v>
      </c>
      <c r="BR114" s="5">
        <f>recovered!BR114-recovered!BQ114</f>
        <v>985</v>
      </c>
      <c r="BS114" s="5">
        <f>recovered!BS114-recovered!BR114</f>
        <v>1823</v>
      </c>
      <c r="BT114" s="5">
        <f>recovered!BT114-recovered!BS114</f>
        <v>730</v>
      </c>
      <c r="BU114" s="5">
        <f>recovered!BU114-recovered!BT114</f>
        <v>4289</v>
      </c>
      <c r="BV114" s="5">
        <f>recovered!BV114-recovered!BU114</f>
        <v>2600</v>
      </c>
      <c r="BW114" s="5">
        <f>recovered!BW114-recovered!BV114</f>
        <v>2600</v>
      </c>
      <c r="BX114" s="5">
        <f>recovered!BX114-recovered!BW114</f>
        <v>3740</v>
      </c>
      <c r="BY114" s="5">
        <f>recovered!BY114-recovered!BX114</f>
        <v>2135</v>
      </c>
    </row>
    <row r="115">
      <c r="B115" s="1" t="str">
        <f>recovered!B115</f>
        <v>Ghana</v>
      </c>
      <c r="C115" s="4">
        <f>recovered!C115</f>
        <v>7.9465</v>
      </c>
      <c r="D115" s="4">
        <f>recovered!D115</f>
        <v>-1.0232</v>
      </c>
      <c r="E115" s="5">
        <f>recovered!E115</f>
        <v>0</v>
      </c>
      <c r="F115" s="5">
        <f>recovered!F115-recovered!E115</f>
        <v>0</v>
      </c>
      <c r="G115" s="5">
        <f>recovered!G115-recovered!F115</f>
        <v>0</v>
      </c>
      <c r="H115" s="5">
        <f>recovered!H115-recovered!G115</f>
        <v>0</v>
      </c>
      <c r="I115" s="5">
        <f>recovered!I115-recovered!H115</f>
        <v>0</v>
      </c>
      <c r="J115" s="5">
        <f>recovered!J115-recovered!I115</f>
        <v>0</v>
      </c>
      <c r="K115" s="5">
        <f>recovered!K115-recovered!J115</f>
        <v>0</v>
      </c>
      <c r="L115" s="5">
        <f>recovered!L115-recovered!K115</f>
        <v>0</v>
      </c>
      <c r="M115" s="5">
        <f>recovered!M115-recovered!L115</f>
        <v>0</v>
      </c>
      <c r="N115" s="5">
        <f>recovered!N115-recovered!M115</f>
        <v>0</v>
      </c>
      <c r="O115" s="5">
        <f>recovered!O115-recovered!N115</f>
        <v>0</v>
      </c>
      <c r="P115" s="5">
        <f>recovered!P115-recovered!O115</f>
        <v>0</v>
      </c>
      <c r="Q115" s="5">
        <f>recovered!Q115-recovered!P115</f>
        <v>0</v>
      </c>
      <c r="R115" s="5">
        <f>recovered!R115-recovered!Q115</f>
        <v>0</v>
      </c>
      <c r="S115" s="5">
        <f>recovered!S115-recovered!R115</f>
        <v>0</v>
      </c>
      <c r="T115" s="5">
        <f>recovered!T115-recovered!S115</f>
        <v>0</v>
      </c>
      <c r="U115" s="5">
        <f>recovered!U115-recovered!T115</f>
        <v>0</v>
      </c>
      <c r="V115" s="5">
        <f>recovered!V115-recovered!U115</f>
        <v>0</v>
      </c>
      <c r="W115" s="5">
        <f>recovered!W115-recovered!V115</f>
        <v>0</v>
      </c>
      <c r="X115" s="5">
        <f>recovered!X115-recovered!W115</f>
        <v>0</v>
      </c>
      <c r="Y115" s="5">
        <f>recovered!Y115-recovered!X115</f>
        <v>0</v>
      </c>
      <c r="Z115" s="5">
        <f>recovered!Z115-recovered!Y115</f>
        <v>0</v>
      </c>
      <c r="AA115" s="5">
        <f>recovered!AA115-recovered!Z115</f>
        <v>0</v>
      </c>
      <c r="AB115" s="5">
        <f>recovered!AB115-recovered!AA115</f>
        <v>0</v>
      </c>
      <c r="AC115" s="5">
        <f>recovered!AC115-recovered!AB115</f>
        <v>0</v>
      </c>
      <c r="AD115" s="5">
        <f>recovered!AD115-recovered!AC115</f>
        <v>0</v>
      </c>
      <c r="AE115" s="5">
        <f>recovered!AE115-recovered!AD115</f>
        <v>0</v>
      </c>
      <c r="AF115" s="5">
        <f>recovered!AF115-recovered!AE115</f>
        <v>0</v>
      </c>
      <c r="AG115" s="5">
        <f>recovered!AG115-recovered!AF115</f>
        <v>0</v>
      </c>
      <c r="AH115" s="5">
        <f>recovered!AH115-recovered!AG115</f>
        <v>0</v>
      </c>
      <c r="AI115" s="5">
        <f>recovered!AI115-recovered!AH115</f>
        <v>0</v>
      </c>
      <c r="AJ115" s="5">
        <f>recovered!AJ115-recovered!AI115</f>
        <v>0</v>
      </c>
      <c r="AK115" s="5">
        <f>recovered!AK115-recovered!AJ115</f>
        <v>0</v>
      </c>
      <c r="AL115" s="5">
        <f>recovered!AL115-recovered!AK115</f>
        <v>0</v>
      </c>
      <c r="AM115" s="5">
        <f>recovered!AM115-recovered!AL115</f>
        <v>0</v>
      </c>
      <c r="AN115" s="5">
        <f>recovered!AN115-recovered!AM115</f>
        <v>0</v>
      </c>
      <c r="AO115" s="5">
        <f>recovered!AO115-recovered!AN115</f>
        <v>0</v>
      </c>
      <c r="AP115" s="5">
        <f>recovered!AP115-recovered!AO115</f>
        <v>0</v>
      </c>
      <c r="AQ115" s="5">
        <f>recovered!AQ115-recovered!AP115</f>
        <v>0</v>
      </c>
      <c r="AR115" s="5">
        <f>recovered!AR115-recovered!AQ115</f>
        <v>0</v>
      </c>
      <c r="AS115" s="5">
        <f>recovered!AS115-recovered!AR115</f>
        <v>0</v>
      </c>
      <c r="AT115" s="5">
        <f>recovered!AT115-recovered!AS115</f>
        <v>0</v>
      </c>
      <c r="AU115" s="5">
        <f>recovered!AU115-recovered!AT115</f>
        <v>0</v>
      </c>
      <c r="AV115" s="5">
        <f>recovered!AV115-recovered!AU115</f>
        <v>0</v>
      </c>
      <c r="AW115" s="5">
        <f>recovered!AW115-recovered!AV115</f>
        <v>0</v>
      </c>
      <c r="AX115" s="5">
        <f>recovered!AX115-recovered!AW115</f>
        <v>0</v>
      </c>
      <c r="AY115" s="5">
        <f>recovered!AY115-recovered!AX115</f>
        <v>0</v>
      </c>
      <c r="AZ115" s="5">
        <f>recovered!AZ115-recovered!AY115</f>
        <v>0</v>
      </c>
      <c r="BA115" s="5">
        <f>recovered!BA115-recovered!AZ115</f>
        <v>0</v>
      </c>
      <c r="BB115" s="5">
        <f>recovered!BB115-recovered!BA115</f>
        <v>0</v>
      </c>
      <c r="BC115" s="5">
        <f>recovered!BC115-recovered!BB115</f>
        <v>0</v>
      </c>
      <c r="BD115" s="5">
        <f>recovered!BD115-recovered!BC115</f>
        <v>0</v>
      </c>
      <c r="BE115" s="5">
        <f>recovered!BE115-recovered!BD115</f>
        <v>0</v>
      </c>
      <c r="BF115" s="5">
        <f>recovered!BF115-recovered!BE115</f>
        <v>0</v>
      </c>
      <c r="BG115" s="5">
        <f>recovered!BG115-recovered!BF115</f>
        <v>0</v>
      </c>
      <c r="BH115" s="5">
        <f>recovered!BH115-recovered!BG115</f>
        <v>0</v>
      </c>
      <c r="BI115" s="5">
        <f>recovered!BI115-recovered!BH115</f>
        <v>0</v>
      </c>
      <c r="BJ115" s="5">
        <f>recovered!BJ115-recovered!BI115</f>
        <v>0</v>
      </c>
      <c r="BK115" s="5">
        <f>recovered!BK115-recovered!BJ115</f>
        <v>0</v>
      </c>
      <c r="BL115" s="5">
        <f>recovered!BL115-recovered!BK115</f>
        <v>0</v>
      </c>
      <c r="BM115" s="5">
        <f>recovered!BM115-recovered!BL115</f>
        <v>0</v>
      </c>
      <c r="BN115" s="5">
        <f>recovered!BN115-recovered!BM115</f>
        <v>0</v>
      </c>
      <c r="BO115" s="5">
        <f>recovered!BO115-recovered!BN115</f>
        <v>0</v>
      </c>
      <c r="BP115" s="5">
        <f>recovered!BP115-recovered!BO115</f>
        <v>0</v>
      </c>
      <c r="BQ115" s="5">
        <f>recovered!BQ115-recovered!BP115</f>
        <v>1</v>
      </c>
      <c r="BR115" s="5">
        <f>recovered!BR115-recovered!BQ115</f>
        <v>1</v>
      </c>
      <c r="BS115" s="5">
        <f>recovered!BS115-recovered!BR115</f>
        <v>0</v>
      </c>
      <c r="BT115" s="5">
        <f>recovered!BT115-recovered!BS115</f>
        <v>0</v>
      </c>
      <c r="BU115" s="5">
        <f>recovered!BU115-recovered!BT115</f>
        <v>0</v>
      </c>
      <c r="BV115" s="5">
        <f>recovered!BV115-recovered!BU115</f>
        <v>29</v>
      </c>
      <c r="BW115" s="5">
        <f>recovered!BW115-recovered!BV115</f>
        <v>0</v>
      </c>
      <c r="BX115" s="5">
        <f>recovered!BX115-recovered!BW115</f>
        <v>0</v>
      </c>
      <c r="BY115" s="5">
        <f>recovered!BY115-recovered!BX115</f>
        <v>0</v>
      </c>
    </row>
    <row r="116">
      <c r="B116" s="1" t="str">
        <f>recovered!B116</f>
        <v>Grenada</v>
      </c>
      <c r="C116" s="4">
        <f>recovered!C116</f>
        <v>12.1165</v>
      </c>
      <c r="D116" s="4">
        <f>recovered!D116</f>
        <v>-61.679</v>
      </c>
      <c r="E116" s="5">
        <f>recovered!E116</f>
        <v>0</v>
      </c>
      <c r="F116" s="5">
        <f>recovered!F116-recovered!E116</f>
        <v>0</v>
      </c>
      <c r="G116" s="5">
        <f>recovered!G116-recovered!F116</f>
        <v>0</v>
      </c>
      <c r="H116" s="5">
        <f>recovered!H116-recovered!G116</f>
        <v>0</v>
      </c>
      <c r="I116" s="5">
        <f>recovered!I116-recovered!H116</f>
        <v>0</v>
      </c>
      <c r="J116" s="5">
        <f>recovered!J116-recovered!I116</f>
        <v>0</v>
      </c>
      <c r="K116" s="5">
        <f>recovered!K116-recovered!J116</f>
        <v>0</v>
      </c>
      <c r="L116" s="5">
        <f>recovered!L116-recovered!K116</f>
        <v>0</v>
      </c>
      <c r="M116" s="5">
        <f>recovered!M116-recovered!L116</f>
        <v>0</v>
      </c>
      <c r="N116" s="5">
        <f>recovered!N116-recovered!M116</f>
        <v>0</v>
      </c>
      <c r="O116" s="5">
        <f>recovered!O116-recovered!N116</f>
        <v>0</v>
      </c>
      <c r="P116" s="5">
        <f>recovered!P116-recovered!O116</f>
        <v>0</v>
      </c>
      <c r="Q116" s="5">
        <f>recovered!Q116-recovered!P116</f>
        <v>0</v>
      </c>
      <c r="R116" s="5">
        <f>recovered!R116-recovered!Q116</f>
        <v>0</v>
      </c>
      <c r="S116" s="5">
        <f>recovered!S116-recovered!R116</f>
        <v>0</v>
      </c>
      <c r="T116" s="5">
        <f>recovered!T116-recovered!S116</f>
        <v>0</v>
      </c>
      <c r="U116" s="5">
        <f>recovered!U116-recovered!T116</f>
        <v>0</v>
      </c>
      <c r="V116" s="5">
        <f>recovered!V116-recovered!U116</f>
        <v>0</v>
      </c>
      <c r="W116" s="5">
        <f>recovered!W116-recovered!V116</f>
        <v>0</v>
      </c>
      <c r="X116" s="5">
        <f>recovered!X116-recovered!W116</f>
        <v>0</v>
      </c>
      <c r="Y116" s="5">
        <f>recovered!Y116-recovered!X116</f>
        <v>0</v>
      </c>
      <c r="Z116" s="5">
        <f>recovered!Z116-recovered!Y116</f>
        <v>0</v>
      </c>
      <c r="AA116" s="5">
        <f>recovered!AA116-recovered!Z116</f>
        <v>0</v>
      </c>
      <c r="AB116" s="5">
        <f>recovered!AB116-recovered!AA116</f>
        <v>0</v>
      </c>
      <c r="AC116" s="5">
        <f>recovered!AC116-recovered!AB116</f>
        <v>0</v>
      </c>
      <c r="AD116" s="5">
        <f>recovered!AD116-recovered!AC116</f>
        <v>0</v>
      </c>
      <c r="AE116" s="5">
        <f>recovered!AE116-recovered!AD116</f>
        <v>0</v>
      </c>
      <c r="AF116" s="5">
        <f>recovered!AF116-recovered!AE116</f>
        <v>0</v>
      </c>
      <c r="AG116" s="5">
        <f>recovered!AG116-recovered!AF116</f>
        <v>0</v>
      </c>
      <c r="AH116" s="5">
        <f>recovered!AH116-recovered!AG116</f>
        <v>0</v>
      </c>
      <c r="AI116" s="5">
        <f>recovered!AI116-recovered!AH116</f>
        <v>0</v>
      </c>
      <c r="AJ116" s="5">
        <f>recovered!AJ116-recovered!AI116</f>
        <v>0</v>
      </c>
      <c r="AK116" s="5">
        <f>recovered!AK116-recovered!AJ116</f>
        <v>0</v>
      </c>
      <c r="AL116" s="5">
        <f>recovered!AL116-recovered!AK116</f>
        <v>0</v>
      </c>
      <c r="AM116" s="5">
        <f>recovered!AM116-recovered!AL116</f>
        <v>0</v>
      </c>
      <c r="AN116" s="5">
        <f>recovered!AN116-recovered!AM116</f>
        <v>0</v>
      </c>
      <c r="AO116" s="5">
        <f>recovered!AO116-recovered!AN116</f>
        <v>0</v>
      </c>
      <c r="AP116" s="5">
        <f>recovered!AP116-recovered!AO116</f>
        <v>0</v>
      </c>
      <c r="AQ116" s="5">
        <f>recovered!AQ116-recovered!AP116</f>
        <v>0</v>
      </c>
      <c r="AR116" s="5">
        <f>recovered!AR116-recovered!AQ116</f>
        <v>0</v>
      </c>
      <c r="AS116" s="5">
        <f>recovered!AS116-recovered!AR116</f>
        <v>0</v>
      </c>
      <c r="AT116" s="5">
        <f>recovered!AT116-recovered!AS116</f>
        <v>0</v>
      </c>
      <c r="AU116" s="5">
        <f>recovered!AU116-recovered!AT116</f>
        <v>0</v>
      </c>
      <c r="AV116" s="5">
        <f>recovered!AV116-recovered!AU116</f>
        <v>0</v>
      </c>
      <c r="AW116" s="5">
        <f>recovered!AW116-recovered!AV116</f>
        <v>0</v>
      </c>
      <c r="AX116" s="5">
        <f>recovered!AX116-recovered!AW116</f>
        <v>0</v>
      </c>
      <c r="AY116" s="5">
        <f>recovered!AY116-recovered!AX116</f>
        <v>0</v>
      </c>
      <c r="AZ116" s="5">
        <f>recovered!AZ116-recovered!AY116</f>
        <v>0</v>
      </c>
      <c r="BA116" s="5">
        <f>recovered!BA116-recovered!AZ116</f>
        <v>0</v>
      </c>
      <c r="BB116" s="5">
        <f>recovered!BB116-recovered!BA116</f>
        <v>0</v>
      </c>
      <c r="BC116" s="5">
        <f>recovered!BC116-recovered!BB116</f>
        <v>0</v>
      </c>
      <c r="BD116" s="5">
        <f>recovered!BD116-recovered!BC116</f>
        <v>0</v>
      </c>
      <c r="BE116" s="5">
        <f>recovered!BE116-recovered!BD116</f>
        <v>0</v>
      </c>
      <c r="BF116" s="5">
        <f>recovered!BF116-recovered!BE116</f>
        <v>0</v>
      </c>
      <c r="BG116" s="5">
        <f>recovered!BG116-recovered!BF116</f>
        <v>0</v>
      </c>
      <c r="BH116" s="5">
        <f>recovered!BH116-recovered!BG116</f>
        <v>0</v>
      </c>
      <c r="BI116" s="5">
        <f>recovered!BI116-recovered!BH116</f>
        <v>0</v>
      </c>
      <c r="BJ116" s="5">
        <f>recovered!BJ116-recovered!BI116</f>
        <v>0</v>
      </c>
      <c r="BK116" s="5">
        <f>recovered!BK116-recovered!BJ116</f>
        <v>0</v>
      </c>
      <c r="BL116" s="5">
        <f>recovered!BL116-recovered!BK116</f>
        <v>0</v>
      </c>
      <c r="BM116" s="5">
        <f>recovered!BM116-recovered!BL116</f>
        <v>0</v>
      </c>
      <c r="BN116" s="5">
        <f>recovered!BN116-recovered!BM116</f>
        <v>0</v>
      </c>
      <c r="BO116" s="5">
        <f>recovered!BO116-recovered!BN116</f>
        <v>0</v>
      </c>
      <c r="BP116" s="5">
        <f>recovered!BP116-recovered!BO116</f>
        <v>0</v>
      </c>
      <c r="BQ116" s="5">
        <f>recovered!BQ116-recovered!BP116</f>
        <v>0</v>
      </c>
      <c r="BR116" s="5">
        <f>recovered!BR116-recovered!BQ116</f>
        <v>0</v>
      </c>
      <c r="BS116" s="5">
        <f>recovered!BS116-recovered!BR116</f>
        <v>0</v>
      </c>
      <c r="BT116" s="5">
        <f>recovered!BT116-recovered!BS116</f>
        <v>0</v>
      </c>
      <c r="BU116" s="5">
        <f>recovered!BU116-recovered!BT116</f>
        <v>0</v>
      </c>
      <c r="BV116" s="5">
        <f>recovered!BV116-recovered!BU116</f>
        <v>0</v>
      </c>
      <c r="BW116" s="5">
        <f>recovered!BW116-recovered!BV116</f>
        <v>0</v>
      </c>
      <c r="BX116" s="5">
        <f>recovered!BX116-recovered!BW116</f>
        <v>0</v>
      </c>
      <c r="BY116" s="5">
        <f>recovered!BY116-recovered!BX116</f>
        <v>0</v>
      </c>
    </row>
    <row r="117">
      <c r="B117" s="1" t="str">
        <f>recovered!B117</f>
        <v>Greece</v>
      </c>
      <c r="C117" s="4">
        <f>recovered!C117</f>
        <v>39.0742</v>
      </c>
      <c r="D117" s="4">
        <f>recovered!D117</f>
        <v>21.8243</v>
      </c>
      <c r="E117" s="5">
        <f>recovered!E117</f>
        <v>0</v>
      </c>
      <c r="F117" s="5">
        <f>recovered!F117-recovered!E117</f>
        <v>0</v>
      </c>
      <c r="G117" s="5">
        <f>recovered!G117-recovered!F117</f>
        <v>0</v>
      </c>
      <c r="H117" s="5">
        <f>recovered!H117-recovered!G117</f>
        <v>0</v>
      </c>
      <c r="I117" s="5">
        <f>recovered!I117-recovered!H117</f>
        <v>0</v>
      </c>
      <c r="J117" s="5">
        <f>recovered!J117-recovered!I117</f>
        <v>0</v>
      </c>
      <c r="K117" s="5">
        <f>recovered!K117-recovered!J117</f>
        <v>0</v>
      </c>
      <c r="L117" s="5">
        <f>recovered!L117-recovered!K117</f>
        <v>0</v>
      </c>
      <c r="M117" s="5">
        <f>recovered!M117-recovered!L117</f>
        <v>0</v>
      </c>
      <c r="N117" s="5">
        <f>recovered!N117-recovered!M117</f>
        <v>0</v>
      </c>
      <c r="O117" s="5">
        <f>recovered!O117-recovered!N117</f>
        <v>0</v>
      </c>
      <c r="P117" s="5">
        <f>recovered!P117-recovered!O117</f>
        <v>0</v>
      </c>
      <c r="Q117" s="5">
        <f>recovered!Q117-recovered!P117</f>
        <v>0</v>
      </c>
      <c r="R117" s="5">
        <f>recovered!R117-recovered!Q117</f>
        <v>0</v>
      </c>
      <c r="S117" s="5">
        <f>recovered!S117-recovered!R117</f>
        <v>0</v>
      </c>
      <c r="T117" s="5">
        <f>recovered!T117-recovered!S117</f>
        <v>0</v>
      </c>
      <c r="U117" s="5">
        <f>recovered!U117-recovered!T117</f>
        <v>0</v>
      </c>
      <c r="V117" s="5">
        <f>recovered!V117-recovered!U117</f>
        <v>0</v>
      </c>
      <c r="W117" s="5">
        <f>recovered!W117-recovered!V117</f>
        <v>0</v>
      </c>
      <c r="X117" s="5">
        <f>recovered!X117-recovered!W117</f>
        <v>0</v>
      </c>
      <c r="Y117" s="5">
        <f>recovered!Y117-recovered!X117</f>
        <v>0</v>
      </c>
      <c r="Z117" s="5">
        <f>recovered!Z117-recovered!Y117</f>
        <v>0</v>
      </c>
      <c r="AA117" s="5">
        <f>recovered!AA117-recovered!Z117</f>
        <v>0</v>
      </c>
      <c r="AB117" s="5">
        <f>recovered!AB117-recovered!AA117</f>
        <v>0</v>
      </c>
      <c r="AC117" s="5">
        <f>recovered!AC117-recovered!AB117</f>
        <v>0</v>
      </c>
      <c r="AD117" s="5">
        <f>recovered!AD117-recovered!AC117</f>
        <v>0</v>
      </c>
      <c r="AE117" s="5">
        <f>recovered!AE117-recovered!AD117</f>
        <v>0</v>
      </c>
      <c r="AF117" s="5">
        <f>recovered!AF117-recovered!AE117</f>
        <v>0</v>
      </c>
      <c r="AG117" s="5">
        <f>recovered!AG117-recovered!AF117</f>
        <v>0</v>
      </c>
      <c r="AH117" s="5">
        <f>recovered!AH117-recovered!AG117</f>
        <v>0</v>
      </c>
      <c r="AI117" s="5">
        <f>recovered!AI117-recovered!AH117</f>
        <v>0</v>
      </c>
      <c r="AJ117" s="5">
        <f>recovered!AJ117-recovered!AI117</f>
        <v>0</v>
      </c>
      <c r="AK117" s="5">
        <f>recovered!AK117-recovered!AJ117</f>
        <v>0</v>
      </c>
      <c r="AL117" s="5">
        <f>recovered!AL117-recovered!AK117</f>
        <v>0</v>
      </c>
      <c r="AM117" s="5">
        <f>recovered!AM117-recovered!AL117</f>
        <v>0</v>
      </c>
      <c r="AN117" s="5">
        <f>recovered!AN117-recovered!AM117</f>
        <v>0</v>
      </c>
      <c r="AO117" s="5">
        <f>recovered!AO117-recovered!AN117</f>
        <v>0</v>
      </c>
      <c r="AP117" s="5">
        <f>recovered!AP117-recovered!AO117</f>
        <v>0</v>
      </c>
      <c r="AQ117" s="5">
        <f>recovered!AQ117-recovered!AP117</f>
        <v>0</v>
      </c>
      <c r="AR117" s="5">
        <f>recovered!AR117-recovered!AQ117</f>
        <v>0</v>
      </c>
      <c r="AS117" s="5">
        <f>recovered!AS117-recovered!AR117</f>
        <v>0</v>
      </c>
      <c r="AT117" s="5">
        <f>recovered!AT117-recovered!AS117</f>
        <v>0</v>
      </c>
      <c r="AU117" s="5">
        <f>recovered!AU117-recovered!AT117</f>
        <v>0</v>
      </c>
      <c r="AV117" s="5">
        <f>recovered!AV117-recovered!AU117</f>
        <v>0</v>
      </c>
      <c r="AW117" s="5">
        <f>recovered!AW117-recovered!AV117</f>
        <v>0</v>
      </c>
      <c r="AX117" s="5">
        <f>recovered!AX117-recovered!AW117</f>
        <v>0</v>
      </c>
      <c r="AY117" s="5">
        <f>recovered!AY117-recovered!AX117</f>
        <v>0</v>
      </c>
      <c r="AZ117" s="5">
        <f>recovered!AZ117-recovered!AY117</f>
        <v>0</v>
      </c>
      <c r="BA117" s="5">
        <f>recovered!BA117-recovered!AZ117</f>
        <v>0</v>
      </c>
      <c r="BB117" s="5">
        <f>recovered!BB117-recovered!BA117</f>
        <v>0</v>
      </c>
      <c r="BC117" s="5">
        <f>recovered!BC117-recovered!BB117</f>
        <v>0</v>
      </c>
      <c r="BD117" s="5">
        <f>recovered!BD117-recovered!BC117</f>
        <v>0</v>
      </c>
      <c r="BE117" s="5">
        <f>recovered!BE117-recovered!BD117</f>
        <v>8</v>
      </c>
      <c r="BF117" s="5">
        <f>recovered!BF117-recovered!BE117</f>
        <v>0</v>
      </c>
      <c r="BG117" s="5">
        <f>recovered!BG117-recovered!BF117</f>
        <v>0</v>
      </c>
      <c r="BH117" s="5">
        <f>recovered!BH117-recovered!BG117</f>
        <v>0</v>
      </c>
      <c r="BI117" s="5">
        <f>recovered!BI117-recovered!BH117</f>
        <v>0</v>
      </c>
      <c r="BJ117" s="5">
        <f>recovered!BJ117-recovered!BI117</f>
        <v>0</v>
      </c>
      <c r="BK117" s="5">
        <f>recovered!BK117-recovered!BJ117</f>
        <v>11</v>
      </c>
      <c r="BL117" s="5">
        <f>recovered!BL117-recovered!BK117</f>
        <v>0</v>
      </c>
      <c r="BM117" s="5">
        <f>recovered!BM117-recovered!BL117</f>
        <v>0</v>
      </c>
      <c r="BN117" s="5">
        <f>recovered!BN117-recovered!BM117</f>
        <v>0</v>
      </c>
      <c r="BO117" s="5">
        <f>recovered!BO117-recovered!BN117</f>
        <v>10</v>
      </c>
      <c r="BP117" s="5">
        <f>recovered!BP117-recovered!BO117</f>
        <v>7</v>
      </c>
      <c r="BQ117" s="5">
        <f>recovered!BQ117-recovered!BP117</f>
        <v>0</v>
      </c>
      <c r="BR117" s="5">
        <f>recovered!BR117-recovered!BQ117</f>
        <v>16</v>
      </c>
      <c r="BS117" s="5">
        <f>recovered!BS117-recovered!BR117</f>
        <v>0</v>
      </c>
      <c r="BT117" s="5">
        <f>recovered!BT117-recovered!BS117</f>
        <v>0</v>
      </c>
      <c r="BU117" s="5">
        <f>recovered!BU117-recovered!BT117</f>
        <v>0</v>
      </c>
      <c r="BV117" s="5">
        <f>recovered!BV117-recovered!BU117</f>
        <v>0</v>
      </c>
      <c r="BW117" s="5">
        <f>recovered!BW117-recovered!BV117</f>
        <v>0</v>
      </c>
      <c r="BX117" s="5">
        <f>recovered!BX117-recovered!BW117</f>
        <v>9</v>
      </c>
      <c r="BY117" s="5">
        <f>recovered!BY117-recovered!BX117</f>
        <v>17</v>
      </c>
    </row>
    <row r="118">
      <c r="B118" s="1" t="str">
        <f>recovered!B118</f>
        <v>Guatemala</v>
      </c>
      <c r="C118" s="4">
        <f>recovered!C118</f>
        <v>15.7835</v>
      </c>
      <c r="D118" s="4">
        <f>recovered!D118</f>
        <v>-90.2308</v>
      </c>
      <c r="E118" s="5">
        <f>recovered!E118</f>
        <v>0</v>
      </c>
      <c r="F118" s="5">
        <f>recovered!F118-recovered!E118</f>
        <v>0</v>
      </c>
      <c r="G118" s="5">
        <f>recovered!G118-recovered!F118</f>
        <v>0</v>
      </c>
      <c r="H118" s="5">
        <f>recovered!H118-recovered!G118</f>
        <v>0</v>
      </c>
      <c r="I118" s="5">
        <f>recovered!I118-recovered!H118</f>
        <v>0</v>
      </c>
      <c r="J118" s="5">
        <f>recovered!J118-recovered!I118</f>
        <v>0</v>
      </c>
      <c r="K118" s="5">
        <f>recovered!K118-recovered!J118</f>
        <v>0</v>
      </c>
      <c r="L118" s="5">
        <f>recovered!L118-recovered!K118</f>
        <v>0</v>
      </c>
      <c r="M118" s="5">
        <f>recovered!M118-recovered!L118</f>
        <v>0</v>
      </c>
      <c r="N118" s="5">
        <f>recovered!N118-recovered!M118</f>
        <v>0</v>
      </c>
      <c r="O118" s="5">
        <f>recovered!O118-recovered!N118</f>
        <v>0</v>
      </c>
      <c r="P118" s="5">
        <f>recovered!P118-recovered!O118</f>
        <v>0</v>
      </c>
      <c r="Q118" s="5">
        <f>recovered!Q118-recovered!P118</f>
        <v>0</v>
      </c>
      <c r="R118" s="5">
        <f>recovered!R118-recovered!Q118</f>
        <v>0</v>
      </c>
      <c r="S118" s="5">
        <f>recovered!S118-recovered!R118</f>
        <v>0</v>
      </c>
      <c r="T118" s="5">
        <f>recovered!T118-recovered!S118</f>
        <v>0</v>
      </c>
      <c r="U118" s="5">
        <f>recovered!U118-recovered!T118</f>
        <v>0</v>
      </c>
      <c r="V118" s="5">
        <f>recovered!V118-recovered!U118</f>
        <v>0</v>
      </c>
      <c r="W118" s="5">
        <f>recovered!W118-recovered!V118</f>
        <v>0</v>
      </c>
      <c r="X118" s="5">
        <f>recovered!X118-recovered!W118</f>
        <v>0</v>
      </c>
      <c r="Y118" s="5">
        <f>recovered!Y118-recovered!X118</f>
        <v>0</v>
      </c>
      <c r="Z118" s="5">
        <f>recovered!Z118-recovered!Y118</f>
        <v>0</v>
      </c>
      <c r="AA118" s="5">
        <f>recovered!AA118-recovered!Z118</f>
        <v>0</v>
      </c>
      <c r="AB118" s="5">
        <f>recovered!AB118-recovered!AA118</f>
        <v>0</v>
      </c>
      <c r="AC118" s="5">
        <f>recovered!AC118-recovered!AB118</f>
        <v>0</v>
      </c>
      <c r="AD118" s="5">
        <f>recovered!AD118-recovered!AC118</f>
        <v>0</v>
      </c>
      <c r="AE118" s="5">
        <f>recovered!AE118-recovered!AD118</f>
        <v>0</v>
      </c>
      <c r="AF118" s="5">
        <f>recovered!AF118-recovered!AE118</f>
        <v>0</v>
      </c>
      <c r="AG118" s="5">
        <f>recovered!AG118-recovered!AF118</f>
        <v>0</v>
      </c>
      <c r="AH118" s="5">
        <f>recovered!AH118-recovered!AG118</f>
        <v>0</v>
      </c>
      <c r="AI118" s="5">
        <f>recovered!AI118-recovered!AH118</f>
        <v>0</v>
      </c>
      <c r="AJ118" s="5">
        <f>recovered!AJ118-recovered!AI118</f>
        <v>0</v>
      </c>
      <c r="AK118" s="5">
        <f>recovered!AK118-recovered!AJ118</f>
        <v>0</v>
      </c>
      <c r="AL118" s="5">
        <f>recovered!AL118-recovered!AK118</f>
        <v>0</v>
      </c>
      <c r="AM118" s="5">
        <f>recovered!AM118-recovered!AL118</f>
        <v>0</v>
      </c>
      <c r="AN118" s="5">
        <f>recovered!AN118-recovered!AM118</f>
        <v>0</v>
      </c>
      <c r="AO118" s="5">
        <f>recovered!AO118-recovered!AN118</f>
        <v>0</v>
      </c>
      <c r="AP118" s="5">
        <f>recovered!AP118-recovered!AO118</f>
        <v>0</v>
      </c>
      <c r="AQ118" s="5">
        <f>recovered!AQ118-recovered!AP118</f>
        <v>0</v>
      </c>
      <c r="AR118" s="5">
        <f>recovered!AR118-recovered!AQ118</f>
        <v>0</v>
      </c>
      <c r="AS118" s="5">
        <f>recovered!AS118-recovered!AR118</f>
        <v>0</v>
      </c>
      <c r="AT118" s="5">
        <f>recovered!AT118-recovered!AS118</f>
        <v>0</v>
      </c>
      <c r="AU118" s="5">
        <f>recovered!AU118-recovered!AT118</f>
        <v>0</v>
      </c>
      <c r="AV118" s="5">
        <f>recovered!AV118-recovered!AU118</f>
        <v>0</v>
      </c>
      <c r="AW118" s="5">
        <f>recovered!AW118-recovered!AV118</f>
        <v>0</v>
      </c>
      <c r="AX118" s="5">
        <f>recovered!AX118-recovered!AW118</f>
        <v>0</v>
      </c>
      <c r="AY118" s="5">
        <f>recovered!AY118-recovered!AX118</f>
        <v>0</v>
      </c>
      <c r="AZ118" s="5">
        <f>recovered!AZ118-recovered!AY118</f>
        <v>0</v>
      </c>
      <c r="BA118" s="5">
        <f>recovered!BA118-recovered!AZ118</f>
        <v>0</v>
      </c>
      <c r="BB118" s="5">
        <f>recovered!BB118-recovered!BA118</f>
        <v>0</v>
      </c>
      <c r="BC118" s="5">
        <f>recovered!BC118-recovered!BB118</f>
        <v>0</v>
      </c>
      <c r="BD118" s="5">
        <f>recovered!BD118-recovered!BC118</f>
        <v>0</v>
      </c>
      <c r="BE118" s="5">
        <f>recovered!BE118-recovered!BD118</f>
        <v>0</v>
      </c>
      <c r="BF118" s="5">
        <f>recovered!BF118-recovered!BE118</f>
        <v>0</v>
      </c>
      <c r="BG118" s="5">
        <f>recovered!BG118-recovered!BF118</f>
        <v>0</v>
      </c>
      <c r="BH118" s="5">
        <f>recovered!BH118-recovered!BG118</f>
        <v>0</v>
      </c>
      <c r="BI118" s="5">
        <f>recovered!BI118-recovered!BH118</f>
        <v>0</v>
      </c>
      <c r="BJ118" s="5">
        <f>recovered!BJ118-recovered!BI118</f>
        <v>0</v>
      </c>
      <c r="BK118" s="5">
        <f>recovered!BK118-recovered!BJ118</f>
        <v>0</v>
      </c>
      <c r="BL118" s="5">
        <f>recovered!BL118-recovered!BK118</f>
        <v>0</v>
      </c>
      <c r="BM118" s="5">
        <f>recovered!BM118-recovered!BL118</f>
        <v>0</v>
      </c>
      <c r="BN118" s="5">
        <f>recovered!BN118-recovered!BM118</f>
        <v>0</v>
      </c>
      <c r="BO118" s="5">
        <f>recovered!BO118-recovered!BN118</f>
        <v>0</v>
      </c>
      <c r="BP118" s="5">
        <f>recovered!BP118-recovered!BO118</f>
        <v>4</v>
      </c>
      <c r="BQ118" s="5">
        <f>recovered!BQ118-recovered!BP118</f>
        <v>0</v>
      </c>
      <c r="BR118" s="5">
        <f>recovered!BR118-recovered!BQ118</f>
        <v>0</v>
      </c>
      <c r="BS118" s="5">
        <f>recovered!BS118-recovered!BR118</f>
        <v>6</v>
      </c>
      <c r="BT118" s="5">
        <f>recovered!BT118-recovered!BS118</f>
        <v>0</v>
      </c>
      <c r="BU118" s="5">
        <f>recovered!BU118-recovered!BT118</f>
        <v>0</v>
      </c>
      <c r="BV118" s="5">
        <f>recovered!BV118-recovered!BU118</f>
        <v>2</v>
      </c>
      <c r="BW118" s="5">
        <f>recovered!BW118-recovered!BV118</f>
        <v>0</v>
      </c>
      <c r="BX118" s="5">
        <f>recovered!BX118-recovered!BW118</f>
        <v>0</v>
      </c>
      <c r="BY118" s="5">
        <f>recovered!BY118-recovered!BX118</f>
        <v>0</v>
      </c>
    </row>
    <row r="119">
      <c r="B119" s="1" t="str">
        <f>recovered!B119</f>
        <v>Guinea</v>
      </c>
      <c r="C119" s="4">
        <f>recovered!C119</f>
        <v>9.9456</v>
      </c>
      <c r="D119" s="4">
        <f>recovered!D119</f>
        <v>-9.6966</v>
      </c>
      <c r="E119" s="5">
        <f>recovered!E119</f>
        <v>0</v>
      </c>
      <c r="F119" s="5">
        <f>recovered!F119-recovered!E119</f>
        <v>0</v>
      </c>
      <c r="G119" s="5">
        <f>recovered!G119-recovered!F119</f>
        <v>0</v>
      </c>
      <c r="H119" s="5">
        <f>recovered!H119-recovered!G119</f>
        <v>0</v>
      </c>
      <c r="I119" s="5">
        <f>recovered!I119-recovered!H119</f>
        <v>0</v>
      </c>
      <c r="J119" s="5">
        <f>recovered!J119-recovered!I119</f>
        <v>0</v>
      </c>
      <c r="K119" s="5">
        <f>recovered!K119-recovered!J119</f>
        <v>0</v>
      </c>
      <c r="L119" s="5">
        <f>recovered!L119-recovered!K119</f>
        <v>0</v>
      </c>
      <c r="M119" s="5">
        <f>recovered!M119-recovered!L119</f>
        <v>0</v>
      </c>
      <c r="N119" s="5">
        <f>recovered!N119-recovered!M119</f>
        <v>0</v>
      </c>
      <c r="O119" s="5">
        <f>recovered!O119-recovered!N119</f>
        <v>0</v>
      </c>
      <c r="P119" s="5">
        <f>recovered!P119-recovered!O119</f>
        <v>0</v>
      </c>
      <c r="Q119" s="5">
        <f>recovered!Q119-recovered!P119</f>
        <v>0</v>
      </c>
      <c r="R119" s="5">
        <f>recovered!R119-recovered!Q119</f>
        <v>0</v>
      </c>
      <c r="S119" s="5">
        <f>recovered!S119-recovered!R119</f>
        <v>0</v>
      </c>
      <c r="T119" s="5">
        <f>recovered!T119-recovered!S119</f>
        <v>0</v>
      </c>
      <c r="U119" s="5">
        <f>recovered!U119-recovered!T119</f>
        <v>0</v>
      </c>
      <c r="V119" s="5">
        <f>recovered!V119-recovered!U119</f>
        <v>0</v>
      </c>
      <c r="W119" s="5">
        <f>recovered!W119-recovered!V119</f>
        <v>0</v>
      </c>
      <c r="X119" s="5">
        <f>recovered!X119-recovered!W119</f>
        <v>0</v>
      </c>
      <c r="Y119" s="5">
        <f>recovered!Y119-recovered!X119</f>
        <v>0</v>
      </c>
      <c r="Z119" s="5">
        <f>recovered!Z119-recovered!Y119</f>
        <v>0</v>
      </c>
      <c r="AA119" s="5">
        <f>recovered!AA119-recovered!Z119</f>
        <v>0</v>
      </c>
      <c r="AB119" s="5">
        <f>recovered!AB119-recovered!AA119</f>
        <v>0</v>
      </c>
      <c r="AC119" s="5">
        <f>recovered!AC119-recovered!AB119</f>
        <v>0</v>
      </c>
      <c r="AD119" s="5">
        <f>recovered!AD119-recovered!AC119</f>
        <v>0</v>
      </c>
      <c r="AE119" s="5">
        <f>recovered!AE119-recovered!AD119</f>
        <v>0</v>
      </c>
      <c r="AF119" s="5">
        <f>recovered!AF119-recovered!AE119</f>
        <v>0</v>
      </c>
      <c r="AG119" s="5">
        <f>recovered!AG119-recovered!AF119</f>
        <v>0</v>
      </c>
      <c r="AH119" s="5">
        <f>recovered!AH119-recovered!AG119</f>
        <v>0</v>
      </c>
      <c r="AI119" s="5">
        <f>recovered!AI119-recovered!AH119</f>
        <v>0</v>
      </c>
      <c r="AJ119" s="5">
        <f>recovered!AJ119-recovered!AI119</f>
        <v>0</v>
      </c>
      <c r="AK119" s="5">
        <f>recovered!AK119-recovered!AJ119</f>
        <v>0</v>
      </c>
      <c r="AL119" s="5">
        <f>recovered!AL119-recovered!AK119</f>
        <v>0</v>
      </c>
      <c r="AM119" s="5">
        <f>recovered!AM119-recovered!AL119</f>
        <v>0</v>
      </c>
      <c r="AN119" s="5">
        <f>recovered!AN119-recovered!AM119</f>
        <v>0</v>
      </c>
      <c r="AO119" s="5">
        <f>recovered!AO119-recovered!AN119</f>
        <v>0</v>
      </c>
      <c r="AP119" s="5">
        <f>recovered!AP119-recovered!AO119</f>
        <v>0</v>
      </c>
      <c r="AQ119" s="5">
        <f>recovered!AQ119-recovered!AP119</f>
        <v>0</v>
      </c>
      <c r="AR119" s="5">
        <f>recovered!AR119-recovered!AQ119</f>
        <v>0</v>
      </c>
      <c r="AS119" s="5">
        <f>recovered!AS119-recovered!AR119</f>
        <v>0</v>
      </c>
      <c r="AT119" s="5">
        <f>recovered!AT119-recovered!AS119</f>
        <v>0</v>
      </c>
      <c r="AU119" s="5">
        <f>recovered!AU119-recovered!AT119</f>
        <v>0</v>
      </c>
      <c r="AV119" s="5">
        <f>recovered!AV119-recovered!AU119</f>
        <v>0</v>
      </c>
      <c r="AW119" s="5">
        <f>recovered!AW119-recovered!AV119</f>
        <v>0</v>
      </c>
      <c r="AX119" s="5">
        <f>recovered!AX119-recovered!AW119</f>
        <v>0</v>
      </c>
      <c r="AY119" s="5">
        <f>recovered!AY119-recovered!AX119</f>
        <v>0</v>
      </c>
      <c r="AZ119" s="5">
        <f>recovered!AZ119-recovered!AY119</f>
        <v>0</v>
      </c>
      <c r="BA119" s="5">
        <f>recovered!BA119-recovered!AZ119</f>
        <v>0</v>
      </c>
      <c r="BB119" s="5">
        <f>recovered!BB119-recovered!BA119</f>
        <v>0</v>
      </c>
      <c r="BC119" s="5">
        <f>recovered!BC119-recovered!BB119</f>
        <v>0</v>
      </c>
      <c r="BD119" s="5">
        <f>recovered!BD119-recovered!BC119</f>
        <v>0</v>
      </c>
      <c r="BE119" s="5">
        <f>recovered!BE119-recovered!BD119</f>
        <v>0</v>
      </c>
      <c r="BF119" s="5">
        <f>recovered!BF119-recovered!BE119</f>
        <v>0</v>
      </c>
      <c r="BG119" s="5">
        <f>recovered!BG119-recovered!BF119</f>
        <v>0</v>
      </c>
      <c r="BH119" s="5">
        <f>recovered!BH119-recovered!BG119</f>
        <v>0</v>
      </c>
      <c r="BI119" s="5">
        <f>recovered!BI119-recovered!BH119</f>
        <v>0</v>
      </c>
      <c r="BJ119" s="5">
        <f>recovered!BJ119-recovered!BI119</f>
        <v>0</v>
      </c>
      <c r="BK119" s="5">
        <f>recovered!BK119-recovered!BJ119</f>
        <v>0</v>
      </c>
      <c r="BL119" s="5">
        <f>recovered!BL119-recovered!BK119</f>
        <v>0</v>
      </c>
      <c r="BM119" s="5">
        <f>recovered!BM119-recovered!BL119</f>
        <v>0</v>
      </c>
      <c r="BN119" s="5">
        <f>recovered!BN119-recovered!BM119</f>
        <v>0</v>
      </c>
      <c r="BO119" s="5">
        <f>recovered!BO119-recovered!BN119</f>
        <v>0</v>
      </c>
      <c r="BP119" s="5">
        <f>recovered!BP119-recovered!BO119</f>
        <v>0</v>
      </c>
      <c r="BQ119" s="5">
        <f>recovered!BQ119-recovered!BP119</f>
        <v>0</v>
      </c>
      <c r="BR119" s="5">
        <f>recovered!BR119-recovered!BQ119</f>
        <v>0</v>
      </c>
      <c r="BS119" s="5">
        <f>recovered!BS119-recovered!BR119</f>
        <v>0</v>
      </c>
      <c r="BT119" s="5">
        <f>recovered!BT119-recovered!BS119</f>
        <v>0</v>
      </c>
      <c r="BU119" s="5">
        <f>recovered!BU119-recovered!BT119</f>
        <v>0</v>
      </c>
      <c r="BV119" s="5">
        <f>recovered!BV119-recovered!BU119</f>
        <v>0</v>
      </c>
      <c r="BW119" s="5">
        <f>recovered!BW119-recovered!BV119</f>
        <v>0</v>
      </c>
      <c r="BX119" s="5">
        <f>recovered!BX119-recovered!BW119</f>
        <v>0</v>
      </c>
      <c r="BY119" s="5">
        <f>recovered!BY119-recovered!BX119</f>
        <v>2</v>
      </c>
    </row>
    <row r="120">
      <c r="B120" s="1" t="str">
        <f>recovered!B120</f>
        <v>Guinea-Bissau</v>
      </c>
      <c r="C120" s="4">
        <f>recovered!C120</f>
        <v>11.8037</v>
      </c>
      <c r="D120" s="4">
        <f>recovered!D120</f>
        <v>-15.1804</v>
      </c>
      <c r="E120" s="5">
        <f>recovered!E120</f>
        <v>0</v>
      </c>
      <c r="F120" s="5">
        <f>recovered!F120-recovered!E120</f>
        <v>0</v>
      </c>
      <c r="G120" s="5">
        <f>recovered!G120-recovered!F120</f>
        <v>0</v>
      </c>
      <c r="H120" s="5">
        <f>recovered!H120-recovered!G120</f>
        <v>0</v>
      </c>
      <c r="I120" s="5">
        <f>recovered!I120-recovered!H120</f>
        <v>0</v>
      </c>
      <c r="J120" s="5">
        <f>recovered!J120-recovered!I120</f>
        <v>0</v>
      </c>
      <c r="K120" s="5">
        <f>recovered!K120-recovered!J120</f>
        <v>0</v>
      </c>
      <c r="L120" s="5">
        <f>recovered!L120-recovered!K120</f>
        <v>0</v>
      </c>
      <c r="M120" s="5">
        <f>recovered!M120-recovered!L120</f>
        <v>0</v>
      </c>
      <c r="N120" s="5">
        <f>recovered!N120-recovered!M120</f>
        <v>0</v>
      </c>
      <c r="O120" s="5">
        <f>recovered!O120-recovered!N120</f>
        <v>0</v>
      </c>
      <c r="P120" s="5">
        <f>recovered!P120-recovered!O120</f>
        <v>0</v>
      </c>
      <c r="Q120" s="5">
        <f>recovered!Q120-recovered!P120</f>
        <v>0</v>
      </c>
      <c r="R120" s="5">
        <f>recovered!R120-recovered!Q120</f>
        <v>0</v>
      </c>
      <c r="S120" s="5">
        <f>recovered!S120-recovered!R120</f>
        <v>0</v>
      </c>
      <c r="T120" s="5">
        <f>recovered!T120-recovered!S120</f>
        <v>0</v>
      </c>
      <c r="U120" s="5">
        <f>recovered!U120-recovered!T120</f>
        <v>0</v>
      </c>
      <c r="V120" s="5">
        <f>recovered!V120-recovered!U120</f>
        <v>0</v>
      </c>
      <c r="W120" s="5">
        <f>recovered!W120-recovered!V120</f>
        <v>0</v>
      </c>
      <c r="X120" s="5">
        <f>recovered!X120-recovered!W120</f>
        <v>0</v>
      </c>
      <c r="Y120" s="5">
        <f>recovered!Y120-recovered!X120</f>
        <v>0</v>
      </c>
      <c r="Z120" s="5">
        <f>recovered!Z120-recovered!Y120</f>
        <v>0</v>
      </c>
      <c r="AA120" s="5">
        <f>recovered!AA120-recovered!Z120</f>
        <v>0</v>
      </c>
      <c r="AB120" s="5">
        <f>recovered!AB120-recovered!AA120</f>
        <v>0</v>
      </c>
      <c r="AC120" s="5">
        <f>recovered!AC120-recovered!AB120</f>
        <v>0</v>
      </c>
      <c r="AD120" s="5">
        <f>recovered!AD120-recovered!AC120</f>
        <v>0</v>
      </c>
      <c r="AE120" s="5">
        <f>recovered!AE120-recovered!AD120</f>
        <v>0</v>
      </c>
      <c r="AF120" s="5">
        <f>recovered!AF120-recovered!AE120</f>
        <v>0</v>
      </c>
      <c r="AG120" s="5">
        <f>recovered!AG120-recovered!AF120</f>
        <v>0</v>
      </c>
      <c r="AH120" s="5">
        <f>recovered!AH120-recovered!AG120</f>
        <v>0</v>
      </c>
      <c r="AI120" s="5">
        <f>recovered!AI120-recovered!AH120</f>
        <v>0</v>
      </c>
      <c r="AJ120" s="5">
        <f>recovered!AJ120-recovered!AI120</f>
        <v>0</v>
      </c>
      <c r="AK120" s="5">
        <f>recovered!AK120-recovered!AJ120</f>
        <v>0</v>
      </c>
      <c r="AL120" s="5">
        <f>recovered!AL120-recovered!AK120</f>
        <v>0</v>
      </c>
      <c r="AM120" s="5">
        <f>recovered!AM120-recovered!AL120</f>
        <v>0</v>
      </c>
      <c r="AN120" s="5">
        <f>recovered!AN120-recovered!AM120</f>
        <v>0</v>
      </c>
      <c r="AO120" s="5">
        <f>recovered!AO120-recovered!AN120</f>
        <v>0</v>
      </c>
      <c r="AP120" s="5">
        <f>recovered!AP120-recovered!AO120</f>
        <v>0</v>
      </c>
      <c r="AQ120" s="5">
        <f>recovered!AQ120-recovered!AP120</f>
        <v>0</v>
      </c>
      <c r="AR120" s="5">
        <f>recovered!AR120-recovered!AQ120</f>
        <v>0</v>
      </c>
      <c r="AS120" s="5">
        <f>recovered!AS120-recovered!AR120</f>
        <v>0</v>
      </c>
      <c r="AT120" s="5">
        <f>recovered!AT120-recovered!AS120</f>
        <v>0</v>
      </c>
      <c r="AU120" s="5">
        <f>recovered!AU120-recovered!AT120</f>
        <v>0</v>
      </c>
      <c r="AV120" s="5">
        <f>recovered!AV120-recovered!AU120</f>
        <v>0</v>
      </c>
      <c r="AW120" s="5">
        <f>recovered!AW120-recovered!AV120</f>
        <v>0</v>
      </c>
      <c r="AX120" s="5">
        <f>recovered!AX120-recovered!AW120</f>
        <v>0</v>
      </c>
      <c r="AY120" s="5">
        <f>recovered!AY120-recovered!AX120</f>
        <v>0</v>
      </c>
      <c r="AZ120" s="5">
        <f>recovered!AZ120-recovered!AY120</f>
        <v>0</v>
      </c>
      <c r="BA120" s="5">
        <f>recovered!BA120-recovered!AZ120</f>
        <v>0</v>
      </c>
      <c r="BB120" s="5">
        <f>recovered!BB120-recovered!BA120</f>
        <v>0</v>
      </c>
      <c r="BC120" s="5">
        <f>recovered!BC120-recovered!BB120</f>
        <v>0</v>
      </c>
      <c r="BD120" s="5">
        <f>recovered!BD120-recovered!BC120</f>
        <v>0</v>
      </c>
      <c r="BE120" s="5">
        <f>recovered!BE120-recovered!BD120</f>
        <v>0</v>
      </c>
      <c r="BF120" s="5">
        <f>recovered!BF120-recovered!BE120</f>
        <v>0</v>
      </c>
      <c r="BG120" s="5">
        <f>recovered!BG120-recovered!BF120</f>
        <v>0</v>
      </c>
      <c r="BH120" s="5">
        <f>recovered!BH120-recovered!BG120</f>
        <v>0</v>
      </c>
      <c r="BI120" s="5">
        <f>recovered!BI120-recovered!BH120</f>
        <v>0</v>
      </c>
      <c r="BJ120" s="5">
        <f>recovered!BJ120-recovered!BI120</f>
        <v>0</v>
      </c>
      <c r="BK120" s="5">
        <f>recovered!BK120-recovered!BJ120</f>
        <v>0</v>
      </c>
      <c r="BL120" s="5">
        <f>recovered!BL120-recovered!BK120</f>
        <v>0</v>
      </c>
      <c r="BM120" s="5">
        <f>recovered!BM120-recovered!BL120</f>
        <v>0</v>
      </c>
      <c r="BN120" s="5">
        <f>recovered!BN120-recovered!BM120</f>
        <v>0</v>
      </c>
      <c r="BO120" s="5">
        <f>recovered!BO120-recovered!BN120</f>
        <v>0</v>
      </c>
      <c r="BP120" s="5">
        <f>recovered!BP120-recovered!BO120</f>
        <v>0</v>
      </c>
      <c r="BQ120" s="5">
        <f>recovered!BQ120-recovered!BP120</f>
        <v>0</v>
      </c>
      <c r="BR120" s="5">
        <f>recovered!BR120-recovered!BQ120</f>
        <v>0</v>
      </c>
      <c r="BS120" s="5">
        <f>recovered!BS120-recovered!BR120</f>
        <v>0</v>
      </c>
      <c r="BT120" s="5">
        <f>recovered!BT120-recovered!BS120</f>
        <v>0</v>
      </c>
      <c r="BU120" s="5">
        <f>recovered!BU120-recovered!BT120</f>
        <v>0</v>
      </c>
      <c r="BV120" s="5">
        <f>recovered!BV120-recovered!BU120</f>
        <v>0</v>
      </c>
      <c r="BW120" s="5">
        <f>recovered!BW120-recovered!BV120</f>
        <v>0</v>
      </c>
      <c r="BX120" s="5">
        <f>recovered!BX120-recovered!BW120</f>
        <v>0</v>
      </c>
      <c r="BY120" s="5">
        <f>recovered!BY120-recovered!BX120</f>
        <v>0</v>
      </c>
    </row>
    <row r="121">
      <c r="B121" s="1" t="str">
        <f>recovered!B121</f>
        <v>Guyana</v>
      </c>
      <c r="C121" s="4">
        <f>recovered!C121</f>
        <v>5</v>
      </c>
      <c r="D121" s="4">
        <f>recovered!D121</f>
        <v>-58.75</v>
      </c>
      <c r="E121" s="5">
        <f>recovered!E121</f>
        <v>0</v>
      </c>
      <c r="F121" s="5">
        <f>recovered!F121-recovered!E121</f>
        <v>0</v>
      </c>
      <c r="G121" s="5">
        <f>recovered!G121-recovered!F121</f>
        <v>0</v>
      </c>
      <c r="H121" s="5">
        <f>recovered!H121-recovered!G121</f>
        <v>0</v>
      </c>
      <c r="I121" s="5">
        <f>recovered!I121-recovered!H121</f>
        <v>0</v>
      </c>
      <c r="J121" s="5">
        <f>recovered!J121-recovered!I121</f>
        <v>0</v>
      </c>
      <c r="K121" s="5">
        <f>recovered!K121-recovered!J121</f>
        <v>0</v>
      </c>
      <c r="L121" s="5">
        <f>recovered!L121-recovered!K121</f>
        <v>0</v>
      </c>
      <c r="M121" s="5">
        <f>recovered!M121-recovered!L121</f>
        <v>0</v>
      </c>
      <c r="N121" s="5">
        <f>recovered!N121-recovered!M121</f>
        <v>0</v>
      </c>
      <c r="O121" s="5">
        <f>recovered!O121-recovered!N121</f>
        <v>0</v>
      </c>
      <c r="P121" s="5">
        <f>recovered!P121-recovered!O121</f>
        <v>0</v>
      </c>
      <c r="Q121" s="5">
        <f>recovered!Q121-recovered!P121</f>
        <v>0</v>
      </c>
      <c r="R121" s="5">
        <f>recovered!R121-recovered!Q121</f>
        <v>0</v>
      </c>
      <c r="S121" s="5">
        <f>recovered!S121-recovered!R121</f>
        <v>0</v>
      </c>
      <c r="T121" s="5">
        <f>recovered!T121-recovered!S121</f>
        <v>0</v>
      </c>
      <c r="U121" s="5">
        <f>recovered!U121-recovered!T121</f>
        <v>0</v>
      </c>
      <c r="V121" s="5">
        <f>recovered!V121-recovered!U121</f>
        <v>0</v>
      </c>
      <c r="W121" s="5">
        <f>recovered!W121-recovered!V121</f>
        <v>0</v>
      </c>
      <c r="X121" s="5">
        <f>recovered!X121-recovered!W121</f>
        <v>0</v>
      </c>
      <c r="Y121" s="5">
        <f>recovered!Y121-recovered!X121</f>
        <v>0</v>
      </c>
      <c r="Z121" s="5">
        <f>recovered!Z121-recovered!Y121</f>
        <v>0</v>
      </c>
      <c r="AA121" s="5">
        <f>recovered!AA121-recovered!Z121</f>
        <v>0</v>
      </c>
      <c r="AB121" s="5">
        <f>recovered!AB121-recovered!AA121</f>
        <v>0</v>
      </c>
      <c r="AC121" s="5">
        <f>recovered!AC121-recovered!AB121</f>
        <v>0</v>
      </c>
      <c r="AD121" s="5">
        <f>recovered!AD121-recovered!AC121</f>
        <v>0</v>
      </c>
      <c r="AE121" s="5">
        <f>recovered!AE121-recovered!AD121</f>
        <v>0</v>
      </c>
      <c r="AF121" s="5">
        <f>recovered!AF121-recovered!AE121</f>
        <v>0</v>
      </c>
      <c r="AG121" s="5">
        <f>recovered!AG121-recovered!AF121</f>
        <v>0</v>
      </c>
      <c r="AH121" s="5">
        <f>recovered!AH121-recovered!AG121</f>
        <v>0</v>
      </c>
      <c r="AI121" s="5">
        <f>recovered!AI121-recovered!AH121</f>
        <v>0</v>
      </c>
      <c r="AJ121" s="5">
        <f>recovered!AJ121-recovered!AI121</f>
        <v>0</v>
      </c>
      <c r="AK121" s="5">
        <f>recovered!AK121-recovered!AJ121</f>
        <v>0</v>
      </c>
      <c r="AL121" s="5">
        <f>recovered!AL121-recovered!AK121</f>
        <v>0</v>
      </c>
      <c r="AM121" s="5">
        <f>recovered!AM121-recovered!AL121</f>
        <v>0</v>
      </c>
      <c r="AN121" s="5">
        <f>recovered!AN121-recovered!AM121</f>
        <v>0</v>
      </c>
      <c r="AO121" s="5">
        <f>recovered!AO121-recovered!AN121</f>
        <v>0</v>
      </c>
      <c r="AP121" s="5">
        <f>recovered!AP121-recovered!AO121</f>
        <v>0</v>
      </c>
      <c r="AQ121" s="5">
        <f>recovered!AQ121-recovered!AP121</f>
        <v>0</v>
      </c>
      <c r="AR121" s="5">
        <f>recovered!AR121-recovered!AQ121</f>
        <v>0</v>
      </c>
      <c r="AS121" s="5">
        <f>recovered!AS121-recovered!AR121</f>
        <v>0</v>
      </c>
      <c r="AT121" s="5">
        <f>recovered!AT121-recovered!AS121</f>
        <v>0</v>
      </c>
      <c r="AU121" s="5">
        <f>recovered!AU121-recovered!AT121</f>
        <v>0</v>
      </c>
      <c r="AV121" s="5">
        <f>recovered!AV121-recovered!AU121</f>
        <v>0</v>
      </c>
      <c r="AW121" s="5">
        <f>recovered!AW121-recovered!AV121</f>
        <v>0</v>
      </c>
      <c r="AX121" s="5">
        <f>recovered!AX121-recovered!AW121</f>
        <v>0</v>
      </c>
      <c r="AY121" s="5">
        <f>recovered!AY121-recovered!AX121</f>
        <v>0</v>
      </c>
      <c r="AZ121" s="5">
        <f>recovered!AZ121-recovered!AY121</f>
        <v>0</v>
      </c>
      <c r="BA121" s="5">
        <f>recovered!BA121-recovered!AZ121</f>
        <v>0</v>
      </c>
      <c r="BB121" s="5">
        <f>recovered!BB121-recovered!BA121</f>
        <v>0</v>
      </c>
      <c r="BC121" s="5">
        <f>recovered!BC121-recovered!BB121</f>
        <v>0</v>
      </c>
      <c r="BD121" s="5">
        <f>recovered!BD121-recovered!BC121</f>
        <v>0</v>
      </c>
      <c r="BE121" s="5">
        <f>recovered!BE121-recovered!BD121</f>
        <v>0</v>
      </c>
      <c r="BF121" s="5">
        <f>recovered!BF121-recovered!BE121</f>
        <v>0</v>
      </c>
      <c r="BG121" s="5">
        <f>recovered!BG121-recovered!BF121</f>
        <v>0</v>
      </c>
      <c r="BH121" s="5">
        <f>recovered!BH121-recovered!BG121</f>
        <v>0</v>
      </c>
      <c r="BI121" s="5">
        <f>recovered!BI121-recovered!BH121</f>
        <v>0</v>
      </c>
      <c r="BJ121" s="5">
        <f>recovered!BJ121-recovered!BI121</f>
        <v>0</v>
      </c>
      <c r="BK121" s="5">
        <f>recovered!BK121-recovered!BJ121</f>
        <v>0</v>
      </c>
      <c r="BL121" s="5">
        <f>recovered!BL121-recovered!BK121</f>
        <v>0</v>
      </c>
      <c r="BM121" s="5">
        <f>recovered!BM121-recovered!BL121</f>
        <v>0</v>
      </c>
      <c r="BN121" s="5">
        <f>recovered!BN121-recovered!BM121</f>
        <v>0</v>
      </c>
      <c r="BO121" s="5">
        <f>recovered!BO121-recovered!BN121</f>
        <v>0</v>
      </c>
      <c r="BP121" s="5">
        <f>recovered!BP121-recovered!BO121</f>
        <v>0</v>
      </c>
      <c r="BQ121" s="5">
        <f>recovered!BQ121-recovered!BP121</f>
        <v>0</v>
      </c>
      <c r="BR121" s="5">
        <f>recovered!BR121-recovered!BQ121</f>
        <v>0</v>
      </c>
      <c r="BS121" s="5">
        <f>recovered!BS121-recovered!BR121</f>
        <v>0</v>
      </c>
      <c r="BT121" s="5">
        <f>recovered!BT121-recovered!BS121</f>
        <v>0</v>
      </c>
      <c r="BU121" s="5">
        <f>recovered!BU121-recovered!BT121</f>
        <v>0</v>
      </c>
      <c r="BV121" s="5">
        <f>recovered!BV121-recovered!BU121</f>
        <v>0</v>
      </c>
      <c r="BW121" s="5">
        <f>recovered!BW121-recovered!BV121</f>
        <v>0</v>
      </c>
      <c r="BX121" s="5">
        <f>recovered!BX121-recovered!BW121</f>
        <v>0</v>
      </c>
      <c r="BY121" s="5">
        <f>recovered!BY121-recovered!BX121</f>
        <v>0</v>
      </c>
    </row>
    <row r="122">
      <c r="B122" s="1" t="str">
        <f>recovered!B122</f>
        <v>Haiti</v>
      </c>
      <c r="C122" s="4">
        <f>recovered!C122</f>
        <v>18.9712</v>
      </c>
      <c r="D122" s="4">
        <f>recovered!D122</f>
        <v>-72.2852</v>
      </c>
      <c r="E122" s="5">
        <f>recovered!E122</f>
        <v>0</v>
      </c>
      <c r="F122" s="5">
        <f>recovered!F122-recovered!E122</f>
        <v>0</v>
      </c>
      <c r="G122" s="5">
        <f>recovered!G122-recovered!F122</f>
        <v>0</v>
      </c>
      <c r="H122" s="5">
        <f>recovered!H122-recovered!G122</f>
        <v>0</v>
      </c>
      <c r="I122" s="5">
        <f>recovered!I122-recovered!H122</f>
        <v>0</v>
      </c>
      <c r="J122" s="5">
        <f>recovered!J122-recovered!I122</f>
        <v>0</v>
      </c>
      <c r="K122" s="5">
        <f>recovered!K122-recovered!J122</f>
        <v>0</v>
      </c>
      <c r="L122" s="5">
        <f>recovered!L122-recovered!K122</f>
        <v>0</v>
      </c>
      <c r="M122" s="5">
        <f>recovered!M122-recovered!L122</f>
        <v>0</v>
      </c>
      <c r="N122" s="5">
        <f>recovered!N122-recovered!M122</f>
        <v>0</v>
      </c>
      <c r="O122" s="5">
        <f>recovered!O122-recovered!N122</f>
        <v>0</v>
      </c>
      <c r="P122" s="5">
        <f>recovered!P122-recovered!O122</f>
        <v>0</v>
      </c>
      <c r="Q122" s="5">
        <f>recovered!Q122-recovered!P122</f>
        <v>0</v>
      </c>
      <c r="R122" s="5">
        <f>recovered!R122-recovered!Q122</f>
        <v>0</v>
      </c>
      <c r="S122" s="5">
        <f>recovered!S122-recovered!R122</f>
        <v>0</v>
      </c>
      <c r="T122" s="5">
        <f>recovered!T122-recovered!S122</f>
        <v>0</v>
      </c>
      <c r="U122" s="5">
        <f>recovered!U122-recovered!T122</f>
        <v>0</v>
      </c>
      <c r="V122" s="5">
        <f>recovered!V122-recovered!U122</f>
        <v>0</v>
      </c>
      <c r="W122" s="5">
        <f>recovered!W122-recovered!V122</f>
        <v>0</v>
      </c>
      <c r="X122" s="5">
        <f>recovered!X122-recovered!W122</f>
        <v>0</v>
      </c>
      <c r="Y122" s="5">
        <f>recovered!Y122-recovered!X122</f>
        <v>0</v>
      </c>
      <c r="Z122" s="5">
        <f>recovered!Z122-recovered!Y122</f>
        <v>0</v>
      </c>
      <c r="AA122" s="5">
        <f>recovered!AA122-recovered!Z122</f>
        <v>0</v>
      </c>
      <c r="AB122" s="5">
        <f>recovered!AB122-recovered!AA122</f>
        <v>0</v>
      </c>
      <c r="AC122" s="5">
        <f>recovered!AC122-recovered!AB122</f>
        <v>0</v>
      </c>
      <c r="AD122" s="5">
        <f>recovered!AD122-recovered!AC122</f>
        <v>0</v>
      </c>
      <c r="AE122" s="5">
        <f>recovered!AE122-recovered!AD122</f>
        <v>0</v>
      </c>
      <c r="AF122" s="5">
        <f>recovered!AF122-recovered!AE122</f>
        <v>0</v>
      </c>
      <c r="AG122" s="5">
        <f>recovered!AG122-recovered!AF122</f>
        <v>0</v>
      </c>
      <c r="AH122" s="5">
        <f>recovered!AH122-recovered!AG122</f>
        <v>0</v>
      </c>
      <c r="AI122" s="5">
        <f>recovered!AI122-recovered!AH122</f>
        <v>0</v>
      </c>
      <c r="AJ122" s="5">
        <f>recovered!AJ122-recovered!AI122</f>
        <v>0</v>
      </c>
      <c r="AK122" s="5">
        <f>recovered!AK122-recovered!AJ122</f>
        <v>0</v>
      </c>
      <c r="AL122" s="5">
        <f>recovered!AL122-recovered!AK122</f>
        <v>0</v>
      </c>
      <c r="AM122" s="5">
        <f>recovered!AM122-recovered!AL122</f>
        <v>0</v>
      </c>
      <c r="AN122" s="5">
        <f>recovered!AN122-recovered!AM122</f>
        <v>0</v>
      </c>
      <c r="AO122" s="5">
        <f>recovered!AO122-recovered!AN122</f>
        <v>0</v>
      </c>
      <c r="AP122" s="5">
        <f>recovered!AP122-recovered!AO122</f>
        <v>0</v>
      </c>
      <c r="AQ122" s="5">
        <f>recovered!AQ122-recovered!AP122</f>
        <v>0</v>
      </c>
      <c r="AR122" s="5">
        <f>recovered!AR122-recovered!AQ122</f>
        <v>0</v>
      </c>
      <c r="AS122" s="5">
        <f>recovered!AS122-recovered!AR122</f>
        <v>0</v>
      </c>
      <c r="AT122" s="5">
        <f>recovered!AT122-recovered!AS122</f>
        <v>0</v>
      </c>
      <c r="AU122" s="5">
        <f>recovered!AU122-recovered!AT122</f>
        <v>0</v>
      </c>
      <c r="AV122" s="5">
        <f>recovered!AV122-recovered!AU122</f>
        <v>0</v>
      </c>
      <c r="AW122" s="5">
        <f>recovered!AW122-recovered!AV122</f>
        <v>0</v>
      </c>
      <c r="AX122" s="5">
        <f>recovered!AX122-recovered!AW122</f>
        <v>0</v>
      </c>
      <c r="AY122" s="5">
        <f>recovered!AY122-recovered!AX122</f>
        <v>0</v>
      </c>
      <c r="AZ122" s="5">
        <f>recovered!AZ122-recovered!AY122</f>
        <v>0</v>
      </c>
      <c r="BA122" s="5">
        <f>recovered!BA122-recovered!AZ122</f>
        <v>0</v>
      </c>
      <c r="BB122" s="5">
        <f>recovered!BB122-recovered!BA122</f>
        <v>0</v>
      </c>
      <c r="BC122" s="5">
        <f>recovered!BC122-recovered!BB122</f>
        <v>0</v>
      </c>
      <c r="BD122" s="5">
        <f>recovered!BD122-recovered!BC122</f>
        <v>0</v>
      </c>
      <c r="BE122" s="5">
        <f>recovered!BE122-recovered!BD122</f>
        <v>0</v>
      </c>
      <c r="BF122" s="5">
        <f>recovered!BF122-recovered!BE122</f>
        <v>0</v>
      </c>
      <c r="BG122" s="5">
        <f>recovered!BG122-recovered!BF122</f>
        <v>0</v>
      </c>
      <c r="BH122" s="5">
        <f>recovered!BH122-recovered!BG122</f>
        <v>0</v>
      </c>
      <c r="BI122" s="5">
        <f>recovered!BI122-recovered!BH122</f>
        <v>0</v>
      </c>
      <c r="BJ122" s="5">
        <f>recovered!BJ122-recovered!BI122</f>
        <v>0</v>
      </c>
      <c r="BK122" s="5">
        <f>recovered!BK122-recovered!BJ122</f>
        <v>0</v>
      </c>
      <c r="BL122" s="5">
        <f>recovered!BL122-recovered!BK122</f>
        <v>0</v>
      </c>
      <c r="BM122" s="5">
        <f>recovered!BM122-recovered!BL122</f>
        <v>0</v>
      </c>
      <c r="BN122" s="5">
        <f>recovered!BN122-recovered!BM122</f>
        <v>0</v>
      </c>
      <c r="BO122" s="5">
        <f>recovered!BO122-recovered!BN122</f>
        <v>0</v>
      </c>
      <c r="BP122" s="5">
        <f>recovered!BP122-recovered!BO122</f>
        <v>0</v>
      </c>
      <c r="BQ122" s="5">
        <f>recovered!BQ122-recovered!BP122</f>
        <v>0</v>
      </c>
      <c r="BR122" s="5">
        <f>recovered!BR122-recovered!BQ122</f>
        <v>0</v>
      </c>
      <c r="BS122" s="5">
        <f>recovered!BS122-recovered!BR122</f>
        <v>0</v>
      </c>
      <c r="BT122" s="5">
        <f>recovered!BT122-recovered!BS122</f>
        <v>1</v>
      </c>
      <c r="BU122" s="5">
        <f>recovered!BU122-recovered!BT122</f>
        <v>0</v>
      </c>
      <c r="BV122" s="5">
        <f>recovered!BV122-recovered!BU122</f>
        <v>0</v>
      </c>
      <c r="BW122" s="5">
        <f>recovered!BW122-recovered!BV122</f>
        <v>0</v>
      </c>
      <c r="BX122" s="5">
        <f>recovered!BX122-recovered!BW122</f>
        <v>0</v>
      </c>
      <c r="BY122" s="5">
        <f>recovered!BY122-recovered!BX122</f>
        <v>0</v>
      </c>
    </row>
    <row r="123">
      <c r="B123" s="1" t="str">
        <f>recovered!B123</f>
        <v>Holy See</v>
      </c>
      <c r="C123" s="4">
        <f>recovered!C123</f>
        <v>41.9029</v>
      </c>
      <c r="D123" s="4">
        <f>recovered!D123</f>
        <v>12.4534</v>
      </c>
      <c r="E123" s="5">
        <f>recovered!E123</f>
        <v>0</v>
      </c>
      <c r="F123" s="5">
        <f>recovered!F123-recovered!E123</f>
        <v>0</v>
      </c>
      <c r="G123" s="5">
        <f>recovered!G123-recovered!F123</f>
        <v>0</v>
      </c>
      <c r="H123" s="5">
        <f>recovered!H123-recovered!G123</f>
        <v>0</v>
      </c>
      <c r="I123" s="5">
        <f>recovered!I123-recovered!H123</f>
        <v>0</v>
      </c>
      <c r="J123" s="5">
        <f>recovered!J123-recovered!I123</f>
        <v>0</v>
      </c>
      <c r="K123" s="5">
        <f>recovered!K123-recovered!J123</f>
        <v>0</v>
      </c>
      <c r="L123" s="5">
        <f>recovered!L123-recovered!K123</f>
        <v>0</v>
      </c>
      <c r="M123" s="5">
        <f>recovered!M123-recovered!L123</f>
        <v>0</v>
      </c>
      <c r="N123" s="5">
        <f>recovered!N123-recovered!M123</f>
        <v>0</v>
      </c>
      <c r="O123" s="5">
        <f>recovered!O123-recovered!N123</f>
        <v>0</v>
      </c>
      <c r="P123" s="5">
        <f>recovered!P123-recovered!O123</f>
        <v>0</v>
      </c>
      <c r="Q123" s="5">
        <f>recovered!Q123-recovered!P123</f>
        <v>0</v>
      </c>
      <c r="R123" s="5">
        <f>recovered!R123-recovered!Q123</f>
        <v>0</v>
      </c>
      <c r="S123" s="5">
        <f>recovered!S123-recovered!R123</f>
        <v>0</v>
      </c>
      <c r="T123" s="5">
        <f>recovered!T123-recovered!S123</f>
        <v>0</v>
      </c>
      <c r="U123" s="5">
        <f>recovered!U123-recovered!T123</f>
        <v>0</v>
      </c>
      <c r="V123" s="5">
        <f>recovered!V123-recovered!U123</f>
        <v>0</v>
      </c>
      <c r="W123" s="5">
        <f>recovered!W123-recovered!V123</f>
        <v>0</v>
      </c>
      <c r="X123" s="5">
        <f>recovered!X123-recovered!W123</f>
        <v>0</v>
      </c>
      <c r="Y123" s="5">
        <f>recovered!Y123-recovered!X123</f>
        <v>0</v>
      </c>
      <c r="Z123" s="5">
        <f>recovered!Z123-recovered!Y123</f>
        <v>0</v>
      </c>
      <c r="AA123" s="5">
        <f>recovered!AA123-recovered!Z123</f>
        <v>0</v>
      </c>
      <c r="AB123" s="5">
        <f>recovered!AB123-recovered!AA123</f>
        <v>0</v>
      </c>
      <c r="AC123" s="5">
        <f>recovered!AC123-recovered!AB123</f>
        <v>0</v>
      </c>
      <c r="AD123" s="5">
        <f>recovered!AD123-recovered!AC123</f>
        <v>0</v>
      </c>
      <c r="AE123" s="5">
        <f>recovered!AE123-recovered!AD123</f>
        <v>0</v>
      </c>
      <c r="AF123" s="5">
        <f>recovered!AF123-recovered!AE123</f>
        <v>0</v>
      </c>
      <c r="AG123" s="5">
        <f>recovered!AG123-recovered!AF123</f>
        <v>0</v>
      </c>
      <c r="AH123" s="5">
        <f>recovered!AH123-recovered!AG123</f>
        <v>0</v>
      </c>
      <c r="AI123" s="5">
        <f>recovered!AI123-recovered!AH123</f>
        <v>0</v>
      </c>
      <c r="AJ123" s="5">
        <f>recovered!AJ123-recovered!AI123</f>
        <v>0</v>
      </c>
      <c r="AK123" s="5">
        <f>recovered!AK123-recovered!AJ123</f>
        <v>0</v>
      </c>
      <c r="AL123" s="5">
        <f>recovered!AL123-recovered!AK123</f>
        <v>0</v>
      </c>
      <c r="AM123" s="5">
        <f>recovered!AM123-recovered!AL123</f>
        <v>0</v>
      </c>
      <c r="AN123" s="5">
        <f>recovered!AN123-recovered!AM123</f>
        <v>0</v>
      </c>
      <c r="AO123" s="5">
        <f>recovered!AO123-recovered!AN123</f>
        <v>0</v>
      </c>
      <c r="AP123" s="5">
        <f>recovered!AP123-recovered!AO123</f>
        <v>0</v>
      </c>
      <c r="AQ123" s="5">
        <f>recovered!AQ123-recovered!AP123</f>
        <v>0</v>
      </c>
      <c r="AR123" s="5">
        <f>recovered!AR123-recovered!AQ123</f>
        <v>0</v>
      </c>
      <c r="AS123" s="5">
        <f>recovered!AS123-recovered!AR123</f>
        <v>0</v>
      </c>
      <c r="AT123" s="5">
        <f>recovered!AT123-recovered!AS123</f>
        <v>0</v>
      </c>
      <c r="AU123" s="5">
        <f>recovered!AU123-recovered!AT123</f>
        <v>0</v>
      </c>
      <c r="AV123" s="5">
        <f>recovered!AV123-recovered!AU123</f>
        <v>0</v>
      </c>
      <c r="AW123" s="5">
        <f>recovered!AW123-recovered!AV123</f>
        <v>0</v>
      </c>
      <c r="AX123" s="5">
        <f>recovered!AX123-recovered!AW123</f>
        <v>0</v>
      </c>
      <c r="AY123" s="5">
        <f>recovered!AY123-recovered!AX123</f>
        <v>0</v>
      </c>
      <c r="AZ123" s="5">
        <f>recovered!AZ123-recovered!AY123</f>
        <v>0</v>
      </c>
      <c r="BA123" s="5">
        <f>recovered!BA123-recovered!AZ123</f>
        <v>0</v>
      </c>
      <c r="BB123" s="5">
        <f>recovered!BB123-recovered!BA123</f>
        <v>0</v>
      </c>
      <c r="BC123" s="5">
        <f>recovered!BC123-recovered!BB123</f>
        <v>0</v>
      </c>
      <c r="BD123" s="5">
        <f>recovered!BD123-recovered!BC123</f>
        <v>0</v>
      </c>
      <c r="BE123" s="5">
        <f>recovered!BE123-recovered!BD123</f>
        <v>0</v>
      </c>
      <c r="BF123" s="5">
        <f>recovered!BF123-recovered!BE123</f>
        <v>0</v>
      </c>
      <c r="BG123" s="5">
        <f>recovered!BG123-recovered!BF123</f>
        <v>0</v>
      </c>
      <c r="BH123" s="5">
        <f>recovered!BH123-recovered!BG123</f>
        <v>0</v>
      </c>
      <c r="BI123" s="5">
        <f>recovered!BI123-recovered!BH123</f>
        <v>0</v>
      </c>
      <c r="BJ123" s="5">
        <f>recovered!BJ123-recovered!BI123</f>
        <v>0</v>
      </c>
      <c r="BK123" s="5">
        <f>recovered!BK123-recovered!BJ123</f>
        <v>0</v>
      </c>
      <c r="BL123" s="5">
        <f>recovered!BL123-recovered!BK123</f>
        <v>0</v>
      </c>
      <c r="BM123" s="5">
        <f>recovered!BM123-recovered!BL123</f>
        <v>0</v>
      </c>
      <c r="BN123" s="5">
        <f>recovered!BN123-recovered!BM123</f>
        <v>0</v>
      </c>
      <c r="BO123" s="5">
        <f>recovered!BO123-recovered!BN123</f>
        <v>0</v>
      </c>
      <c r="BP123" s="5">
        <f>recovered!BP123-recovered!BO123</f>
        <v>0</v>
      </c>
      <c r="BQ123" s="5">
        <f>recovered!BQ123-recovered!BP123</f>
        <v>0</v>
      </c>
      <c r="BR123" s="5">
        <f>recovered!BR123-recovered!BQ123</f>
        <v>0</v>
      </c>
      <c r="BS123" s="5">
        <f>recovered!BS123-recovered!BR123</f>
        <v>0</v>
      </c>
      <c r="BT123" s="5">
        <f>recovered!BT123-recovered!BS123</f>
        <v>0</v>
      </c>
      <c r="BU123" s="5">
        <f>recovered!BU123-recovered!BT123</f>
        <v>0</v>
      </c>
      <c r="BV123" s="5">
        <f>recovered!BV123-recovered!BU123</f>
        <v>0</v>
      </c>
      <c r="BW123" s="5">
        <f>recovered!BW123-recovered!BV123</f>
        <v>0</v>
      </c>
      <c r="BX123" s="5">
        <f>recovered!BX123-recovered!BW123</f>
        <v>0</v>
      </c>
      <c r="BY123" s="5">
        <f>recovered!BY123-recovered!BX123</f>
        <v>0</v>
      </c>
    </row>
    <row r="124">
      <c r="B124" s="1" t="str">
        <f>recovered!B124</f>
        <v>Honduras</v>
      </c>
      <c r="C124" s="4">
        <f>recovered!C124</f>
        <v>15.2</v>
      </c>
      <c r="D124" s="4">
        <f>recovered!D124</f>
        <v>-86.2419</v>
      </c>
      <c r="E124" s="5">
        <f>recovered!E124</f>
        <v>0</v>
      </c>
      <c r="F124" s="5">
        <f>recovered!F124-recovered!E124</f>
        <v>0</v>
      </c>
      <c r="G124" s="5">
        <f>recovered!G124-recovered!F124</f>
        <v>0</v>
      </c>
      <c r="H124" s="5">
        <f>recovered!H124-recovered!G124</f>
        <v>0</v>
      </c>
      <c r="I124" s="5">
        <f>recovered!I124-recovered!H124</f>
        <v>0</v>
      </c>
      <c r="J124" s="5">
        <f>recovered!J124-recovered!I124</f>
        <v>0</v>
      </c>
      <c r="K124" s="5">
        <f>recovered!K124-recovered!J124</f>
        <v>0</v>
      </c>
      <c r="L124" s="5">
        <f>recovered!L124-recovered!K124</f>
        <v>0</v>
      </c>
      <c r="M124" s="5">
        <f>recovered!M124-recovered!L124</f>
        <v>0</v>
      </c>
      <c r="N124" s="5">
        <f>recovered!N124-recovered!M124</f>
        <v>0</v>
      </c>
      <c r="O124" s="5">
        <f>recovered!O124-recovered!N124</f>
        <v>0</v>
      </c>
      <c r="P124" s="5">
        <f>recovered!P124-recovered!O124</f>
        <v>0</v>
      </c>
      <c r="Q124" s="5">
        <f>recovered!Q124-recovered!P124</f>
        <v>0</v>
      </c>
      <c r="R124" s="5">
        <f>recovered!R124-recovered!Q124</f>
        <v>0</v>
      </c>
      <c r="S124" s="5">
        <f>recovered!S124-recovered!R124</f>
        <v>0</v>
      </c>
      <c r="T124" s="5">
        <f>recovered!T124-recovered!S124</f>
        <v>0</v>
      </c>
      <c r="U124" s="5">
        <f>recovered!U124-recovered!T124</f>
        <v>0</v>
      </c>
      <c r="V124" s="5">
        <f>recovered!V124-recovered!U124</f>
        <v>0</v>
      </c>
      <c r="W124" s="5">
        <f>recovered!W124-recovered!V124</f>
        <v>0</v>
      </c>
      <c r="X124" s="5">
        <f>recovered!X124-recovered!W124</f>
        <v>0</v>
      </c>
      <c r="Y124" s="5">
        <f>recovered!Y124-recovered!X124</f>
        <v>0</v>
      </c>
      <c r="Z124" s="5">
        <f>recovered!Z124-recovered!Y124</f>
        <v>0</v>
      </c>
      <c r="AA124" s="5">
        <f>recovered!AA124-recovered!Z124</f>
        <v>0</v>
      </c>
      <c r="AB124" s="5">
        <f>recovered!AB124-recovered!AA124</f>
        <v>0</v>
      </c>
      <c r="AC124" s="5">
        <f>recovered!AC124-recovered!AB124</f>
        <v>0</v>
      </c>
      <c r="AD124" s="5">
        <f>recovered!AD124-recovered!AC124</f>
        <v>0</v>
      </c>
      <c r="AE124" s="5">
        <f>recovered!AE124-recovered!AD124</f>
        <v>0</v>
      </c>
      <c r="AF124" s="5">
        <f>recovered!AF124-recovered!AE124</f>
        <v>0</v>
      </c>
      <c r="AG124" s="5">
        <f>recovered!AG124-recovered!AF124</f>
        <v>0</v>
      </c>
      <c r="AH124" s="5">
        <f>recovered!AH124-recovered!AG124</f>
        <v>0</v>
      </c>
      <c r="AI124" s="5">
        <f>recovered!AI124-recovered!AH124</f>
        <v>0</v>
      </c>
      <c r="AJ124" s="5">
        <f>recovered!AJ124-recovered!AI124</f>
        <v>0</v>
      </c>
      <c r="AK124" s="5">
        <f>recovered!AK124-recovered!AJ124</f>
        <v>0</v>
      </c>
      <c r="AL124" s="5">
        <f>recovered!AL124-recovered!AK124</f>
        <v>0</v>
      </c>
      <c r="AM124" s="5">
        <f>recovered!AM124-recovered!AL124</f>
        <v>0</v>
      </c>
      <c r="AN124" s="5">
        <f>recovered!AN124-recovered!AM124</f>
        <v>0</v>
      </c>
      <c r="AO124" s="5">
        <f>recovered!AO124-recovered!AN124</f>
        <v>0</v>
      </c>
      <c r="AP124" s="5">
        <f>recovered!AP124-recovered!AO124</f>
        <v>0</v>
      </c>
      <c r="AQ124" s="5">
        <f>recovered!AQ124-recovered!AP124</f>
        <v>0</v>
      </c>
      <c r="AR124" s="5">
        <f>recovered!AR124-recovered!AQ124</f>
        <v>0</v>
      </c>
      <c r="AS124" s="5">
        <f>recovered!AS124-recovered!AR124</f>
        <v>0</v>
      </c>
      <c r="AT124" s="5">
        <f>recovered!AT124-recovered!AS124</f>
        <v>0</v>
      </c>
      <c r="AU124" s="5">
        <f>recovered!AU124-recovered!AT124</f>
        <v>0</v>
      </c>
      <c r="AV124" s="5">
        <f>recovered!AV124-recovered!AU124</f>
        <v>0</v>
      </c>
      <c r="AW124" s="5">
        <f>recovered!AW124-recovered!AV124</f>
        <v>0</v>
      </c>
      <c r="AX124" s="5">
        <f>recovered!AX124-recovered!AW124</f>
        <v>0</v>
      </c>
      <c r="AY124" s="5">
        <f>recovered!AY124-recovered!AX124</f>
        <v>0</v>
      </c>
      <c r="AZ124" s="5">
        <f>recovered!AZ124-recovered!AY124</f>
        <v>0</v>
      </c>
      <c r="BA124" s="5">
        <f>recovered!BA124-recovered!AZ124</f>
        <v>0</v>
      </c>
      <c r="BB124" s="5">
        <f>recovered!BB124-recovered!BA124</f>
        <v>0</v>
      </c>
      <c r="BC124" s="5">
        <f>recovered!BC124-recovered!BB124</f>
        <v>0</v>
      </c>
      <c r="BD124" s="5">
        <f>recovered!BD124-recovered!BC124</f>
        <v>0</v>
      </c>
      <c r="BE124" s="5">
        <f>recovered!BE124-recovered!BD124</f>
        <v>0</v>
      </c>
      <c r="BF124" s="5">
        <f>recovered!BF124-recovered!BE124</f>
        <v>0</v>
      </c>
      <c r="BG124" s="5">
        <f>recovered!BG124-recovered!BF124</f>
        <v>0</v>
      </c>
      <c r="BH124" s="5">
        <f>recovered!BH124-recovered!BG124</f>
        <v>0</v>
      </c>
      <c r="BI124" s="5">
        <f>recovered!BI124-recovered!BH124</f>
        <v>0</v>
      </c>
      <c r="BJ124" s="5">
        <f>recovered!BJ124-recovered!BI124</f>
        <v>0</v>
      </c>
      <c r="BK124" s="5">
        <f>recovered!BK124-recovered!BJ124</f>
        <v>0</v>
      </c>
      <c r="BL124" s="5">
        <f>recovered!BL124-recovered!BK124</f>
        <v>0</v>
      </c>
      <c r="BM124" s="5">
        <f>recovered!BM124-recovered!BL124</f>
        <v>0</v>
      </c>
      <c r="BN124" s="5">
        <f>recovered!BN124-recovered!BM124</f>
        <v>0</v>
      </c>
      <c r="BO124" s="5">
        <f>recovered!BO124-recovered!BN124</f>
        <v>0</v>
      </c>
      <c r="BP124" s="5">
        <f>recovered!BP124-recovered!BO124</f>
        <v>0</v>
      </c>
      <c r="BQ124" s="5">
        <f>recovered!BQ124-recovered!BP124</f>
        <v>0</v>
      </c>
      <c r="BR124" s="5">
        <f>recovered!BR124-recovered!BQ124</f>
        <v>0</v>
      </c>
      <c r="BS124" s="5">
        <f>recovered!BS124-recovered!BR124</f>
        <v>3</v>
      </c>
      <c r="BT124" s="5">
        <f>recovered!BT124-recovered!BS124</f>
        <v>0</v>
      </c>
      <c r="BU124" s="5">
        <f>recovered!BU124-recovered!BT124</f>
        <v>0</v>
      </c>
      <c r="BV124" s="5">
        <f>recovered!BV124-recovered!BU124</f>
        <v>0</v>
      </c>
      <c r="BW124" s="5">
        <f>recovered!BW124-recovered!BV124</f>
        <v>0</v>
      </c>
      <c r="BX124" s="5">
        <f>recovered!BX124-recovered!BW124</f>
        <v>0</v>
      </c>
      <c r="BY124" s="5">
        <f>recovered!BY124-recovered!BX124</f>
        <v>0</v>
      </c>
    </row>
    <row r="125">
      <c r="B125" s="1" t="str">
        <f>recovered!B125</f>
        <v>Hungary</v>
      </c>
      <c r="C125" s="4">
        <f>recovered!C125</f>
        <v>47.1625</v>
      </c>
      <c r="D125" s="4">
        <f>recovered!D125</f>
        <v>19.5033</v>
      </c>
      <c r="E125" s="5">
        <f>recovered!E125</f>
        <v>0</v>
      </c>
      <c r="F125" s="5">
        <f>recovered!F125-recovered!E125</f>
        <v>0</v>
      </c>
      <c r="G125" s="5">
        <f>recovered!G125-recovered!F125</f>
        <v>0</v>
      </c>
      <c r="H125" s="5">
        <f>recovered!H125-recovered!G125</f>
        <v>0</v>
      </c>
      <c r="I125" s="5">
        <f>recovered!I125-recovered!H125</f>
        <v>0</v>
      </c>
      <c r="J125" s="5">
        <f>recovered!J125-recovered!I125</f>
        <v>0</v>
      </c>
      <c r="K125" s="5">
        <f>recovered!K125-recovered!J125</f>
        <v>0</v>
      </c>
      <c r="L125" s="5">
        <f>recovered!L125-recovered!K125</f>
        <v>0</v>
      </c>
      <c r="M125" s="5">
        <f>recovered!M125-recovered!L125</f>
        <v>0</v>
      </c>
      <c r="N125" s="5">
        <f>recovered!N125-recovered!M125</f>
        <v>0</v>
      </c>
      <c r="O125" s="5">
        <f>recovered!O125-recovered!N125</f>
        <v>0</v>
      </c>
      <c r="P125" s="5">
        <f>recovered!P125-recovered!O125</f>
        <v>0</v>
      </c>
      <c r="Q125" s="5">
        <f>recovered!Q125-recovered!P125</f>
        <v>0</v>
      </c>
      <c r="R125" s="5">
        <f>recovered!R125-recovered!Q125</f>
        <v>0</v>
      </c>
      <c r="S125" s="5">
        <f>recovered!S125-recovered!R125</f>
        <v>0</v>
      </c>
      <c r="T125" s="5">
        <f>recovered!T125-recovered!S125</f>
        <v>0</v>
      </c>
      <c r="U125" s="5">
        <f>recovered!U125-recovered!T125</f>
        <v>0</v>
      </c>
      <c r="V125" s="5">
        <f>recovered!V125-recovered!U125</f>
        <v>0</v>
      </c>
      <c r="W125" s="5">
        <f>recovered!W125-recovered!V125</f>
        <v>0</v>
      </c>
      <c r="X125" s="5">
        <f>recovered!X125-recovered!W125</f>
        <v>0</v>
      </c>
      <c r="Y125" s="5">
        <f>recovered!Y125-recovered!X125</f>
        <v>0</v>
      </c>
      <c r="Z125" s="5">
        <f>recovered!Z125-recovered!Y125</f>
        <v>0</v>
      </c>
      <c r="AA125" s="5">
        <f>recovered!AA125-recovered!Z125</f>
        <v>0</v>
      </c>
      <c r="AB125" s="5">
        <f>recovered!AB125-recovered!AA125</f>
        <v>0</v>
      </c>
      <c r="AC125" s="5">
        <f>recovered!AC125-recovered!AB125</f>
        <v>0</v>
      </c>
      <c r="AD125" s="5">
        <f>recovered!AD125-recovered!AC125</f>
        <v>0</v>
      </c>
      <c r="AE125" s="5">
        <f>recovered!AE125-recovered!AD125</f>
        <v>0</v>
      </c>
      <c r="AF125" s="5">
        <f>recovered!AF125-recovered!AE125</f>
        <v>0</v>
      </c>
      <c r="AG125" s="5">
        <f>recovered!AG125-recovered!AF125</f>
        <v>0</v>
      </c>
      <c r="AH125" s="5">
        <f>recovered!AH125-recovered!AG125</f>
        <v>0</v>
      </c>
      <c r="AI125" s="5">
        <f>recovered!AI125-recovered!AH125</f>
        <v>0</v>
      </c>
      <c r="AJ125" s="5">
        <f>recovered!AJ125-recovered!AI125</f>
        <v>0</v>
      </c>
      <c r="AK125" s="5">
        <f>recovered!AK125-recovered!AJ125</f>
        <v>0</v>
      </c>
      <c r="AL125" s="5">
        <f>recovered!AL125-recovered!AK125</f>
        <v>0</v>
      </c>
      <c r="AM125" s="5">
        <f>recovered!AM125-recovered!AL125</f>
        <v>0</v>
      </c>
      <c r="AN125" s="5">
        <f>recovered!AN125-recovered!AM125</f>
        <v>0</v>
      </c>
      <c r="AO125" s="5">
        <f>recovered!AO125-recovered!AN125</f>
        <v>0</v>
      </c>
      <c r="AP125" s="5">
        <f>recovered!AP125-recovered!AO125</f>
        <v>0</v>
      </c>
      <c r="AQ125" s="5">
        <f>recovered!AQ125-recovered!AP125</f>
        <v>0</v>
      </c>
      <c r="AR125" s="5">
        <f>recovered!AR125-recovered!AQ125</f>
        <v>0</v>
      </c>
      <c r="AS125" s="5">
        <f>recovered!AS125-recovered!AR125</f>
        <v>0</v>
      </c>
      <c r="AT125" s="5">
        <f>recovered!AT125-recovered!AS125</f>
        <v>0</v>
      </c>
      <c r="AU125" s="5">
        <f>recovered!AU125-recovered!AT125</f>
        <v>0</v>
      </c>
      <c r="AV125" s="5">
        <f>recovered!AV125-recovered!AU125</f>
        <v>0</v>
      </c>
      <c r="AW125" s="5">
        <f>recovered!AW125-recovered!AV125</f>
        <v>0</v>
      </c>
      <c r="AX125" s="5">
        <f>recovered!AX125-recovered!AW125</f>
        <v>0</v>
      </c>
      <c r="AY125" s="5">
        <f>recovered!AY125-recovered!AX125</f>
        <v>0</v>
      </c>
      <c r="AZ125" s="5">
        <f>recovered!AZ125-recovered!AY125</f>
        <v>0</v>
      </c>
      <c r="BA125" s="5">
        <f>recovered!BA125-recovered!AZ125</f>
        <v>0</v>
      </c>
      <c r="BB125" s="5">
        <f>recovered!BB125-recovered!BA125</f>
        <v>0</v>
      </c>
      <c r="BC125" s="5">
        <f>recovered!BC125-recovered!BB125</f>
        <v>0</v>
      </c>
      <c r="BD125" s="5">
        <f>recovered!BD125-recovered!BC125</f>
        <v>0</v>
      </c>
      <c r="BE125" s="5">
        <f>recovered!BE125-recovered!BD125</f>
        <v>1</v>
      </c>
      <c r="BF125" s="5">
        <f>recovered!BF125-recovered!BE125</f>
        <v>0</v>
      </c>
      <c r="BG125" s="5">
        <f>recovered!BG125-recovered!BF125</f>
        <v>0</v>
      </c>
      <c r="BH125" s="5">
        <f>recovered!BH125-recovered!BG125</f>
        <v>1</v>
      </c>
      <c r="BI125" s="5">
        <f>recovered!BI125-recovered!BH125</f>
        <v>0</v>
      </c>
      <c r="BJ125" s="5">
        <f>recovered!BJ125-recovered!BI125</f>
        <v>0</v>
      </c>
      <c r="BK125" s="5">
        <f>recovered!BK125-recovered!BJ125</f>
        <v>0</v>
      </c>
      <c r="BL125" s="5">
        <f>recovered!BL125-recovered!BK125</f>
        <v>5</v>
      </c>
      <c r="BM125" s="5">
        <f>recovered!BM125-recovered!BL125</f>
        <v>9</v>
      </c>
      <c r="BN125" s="5">
        <f>recovered!BN125-recovered!BM125</f>
        <v>0</v>
      </c>
      <c r="BO125" s="5">
        <f>recovered!BO125-recovered!BN125</f>
        <v>5</v>
      </c>
      <c r="BP125" s="5">
        <f>recovered!BP125-recovered!BO125</f>
        <v>0</v>
      </c>
      <c r="BQ125" s="5">
        <f>recovered!BQ125-recovered!BP125</f>
        <v>7</v>
      </c>
      <c r="BR125" s="5">
        <f>recovered!BR125-recovered!BQ125</f>
        <v>6</v>
      </c>
      <c r="BS125" s="5">
        <f>recovered!BS125-recovered!BR125</f>
        <v>0</v>
      </c>
      <c r="BT125" s="5">
        <f>recovered!BT125-recovered!BS125</f>
        <v>0</v>
      </c>
      <c r="BU125" s="5">
        <f>recovered!BU125-recovered!BT125</f>
        <v>0</v>
      </c>
      <c r="BV125" s="5">
        <f>recovered!BV125-recovered!BU125</f>
        <v>3</v>
      </c>
      <c r="BW125" s="5">
        <f>recovered!BW125-recovered!BV125</f>
        <v>3</v>
      </c>
      <c r="BX125" s="5">
        <f>recovered!BX125-recovered!BW125</f>
        <v>2</v>
      </c>
      <c r="BY125" s="5">
        <f>recovered!BY125-recovered!BX125</f>
        <v>1</v>
      </c>
    </row>
    <row r="126">
      <c r="B126" s="1" t="str">
        <f>recovered!B126</f>
        <v>Iceland</v>
      </c>
      <c r="C126" s="4">
        <f>recovered!C126</f>
        <v>64.9631</v>
      </c>
      <c r="D126" s="4">
        <f>recovered!D126</f>
        <v>-19.0208</v>
      </c>
      <c r="E126" s="5">
        <f>recovered!E126</f>
        <v>0</v>
      </c>
      <c r="F126" s="5">
        <f>recovered!F126-recovered!E126</f>
        <v>0</v>
      </c>
      <c r="G126" s="5">
        <f>recovered!G126-recovered!F126</f>
        <v>0</v>
      </c>
      <c r="H126" s="5">
        <f>recovered!H126-recovered!G126</f>
        <v>0</v>
      </c>
      <c r="I126" s="5">
        <f>recovered!I126-recovered!H126</f>
        <v>0</v>
      </c>
      <c r="J126" s="5">
        <f>recovered!J126-recovered!I126</f>
        <v>0</v>
      </c>
      <c r="K126" s="5">
        <f>recovered!K126-recovered!J126</f>
        <v>0</v>
      </c>
      <c r="L126" s="5">
        <f>recovered!L126-recovered!K126</f>
        <v>0</v>
      </c>
      <c r="M126" s="5">
        <f>recovered!M126-recovered!L126</f>
        <v>0</v>
      </c>
      <c r="N126" s="5">
        <f>recovered!N126-recovered!M126</f>
        <v>0</v>
      </c>
      <c r="O126" s="5">
        <f>recovered!O126-recovered!N126</f>
        <v>0</v>
      </c>
      <c r="P126" s="5">
        <f>recovered!P126-recovered!O126</f>
        <v>0</v>
      </c>
      <c r="Q126" s="5">
        <f>recovered!Q126-recovered!P126</f>
        <v>0</v>
      </c>
      <c r="R126" s="5">
        <f>recovered!R126-recovered!Q126</f>
        <v>0</v>
      </c>
      <c r="S126" s="5">
        <f>recovered!S126-recovered!R126</f>
        <v>0</v>
      </c>
      <c r="T126" s="5">
        <f>recovered!T126-recovered!S126</f>
        <v>0</v>
      </c>
      <c r="U126" s="5">
        <f>recovered!U126-recovered!T126</f>
        <v>0</v>
      </c>
      <c r="V126" s="5">
        <f>recovered!V126-recovered!U126</f>
        <v>0</v>
      </c>
      <c r="W126" s="5">
        <f>recovered!W126-recovered!V126</f>
        <v>0</v>
      </c>
      <c r="X126" s="5">
        <f>recovered!X126-recovered!W126</f>
        <v>0</v>
      </c>
      <c r="Y126" s="5">
        <f>recovered!Y126-recovered!X126</f>
        <v>0</v>
      </c>
      <c r="Z126" s="5">
        <f>recovered!Z126-recovered!Y126</f>
        <v>0</v>
      </c>
      <c r="AA126" s="5">
        <f>recovered!AA126-recovered!Z126</f>
        <v>0</v>
      </c>
      <c r="AB126" s="5">
        <f>recovered!AB126-recovered!AA126</f>
        <v>0</v>
      </c>
      <c r="AC126" s="5">
        <f>recovered!AC126-recovered!AB126</f>
        <v>0</v>
      </c>
      <c r="AD126" s="5">
        <f>recovered!AD126-recovered!AC126</f>
        <v>0</v>
      </c>
      <c r="AE126" s="5">
        <f>recovered!AE126-recovered!AD126</f>
        <v>0</v>
      </c>
      <c r="AF126" s="5">
        <f>recovered!AF126-recovered!AE126</f>
        <v>0</v>
      </c>
      <c r="AG126" s="5">
        <f>recovered!AG126-recovered!AF126</f>
        <v>0</v>
      </c>
      <c r="AH126" s="5">
        <f>recovered!AH126-recovered!AG126</f>
        <v>0</v>
      </c>
      <c r="AI126" s="5">
        <f>recovered!AI126-recovered!AH126</f>
        <v>0</v>
      </c>
      <c r="AJ126" s="5">
        <f>recovered!AJ126-recovered!AI126</f>
        <v>0</v>
      </c>
      <c r="AK126" s="5">
        <f>recovered!AK126-recovered!AJ126</f>
        <v>0</v>
      </c>
      <c r="AL126" s="5">
        <f>recovered!AL126-recovered!AK126</f>
        <v>0</v>
      </c>
      <c r="AM126" s="5">
        <f>recovered!AM126-recovered!AL126</f>
        <v>0</v>
      </c>
      <c r="AN126" s="5">
        <f>recovered!AN126-recovered!AM126</f>
        <v>0</v>
      </c>
      <c r="AO126" s="5">
        <f>recovered!AO126-recovered!AN126</f>
        <v>0</v>
      </c>
      <c r="AP126" s="5">
        <f>recovered!AP126-recovered!AO126</f>
        <v>0</v>
      </c>
      <c r="AQ126" s="5">
        <f>recovered!AQ126-recovered!AP126</f>
        <v>0</v>
      </c>
      <c r="AR126" s="5">
        <f>recovered!AR126-recovered!AQ126</f>
        <v>0</v>
      </c>
      <c r="AS126" s="5">
        <f>recovered!AS126-recovered!AR126</f>
        <v>0</v>
      </c>
      <c r="AT126" s="5">
        <f>recovered!AT126-recovered!AS126</f>
        <v>0</v>
      </c>
      <c r="AU126" s="5">
        <f>recovered!AU126-recovered!AT126</f>
        <v>0</v>
      </c>
      <c r="AV126" s="5">
        <f>recovered!AV126-recovered!AU126</f>
        <v>0</v>
      </c>
      <c r="AW126" s="5">
        <f>recovered!AW126-recovered!AV126</f>
        <v>0</v>
      </c>
      <c r="AX126" s="5">
        <f>recovered!AX126-recovered!AW126</f>
        <v>0</v>
      </c>
      <c r="AY126" s="5">
        <f>recovered!AY126-recovered!AX126</f>
        <v>0</v>
      </c>
      <c r="AZ126" s="5">
        <f>recovered!AZ126-recovered!AY126</f>
        <v>0</v>
      </c>
      <c r="BA126" s="5">
        <f>recovered!BA126-recovered!AZ126</f>
        <v>1</v>
      </c>
      <c r="BB126" s="5">
        <f>recovered!BB126-recovered!BA126</f>
        <v>0</v>
      </c>
      <c r="BC126" s="5">
        <f>recovered!BC126-recovered!BB126</f>
        <v>0</v>
      </c>
      <c r="BD126" s="5">
        <f>recovered!BD126-recovered!BC126</f>
        <v>0</v>
      </c>
      <c r="BE126" s="5">
        <f>recovered!BE126-recovered!BD126</f>
        <v>0</v>
      </c>
      <c r="BF126" s="5">
        <f>recovered!BF126-recovered!BE126</f>
        <v>7</v>
      </c>
      <c r="BG126" s="5">
        <f>recovered!BG126-recovered!BF126</f>
        <v>-8</v>
      </c>
      <c r="BH126" s="5">
        <f>recovered!BH126-recovered!BG126</f>
        <v>0</v>
      </c>
      <c r="BI126" s="5">
        <f>recovered!BI126-recovered!BH126</f>
        <v>5</v>
      </c>
      <c r="BJ126" s="5">
        <f>recovered!BJ126-recovered!BI126</f>
        <v>0</v>
      </c>
      <c r="BK126" s="5">
        <f>recovered!BK126-recovered!BJ126</f>
        <v>0</v>
      </c>
      <c r="BL126" s="5">
        <f>recovered!BL126-recovered!BK126</f>
        <v>17</v>
      </c>
      <c r="BM126" s="5">
        <f>recovered!BM126-recovered!BL126</f>
        <v>14</v>
      </c>
      <c r="BN126" s="5">
        <f>recovered!BN126-recovered!BM126</f>
        <v>0</v>
      </c>
      <c r="BO126" s="5">
        <f>recovered!BO126-recovered!BN126</f>
        <v>15</v>
      </c>
      <c r="BP126" s="5">
        <f>recovered!BP126-recovered!BO126</f>
        <v>5</v>
      </c>
      <c r="BQ126" s="5">
        <f>recovered!BQ126-recovered!BP126</f>
        <v>26</v>
      </c>
      <c r="BR126" s="5">
        <f>recovered!BR126-recovered!BQ126</f>
        <v>15</v>
      </c>
      <c r="BS126" s="5">
        <f>recovered!BS126-recovered!BR126</f>
        <v>17</v>
      </c>
      <c r="BT126" s="5">
        <f>recovered!BT126-recovered!BS126</f>
        <v>21</v>
      </c>
      <c r="BU126" s="5">
        <f>recovered!BU126-recovered!BT126</f>
        <v>22</v>
      </c>
      <c r="BV126" s="5">
        <f>recovered!BV126-recovered!BU126</f>
        <v>41</v>
      </c>
      <c r="BW126" s="5">
        <f>recovered!BW126-recovered!BV126</f>
        <v>27</v>
      </c>
      <c r="BX126" s="5">
        <f>recovered!BX126-recovered!BW126</f>
        <v>59</v>
      </c>
      <c r="BY126" s="5">
        <f>recovered!BY126-recovered!BX126</f>
        <v>25</v>
      </c>
    </row>
    <row r="127">
      <c r="B127" s="1" t="str">
        <f>recovered!B127</f>
        <v>India</v>
      </c>
      <c r="C127" s="4">
        <f>recovered!C127</f>
        <v>21</v>
      </c>
      <c r="D127" s="4">
        <f>recovered!D127</f>
        <v>78</v>
      </c>
      <c r="E127" s="5">
        <f>recovered!E127</f>
        <v>0</v>
      </c>
      <c r="F127" s="5">
        <f>recovered!F127-recovered!E127</f>
        <v>0</v>
      </c>
      <c r="G127" s="5">
        <f>recovered!G127-recovered!F127</f>
        <v>0</v>
      </c>
      <c r="H127" s="5">
        <f>recovered!H127-recovered!G127</f>
        <v>0</v>
      </c>
      <c r="I127" s="5">
        <f>recovered!I127-recovered!H127</f>
        <v>0</v>
      </c>
      <c r="J127" s="5">
        <f>recovered!J127-recovered!I127</f>
        <v>0</v>
      </c>
      <c r="K127" s="5">
        <f>recovered!K127-recovered!J127</f>
        <v>0</v>
      </c>
      <c r="L127" s="5">
        <f>recovered!L127-recovered!K127</f>
        <v>0</v>
      </c>
      <c r="M127" s="5">
        <f>recovered!M127-recovered!L127</f>
        <v>0</v>
      </c>
      <c r="N127" s="5">
        <f>recovered!N127-recovered!M127</f>
        <v>0</v>
      </c>
      <c r="O127" s="5">
        <f>recovered!O127-recovered!N127</f>
        <v>0</v>
      </c>
      <c r="P127" s="5">
        <f>recovered!P127-recovered!O127</f>
        <v>0</v>
      </c>
      <c r="Q127" s="5">
        <f>recovered!Q127-recovered!P127</f>
        <v>0</v>
      </c>
      <c r="R127" s="5">
        <f>recovered!R127-recovered!Q127</f>
        <v>0</v>
      </c>
      <c r="S127" s="5">
        <f>recovered!S127-recovered!R127</f>
        <v>0</v>
      </c>
      <c r="T127" s="5">
        <f>recovered!T127-recovered!S127</f>
        <v>0</v>
      </c>
      <c r="U127" s="5">
        <f>recovered!U127-recovered!T127</f>
        <v>0</v>
      </c>
      <c r="V127" s="5">
        <f>recovered!V127-recovered!U127</f>
        <v>0</v>
      </c>
      <c r="W127" s="5">
        <f>recovered!W127-recovered!V127</f>
        <v>0</v>
      </c>
      <c r="X127" s="5">
        <f>recovered!X127-recovered!W127</f>
        <v>0</v>
      </c>
      <c r="Y127" s="5">
        <f>recovered!Y127-recovered!X127</f>
        <v>0</v>
      </c>
      <c r="Z127" s="5">
        <f>recovered!Z127-recovered!Y127</f>
        <v>0</v>
      </c>
      <c r="AA127" s="5">
        <f>recovered!AA127-recovered!Z127</f>
        <v>0</v>
      </c>
      <c r="AB127" s="5">
        <f>recovered!AB127-recovered!AA127</f>
        <v>0</v>
      </c>
      <c r="AC127" s="5">
        <f>recovered!AC127-recovered!AB127</f>
        <v>0</v>
      </c>
      <c r="AD127" s="5">
        <f>recovered!AD127-recovered!AC127</f>
        <v>3</v>
      </c>
      <c r="AE127" s="5">
        <f>recovered!AE127-recovered!AD127</f>
        <v>0</v>
      </c>
      <c r="AF127" s="5">
        <f>recovered!AF127-recovered!AE127</f>
        <v>0</v>
      </c>
      <c r="AG127" s="5">
        <f>recovered!AG127-recovered!AF127</f>
        <v>0</v>
      </c>
      <c r="AH127" s="5">
        <f>recovered!AH127-recovered!AG127</f>
        <v>0</v>
      </c>
      <c r="AI127" s="5">
        <f>recovered!AI127-recovered!AH127</f>
        <v>0</v>
      </c>
      <c r="AJ127" s="5">
        <f>recovered!AJ127-recovered!AI127</f>
        <v>0</v>
      </c>
      <c r="AK127" s="5">
        <f>recovered!AK127-recovered!AJ127</f>
        <v>0</v>
      </c>
      <c r="AL127" s="5">
        <f>recovered!AL127-recovered!AK127</f>
        <v>0</v>
      </c>
      <c r="AM127" s="5">
        <f>recovered!AM127-recovered!AL127</f>
        <v>0</v>
      </c>
      <c r="AN127" s="5">
        <f>recovered!AN127-recovered!AM127</f>
        <v>0</v>
      </c>
      <c r="AO127" s="5">
        <f>recovered!AO127-recovered!AN127</f>
        <v>0</v>
      </c>
      <c r="AP127" s="5">
        <f>recovered!AP127-recovered!AO127</f>
        <v>0</v>
      </c>
      <c r="AQ127" s="5">
        <f>recovered!AQ127-recovered!AP127</f>
        <v>0</v>
      </c>
      <c r="AR127" s="5">
        <f>recovered!AR127-recovered!AQ127</f>
        <v>0</v>
      </c>
      <c r="AS127" s="5">
        <f>recovered!AS127-recovered!AR127</f>
        <v>0</v>
      </c>
      <c r="AT127" s="5">
        <f>recovered!AT127-recovered!AS127</f>
        <v>0</v>
      </c>
      <c r="AU127" s="5">
        <f>recovered!AU127-recovered!AT127</f>
        <v>0</v>
      </c>
      <c r="AV127" s="5">
        <f>recovered!AV127-recovered!AU127</f>
        <v>0</v>
      </c>
      <c r="AW127" s="5">
        <f>recovered!AW127-recovered!AV127</f>
        <v>0</v>
      </c>
      <c r="AX127" s="5">
        <f>recovered!AX127-recovered!AW127</f>
        <v>0</v>
      </c>
      <c r="AY127" s="5">
        <f>recovered!AY127-recovered!AX127</f>
        <v>0</v>
      </c>
      <c r="AZ127" s="5">
        <f>recovered!AZ127-recovered!AY127</f>
        <v>0</v>
      </c>
      <c r="BA127" s="5">
        <f>recovered!BA127-recovered!AZ127</f>
        <v>1</v>
      </c>
      <c r="BB127" s="5">
        <f>recovered!BB127-recovered!BA127</f>
        <v>0</v>
      </c>
      <c r="BC127" s="5">
        <f>recovered!BC127-recovered!BB127</f>
        <v>0</v>
      </c>
      <c r="BD127" s="5">
        <f>recovered!BD127-recovered!BC127</f>
        <v>0</v>
      </c>
      <c r="BE127" s="5">
        <f>recovered!BE127-recovered!BD127</f>
        <v>0</v>
      </c>
      <c r="BF127" s="5">
        <f>recovered!BF127-recovered!BE127</f>
        <v>9</v>
      </c>
      <c r="BG127" s="5">
        <f>recovered!BG127-recovered!BF127</f>
        <v>0</v>
      </c>
      <c r="BH127" s="5">
        <f>recovered!BH127-recovered!BG127</f>
        <v>1</v>
      </c>
      <c r="BI127" s="5">
        <f>recovered!BI127-recovered!BH127</f>
        <v>0</v>
      </c>
      <c r="BJ127" s="5">
        <f>recovered!BJ127-recovered!BI127</f>
        <v>1</v>
      </c>
      <c r="BK127" s="5">
        <f>recovered!BK127-recovered!BJ127</f>
        <v>5</v>
      </c>
      <c r="BL127" s="5">
        <f>recovered!BL127-recovered!BK127</f>
        <v>3</v>
      </c>
      <c r="BM127" s="5">
        <f>recovered!BM127-recovered!BL127</f>
        <v>4</v>
      </c>
      <c r="BN127" s="5">
        <f>recovered!BN127-recovered!BM127</f>
        <v>0</v>
      </c>
      <c r="BO127" s="5">
        <f>recovered!BO127-recovered!BN127</f>
        <v>13</v>
      </c>
      <c r="BP127" s="5">
        <f>recovered!BP127-recovered!BO127</f>
        <v>3</v>
      </c>
      <c r="BQ127" s="5">
        <f>recovered!BQ127-recovered!BP127</f>
        <v>2</v>
      </c>
      <c r="BR127" s="5">
        <f>recovered!BR127-recovered!BQ127</f>
        <v>28</v>
      </c>
      <c r="BS127" s="5">
        <f>recovered!BS127-recovered!BR127</f>
        <v>11</v>
      </c>
      <c r="BT127" s="5">
        <f>recovered!BT127-recovered!BS127</f>
        <v>11</v>
      </c>
      <c r="BU127" s="5">
        <f>recovered!BU127-recovered!BT127</f>
        <v>7</v>
      </c>
      <c r="BV127" s="5">
        <f>recovered!BV127-recovered!BU127</f>
        <v>21</v>
      </c>
      <c r="BW127" s="5">
        <f>recovered!BW127-recovered!BV127</f>
        <v>25</v>
      </c>
      <c r="BX127" s="5">
        <f>recovered!BX127-recovered!BW127</f>
        <v>43</v>
      </c>
      <c r="BY127" s="5">
        <f>recovered!BY127-recovered!BX127</f>
        <v>1</v>
      </c>
    </row>
    <row r="128">
      <c r="B128" s="1" t="str">
        <f>recovered!B128</f>
        <v>Indonesia</v>
      </c>
      <c r="C128" s="4">
        <f>recovered!C128</f>
        <v>-0.7893</v>
      </c>
      <c r="D128" s="4">
        <f>recovered!D128</f>
        <v>113.9213</v>
      </c>
      <c r="E128" s="5">
        <f>recovered!E128</f>
        <v>0</v>
      </c>
      <c r="F128" s="5">
        <f>recovered!F128-recovered!E128</f>
        <v>0</v>
      </c>
      <c r="G128" s="5">
        <f>recovered!G128-recovered!F128</f>
        <v>0</v>
      </c>
      <c r="H128" s="5">
        <f>recovered!H128-recovered!G128</f>
        <v>0</v>
      </c>
      <c r="I128" s="5">
        <f>recovered!I128-recovered!H128</f>
        <v>0</v>
      </c>
      <c r="J128" s="5">
        <f>recovered!J128-recovered!I128</f>
        <v>0</v>
      </c>
      <c r="K128" s="5">
        <f>recovered!K128-recovered!J128</f>
        <v>0</v>
      </c>
      <c r="L128" s="5">
        <f>recovered!L128-recovered!K128</f>
        <v>0</v>
      </c>
      <c r="M128" s="5">
        <f>recovered!M128-recovered!L128</f>
        <v>0</v>
      </c>
      <c r="N128" s="5">
        <f>recovered!N128-recovered!M128</f>
        <v>0</v>
      </c>
      <c r="O128" s="5">
        <f>recovered!O128-recovered!N128</f>
        <v>0</v>
      </c>
      <c r="P128" s="5">
        <f>recovered!P128-recovered!O128</f>
        <v>0</v>
      </c>
      <c r="Q128" s="5">
        <f>recovered!Q128-recovered!P128</f>
        <v>0</v>
      </c>
      <c r="R128" s="5">
        <f>recovered!R128-recovered!Q128</f>
        <v>0</v>
      </c>
      <c r="S128" s="5">
        <f>recovered!S128-recovered!R128</f>
        <v>0</v>
      </c>
      <c r="T128" s="5">
        <f>recovered!T128-recovered!S128</f>
        <v>0</v>
      </c>
      <c r="U128" s="5">
        <f>recovered!U128-recovered!T128</f>
        <v>0</v>
      </c>
      <c r="V128" s="5">
        <f>recovered!V128-recovered!U128</f>
        <v>0</v>
      </c>
      <c r="W128" s="5">
        <f>recovered!W128-recovered!V128</f>
        <v>0</v>
      </c>
      <c r="X128" s="5">
        <f>recovered!X128-recovered!W128</f>
        <v>0</v>
      </c>
      <c r="Y128" s="5">
        <f>recovered!Y128-recovered!X128</f>
        <v>0</v>
      </c>
      <c r="Z128" s="5">
        <f>recovered!Z128-recovered!Y128</f>
        <v>0</v>
      </c>
      <c r="AA128" s="5">
        <f>recovered!AA128-recovered!Z128</f>
        <v>0</v>
      </c>
      <c r="AB128" s="5">
        <f>recovered!AB128-recovered!AA128</f>
        <v>0</v>
      </c>
      <c r="AC128" s="5">
        <f>recovered!AC128-recovered!AB128</f>
        <v>0</v>
      </c>
      <c r="AD128" s="5">
        <f>recovered!AD128-recovered!AC128</f>
        <v>0</v>
      </c>
      <c r="AE128" s="5">
        <f>recovered!AE128-recovered!AD128</f>
        <v>0</v>
      </c>
      <c r="AF128" s="5">
        <f>recovered!AF128-recovered!AE128</f>
        <v>0</v>
      </c>
      <c r="AG128" s="5">
        <f>recovered!AG128-recovered!AF128</f>
        <v>0</v>
      </c>
      <c r="AH128" s="5">
        <f>recovered!AH128-recovered!AG128</f>
        <v>0</v>
      </c>
      <c r="AI128" s="5">
        <f>recovered!AI128-recovered!AH128</f>
        <v>0</v>
      </c>
      <c r="AJ128" s="5">
        <f>recovered!AJ128-recovered!AI128</f>
        <v>0</v>
      </c>
      <c r="AK128" s="5">
        <f>recovered!AK128-recovered!AJ128</f>
        <v>0</v>
      </c>
      <c r="AL128" s="5">
        <f>recovered!AL128-recovered!AK128</f>
        <v>0</v>
      </c>
      <c r="AM128" s="5">
        <f>recovered!AM128-recovered!AL128</f>
        <v>0</v>
      </c>
      <c r="AN128" s="5">
        <f>recovered!AN128-recovered!AM128</f>
        <v>0</v>
      </c>
      <c r="AO128" s="5">
        <f>recovered!AO128-recovered!AN128</f>
        <v>0</v>
      </c>
      <c r="AP128" s="5">
        <f>recovered!AP128-recovered!AO128</f>
        <v>0</v>
      </c>
      <c r="AQ128" s="5">
        <f>recovered!AQ128-recovered!AP128</f>
        <v>0</v>
      </c>
      <c r="AR128" s="5">
        <f>recovered!AR128-recovered!AQ128</f>
        <v>0</v>
      </c>
      <c r="AS128" s="5">
        <f>recovered!AS128-recovered!AR128</f>
        <v>0</v>
      </c>
      <c r="AT128" s="5">
        <f>recovered!AT128-recovered!AS128</f>
        <v>0</v>
      </c>
      <c r="AU128" s="5">
        <f>recovered!AU128-recovered!AT128</f>
        <v>0</v>
      </c>
      <c r="AV128" s="5">
        <f>recovered!AV128-recovered!AU128</f>
        <v>0</v>
      </c>
      <c r="AW128" s="5">
        <f>recovered!AW128-recovered!AV128</f>
        <v>0</v>
      </c>
      <c r="AX128" s="5">
        <f>recovered!AX128-recovered!AW128</f>
        <v>0</v>
      </c>
      <c r="AY128" s="5">
        <f>recovered!AY128-recovered!AX128</f>
        <v>0</v>
      </c>
      <c r="AZ128" s="5">
        <f>recovered!AZ128-recovered!AY128</f>
        <v>0</v>
      </c>
      <c r="BA128" s="5">
        <f>recovered!BA128-recovered!AZ128</f>
        <v>2</v>
      </c>
      <c r="BB128" s="5">
        <f>recovered!BB128-recovered!BA128</f>
        <v>0</v>
      </c>
      <c r="BC128" s="5">
        <f>recovered!BC128-recovered!BB128</f>
        <v>0</v>
      </c>
      <c r="BD128" s="5">
        <f>recovered!BD128-recovered!BC128</f>
        <v>0</v>
      </c>
      <c r="BE128" s="5">
        <f>recovered!BE128-recovered!BD128</f>
        <v>6</v>
      </c>
      <c r="BF128" s="5">
        <f>recovered!BF128-recovered!BE128</f>
        <v>0</v>
      </c>
      <c r="BG128" s="5">
        <f>recovered!BG128-recovered!BF128</f>
        <v>0</v>
      </c>
      <c r="BH128" s="5">
        <f>recovered!BH128-recovered!BG128</f>
        <v>0</v>
      </c>
      <c r="BI128" s="5">
        <f>recovered!BI128-recovered!BH128</f>
        <v>3</v>
      </c>
      <c r="BJ128" s="5">
        <f>recovered!BJ128-recovered!BI128</f>
        <v>0</v>
      </c>
      <c r="BK128" s="5">
        <f>recovered!BK128-recovered!BJ128</f>
        <v>4</v>
      </c>
      <c r="BL128" s="5">
        <f>recovered!BL128-recovered!BK128</f>
        <v>0</v>
      </c>
      <c r="BM128" s="5">
        <f>recovered!BM128-recovered!BL128</f>
        <v>14</v>
      </c>
      <c r="BN128" s="5">
        <f>recovered!BN128-recovered!BM128</f>
        <v>0</v>
      </c>
      <c r="BO128" s="5">
        <f>recovered!BO128-recovered!BN128</f>
        <v>1</v>
      </c>
      <c r="BP128" s="5">
        <f>recovered!BP128-recovered!BO128</f>
        <v>1</v>
      </c>
      <c r="BQ128" s="5">
        <f>recovered!BQ128-recovered!BP128</f>
        <v>4</v>
      </c>
      <c r="BR128" s="5">
        <f>recovered!BR128-recovered!BQ128</f>
        <v>11</v>
      </c>
      <c r="BS128" s="5">
        <f>recovered!BS128-recovered!BR128</f>
        <v>13</v>
      </c>
      <c r="BT128" s="5">
        <f>recovered!BT128-recovered!BS128</f>
        <v>5</v>
      </c>
      <c r="BU128" s="5">
        <f>recovered!BU128-recovered!BT128</f>
        <v>11</v>
      </c>
      <c r="BV128" s="5">
        <f>recovered!BV128-recovered!BU128</f>
        <v>6</v>
      </c>
      <c r="BW128" s="5">
        <f>recovered!BW128-recovered!BV128</f>
        <v>22</v>
      </c>
      <c r="BX128" s="5">
        <f>recovered!BX128-recovered!BW128</f>
        <v>9</v>
      </c>
      <c r="BY128" s="5">
        <f>recovered!BY128-recovered!BX128</f>
        <v>22</v>
      </c>
    </row>
    <row r="129">
      <c r="B129" s="1" t="str">
        <f>recovered!B129</f>
        <v>Iran</v>
      </c>
      <c r="C129" s="4">
        <f>recovered!C129</f>
        <v>32</v>
      </c>
      <c r="D129" s="4">
        <f>recovered!D129</f>
        <v>53</v>
      </c>
      <c r="E129" s="5">
        <f>recovered!E129</f>
        <v>0</v>
      </c>
      <c r="F129" s="5">
        <f>recovered!F129-recovered!E129</f>
        <v>0</v>
      </c>
      <c r="G129" s="5">
        <f>recovered!G129-recovered!F129</f>
        <v>0</v>
      </c>
      <c r="H129" s="5">
        <f>recovered!H129-recovered!G129</f>
        <v>0</v>
      </c>
      <c r="I129" s="5">
        <f>recovered!I129-recovered!H129</f>
        <v>0</v>
      </c>
      <c r="J129" s="5">
        <f>recovered!J129-recovered!I129</f>
        <v>0</v>
      </c>
      <c r="K129" s="5">
        <f>recovered!K129-recovered!J129</f>
        <v>0</v>
      </c>
      <c r="L129" s="5">
        <f>recovered!L129-recovered!K129</f>
        <v>0</v>
      </c>
      <c r="M129" s="5">
        <f>recovered!M129-recovered!L129</f>
        <v>0</v>
      </c>
      <c r="N129" s="5">
        <f>recovered!N129-recovered!M129</f>
        <v>0</v>
      </c>
      <c r="O129" s="5">
        <f>recovered!O129-recovered!N129</f>
        <v>0</v>
      </c>
      <c r="P129" s="5">
        <f>recovered!P129-recovered!O129</f>
        <v>0</v>
      </c>
      <c r="Q129" s="5">
        <f>recovered!Q129-recovered!P129</f>
        <v>0</v>
      </c>
      <c r="R129" s="5">
        <f>recovered!R129-recovered!Q129</f>
        <v>0</v>
      </c>
      <c r="S129" s="5">
        <f>recovered!S129-recovered!R129</f>
        <v>0</v>
      </c>
      <c r="T129" s="5">
        <f>recovered!T129-recovered!S129</f>
        <v>0</v>
      </c>
      <c r="U129" s="5">
        <f>recovered!U129-recovered!T129</f>
        <v>0</v>
      </c>
      <c r="V129" s="5">
        <f>recovered!V129-recovered!U129</f>
        <v>0</v>
      </c>
      <c r="W129" s="5">
        <f>recovered!W129-recovered!V129</f>
        <v>0</v>
      </c>
      <c r="X129" s="5">
        <f>recovered!X129-recovered!W129</f>
        <v>0</v>
      </c>
      <c r="Y129" s="5">
        <f>recovered!Y129-recovered!X129</f>
        <v>0</v>
      </c>
      <c r="Z129" s="5">
        <f>recovered!Z129-recovered!Y129</f>
        <v>0</v>
      </c>
      <c r="AA129" s="5">
        <f>recovered!AA129-recovered!Z129</f>
        <v>0</v>
      </c>
      <c r="AB129" s="5">
        <f>recovered!AB129-recovered!AA129</f>
        <v>0</v>
      </c>
      <c r="AC129" s="5">
        <f>recovered!AC129-recovered!AB129</f>
        <v>0</v>
      </c>
      <c r="AD129" s="5">
        <f>recovered!AD129-recovered!AC129</f>
        <v>0</v>
      </c>
      <c r="AE129" s="5">
        <f>recovered!AE129-recovered!AD129</f>
        <v>0</v>
      </c>
      <c r="AF129" s="5">
        <f>recovered!AF129-recovered!AE129</f>
        <v>0</v>
      </c>
      <c r="AG129" s="5">
        <f>recovered!AG129-recovered!AF129</f>
        <v>0</v>
      </c>
      <c r="AH129" s="5">
        <f>recovered!AH129-recovered!AG129</f>
        <v>0</v>
      </c>
      <c r="AI129" s="5">
        <f>recovered!AI129-recovered!AH129</f>
        <v>0</v>
      </c>
      <c r="AJ129" s="5">
        <f>recovered!AJ129-recovered!AI129</f>
        <v>0</v>
      </c>
      <c r="AK129" s="5">
        <f>recovered!AK129-recovered!AJ129</f>
        <v>0</v>
      </c>
      <c r="AL129" s="5">
        <f>recovered!AL129-recovered!AK129</f>
        <v>0</v>
      </c>
      <c r="AM129" s="5">
        <f>recovered!AM129-recovered!AL129</f>
        <v>0</v>
      </c>
      <c r="AN129" s="5">
        <f>recovered!AN129-recovered!AM129</f>
        <v>49</v>
      </c>
      <c r="AO129" s="5">
        <f>recovered!AO129-recovered!AN129</f>
        <v>0</v>
      </c>
      <c r="AP129" s="5">
        <f>recovered!AP129-recovered!AO129</f>
        <v>24</v>
      </c>
      <c r="AQ129" s="5">
        <f>recovered!AQ129-recovered!AP129</f>
        <v>50</v>
      </c>
      <c r="AR129" s="5">
        <f>recovered!AR129-recovered!AQ129</f>
        <v>52</v>
      </c>
      <c r="AS129" s="5">
        <f>recovered!AS129-recovered!AR129</f>
        <v>116</v>
      </c>
      <c r="AT129" s="5">
        <f>recovered!AT129-recovered!AS129</f>
        <v>0</v>
      </c>
      <c r="AU129" s="5">
        <f>recovered!AU129-recovered!AT129</f>
        <v>261</v>
      </c>
      <c r="AV129" s="5">
        <f>recovered!AV129-recovered!AU129</f>
        <v>187</v>
      </c>
      <c r="AW129" s="5">
        <f>recovered!AW129-recovered!AV129</f>
        <v>174</v>
      </c>
      <c r="AX129" s="5">
        <f>recovered!AX129-recovered!AW129</f>
        <v>756</v>
      </c>
      <c r="AY129" s="5">
        <f>recovered!AY129-recovered!AX129</f>
        <v>465</v>
      </c>
      <c r="AZ129" s="5">
        <f>recovered!AZ129-recovered!AY129</f>
        <v>260</v>
      </c>
      <c r="BA129" s="5">
        <f>recovered!BA129-recovered!AZ129</f>
        <v>337</v>
      </c>
      <c r="BB129" s="5">
        <f>recovered!BB129-recovered!BA129</f>
        <v>228</v>
      </c>
      <c r="BC129" s="5">
        <f>recovered!BC129-recovered!BB129</f>
        <v>0</v>
      </c>
      <c r="BD129" s="5">
        <f>recovered!BD129-recovered!BC129</f>
        <v>0</v>
      </c>
      <c r="BE129" s="5">
        <f>recovered!BE129-recovered!BD129</f>
        <v>0</v>
      </c>
      <c r="BF129" s="5">
        <f>recovered!BF129-recovered!BE129</f>
        <v>1631</v>
      </c>
      <c r="BG129" s="5">
        <f>recovered!BG129-recovered!BF129</f>
        <v>0</v>
      </c>
      <c r="BH129" s="5">
        <f>recovered!BH129-recovered!BG129</f>
        <v>799</v>
      </c>
      <c r="BI129" s="5">
        <f>recovered!BI129-recovered!BH129</f>
        <v>0</v>
      </c>
      <c r="BJ129" s="5">
        <f>recovered!BJ129-recovered!BI129</f>
        <v>321</v>
      </c>
      <c r="BK129" s="5">
        <f>recovered!BK129-recovered!BJ129</f>
        <v>1035</v>
      </c>
      <c r="BL129" s="5">
        <f>recovered!BL129-recovered!BK129</f>
        <v>890</v>
      </c>
      <c r="BM129" s="5">
        <f>recovered!BM129-recovered!BL129</f>
        <v>296</v>
      </c>
      <c r="BN129" s="5">
        <f>recovered!BN129-recovered!BM129</f>
        <v>0</v>
      </c>
      <c r="BO129" s="5">
        <f>recovered!BO129-recovered!BN129</f>
        <v>982</v>
      </c>
      <c r="BP129" s="5">
        <f>recovered!BP129-recovered!BO129</f>
        <v>712</v>
      </c>
      <c r="BQ129" s="5">
        <f>recovered!BQ129-recovered!BP129</f>
        <v>832</v>
      </c>
      <c r="BR129" s="5">
        <f>recovered!BR129-recovered!BQ129</f>
        <v>676</v>
      </c>
      <c r="BS129" s="5">
        <f>recovered!BS129-recovered!BR129</f>
        <v>546</v>
      </c>
      <c r="BT129" s="5">
        <f>recovered!BT129-recovered!BS129</f>
        <v>712</v>
      </c>
      <c r="BU129" s="5">
        <f>recovered!BU129-recovered!BT129</f>
        <v>1520</v>
      </c>
      <c r="BV129" s="5">
        <f>recovered!BV129-recovered!BU129</f>
        <v>745</v>
      </c>
      <c r="BW129" s="5">
        <f>recovered!BW129-recovered!BV129</f>
        <v>817</v>
      </c>
      <c r="BX129" s="5">
        <f>recovered!BX129-recovered!BW129</f>
        <v>1238</v>
      </c>
      <c r="BY129" s="5">
        <f>recovered!BY129-recovered!BX129</f>
        <v>1224</v>
      </c>
    </row>
    <row r="130">
      <c r="B130" s="1" t="str">
        <f>recovered!B130</f>
        <v>Iraq</v>
      </c>
      <c r="C130" s="4">
        <f>recovered!C130</f>
        <v>33</v>
      </c>
      <c r="D130" s="4">
        <f>recovered!D130</f>
        <v>44</v>
      </c>
      <c r="E130" s="5">
        <f>recovered!E130</f>
        <v>0</v>
      </c>
      <c r="F130" s="5">
        <f>recovered!F130-recovered!E130</f>
        <v>0</v>
      </c>
      <c r="G130" s="5">
        <f>recovered!G130-recovered!F130</f>
        <v>0</v>
      </c>
      <c r="H130" s="5">
        <f>recovered!H130-recovered!G130</f>
        <v>0</v>
      </c>
      <c r="I130" s="5">
        <f>recovered!I130-recovered!H130</f>
        <v>0</v>
      </c>
      <c r="J130" s="5">
        <f>recovered!J130-recovered!I130</f>
        <v>0</v>
      </c>
      <c r="K130" s="5">
        <f>recovered!K130-recovered!J130</f>
        <v>0</v>
      </c>
      <c r="L130" s="5">
        <f>recovered!L130-recovered!K130</f>
        <v>0</v>
      </c>
      <c r="M130" s="5">
        <f>recovered!M130-recovered!L130</f>
        <v>0</v>
      </c>
      <c r="N130" s="5">
        <f>recovered!N130-recovered!M130</f>
        <v>0</v>
      </c>
      <c r="O130" s="5">
        <f>recovered!O130-recovered!N130</f>
        <v>0</v>
      </c>
      <c r="P130" s="5">
        <f>recovered!P130-recovered!O130</f>
        <v>0</v>
      </c>
      <c r="Q130" s="5">
        <f>recovered!Q130-recovered!P130</f>
        <v>0</v>
      </c>
      <c r="R130" s="5">
        <f>recovered!R130-recovered!Q130</f>
        <v>0</v>
      </c>
      <c r="S130" s="5">
        <f>recovered!S130-recovered!R130</f>
        <v>0</v>
      </c>
      <c r="T130" s="5">
        <f>recovered!T130-recovered!S130</f>
        <v>0</v>
      </c>
      <c r="U130" s="5">
        <f>recovered!U130-recovered!T130</f>
        <v>0</v>
      </c>
      <c r="V130" s="5">
        <f>recovered!V130-recovered!U130</f>
        <v>0</v>
      </c>
      <c r="W130" s="5">
        <f>recovered!W130-recovered!V130</f>
        <v>0</v>
      </c>
      <c r="X130" s="5">
        <f>recovered!X130-recovered!W130</f>
        <v>0</v>
      </c>
      <c r="Y130" s="5">
        <f>recovered!Y130-recovered!X130</f>
        <v>0</v>
      </c>
      <c r="Z130" s="5">
        <f>recovered!Z130-recovered!Y130</f>
        <v>0</v>
      </c>
      <c r="AA130" s="5">
        <f>recovered!AA130-recovered!Z130</f>
        <v>0</v>
      </c>
      <c r="AB130" s="5">
        <f>recovered!AB130-recovered!AA130</f>
        <v>0</v>
      </c>
      <c r="AC130" s="5">
        <f>recovered!AC130-recovered!AB130</f>
        <v>0</v>
      </c>
      <c r="AD130" s="5">
        <f>recovered!AD130-recovered!AC130</f>
        <v>0</v>
      </c>
      <c r="AE130" s="5">
        <f>recovered!AE130-recovered!AD130</f>
        <v>0</v>
      </c>
      <c r="AF130" s="5">
        <f>recovered!AF130-recovered!AE130</f>
        <v>0</v>
      </c>
      <c r="AG130" s="5">
        <f>recovered!AG130-recovered!AF130</f>
        <v>0</v>
      </c>
      <c r="AH130" s="5">
        <f>recovered!AH130-recovered!AG130</f>
        <v>0</v>
      </c>
      <c r="AI130" s="5">
        <f>recovered!AI130-recovered!AH130</f>
        <v>0</v>
      </c>
      <c r="AJ130" s="5">
        <f>recovered!AJ130-recovered!AI130</f>
        <v>0</v>
      </c>
      <c r="AK130" s="5">
        <f>recovered!AK130-recovered!AJ130</f>
        <v>0</v>
      </c>
      <c r="AL130" s="5">
        <f>recovered!AL130-recovered!AK130</f>
        <v>0</v>
      </c>
      <c r="AM130" s="5">
        <f>recovered!AM130-recovered!AL130</f>
        <v>0</v>
      </c>
      <c r="AN130" s="5">
        <f>recovered!AN130-recovered!AM130</f>
        <v>0</v>
      </c>
      <c r="AO130" s="5">
        <f>recovered!AO130-recovered!AN130</f>
        <v>0</v>
      </c>
      <c r="AP130" s="5">
        <f>recovered!AP130-recovered!AO130</f>
        <v>0</v>
      </c>
      <c r="AQ130" s="5">
        <f>recovered!AQ130-recovered!AP130</f>
        <v>0</v>
      </c>
      <c r="AR130" s="5">
        <f>recovered!AR130-recovered!AQ130</f>
        <v>0</v>
      </c>
      <c r="AS130" s="5">
        <f>recovered!AS130-recovered!AR130</f>
        <v>0</v>
      </c>
      <c r="AT130" s="5">
        <f>recovered!AT130-recovered!AS130</f>
        <v>0</v>
      </c>
      <c r="AU130" s="5">
        <f>recovered!AU130-recovered!AT130</f>
        <v>0</v>
      </c>
      <c r="AV130" s="5">
        <f>recovered!AV130-recovered!AU130</f>
        <v>0</v>
      </c>
      <c r="AW130" s="5">
        <f>recovered!AW130-recovered!AV130</f>
        <v>0</v>
      </c>
      <c r="AX130" s="5">
        <f>recovered!AX130-recovered!AW130</f>
        <v>0</v>
      </c>
      <c r="AY130" s="5">
        <f>recovered!AY130-recovered!AX130</f>
        <v>0</v>
      </c>
      <c r="AZ130" s="5">
        <f>recovered!AZ130-recovered!AY130</f>
        <v>3</v>
      </c>
      <c r="BA130" s="5">
        <f>recovered!BA130-recovered!AZ130</f>
        <v>0</v>
      </c>
      <c r="BB130" s="5">
        <f>recovered!BB130-recovered!BA130</f>
        <v>12</v>
      </c>
      <c r="BC130" s="5">
        <f>recovered!BC130-recovered!BB130</f>
        <v>0</v>
      </c>
      <c r="BD130" s="5">
        <f>recovered!BD130-recovered!BC130</f>
        <v>9</v>
      </c>
      <c r="BE130" s="5">
        <f>recovered!BE130-recovered!BD130</f>
        <v>2</v>
      </c>
      <c r="BF130" s="5">
        <f>recovered!BF130-recovered!BE130</f>
        <v>0</v>
      </c>
      <c r="BG130" s="5">
        <f>recovered!BG130-recovered!BF130</f>
        <v>0</v>
      </c>
      <c r="BH130" s="5">
        <f>recovered!BH130-recovered!BG130</f>
        <v>6</v>
      </c>
      <c r="BI130" s="5">
        <f>recovered!BI130-recovered!BH130</f>
        <v>11</v>
      </c>
      <c r="BJ130" s="5">
        <f>recovered!BJ130-recovered!BI130</f>
        <v>0</v>
      </c>
      <c r="BK130" s="5">
        <f>recovered!BK130-recovered!BJ130</f>
        <v>6</v>
      </c>
      <c r="BL130" s="5">
        <f>recovered!BL130-recovered!BK130</f>
        <v>2</v>
      </c>
      <c r="BM130" s="5">
        <f>recovered!BM130-recovered!BL130</f>
        <v>6</v>
      </c>
      <c r="BN130" s="5">
        <f>recovered!BN130-recovered!BM130</f>
        <v>0</v>
      </c>
      <c r="BO130" s="5">
        <f>recovered!BO130-recovered!BN130</f>
        <v>18</v>
      </c>
      <c r="BP130" s="5">
        <f>recovered!BP130-recovered!BO130</f>
        <v>28</v>
      </c>
      <c r="BQ130" s="5">
        <f>recovered!BQ130-recovered!BP130</f>
        <v>2</v>
      </c>
      <c r="BR130" s="5">
        <f>recovered!BR130-recovered!BQ130</f>
        <v>17</v>
      </c>
      <c r="BS130" s="5">
        <f>recovered!BS130-recovered!BR130</f>
        <v>9</v>
      </c>
      <c r="BT130" s="5">
        <f>recovered!BT130-recovered!BS130</f>
        <v>12</v>
      </c>
      <c r="BU130" s="5">
        <f>recovered!BU130-recovered!BT130</f>
        <v>9</v>
      </c>
      <c r="BV130" s="5">
        <f>recovered!BV130-recovered!BU130</f>
        <v>18</v>
      </c>
      <c r="BW130" s="5">
        <f>recovered!BW130-recovered!BV130</f>
        <v>12</v>
      </c>
      <c r="BX130" s="5">
        <f>recovered!BX130-recovered!BW130</f>
        <v>20</v>
      </c>
      <c r="BY130" s="5">
        <f>recovered!BY130-recovered!BX130</f>
        <v>24</v>
      </c>
    </row>
    <row r="131">
      <c r="B131" s="1" t="str">
        <f>recovered!B131</f>
        <v>Ireland</v>
      </c>
      <c r="C131" s="4">
        <f>recovered!C131</f>
        <v>53.1424</v>
      </c>
      <c r="D131" s="4">
        <f>recovered!D131</f>
        <v>-7.6921</v>
      </c>
      <c r="E131" s="5">
        <f>recovered!E131</f>
        <v>0</v>
      </c>
      <c r="F131" s="5">
        <f>recovered!F131-recovered!E131</f>
        <v>0</v>
      </c>
      <c r="G131" s="5">
        <f>recovered!G131-recovered!F131</f>
        <v>0</v>
      </c>
      <c r="H131" s="5">
        <f>recovered!H131-recovered!G131</f>
        <v>0</v>
      </c>
      <c r="I131" s="5">
        <f>recovered!I131-recovered!H131</f>
        <v>0</v>
      </c>
      <c r="J131" s="5">
        <f>recovered!J131-recovered!I131</f>
        <v>0</v>
      </c>
      <c r="K131" s="5">
        <f>recovered!K131-recovered!J131</f>
        <v>0</v>
      </c>
      <c r="L131" s="5">
        <f>recovered!L131-recovered!K131</f>
        <v>0</v>
      </c>
      <c r="M131" s="5">
        <f>recovered!M131-recovered!L131</f>
        <v>0</v>
      </c>
      <c r="N131" s="5">
        <f>recovered!N131-recovered!M131</f>
        <v>0</v>
      </c>
      <c r="O131" s="5">
        <f>recovered!O131-recovered!N131</f>
        <v>0</v>
      </c>
      <c r="P131" s="5">
        <f>recovered!P131-recovered!O131</f>
        <v>0</v>
      </c>
      <c r="Q131" s="5">
        <f>recovered!Q131-recovered!P131</f>
        <v>0</v>
      </c>
      <c r="R131" s="5">
        <f>recovered!R131-recovered!Q131</f>
        <v>0</v>
      </c>
      <c r="S131" s="5">
        <f>recovered!S131-recovered!R131</f>
        <v>0</v>
      </c>
      <c r="T131" s="5">
        <f>recovered!T131-recovered!S131</f>
        <v>0</v>
      </c>
      <c r="U131" s="5">
        <f>recovered!U131-recovered!T131</f>
        <v>0</v>
      </c>
      <c r="V131" s="5">
        <f>recovered!V131-recovered!U131</f>
        <v>0</v>
      </c>
      <c r="W131" s="5">
        <f>recovered!W131-recovered!V131</f>
        <v>0</v>
      </c>
      <c r="X131" s="5">
        <f>recovered!X131-recovered!W131</f>
        <v>0</v>
      </c>
      <c r="Y131" s="5">
        <f>recovered!Y131-recovered!X131</f>
        <v>0</v>
      </c>
      <c r="Z131" s="5">
        <f>recovered!Z131-recovered!Y131</f>
        <v>0</v>
      </c>
      <c r="AA131" s="5">
        <f>recovered!AA131-recovered!Z131</f>
        <v>0</v>
      </c>
      <c r="AB131" s="5">
        <f>recovered!AB131-recovered!AA131</f>
        <v>0</v>
      </c>
      <c r="AC131" s="5">
        <f>recovered!AC131-recovered!AB131</f>
        <v>0</v>
      </c>
      <c r="AD131" s="5">
        <f>recovered!AD131-recovered!AC131</f>
        <v>0</v>
      </c>
      <c r="AE131" s="5">
        <f>recovered!AE131-recovered!AD131</f>
        <v>0</v>
      </c>
      <c r="AF131" s="5">
        <f>recovered!AF131-recovered!AE131</f>
        <v>0</v>
      </c>
      <c r="AG131" s="5">
        <f>recovered!AG131-recovered!AF131</f>
        <v>0</v>
      </c>
      <c r="AH131" s="5">
        <f>recovered!AH131-recovered!AG131</f>
        <v>0</v>
      </c>
      <c r="AI131" s="5">
        <f>recovered!AI131-recovered!AH131</f>
        <v>0</v>
      </c>
      <c r="AJ131" s="5">
        <f>recovered!AJ131-recovered!AI131</f>
        <v>0</v>
      </c>
      <c r="AK131" s="5">
        <f>recovered!AK131-recovered!AJ131</f>
        <v>0</v>
      </c>
      <c r="AL131" s="5">
        <f>recovered!AL131-recovered!AK131</f>
        <v>0</v>
      </c>
      <c r="AM131" s="5">
        <f>recovered!AM131-recovered!AL131</f>
        <v>0</v>
      </c>
      <c r="AN131" s="5">
        <f>recovered!AN131-recovered!AM131</f>
        <v>0</v>
      </c>
      <c r="AO131" s="5">
        <f>recovered!AO131-recovered!AN131</f>
        <v>0</v>
      </c>
      <c r="AP131" s="5">
        <f>recovered!AP131-recovered!AO131</f>
        <v>0</v>
      </c>
      <c r="AQ131" s="5">
        <f>recovered!AQ131-recovered!AP131</f>
        <v>0</v>
      </c>
      <c r="AR131" s="5">
        <f>recovered!AR131-recovered!AQ131</f>
        <v>0</v>
      </c>
      <c r="AS131" s="5">
        <f>recovered!AS131-recovered!AR131</f>
        <v>0</v>
      </c>
      <c r="AT131" s="5">
        <f>recovered!AT131-recovered!AS131</f>
        <v>0</v>
      </c>
      <c r="AU131" s="5">
        <f>recovered!AU131-recovered!AT131</f>
        <v>0</v>
      </c>
      <c r="AV131" s="5">
        <f>recovered!AV131-recovered!AU131</f>
        <v>0</v>
      </c>
      <c r="AW131" s="5">
        <f>recovered!AW131-recovered!AV131</f>
        <v>0</v>
      </c>
      <c r="AX131" s="5">
        <f>recovered!AX131-recovered!AW131</f>
        <v>0</v>
      </c>
      <c r="AY131" s="5">
        <f>recovered!AY131-recovered!AX131</f>
        <v>0</v>
      </c>
      <c r="AZ131" s="5">
        <f>recovered!AZ131-recovered!AY131</f>
        <v>0</v>
      </c>
      <c r="BA131" s="5">
        <f>recovered!BA131-recovered!AZ131</f>
        <v>0</v>
      </c>
      <c r="BB131" s="5">
        <f>recovered!BB131-recovered!BA131</f>
        <v>0</v>
      </c>
      <c r="BC131" s="5">
        <f>recovered!BC131-recovered!BB131</f>
        <v>0</v>
      </c>
      <c r="BD131" s="5">
        <f>recovered!BD131-recovered!BC131</f>
        <v>0</v>
      </c>
      <c r="BE131" s="5">
        <f>recovered!BE131-recovered!BD131</f>
        <v>0</v>
      </c>
      <c r="BF131" s="5">
        <f>recovered!BF131-recovered!BE131</f>
        <v>0</v>
      </c>
      <c r="BG131" s="5">
        <f>recovered!BG131-recovered!BF131</f>
        <v>0</v>
      </c>
      <c r="BH131" s="5">
        <f>recovered!BH131-recovered!BG131</f>
        <v>5</v>
      </c>
      <c r="BI131" s="5">
        <f>recovered!BI131-recovered!BH131</f>
        <v>0</v>
      </c>
      <c r="BJ131" s="5">
        <f>recovered!BJ131-recovered!BI131</f>
        <v>0</v>
      </c>
      <c r="BK131" s="5">
        <f>recovered!BK131-recovered!BJ131</f>
        <v>0</v>
      </c>
      <c r="BL131" s="5">
        <f>recovered!BL131-recovered!BK131</f>
        <v>0</v>
      </c>
      <c r="BM131" s="5">
        <f>recovered!BM131-recovered!BL131</f>
        <v>0</v>
      </c>
      <c r="BN131" s="5">
        <f>recovered!BN131-recovered!BM131</f>
        <v>0</v>
      </c>
      <c r="BO131" s="5">
        <f>recovered!BO131-recovered!BN131</f>
        <v>0</v>
      </c>
      <c r="BP131" s="5">
        <f>recovered!BP131-recovered!BO131</f>
        <v>0</v>
      </c>
      <c r="BQ131" s="5">
        <f>recovered!BQ131-recovered!BP131</f>
        <v>0</v>
      </c>
      <c r="BR131" s="5">
        <f>recovered!BR131-recovered!BQ131</f>
        <v>0</v>
      </c>
      <c r="BS131" s="5">
        <f>recovered!BS131-recovered!BR131</f>
        <v>0</v>
      </c>
      <c r="BT131" s="5">
        <f>recovered!BT131-recovered!BS131</f>
        <v>0</v>
      </c>
      <c r="BU131" s="5">
        <f>recovered!BU131-recovered!BT131</f>
        <v>0</v>
      </c>
      <c r="BV131" s="5">
        <f>recovered!BV131-recovered!BU131</f>
        <v>0</v>
      </c>
      <c r="BW131" s="5">
        <f>recovered!BW131-recovered!BV131</f>
        <v>0</v>
      </c>
      <c r="BX131" s="5">
        <f>recovered!BX131-recovered!BW131</f>
        <v>0</v>
      </c>
      <c r="BY131" s="5">
        <f>recovered!BY131-recovered!BX131</f>
        <v>0</v>
      </c>
    </row>
    <row r="132">
      <c r="B132" s="1" t="str">
        <f>recovered!B132</f>
        <v>Israel</v>
      </c>
      <c r="C132" s="4">
        <f>recovered!C132</f>
        <v>31</v>
      </c>
      <c r="D132" s="4">
        <f>recovered!D132</f>
        <v>35</v>
      </c>
      <c r="E132" s="5">
        <f>recovered!E132</f>
        <v>0</v>
      </c>
      <c r="F132" s="5">
        <f>recovered!F132-recovered!E132</f>
        <v>0</v>
      </c>
      <c r="G132" s="5">
        <f>recovered!G132-recovered!F132</f>
        <v>0</v>
      </c>
      <c r="H132" s="5">
        <f>recovered!H132-recovered!G132</f>
        <v>0</v>
      </c>
      <c r="I132" s="5">
        <f>recovered!I132-recovered!H132</f>
        <v>0</v>
      </c>
      <c r="J132" s="5">
        <f>recovered!J132-recovered!I132</f>
        <v>0</v>
      </c>
      <c r="K132" s="5">
        <f>recovered!K132-recovered!J132</f>
        <v>0</v>
      </c>
      <c r="L132" s="5">
        <f>recovered!L132-recovered!K132</f>
        <v>0</v>
      </c>
      <c r="M132" s="5">
        <f>recovered!M132-recovered!L132</f>
        <v>0</v>
      </c>
      <c r="N132" s="5">
        <f>recovered!N132-recovered!M132</f>
        <v>0</v>
      </c>
      <c r="O132" s="5">
        <f>recovered!O132-recovered!N132</f>
        <v>0</v>
      </c>
      <c r="P132" s="5">
        <f>recovered!P132-recovered!O132</f>
        <v>0</v>
      </c>
      <c r="Q132" s="5">
        <f>recovered!Q132-recovered!P132</f>
        <v>0</v>
      </c>
      <c r="R132" s="5">
        <f>recovered!R132-recovered!Q132</f>
        <v>0</v>
      </c>
      <c r="S132" s="5">
        <f>recovered!S132-recovered!R132</f>
        <v>0</v>
      </c>
      <c r="T132" s="5">
        <f>recovered!T132-recovered!S132</f>
        <v>0</v>
      </c>
      <c r="U132" s="5">
        <f>recovered!U132-recovered!T132</f>
        <v>0</v>
      </c>
      <c r="V132" s="5">
        <f>recovered!V132-recovered!U132</f>
        <v>0</v>
      </c>
      <c r="W132" s="5">
        <f>recovered!W132-recovered!V132</f>
        <v>0</v>
      </c>
      <c r="X132" s="5">
        <f>recovered!X132-recovered!W132</f>
        <v>0</v>
      </c>
      <c r="Y132" s="5">
        <f>recovered!Y132-recovered!X132</f>
        <v>0</v>
      </c>
      <c r="Z132" s="5">
        <f>recovered!Z132-recovered!Y132</f>
        <v>0</v>
      </c>
      <c r="AA132" s="5">
        <f>recovered!AA132-recovered!Z132</f>
        <v>0</v>
      </c>
      <c r="AB132" s="5">
        <f>recovered!AB132-recovered!AA132</f>
        <v>0</v>
      </c>
      <c r="AC132" s="5">
        <f>recovered!AC132-recovered!AB132</f>
        <v>0</v>
      </c>
      <c r="AD132" s="5">
        <f>recovered!AD132-recovered!AC132</f>
        <v>0</v>
      </c>
      <c r="AE132" s="5">
        <f>recovered!AE132-recovered!AD132</f>
        <v>0</v>
      </c>
      <c r="AF132" s="5">
        <f>recovered!AF132-recovered!AE132</f>
        <v>0</v>
      </c>
      <c r="AG132" s="5">
        <f>recovered!AG132-recovered!AF132</f>
        <v>0</v>
      </c>
      <c r="AH132" s="5">
        <f>recovered!AH132-recovered!AG132</f>
        <v>0</v>
      </c>
      <c r="AI132" s="5">
        <f>recovered!AI132-recovered!AH132</f>
        <v>0</v>
      </c>
      <c r="AJ132" s="5">
        <f>recovered!AJ132-recovered!AI132</f>
        <v>0</v>
      </c>
      <c r="AK132" s="5">
        <f>recovered!AK132-recovered!AJ132</f>
        <v>0</v>
      </c>
      <c r="AL132" s="5">
        <f>recovered!AL132-recovered!AK132</f>
        <v>0</v>
      </c>
      <c r="AM132" s="5">
        <f>recovered!AM132-recovered!AL132</f>
        <v>0</v>
      </c>
      <c r="AN132" s="5">
        <f>recovered!AN132-recovered!AM132</f>
        <v>0</v>
      </c>
      <c r="AO132" s="5">
        <f>recovered!AO132-recovered!AN132</f>
        <v>1</v>
      </c>
      <c r="AP132" s="5">
        <f>recovered!AP132-recovered!AO132</f>
        <v>0</v>
      </c>
      <c r="AQ132" s="5">
        <f>recovered!AQ132-recovered!AP132</f>
        <v>0</v>
      </c>
      <c r="AR132" s="5">
        <f>recovered!AR132-recovered!AQ132</f>
        <v>0</v>
      </c>
      <c r="AS132" s="5">
        <f>recovered!AS132-recovered!AR132</f>
        <v>0</v>
      </c>
      <c r="AT132" s="5">
        <f>recovered!AT132-recovered!AS132</f>
        <v>0</v>
      </c>
      <c r="AU132" s="5">
        <f>recovered!AU132-recovered!AT132</f>
        <v>0</v>
      </c>
      <c r="AV132" s="5">
        <f>recovered!AV132-recovered!AU132</f>
        <v>0</v>
      </c>
      <c r="AW132" s="5">
        <f>recovered!AW132-recovered!AV132</f>
        <v>1</v>
      </c>
      <c r="AX132" s="5">
        <f>recovered!AX132-recovered!AW132</f>
        <v>0</v>
      </c>
      <c r="AY132" s="5">
        <f>recovered!AY132-recovered!AX132</f>
        <v>0</v>
      </c>
      <c r="AZ132" s="5">
        <f>recovered!AZ132-recovered!AY132</f>
        <v>0</v>
      </c>
      <c r="BA132" s="5">
        <f>recovered!BA132-recovered!AZ132</f>
        <v>2</v>
      </c>
      <c r="BB132" s="5">
        <f>recovered!BB132-recovered!BA132</f>
        <v>0</v>
      </c>
      <c r="BC132" s="5">
        <f>recovered!BC132-recovered!BB132</f>
        <v>0</v>
      </c>
      <c r="BD132" s="5">
        <f>recovered!BD132-recovered!BC132</f>
        <v>0</v>
      </c>
      <c r="BE132" s="5">
        <f>recovered!BE132-recovered!BD132</f>
        <v>0</v>
      </c>
      <c r="BF132" s="5">
        <f>recovered!BF132-recovered!BE132</f>
        <v>0</v>
      </c>
      <c r="BG132" s="5">
        <f>recovered!BG132-recovered!BF132</f>
        <v>0</v>
      </c>
      <c r="BH132" s="5">
        <f>recovered!BH132-recovered!BG132</f>
        <v>7</v>
      </c>
      <c r="BI132" s="5">
        <f>recovered!BI132-recovered!BH132</f>
        <v>0</v>
      </c>
      <c r="BJ132" s="5">
        <f>recovered!BJ132-recovered!BI132</f>
        <v>0</v>
      </c>
      <c r="BK132" s="5">
        <f>recovered!BK132-recovered!BJ132</f>
        <v>3</v>
      </c>
      <c r="BL132" s="5">
        <f>recovered!BL132-recovered!BK132</f>
        <v>22</v>
      </c>
      <c r="BM132" s="5">
        <f>recovered!BM132-recovered!BL132</f>
        <v>1</v>
      </c>
      <c r="BN132" s="5">
        <f>recovered!BN132-recovered!BM132</f>
        <v>0</v>
      </c>
      <c r="BO132" s="5">
        <f>recovered!BO132-recovered!BN132</f>
        <v>16</v>
      </c>
      <c r="BP132" s="5">
        <f>recovered!BP132-recovered!BO132</f>
        <v>5</v>
      </c>
      <c r="BQ132" s="5">
        <f>recovered!BQ132-recovered!BP132</f>
        <v>10</v>
      </c>
      <c r="BR132" s="5">
        <f>recovered!BR132-recovered!BQ132</f>
        <v>11</v>
      </c>
      <c r="BS132" s="5">
        <f>recovered!BS132-recovered!BR132</f>
        <v>10</v>
      </c>
      <c r="BT132" s="5">
        <f>recovered!BT132-recovered!BS132</f>
        <v>43</v>
      </c>
      <c r="BU132" s="5">
        <f>recovered!BU132-recovered!BT132</f>
        <v>29</v>
      </c>
      <c r="BV132" s="5">
        <f>recovered!BV132-recovered!BU132</f>
        <v>63</v>
      </c>
      <c r="BW132" s="5">
        <f>recovered!BW132-recovered!BV132</f>
        <v>17</v>
      </c>
      <c r="BX132" s="5">
        <f>recovered!BX132-recovered!BW132</f>
        <v>97</v>
      </c>
      <c r="BY132" s="5">
        <f>recovered!BY132-recovered!BX132</f>
        <v>65</v>
      </c>
    </row>
    <row r="133">
      <c r="B133" s="1" t="str">
        <f>recovered!B133</f>
        <v>Italy</v>
      </c>
      <c r="C133" s="4">
        <f>recovered!C133</f>
        <v>43</v>
      </c>
      <c r="D133" s="4">
        <f>recovered!D133</f>
        <v>12</v>
      </c>
      <c r="E133" s="5">
        <f>recovered!E133</f>
        <v>0</v>
      </c>
      <c r="F133" s="5">
        <f>recovered!F133-recovered!E133</f>
        <v>0</v>
      </c>
      <c r="G133" s="5">
        <f>recovered!G133-recovered!F133</f>
        <v>0</v>
      </c>
      <c r="H133" s="5">
        <f>recovered!H133-recovered!G133</f>
        <v>0</v>
      </c>
      <c r="I133" s="5">
        <f>recovered!I133-recovered!H133</f>
        <v>0</v>
      </c>
      <c r="J133" s="5">
        <f>recovered!J133-recovered!I133</f>
        <v>0</v>
      </c>
      <c r="K133" s="5">
        <f>recovered!K133-recovered!J133</f>
        <v>0</v>
      </c>
      <c r="L133" s="5">
        <f>recovered!L133-recovered!K133</f>
        <v>0</v>
      </c>
      <c r="M133" s="5">
        <f>recovered!M133-recovered!L133</f>
        <v>0</v>
      </c>
      <c r="N133" s="5">
        <f>recovered!N133-recovered!M133</f>
        <v>0</v>
      </c>
      <c r="O133" s="5">
        <f>recovered!O133-recovered!N133</f>
        <v>0</v>
      </c>
      <c r="P133" s="5">
        <f>recovered!P133-recovered!O133</f>
        <v>0</v>
      </c>
      <c r="Q133" s="5">
        <f>recovered!Q133-recovered!P133</f>
        <v>0</v>
      </c>
      <c r="R133" s="5">
        <f>recovered!R133-recovered!Q133</f>
        <v>0</v>
      </c>
      <c r="S133" s="5">
        <f>recovered!S133-recovered!R133</f>
        <v>0</v>
      </c>
      <c r="T133" s="5">
        <f>recovered!T133-recovered!S133</f>
        <v>0</v>
      </c>
      <c r="U133" s="5">
        <f>recovered!U133-recovered!T133</f>
        <v>0</v>
      </c>
      <c r="V133" s="5">
        <f>recovered!V133-recovered!U133</f>
        <v>0</v>
      </c>
      <c r="W133" s="5">
        <f>recovered!W133-recovered!V133</f>
        <v>0</v>
      </c>
      <c r="X133" s="5">
        <f>recovered!X133-recovered!W133</f>
        <v>0</v>
      </c>
      <c r="Y133" s="5">
        <f>recovered!Y133-recovered!X133</f>
        <v>0</v>
      </c>
      <c r="Z133" s="5">
        <f>recovered!Z133-recovered!Y133</f>
        <v>0</v>
      </c>
      <c r="AA133" s="5">
        <f>recovered!AA133-recovered!Z133</f>
        <v>0</v>
      </c>
      <c r="AB133" s="5">
        <f>recovered!AB133-recovered!AA133</f>
        <v>0</v>
      </c>
      <c r="AC133" s="5">
        <f>recovered!AC133-recovered!AB133</f>
        <v>0</v>
      </c>
      <c r="AD133" s="5">
        <f>recovered!AD133-recovered!AC133</f>
        <v>0</v>
      </c>
      <c r="AE133" s="5">
        <f>recovered!AE133-recovered!AD133</f>
        <v>0</v>
      </c>
      <c r="AF133" s="5">
        <f>recovered!AF133-recovered!AE133</f>
        <v>0</v>
      </c>
      <c r="AG133" s="5">
        <f>recovered!AG133-recovered!AF133</f>
        <v>0</v>
      </c>
      <c r="AH133" s="5">
        <f>recovered!AH133-recovered!AG133</f>
        <v>0</v>
      </c>
      <c r="AI133" s="5">
        <f>recovered!AI133-recovered!AH133</f>
        <v>0</v>
      </c>
      <c r="AJ133" s="5">
        <f>recovered!AJ133-recovered!AI133</f>
        <v>1</v>
      </c>
      <c r="AK133" s="5">
        <f>recovered!AK133-recovered!AJ133</f>
        <v>1</v>
      </c>
      <c r="AL133" s="5">
        <f>recovered!AL133-recovered!AK133</f>
        <v>-1</v>
      </c>
      <c r="AM133" s="5">
        <f>recovered!AM133-recovered!AL133</f>
        <v>0</v>
      </c>
      <c r="AN133" s="5">
        <f>recovered!AN133-recovered!AM133</f>
        <v>2</v>
      </c>
      <c r="AO133" s="5">
        <f>recovered!AO133-recovered!AN133</f>
        <v>42</v>
      </c>
      <c r="AP133" s="5">
        <f>recovered!AP133-recovered!AO133</f>
        <v>1</v>
      </c>
      <c r="AQ133" s="5">
        <f>recovered!AQ133-recovered!AP133</f>
        <v>0</v>
      </c>
      <c r="AR133" s="5">
        <f>recovered!AR133-recovered!AQ133</f>
        <v>37</v>
      </c>
      <c r="AS133" s="5">
        <f>recovered!AS133-recovered!AR133</f>
        <v>66</v>
      </c>
      <c r="AT133" s="5">
        <f>recovered!AT133-recovered!AS133</f>
        <v>11</v>
      </c>
      <c r="AU133" s="5">
        <f>recovered!AU133-recovered!AT133</f>
        <v>116</v>
      </c>
      <c r="AV133" s="5">
        <f>recovered!AV133-recovered!AU133</f>
        <v>138</v>
      </c>
      <c r="AW133" s="5">
        <f>recovered!AW133-recovered!AV133</f>
        <v>109</v>
      </c>
      <c r="AX133" s="5">
        <f>recovered!AX133-recovered!AW133</f>
        <v>66</v>
      </c>
      <c r="AY133" s="5">
        <f>recovered!AY133-recovered!AX133</f>
        <v>33</v>
      </c>
      <c r="AZ133" s="5">
        <f>recovered!AZ133-recovered!AY133</f>
        <v>102</v>
      </c>
      <c r="BA133" s="5">
        <f>recovered!BA133-recovered!AZ133</f>
        <v>0</v>
      </c>
      <c r="BB133" s="5">
        <f>recovered!BB133-recovered!BA133</f>
        <v>321</v>
      </c>
      <c r="BC133" s="5">
        <f>recovered!BC133-recovered!BB133</f>
        <v>0</v>
      </c>
      <c r="BD133" s="5">
        <f>recovered!BD133-recovered!BC133</f>
        <v>394</v>
      </c>
      <c r="BE133" s="5">
        <f>recovered!BE133-recovered!BD133</f>
        <v>527</v>
      </c>
      <c r="BF133" s="5">
        <f>recovered!BF133-recovered!BE133</f>
        <v>369</v>
      </c>
      <c r="BG133" s="5">
        <f>recovered!BG133-recovered!BF133</f>
        <v>414</v>
      </c>
      <c r="BH133" s="5">
        <f>recovered!BH133-recovered!BG133</f>
        <v>192</v>
      </c>
      <c r="BI133" s="5">
        <f>recovered!BI133-recovered!BH133</f>
        <v>1084</v>
      </c>
      <c r="BJ133" s="5">
        <f>recovered!BJ133-recovered!BI133</f>
        <v>415</v>
      </c>
      <c r="BK133" s="5">
        <f>recovered!BK133-recovered!BJ133</f>
        <v>0</v>
      </c>
      <c r="BL133" s="5">
        <f>recovered!BL133-recovered!BK133</f>
        <v>1632</v>
      </c>
      <c r="BM133" s="5">
        <f>recovered!BM133-recovered!BL133</f>
        <v>952</v>
      </c>
      <c r="BN133" s="5">
        <f>recovered!BN133-recovered!BM133</f>
        <v>0</v>
      </c>
      <c r="BO133" s="5">
        <f>recovered!BO133-recovered!BN133</f>
        <v>1302</v>
      </c>
      <c r="BP133" s="5">
        <f>recovered!BP133-recovered!BO133</f>
        <v>1036</v>
      </c>
      <c r="BQ133" s="5">
        <f>recovered!BQ133-recovered!BP133</f>
        <v>999</v>
      </c>
      <c r="BR133" s="5">
        <f>recovered!BR133-recovered!BQ133</f>
        <v>589</v>
      </c>
      <c r="BS133" s="5">
        <f>recovered!BS133-recovered!BR133</f>
        <v>1434</v>
      </c>
      <c r="BT133" s="5">
        <f>recovered!BT133-recovered!BS133</f>
        <v>646</v>
      </c>
      <c r="BU133" s="5">
        <f>recovered!BU133-recovered!BT133</f>
        <v>1590</v>
      </c>
      <c r="BV133" s="5">
        <f>recovered!BV133-recovered!BU133</f>
        <v>1109</v>
      </c>
      <c r="BW133" s="5">
        <f>recovered!BW133-recovered!BV133</f>
        <v>1118</v>
      </c>
      <c r="BX133" s="5">
        <f>recovered!BX133-recovered!BW133</f>
        <v>1431</v>
      </c>
      <c r="BY133" s="5">
        <f>recovered!BY133-recovered!BX133</f>
        <v>1480</v>
      </c>
    </row>
    <row r="134">
      <c r="B134" s="1" t="str">
        <f>recovered!B134</f>
        <v>Jamaica</v>
      </c>
      <c r="C134" s="4">
        <f>recovered!C134</f>
        <v>18.1096</v>
      </c>
      <c r="D134" s="4">
        <f>recovered!D134</f>
        <v>-77.2975</v>
      </c>
      <c r="E134" s="5">
        <f>recovered!E134</f>
        <v>0</v>
      </c>
      <c r="F134" s="5">
        <f>recovered!F134-recovered!E134</f>
        <v>0</v>
      </c>
      <c r="G134" s="5">
        <f>recovered!G134-recovered!F134</f>
        <v>0</v>
      </c>
      <c r="H134" s="5">
        <f>recovered!H134-recovered!G134</f>
        <v>0</v>
      </c>
      <c r="I134" s="5">
        <f>recovered!I134-recovered!H134</f>
        <v>0</v>
      </c>
      <c r="J134" s="5">
        <f>recovered!J134-recovered!I134</f>
        <v>0</v>
      </c>
      <c r="K134" s="5">
        <f>recovered!K134-recovered!J134</f>
        <v>0</v>
      </c>
      <c r="L134" s="5">
        <f>recovered!L134-recovered!K134</f>
        <v>0</v>
      </c>
      <c r="M134" s="5">
        <f>recovered!M134-recovered!L134</f>
        <v>0</v>
      </c>
      <c r="N134" s="5">
        <f>recovered!N134-recovered!M134</f>
        <v>0</v>
      </c>
      <c r="O134" s="5">
        <f>recovered!O134-recovered!N134</f>
        <v>0</v>
      </c>
      <c r="P134" s="5">
        <f>recovered!P134-recovered!O134</f>
        <v>0</v>
      </c>
      <c r="Q134" s="5">
        <f>recovered!Q134-recovered!P134</f>
        <v>0</v>
      </c>
      <c r="R134" s="5">
        <f>recovered!R134-recovered!Q134</f>
        <v>0</v>
      </c>
      <c r="S134" s="5">
        <f>recovered!S134-recovered!R134</f>
        <v>0</v>
      </c>
      <c r="T134" s="5">
        <f>recovered!T134-recovered!S134</f>
        <v>0</v>
      </c>
      <c r="U134" s="5">
        <f>recovered!U134-recovered!T134</f>
        <v>0</v>
      </c>
      <c r="V134" s="5">
        <f>recovered!V134-recovered!U134</f>
        <v>0</v>
      </c>
      <c r="W134" s="5">
        <f>recovered!W134-recovered!V134</f>
        <v>0</v>
      </c>
      <c r="X134" s="5">
        <f>recovered!X134-recovered!W134</f>
        <v>0</v>
      </c>
      <c r="Y134" s="5">
        <f>recovered!Y134-recovered!X134</f>
        <v>0</v>
      </c>
      <c r="Z134" s="5">
        <f>recovered!Z134-recovered!Y134</f>
        <v>0</v>
      </c>
      <c r="AA134" s="5">
        <f>recovered!AA134-recovered!Z134</f>
        <v>0</v>
      </c>
      <c r="AB134" s="5">
        <f>recovered!AB134-recovered!AA134</f>
        <v>0</v>
      </c>
      <c r="AC134" s="5">
        <f>recovered!AC134-recovered!AB134</f>
        <v>0</v>
      </c>
      <c r="AD134" s="5">
        <f>recovered!AD134-recovered!AC134</f>
        <v>0</v>
      </c>
      <c r="AE134" s="5">
        <f>recovered!AE134-recovered!AD134</f>
        <v>0</v>
      </c>
      <c r="AF134" s="5">
        <f>recovered!AF134-recovered!AE134</f>
        <v>0</v>
      </c>
      <c r="AG134" s="5">
        <f>recovered!AG134-recovered!AF134</f>
        <v>0</v>
      </c>
      <c r="AH134" s="5">
        <f>recovered!AH134-recovered!AG134</f>
        <v>0</v>
      </c>
      <c r="AI134" s="5">
        <f>recovered!AI134-recovered!AH134</f>
        <v>0</v>
      </c>
      <c r="AJ134" s="5">
        <f>recovered!AJ134-recovered!AI134</f>
        <v>0</v>
      </c>
      <c r="AK134" s="5">
        <f>recovered!AK134-recovered!AJ134</f>
        <v>0</v>
      </c>
      <c r="AL134" s="5">
        <f>recovered!AL134-recovered!AK134</f>
        <v>0</v>
      </c>
      <c r="AM134" s="5">
        <f>recovered!AM134-recovered!AL134</f>
        <v>0</v>
      </c>
      <c r="AN134" s="5">
        <f>recovered!AN134-recovered!AM134</f>
        <v>0</v>
      </c>
      <c r="AO134" s="5">
        <f>recovered!AO134-recovered!AN134</f>
        <v>0</v>
      </c>
      <c r="AP134" s="5">
        <f>recovered!AP134-recovered!AO134</f>
        <v>0</v>
      </c>
      <c r="AQ134" s="5">
        <f>recovered!AQ134-recovered!AP134</f>
        <v>0</v>
      </c>
      <c r="AR134" s="5">
        <f>recovered!AR134-recovered!AQ134</f>
        <v>0</v>
      </c>
      <c r="AS134" s="5">
        <f>recovered!AS134-recovered!AR134</f>
        <v>0</v>
      </c>
      <c r="AT134" s="5">
        <f>recovered!AT134-recovered!AS134</f>
        <v>0</v>
      </c>
      <c r="AU134" s="5">
        <f>recovered!AU134-recovered!AT134</f>
        <v>0</v>
      </c>
      <c r="AV134" s="5">
        <f>recovered!AV134-recovered!AU134</f>
        <v>0</v>
      </c>
      <c r="AW134" s="5">
        <f>recovered!AW134-recovered!AV134</f>
        <v>0</v>
      </c>
      <c r="AX134" s="5">
        <f>recovered!AX134-recovered!AW134</f>
        <v>0</v>
      </c>
      <c r="AY134" s="5">
        <f>recovered!AY134-recovered!AX134</f>
        <v>0</v>
      </c>
      <c r="AZ134" s="5">
        <f>recovered!AZ134-recovered!AY134</f>
        <v>0</v>
      </c>
      <c r="BA134" s="5">
        <f>recovered!BA134-recovered!AZ134</f>
        <v>0</v>
      </c>
      <c r="BB134" s="5">
        <f>recovered!BB134-recovered!BA134</f>
        <v>0</v>
      </c>
      <c r="BC134" s="5">
        <f>recovered!BC134-recovered!BB134</f>
        <v>0</v>
      </c>
      <c r="BD134" s="5">
        <f>recovered!BD134-recovered!BC134</f>
        <v>0</v>
      </c>
      <c r="BE134" s="5">
        <f>recovered!BE134-recovered!BD134</f>
        <v>0</v>
      </c>
      <c r="BF134" s="5">
        <f>recovered!BF134-recovered!BE134</f>
        <v>0</v>
      </c>
      <c r="BG134" s="5">
        <f>recovered!BG134-recovered!BF134</f>
        <v>2</v>
      </c>
      <c r="BH134" s="5">
        <f>recovered!BH134-recovered!BG134</f>
        <v>0</v>
      </c>
      <c r="BI134" s="5">
        <f>recovered!BI134-recovered!BH134</f>
        <v>0</v>
      </c>
      <c r="BJ134" s="5">
        <f>recovered!BJ134-recovered!BI134</f>
        <v>0</v>
      </c>
      <c r="BK134" s="5">
        <f>recovered!BK134-recovered!BJ134</f>
        <v>0</v>
      </c>
      <c r="BL134" s="5">
        <f>recovered!BL134-recovered!BK134</f>
        <v>0</v>
      </c>
      <c r="BM134" s="5">
        <f>recovered!BM134-recovered!BL134</f>
        <v>0</v>
      </c>
      <c r="BN134" s="5">
        <f>recovered!BN134-recovered!BM134</f>
        <v>0</v>
      </c>
      <c r="BO134" s="5">
        <f>recovered!BO134-recovered!BN134</f>
        <v>0</v>
      </c>
      <c r="BP134" s="5">
        <f>recovered!BP134-recovered!BO134</f>
        <v>0</v>
      </c>
      <c r="BQ134" s="5">
        <f>recovered!BQ134-recovered!BP134</f>
        <v>0</v>
      </c>
      <c r="BR134" s="5">
        <f>recovered!BR134-recovered!BQ134</f>
        <v>0</v>
      </c>
      <c r="BS134" s="5">
        <f>recovered!BS134-recovered!BR134</f>
        <v>0</v>
      </c>
      <c r="BT134" s="5">
        <f>recovered!BT134-recovered!BS134</f>
        <v>0</v>
      </c>
      <c r="BU134" s="5">
        <f>recovered!BU134-recovered!BT134</f>
        <v>0</v>
      </c>
      <c r="BV134" s="5">
        <f>recovered!BV134-recovered!BU134</f>
        <v>0</v>
      </c>
      <c r="BW134" s="5">
        <f>recovered!BW134-recovered!BV134</f>
        <v>0</v>
      </c>
      <c r="BX134" s="5">
        <f>recovered!BX134-recovered!BW134</f>
        <v>0</v>
      </c>
      <c r="BY134" s="5">
        <f>recovered!BY134-recovered!BX134</f>
        <v>0</v>
      </c>
    </row>
    <row r="135">
      <c r="B135" s="1" t="str">
        <f>recovered!B135</f>
        <v>Japan</v>
      </c>
      <c r="C135" s="4">
        <f>recovered!C135</f>
        <v>36</v>
      </c>
      <c r="D135" s="4">
        <f>recovered!D135</f>
        <v>138</v>
      </c>
      <c r="E135" s="5">
        <f>recovered!E135</f>
        <v>0</v>
      </c>
      <c r="F135" s="5">
        <f>recovered!F135-recovered!E135</f>
        <v>0</v>
      </c>
      <c r="G135" s="5">
        <f>recovered!G135-recovered!F135</f>
        <v>0</v>
      </c>
      <c r="H135" s="5">
        <f>recovered!H135-recovered!G135</f>
        <v>0</v>
      </c>
      <c r="I135" s="5">
        <f>recovered!I135-recovered!H135</f>
        <v>1</v>
      </c>
      <c r="J135" s="5">
        <f>recovered!J135-recovered!I135</f>
        <v>0</v>
      </c>
      <c r="K135" s="5">
        <f>recovered!K135-recovered!J135</f>
        <v>0</v>
      </c>
      <c r="L135" s="5">
        <f>recovered!L135-recovered!K135</f>
        <v>0</v>
      </c>
      <c r="M135" s="5">
        <f>recovered!M135-recovered!L135</f>
        <v>0</v>
      </c>
      <c r="N135" s="5">
        <f>recovered!N135-recovered!M135</f>
        <v>0</v>
      </c>
      <c r="O135" s="5">
        <f>recovered!O135-recovered!N135</f>
        <v>0</v>
      </c>
      <c r="P135" s="5">
        <f>recovered!P135-recovered!O135</f>
        <v>0</v>
      </c>
      <c r="Q135" s="5">
        <f>recovered!Q135-recovered!P135</f>
        <v>0</v>
      </c>
      <c r="R135" s="5">
        <f>recovered!R135-recovered!Q135</f>
        <v>0</v>
      </c>
      <c r="S135" s="5">
        <f>recovered!S135-recovered!R135</f>
        <v>0</v>
      </c>
      <c r="T135" s="5">
        <f>recovered!T135-recovered!S135</f>
        <v>0</v>
      </c>
      <c r="U135" s="5">
        <f>recovered!U135-recovered!T135</f>
        <v>0</v>
      </c>
      <c r="V135" s="5">
        <f>recovered!V135-recovered!U135</f>
        <v>0</v>
      </c>
      <c r="W135" s="5">
        <f>recovered!W135-recovered!V135</f>
        <v>0</v>
      </c>
      <c r="X135" s="5">
        <f>recovered!X135-recovered!W135</f>
        <v>3</v>
      </c>
      <c r="Y135" s="5">
        <f>recovered!Y135-recovered!X135</f>
        <v>5</v>
      </c>
      <c r="Z135" s="5">
        <f>recovered!Z135-recovered!Y135</f>
        <v>0</v>
      </c>
      <c r="AA135" s="5">
        <f>recovered!AA135-recovered!Z135</f>
        <v>0</v>
      </c>
      <c r="AB135" s="5">
        <f>recovered!AB135-recovered!AA135</f>
        <v>0</v>
      </c>
      <c r="AC135" s="5">
        <f>recovered!AC135-recovered!AB135</f>
        <v>3</v>
      </c>
      <c r="AD135" s="5">
        <f>recovered!AD135-recovered!AC135</f>
        <v>0</v>
      </c>
      <c r="AE135" s="5">
        <f>recovered!AE135-recovered!AD135</f>
        <v>0</v>
      </c>
      <c r="AF135" s="5">
        <f>recovered!AF135-recovered!AE135</f>
        <v>1</v>
      </c>
      <c r="AG135" s="5">
        <f>recovered!AG135-recovered!AF135</f>
        <v>5</v>
      </c>
      <c r="AH135" s="5">
        <f>recovered!AH135-recovered!AG135</f>
        <v>0</v>
      </c>
      <c r="AI135" s="5">
        <f>recovered!AI135-recovered!AH135</f>
        <v>4</v>
      </c>
      <c r="AJ135" s="5">
        <f>recovered!AJ135-recovered!AI135</f>
        <v>0</v>
      </c>
      <c r="AK135" s="5">
        <f>recovered!AK135-recovered!AJ135</f>
        <v>0</v>
      </c>
      <c r="AL135" s="5">
        <f>recovered!AL135-recovered!AK135</f>
        <v>0</v>
      </c>
      <c r="AM135" s="5">
        <f>recovered!AM135-recovered!AL135</f>
        <v>0</v>
      </c>
      <c r="AN135" s="5">
        <f>recovered!AN135-recovered!AM135</f>
        <v>0</v>
      </c>
      <c r="AO135" s="5">
        <f>recovered!AO135-recovered!AN135</f>
        <v>0</v>
      </c>
      <c r="AP135" s="5">
        <f>recovered!AP135-recovered!AO135</f>
        <v>0</v>
      </c>
      <c r="AQ135" s="5">
        <f>recovered!AQ135-recovered!AP135</f>
        <v>10</v>
      </c>
      <c r="AR135" s="5">
        <f>recovered!AR135-recovered!AQ135</f>
        <v>0</v>
      </c>
      <c r="AS135" s="5">
        <f>recovered!AS135-recovered!AR135</f>
        <v>0</v>
      </c>
      <c r="AT135" s="5">
        <f>recovered!AT135-recovered!AS135</f>
        <v>11</v>
      </c>
      <c r="AU135" s="5">
        <f>recovered!AU135-recovered!AT135</f>
        <v>0</v>
      </c>
      <c r="AV135" s="5">
        <f>recovered!AV135-recovered!AU135</f>
        <v>0</v>
      </c>
      <c r="AW135" s="5">
        <f>recovered!AW135-recovered!AV135</f>
        <v>3</v>
      </c>
      <c r="AX135" s="5">
        <f>recovered!AX135-recovered!AW135</f>
        <v>30</v>
      </c>
      <c r="AY135" s="5">
        <f>recovered!AY135-recovered!AX135</f>
        <v>0</v>
      </c>
      <c r="AZ135" s="5">
        <f>recovered!AZ135-recovered!AY135</f>
        <v>0</v>
      </c>
      <c r="BA135" s="5">
        <f>recovered!BA135-recovered!AZ135</f>
        <v>25</v>
      </c>
      <c r="BB135" s="5">
        <f>recovered!BB135-recovered!BA135</f>
        <v>17</v>
      </c>
      <c r="BC135" s="5">
        <f>recovered!BC135-recovered!BB135</f>
        <v>0</v>
      </c>
      <c r="BD135" s="5">
        <f>recovered!BD135-recovered!BC135</f>
        <v>0</v>
      </c>
      <c r="BE135" s="5">
        <f>recovered!BE135-recovered!BD135</f>
        <v>0</v>
      </c>
      <c r="BF135" s="5">
        <f>recovered!BF135-recovered!BE135</f>
        <v>0</v>
      </c>
      <c r="BG135" s="5">
        <f>recovered!BG135-recovered!BF135</f>
        <v>26</v>
      </c>
      <c r="BH135" s="5">
        <f>recovered!BH135-recovered!BG135</f>
        <v>0</v>
      </c>
      <c r="BI135" s="5">
        <f>recovered!BI135-recovered!BH135</f>
        <v>0</v>
      </c>
      <c r="BJ135" s="5">
        <f>recovered!BJ135-recovered!BI135</f>
        <v>6</v>
      </c>
      <c r="BK135" s="5">
        <f>recovered!BK135-recovered!BJ135</f>
        <v>41</v>
      </c>
      <c r="BL135" s="5">
        <f>recovered!BL135-recovered!BK135</f>
        <v>41</v>
      </c>
      <c r="BM135" s="5">
        <f>recovered!BM135-recovered!BL135</f>
        <v>3</v>
      </c>
      <c r="BN135" s="5">
        <f>recovered!BN135-recovered!BM135</f>
        <v>0</v>
      </c>
      <c r="BO135" s="5">
        <f>recovered!BO135-recovered!BN135</f>
        <v>50</v>
      </c>
      <c r="BP135" s="5">
        <f>recovered!BP135-recovered!BO135</f>
        <v>25</v>
      </c>
      <c r="BQ135" s="5">
        <f>recovered!BQ135-recovered!BP135</f>
        <v>49</v>
      </c>
      <c r="BR135" s="5">
        <f>recovered!BR135-recovered!BQ135</f>
        <v>13</v>
      </c>
      <c r="BS135" s="5">
        <f>recovered!BS135-recovered!BR135</f>
        <v>32</v>
      </c>
      <c r="BT135" s="5">
        <f>recovered!BT135-recovered!BS135</f>
        <v>20</v>
      </c>
      <c r="BU135" s="5">
        <f>recovered!BU135-recovered!BT135</f>
        <v>0</v>
      </c>
      <c r="BV135" s="5">
        <f>recovered!BV135-recovered!BU135</f>
        <v>0</v>
      </c>
      <c r="BW135" s="5">
        <f>recovered!BW135-recovered!BV135</f>
        <v>48</v>
      </c>
      <c r="BX135" s="5">
        <f>recovered!BX135-recovered!BW135</f>
        <v>0</v>
      </c>
      <c r="BY135" s="5">
        <f>recovered!BY135-recovered!BX135</f>
        <v>42</v>
      </c>
    </row>
    <row r="136">
      <c r="B136" s="1" t="str">
        <f>recovered!B136</f>
        <v>Jordan</v>
      </c>
      <c r="C136" s="4">
        <f>recovered!C136</f>
        <v>31.24</v>
      </c>
      <c r="D136" s="4">
        <f>recovered!D136</f>
        <v>36.51</v>
      </c>
      <c r="E136" s="5">
        <f>recovered!E136</f>
        <v>0</v>
      </c>
      <c r="F136" s="5">
        <f>recovered!F136-recovered!E136</f>
        <v>0</v>
      </c>
      <c r="G136" s="5">
        <f>recovered!G136-recovered!F136</f>
        <v>0</v>
      </c>
      <c r="H136" s="5">
        <f>recovered!H136-recovered!G136</f>
        <v>0</v>
      </c>
      <c r="I136" s="5">
        <f>recovered!I136-recovered!H136</f>
        <v>0</v>
      </c>
      <c r="J136" s="5">
        <f>recovered!J136-recovered!I136</f>
        <v>0</v>
      </c>
      <c r="K136" s="5">
        <f>recovered!K136-recovered!J136</f>
        <v>0</v>
      </c>
      <c r="L136" s="5">
        <f>recovered!L136-recovered!K136</f>
        <v>0</v>
      </c>
      <c r="M136" s="5">
        <f>recovered!M136-recovered!L136</f>
        <v>0</v>
      </c>
      <c r="N136" s="5">
        <f>recovered!N136-recovered!M136</f>
        <v>0</v>
      </c>
      <c r="O136" s="5">
        <f>recovered!O136-recovered!N136</f>
        <v>0</v>
      </c>
      <c r="P136" s="5">
        <f>recovered!P136-recovered!O136</f>
        <v>0</v>
      </c>
      <c r="Q136" s="5">
        <f>recovered!Q136-recovered!P136</f>
        <v>0</v>
      </c>
      <c r="R136" s="5">
        <f>recovered!R136-recovered!Q136</f>
        <v>0</v>
      </c>
      <c r="S136" s="5">
        <f>recovered!S136-recovered!R136</f>
        <v>0</v>
      </c>
      <c r="T136" s="5">
        <f>recovered!T136-recovered!S136</f>
        <v>0</v>
      </c>
      <c r="U136" s="5">
        <f>recovered!U136-recovered!T136</f>
        <v>0</v>
      </c>
      <c r="V136" s="5">
        <f>recovered!V136-recovered!U136</f>
        <v>0</v>
      </c>
      <c r="W136" s="5">
        <f>recovered!W136-recovered!V136</f>
        <v>0</v>
      </c>
      <c r="X136" s="5">
        <f>recovered!X136-recovered!W136</f>
        <v>0</v>
      </c>
      <c r="Y136" s="5">
        <f>recovered!Y136-recovered!X136</f>
        <v>0</v>
      </c>
      <c r="Z136" s="5">
        <f>recovered!Z136-recovered!Y136</f>
        <v>0</v>
      </c>
      <c r="AA136" s="5">
        <f>recovered!AA136-recovered!Z136</f>
        <v>0</v>
      </c>
      <c r="AB136" s="5">
        <f>recovered!AB136-recovered!AA136</f>
        <v>0</v>
      </c>
      <c r="AC136" s="5">
        <f>recovered!AC136-recovered!AB136</f>
        <v>0</v>
      </c>
      <c r="AD136" s="5">
        <f>recovered!AD136-recovered!AC136</f>
        <v>0</v>
      </c>
      <c r="AE136" s="5">
        <f>recovered!AE136-recovered!AD136</f>
        <v>0</v>
      </c>
      <c r="AF136" s="5">
        <f>recovered!AF136-recovered!AE136</f>
        <v>0</v>
      </c>
      <c r="AG136" s="5">
        <f>recovered!AG136-recovered!AF136</f>
        <v>0</v>
      </c>
      <c r="AH136" s="5">
        <f>recovered!AH136-recovered!AG136</f>
        <v>0</v>
      </c>
      <c r="AI136" s="5">
        <f>recovered!AI136-recovered!AH136</f>
        <v>0</v>
      </c>
      <c r="AJ136" s="5">
        <f>recovered!AJ136-recovered!AI136</f>
        <v>0</v>
      </c>
      <c r="AK136" s="5">
        <f>recovered!AK136-recovered!AJ136</f>
        <v>0</v>
      </c>
      <c r="AL136" s="5">
        <f>recovered!AL136-recovered!AK136</f>
        <v>0</v>
      </c>
      <c r="AM136" s="5">
        <f>recovered!AM136-recovered!AL136</f>
        <v>0</v>
      </c>
      <c r="AN136" s="5">
        <f>recovered!AN136-recovered!AM136</f>
        <v>0</v>
      </c>
      <c r="AO136" s="5">
        <f>recovered!AO136-recovered!AN136</f>
        <v>0</v>
      </c>
      <c r="AP136" s="5">
        <f>recovered!AP136-recovered!AO136</f>
        <v>0</v>
      </c>
      <c r="AQ136" s="5">
        <f>recovered!AQ136-recovered!AP136</f>
        <v>0</v>
      </c>
      <c r="AR136" s="5">
        <f>recovered!AR136-recovered!AQ136</f>
        <v>0</v>
      </c>
      <c r="AS136" s="5">
        <f>recovered!AS136-recovered!AR136</f>
        <v>0</v>
      </c>
      <c r="AT136" s="5">
        <f>recovered!AT136-recovered!AS136</f>
        <v>0</v>
      </c>
      <c r="AU136" s="5">
        <f>recovered!AU136-recovered!AT136</f>
        <v>0</v>
      </c>
      <c r="AV136" s="5">
        <f>recovered!AV136-recovered!AU136</f>
        <v>0</v>
      </c>
      <c r="AW136" s="5">
        <f>recovered!AW136-recovered!AV136</f>
        <v>0</v>
      </c>
      <c r="AX136" s="5">
        <f>recovered!AX136-recovered!AW136</f>
        <v>0</v>
      </c>
      <c r="AY136" s="5">
        <f>recovered!AY136-recovered!AX136</f>
        <v>0</v>
      </c>
      <c r="AZ136" s="5">
        <f>recovered!AZ136-recovered!AY136</f>
        <v>0</v>
      </c>
      <c r="BA136" s="5">
        <f>recovered!BA136-recovered!AZ136</f>
        <v>0</v>
      </c>
      <c r="BB136" s="5">
        <f>recovered!BB136-recovered!BA136</f>
        <v>0</v>
      </c>
      <c r="BC136" s="5">
        <f>recovered!BC136-recovered!BB136</f>
        <v>0</v>
      </c>
      <c r="BD136" s="5">
        <f>recovered!BD136-recovered!BC136</f>
        <v>1</v>
      </c>
      <c r="BE136" s="5">
        <f>recovered!BE136-recovered!BD136</f>
        <v>0</v>
      </c>
      <c r="BF136" s="5">
        <f>recovered!BF136-recovered!BE136</f>
        <v>0</v>
      </c>
      <c r="BG136" s="5">
        <f>recovered!BG136-recovered!BF136</f>
        <v>0</v>
      </c>
      <c r="BH136" s="5">
        <f>recovered!BH136-recovered!BG136</f>
        <v>0</v>
      </c>
      <c r="BI136" s="5">
        <f>recovered!BI136-recovered!BH136</f>
        <v>0</v>
      </c>
      <c r="BJ136" s="5">
        <f>recovered!BJ136-recovered!BI136</f>
        <v>0</v>
      </c>
      <c r="BK136" s="5">
        <f>recovered!BK136-recovered!BJ136</f>
        <v>0</v>
      </c>
      <c r="BL136" s="5">
        <f>recovered!BL136-recovered!BK136</f>
        <v>0</v>
      </c>
      <c r="BM136" s="5">
        <f>recovered!BM136-recovered!BL136</f>
        <v>0</v>
      </c>
      <c r="BN136" s="5">
        <f>recovered!BN136-recovered!BM136</f>
        <v>0</v>
      </c>
      <c r="BO136" s="5">
        <f>recovered!BO136-recovered!BN136</f>
        <v>0</v>
      </c>
      <c r="BP136" s="5">
        <f>recovered!BP136-recovered!BO136</f>
        <v>0</v>
      </c>
      <c r="BQ136" s="5">
        <f>recovered!BQ136-recovered!BP136</f>
        <v>0</v>
      </c>
      <c r="BR136" s="5">
        <f>recovered!BR136-recovered!BQ136</f>
        <v>17</v>
      </c>
      <c r="BS136" s="5">
        <f>recovered!BS136-recovered!BR136</f>
        <v>0</v>
      </c>
      <c r="BT136" s="5">
        <f>recovered!BT136-recovered!BS136</f>
        <v>0</v>
      </c>
      <c r="BU136" s="5">
        <f>recovered!BU136-recovered!BT136</f>
        <v>8</v>
      </c>
      <c r="BV136" s="5">
        <f>recovered!BV136-recovered!BU136</f>
        <v>4</v>
      </c>
      <c r="BW136" s="5">
        <f>recovered!BW136-recovered!BV136</f>
        <v>6</v>
      </c>
      <c r="BX136" s="5">
        <f>recovered!BX136-recovered!BW136</f>
        <v>9</v>
      </c>
      <c r="BY136" s="5">
        <f>recovered!BY136-recovered!BX136</f>
        <v>13</v>
      </c>
    </row>
    <row r="137">
      <c r="B137" s="1" t="str">
        <f>recovered!B137</f>
        <v>Kazakhstan</v>
      </c>
      <c r="C137" s="4">
        <f>recovered!C137</f>
        <v>48.0196</v>
      </c>
      <c r="D137" s="4">
        <f>recovered!D137</f>
        <v>66.9237</v>
      </c>
      <c r="E137" s="5">
        <f>recovered!E137</f>
        <v>0</v>
      </c>
      <c r="F137" s="5">
        <f>recovered!F137-recovered!E137</f>
        <v>0</v>
      </c>
      <c r="G137" s="5">
        <f>recovered!G137-recovered!F137</f>
        <v>0</v>
      </c>
      <c r="H137" s="5">
        <f>recovered!H137-recovered!G137</f>
        <v>0</v>
      </c>
      <c r="I137" s="5">
        <f>recovered!I137-recovered!H137</f>
        <v>0</v>
      </c>
      <c r="J137" s="5">
        <f>recovered!J137-recovered!I137</f>
        <v>0</v>
      </c>
      <c r="K137" s="5">
        <f>recovered!K137-recovered!J137</f>
        <v>0</v>
      </c>
      <c r="L137" s="5">
        <f>recovered!L137-recovered!K137</f>
        <v>0</v>
      </c>
      <c r="M137" s="5">
        <f>recovered!M137-recovered!L137</f>
        <v>0</v>
      </c>
      <c r="N137" s="5">
        <f>recovered!N137-recovered!M137</f>
        <v>0</v>
      </c>
      <c r="O137" s="5">
        <f>recovered!O137-recovered!N137</f>
        <v>0</v>
      </c>
      <c r="P137" s="5">
        <f>recovered!P137-recovered!O137</f>
        <v>0</v>
      </c>
      <c r="Q137" s="5">
        <f>recovered!Q137-recovered!P137</f>
        <v>0</v>
      </c>
      <c r="R137" s="5">
        <f>recovered!R137-recovered!Q137</f>
        <v>0</v>
      </c>
      <c r="S137" s="5">
        <f>recovered!S137-recovered!R137</f>
        <v>0</v>
      </c>
      <c r="T137" s="5">
        <f>recovered!T137-recovered!S137</f>
        <v>0</v>
      </c>
      <c r="U137" s="5">
        <f>recovered!U137-recovered!T137</f>
        <v>0</v>
      </c>
      <c r="V137" s="5">
        <f>recovered!V137-recovered!U137</f>
        <v>0</v>
      </c>
      <c r="W137" s="5">
        <f>recovered!W137-recovered!V137</f>
        <v>0</v>
      </c>
      <c r="X137" s="5">
        <f>recovered!X137-recovered!W137</f>
        <v>0</v>
      </c>
      <c r="Y137" s="5">
        <f>recovered!Y137-recovered!X137</f>
        <v>0</v>
      </c>
      <c r="Z137" s="5">
        <f>recovered!Z137-recovered!Y137</f>
        <v>0</v>
      </c>
      <c r="AA137" s="5">
        <f>recovered!AA137-recovered!Z137</f>
        <v>0</v>
      </c>
      <c r="AB137" s="5">
        <f>recovered!AB137-recovered!AA137</f>
        <v>0</v>
      </c>
      <c r="AC137" s="5">
        <f>recovered!AC137-recovered!AB137</f>
        <v>0</v>
      </c>
      <c r="AD137" s="5">
        <f>recovered!AD137-recovered!AC137</f>
        <v>0</v>
      </c>
      <c r="AE137" s="5">
        <f>recovered!AE137-recovered!AD137</f>
        <v>0</v>
      </c>
      <c r="AF137" s="5">
        <f>recovered!AF137-recovered!AE137</f>
        <v>0</v>
      </c>
      <c r="AG137" s="5">
        <f>recovered!AG137-recovered!AF137</f>
        <v>0</v>
      </c>
      <c r="AH137" s="5">
        <f>recovered!AH137-recovered!AG137</f>
        <v>0</v>
      </c>
      <c r="AI137" s="5">
        <f>recovered!AI137-recovered!AH137</f>
        <v>0</v>
      </c>
      <c r="AJ137" s="5">
        <f>recovered!AJ137-recovered!AI137</f>
        <v>0</v>
      </c>
      <c r="AK137" s="5">
        <f>recovered!AK137-recovered!AJ137</f>
        <v>0</v>
      </c>
      <c r="AL137" s="5">
        <f>recovered!AL137-recovered!AK137</f>
        <v>0</v>
      </c>
      <c r="AM137" s="5">
        <f>recovered!AM137-recovered!AL137</f>
        <v>0</v>
      </c>
      <c r="AN137" s="5">
        <f>recovered!AN137-recovered!AM137</f>
        <v>0</v>
      </c>
      <c r="AO137" s="5">
        <f>recovered!AO137-recovered!AN137</f>
        <v>0</v>
      </c>
      <c r="AP137" s="5">
        <f>recovered!AP137-recovered!AO137</f>
        <v>0</v>
      </c>
      <c r="AQ137" s="5">
        <f>recovered!AQ137-recovered!AP137</f>
        <v>0</v>
      </c>
      <c r="AR137" s="5">
        <f>recovered!AR137-recovered!AQ137</f>
        <v>0</v>
      </c>
      <c r="AS137" s="5">
        <f>recovered!AS137-recovered!AR137</f>
        <v>0</v>
      </c>
      <c r="AT137" s="5">
        <f>recovered!AT137-recovered!AS137</f>
        <v>0</v>
      </c>
      <c r="AU137" s="5">
        <f>recovered!AU137-recovered!AT137</f>
        <v>0</v>
      </c>
      <c r="AV137" s="5">
        <f>recovered!AV137-recovered!AU137</f>
        <v>0</v>
      </c>
      <c r="AW137" s="5">
        <f>recovered!AW137-recovered!AV137</f>
        <v>0</v>
      </c>
      <c r="AX137" s="5">
        <f>recovered!AX137-recovered!AW137</f>
        <v>0</v>
      </c>
      <c r="AY137" s="5">
        <f>recovered!AY137-recovered!AX137</f>
        <v>0</v>
      </c>
      <c r="AZ137" s="5">
        <f>recovered!AZ137-recovered!AY137</f>
        <v>0</v>
      </c>
      <c r="BA137" s="5">
        <f>recovered!BA137-recovered!AZ137</f>
        <v>0</v>
      </c>
      <c r="BB137" s="5">
        <f>recovered!BB137-recovered!BA137</f>
        <v>0</v>
      </c>
      <c r="BC137" s="5">
        <f>recovered!BC137-recovered!BB137</f>
        <v>0</v>
      </c>
      <c r="BD137" s="5">
        <f>recovered!BD137-recovered!BC137</f>
        <v>0</v>
      </c>
      <c r="BE137" s="5">
        <f>recovered!BE137-recovered!BD137</f>
        <v>0</v>
      </c>
      <c r="BF137" s="5">
        <f>recovered!BF137-recovered!BE137</f>
        <v>0</v>
      </c>
      <c r="BG137" s="5">
        <f>recovered!BG137-recovered!BF137</f>
        <v>0</v>
      </c>
      <c r="BH137" s="5">
        <f>recovered!BH137-recovered!BG137</f>
        <v>0</v>
      </c>
      <c r="BI137" s="5">
        <f>recovered!BI137-recovered!BH137</f>
        <v>0</v>
      </c>
      <c r="BJ137" s="5">
        <f>recovered!BJ137-recovered!BI137</f>
        <v>0</v>
      </c>
      <c r="BK137" s="5">
        <f>recovered!BK137-recovered!BJ137</f>
        <v>0</v>
      </c>
      <c r="BL137" s="5">
        <f>recovered!BL137-recovered!BK137</f>
        <v>0</v>
      </c>
      <c r="BM137" s="5">
        <f>recovered!BM137-recovered!BL137</f>
        <v>0</v>
      </c>
      <c r="BN137" s="5">
        <f>recovered!BN137-recovered!BM137</f>
        <v>0</v>
      </c>
      <c r="BO137" s="5">
        <f>recovered!BO137-recovered!BN137</f>
        <v>0</v>
      </c>
      <c r="BP137" s="5">
        <f>recovered!BP137-recovered!BO137</f>
        <v>0</v>
      </c>
      <c r="BQ137" s="5">
        <f>recovered!BQ137-recovered!BP137</f>
        <v>2</v>
      </c>
      <c r="BR137" s="5">
        <f>recovered!BR137-recovered!BQ137</f>
        <v>1</v>
      </c>
      <c r="BS137" s="5">
        <f>recovered!BS137-recovered!BR137</f>
        <v>13</v>
      </c>
      <c r="BT137" s="5">
        <f>recovered!BT137-recovered!BS137</f>
        <v>4</v>
      </c>
      <c r="BU137" s="5">
        <f>recovered!BU137-recovered!BT137</f>
        <v>1</v>
      </c>
      <c r="BV137" s="5">
        <f>recovered!BV137-recovered!BU137</f>
        <v>3</v>
      </c>
      <c r="BW137" s="5">
        <f>recovered!BW137-recovered!BV137</f>
        <v>2</v>
      </c>
      <c r="BX137" s="5">
        <f>recovered!BX137-recovered!BW137</f>
        <v>1</v>
      </c>
      <c r="BY137" s="5">
        <f>recovered!BY137-recovered!BX137</f>
        <v>2</v>
      </c>
    </row>
    <row r="138">
      <c r="B138" s="1" t="str">
        <f>recovered!B138</f>
        <v>Kenya</v>
      </c>
      <c r="C138" s="4">
        <f>recovered!C138</f>
        <v>-0.0236</v>
      </c>
      <c r="D138" s="4">
        <f>recovered!D138</f>
        <v>37.9062</v>
      </c>
      <c r="E138" s="5">
        <f>recovered!E138</f>
        <v>0</v>
      </c>
      <c r="F138" s="5">
        <f>recovered!F138-recovered!E138</f>
        <v>0</v>
      </c>
      <c r="G138" s="5">
        <f>recovered!G138-recovered!F138</f>
        <v>0</v>
      </c>
      <c r="H138" s="5">
        <f>recovered!H138-recovered!G138</f>
        <v>0</v>
      </c>
      <c r="I138" s="5">
        <f>recovered!I138-recovered!H138</f>
        <v>0</v>
      </c>
      <c r="J138" s="5">
        <f>recovered!J138-recovered!I138</f>
        <v>0</v>
      </c>
      <c r="K138" s="5">
        <f>recovered!K138-recovered!J138</f>
        <v>0</v>
      </c>
      <c r="L138" s="5">
        <f>recovered!L138-recovered!K138</f>
        <v>0</v>
      </c>
      <c r="M138" s="5">
        <f>recovered!M138-recovered!L138</f>
        <v>0</v>
      </c>
      <c r="N138" s="5">
        <f>recovered!N138-recovered!M138</f>
        <v>0</v>
      </c>
      <c r="O138" s="5">
        <f>recovered!O138-recovered!N138</f>
        <v>0</v>
      </c>
      <c r="P138" s="5">
        <f>recovered!P138-recovered!O138</f>
        <v>0</v>
      </c>
      <c r="Q138" s="5">
        <f>recovered!Q138-recovered!P138</f>
        <v>0</v>
      </c>
      <c r="R138" s="5">
        <f>recovered!R138-recovered!Q138</f>
        <v>0</v>
      </c>
      <c r="S138" s="5">
        <f>recovered!S138-recovered!R138</f>
        <v>0</v>
      </c>
      <c r="T138" s="5">
        <f>recovered!T138-recovered!S138</f>
        <v>0</v>
      </c>
      <c r="U138" s="5">
        <f>recovered!U138-recovered!T138</f>
        <v>0</v>
      </c>
      <c r="V138" s="5">
        <f>recovered!V138-recovered!U138</f>
        <v>0</v>
      </c>
      <c r="W138" s="5">
        <f>recovered!W138-recovered!V138</f>
        <v>0</v>
      </c>
      <c r="X138" s="5">
        <f>recovered!X138-recovered!W138</f>
        <v>0</v>
      </c>
      <c r="Y138" s="5">
        <f>recovered!Y138-recovered!X138</f>
        <v>0</v>
      </c>
      <c r="Z138" s="5">
        <f>recovered!Z138-recovered!Y138</f>
        <v>0</v>
      </c>
      <c r="AA138" s="5">
        <f>recovered!AA138-recovered!Z138</f>
        <v>0</v>
      </c>
      <c r="AB138" s="5">
        <f>recovered!AB138-recovered!AA138</f>
        <v>0</v>
      </c>
      <c r="AC138" s="5">
        <f>recovered!AC138-recovered!AB138</f>
        <v>0</v>
      </c>
      <c r="AD138" s="5">
        <f>recovered!AD138-recovered!AC138</f>
        <v>0</v>
      </c>
      <c r="AE138" s="5">
        <f>recovered!AE138-recovered!AD138</f>
        <v>0</v>
      </c>
      <c r="AF138" s="5">
        <f>recovered!AF138-recovered!AE138</f>
        <v>0</v>
      </c>
      <c r="AG138" s="5">
        <f>recovered!AG138-recovered!AF138</f>
        <v>0</v>
      </c>
      <c r="AH138" s="5">
        <f>recovered!AH138-recovered!AG138</f>
        <v>0</v>
      </c>
      <c r="AI138" s="5">
        <f>recovered!AI138-recovered!AH138</f>
        <v>0</v>
      </c>
      <c r="AJ138" s="5">
        <f>recovered!AJ138-recovered!AI138</f>
        <v>0</v>
      </c>
      <c r="AK138" s="5">
        <f>recovered!AK138-recovered!AJ138</f>
        <v>0</v>
      </c>
      <c r="AL138" s="5">
        <f>recovered!AL138-recovered!AK138</f>
        <v>0</v>
      </c>
      <c r="AM138" s="5">
        <f>recovered!AM138-recovered!AL138</f>
        <v>0</v>
      </c>
      <c r="AN138" s="5">
        <f>recovered!AN138-recovered!AM138</f>
        <v>0</v>
      </c>
      <c r="AO138" s="5">
        <f>recovered!AO138-recovered!AN138</f>
        <v>0</v>
      </c>
      <c r="AP138" s="5">
        <f>recovered!AP138-recovered!AO138</f>
        <v>0</v>
      </c>
      <c r="AQ138" s="5">
        <f>recovered!AQ138-recovered!AP138</f>
        <v>0</v>
      </c>
      <c r="AR138" s="5">
        <f>recovered!AR138-recovered!AQ138</f>
        <v>0</v>
      </c>
      <c r="AS138" s="5">
        <f>recovered!AS138-recovered!AR138</f>
        <v>0</v>
      </c>
      <c r="AT138" s="5">
        <f>recovered!AT138-recovered!AS138</f>
        <v>0</v>
      </c>
      <c r="AU138" s="5">
        <f>recovered!AU138-recovered!AT138</f>
        <v>0</v>
      </c>
      <c r="AV138" s="5">
        <f>recovered!AV138-recovered!AU138</f>
        <v>0</v>
      </c>
      <c r="AW138" s="5">
        <f>recovered!AW138-recovered!AV138</f>
        <v>0</v>
      </c>
      <c r="AX138" s="5">
        <f>recovered!AX138-recovered!AW138</f>
        <v>0</v>
      </c>
      <c r="AY138" s="5">
        <f>recovered!AY138-recovered!AX138</f>
        <v>0</v>
      </c>
      <c r="AZ138" s="5">
        <f>recovered!AZ138-recovered!AY138</f>
        <v>0</v>
      </c>
      <c r="BA138" s="5">
        <f>recovered!BA138-recovered!AZ138</f>
        <v>0</v>
      </c>
      <c r="BB138" s="5">
        <f>recovered!BB138-recovered!BA138</f>
        <v>0</v>
      </c>
      <c r="BC138" s="5">
        <f>recovered!BC138-recovered!BB138</f>
        <v>0</v>
      </c>
      <c r="BD138" s="5">
        <f>recovered!BD138-recovered!BC138</f>
        <v>0</v>
      </c>
      <c r="BE138" s="5">
        <f>recovered!BE138-recovered!BD138</f>
        <v>0</v>
      </c>
      <c r="BF138" s="5">
        <f>recovered!BF138-recovered!BE138</f>
        <v>0</v>
      </c>
      <c r="BG138" s="5">
        <f>recovered!BG138-recovered!BF138</f>
        <v>0</v>
      </c>
      <c r="BH138" s="5">
        <f>recovered!BH138-recovered!BG138</f>
        <v>0</v>
      </c>
      <c r="BI138" s="5">
        <f>recovered!BI138-recovered!BH138</f>
        <v>0</v>
      </c>
      <c r="BJ138" s="5">
        <f>recovered!BJ138-recovered!BI138</f>
        <v>0</v>
      </c>
      <c r="BK138" s="5">
        <f>recovered!BK138-recovered!BJ138</f>
        <v>0</v>
      </c>
      <c r="BL138" s="5">
        <f>recovered!BL138-recovered!BK138</f>
        <v>0</v>
      </c>
      <c r="BM138" s="5">
        <f>recovered!BM138-recovered!BL138</f>
        <v>0</v>
      </c>
      <c r="BN138" s="5">
        <f>recovered!BN138-recovered!BM138</f>
        <v>0</v>
      </c>
      <c r="BO138" s="5">
        <f>recovered!BO138-recovered!BN138</f>
        <v>0</v>
      </c>
      <c r="BP138" s="5">
        <f>recovered!BP138-recovered!BO138</f>
        <v>1</v>
      </c>
      <c r="BQ138" s="5">
        <f>recovered!BQ138-recovered!BP138</f>
        <v>0</v>
      </c>
      <c r="BR138" s="5">
        <f>recovered!BR138-recovered!BQ138</f>
        <v>0</v>
      </c>
      <c r="BS138" s="5">
        <f>recovered!BS138-recovered!BR138</f>
        <v>0</v>
      </c>
      <c r="BT138" s="5">
        <f>recovered!BT138-recovered!BS138</f>
        <v>0</v>
      </c>
      <c r="BU138" s="5">
        <f>recovered!BU138-recovered!BT138</f>
        <v>0</v>
      </c>
      <c r="BV138" s="5">
        <f>recovered!BV138-recovered!BU138</f>
        <v>0</v>
      </c>
      <c r="BW138" s="5">
        <f>recovered!BW138-recovered!BV138</f>
        <v>2</v>
      </c>
      <c r="BX138" s="5">
        <f>recovered!BX138-recovered!BW138</f>
        <v>1</v>
      </c>
      <c r="BY138" s="5">
        <f>recovered!BY138-recovered!BX138</f>
        <v>0</v>
      </c>
    </row>
    <row r="139">
      <c r="B139" s="1" t="str">
        <f>recovered!B139</f>
        <v>Korea, South</v>
      </c>
      <c r="C139" s="4">
        <f>recovered!C139</f>
        <v>36</v>
      </c>
      <c r="D139" s="4">
        <f>recovered!D139</f>
        <v>128</v>
      </c>
      <c r="E139" s="5">
        <f>recovered!E139</f>
        <v>0</v>
      </c>
      <c r="F139" s="5">
        <f>recovered!F139-recovered!E139</f>
        <v>0</v>
      </c>
      <c r="G139" s="5">
        <f>recovered!G139-recovered!F139</f>
        <v>0</v>
      </c>
      <c r="H139" s="5">
        <f>recovered!H139-recovered!G139</f>
        <v>0</v>
      </c>
      <c r="I139" s="5">
        <f>recovered!I139-recovered!H139</f>
        <v>0</v>
      </c>
      <c r="J139" s="5">
        <f>recovered!J139-recovered!I139</f>
        <v>0</v>
      </c>
      <c r="K139" s="5">
        <f>recovered!K139-recovered!J139</f>
        <v>0</v>
      </c>
      <c r="L139" s="5">
        <f>recovered!L139-recovered!K139</f>
        <v>0</v>
      </c>
      <c r="M139" s="5">
        <f>recovered!M139-recovered!L139</f>
        <v>0</v>
      </c>
      <c r="N139" s="5">
        <f>recovered!N139-recovered!M139</f>
        <v>0</v>
      </c>
      <c r="O139" s="5">
        <f>recovered!O139-recovered!N139</f>
        <v>0</v>
      </c>
      <c r="P139" s="5">
        <f>recovered!P139-recovered!O139</f>
        <v>0</v>
      </c>
      <c r="Q139" s="5">
        <f>recovered!Q139-recovered!P139</f>
        <v>0</v>
      </c>
      <c r="R139" s="5">
        <f>recovered!R139-recovered!Q139</f>
        <v>0</v>
      </c>
      <c r="S139" s="5">
        <f>recovered!S139-recovered!R139</f>
        <v>0</v>
      </c>
      <c r="T139" s="5">
        <f>recovered!T139-recovered!S139</f>
        <v>0</v>
      </c>
      <c r="U139" s="5">
        <f>recovered!U139-recovered!T139</f>
        <v>1</v>
      </c>
      <c r="V139" s="5">
        <f>recovered!V139-recovered!U139</f>
        <v>0</v>
      </c>
      <c r="W139" s="5">
        <f>recovered!W139-recovered!V139</f>
        <v>2</v>
      </c>
      <c r="X139" s="5">
        <f>recovered!X139-recovered!W139</f>
        <v>0</v>
      </c>
      <c r="Y139" s="5">
        <f>recovered!Y139-recovered!X139</f>
        <v>0</v>
      </c>
      <c r="Z139" s="5">
        <f>recovered!Z139-recovered!Y139</f>
        <v>4</v>
      </c>
      <c r="AA139" s="5">
        <f>recovered!AA139-recovered!Z139</f>
        <v>0</v>
      </c>
      <c r="AB139" s="5">
        <f>recovered!AB139-recovered!AA139</f>
        <v>0</v>
      </c>
      <c r="AC139" s="5">
        <f>recovered!AC139-recovered!AB139</f>
        <v>2</v>
      </c>
      <c r="AD139" s="5">
        <f>recovered!AD139-recovered!AC139</f>
        <v>0</v>
      </c>
      <c r="AE139" s="5">
        <f>recovered!AE139-recovered!AD139</f>
        <v>1</v>
      </c>
      <c r="AF139" s="5">
        <f>recovered!AF139-recovered!AE139</f>
        <v>2</v>
      </c>
      <c r="AG139" s="5">
        <f>recovered!AG139-recovered!AF139</f>
        <v>0</v>
      </c>
      <c r="AH139" s="5">
        <f>recovered!AH139-recovered!AG139</f>
        <v>4</v>
      </c>
      <c r="AI139" s="5">
        <f>recovered!AI139-recovered!AH139</f>
        <v>0</v>
      </c>
      <c r="AJ139" s="5">
        <f>recovered!AJ139-recovered!AI139</f>
        <v>0</v>
      </c>
      <c r="AK139" s="5">
        <f>recovered!AK139-recovered!AJ139</f>
        <v>2</v>
      </c>
      <c r="AL139" s="5">
        <f>recovered!AL139-recovered!AK139</f>
        <v>0</v>
      </c>
      <c r="AM139" s="5">
        <f>recovered!AM139-recovered!AL139</f>
        <v>4</v>
      </c>
      <c r="AN139" s="5">
        <f>recovered!AN139-recovered!AM139</f>
        <v>0</v>
      </c>
      <c r="AO139" s="5">
        <f>recovered!AO139-recovered!AN139</f>
        <v>0</v>
      </c>
      <c r="AP139" s="5">
        <f>recovered!AP139-recovered!AO139</f>
        <v>0</v>
      </c>
      <c r="AQ139" s="5">
        <f>recovered!AQ139-recovered!AP139</f>
        <v>5</v>
      </c>
      <c r="AR139" s="5">
        <f>recovered!AR139-recovered!AQ139</f>
        <v>3</v>
      </c>
      <c r="AS139" s="5">
        <f>recovered!AS139-recovered!AR139</f>
        <v>0</v>
      </c>
      <c r="AT139" s="5">
        <f>recovered!AT139-recovered!AS139</f>
        <v>0</v>
      </c>
      <c r="AU139" s="5">
        <f>recovered!AU139-recovered!AT139</f>
        <v>11</v>
      </c>
      <c r="AV139" s="5">
        <f>recovered!AV139-recovered!AU139</f>
        <v>0</v>
      </c>
      <c r="AW139" s="5">
        <f>recovered!AW139-recovered!AV139</f>
        <v>94</v>
      </c>
      <c r="AX139" s="5">
        <f>recovered!AX139-recovered!AW139</f>
        <v>0</v>
      </c>
      <c r="AY139" s="5">
        <f>recovered!AY139-recovered!AX139</f>
        <v>-17</v>
      </c>
      <c r="AZ139" s="5">
        <f>recovered!AZ139-recovered!AY139</f>
        <v>0</v>
      </c>
      <c r="BA139" s="5">
        <f>recovered!BA139-recovered!AZ139</f>
        <v>129</v>
      </c>
      <c r="BB139" s="5">
        <f>recovered!BB139-recovered!BA139</f>
        <v>41</v>
      </c>
      <c r="BC139" s="5">
        <f>recovered!BC139-recovered!BB139</f>
        <v>45</v>
      </c>
      <c r="BD139" s="5">
        <f>recovered!BD139-recovered!BC139</f>
        <v>177</v>
      </c>
      <c r="BE139" s="5">
        <f>recovered!BE139-recovered!BD139</f>
        <v>0</v>
      </c>
      <c r="BF139" s="5">
        <f>recovered!BF139-recovered!BE139</f>
        <v>0</v>
      </c>
      <c r="BG139" s="5">
        <f>recovered!BG139-recovered!BF139</f>
        <v>627</v>
      </c>
      <c r="BH139" s="5">
        <f>recovered!BH139-recovered!BG139</f>
        <v>270</v>
      </c>
      <c r="BI139" s="5">
        <f>recovered!BI139-recovered!BH139</f>
        <v>133</v>
      </c>
      <c r="BJ139" s="5">
        <f>recovered!BJ139-recovered!BI139</f>
        <v>0</v>
      </c>
      <c r="BK139" s="5">
        <f>recovered!BK139-recovered!BJ139</f>
        <v>0</v>
      </c>
      <c r="BL139" s="5">
        <f>recovered!BL139-recovered!BK139</f>
        <v>0</v>
      </c>
      <c r="BM139" s="5">
        <f>recovered!BM139-recovered!BL139</f>
        <v>1369</v>
      </c>
      <c r="BN139" s="5">
        <f>recovered!BN139-recovered!BM139</f>
        <v>0</v>
      </c>
      <c r="BO139" s="5">
        <f>recovered!BO139-recovered!BN139</f>
        <v>598</v>
      </c>
      <c r="BP139" s="5">
        <f>recovered!BP139-recovered!BO139</f>
        <v>223</v>
      </c>
      <c r="BQ139" s="5">
        <f>recovered!BQ139-recovered!BP139</f>
        <v>414</v>
      </c>
      <c r="BR139" s="5">
        <f>recovered!BR139-recovered!BQ139</f>
        <v>384</v>
      </c>
      <c r="BS139" s="5">
        <f>recovered!BS139-recovered!BR139</f>
        <v>283</v>
      </c>
      <c r="BT139" s="5">
        <f>recovered!BT139-recovered!BS139</f>
        <v>222</v>
      </c>
      <c r="BU139" s="5">
        <f>recovered!BU139-recovered!BT139</f>
        <v>195</v>
      </c>
      <c r="BV139" s="5">
        <f>recovered!BV139-recovered!BU139</f>
        <v>180</v>
      </c>
      <c r="BW139" s="5">
        <f>recovered!BW139-recovered!BV139</f>
        <v>159</v>
      </c>
      <c r="BX139" s="5">
        <f>recovered!BX139-recovered!BW139</f>
        <v>261</v>
      </c>
      <c r="BY139" s="5">
        <f>recovered!BY139-recovered!BX139</f>
        <v>193</v>
      </c>
    </row>
    <row r="140">
      <c r="B140" s="1" t="str">
        <f>recovered!B140</f>
        <v>Kuwait</v>
      </c>
      <c r="C140" s="4">
        <f>recovered!C140</f>
        <v>29.5</v>
      </c>
      <c r="D140" s="4">
        <f>recovered!D140</f>
        <v>47.75</v>
      </c>
      <c r="E140" s="5">
        <f>recovered!E140</f>
        <v>0</v>
      </c>
      <c r="F140" s="5">
        <f>recovered!F140-recovered!E140</f>
        <v>0</v>
      </c>
      <c r="G140" s="5">
        <f>recovered!G140-recovered!F140</f>
        <v>0</v>
      </c>
      <c r="H140" s="5">
        <f>recovered!H140-recovered!G140</f>
        <v>0</v>
      </c>
      <c r="I140" s="5">
        <f>recovered!I140-recovered!H140</f>
        <v>0</v>
      </c>
      <c r="J140" s="5">
        <f>recovered!J140-recovered!I140</f>
        <v>0</v>
      </c>
      <c r="K140" s="5">
        <f>recovered!K140-recovered!J140</f>
        <v>0</v>
      </c>
      <c r="L140" s="5">
        <f>recovered!L140-recovered!K140</f>
        <v>0</v>
      </c>
      <c r="M140" s="5">
        <f>recovered!M140-recovered!L140</f>
        <v>0</v>
      </c>
      <c r="N140" s="5">
        <f>recovered!N140-recovered!M140</f>
        <v>0</v>
      </c>
      <c r="O140" s="5">
        <f>recovered!O140-recovered!N140</f>
        <v>0</v>
      </c>
      <c r="P140" s="5">
        <f>recovered!P140-recovered!O140</f>
        <v>0</v>
      </c>
      <c r="Q140" s="5">
        <f>recovered!Q140-recovered!P140</f>
        <v>0</v>
      </c>
      <c r="R140" s="5">
        <f>recovered!R140-recovered!Q140</f>
        <v>0</v>
      </c>
      <c r="S140" s="5">
        <f>recovered!S140-recovered!R140</f>
        <v>0</v>
      </c>
      <c r="T140" s="5">
        <f>recovered!T140-recovered!S140</f>
        <v>0</v>
      </c>
      <c r="U140" s="5">
        <f>recovered!U140-recovered!T140</f>
        <v>0</v>
      </c>
      <c r="V140" s="5">
        <f>recovered!V140-recovered!U140</f>
        <v>0</v>
      </c>
      <c r="W140" s="5">
        <f>recovered!W140-recovered!V140</f>
        <v>0</v>
      </c>
      <c r="X140" s="5">
        <f>recovered!X140-recovered!W140</f>
        <v>0</v>
      </c>
      <c r="Y140" s="5">
        <f>recovered!Y140-recovered!X140</f>
        <v>0</v>
      </c>
      <c r="Z140" s="5">
        <f>recovered!Z140-recovered!Y140</f>
        <v>0</v>
      </c>
      <c r="AA140" s="5">
        <f>recovered!AA140-recovered!Z140</f>
        <v>0</v>
      </c>
      <c r="AB140" s="5">
        <f>recovered!AB140-recovered!AA140</f>
        <v>0</v>
      </c>
      <c r="AC140" s="5">
        <f>recovered!AC140-recovered!AB140</f>
        <v>0</v>
      </c>
      <c r="AD140" s="5">
        <f>recovered!AD140-recovered!AC140</f>
        <v>0</v>
      </c>
      <c r="AE140" s="5">
        <f>recovered!AE140-recovered!AD140</f>
        <v>0</v>
      </c>
      <c r="AF140" s="5">
        <f>recovered!AF140-recovered!AE140</f>
        <v>0</v>
      </c>
      <c r="AG140" s="5">
        <f>recovered!AG140-recovered!AF140</f>
        <v>0</v>
      </c>
      <c r="AH140" s="5">
        <f>recovered!AH140-recovered!AG140</f>
        <v>0</v>
      </c>
      <c r="AI140" s="5">
        <f>recovered!AI140-recovered!AH140</f>
        <v>0</v>
      </c>
      <c r="AJ140" s="5">
        <f>recovered!AJ140-recovered!AI140</f>
        <v>0</v>
      </c>
      <c r="AK140" s="5">
        <f>recovered!AK140-recovered!AJ140</f>
        <v>0</v>
      </c>
      <c r="AL140" s="5">
        <f>recovered!AL140-recovered!AK140</f>
        <v>0</v>
      </c>
      <c r="AM140" s="5">
        <f>recovered!AM140-recovered!AL140</f>
        <v>0</v>
      </c>
      <c r="AN140" s="5">
        <f>recovered!AN140-recovered!AM140</f>
        <v>0</v>
      </c>
      <c r="AO140" s="5">
        <f>recovered!AO140-recovered!AN140</f>
        <v>0</v>
      </c>
      <c r="AP140" s="5">
        <f>recovered!AP140-recovered!AO140</f>
        <v>0</v>
      </c>
      <c r="AQ140" s="5">
        <f>recovered!AQ140-recovered!AP140</f>
        <v>0</v>
      </c>
      <c r="AR140" s="5">
        <f>recovered!AR140-recovered!AQ140</f>
        <v>0</v>
      </c>
      <c r="AS140" s="5">
        <f>recovered!AS140-recovered!AR140</f>
        <v>0</v>
      </c>
      <c r="AT140" s="5">
        <f>recovered!AT140-recovered!AS140</f>
        <v>0</v>
      </c>
      <c r="AU140" s="5">
        <f>recovered!AU140-recovered!AT140</f>
        <v>0</v>
      </c>
      <c r="AV140" s="5">
        <f>recovered!AV140-recovered!AU140</f>
        <v>0</v>
      </c>
      <c r="AW140" s="5">
        <f>recovered!AW140-recovered!AV140</f>
        <v>0</v>
      </c>
      <c r="AX140" s="5">
        <f>recovered!AX140-recovered!AW140</f>
        <v>0</v>
      </c>
      <c r="AY140" s="5">
        <f>recovered!AY140-recovered!AX140</f>
        <v>1</v>
      </c>
      <c r="AZ140" s="5">
        <f>recovered!AZ140-recovered!AY140</f>
        <v>0</v>
      </c>
      <c r="BA140" s="5">
        <f>recovered!BA140-recovered!AZ140</f>
        <v>0</v>
      </c>
      <c r="BB140" s="5">
        <f>recovered!BB140-recovered!BA140</f>
        <v>1</v>
      </c>
      <c r="BC140" s="5">
        <f>recovered!BC140-recovered!BB140</f>
        <v>3</v>
      </c>
      <c r="BD140" s="5">
        <f>recovered!BD140-recovered!BC140</f>
        <v>0</v>
      </c>
      <c r="BE140" s="5">
        <f>recovered!BE140-recovered!BD140</f>
        <v>0</v>
      </c>
      <c r="BF140" s="5">
        <f>recovered!BF140-recovered!BE140</f>
        <v>0</v>
      </c>
      <c r="BG140" s="5">
        <f>recovered!BG140-recovered!BF140</f>
        <v>4</v>
      </c>
      <c r="BH140" s="5">
        <f>recovered!BH140-recovered!BG140</f>
        <v>0</v>
      </c>
      <c r="BI140" s="5">
        <f>recovered!BI140-recovered!BH140</f>
        <v>6</v>
      </c>
      <c r="BJ140" s="5">
        <f>recovered!BJ140-recovered!BI140</f>
        <v>3</v>
      </c>
      <c r="BK140" s="5">
        <f>recovered!BK140-recovered!BJ140</f>
        <v>0</v>
      </c>
      <c r="BL140" s="5">
        <f>recovered!BL140-recovered!BK140</f>
        <v>9</v>
      </c>
      <c r="BM140" s="5">
        <f>recovered!BM140-recovered!BL140</f>
        <v>0</v>
      </c>
      <c r="BN140" s="5">
        <f>recovered!BN140-recovered!BM140</f>
        <v>0</v>
      </c>
      <c r="BO140" s="5">
        <f>recovered!BO140-recovered!BN140</f>
        <v>12</v>
      </c>
      <c r="BP140" s="5">
        <f>recovered!BP140-recovered!BO140</f>
        <v>4</v>
      </c>
      <c r="BQ140" s="5">
        <f>recovered!BQ140-recovered!BP140</f>
        <v>6</v>
      </c>
      <c r="BR140" s="5">
        <f>recovered!BR140-recovered!BQ140</f>
        <v>8</v>
      </c>
      <c r="BS140" s="5">
        <f>recovered!BS140-recovered!BR140</f>
        <v>7</v>
      </c>
      <c r="BT140" s="5">
        <f>recovered!BT140-recovered!BS140</f>
        <v>3</v>
      </c>
      <c r="BU140" s="5">
        <f>recovered!BU140-recovered!BT140</f>
        <v>5</v>
      </c>
      <c r="BV140" s="5">
        <f>recovered!BV140-recovered!BU140</f>
        <v>1</v>
      </c>
      <c r="BW140" s="5">
        <f>recovered!BW140-recovered!BV140</f>
        <v>7</v>
      </c>
      <c r="BX140" s="5">
        <f>recovered!BX140-recovered!BW140</f>
        <v>1</v>
      </c>
      <c r="BY140" s="5">
        <f>recovered!BY140-recovered!BX140</f>
        <v>1</v>
      </c>
    </row>
    <row r="141">
      <c r="B141" s="1" t="str">
        <f>recovered!B141</f>
        <v>Kyrgyzstan</v>
      </c>
      <c r="C141" s="4">
        <f>recovered!C141</f>
        <v>41.2044</v>
      </c>
      <c r="D141" s="4">
        <f>recovered!D141</f>
        <v>74.7661</v>
      </c>
      <c r="E141" s="5">
        <f>recovered!E141</f>
        <v>0</v>
      </c>
      <c r="F141" s="5">
        <f>recovered!F141-recovered!E141</f>
        <v>0</v>
      </c>
      <c r="G141" s="5">
        <f>recovered!G141-recovered!F141</f>
        <v>0</v>
      </c>
      <c r="H141" s="5">
        <f>recovered!H141-recovered!G141</f>
        <v>0</v>
      </c>
      <c r="I141" s="5">
        <f>recovered!I141-recovered!H141</f>
        <v>0</v>
      </c>
      <c r="J141" s="5">
        <f>recovered!J141-recovered!I141</f>
        <v>0</v>
      </c>
      <c r="K141" s="5">
        <f>recovered!K141-recovered!J141</f>
        <v>0</v>
      </c>
      <c r="L141" s="5">
        <f>recovered!L141-recovered!K141</f>
        <v>0</v>
      </c>
      <c r="M141" s="5">
        <f>recovered!M141-recovered!L141</f>
        <v>0</v>
      </c>
      <c r="N141" s="5">
        <f>recovered!N141-recovered!M141</f>
        <v>0</v>
      </c>
      <c r="O141" s="5">
        <f>recovered!O141-recovered!N141</f>
        <v>0</v>
      </c>
      <c r="P141" s="5">
        <f>recovered!P141-recovered!O141</f>
        <v>0</v>
      </c>
      <c r="Q141" s="5">
        <f>recovered!Q141-recovered!P141</f>
        <v>0</v>
      </c>
      <c r="R141" s="5">
        <f>recovered!R141-recovered!Q141</f>
        <v>0</v>
      </c>
      <c r="S141" s="5">
        <f>recovered!S141-recovered!R141</f>
        <v>0</v>
      </c>
      <c r="T141" s="5">
        <f>recovered!T141-recovered!S141</f>
        <v>0</v>
      </c>
      <c r="U141" s="5">
        <f>recovered!U141-recovered!T141</f>
        <v>0</v>
      </c>
      <c r="V141" s="5">
        <f>recovered!V141-recovered!U141</f>
        <v>0</v>
      </c>
      <c r="W141" s="5">
        <f>recovered!W141-recovered!V141</f>
        <v>0</v>
      </c>
      <c r="X141" s="5">
        <f>recovered!X141-recovered!W141</f>
        <v>0</v>
      </c>
      <c r="Y141" s="5">
        <f>recovered!Y141-recovered!X141</f>
        <v>0</v>
      </c>
      <c r="Z141" s="5">
        <f>recovered!Z141-recovered!Y141</f>
        <v>0</v>
      </c>
      <c r="AA141" s="5">
        <f>recovered!AA141-recovered!Z141</f>
        <v>0</v>
      </c>
      <c r="AB141" s="5">
        <f>recovered!AB141-recovered!AA141</f>
        <v>0</v>
      </c>
      <c r="AC141" s="5">
        <f>recovered!AC141-recovered!AB141</f>
        <v>0</v>
      </c>
      <c r="AD141" s="5">
        <f>recovered!AD141-recovered!AC141</f>
        <v>0</v>
      </c>
      <c r="AE141" s="5">
        <f>recovered!AE141-recovered!AD141</f>
        <v>0</v>
      </c>
      <c r="AF141" s="5">
        <f>recovered!AF141-recovered!AE141</f>
        <v>0</v>
      </c>
      <c r="AG141" s="5">
        <f>recovered!AG141-recovered!AF141</f>
        <v>0</v>
      </c>
      <c r="AH141" s="5">
        <f>recovered!AH141-recovered!AG141</f>
        <v>0</v>
      </c>
      <c r="AI141" s="5">
        <f>recovered!AI141-recovered!AH141</f>
        <v>0</v>
      </c>
      <c r="AJ141" s="5">
        <f>recovered!AJ141-recovered!AI141</f>
        <v>0</v>
      </c>
      <c r="AK141" s="5">
        <f>recovered!AK141-recovered!AJ141</f>
        <v>0</v>
      </c>
      <c r="AL141" s="5">
        <f>recovered!AL141-recovered!AK141</f>
        <v>0</v>
      </c>
      <c r="AM141" s="5">
        <f>recovered!AM141-recovered!AL141</f>
        <v>0</v>
      </c>
      <c r="AN141" s="5">
        <f>recovered!AN141-recovered!AM141</f>
        <v>0</v>
      </c>
      <c r="AO141" s="5">
        <f>recovered!AO141-recovered!AN141</f>
        <v>0</v>
      </c>
      <c r="AP141" s="5">
        <f>recovered!AP141-recovered!AO141</f>
        <v>0</v>
      </c>
      <c r="AQ141" s="5">
        <f>recovered!AQ141-recovered!AP141</f>
        <v>0</v>
      </c>
      <c r="AR141" s="5">
        <f>recovered!AR141-recovered!AQ141</f>
        <v>0</v>
      </c>
      <c r="AS141" s="5">
        <f>recovered!AS141-recovered!AR141</f>
        <v>0</v>
      </c>
      <c r="AT141" s="5">
        <f>recovered!AT141-recovered!AS141</f>
        <v>0</v>
      </c>
      <c r="AU141" s="5">
        <f>recovered!AU141-recovered!AT141</f>
        <v>0</v>
      </c>
      <c r="AV141" s="5">
        <f>recovered!AV141-recovered!AU141</f>
        <v>0</v>
      </c>
      <c r="AW141" s="5">
        <f>recovered!AW141-recovered!AV141</f>
        <v>0</v>
      </c>
      <c r="AX141" s="5">
        <f>recovered!AX141-recovered!AW141</f>
        <v>0</v>
      </c>
      <c r="AY141" s="5">
        <f>recovered!AY141-recovered!AX141</f>
        <v>0</v>
      </c>
      <c r="AZ141" s="5">
        <f>recovered!AZ141-recovered!AY141</f>
        <v>0</v>
      </c>
      <c r="BA141" s="5">
        <f>recovered!BA141-recovered!AZ141</f>
        <v>0</v>
      </c>
      <c r="BB141" s="5">
        <f>recovered!BB141-recovered!BA141</f>
        <v>0</v>
      </c>
      <c r="BC141" s="5">
        <f>recovered!BC141-recovered!BB141</f>
        <v>0</v>
      </c>
      <c r="BD141" s="5">
        <f>recovered!BD141-recovered!BC141</f>
        <v>0</v>
      </c>
      <c r="BE141" s="5">
        <f>recovered!BE141-recovered!BD141</f>
        <v>0</v>
      </c>
      <c r="BF141" s="5">
        <f>recovered!BF141-recovered!BE141</f>
        <v>0</v>
      </c>
      <c r="BG141" s="5">
        <f>recovered!BG141-recovered!BF141</f>
        <v>0</v>
      </c>
      <c r="BH141" s="5">
        <f>recovered!BH141-recovered!BG141</f>
        <v>0</v>
      </c>
      <c r="BI141" s="5">
        <f>recovered!BI141-recovered!BH141</f>
        <v>0</v>
      </c>
      <c r="BJ141" s="5">
        <f>recovered!BJ141-recovered!BI141</f>
        <v>0</v>
      </c>
      <c r="BK141" s="5">
        <f>recovered!BK141-recovered!BJ141</f>
        <v>0</v>
      </c>
      <c r="BL141" s="5">
        <f>recovered!BL141-recovered!BK141</f>
        <v>0</v>
      </c>
      <c r="BM141" s="5">
        <f>recovered!BM141-recovered!BL141</f>
        <v>0</v>
      </c>
      <c r="BN141" s="5">
        <f>recovered!BN141-recovered!BM141</f>
        <v>0</v>
      </c>
      <c r="BO141" s="5">
        <f>recovered!BO141-recovered!BN141</f>
        <v>0</v>
      </c>
      <c r="BP141" s="5">
        <f>recovered!BP141-recovered!BO141</f>
        <v>0</v>
      </c>
      <c r="BQ141" s="5">
        <f>recovered!BQ141-recovered!BP141</f>
        <v>0</v>
      </c>
      <c r="BR141" s="5">
        <f>recovered!BR141-recovered!BQ141</f>
        <v>0</v>
      </c>
      <c r="BS141" s="5">
        <f>recovered!BS141-recovered!BR141</f>
        <v>0</v>
      </c>
      <c r="BT141" s="5">
        <f>recovered!BT141-recovered!BS141</f>
        <v>0</v>
      </c>
      <c r="BU141" s="5">
        <f>recovered!BU141-recovered!BT141</f>
        <v>3</v>
      </c>
      <c r="BV141" s="5">
        <f>recovered!BV141-recovered!BU141</f>
        <v>0</v>
      </c>
      <c r="BW141" s="5">
        <f>recovered!BW141-recovered!BV141</f>
        <v>0</v>
      </c>
      <c r="BX141" s="5">
        <f>recovered!BX141-recovered!BW141</f>
        <v>2</v>
      </c>
      <c r="BY141" s="5">
        <f>recovered!BY141-recovered!BX141</f>
        <v>1</v>
      </c>
    </row>
    <row r="142">
      <c r="B142" s="1" t="str">
        <f>recovered!B142</f>
        <v>Latvia</v>
      </c>
      <c r="C142" s="4">
        <f>recovered!C142</f>
        <v>56.8796</v>
      </c>
      <c r="D142" s="4">
        <f>recovered!D142</f>
        <v>24.6032</v>
      </c>
      <c r="E142" s="5">
        <f>recovered!E142</f>
        <v>0</v>
      </c>
      <c r="F142" s="5">
        <f>recovered!F142-recovered!E142</f>
        <v>0</v>
      </c>
      <c r="G142" s="5">
        <f>recovered!G142-recovered!F142</f>
        <v>0</v>
      </c>
      <c r="H142" s="5">
        <f>recovered!H142-recovered!G142</f>
        <v>0</v>
      </c>
      <c r="I142" s="5">
        <f>recovered!I142-recovered!H142</f>
        <v>0</v>
      </c>
      <c r="J142" s="5">
        <f>recovered!J142-recovered!I142</f>
        <v>0</v>
      </c>
      <c r="K142" s="5">
        <f>recovered!K142-recovered!J142</f>
        <v>0</v>
      </c>
      <c r="L142" s="5">
        <f>recovered!L142-recovered!K142</f>
        <v>0</v>
      </c>
      <c r="M142" s="5">
        <f>recovered!M142-recovered!L142</f>
        <v>0</v>
      </c>
      <c r="N142" s="5">
        <f>recovered!N142-recovered!M142</f>
        <v>0</v>
      </c>
      <c r="O142" s="5">
        <f>recovered!O142-recovered!N142</f>
        <v>0</v>
      </c>
      <c r="P142" s="5">
        <f>recovered!P142-recovered!O142</f>
        <v>0</v>
      </c>
      <c r="Q142" s="5">
        <f>recovered!Q142-recovered!P142</f>
        <v>0</v>
      </c>
      <c r="R142" s="5">
        <f>recovered!R142-recovered!Q142</f>
        <v>0</v>
      </c>
      <c r="S142" s="5">
        <f>recovered!S142-recovered!R142</f>
        <v>0</v>
      </c>
      <c r="T142" s="5">
        <f>recovered!T142-recovered!S142</f>
        <v>0</v>
      </c>
      <c r="U142" s="5">
        <f>recovered!U142-recovered!T142</f>
        <v>0</v>
      </c>
      <c r="V142" s="5">
        <f>recovered!V142-recovered!U142</f>
        <v>0</v>
      </c>
      <c r="W142" s="5">
        <f>recovered!W142-recovered!V142</f>
        <v>0</v>
      </c>
      <c r="X142" s="5">
        <f>recovered!X142-recovered!W142</f>
        <v>0</v>
      </c>
      <c r="Y142" s="5">
        <f>recovered!Y142-recovered!X142</f>
        <v>0</v>
      </c>
      <c r="Z142" s="5">
        <f>recovered!Z142-recovered!Y142</f>
        <v>0</v>
      </c>
      <c r="AA142" s="5">
        <f>recovered!AA142-recovered!Z142</f>
        <v>0</v>
      </c>
      <c r="AB142" s="5">
        <f>recovered!AB142-recovered!AA142</f>
        <v>0</v>
      </c>
      <c r="AC142" s="5">
        <f>recovered!AC142-recovered!AB142</f>
        <v>0</v>
      </c>
      <c r="AD142" s="5">
        <f>recovered!AD142-recovered!AC142</f>
        <v>0</v>
      </c>
      <c r="AE142" s="5">
        <f>recovered!AE142-recovered!AD142</f>
        <v>0</v>
      </c>
      <c r="AF142" s="5">
        <f>recovered!AF142-recovered!AE142</f>
        <v>0</v>
      </c>
      <c r="AG142" s="5">
        <f>recovered!AG142-recovered!AF142</f>
        <v>0</v>
      </c>
      <c r="AH142" s="5">
        <f>recovered!AH142-recovered!AG142</f>
        <v>0</v>
      </c>
      <c r="AI142" s="5">
        <f>recovered!AI142-recovered!AH142</f>
        <v>0</v>
      </c>
      <c r="AJ142" s="5">
        <f>recovered!AJ142-recovered!AI142</f>
        <v>0</v>
      </c>
      <c r="AK142" s="5">
        <f>recovered!AK142-recovered!AJ142</f>
        <v>0</v>
      </c>
      <c r="AL142" s="5">
        <f>recovered!AL142-recovered!AK142</f>
        <v>0</v>
      </c>
      <c r="AM142" s="5">
        <f>recovered!AM142-recovered!AL142</f>
        <v>0</v>
      </c>
      <c r="AN142" s="5">
        <f>recovered!AN142-recovered!AM142</f>
        <v>0</v>
      </c>
      <c r="AO142" s="5">
        <f>recovered!AO142-recovered!AN142</f>
        <v>0</v>
      </c>
      <c r="AP142" s="5">
        <f>recovered!AP142-recovered!AO142</f>
        <v>0</v>
      </c>
      <c r="AQ142" s="5">
        <f>recovered!AQ142-recovered!AP142</f>
        <v>0</v>
      </c>
      <c r="AR142" s="5">
        <f>recovered!AR142-recovered!AQ142</f>
        <v>0</v>
      </c>
      <c r="AS142" s="5">
        <f>recovered!AS142-recovered!AR142</f>
        <v>0</v>
      </c>
      <c r="AT142" s="5">
        <f>recovered!AT142-recovered!AS142</f>
        <v>0</v>
      </c>
      <c r="AU142" s="5">
        <f>recovered!AU142-recovered!AT142</f>
        <v>0</v>
      </c>
      <c r="AV142" s="5">
        <f>recovered!AV142-recovered!AU142</f>
        <v>0</v>
      </c>
      <c r="AW142" s="5">
        <f>recovered!AW142-recovered!AV142</f>
        <v>0</v>
      </c>
      <c r="AX142" s="5">
        <f>recovered!AX142-recovered!AW142</f>
        <v>0</v>
      </c>
      <c r="AY142" s="5">
        <f>recovered!AY142-recovered!AX142</f>
        <v>0</v>
      </c>
      <c r="AZ142" s="5">
        <f>recovered!AZ142-recovered!AY142</f>
        <v>0</v>
      </c>
      <c r="BA142" s="5">
        <f>recovered!BA142-recovered!AZ142</f>
        <v>1</v>
      </c>
      <c r="BB142" s="5">
        <f>recovered!BB142-recovered!BA142</f>
        <v>0</v>
      </c>
      <c r="BC142" s="5">
        <f>recovered!BC142-recovered!BB142</f>
        <v>0</v>
      </c>
      <c r="BD142" s="5">
        <f>recovered!BD142-recovered!BC142</f>
        <v>0</v>
      </c>
      <c r="BE142" s="5">
        <f>recovered!BE142-recovered!BD142</f>
        <v>0</v>
      </c>
      <c r="BF142" s="5">
        <f>recovered!BF142-recovered!BE142</f>
        <v>0</v>
      </c>
      <c r="BG142" s="5">
        <f>recovered!BG142-recovered!BF142</f>
        <v>0</v>
      </c>
      <c r="BH142" s="5">
        <f>recovered!BH142-recovered!BG142</f>
        <v>0</v>
      </c>
      <c r="BI142" s="5">
        <f>recovered!BI142-recovered!BH142</f>
        <v>0</v>
      </c>
      <c r="BJ142" s="5">
        <f>recovered!BJ142-recovered!BI142</f>
        <v>0</v>
      </c>
      <c r="BK142" s="5">
        <f>recovered!BK142-recovered!BJ142</f>
        <v>0</v>
      </c>
      <c r="BL142" s="5">
        <f>recovered!BL142-recovered!BK142</f>
        <v>0</v>
      </c>
      <c r="BM142" s="5">
        <f>recovered!BM142-recovered!BL142</f>
        <v>0</v>
      </c>
      <c r="BN142" s="5">
        <f>recovered!BN142-recovered!BM142</f>
        <v>0</v>
      </c>
      <c r="BO142" s="5">
        <f>recovered!BO142-recovered!BN142</f>
        <v>0</v>
      </c>
      <c r="BP142" s="5">
        <f>recovered!BP142-recovered!BO142</f>
        <v>0</v>
      </c>
      <c r="BQ142" s="5">
        <f>recovered!BQ142-recovered!BP142</f>
        <v>0</v>
      </c>
      <c r="BR142" s="5">
        <f>recovered!BR142-recovered!BQ142</f>
        <v>0</v>
      </c>
      <c r="BS142" s="5">
        <f>recovered!BS142-recovered!BR142</f>
        <v>0</v>
      </c>
      <c r="BT142" s="5">
        <f>recovered!BT142-recovered!BS142</f>
        <v>0</v>
      </c>
      <c r="BU142" s="5">
        <f>recovered!BU142-recovered!BT142</f>
        <v>0</v>
      </c>
      <c r="BV142" s="5">
        <f>recovered!BV142-recovered!BU142</f>
        <v>0</v>
      </c>
      <c r="BW142" s="5">
        <f>recovered!BW142-recovered!BV142</f>
        <v>0</v>
      </c>
      <c r="BX142" s="5">
        <f>recovered!BX142-recovered!BW142</f>
        <v>30</v>
      </c>
      <c r="BY142" s="5">
        <f>recovered!BY142-recovered!BX142</f>
        <v>-30</v>
      </c>
    </row>
    <row r="143">
      <c r="B143" s="1" t="str">
        <f>recovered!B143</f>
        <v>Lebanon</v>
      </c>
      <c r="C143" s="4">
        <f>recovered!C143</f>
        <v>33.8547</v>
      </c>
      <c r="D143" s="4">
        <f>recovered!D143</f>
        <v>35.8623</v>
      </c>
      <c r="E143" s="5">
        <f>recovered!E143</f>
        <v>0</v>
      </c>
      <c r="F143" s="5">
        <f>recovered!F143-recovered!E143</f>
        <v>0</v>
      </c>
      <c r="G143" s="5">
        <f>recovered!G143-recovered!F143</f>
        <v>0</v>
      </c>
      <c r="H143" s="5">
        <f>recovered!H143-recovered!G143</f>
        <v>0</v>
      </c>
      <c r="I143" s="5">
        <f>recovered!I143-recovered!H143</f>
        <v>0</v>
      </c>
      <c r="J143" s="5">
        <f>recovered!J143-recovered!I143</f>
        <v>0</v>
      </c>
      <c r="K143" s="5">
        <f>recovered!K143-recovered!J143</f>
        <v>0</v>
      </c>
      <c r="L143" s="5">
        <f>recovered!L143-recovered!K143</f>
        <v>0</v>
      </c>
      <c r="M143" s="5">
        <f>recovered!M143-recovered!L143</f>
        <v>0</v>
      </c>
      <c r="N143" s="5">
        <f>recovered!N143-recovered!M143</f>
        <v>0</v>
      </c>
      <c r="O143" s="5">
        <f>recovered!O143-recovered!N143</f>
        <v>0</v>
      </c>
      <c r="P143" s="5">
        <f>recovered!P143-recovered!O143</f>
        <v>0</v>
      </c>
      <c r="Q143" s="5">
        <f>recovered!Q143-recovered!P143</f>
        <v>0</v>
      </c>
      <c r="R143" s="5">
        <f>recovered!R143-recovered!Q143</f>
        <v>0</v>
      </c>
      <c r="S143" s="5">
        <f>recovered!S143-recovered!R143</f>
        <v>0</v>
      </c>
      <c r="T143" s="5">
        <f>recovered!T143-recovered!S143</f>
        <v>0</v>
      </c>
      <c r="U143" s="5">
        <f>recovered!U143-recovered!T143</f>
        <v>0</v>
      </c>
      <c r="V143" s="5">
        <f>recovered!V143-recovered!U143</f>
        <v>0</v>
      </c>
      <c r="W143" s="5">
        <f>recovered!W143-recovered!V143</f>
        <v>0</v>
      </c>
      <c r="X143" s="5">
        <f>recovered!X143-recovered!W143</f>
        <v>0</v>
      </c>
      <c r="Y143" s="5">
        <f>recovered!Y143-recovered!X143</f>
        <v>0</v>
      </c>
      <c r="Z143" s="5">
        <f>recovered!Z143-recovered!Y143</f>
        <v>0</v>
      </c>
      <c r="AA143" s="5">
        <f>recovered!AA143-recovered!Z143</f>
        <v>0</v>
      </c>
      <c r="AB143" s="5">
        <f>recovered!AB143-recovered!AA143</f>
        <v>0</v>
      </c>
      <c r="AC143" s="5">
        <f>recovered!AC143-recovered!AB143</f>
        <v>0</v>
      </c>
      <c r="AD143" s="5">
        <f>recovered!AD143-recovered!AC143</f>
        <v>0</v>
      </c>
      <c r="AE143" s="5">
        <f>recovered!AE143-recovered!AD143</f>
        <v>0</v>
      </c>
      <c r="AF143" s="5">
        <f>recovered!AF143-recovered!AE143</f>
        <v>0</v>
      </c>
      <c r="AG143" s="5">
        <f>recovered!AG143-recovered!AF143</f>
        <v>0</v>
      </c>
      <c r="AH143" s="5">
        <f>recovered!AH143-recovered!AG143</f>
        <v>0</v>
      </c>
      <c r="AI143" s="5">
        <f>recovered!AI143-recovered!AH143</f>
        <v>0</v>
      </c>
      <c r="AJ143" s="5">
        <f>recovered!AJ143-recovered!AI143</f>
        <v>0</v>
      </c>
      <c r="AK143" s="5">
        <f>recovered!AK143-recovered!AJ143</f>
        <v>0</v>
      </c>
      <c r="AL143" s="5">
        <f>recovered!AL143-recovered!AK143</f>
        <v>0</v>
      </c>
      <c r="AM143" s="5">
        <f>recovered!AM143-recovered!AL143</f>
        <v>0</v>
      </c>
      <c r="AN143" s="5">
        <f>recovered!AN143-recovered!AM143</f>
        <v>0</v>
      </c>
      <c r="AO143" s="5">
        <f>recovered!AO143-recovered!AN143</f>
        <v>0</v>
      </c>
      <c r="AP143" s="5">
        <f>recovered!AP143-recovered!AO143</f>
        <v>0</v>
      </c>
      <c r="AQ143" s="5">
        <f>recovered!AQ143-recovered!AP143</f>
        <v>0</v>
      </c>
      <c r="AR143" s="5">
        <f>recovered!AR143-recovered!AQ143</f>
        <v>0</v>
      </c>
      <c r="AS143" s="5">
        <f>recovered!AS143-recovered!AR143</f>
        <v>0</v>
      </c>
      <c r="AT143" s="5">
        <f>recovered!AT143-recovered!AS143</f>
        <v>0</v>
      </c>
      <c r="AU143" s="5">
        <f>recovered!AU143-recovered!AT143</f>
        <v>1</v>
      </c>
      <c r="AV143" s="5">
        <f>recovered!AV143-recovered!AU143</f>
        <v>0</v>
      </c>
      <c r="AW143" s="5">
        <f>recovered!AW143-recovered!AV143</f>
        <v>0</v>
      </c>
      <c r="AX143" s="5">
        <f>recovered!AX143-recovered!AW143</f>
        <v>0</v>
      </c>
      <c r="AY143" s="5">
        <f>recovered!AY143-recovered!AX143</f>
        <v>0</v>
      </c>
      <c r="AZ143" s="5">
        <f>recovered!AZ143-recovered!AY143</f>
        <v>0</v>
      </c>
      <c r="BA143" s="5">
        <f>recovered!BA143-recovered!AZ143</f>
        <v>0</v>
      </c>
      <c r="BB143" s="5">
        <f>recovered!BB143-recovered!BA143</f>
        <v>0</v>
      </c>
      <c r="BC143" s="5">
        <f>recovered!BC143-recovered!BB143</f>
        <v>0</v>
      </c>
      <c r="BD143" s="5">
        <f>recovered!BD143-recovered!BC143</f>
        <v>0</v>
      </c>
      <c r="BE143" s="5">
        <f>recovered!BE143-recovered!BD143</f>
        <v>0</v>
      </c>
      <c r="BF143" s="5">
        <f>recovered!BF143-recovered!BE143</f>
        <v>0</v>
      </c>
      <c r="BG143" s="5">
        <f>recovered!BG143-recovered!BF143</f>
        <v>0</v>
      </c>
      <c r="BH143" s="5">
        <f>recovered!BH143-recovered!BG143</f>
        <v>2</v>
      </c>
      <c r="BI143" s="5">
        <f>recovered!BI143-recovered!BH143</f>
        <v>0</v>
      </c>
      <c r="BJ143" s="5">
        <f>recovered!BJ143-recovered!BI143</f>
        <v>1</v>
      </c>
      <c r="BK143" s="5">
        <f>recovered!BK143-recovered!BJ143</f>
        <v>0</v>
      </c>
      <c r="BL143" s="5">
        <f>recovered!BL143-recovered!BK143</f>
        <v>0</v>
      </c>
      <c r="BM143" s="5">
        <f>recovered!BM143-recovered!BL143</f>
        <v>4</v>
      </c>
      <c r="BN143" s="5">
        <f>recovered!BN143-recovered!BM143</f>
        <v>0</v>
      </c>
      <c r="BO143" s="5">
        <f>recovered!BO143-recovered!BN143</f>
        <v>0</v>
      </c>
      <c r="BP143" s="5">
        <f>recovered!BP143-recovered!BO143</f>
        <v>12</v>
      </c>
      <c r="BQ143" s="5">
        <f>recovered!BQ143-recovered!BP143</f>
        <v>3</v>
      </c>
      <c r="BR143" s="5">
        <f>recovered!BR143-recovered!BQ143</f>
        <v>4</v>
      </c>
      <c r="BS143" s="5">
        <f>recovered!BS143-recovered!BR143</f>
        <v>3</v>
      </c>
      <c r="BT143" s="5">
        <f>recovered!BT143-recovered!BS143</f>
        <v>0</v>
      </c>
      <c r="BU143" s="5">
        <f>recovered!BU143-recovered!BT143</f>
        <v>5</v>
      </c>
      <c r="BV143" s="5">
        <f>recovered!BV143-recovered!BU143</f>
        <v>2</v>
      </c>
      <c r="BW143" s="5">
        <f>recovered!BW143-recovered!BV143</f>
        <v>6</v>
      </c>
      <c r="BX143" s="5">
        <f>recovered!BX143-recovered!BW143</f>
        <v>3</v>
      </c>
      <c r="BY143" s="5">
        <f>recovered!BY143-recovered!BX143</f>
        <v>4</v>
      </c>
    </row>
    <row r="144">
      <c r="B144" s="1" t="str">
        <f>recovered!B144</f>
        <v>Liberia</v>
      </c>
      <c r="C144" s="4">
        <f>recovered!C144</f>
        <v>6.4281</v>
      </c>
      <c r="D144" s="4">
        <f>recovered!D144</f>
        <v>-9.4295</v>
      </c>
      <c r="E144" s="5">
        <f>recovered!E144</f>
        <v>0</v>
      </c>
      <c r="F144" s="5">
        <f>recovered!F144-recovered!E144</f>
        <v>0</v>
      </c>
      <c r="G144" s="5">
        <f>recovered!G144-recovered!F144</f>
        <v>0</v>
      </c>
      <c r="H144" s="5">
        <f>recovered!H144-recovered!G144</f>
        <v>0</v>
      </c>
      <c r="I144" s="5">
        <f>recovered!I144-recovered!H144</f>
        <v>0</v>
      </c>
      <c r="J144" s="5">
        <f>recovered!J144-recovered!I144</f>
        <v>0</v>
      </c>
      <c r="K144" s="5">
        <f>recovered!K144-recovered!J144</f>
        <v>0</v>
      </c>
      <c r="L144" s="5">
        <f>recovered!L144-recovered!K144</f>
        <v>0</v>
      </c>
      <c r="M144" s="5">
        <f>recovered!M144-recovered!L144</f>
        <v>0</v>
      </c>
      <c r="N144" s="5">
        <f>recovered!N144-recovered!M144</f>
        <v>0</v>
      </c>
      <c r="O144" s="5">
        <f>recovered!O144-recovered!N144</f>
        <v>0</v>
      </c>
      <c r="P144" s="5">
        <f>recovered!P144-recovered!O144</f>
        <v>0</v>
      </c>
      <c r="Q144" s="5">
        <f>recovered!Q144-recovered!P144</f>
        <v>0</v>
      </c>
      <c r="R144" s="5">
        <f>recovered!R144-recovered!Q144</f>
        <v>0</v>
      </c>
      <c r="S144" s="5">
        <f>recovered!S144-recovered!R144</f>
        <v>0</v>
      </c>
      <c r="T144" s="5">
        <f>recovered!T144-recovered!S144</f>
        <v>0</v>
      </c>
      <c r="U144" s="5">
        <f>recovered!U144-recovered!T144</f>
        <v>0</v>
      </c>
      <c r="V144" s="5">
        <f>recovered!V144-recovered!U144</f>
        <v>0</v>
      </c>
      <c r="W144" s="5">
        <f>recovered!W144-recovered!V144</f>
        <v>0</v>
      </c>
      <c r="X144" s="5">
        <f>recovered!X144-recovered!W144</f>
        <v>0</v>
      </c>
      <c r="Y144" s="5">
        <f>recovered!Y144-recovered!X144</f>
        <v>0</v>
      </c>
      <c r="Z144" s="5">
        <f>recovered!Z144-recovered!Y144</f>
        <v>0</v>
      </c>
      <c r="AA144" s="5">
        <f>recovered!AA144-recovered!Z144</f>
        <v>0</v>
      </c>
      <c r="AB144" s="5">
        <f>recovered!AB144-recovered!AA144</f>
        <v>0</v>
      </c>
      <c r="AC144" s="5">
        <f>recovered!AC144-recovered!AB144</f>
        <v>0</v>
      </c>
      <c r="AD144" s="5">
        <f>recovered!AD144-recovered!AC144</f>
        <v>0</v>
      </c>
      <c r="AE144" s="5">
        <f>recovered!AE144-recovered!AD144</f>
        <v>0</v>
      </c>
      <c r="AF144" s="5">
        <f>recovered!AF144-recovered!AE144</f>
        <v>0</v>
      </c>
      <c r="AG144" s="5">
        <f>recovered!AG144-recovered!AF144</f>
        <v>0</v>
      </c>
      <c r="AH144" s="5">
        <f>recovered!AH144-recovered!AG144</f>
        <v>0</v>
      </c>
      <c r="AI144" s="5">
        <f>recovered!AI144-recovered!AH144</f>
        <v>0</v>
      </c>
      <c r="AJ144" s="5">
        <f>recovered!AJ144-recovered!AI144</f>
        <v>0</v>
      </c>
      <c r="AK144" s="5">
        <f>recovered!AK144-recovered!AJ144</f>
        <v>0</v>
      </c>
      <c r="AL144" s="5">
        <f>recovered!AL144-recovered!AK144</f>
        <v>0</v>
      </c>
      <c r="AM144" s="5">
        <f>recovered!AM144-recovered!AL144</f>
        <v>0</v>
      </c>
      <c r="AN144" s="5">
        <f>recovered!AN144-recovered!AM144</f>
        <v>0</v>
      </c>
      <c r="AO144" s="5">
        <f>recovered!AO144-recovered!AN144</f>
        <v>0</v>
      </c>
      <c r="AP144" s="5">
        <f>recovered!AP144-recovered!AO144</f>
        <v>0</v>
      </c>
      <c r="AQ144" s="5">
        <f>recovered!AQ144-recovered!AP144</f>
        <v>0</v>
      </c>
      <c r="AR144" s="5">
        <f>recovered!AR144-recovered!AQ144</f>
        <v>0</v>
      </c>
      <c r="AS144" s="5">
        <f>recovered!AS144-recovered!AR144</f>
        <v>0</v>
      </c>
      <c r="AT144" s="5">
        <f>recovered!AT144-recovered!AS144</f>
        <v>0</v>
      </c>
      <c r="AU144" s="5">
        <f>recovered!AU144-recovered!AT144</f>
        <v>0</v>
      </c>
      <c r="AV144" s="5">
        <f>recovered!AV144-recovered!AU144</f>
        <v>0</v>
      </c>
      <c r="AW144" s="5">
        <f>recovered!AW144-recovered!AV144</f>
        <v>0</v>
      </c>
      <c r="AX144" s="5">
        <f>recovered!AX144-recovered!AW144</f>
        <v>0</v>
      </c>
      <c r="AY144" s="5">
        <f>recovered!AY144-recovered!AX144</f>
        <v>0</v>
      </c>
      <c r="AZ144" s="5">
        <f>recovered!AZ144-recovered!AY144</f>
        <v>0</v>
      </c>
      <c r="BA144" s="5">
        <f>recovered!BA144-recovered!AZ144</f>
        <v>0</v>
      </c>
      <c r="BB144" s="5">
        <f>recovered!BB144-recovered!BA144</f>
        <v>0</v>
      </c>
      <c r="BC144" s="5">
        <f>recovered!BC144-recovered!BB144</f>
        <v>0</v>
      </c>
      <c r="BD144" s="5">
        <f>recovered!BD144-recovered!BC144</f>
        <v>0</v>
      </c>
      <c r="BE144" s="5">
        <f>recovered!BE144-recovered!BD144</f>
        <v>0</v>
      </c>
      <c r="BF144" s="5">
        <f>recovered!BF144-recovered!BE144</f>
        <v>0</v>
      </c>
      <c r="BG144" s="5">
        <f>recovered!BG144-recovered!BF144</f>
        <v>0</v>
      </c>
      <c r="BH144" s="5">
        <f>recovered!BH144-recovered!BG144</f>
        <v>0</v>
      </c>
      <c r="BI144" s="5">
        <f>recovered!BI144-recovered!BH144</f>
        <v>0</v>
      </c>
      <c r="BJ144" s="5">
        <f>recovered!BJ144-recovered!BI144</f>
        <v>0</v>
      </c>
      <c r="BK144" s="5">
        <f>recovered!BK144-recovered!BJ144</f>
        <v>0</v>
      </c>
      <c r="BL144" s="5">
        <f>recovered!BL144-recovered!BK144</f>
        <v>0</v>
      </c>
      <c r="BM144" s="5">
        <f>recovered!BM144-recovered!BL144</f>
        <v>0</v>
      </c>
      <c r="BN144" s="5">
        <f>recovered!BN144-recovered!BM144</f>
        <v>0</v>
      </c>
      <c r="BO144" s="5">
        <f>recovered!BO144-recovered!BN144</f>
        <v>0</v>
      </c>
      <c r="BP144" s="5">
        <f>recovered!BP144-recovered!BO144</f>
        <v>0</v>
      </c>
      <c r="BQ144" s="5">
        <f>recovered!BQ144-recovered!BP144</f>
        <v>0</v>
      </c>
      <c r="BR144" s="5">
        <f>recovered!BR144-recovered!BQ144</f>
        <v>0</v>
      </c>
      <c r="BS144" s="5">
        <f>recovered!BS144-recovered!BR144</f>
        <v>0</v>
      </c>
      <c r="BT144" s="5">
        <f>recovered!BT144-recovered!BS144</f>
        <v>0</v>
      </c>
      <c r="BU144" s="5">
        <f>recovered!BU144-recovered!BT144</f>
        <v>0</v>
      </c>
      <c r="BV144" s="5">
        <f>recovered!BV144-recovered!BU144</f>
        <v>0</v>
      </c>
      <c r="BW144" s="5">
        <f>recovered!BW144-recovered!BV144</f>
        <v>0</v>
      </c>
      <c r="BX144" s="5">
        <f>recovered!BX144-recovered!BW144</f>
        <v>0</v>
      </c>
      <c r="BY144" s="5">
        <f>recovered!BY144-recovered!BX144</f>
        <v>0</v>
      </c>
    </row>
    <row r="145">
      <c r="B145" s="1" t="str">
        <f>recovered!B145</f>
        <v>Libya</v>
      </c>
      <c r="C145" s="4">
        <f>recovered!C145</f>
        <v>26.3351</v>
      </c>
      <c r="D145" s="4">
        <f>recovered!D145</f>
        <v>17.228331</v>
      </c>
      <c r="E145" s="5">
        <f>recovered!E145</f>
        <v>0</v>
      </c>
      <c r="F145" s="5">
        <f>recovered!F145-recovered!E145</f>
        <v>0</v>
      </c>
      <c r="G145" s="5">
        <f>recovered!G145-recovered!F145</f>
        <v>0</v>
      </c>
      <c r="H145" s="5">
        <f>recovered!H145-recovered!G145</f>
        <v>0</v>
      </c>
      <c r="I145" s="5">
        <f>recovered!I145-recovered!H145</f>
        <v>0</v>
      </c>
      <c r="J145" s="5">
        <f>recovered!J145-recovered!I145</f>
        <v>0</v>
      </c>
      <c r="K145" s="5">
        <f>recovered!K145-recovered!J145</f>
        <v>0</v>
      </c>
      <c r="L145" s="5">
        <f>recovered!L145-recovered!K145</f>
        <v>0</v>
      </c>
      <c r="M145" s="5">
        <f>recovered!M145-recovered!L145</f>
        <v>0</v>
      </c>
      <c r="N145" s="5">
        <f>recovered!N145-recovered!M145</f>
        <v>0</v>
      </c>
      <c r="O145" s="5">
        <f>recovered!O145-recovered!N145</f>
        <v>0</v>
      </c>
      <c r="P145" s="5">
        <f>recovered!P145-recovered!O145</f>
        <v>0</v>
      </c>
      <c r="Q145" s="5">
        <f>recovered!Q145-recovered!P145</f>
        <v>0</v>
      </c>
      <c r="R145" s="5">
        <f>recovered!R145-recovered!Q145</f>
        <v>0</v>
      </c>
      <c r="S145" s="5">
        <f>recovered!S145-recovered!R145</f>
        <v>0</v>
      </c>
      <c r="T145" s="5">
        <f>recovered!T145-recovered!S145</f>
        <v>0</v>
      </c>
      <c r="U145" s="5">
        <f>recovered!U145-recovered!T145</f>
        <v>0</v>
      </c>
      <c r="V145" s="5">
        <f>recovered!V145-recovered!U145</f>
        <v>0</v>
      </c>
      <c r="W145" s="5">
        <f>recovered!W145-recovered!V145</f>
        <v>0</v>
      </c>
      <c r="X145" s="5">
        <f>recovered!X145-recovered!W145</f>
        <v>0</v>
      </c>
      <c r="Y145" s="5">
        <f>recovered!Y145-recovered!X145</f>
        <v>0</v>
      </c>
      <c r="Z145" s="5">
        <f>recovered!Z145-recovered!Y145</f>
        <v>0</v>
      </c>
      <c r="AA145" s="5">
        <f>recovered!AA145-recovered!Z145</f>
        <v>0</v>
      </c>
      <c r="AB145" s="5">
        <f>recovered!AB145-recovered!AA145</f>
        <v>0</v>
      </c>
      <c r="AC145" s="5">
        <f>recovered!AC145-recovered!AB145</f>
        <v>0</v>
      </c>
      <c r="AD145" s="5">
        <f>recovered!AD145-recovered!AC145</f>
        <v>0</v>
      </c>
      <c r="AE145" s="5">
        <f>recovered!AE145-recovered!AD145</f>
        <v>0</v>
      </c>
      <c r="AF145" s="5">
        <f>recovered!AF145-recovered!AE145</f>
        <v>0</v>
      </c>
      <c r="AG145" s="5">
        <f>recovered!AG145-recovered!AF145</f>
        <v>0</v>
      </c>
      <c r="AH145" s="5">
        <f>recovered!AH145-recovered!AG145</f>
        <v>0</v>
      </c>
      <c r="AI145" s="5">
        <f>recovered!AI145-recovered!AH145</f>
        <v>0</v>
      </c>
      <c r="AJ145" s="5">
        <f>recovered!AJ145-recovered!AI145</f>
        <v>0</v>
      </c>
      <c r="AK145" s="5">
        <f>recovered!AK145-recovered!AJ145</f>
        <v>0</v>
      </c>
      <c r="AL145" s="5">
        <f>recovered!AL145-recovered!AK145</f>
        <v>0</v>
      </c>
      <c r="AM145" s="5">
        <f>recovered!AM145-recovered!AL145</f>
        <v>0</v>
      </c>
      <c r="AN145" s="5">
        <f>recovered!AN145-recovered!AM145</f>
        <v>0</v>
      </c>
      <c r="AO145" s="5">
        <f>recovered!AO145-recovered!AN145</f>
        <v>0</v>
      </c>
      <c r="AP145" s="5">
        <f>recovered!AP145-recovered!AO145</f>
        <v>0</v>
      </c>
      <c r="AQ145" s="5">
        <f>recovered!AQ145-recovered!AP145</f>
        <v>0</v>
      </c>
      <c r="AR145" s="5">
        <f>recovered!AR145-recovered!AQ145</f>
        <v>0</v>
      </c>
      <c r="AS145" s="5">
        <f>recovered!AS145-recovered!AR145</f>
        <v>0</v>
      </c>
      <c r="AT145" s="5">
        <f>recovered!AT145-recovered!AS145</f>
        <v>0</v>
      </c>
      <c r="AU145" s="5">
        <f>recovered!AU145-recovered!AT145</f>
        <v>0</v>
      </c>
      <c r="AV145" s="5">
        <f>recovered!AV145-recovered!AU145</f>
        <v>0</v>
      </c>
      <c r="AW145" s="5">
        <f>recovered!AW145-recovered!AV145</f>
        <v>0</v>
      </c>
      <c r="AX145" s="5">
        <f>recovered!AX145-recovered!AW145</f>
        <v>0</v>
      </c>
      <c r="AY145" s="5">
        <f>recovered!AY145-recovered!AX145</f>
        <v>0</v>
      </c>
      <c r="AZ145" s="5">
        <f>recovered!AZ145-recovered!AY145</f>
        <v>0</v>
      </c>
      <c r="BA145" s="5">
        <f>recovered!BA145-recovered!AZ145</f>
        <v>0</v>
      </c>
      <c r="BB145" s="5">
        <f>recovered!BB145-recovered!BA145</f>
        <v>0</v>
      </c>
      <c r="BC145" s="5">
        <f>recovered!BC145-recovered!BB145</f>
        <v>0</v>
      </c>
      <c r="BD145" s="5">
        <f>recovered!BD145-recovered!BC145</f>
        <v>0</v>
      </c>
      <c r="BE145" s="5">
        <f>recovered!BE145-recovered!BD145</f>
        <v>0</v>
      </c>
      <c r="BF145" s="5">
        <f>recovered!BF145-recovered!BE145</f>
        <v>0</v>
      </c>
      <c r="BG145" s="5">
        <f>recovered!BG145-recovered!BF145</f>
        <v>0</v>
      </c>
      <c r="BH145" s="5">
        <f>recovered!BH145-recovered!BG145</f>
        <v>0</v>
      </c>
      <c r="BI145" s="5">
        <f>recovered!BI145-recovered!BH145</f>
        <v>0</v>
      </c>
      <c r="BJ145" s="5">
        <f>recovered!BJ145-recovered!BI145</f>
        <v>0</v>
      </c>
      <c r="BK145" s="5">
        <f>recovered!BK145-recovered!BJ145</f>
        <v>0</v>
      </c>
      <c r="BL145" s="5">
        <f>recovered!BL145-recovered!BK145</f>
        <v>0</v>
      </c>
      <c r="BM145" s="5">
        <f>recovered!BM145-recovered!BL145</f>
        <v>0</v>
      </c>
      <c r="BN145" s="5">
        <f>recovered!BN145-recovered!BM145</f>
        <v>0</v>
      </c>
      <c r="BO145" s="5">
        <f>recovered!BO145-recovered!BN145</f>
        <v>0</v>
      </c>
      <c r="BP145" s="5">
        <f>recovered!BP145-recovered!BO145</f>
        <v>0</v>
      </c>
      <c r="BQ145" s="5">
        <f>recovered!BQ145-recovered!BP145</f>
        <v>0</v>
      </c>
      <c r="BR145" s="5">
        <f>recovered!BR145-recovered!BQ145</f>
        <v>0</v>
      </c>
      <c r="BS145" s="5">
        <f>recovered!BS145-recovered!BR145</f>
        <v>0</v>
      </c>
      <c r="BT145" s="5">
        <f>recovered!BT145-recovered!BS145</f>
        <v>0</v>
      </c>
      <c r="BU145" s="5">
        <f>recovered!BU145-recovered!BT145</f>
        <v>0</v>
      </c>
      <c r="BV145" s="5">
        <f>recovered!BV145-recovered!BU145</f>
        <v>1</v>
      </c>
      <c r="BW145" s="5">
        <f>recovered!BW145-recovered!BV145</f>
        <v>-1</v>
      </c>
      <c r="BX145" s="5">
        <f>recovered!BX145-recovered!BW145</f>
        <v>0</v>
      </c>
      <c r="BY145" s="5">
        <f>recovered!BY145-recovered!BX145</f>
        <v>0</v>
      </c>
    </row>
    <row r="146">
      <c r="B146" s="1" t="str">
        <f>recovered!B146</f>
        <v>Liechtenstein</v>
      </c>
      <c r="C146" s="4">
        <f>recovered!C146</f>
        <v>47.14</v>
      </c>
      <c r="D146" s="4">
        <f>recovered!D146</f>
        <v>9.55</v>
      </c>
      <c r="E146" s="5">
        <f>recovered!E146</f>
        <v>0</v>
      </c>
      <c r="F146" s="5">
        <f>recovered!F146-recovered!E146</f>
        <v>0</v>
      </c>
      <c r="G146" s="5">
        <f>recovered!G146-recovered!F146</f>
        <v>0</v>
      </c>
      <c r="H146" s="5">
        <f>recovered!H146-recovered!G146</f>
        <v>0</v>
      </c>
      <c r="I146" s="5">
        <f>recovered!I146-recovered!H146</f>
        <v>0</v>
      </c>
      <c r="J146" s="5">
        <f>recovered!J146-recovered!I146</f>
        <v>0</v>
      </c>
      <c r="K146" s="5">
        <f>recovered!K146-recovered!J146</f>
        <v>0</v>
      </c>
      <c r="L146" s="5">
        <f>recovered!L146-recovered!K146</f>
        <v>0</v>
      </c>
      <c r="M146" s="5">
        <f>recovered!M146-recovered!L146</f>
        <v>0</v>
      </c>
      <c r="N146" s="5">
        <f>recovered!N146-recovered!M146</f>
        <v>0</v>
      </c>
      <c r="O146" s="5">
        <f>recovered!O146-recovered!N146</f>
        <v>0</v>
      </c>
      <c r="P146" s="5">
        <f>recovered!P146-recovered!O146</f>
        <v>0</v>
      </c>
      <c r="Q146" s="5">
        <f>recovered!Q146-recovered!P146</f>
        <v>0</v>
      </c>
      <c r="R146" s="5">
        <f>recovered!R146-recovered!Q146</f>
        <v>0</v>
      </c>
      <c r="S146" s="5">
        <f>recovered!S146-recovered!R146</f>
        <v>0</v>
      </c>
      <c r="T146" s="5">
        <f>recovered!T146-recovered!S146</f>
        <v>0</v>
      </c>
      <c r="U146" s="5">
        <f>recovered!U146-recovered!T146</f>
        <v>0</v>
      </c>
      <c r="V146" s="5">
        <f>recovered!V146-recovered!U146</f>
        <v>0</v>
      </c>
      <c r="W146" s="5">
        <f>recovered!W146-recovered!V146</f>
        <v>0</v>
      </c>
      <c r="X146" s="5">
        <f>recovered!X146-recovered!W146</f>
        <v>0</v>
      </c>
      <c r="Y146" s="5">
        <f>recovered!Y146-recovered!X146</f>
        <v>0</v>
      </c>
      <c r="Z146" s="5">
        <f>recovered!Z146-recovered!Y146</f>
        <v>0</v>
      </c>
      <c r="AA146" s="5">
        <f>recovered!AA146-recovered!Z146</f>
        <v>0</v>
      </c>
      <c r="AB146" s="5">
        <f>recovered!AB146-recovered!AA146</f>
        <v>0</v>
      </c>
      <c r="AC146" s="5">
        <f>recovered!AC146-recovered!AB146</f>
        <v>0</v>
      </c>
      <c r="AD146" s="5">
        <f>recovered!AD146-recovered!AC146</f>
        <v>0</v>
      </c>
      <c r="AE146" s="5">
        <f>recovered!AE146-recovered!AD146</f>
        <v>0</v>
      </c>
      <c r="AF146" s="5">
        <f>recovered!AF146-recovered!AE146</f>
        <v>0</v>
      </c>
      <c r="AG146" s="5">
        <f>recovered!AG146-recovered!AF146</f>
        <v>0</v>
      </c>
      <c r="AH146" s="5">
        <f>recovered!AH146-recovered!AG146</f>
        <v>0</v>
      </c>
      <c r="AI146" s="5">
        <f>recovered!AI146-recovered!AH146</f>
        <v>0</v>
      </c>
      <c r="AJ146" s="5">
        <f>recovered!AJ146-recovered!AI146</f>
        <v>0</v>
      </c>
      <c r="AK146" s="5">
        <f>recovered!AK146-recovered!AJ146</f>
        <v>0</v>
      </c>
      <c r="AL146" s="5">
        <f>recovered!AL146-recovered!AK146</f>
        <v>0</v>
      </c>
      <c r="AM146" s="5">
        <f>recovered!AM146-recovered!AL146</f>
        <v>0</v>
      </c>
      <c r="AN146" s="5">
        <f>recovered!AN146-recovered!AM146</f>
        <v>0</v>
      </c>
      <c r="AO146" s="5">
        <f>recovered!AO146-recovered!AN146</f>
        <v>0</v>
      </c>
      <c r="AP146" s="5">
        <f>recovered!AP146-recovered!AO146</f>
        <v>0</v>
      </c>
      <c r="AQ146" s="5">
        <f>recovered!AQ146-recovered!AP146</f>
        <v>0</v>
      </c>
      <c r="AR146" s="5">
        <f>recovered!AR146-recovered!AQ146</f>
        <v>0</v>
      </c>
      <c r="AS146" s="5">
        <f>recovered!AS146-recovered!AR146</f>
        <v>0</v>
      </c>
      <c r="AT146" s="5">
        <f>recovered!AT146-recovered!AS146</f>
        <v>0</v>
      </c>
      <c r="AU146" s="5">
        <f>recovered!AU146-recovered!AT146</f>
        <v>0</v>
      </c>
      <c r="AV146" s="5">
        <f>recovered!AV146-recovered!AU146</f>
        <v>0</v>
      </c>
      <c r="AW146" s="5">
        <f>recovered!AW146-recovered!AV146</f>
        <v>0</v>
      </c>
      <c r="AX146" s="5">
        <f>recovered!AX146-recovered!AW146</f>
        <v>0</v>
      </c>
      <c r="AY146" s="5">
        <f>recovered!AY146-recovered!AX146</f>
        <v>0</v>
      </c>
      <c r="AZ146" s="5">
        <f>recovered!AZ146-recovered!AY146</f>
        <v>0</v>
      </c>
      <c r="BA146" s="5">
        <f>recovered!BA146-recovered!AZ146</f>
        <v>0</v>
      </c>
      <c r="BB146" s="5">
        <f>recovered!BB146-recovered!BA146</f>
        <v>0</v>
      </c>
      <c r="BC146" s="5">
        <f>recovered!BC146-recovered!BB146</f>
        <v>0</v>
      </c>
      <c r="BD146" s="5">
        <f>recovered!BD146-recovered!BC146</f>
        <v>0</v>
      </c>
      <c r="BE146" s="5">
        <f>recovered!BE146-recovered!BD146</f>
        <v>0</v>
      </c>
      <c r="BF146" s="5">
        <f>recovered!BF146-recovered!BE146</f>
        <v>0</v>
      </c>
      <c r="BG146" s="5">
        <f>recovered!BG146-recovered!BF146</f>
        <v>0</v>
      </c>
      <c r="BH146" s="5">
        <f>recovered!BH146-recovered!BG146</f>
        <v>0</v>
      </c>
      <c r="BI146" s="5">
        <f>recovered!BI146-recovered!BH146</f>
        <v>0</v>
      </c>
      <c r="BJ146" s="5">
        <f>recovered!BJ146-recovered!BI146</f>
        <v>0</v>
      </c>
      <c r="BK146" s="5">
        <f>recovered!BK146-recovered!BJ146</f>
        <v>0</v>
      </c>
      <c r="BL146" s="5">
        <f>recovered!BL146-recovered!BK146</f>
        <v>0</v>
      </c>
      <c r="BM146" s="5">
        <f>recovered!BM146-recovered!BL146</f>
        <v>0</v>
      </c>
      <c r="BN146" s="5">
        <f>recovered!BN146-recovered!BM146</f>
        <v>0</v>
      </c>
      <c r="BO146" s="5">
        <f>recovered!BO146-recovered!BN146</f>
        <v>0</v>
      </c>
      <c r="BP146" s="5">
        <f>recovered!BP146-recovered!BO146</f>
        <v>0</v>
      </c>
      <c r="BQ146" s="5">
        <f>recovered!BQ146-recovered!BP146</f>
        <v>0</v>
      </c>
      <c r="BR146" s="5">
        <f>recovered!BR146-recovered!BQ146</f>
        <v>0</v>
      </c>
      <c r="BS146" s="5">
        <f>recovered!BS146-recovered!BR146</f>
        <v>0</v>
      </c>
      <c r="BT146" s="5">
        <f>recovered!BT146-recovered!BS146</f>
        <v>0</v>
      </c>
      <c r="BU146" s="5">
        <f>recovered!BU146-recovered!BT146</f>
        <v>0</v>
      </c>
      <c r="BV146" s="5">
        <f>recovered!BV146-recovered!BU146</f>
        <v>0</v>
      </c>
      <c r="BW146" s="5">
        <f>recovered!BW146-recovered!BV146</f>
        <v>0</v>
      </c>
      <c r="BX146" s="5">
        <f>recovered!BX146-recovered!BW146</f>
        <v>0</v>
      </c>
      <c r="BY146" s="5">
        <f>recovered!BY146-recovered!BX146</f>
        <v>0</v>
      </c>
    </row>
    <row r="147">
      <c r="B147" s="1" t="str">
        <f>recovered!B147</f>
        <v>Lithuania</v>
      </c>
      <c r="C147" s="4">
        <f>recovered!C147</f>
        <v>55.1694</v>
      </c>
      <c r="D147" s="4">
        <f>recovered!D147</f>
        <v>23.8813</v>
      </c>
      <c r="E147" s="5">
        <f>recovered!E147</f>
        <v>0</v>
      </c>
      <c r="F147" s="5">
        <f>recovered!F147-recovered!E147</f>
        <v>0</v>
      </c>
      <c r="G147" s="5">
        <f>recovered!G147-recovered!F147</f>
        <v>0</v>
      </c>
      <c r="H147" s="5">
        <f>recovered!H147-recovered!G147</f>
        <v>0</v>
      </c>
      <c r="I147" s="5">
        <f>recovered!I147-recovered!H147</f>
        <v>0</v>
      </c>
      <c r="J147" s="5">
        <f>recovered!J147-recovered!I147</f>
        <v>0</v>
      </c>
      <c r="K147" s="5">
        <f>recovered!K147-recovered!J147</f>
        <v>0</v>
      </c>
      <c r="L147" s="5">
        <f>recovered!L147-recovered!K147</f>
        <v>0</v>
      </c>
      <c r="M147" s="5">
        <f>recovered!M147-recovered!L147</f>
        <v>0</v>
      </c>
      <c r="N147" s="5">
        <f>recovered!N147-recovered!M147</f>
        <v>0</v>
      </c>
      <c r="O147" s="5">
        <f>recovered!O147-recovered!N147</f>
        <v>0</v>
      </c>
      <c r="P147" s="5">
        <f>recovered!P147-recovered!O147</f>
        <v>0</v>
      </c>
      <c r="Q147" s="5">
        <f>recovered!Q147-recovered!P147</f>
        <v>0</v>
      </c>
      <c r="R147" s="5">
        <f>recovered!R147-recovered!Q147</f>
        <v>0</v>
      </c>
      <c r="S147" s="5">
        <f>recovered!S147-recovered!R147</f>
        <v>0</v>
      </c>
      <c r="T147" s="5">
        <f>recovered!T147-recovered!S147</f>
        <v>0</v>
      </c>
      <c r="U147" s="5">
        <f>recovered!U147-recovered!T147</f>
        <v>0</v>
      </c>
      <c r="V147" s="5">
        <f>recovered!V147-recovered!U147</f>
        <v>0</v>
      </c>
      <c r="W147" s="5">
        <f>recovered!W147-recovered!V147</f>
        <v>0</v>
      </c>
      <c r="X147" s="5">
        <f>recovered!X147-recovered!W147</f>
        <v>0</v>
      </c>
      <c r="Y147" s="5">
        <f>recovered!Y147-recovered!X147</f>
        <v>0</v>
      </c>
      <c r="Z147" s="5">
        <f>recovered!Z147-recovered!Y147</f>
        <v>0</v>
      </c>
      <c r="AA147" s="5">
        <f>recovered!AA147-recovered!Z147</f>
        <v>0</v>
      </c>
      <c r="AB147" s="5">
        <f>recovered!AB147-recovered!AA147</f>
        <v>0</v>
      </c>
      <c r="AC147" s="5">
        <f>recovered!AC147-recovered!AB147</f>
        <v>0</v>
      </c>
      <c r="AD147" s="5">
        <f>recovered!AD147-recovered!AC147</f>
        <v>0</v>
      </c>
      <c r="AE147" s="5">
        <f>recovered!AE147-recovered!AD147</f>
        <v>0</v>
      </c>
      <c r="AF147" s="5">
        <f>recovered!AF147-recovered!AE147</f>
        <v>0</v>
      </c>
      <c r="AG147" s="5">
        <f>recovered!AG147-recovered!AF147</f>
        <v>0</v>
      </c>
      <c r="AH147" s="5">
        <f>recovered!AH147-recovered!AG147</f>
        <v>0</v>
      </c>
      <c r="AI147" s="5">
        <f>recovered!AI147-recovered!AH147</f>
        <v>0</v>
      </c>
      <c r="AJ147" s="5">
        <f>recovered!AJ147-recovered!AI147</f>
        <v>0</v>
      </c>
      <c r="AK147" s="5">
        <f>recovered!AK147-recovered!AJ147</f>
        <v>0</v>
      </c>
      <c r="AL147" s="5">
        <f>recovered!AL147-recovered!AK147</f>
        <v>0</v>
      </c>
      <c r="AM147" s="5">
        <f>recovered!AM147-recovered!AL147</f>
        <v>0</v>
      </c>
      <c r="AN147" s="5">
        <f>recovered!AN147-recovered!AM147</f>
        <v>0</v>
      </c>
      <c r="AO147" s="5">
        <f>recovered!AO147-recovered!AN147</f>
        <v>0</v>
      </c>
      <c r="AP147" s="5">
        <f>recovered!AP147-recovered!AO147</f>
        <v>0</v>
      </c>
      <c r="AQ147" s="5">
        <f>recovered!AQ147-recovered!AP147</f>
        <v>0</v>
      </c>
      <c r="AR147" s="5">
        <f>recovered!AR147-recovered!AQ147</f>
        <v>0</v>
      </c>
      <c r="AS147" s="5">
        <f>recovered!AS147-recovered!AR147</f>
        <v>0</v>
      </c>
      <c r="AT147" s="5">
        <f>recovered!AT147-recovered!AS147</f>
        <v>0</v>
      </c>
      <c r="AU147" s="5">
        <f>recovered!AU147-recovered!AT147</f>
        <v>0</v>
      </c>
      <c r="AV147" s="5">
        <f>recovered!AV147-recovered!AU147</f>
        <v>0</v>
      </c>
      <c r="AW147" s="5">
        <f>recovered!AW147-recovered!AV147</f>
        <v>0</v>
      </c>
      <c r="AX147" s="5">
        <f>recovered!AX147-recovered!AW147</f>
        <v>0</v>
      </c>
      <c r="AY147" s="5">
        <f>recovered!AY147-recovered!AX147</f>
        <v>0</v>
      </c>
      <c r="AZ147" s="5">
        <f>recovered!AZ147-recovered!AY147</f>
        <v>0</v>
      </c>
      <c r="BA147" s="5">
        <f>recovered!BA147-recovered!AZ147</f>
        <v>0</v>
      </c>
      <c r="BB147" s="5">
        <f>recovered!BB147-recovered!BA147</f>
        <v>0</v>
      </c>
      <c r="BC147" s="5">
        <f>recovered!BC147-recovered!BB147</f>
        <v>0</v>
      </c>
      <c r="BD147" s="5">
        <f>recovered!BD147-recovered!BC147</f>
        <v>0</v>
      </c>
      <c r="BE147" s="5">
        <f>recovered!BE147-recovered!BD147</f>
        <v>0</v>
      </c>
      <c r="BF147" s="5">
        <f>recovered!BF147-recovered!BE147</f>
        <v>1</v>
      </c>
      <c r="BG147" s="5">
        <f>recovered!BG147-recovered!BF147</f>
        <v>0</v>
      </c>
      <c r="BH147" s="5">
        <f>recovered!BH147-recovered!BG147</f>
        <v>0</v>
      </c>
      <c r="BI147" s="5">
        <f>recovered!BI147-recovered!BH147</f>
        <v>0</v>
      </c>
      <c r="BJ147" s="5">
        <f>recovered!BJ147-recovered!BI147</f>
        <v>0</v>
      </c>
      <c r="BK147" s="5">
        <f>recovered!BK147-recovered!BJ147</f>
        <v>0</v>
      </c>
      <c r="BL147" s="5">
        <f>recovered!BL147-recovered!BK147</f>
        <v>0</v>
      </c>
      <c r="BM147" s="5">
        <f>recovered!BM147-recovered!BL147</f>
        <v>0</v>
      </c>
      <c r="BN147" s="5">
        <f>recovered!BN147-recovered!BM147</f>
        <v>0</v>
      </c>
      <c r="BO147" s="5">
        <f>recovered!BO147-recovered!BN147</f>
        <v>0</v>
      </c>
      <c r="BP147" s="5">
        <f>recovered!BP147-recovered!BO147</f>
        <v>0</v>
      </c>
      <c r="BQ147" s="5">
        <f>recovered!BQ147-recovered!BP147</f>
        <v>0</v>
      </c>
      <c r="BR147" s="5">
        <f>recovered!BR147-recovered!BQ147</f>
        <v>0</v>
      </c>
      <c r="BS147" s="5">
        <f>recovered!BS147-recovered!BR147</f>
        <v>0</v>
      </c>
      <c r="BT147" s="5">
        <f>recovered!BT147-recovered!BS147</f>
        <v>0</v>
      </c>
      <c r="BU147" s="5">
        <f>recovered!BU147-recovered!BT147</f>
        <v>6</v>
      </c>
      <c r="BV147" s="5">
        <f>recovered!BV147-recovered!BU147</f>
        <v>0</v>
      </c>
      <c r="BW147" s="5">
        <f>recovered!BW147-recovered!BV147</f>
        <v>0</v>
      </c>
      <c r="BX147" s="5">
        <f>recovered!BX147-recovered!BW147</f>
        <v>0</v>
      </c>
      <c r="BY147" s="5">
        <f>recovered!BY147-recovered!BX147</f>
        <v>0</v>
      </c>
    </row>
    <row r="148">
      <c r="B148" s="1" t="str">
        <f>recovered!B148</f>
        <v>Luxembourg</v>
      </c>
      <c r="C148" s="4">
        <f>recovered!C148</f>
        <v>49.8153</v>
      </c>
      <c r="D148" s="4">
        <f>recovered!D148</f>
        <v>6.1296</v>
      </c>
      <c r="E148" s="5">
        <f>recovered!E148</f>
        <v>0</v>
      </c>
      <c r="F148" s="5">
        <f>recovered!F148-recovered!E148</f>
        <v>0</v>
      </c>
      <c r="G148" s="5">
        <f>recovered!G148-recovered!F148</f>
        <v>0</v>
      </c>
      <c r="H148" s="5">
        <f>recovered!H148-recovered!G148</f>
        <v>0</v>
      </c>
      <c r="I148" s="5">
        <f>recovered!I148-recovered!H148</f>
        <v>0</v>
      </c>
      <c r="J148" s="5">
        <f>recovered!J148-recovered!I148</f>
        <v>0</v>
      </c>
      <c r="K148" s="5">
        <f>recovered!K148-recovered!J148</f>
        <v>0</v>
      </c>
      <c r="L148" s="5">
        <f>recovered!L148-recovered!K148</f>
        <v>0</v>
      </c>
      <c r="M148" s="5">
        <f>recovered!M148-recovered!L148</f>
        <v>0</v>
      </c>
      <c r="N148" s="5">
        <f>recovered!N148-recovered!M148</f>
        <v>0</v>
      </c>
      <c r="O148" s="5">
        <f>recovered!O148-recovered!N148</f>
        <v>0</v>
      </c>
      <c r="P148" s="5">
        <f>recovered!P148-recovered!O148</f>
        <v>0</v>
      </c>
      <c r="Q148" s="5">
        <f>recovered!Q148-recovered!P148</f>
        <v>0</v>
      </c>
      <c r="R148" s="5">
        <f>recovered!R148-recovered!Q148</f>
        <v>0</v>
      </c>
      <c r="S148" s="5">
        <f>recovered!S148-recovered!R148</f>
        <v>0</v>
      </c>
      <c r="T148" s="5">
        <f>recovered!T148-recovered!S148</f>
        <v>0</v>
      </c>
      <c r="U148" s="5">
        <f>recovered!U148-recovered!T148</f>
        <v>0</v>
      </c>
      <c r="V148" s="5">
        <f>recovered!V148-recovered!U148</f>
        <v>0</v>
      </c>
      <c r="W148" s="5">
        <f>recovered!W148-recovered!V148</f>
        <v>0</v>
      </c>
      <c r="X148" s="5">
        <f>recovered!X148-recovered!W148</f>
        <v>0</v>
      </c>
      <c r="Y148" s="5">
        <f>recovered!Y148-recovered!X148</f>
        <v>0</v>
      </c>
      <c r="Z148" s="5">
        <f>recovered!Z148-recovered!Y148</f>
        <v>0</v>
      </c>
      <c r="AA148" s="5">
        <f>recovered!AA148-recovered!Z148</f>
        <v>0</v>
      </c>
      <c r="AB148" s="5">
        <f>recovered!AB148-recovered!AA148</f>
        <v>0</v>
      </c>
      <c r="AC148" s="5">
        <f>recovered!AC148-recovered!AB148</f>
        <v>0</v>
      </c>
      <c r="AD148" s="5">
        <f>recovered!AD148-recovered!AC148</f>
        <v>0</v>
      </c>
      <c r="AE148" s="5">
        <f>recovered!AE148-recovered!AD148</f>
        <v>0</v>
      </c>
      <c r="AF148" s="5">
        <f>recovered!AF148-recovered!AE148</f>
        <v>0</v>
      </c>
      <c r="AG148" s="5">
        <f>recovered!AG148-recovered!AF148</f>
        <v>0</v>
      </c>
      <c r="AH148" s="5">
        <f>recovered!AH148-recovered!AG148</f>
        <v>0</v>
      </c>
      <c r="AI148" s="5">
        <f>recovered!AI148-recovered!AH148</f>
        <v>0</v>
      </c>
      <c r="AJ148" s="5">
        <f>recovered!AJ148-recovered!AI148</f>
        <v>0</v>
      </c>
      <c r="AK148" s="5">
        <f>recovered!AK148-recovered!AJ148</f>
        <v>0</v>
      </c>
      <c r="AL148" s="5">
        <f>recovered!AL148-recovered!AK148</f>
        <v>0</v>
      </c>
      <c r="AM148" s="5">
        <f>recovered!AM148-recovered!AL148</f>
        <v>0</v>
      </c>
      <c r="AN148" s="5">
        <f>recovered!AN148-recovered!AM148</f>
        <v>0</v>
      </c>
      <c r="AO148" s="5">
        <f>recovered!AO148-recovered!AN148</f>
        <v>0</v>
      </c>
      <c r="AP148" s="5">
        <f>recovered!AP148-recovered!AO148</f>
        <v>0</v>
      </c>
      <c r="AQ148" s="5">
        <f>recovered!AQ148-recovered!AP148</f>
        <v>0</v>
      </c>
      <c r="AR148" s="5">
        <f>recovered!AR148-recovered!AQ148</f>
        <v>0</v>
      </c>
      <c r="AS148" s="5">
        <f>recovered!AS148-recovered!AR148</f>
        <v>0</v>
      </c>
      <c r="AT148" s="5">
        <f>recovered!AT148-recovered!AS148</f>
        <v>0</v>
      </c>
      <c r="AU148" s="5">
        <f>recovered!AU148-recovered!AT148</f>
        <v>0</v>
      </c>
      <c r="AV148" s="5">
        <f>recovered!AV148-recovered!AU148</f>
        <v>0</v>
      </c>
      <c r="AW148" s="5">
        <f>recovered!AW148-recovered!AV148</f>
        <v>0</v>
      </c>
      <c r="AX148" s="5">
        <f>recovered!AX148-recovered!AW148</f>
        <v>0</v>
      </c>
      <c r="AY148" s="5">
        <f>recovered!AY148-recovered!AX148</f>
        <v>0</v>
      </c>
      <c r="AZ148" s="5">
        <f>recovered!AZ148-recovered!AY148</f>
        <v>0</v>
      </c>
      <c r="BA148" s="5">
        <f>recovered!BA148-recovered!AZ148</f>
        <v>0</v>
      </c>
      <c r="BB148" s="5">
        <f>recovered!BB148-recovered!BA148</f>
        <v>0</v>
      </c>
      <c r="BC148" s="5">
        <f>recovered!BC148-recovered!BB148</f>
        <v>0</v>
      </c>
      <c r="BD148" s="5">
        <f>recovered!BD148-recovered!BC148</f>
        <v>0</v>
      </c>
      <c r="BE148" s="5">
        <f>recovered!BE148-recovered!BD148</f>
        <v>0</v>
      </c>
      <c r="BF148" s="5">
        <f>recovered!BF148-recovered!BE148</f>
        <v>0</v>
      </c>
      <c r="BG148" s="5">
        <f>recovered!BG148-recovered!BF148</f>
        <v>0</v>
      </c>
      <c r="BH148" s="5">
        <f>recovered!BH148-recovered!BG148</f>
        <v>0</v>
      </c>
      <c r="BI148" s="5">
        <f>recovered!BI148-recovered!BH148</f>
        <v>0</v>
      </c>
      <c r="BJ148" s="5">
        <f>recovered!BJ148-recovered!BI148</f>
        <v>0</v>
      </c>
      <c r="BK148" s="5">
        <f>recovered!BK148-recovered!BJ148</f>
        <v>0</v>
      </c>
      <c r="BL148" s="5">
        <f>recovered!BL148-recovered!BK148</f>
        <v>0</v>
      </c>
      <c r="BM148" s="5">
        <f>recovered!BM148-recovered!BL148</f>
        <v>6</v>
      </c>
      <c r="BN148" s="5">
        <f>recovered!BN148-recovered!BM148</f>
        <v>0</v>
      </c>
      <c r="BO148" s="5">
        <f>recovered!BO148-recovered!BN148</f>
        <v>0</v>
      </c>
      <c r="BP148" s="5">
        <f>recovered!BP148-recovered!BO148</f>
        <v>0</v>
      </c>
      <c r="BQ148" s="5">
        <f>recovered!BQ148-recovered!BP148</f>
        <v>0</v>
      </c>
      <c r="BR148" s="5">
        <f>recovered!BR148-recovered!BQ148</f>
        <v>34</v>
      </c>
      <c r="BS148" s="5">
        <f>recovered!BS148-recovered!BR148</f>
        <v>0</v>
      </c>
      <c r="BT148" s="5">
        <f>recovered!BT148-recovered!BS148</f>
        <v>0</v>
      </c>
      <c r="BU148" s="5">
        <f>recovered!BU148-recovered!BT148</f>
        <v>0</v>
      </c>
      <c r="BV148" s="5">
        <f>recovered!BV148-recovered!BU148</f>
        <v>40</v>
      </c>
      <c r="BW148" s="5">
        <f>recovered!BW148-recovered!BV148</f>
        <v>0</v>
      </c>
      <c r="BX148" s="5">
        <f>recovered!BX148-recovered!BW148</f>
        <v>0</v>
      </c>
      <c r="BY148" s="5">
        <f>recovered!BY148-recovered!BX148</f>
        <v>420</v>
      </c>
    </row>
    <row r="149">
      <c r="B149" s="1" t="str">
        <f>recovered!B149</f>
        <v>Madagascar</v>
      </c>
      <c r="C149" s="4">
        <f>recovered!C149</f>
        <v>-18.7669</v>
      </c>
      <c r="D149" s="4">
        <f>recovered!D149</f>
        <v>46.8691</v>
      </c>
      <c r="E149" s="5">
        <f>recovered!E149</f>
        <v>0</v>
      </c>
      <c r="F149" s="5">
        <f>recovered!F149-recovered!E149</f>
        <v>0</v>
      </c>
      <c r="G149" s="5">
        <f>recovered!G149-recovered!F149</f>
        <v>0</v>
      </c>
      <c r="H149" s="5">
        <f>recovered!H149-recovered!G149</f>
        <v>0</v>
      </c>
      <c r="I149" s="5">
        <f>recovered!I149-recovered!H149</f>
        <v>0</v>
      </c>
      <c r="J149" s="5">
        <f>recovered!J149-recovered!I149</f>
        <v>0</v>
      </c>
      <c r="K149" s="5">
        <f>recovered!K149-recovered!J149</f>
        <v>0</v>
      </c>
      <c r="L149" s="5">
        <f>recovered!L149-recovered!K149</f>
        <v>0</v>
      </c>
      <c r="M149" s="5">
        <f>recovered!M149-recovered!L149</f>
        <v>0</v>
      </c>
      <c r="N149" s="5">
        <f>recovered!N149-recovered!M149</f>
        <v>0</v>
      </c>
      <c r="O149" s="5">
        <f>recovered!O149-recovered!N149</f>
        <v>0</v>
      </c>
      <c r="P149" s="5">
        <f>recovered!P149-recovered!O149</f>
        <v>0</v>
      </c>
      <c r="Q149" s="5">
        <f>recovered!Q149-recovered!P149</f>
        <v>0</v>
      </c>
      <c r="R149" s="5">
        <f>recovered!R149-recovered!Q149</f>
        <v>0</v>
      </c>
      <c r="S149" s="5">
        <f>recovered!S149-recovered!R149</f>
        <v>0</v>
      </c>
      <c r="T149" s="5">
        <f>recovered!T149-recovered!S149</f>
        <v>0</v>
      </c>
      <c r="U149" s="5">
        <f>recovered!U149-recovered!T149</f>
        <v>0</v>
      </c>
      <c r="V149" s="5">
        <f>recovered!V149-recovered!U149</f>
        <v>0</v>
      </c>
      <c r="W149" s="5">
        <f>recovered!W149-recovered!V149</f>
        <v>0</v>
      </c>
      <c r="X149" s="5">
        <f>recovered!X149-recovered!W149</f>
        <v>0</v>
      </c>
      <c r="Y149" s="5">
        <f>recovered!Y149-recovered!X149</f>
        <v>0</v>
      </c>
      <c r="Z149" s="5">
        <f>recovered!Z149-recovered!Y149</f>
        <v>0</v>
      </c>
      <c r="AA149" s="5">
        <f>recovered!AA149-recovered!Z149</f>
        <v>0</v>
      </c>
      <c r="AB149" s="5">
        <f>recovered!AB149-recovered!AA149</f>
        <v>0</v>
      </c>
      <c r="AC149" s="5">
        <f>recovered!AC149-recovered!AB149</f>
        <v>0</v>
      </c>
      <c r="AD149" s="5">
        <f>recovered!AD149-recovered!AC149</f>
        <v>0</v>
      </c>
      <c r="AE149" s="5">
        <f>recovered!AE149-recovered!AD149</f>
        <v>0</v>
      </c>
      <c r="AF149" s="5">
        <f>recovered!AF149-recovered!AE149</f>
        <v>0</v>
      </c>
      <c r="AG149" s="5">
        <f>recovered!AG149-recovered!AF149</f>
        <v>0</v>
      </c>
      <c r="AH149" s="5">
        <f>recovered!AH149-recovered!AG149</f>
        <v>0</v>
      </c>
      <c r="AI149" s="5">
        <f>recovered!AI149-recovered!AH149</f>
        <v>0</v>
      </c>
      <c r="AJ149" s="5">
        <f>recovered!AJ149-recovered!AI149</f>
        <v>0</v>
      </c>
      <c r="AK149" s="5">
        <f>recovered!AK149-recovered!AJ149</f>
        <v>0</v>
      </c>
      <c r="AL149" s="5">
        <f>recovered!AL149-recovered!AK149</f>
        <v>0</v>
      </c>
      <c r="AM149" s="5">
        <f>recovered!AM149-recovered!AL149</f>
        <v>0</v>
      </c>
      <c r="AN149" s="5">
        <f>recovered!AN149-recovered!AM149</f>
        <v>0</v>
      </c>
      <c r="AO149" s="5">
        <f>recovered!AO149-recovered!AN149</f>
        <v>0</v>
      </c>
      <c r="AP149" s="5">
        <f>recovered!AP149-recovered!AO149</f>
        <v>0</v>
      </c>
      <c r="AQ149" s="5">
        <f>recovered!AQ149-recovered!AP149</f>
        <v>0</v>
      </c>
      <c r="AR149" s="5">
        <f>recovered!AR149-recovered!AQ149</f>
        <v>0</v>
      </c>
      <c r="AS149" s="5">
        <f>recovered!AS149-recovered!AR149</f>
        <v>0</v>
      </c>
      <c r="AT149" s="5">
        <f>recovered!AT149-recovered!AS149</f>
        <v>0</v>
      </c>
      <c r="AU149" s="5">
        <f>recovered!AU149-recovered!AT149</f>
        <v>0</v>
      </c>
      <c r="AV149" s="5">
        <f>recovered!AV149-recovered!AU149</f>
        <v>0</v>
      </c>
      <c r="AW149" s="5">
        <f>recovered!AW149-recovered!AV149</f>
        <v>0</v>
      </c>
      <c r="AX149" s="5">
        <f>recovered!AX149-recovered!AW149</f>
        <v>0</v>
      </c>
      <c r="AY149" s="5">
        <f>recovered!AY149-recovered!AX149</f>
        <v>0</v>
      </c>
      <c r="AZ149" s="5">
        <f>recovered!AZ149-recovered!AY149</f>
        <v>0</v>
      </c>
      <c r="BA149" s="5">
        <f>recovered!BA149-recovered!AZ149</f>
        <v>0</v>
      </c>
      <c r="BB149" s="5">
        <f>recovered!BB149-recovered!BA149</f>
        <v>0</v>
      </c>
      <c r="BC149" s="5">
        <f>recovered!BC149-recovered!BB149</f>
        <v>0</v>
      </c>
      <c r="BD149" s="5">
        <f>recovered!BD149-recovered!BC149</f>
        <v>0</v>
      </c>
      <c r="BE149" s="5">
        <f>recovered!BE149-recovered!BD149</f>
        <v>0</v>
      </c>
      <c r="BF149" s="5">
        <f>recovered!BF149-recovered!BE149</f>
        <v>0</v>
      </c>
      <c r="BG149" s="5">
        <f>recovered!BG149-recovered!BF149</f>
        <v>0</v>
      </c>
      <c r="BH149" s="5">
        <f>recovered!BH149-recovered!BG149</f>
        <v>0</v>
      </c>
      <c r="BI149" s="5">
        <f>recovered!BI149-recovered!BH149</f>
        <v>0</v>
      </c>
      <c r="BJ149" s="5">
        <f>recovered!BJ149-recovered!BI149</f>
        <v>0</v>
      </c>
      <c r="BK149" s="5">
        <f>recovered!BK149-recovered!BJ149</f>
        <v>0</v>
      </c>
      <c r="BL149" s="5">
        <f>recovered!BL149-recovered!BK149</f>
        <v>0</v>
      </c>
      <c r="BM149" s="5">
        <f>recovered!BM149-recovered!BL149</f>
        <v>0</v>
      </c>
      <c r="BN149" s="5">
        <f>recovered!BN149-recovered!BM149</f>
        <v>0</v>
      </c>
      <c r="BO149" s="5">
        <f>recovered!BO149-recovered!BN149</f>
        <v>0</v>
      </c>
      <c r="BP149" s="5">
        <f>recovered!BP149-recovered!BO149</f>
        <v>0</v>
      </c>
      <c r="BQ149" s="5">
        <f>recovered!BQ149-recovered!BP149</f>
        <v>0</v>
      </c>
      <c r="BR149" s="5">
        <f>recovered!BR149-recovered!BQ149</f>
        <v>0</v>
      </c>
      <c r="BS149" s="5">
        <f>recovered!BS149-recovered!BR149</f>
        <v>0</v>
      </c>
      <c r="BT149" s="5">
        <f>recovered!BT149-recovered!BS149</f>
        <v>0</v>
      </c>
      <c r="BU149" s="5">
        <f>recovered!BU149-recovered!BT149</f>
        <v>0</v>
      </c>
      <c r="BV149" s="5">
        <f>recovered!BV149-recovered!BU149</f>
        <v>0</v>
      </c>
      <c r="BW149" s="5">
        <f>recovered!BW149-recovered!BV149</f>
        <v>0</v>
      </c>
      <c r="BX149" s="5">
        <f>recovered!BX149-recovered!BW149</f>
        <v>0</v>
      </c>
      <c r="BY149" s="5">
        <f>recovered!BY149-recovered!BX149</f>
        <v>0</v>
      </c>
    </row>
    <row r="150">
      <c r="B150" s="1" t="str">
        <f>recovered!B150</f>
        <v>Malaysia</v>
      </c>
      <c r="C150" s="4">
        <f>recovered!C150</f>
        <v>2.5</v>
      </c>
      <c r="D150" s="4">
        <f>recovered!D150</f>
        <v>112.5</v>
      </c>
      <c r="E150" s="5">
        <f>recovered!E150</f>
        <v>0</v>
      </c>
      <c r="F150" s="5">
        <f>recovered!F150-recovered!E150</f>
        <v>0</v>
      </c>
      <c r="G150" s="5">
        <f>recovered!G150-recovered!F150</f>
        <v>0</v>
      </c>
      <c r="H150" s="5">
        <f>recovered!H150-recovered!G150</f>
        <v>0</v>
      </c>
      <c r="I150" s="5">
        <f>recovered!I150-recovered!H150</f>
        <v>0</v>
      </c>
      <c r="J150" s="5">
        <f>recovered!J150-recovered!I150</f>
        <v>0</v>
      </c>
      <c r="K150" s="5">
        <f>recovered!K150-recovered!J150</f>
        <v>0</v>
      </c>
      <c r="L150" s="5">
        <f>recovered!L150-recovered!K150</f>
        <v>0</v>
      </c>
      <c r="M150" s="5">
        <f>recovered!M150-recovered!L150</f>
        <v>0</v>
      </c>
      <c r="N150" s="5">
        <f>recovered!N150-recovered!M150</f>
        <v>0</v>
      </c>
      <c r="O150" s="5">
        <f>recovered!O150-recovered!N150</f>
        <v>0</v>
      </c>
      <c r="P150" s="5">
        <f>recovered!P150-recovered!O150</f>
        <v>0</v>
      </c>
      <c r="Q150" s="5">
        <f>recovered!Q150-recovered!P150</f>
        <v>0</v>
      </c>
      <c r="R150" s="5">
        <f>recovered!R150-recovered!Q150</f>
        <v>0</v>
      </c>
      <c r="S150" s="5">
        <f>recovered!S150-recovered!R150</f>
        <v>0</v>
      </c>
      <c r="T150" s="5">
        <f>recovered!T150-recovered!S150</f>
        <v>0</v>
      </c>
      <c r="U150" s="5">
        <f>recovered!U150-recovered!T150</f>
        <v>1</v>
      </c>
      <c r="V150" s="5">
        <f>recovered!V150-recovered!U150</f>
        <v>0</v>
      </c>
      <c r="W150" s="5">
        <f>recovered!W150-recovered!V150</f>
        <v>0</v>
      </c>
      <c r="X150" s="5">
        <f>recovered!X150-recovered!W150</f>
        <v>0</v>
      </c>
      <c r="Y150" s="5">
        <f>recovered!Y150-recovered!X150</f>
        <v>2</v>
      </c>
      <c r="Z150" s="5">
        <f>recovered!Z150-recovered!Y150</f>
        <v>0</v>
      </c>
      <c r="AA150" s="5">
        <f>recovered!AA150-recovered!Z150</f>
        <v>0</v>
      </c>
      <c r="AB150" s="5">
        <f>recovered!AB150-recovered!AA150</f>
        <v>0</v>
      </c>
      <c r="AC150" s="5">
        <f>recovered!AC150-recovered!AB150</f>
        <v>4</v>
      </c>
      <c r="AD150" s="5">
        <f>recovered!AD150-recovered!AC150</f>
        <v>0</v>
      </c>
      <c r="AE150" s="5">
        <f>recovered!AE150-recovered!AD150</f>
        <v>0</v>
      </c>
      <c r="AF150" s="5">
        <f>recovered!AF150-recovered!AE150</f>
        <v>6</v>
      </c>
      <c r="AG150" s="5">
        <f>recovered!AG150-recovered!AF150</f>
        <v>2</v>
      </c>
      <c r="AH150" s="5">
        <f>recovered!AH150-recovered!AG150</f>
        <v>0</v>
      </c>
      <c r="AI150" s="5">
        <f>recovered!AI150-recovered!AH150</f>
        <v>0</v>
      </c>
      <c r="AJ150" s="5">
        <f>recovered!AJ150-recovered!AI150</f>
        <v>0</v>
      </c>
      <c r="AK150" s="5">
        <f>recovered!AK150-recovered!AJ150</f>
        <v>0</v>
      </c>
      <c r="AL150" s="5">
        <f>recovered!AL150-recovered!AK150</f>
        <v>3</v>
      </c>
      <c r="AM150" s="5">
        <f>recovered!AM150-recovered!AL150</f>
        <v>0</v>
      </c>
      <c r="AN150" s="5">
        <f>recovered!AN150-recovered!AM150</f>
        <v>0</v>
      </c>
      <c r="AO150" s="5">
        <f>recovered!AO150-recovered!AN150</f>
        <v>0</v>
      </c>
      <c r="AP150" s="5">
        <f>recovered!AP150-recovered!AO150</f>
        <v>0</v>
      </c>
      <c r="AQ150" s="5">
        <f>recovered!AQ150-recovered!AP150</f>
        <v>0</v>
      </c>
      <c r="AR150" s="5">
        <f>recovered!AR150-recovered!AQ150</f>
        <v>0</v>
      </c>
      <c r="AS150" s="5">
        <f>recovered!AS150-recovered!AR150</f>
        <v>0</v>
      </c>
      <c r="AT150" s="5">
        <f>recovered!AT150-recovered!AS150</f>
        <v>4</v>
      </c>
      <c r="AU150" s="5">
        <f>recovered!AU150-recovered!AT150</f>
        <v>0</v>
      </c>
      <c r="AV150" s="5">
        <f>recovered!AV150-recovered!AU150</f>
        <v>0</v>
      </c>
      <c r="AW150" s="5">
        <f>recovered!AW150-recovered!AV150</f>
        <v>0</v>
      </c>
      <c r="AX150" s="5">
        <f>recovered!AX150-recovered!AW150</f>
        <v>1</v>
      </c>
      <c r="AY150" s="5">
        <f>recovered!AY150-recovered!AX150</f>
        <v>1</v>
      </c>
      <c r="AZ150" s="5">
        <f>recovered!AZ150-recovered!AY150</f>
        <v>0</v>
      </c>
      <c r="BA150" s="5">
        <f>recovered!BA150-recovered!AZ150</f>
        <v>0</v>
      </c>
      <c r="BB150" s="5">
        <f>recovered!BB150-recovered!BA150</f>
        <v>2</v>
      </c>
      <c r="BC150" s="5">
        <f>recovered!BC150-recovered!BB150</f>
        <v>0</v>
      </c>
      <c r="BD150" s="5">
        <f>recovered!BD150-recovered!BC150</f>
        <v>0</v>
      </c>
      <c r="BE150" s="5">
        <f>recovered!BE150-recovered!BD150</f>
        <v>9</v>
      </c>
      <c r="BF150" s="5">
        <f>recovered!BF150-recovered!BE150</f>
        <v>7</v>
      </c>
      <c r="BG150" s="5">
        <f>recovered!BG150-recovered!BF150</f>
        <v>0</v>
      </c>
      <c r="BH150" s="5">
        <f>recovered!BH150-recovered!BG150</f>
        <v>7</v>
      </c>
      <c r="BI150" s="5">
        <f>recovered!BI150-recovered!BH150</f>
        <v>11</v>
      </c>
      <c r="BJ150" s="5">
        <f>recovered!BJ150-recovered!BI150</f>
        <v>15</v>
      </c>
      <c r="BK150" s="5">
        <f>recovered!BK150-recovered!BJ150</f>
        <v>12</v>
      </c>
      <c r="BL150" s="5">
        <f>recovered!BL150-recovered!BK150</f>
        <v>27</v>
      </c>
      <c r="BM150" s="5">
        <f>recovered!BM150-recovered!BL150</f>
        <v>25</v>
      </c>
      <c r="BN150" s="5">
        <f>recovered!BN150-recovered!BM150</f>
        <v>0</v>
      </c>
      <c r="BO150" s="5">
        <f>recovered!BO150-recovered!BN150</f>
        <v>44</v>
      </c>
      <c r="BP150" s="5">
        <f>recovered!BP150-recovered!BO150</f>
        <v>16</v>
      </c>
      <c r="BQ150" s="5">
        <f>recovered!BQ150-recovered!BP150</f>
        <v>16</v>
      </c>
      <c r="BR150" s="5">
        <f>recovered!BR150-recovered!BQ150</f>
        <v>44</v>
      </c>
      <c r="BS150" s="5">
        <f>recovered!BS150-recovered!BR150</f>
        <v>61</v>
      </c>
      <c r="BT150" s="5">
        <f>recovered!BT150-recovered!BS150</f>
        <v>68</v>
      </c>
      <c r="BU150" s="5">
        <f>recovered!BU150-recovered!BT150</f>
        <v>91</v>
      </c>
      <c r="BV150" s="5">
        <f>recovered!BV150-recovered!BU150</f>
        <v>58</v>
      </c>
      <c r="BW150" s="5">
        <f>recovered!BW150-recovered!BV150</f>
        <v>108</v>
      </c>
      <c r="BX150" s="5">
        <f>recovered!BX150-recovered!BW150</f>
        <v>122</v>
      </c>
      <c r="BY150" s="5">
        <f>recovered!BY150-recovered!BX150</f>
        <v>60</v>
      </c>
    </row>
    <row r="151">
      <c r="B151" s="1" t="str">
        <f>recovered!B151</f>
        <v>Maldives</v>
      </c>
      <c r="C151" s="4">
        <f>recovered!C151</f>
        <v>3.2028</v>
      </c>
      <c r="D151" s="4">
        <f>recovered!D151</f>
        <v>73.2207</v>
      </c>
      <c r="E151" s="5">
        <f>recovered!E151</f>
        <v>0</v>
      </c>
      <c r="F151" s="5">
        <f>recovered!F151-recovered!E151</f>
        <v>0</v>
      </c>
      <c r="G151" s="5">
        <f>recovered!G151-recovered!F151</f>
        <v>0</v>
      </c>
      <c r="H151" s="5">
        <f>recovered!H151-recovered!G151</f>
        <v>0</v>
      </c>
      <c r="I151" s="5">
        <f>recovered!I151-recovered!H151</f>
        <v>0</v>
      </c>
      <c r="J151" s="5">
        <f>recovered!J151-recovered!I151</f>
        <v>0</v>
      </c>
      <c r="K151" s="5">
        <f>recovered!K151-recovered!J151</f>
        <v>0</v>
      </c>
      <c r="L151" s="5">
        <f>recovered!L151-recovered!K151</f>
        <v>0</v>
      </c>
      <c r="M151" s="5">
        <f>recovered!M151-recovered!L151</f>
        <v>0</v>
      </c>
      <c r="N151" s="5">
        <f>recovered!N151-recovered!M151</f>
        <v>0</v>
      </c>
      <c r="O151" s="5">
        <f>recovered!O151-recovered!N151</f>
        <v>0</v>
      </c>
      <c r="P151" s="5">
        <f>recovered!P151-recovered!O151</f>
        <v>0</v>
      </c>
      <c r="Q151" s="5">
        <f>recovered!Q151-recovered!P151</f>
        <v>0</v>
      </c>
      <c r="R151" s="5">
        <f>recovered!R151-recovered!Q151</f>
        <v>0</v>
      </c>
      <c r="S151" s="5">
        <f>recovered!S151-recovered!R151</f>
        <v>0</v>
      </c>
      <c r="T151" s="5">
        <f>recovered!T151-recovered!S151</f>
        <v>0</v>
      </c>
      <c r="U151" s="5">
        <f>recovered!U151-recovered!T151</f>
        <v>0</v>
      </c>
      <c r="V151" s="5">
        <f>recovered!V151-recovered!U151</f>
        <v>0</v>
      </c>
      <c r="W151" s="5">
        <f>recovered!W151-recovered!V151</f>
        <v>0</v>
      </c>
      <c r="X151" s="5">
        <f>recovered!X151-recovered!W151</f>
        <v>0</v>
      </c>
      <c r="Y151" s="5">
        <f>recovered!Y151-recovered!X151</f>
        <v>0</v>
      </c>
      <c r="Z151" s="5">
        <f>recovered!Z151-recovered!Y151</f>
        <v>0</v>
      </c>
      <c r="AA151" s="5">
        <f>recovered!AA151-recovered!Z151</f>
        <v>0</v>
      </c>
      <c r="AB151" s="5">
        <f>recovered!AB151-recovered!AA151</f>
        <v>0</v>
      </c>
      <c r="AC151" s="5">
        <f>recovered!AC151-recovered!AB151</f>
        <v>0</v>
      </c>
      <c r="AD151" s="5">
        <f>recovered!AD151-recovered!AC151</f>
        <v>0</v>
      </c>
      <c r="AE151" s="5">
        <f>recovered!AE151-recovered!AD151</f>
        <v>0</v>
      </c>
      <c r="AF151" s="5">
        <f>recovered!AF151-recovered!AE151</f>
        <v>0</v>
      </c>
      <c r="AG151" s="5">
        <f>recovered!AG151-recovered!AF151</f>
        <v>0</v>
      </c>
      <c r="AH151" s="5">
        <f>recovered!AH151-recovered!AG151</f>
        <v>0</v>
      </c>
      <c r="AI151" s="5">
        <f>recovered!AI151-recovered!AH151</f>
        <v>0</v>
      </c>
      <c r="AJ151" s="5">
        <f>recovered!AJ151-recovered!AI151</f>
        <v>0</v>
      </c>
      <c r="AK151" s="5">
        <f>recovered!AK151-recovered!AJ151</f>
        <v>0</v>
      </c>
      <c r="AL151" s="5">
        <f>recovered!AL151-recovered!AK151</f>
        <v>0</v>
      </c>
      <c r="AM151" s="5">
        <f>recovered!AM151-recovered!AL151</f>
        <v>0</v>
      </c>
      <c r="AN151" s="5">
        <f>recovered!AN151-recovered!AM151</f>
        <v>0</v>
      </c>
      <c r="AO151" s="5">
        <f>recovered!AO151-recovered!AN151</f>
        <v>0</v>
      </c>
      <c r="AP151" s="5">
        <f>recovered!AP151-recovered!AO151</f>
        <v>0</v>
      </c>
      <c r="AQ151" s="5">
        <f>recovered!AQ151-recovered!AP151</f>
        <v>0</v>
      </c>
      <c r="AR151" s="5">
        <f>recovered!AR151-recovered!AQ151</f>
        <v>0</v>
      </c>
      <c r="AS151" s="5">
        <f>recovered!AS151-recovered!AR151</f>
        <v>0</v>
      </c>
      <c r="AT151" s="5">
        <f>recovered!AT151-recovered!AS151</f>
        <v>0</v>
      </c>
      <c r="AU151" s="5">
        <f>recovered!AU151-recovered!AT151</f>
        <v>0</v>
      </c>
      <c r="AV151" s="5">
        <f>recovered!AV151-recovered!AU151</f>
        <v>0</v>
      </c>
      <c r="AW151" s="5">
        <f>recovered!AW151-recovered!AV151</f>
        <v>0</v>
      </c>
      <c r="AX151" s="5">
        <f>recovered!AX151-recovered!AW151</f>
        <v>0</v>
      </c>
      <c r="AY151" s="5">
        <f>recovered!AY151-recovered!AX151</f>
        <v>0</v>
      </c>
      <c r="AZ151" s="5">
        <f>recovered!AZ151-recovered!AY151</f>
        <v>0</v>
      </c>
      <c r="BA151" s="5">
        <f>recovered!BA151-recovered!AZ151</f>
        <v>0</v>
      </c>
      <c r="BB151" s="5">
        <f>recovered!BB151-recovered!BA151</f>
        <v>0</v>
      </c>
      <c r="BC151" s="5">
        <f>recovered!BC151-recovered!BB151</f>
        <v>0</v>
      </c>
      <c r="BD151" s="5">
        <f>recovered!BD151-recovered!BC151</f>
        <v>0</v>
      </c>
      <c r="BE151" s="5">
        <f>recovered!BE151-recovered!BD151</f>
        <v>0</v>
      </c>
      <c r="BF151" s="5">
        <f>recovered!BF151-recovered!BE151</f>
        <v>0</v>
      </c>
      <c r="BG151" s="5">
        <f>recovered!BG151-recovered!BF151</f>
        <v>0</v>
      </c>
      <c r="BH151" s="5">
        <f>recovered!BH151-recovered!BG151</f>
        <v>0</v>
      </c>
      <c r="BI151" s="5">
        <f>recovered!BI151-recovered!BH151</f>
        <v>0</v>
      </c>
      <c r="BJ151" s="5">
        <f>recovered!BJ151-recovered!BI151</f>
        <v>0</v>
      </c>
      <c r="BK151" s="5">
        <f>recovered!BK151-recovered!BJ151</f>
        <v>0</v>
      </c>
      <c r="BL151" s="5">
        <f>recovered!BL151-recovered!BK151</f>
        <v>0</v>
      </c>
      <c r="BM151" s="5">
        <f>recovered!BM151-recovered!BL151</f>
        <v>0</v>
      </c>
      <c r="BN151" s="5">
        <f>recovered!BN151-recovered!BM151</f>
        <v>0</v>
      </c>
      <c r="BO151" s="5">
        <f>recovered!BO151-recovered!BN151</f>
        <v>5</v>
      </c>
      <c r="BP151" s="5">
        <f>recovered!BP151-recovered!BO151</f>
        <v>3</v>
      </c>
      <c r="BQ151" s="5">
        <f>recovered!BQ151-recovered!BP151</f>
        <v>0</v>
      </c>
      <c r="BR151" s="5">
        <f>recovered!BR151-recovered!BQ151</f>
        <v>1</v>
      </c>
      <c r="BS151" s="5">
        <f>recovered!BS151-recovered!BR151</f>
        <v>0</v>
      </c>
      <c r="BT151" s="5">
        <f>recovered!BT151-recovered!BS151</f>
        <v>4</v>
      </c>
      <c r="BU151" s="5">
        <f>recovered!BU151-recovered!BT151</f>
        <v>0</v>
      </c>
      <c r="BV151" s="5">
        <f>recovered!BV151-recovered!BU151</f>
        <v>0</v>
      </c>
      <c r="BW151" s="5">
        <f>recovered!BW151-recovered!BV151</f>
        <v>0</v>
      </c>
      <c r="BX151" s="5">
        <f>recovered!BX151-recovered!BW151</f>
        <v>0</v>
      </c>
      <c r="BY151" s="5">
        <f>recovered!BY151-recovered!BX151</f>
        <v>0</v>
      </c>
    </row>
    <row r="152">
      <c r="B152" s="1" t="str">
        <f>recovered!B152</f>
        <v>Mali</v>
      </c>
      <c r="C152" s="4">
        <f>recovered!C152</f>
        <v>17.570692</v>
      </c>
      <c r="D152" s="4">
        <f>recovered!D152</f>
        <v>-3.996166</v>
      </c>
      <c r="E152" s="5">
        <f>recovered!E152</f>
        <v>0</v>
      </c>
      <c r="F152" s="5">
        <f>recovered!F152-recovered!E152</f>
        <v>0</v>
      </c>
      <c r="G152" s="5">
        <f>recovered!G152-recovered!F152</f>
        <v>0</v>
      </c>
      <c r="H152" s="5">
        <f>recovered!H152-recovered!G152</f>
        <v>0</v>
      </c>
      <c r="I152" s="5">
        <f>recovered!I152-recovered!H152</f>
        <v>0</v>
      </c>
      <c r="J152" s="5">
        <f>recovered!J152-recovered!I152</f>
        <v>0</v>
      </c>
      <c r="K152" s="5">
        <f>recovered!K152-recovered!J152</f>
        <v>0</v>
      </c>
      <c r="L152" s="5">
        <f>recovered!L152-recovered!K152</f>
        <v>0</v>
      </c>
      <c r="M152" s="5">
        <f>recovered!M152-recovered!L152</f>
        <v>0</v>
      </c>
      <c r="N152" s="5">
        <f>recovered!N152-recovered!M152</f>
        <v>0</v>
      </c>
      <c r="O152" s="5">
        <f>recovered!O152-recovered!N152</f>
        <v>0</v>
      </c>
      <c r="P152" s="5">
        <f>recovered!P152-recovered!O152</f>
        <v>0</v>
      </c>
      <c r="Q152" s="5">
        <f>recovered!Q152-recovered!P152</f>
        <v>0</v>
      </c>
      <c r="R152" s="5">
        <f>recovered!R152-recovered!Q152</f>
        <v>0</v>
      </c>
      <c r="S152" s="5">
        <f>recovered!S152-recovered!R152</f>
        <v>0</v>
      </c>
      <c r="T152" s="5">
        <f>recovered!T152-recovered!S152</f>
        <v>0</v>
      </c>
      <c r="U152" s="5">
        <f>recovered!U152-recovered!T152</f>
        <v>0</v>
      </c>
      <c r="V152" s="5">
        <f>recovered!V152-recovered!U152</f>
        <v>0</v>
      </c>
      <c r="W152" s="5">
        <f>recovered!W152-recovered!V152</f>
        <v>0</v>
      </c>
      <c r="X152" s="5">
        <f>recovered!X152-recovered!W152</f>
        <v>0</v>
      </c>
      <c r="Y152" s="5">
        <f>recovered!Y152-recovered!X152</f>
        <v>0</v>
      </c>
      <c r="Z152" s="5">
        <f>recovered!Z152-recovered!Y152</f>
        <v>0</v>
      </c>
      <c r="AA152" s="5">
        <f>recovered!AA152-recovered!Z152</f>
        <v>0</v>
      </c>
      <c r="AB152" s="5">
        <f>recovered!AB152-recovered!AA152</f>
        <v>0</v>
      </c>
      <c r="AC152" s="5">
        <f>recovered!AC152-recovered!AB152</f>
        <v>0</v>
      </c>
      <c r="AD152" s="5">
        <f>recovered!AD152-recovered!AC152</f>
        <v>0</v>
      </c>
      <c r="AE152" s="5">
        <f>recovered!AE152-recovered!AD152</f>
        <v>0</v>
      </c>
      <c r="AF152" s="5">
        <f>recovered!AF152-recovered!AE152</f>
        <v>0</v>
      </c>
      <c r="AG152" s="5">
        <f>recovered!AG152-recovered!AF152</f>
        <v>0</v>
      </c>
      <c r="AH152" s="5">
        <f>recovered!AH152-recovered!AG152</f>
        <v>0</v>
      </c>
      <c r="AI152" s="5">
        <f>recovered!AI152-recovered!AH152</f>
        <v>0</v>
      </c>
      <c r="AJ152" s="5">
        <f>recovered!AJ152-recovered!AI152</f>
        <v>0</v>
      </c>
      <c r="AK152" s="5">
        <f>recovered!AK152-recovered!AJ152</f>
        <v>0</v>
      </c>
      <c r="AL152" s="5">
        <f>recovered!AL152-recovered!AK152</f>
        <v>0</v>
      </c>
      <c r="AM152" s="5">
        <f>recovered!AM152-recovered!AL152</f>
        <v>0</v>
      </c>
      <c r="AN152" s="5">
        <f>recovered!AN152-recovered!AM152</f>
        <v>0</v>
      </c>
      <c r="AO152" s="5">
        <f>recovered!AO152-recovered!AN152</f>
        <v>0</v>
      </c>
      <c r="AP152" s="5">
        <f>recovered!AP152-recovered!AO152</f>
        <v>0</v>
      </c>
      <c r="AQ152" s="5">
        <f>recovered!AQ152-recovered!AP152</f>
        <v>0</v>
      </c>
      <c r="AR152" s="5">
        <f>recovered!AR152-recovered!AQ152</f>
        <v>0</v>
      </c>
      <c r="AS152" s="5">
        <f>recovered!AS152-recovered!AR152</f>
        <v>0</v>
      </c>
      <c r="AT152" s="5">
        <f>recovered!AT152-recovered!AS152</f>
        <v>0</v>
      </c>
      <c r="AU152" s="5">
        <f>recovered!AU152-recovered!AT152</f>
        <v>0</v>
      </c>
      <c r="AV152" s="5">
        <f>recovered!AV152-recovered!AU152</f>
        <v>0</v>
      </c>
      <c r="AW152" s="5">
        <f>recovered!AW152-recovered!AV152</f>
        <v>0</v>
      </c>
      <c r="AX152" s="5">
        <f>recovered!AX152-recovered!AW152</f>
        <v>0</v>
      </c>
      <c r="AY152" s="5">
        <f>recovered!AY152-recovered!AX152</f>
        <v>0</v>
      </c>
      <c r="AZ152" s="5">
        <f>recovered!AZ152-recovered!AY152</f>
        <v>0</v>
      </c>
      <c r="BA152" s="5">
        <f>recovered!BA152-recovered!AZ152</f>
        <v>0</v>
      </c>
      <c r="BB152" s="5">
        <f>recovered!BB152-recovered!BA152</f>
        <v>0</v>
      </c>
      <c r="BC152" s="5">
        <f>recovered!BC152-recovered!BB152</f>
        <v>0</v>
      </c>
      <c r="BD152" s="5">
        <f>recovered!BD152-recovered!BC152</f>
        <v>0</v>
      </c>
      <c r="BE152" s="5">
        <f>recovered!BE152-recovered!BD152</f>
        <v>0</v>
      </c>
      <c r="BF152" s="5">
        <f>recovered!BF152-recovered!BE152</f>
        <v>0</v>
      </c>
      <c r="BG152" s="5">
        <f>recovered!BG152-recovered!BF152</f>
        <v>0</v>
      </c>
      <c r="BH152" s="5">
        <f>recovered!BH152-recovered!BG152</f>
        <v>0</v>
      </c>
      <c r="BI152" s="5">
        <f>recovered!BI152-recovered!BH152</f>
        <v>0</v>
      </c>
      <c r="BJ152" s="5">
        <f>recovered!BJ152-recovered!BI152</f>
        <v>0</v>
      </c>
      <c r="BK152" s="5">
        <f>recovered!BK152-recovered!BJ152</f>
        <v>0</v>
      </c>
      <c r="BL152" s="5">
        <f>recovered!BL152-recovered!BK152</f>
        <v>0</v>
      </c>
      <c r="BM152" s="5">
        <f>recovered!BM152-recovered!BL152</f>
        <v>0</v>
      </c>
      <c r="BN152" s="5">
        <f>recovered!BN152-recovered!BM152</f>
        <v>0</v>
      </c>
      <c r="BO152" s="5">
        <f>recovered!BO152-recovered!BN152</f>
        <v>0</v>
      </c>
      <c r="BP152" s="5">
        <f>recovered!BP152-recovered!BO152</f>
        <v>0</v>
      </c>
      <c r="BQ152" s="5">
        <f>recovered!BQ152-recovered!BP152</f>
        <v>0</v>
      </c>
      <c r="BR152" s="5">
        <f>recovered!BR152-recovered!BQ152</f>
        <v>0</v>
      </c>
      <c r="BS152" s="5">
        <f>recovered!BS152-recovered!BR152</f>
        <v>0</v>
      </c>
      <c r="BT152" s="5">
        <f>recovered!BT152-recovered!BS152</f>
        <v>0</v>
      </c>
      <c r="BU152" s="5">
        <f>recovered!BU152-recovered!BT152</f>
        <v>0</v>
      </c>
      <c r="BV152" s="5">
        <f>recovered!BV152-recovered!BU152</f>
        <v>0</v>
      </c>
      <c r="BW152" s="5">
        <f>recovered!BW152-recovered!BV152</f>
        <v>0</v>
      </c>
      <c r="BX152" s="5">
        <f>recovered!BX152-recovered!BW152</f>
        <v>0</v>
      </c>
      <c r="BY152" s="5">
        <f>recovered!BY152-recovered!BX152</f>
        <v>0</v>
      </c>
    </row>
    <row r="153">
      <c r="B153" s="1" t="str">
        <f>recovered!B153</f>
        <v>Malta</v>
      </c>
      <c r="C153" s="4">
        <f>recovered!C153</f>
        <v>35.9375</v>
      </c>
      <c r="D153" s="4">
        <f>recovered!D153</f>
        <v>14.3754</v>
      </c>
      <c r="E153" s="5">
        <f>recovered!E153</f>
        <v>0</v>
      </c>
      <c r="F153" s="5">
        <f>recovered!F153-recovered!E153</f>
        <v>0</v>
      </c>
      <c r="G153" s="5">
        <f>recovered!G153-recovered!F153</f>
        <v>0</v>
      </c>
      <c r="H153" s="5">
        <f>recovered!H153-recovered!G153</f>
        <v>0</v>
      </c>
      <c r="I153" s="5">
        <f>recovered!I153-recovered!H153</f>
        <v>0</v>
      </c>
      <c r="J153" s="5">
        <f>recovered!J153-recovered!I153</f>
        <v>0</v>
      </c>
      <c r="K153" s="5">
        <f>recovered!K153-recovered!J153</f>
        <v>0</v>
      </c>
      <c r="L153" s="5">
        <f>recovered!L153-recovered!K153</f>
        <v>0</v>
      </c>
      <c r="M153" s="5">
        <f>recovered!M153-recovered!L153</f>
        <v>0</v>
      </c>
      <c r="N153" s="5">
        <f>recovered!N153-recovered!M153</f>
        <v>0</v>
      </c>
      <c r="O153" s="5">
        <f>recovered!O153-recovered!N153</f>
        <v>0</v>
      </c>
      <c r="P153" s="5">
        <f>recovered!P153-recovered!O153</f>
        <v>0</v>
      </c>
      <c r="Q153" s="5">
        <f>recovered!Q153-recovered!P153</f>
        <v>0</v>
      </c>
      <c r="R153" s="5">
        <f>recovered!R153-recovered!Q153</f>
        <v>0</v>
      </c>
      <c r="S153" s="5">
        <f>recovered!S153-recovered!R153</f>
        <v>0</v>
      </c>
      <c r="T153" s="5">
        <f>recovered!T153-recovered!S153</f>
        <v>0</v>
      </c>
      <c r="U153" s="5">
        <f>recovered!U153-recovered!T153</f>
        <v>0</v>
      </c>
      <c r="V153" s="5">
        <f>recovered!V153-recovered!U153</f>
        <v>0</v>
      </c>
      <c r="W153" s="5">
        <f>recovered!W153-recovered!V153</f>
        <v>0</v>
      </c>
      <c r="X153" s="5">
        <f>recovered!X153-recovered!W153</f>
        <v>0</v>
      </c>
      <c r="Y153" s="5">
        <f>recovered!Y153-recovered!X153</f>
        <v>0</v>
      </c>
      <c r="Z153" s="5">
        <f>recovered!Z153-recovered!Y153</f>
        <v>0</v>
      </c>
      <c r="AA153" s="5">
        <f>recovered!AA153-recovered!Z153</f>
        <v>0</v>
      </c>
      <c r="AB153" s="5">
        <f>recovered!AB153-recovered!AA153</f>
        <v>0</v>
      </c>
      <c r="AC153" s="5">
        <f>recovered!AC153-recovered!AB153</f>
        <v>0</v>
      </c>
      <c r="AD153" s="5">
        <f>recovered!AD153-recovered!AC153</f>
        <v>0</v>
      </c>
      <c r="AE153" s="5">
        <f>recovered!AE153-recovered!AD153</f>
        <v>0</v>
      </c>
      <c r="AF153" s="5">
        <f>recovered!AF153-recovered!AE153</f>
        <v>0</v>
      </c>
      <c r="AG153" s="5">
        <f>recovered!AG153-recovered!AF153</f>
        <v>0</v>
      </c>
      <c r="AH153" s="5">
        <f>recovered!AH153-recovered!AG153</f>
        <v>0</v>
      </c>
      <c r="AI153" s="5">
        <f>recovered!AI153-recovered!AH153</f>
        <v>0</v>
      </c>
      <c r="AJ153" s="5">
        <f>recovered!AJ153-recovered!AI153</f>
        <v>0</v>
      </c>
      <c r="AK153" s="5">
        <f>recovered!AK153-recovered!AJ153</f>
        <v>0</v>
      </c>
      <c r="AL153" s="5">
        <f>recovered!AL153-recovered!AK153</f>
        <v>0</v>
      </c>
      <c r="AM153" s="5">
        <f>recovered!AM153-recovered!AL153</f>
        <v>0</v>
      </c>
      <c r="AN153" s="5">
        <f>recovered!AN153-recovered!AM153</f>
        <v>0</v>
      </c>
      <c r="AO153" s="5">
        <f>recovered!AO153-recovered!AN153</f>
        <v>0</v>
      </c>
      <c r="AP153" s="5">
        <f>recovered!AP153-recovered!AO153</f>
        <v>0</v>
      </c>
      <c r="AQ153" s="5">
        <f>recovered!AQ153-recovered!AP153</f>
        <v>0</v>
      </c>
      <c r="AR153" s="5">
        <f>recovered!AR153-recovered!AQ153</f>
        <v>0</v>
      </c>
      <c r="AS153" s="5">
        <f>recovered!AS153-recovered!AR153</f>
        <v>0</v>
      </c>
      <c r="AT153" s="5">
        <f>recovered!AT153-recovered!AS153</f>
        <v>0</v>
      </c>
      <c r="AU153" s="5">
        <f>recovered!AU153-recovered!AT153</f>
        <v>0</v>
      </c>
      <c r="AV153" s="5">
        <f>recovered!AV153-recovered!AU153</f>
        <v>0</v>
      </c>
      <c r="AW153" s="5">
        <f>recovered!AW153-recovered!AV153</f>
        <v>0</v>
      </c>
      <c r="AX153" s="5">
        <f>recovered!AX153-recovered!AW153</f>
        <v>0</v>
      </c>
      <c r="AY153" s="5">
        <f>recovered!AY153-recovered!AX153</f>
        <v>0</v>
      </c>
      <c r="AZ153" s="5">
        <f>recovered!AZ153-recovered!AY153</f>
        <v>0</v>
      </c>
      <c r="BA153" s="5">
        <f>recovered!BA153-recovered!AZ153</f>
        <v>0</v>
      </c>
      <c r="BB153" s="5">
        <f>recovered!BB153-recovered!BA153</f>
        <v>0</v>
      </c>
      <c r="BC153" s="5">
        <f>recovered!BC153-recovered!BB153</f>
        <v>0</v>
      </c>
      <c r="BD153" s="5">
        <f>recovered!BD153-recovered!BC153</f>
        <v>1</v>
      </c>
      <c r="BE153" s="5">
        <f>recovered!BE153-recovered!BD153</f>
        <v>0</v>
      </c>
      <c r="BF153" s="5">
        <f>recovered!BF153-recovered!BE153</f>
        <v>0</v>
      </c>
      <c r="BG153" s="5">
        <f>recovered!BG153-recovered!BF153</f>
        <v>1</v>
      </c>
      <c r="BH153" s="5">
        <f>recovered!BH153-recovered!BG153</f>
        <v>0</v>
      </c>
      <c r="BI153" s="5">
        <f>recovered!BI153-recovered!BH153</f>
        <v>0</v>
      </c>
      <c r="BJ153" s="5">
        <f>recovered!BJ153-recovered!BI153</f>
        <v>0</v>
      </c>
      <c r="BK153" s="5">
        <f>recovered!BK153-recovered!BJ153</f>
        <v>0</v>
      </c>
      <c r="BL153" s="5">
        <f>recovered!BL153-recovered!BK153</f>
        <v>0</v>
      </c>
      <c r="BM153" s="5">
        <f>recovered!BM153-recovered!BL153</f>
        <v>0</v>
      </c>
      <c r="BN153" s="5">
        <f>recovered!BN153-recovered!BM153</f>
        <v>0</v>
      </c>
      <c r="BO153" s="5">
        <f>recovered!BO153-recovered!BN153</f>
        <v>0</v>
      </c>
      <c r="BP153" s="5">
        <f>recovered!BP153-recovered!BO153</f>
        <v>0</v>
      </c>
      <c r="BQ153" s="5">
        <f>recovered!BQ153-recovered!BP153</f>
        <v>0</v>
      </c>
      <c r="BR153" s="5">
        <f>recovered!BR153-recovered!BQ153</f>
        <v>0</v>
      </c>
      <c r="BS153" s="5">
        <f>recovered!BS153-recovered!BR153</f>
        <v>0</v>
      </c>
      <c r="BT153" s="5">
        <f>recovered!BT153-recovered!BS153</f>
        <v>0</v>
      </c>
      <c r="BU153" s="5">
        <f>recovered!BU153-recovered!BT153</f>
        <v>0</v>
      </c>
      <c r="BV153" s="5">
        <f>recovered!BV153-recovered!BU153</f>
        <v>0</v>
      </c>
      <c r="BW153" s="5">
        <f>recovered!BW153-recovered!BV153</f>
        <v>0</v>
      </c>
      <c r="BX153" s="5">
        <f>recovered!BX153-recovered!BW153</f>
        <v>0</v>
      </c>
      <c r="BY153" s="5">
        <f>recovered!BY153-recovered!BX153</f>
        <v>0</v>
      </c>
    </row>
    <row r="154">
      <c r="B154" s="1" t="str">
        <f>recovered!B154</f>
        <v>Mauritania</v>
      </c>
      <c r="C154" s="4">
        <f>recovered!C154</f>
        <v>21.0079</v>
      </c>
      <c r="D154" s="4">
        <f>recovered!D154</f>
        <v>10.9408</v>
      </c>
      <c r="E154" s="5">
        <f>recovered!E154</f>
        <v>0</v>
      </c>
      <c r="F154" s="5">
        <f>recovered!F154-recovered!E154</f>
        <v>0</v>
      </c>
      <c r="G154" s="5">
        <f>recovered!G154-recovered!F154</f>
        <v>0</v>
      </c>
      <c r="H154" s="5">
        <f>recovered!H154-recovered!G154</f>
        <v>0</v>
      </c>
      <c r="I154" s="5">
        <f>recovered!I154-recovered!H154</f>
        <v>0</v>
      </c>
      <c r="J154" s="5">
        <f>recovered!J154-recovered!I154</f>
        <v>0</v>
      </c>
      <c r="K154" s="5">
        <f>recovered!K154-recovered!J154</f>
        <v>0</v>
      </c>
      <c r="L154" s="5">
        <f>recovered!L154-recovered!K154</f>
        <v>0</v>
      </c>
      <c r="M154" s="5">
        <f>recovered!M154-recovered!L154</f>
        <v>0</v>
      </c>
      <c r="N154" s="5">
        <f>recovered!N154-recovered!M154</f>
        <v>0</v>
      </c>
      <c r="O154" s="5">
        <f>recovered!O154-recovered!N154</f>
        <v>0</v>
      </c>
      <c r="P154" s="5">
        <f>recovered!P154-recovered!O154</f>
        <v>0</v>
      </c>
      <c r="Q154" s="5">
        <f>recovered!Q154-recovered!P154</f>
        <v>0</v>
      </c>
      <c r="R154" s="5">
        <f>recovered!R154-recovered!Q154</f>
        <v>0</v>
      </c>
      <c r="S154" s="5">
        <f>recovered!S154-recovered!R154</f>
        <v>0</v>
      </c>
      <c r="T154" s="5">
        <f>recovered!T154-recovered!S154</f>
        <v>0</v>
      </c>
      <c r="U154" s="5">
        <f>recovered!U154-recovered!T154</f>
        <v>0</v>
      </c>
      <c r="V154" s="5">
        <f>recovered!V154-recovered!U154</f>
        <v>0</v>
      </c>
      <c r="W154" s="5">
        <f>recovered!W154-recovered!V154</f>
        <v>0</v>
      </c>
      <c r="X154" s="5">
        <f>recovered!X154-recovered!W154</f>
        <v>0</v>
      </c>
      <c r="Y154" s="5">
        <f>recovered!Y154-recovered!X154</f>
        <v>0</v>
      </c>
      <c r="Z154" s="5">
        <f>recovered!Z154-recovered!Y154</f>
        <v>0</v>
      </c>
      <c r="AA154" s="5">
        <f>recovered!AA154-recovered!Z154</f>
        <v>0</v>
      </c>
      <c r="AB154" s="5">
        <f>recovered!AB154-recovered!AA154</f>
        <v>0</v>
      </c>
      <c r="AC154" s="5">
        <f>recovered!AC154-recovered!AB154</f>
        <v>0</v>
      </c>
      <c r="AD154" s="5">
        <f>recovered!AD154-recovered!AC154</f>
        <v>0</v>
      </c>
      <c r="AE154" s="5">
        <f>recovered!AE154-recovered!AD154</f>
        <v>0</v>
      </c>
      <c r="AF154" s="5">
        <f>recovered!AF154-recovered!AE154</f>
        <v>0</v>
      </c>
      <c r="AG154" s="5">
        <f>recovered!AG154-recovered!AF154</f>
        <v>0</v>
      </c>
      <c r="AH154" s="5">
        <f>recovered!AH154-recovered!AG154</f>
        <v>0</v>
      </c>
      <c r="AI154" s="5">
        <f>recovered!AI154-recovered!AH154</f>
        <v>0</v>
      </c>
      <c r="AJ154" s="5">
        <f>recovered!AJ154-recovered!AI154</f>
        <v>0</v>
      </c>
      <c r="AK154" s="5">
        <f>recovered!AK154-recovered!AJ154</f>
        <v>0</v>
      </c>
      <c r="AL154" s="5">
        <f>recovered!AL154-recovered!AK154</f>
        <v>0</v>
      </c>
      <c r="AM154" s="5">
        <f>recovered!AM154-recovered!AL154</f>
        <v>0</v>
      </c>
      <c r="AN154" s="5">
        <f>recovered!AN154-recovered!AM154</f>
        <v>0</v>
      </c>
      <c r="AO154" s="5">
        <f>recovered!AO154-recovered!AN154</f>
        <v>0</v>
      </c>
      <c r="AP154" s="5">
        <f>recovered!AP154-recovered!AO154</f>
        <v>0</v>
      </c>
      <c r="AQ154" s="5">
        <f>recovered!AQ154-recovered!AP154</f>
        <v>0</v>
      </c>
      <c r="AR154" s="5">
        <f>recovered!AR154-recovered!AQ154</f>
        <v>0</v>
      </c>
      <c r="AS154" s="5">
        <f>recovered!AS154-recovered!AR154</f>
        <v>0</v>
      </c>
      <c r="AT154" s="5">
        <f>recovered!AT154-recovered!AS154</f>
        <v>0</v>
      </c>
      <c r="AU154" s="5">
        <f>recovered!AU154-recovered!AT154</f>
        <v>0</v>
      </c>
      <c r="AV154" s="5">
        <f>recovered!AV154-recovered!AU154</f>
        <v>0</v>
      </c>
      <c r="AW154" s="5">
        <f>recovered!AW154-recovered!AV154</f>
        <v>0</v>
      </c>
      <c r="AX154" s="5">
        <f>recovered!AX154-recovered!AW154</f>
        <v>0</v>
      </c>
      <c r="AY154" s="5">
        <f>recovered!AY154-recovered!AX154</f>
        <v>0</v>
      </c>
      <c r="AZ154" s="5">
        <f>recovered!AZ154-recovered!AY154</f>
        <v>0</v>
      </c>
      <c r="BA154" s="5">
        <f>recovered!BA154-recovered!AZ154</f>
        <v>0</v>
      </c>
      <c r="BB154" s="5">
        <f>recovered!BB154-recovered!BA154</f>
        <v>0</v>
      </c>
      <c r="BC154" s="5">
        <f>recovered!BC154-recovered!BB154</f>
        <v>0</v>
      </c>
      <c r="BD154" s="5">
        <f>recovered!BD154-recovered!BC154</f>
        <v>0</v>
      </c>
      <c r="BE154" s="5">
        <f>recovered!BE154-recovered!BD154</f>
        <v>0</v>
      </c>
      <c r="BF154" s="5">
        <f>recovered!BF154-recovered!BE154</f>
        <v>0</v>
      </c>
      <c r="BG154" s="5">
        <f>recovered!BG154-recovered!BF154</f>
        <v>0</v>
      </c>
      <c r="BH154" s="5">
        <f>recovered!BH154-recovered!BG154</f>
        <v>0</v>
      </c>
      <c r="BI154" s="5">
        <f>recovered!BI154-recovered!BH154</f>
        <v>0</v>
      </c>
      <c r="BJ154" s="5">
        <f>recovered!BJ154-recovered!BI154</f>
        <v>0</v>
      </c>
      <c r="BK154" s="5">
        <f>recovered!BK154-recovered!BJ154</f>
        <v>0</v>
      </c>
      <c r="BL154" s="5">
        <f>recovered!BL154-recovered!BK154</f>
        <v>0</v>
      </c>
      <c r="BM154" s="5">
        <f>recovered!BM154-recovered!BL154</f>
        <v>0</v>
      </c>
      <c r="BN154" s="5">
        <f>recovered!BN154-recovered!BM154</f>
        <v>0</v>
      </c>
      <c r="BO154" s="5">
        <f>recovered!BO154-recovered!BN154</f>
        <v>0</v>
      </c>
      <c r="BP154" s="5">
        <f>recovered!BP154-recovered!BO154</f>
        <v>0</v>
      </c>
      <c r="BQ154" s="5">
        <f>recovered!BQ154-recovered!BP154</f>
        <v>0</v>
      </c>
      <c r="BR154" s="5">
        <f>recovered!BR154-recovered!BQ154</f>
        <v>0</v>
      </c>
      <c r="BS154" s="5">
        <f>recovered!BS154-recovered!BR154</f>
        <v>0</v>
      </c>
      <c r="BT154" s="5">
        <f>recovered!BT154-recovered!BS154</f>
        <v>2</v>
      </c>
      <c r="BU154" s="5">
        <f>recovered!BU154-recovered!BT154</f>
        <v>0</v>
      </c>
      <c r="BV154" s="5">
        <f>recovered!BV154-recovered!BU154</f>
        <v>0</v>
      </c>
      <c r="BW154" s="5">
        <f>recovered!BW154-recovered!BV154</f>
        <v>0</v>
      </c>
      <c r="BX154" s="5">
        <f>recovered!BX154-recovered!BW154</f>
        <v>0</v>
      </c>
      <c r="BY154" s="5">
        <f>recovered!BY154-recovered!BX154</f>
        <v>0</v>
      </c>
    </row>
    <row r="155">
      <c r="B155" s="1" t="str">
        <f>recovered!B155</f>
        <v>Mauritius</v>
      </c>
      <c r="C155" s="4">
        <f>recovered!C155</f>
        <v>-20.2</v>
      </c>
      <c r="D155" s="4">
        <f>recovered!D155</f>
        <v>57.5</v>
      </c>
      <c r="E155" s="5">
        <f>recovered!E155</f>
        <v>0</v>
      </c>
      <c r="F155" s="5">
        <f>recovered!F155-recovered!E155</f>
        <v>0</v>
      </c>
      <c r="G155" s="5">
        <f>recovered!G155-recovered!F155</f>
        <v>0</v>
      </c>
      <c r="H155" s="5">
        <f>recovered!H155-recovered!G155</f>
        <v>0</v>
      </c>
      <c r="I155" s="5">
        <f>recovered!I155-recovered!H155</f>
        <v>0</v>
      </c>
      <c r="J155" s="5">
        <f>recovered!J155-recovered!I155</f>
        <v>0</v>
      </c>
      <c r="K155" s="5">
        <f>recovered!K155-recovered!J155</f>
        <v>0</v>
      </c>
      <c r="L155" s="5">
        <f>recovered!L155-recovered!K155</f>
        <v>0</v>
      </c>
      <c r="M155" s="5">
        <f>recovered!M155-recovered!L155</f>
        <v>0</v>
      </c>
      <c r="N155" s="5">
        <f>recovered!N155-recovered!M155</f>
        <v>0</v>
      </c>
      <c r="O155" s="5">
        <f>recovered!O155-recovered!N155</f>
        <v>0</v>
      </c>
      <c r="P155" s="5">
        <f>recovered!P155-recovered!O155</f>
        <v>0</v>
      </c>
      <c r="Q155" s="5">
        <f>recovered!Q155-recovered!P155</f>
        <v>0</v>
      </c>
      <c r="R155" s="5">
        <f>recovered!R155-recovered!Q155</f>
        <v>0</v>
      </c>
      <c r="S155" s="5">
        <f>recovered!S155-recovered!R155</f>
        <v>0</v>
      </c>
      <c r="T155" s="5">
        <f>recovered!T155-recovered!S155</f>
        <v>0</v>
      </c>
      <c r="U155" s="5">
        <f>recovered!U155-recovered!T155</f>
        <v>0</v>
      </c>
      <c r="V155" s="5">
        <f>recovered!V155-recovered!U155</f>
        <v>0</v>
      </c>
      <c r="W155" s="5">
        <f>recovered!W155-recovered!V155</f>
        <v>0</v>
      </c>
      <c r="X155" s="5">
        <f>recovered!X155-recovered!W155</f>
        <v>0</v>
      </c>
      <c r="Y155" s="5">
        <f>recovered!Y155-recovered!X155</f>
        <v>0</v>
      </c>
      <c r="Z155" s="5">
        <f>recovered!Z155-recovered!Y155</f>
        <v>0</v>
      </c>
      <c r="AA155" s="5">
        <f>recovered!AA155-recovered!Z155</f>
        <v>0</v>
      </c>
      <c r="AB155" s="5">
        <f>recovered!AB155-recovered!AA155</f>
        <v>0</v>
      </c>
      <c r="AC155" s="5">
        <f>recovered!AC155-recovered!AB155</f>
        <v>0</v>
      </c>
      <c r="AD155" s="5">
        <f>recovered!AD155-recovered!AC155</f>
        <v>0</v>
      </c>
      <c r="AE155" s="5">
        <f>recovered!AE155-recovered!AD155</f>
        <v>0</v>
      </c>
      <c r="AF155" s="5">
        <f>recovered!AF155-recovered!AE155</f>
        <v>0</v>
      </c>
      <c r="AG155" s="5">
        <f>recovered!AG155-recovered!AF155</f>
        <v>0</v>
      </c>
      <c r="AH155" s="5">
        <f>recovered!AH155-recovered!AG155</f>
        <v>0</v>
      </c>
      <c r="AI155" s="5">
        <f>recovered!AI155-recovered!AH155</f>
        <v>0</v>
      </c>
      <c r="AJ155" s="5">
        <f>recovered!AJ155-recovered!AI155</f>
        <v>0</v>
      </c>
      <c r="AK155" s="5">
        <f>recovered!AK155-recovered!AJ155</f>
        <v>0</v>
      </c>
      <c r="AL155" s="5">
        <f>recovered!AL155-recovered!AK155</f>
        <v>0</v>
      </c>
      <c r="AM155" s="5">
        <f>recovered!AM155-recovered!AL155</f>
        <v>0</v>
      </c>
      <c r="AN155" s="5">
        <f>recovered!AN155-recovered!AM155</f>
        <v>0</v>
      </c>
      <c r="AO155" s="5">
        <f>recovered!AO155-recovered!AN155</f>
        <v>0</v>
      </c>
      <c r="AP155" s="5">
        <f>recovered!AP155-recovered!AO155</f>
        <v>0</v>
      </c>
      <c r="AQ155" s="5">
        <f>recovered!AQ155-recovered!AP155</f>
        <v>0</v>
      </c>
      <c r="AR155" s="5">
        <f>recovered!AR155-recovered!AQ155</f>
        <v>0</v>
      </c>
      <c r="AS155" s="5">
        <f>recovered!AS155-recovered!AR155</f>
        <v>0</v>
      </c>
      <c r="AT155" s="5">
        <f>recovered!AT155-recovered!AS155</f>
        <v>0</v>
      </c>
      <c r="AU155" s="5">
        <f>recovered!AU155-recovered!AT155</f>
        <v>0</v>
      </c>
      <c r="AV155" s="5">
        <f>recovered!AV155-recovered!AU155</f>
        <v>0</v>
      </c>
      <c r="AW155" s="5">
        <f>recovered!AW155-recovered!AV155</f>
        <v>0</v>
      </c>
      <c r="AX155" s="5">
        <f>recovered!AX155-recovered!AW155</f>
        <v>0</v>
      </c>
      <c r="AY155" s="5">
        <f>recovered!AY155-recovered!AX155</f>
        <v>0</v>
      </c>
      <c r="AZ155" s="5">
        <f>recovered!AZ155-recovered!AY155</f>
        <v>0</v>
      </c>
      <c r="BA155" s="5">
        <f>recovered!BA155-recovered!AZ155</f>
        <v>0</v>
      </c>
      <c r="BB155" s="5">
        <f>recovered!BB155-recovered!BA155</f>
        <v>0</v>
      </c>
      <c r="BC155" s="5">
        <f>recovered!BC155-recovered!BB155</f>
        <v>0</v>
      </c>
      <c r="BD155" s="5">
        <f>recovered!BD155-recovered!BC155</f>
        <v>0</v>
      </c>
      <c r="BE155" s="5">
        <f>recovered!BE155-recovered!BD155</f>
        <v>0</v>
      </c>
      <c r="BF155" s="5">
        <f>recovered!BF155-recovered!BE155</f>
        <v>0</v>
      </c>
      <c r="BG155" s="5">
        <f>recovered!BG155-recovered!BF155</f>
        <v>0</v>
      </c>
      <c r="BH155" s="5">
        <f>recovered!BH155-recovered!BG155</f>
        <v>0</v>
      </c>
      <c r="BI155" s="5">
        <f>recovered!BI155-recovered!BH155</f>
        <v>0</v>
      </c>
      <c r="BJ155" s="5">
        <f>recovered!BJ155-recovered!BI155</f>
        <v>0</v>
      </c>
      <c r="BK155" s="5">
        <f>recovered!BK155-recovered!BJ155</f>
        <v>0</v>
      </c>
      <c r="BL155" s="5">
        <f>recovered!BL155-recovered!BK155</f>
        <v>0</v>
      </c>
      <c r="BM155" s="5">
        <f>recovered!BM155-recovered!BL155</f>
        <v>0</v>
      </c>
      <c r="BN155" s="5">
        <f>recovered!BN155-recovered!BM155</f>
        <v>0</v>
      </c>
      <c r="BO155" s="5">
        <f>recovered!BO155-recovered!BN155</f>
        <v>0</v>
      </c>
      <c r="BP155" s="5">
        <f>recovered!BP155-recovered!BO155</f>
        <v>0</v>
      </c>
      <c r="BQ155" s="5">
        <f>recovered!BQ155-recovered!BP155</f>
        <v>0</v>
      </c>
      <c r="BR155" s="5">
        <f>recovered!BR155-recovered!BQ155</f>
        <v>0</v>
      </c>
      <c r="BS155" s="5">
        <f>recovered!BS155-recovered!BR155</f>
        <v>0</v>
      </c>
      <c r="BT155" s="5">
        <f>recovered!BT155-recovered!BS155</f>
        <v>0</v>
      </c>
      <c r="BU155" s="5">
        <f>recovered!BU155-recovered!BT155</f>
        <v>0</v>
      </c>
      <c r="BV155" s="5">
        <f>recovered!BV155-recovered!BU155</f>
        <v>0</v>
      </c>
      <c r="BW155" s="5">
        <f>recovered!BW155-recovered!BV155</f>
        <v>0</v>
      </c>
      <c r="BX155" s="5">
        <f>recovered!BX155-recovered!BW155</f>
        <v>0</v>
      </c>
      <c r="BY155" s="5">
        <f>recovered!BY155-recovered!BX155</f>
        <v>0</v>
      </c>
    </row>
    <row r="156">
      <c r="B156" s="1" t="str">
        <f>recovered!B156</f>
        <v>Mexico</v>
      </c>
      <c r="C156" s="4">
        <f>recovered!C156</f>
        <v>23.6345</v>
      </c>
      <c r="D156" s="4">
        <f>recovered!D156</f>
        <v>-102.5528</v>
      </c>
      <c r="E156" s="5">
        <f>recovered!E156</f>
        <v>0</v>
      </c>
      <c r="F156" s="5">
        <f>recovered!F156-recovered!E156</f>
        <v>0</v>
      </c>
      <c r="G156" s="5">
        <f>recovered!G156-recovered!F156</f>
        <v>0</v>
      </c>
      <c r="H156" s="5">
        <f>recovered!H156-recovered!G156</f>
        <v>0</v>
      </c>
      <c r="I156" s="5">
        <f>recovered!I156-recovered!H156</f>
        <v>0</v>
      </c>
      <c r="J156" s="5">
        <f>recovered!J156-recovered!I156</f>
        <v>0</v>
      </c>
      <c r="K156" s="5">
        <f>recovered!K156-recovered!J156</f>
        <v>0</v>
      </c>
      <c r="L156" s="5">
        <f>recovered!L156-recovered!K156</f>
        <v>0</v>
      </c>
      <c r="M156" s="5">
        <f>recovered!M156-recovered!L156</f>
        <v>0</v>
      </c>
      <c r="N156" s="5">
        <f>recovered!N156-recovered!M156</f>
        <v>0</v>
      </c>
      <c r="O156" s="5">
        <f>recovered!O156-recovered!N156</f>
        <v>0</v>
      </c>
      <c r="P156" s="5">
        <f>recovered!P156-recovered!O156</f>
        <v>0</v>
      </c>
      <c r="Q156" s="5">
        <f>recovered!Q156-recovered!P156</f>
        <v>0</v>
      </c>
      <c r="R156" s="5">
        <f>recovered!R156-recovered!Q156</f>
        <v>0</v>
      </c>
      <c r="S156" s="5">
        <f>recovered!S156-recovered!R156</f>
        <v>0</v>
      </c>
      <c r="T156" s="5">
        <f>recovered!T156-recovered!S156</f>
        <v>0</v>
      </c>
      <c r="U156" s="5">
        <f>recovered!U156-recovered!T156</f>
        <v>0</v>
      </c>
      <c r="V156" s="5">
        <f>recovered!V156-recovered!U156</f>
        <v>0</v>
      </c>
      <c r="W156" s="5">
        <f>recovered!W156-recovered!V156</f>
        <v>0</v>
      </c>
      <c r="X156" s="5">
        <f>recovered!X156-recovered!W156</f>
        <v>0</v>
      </c>
      <c r="Y156" s="5">
        <f>recovered!Y156-recovered!X156</f>
        <v>0</v>
      </c>
      <c r="Z156" s="5">
        <f>recovered!Z156-recovered!Y156</f>
        <v>0</v>
      </c>
      <c r="AA156" s="5">
        <f>recovered!AA156-recovered!Z156</f>
        <v>0</v>
      </c>
      <c r="AB156" s="5">
        <f>recovered!AB156-recovered!AA156</f>
        <v>0</v>
      </c>
      <c r="AC156" s="5">
        <f>recovered!AC156-recovered!AB156</f>
        <v>0</v>
      </c>
      <c r="AD156" s="5">
        <f>recovered!AD156-recovered!AC156</f>
        <v>0</v>
      </c>
      <c r="AE156" s="5">
        <f>recovered!AE156-recovered!AD156</f>
        <v>0</v>
      </c>
      <c r="AF156" s="5">
        <f>recovered!AF156-recovered!AE156</f>
        <v>0</v>
      </c>
      <c r="AG156" s="5">
        <f>recovered!AG156-recovered!AF156</f>
        <v>0</v>
      </c>
      <c r="AH156" s="5">
        <f>recovered!AH156-recovered!AG156</f>
        <v>0</v>
      </c>
      <c r="AI156" s="5">
        <f>recovered!AI156-recovered!AH156</f>
        <v>0</v>
      </c>
      <c r="AJ156" s="5">
        <f>recovered!AJ156-recovered!AI156</f>
        <v>0</v>
      </c>
      <c r="AK156" s="5">
        <f>recovered!AK156-recovered!AJ156</f>
        <v>0</v>
      </c>
      <c r="AL156" s="5">
        <f>recovered!AL156-recovered!AK156</f>
        <v>0</v>
      </c>
      <c r="AM156" s="5">
        <f>recovered!AM156-recovered!AL156</f>
        <v>0</v>
      </c>
      <c r="AN156" s="5">
        <f>recovered!AN156-recovered!AM156</f>
        <v>0</v>
      </c>
      <c r="AO156" s="5">
        <f>recovered!AO156-recovered!AN156</f>
        <v>0</v>
      </c>
      <c r="AP156" s="5">
        <f>recovered!AP156-recovered!AO156</f>
        <v>0</v>
      </c>
      <c r="AQ156" s="5">
        <f>recovered!AQ156-recovered!AP156</f>
        <v>0</v>
      </c>
      <c r="AR156" s="5">
        <f>recovered!AR156-recovered!AQ156</f>
        <v>0</v>
      </c>
      <c r="AS156" s="5">
        <f>recovered!AS156-recovered!AR156</f>
        <v>0</v>
      </c>
      <c r="AT156" s="5">
        <f>recovered!AT156-recovered!AS156</f>
        <v>1</v>
      </c>
      <c r="AU156" s="5">
        <f>recovered!AU156-recovered!AT156</f>
        <v>0</v>
      </c>
      <c r="AV156" s="5">
        <f>recovered!AV156-recovered!AU156</f>
        <v>0</v>
      </c>
      <c r="AW156" s="5">
        <f>recovered!AW156-recovered!AV156</f>
        <v>0</v>
      </c>
      <c r="AX156" s="5">
        <f>recovered!AX156-recovered!AW156</f>
        <v>0</v>
      </c>
      <c r="AY156" s="5">
        <f>recovered!AY156-recovered!AX156</f>
        <v>0</v>
      </c>
      <c r="AZ156" s="5">
        <f>recovered!AZ156-recovered!AY156</f>
        <v>0</v>
      </c>
      <c r="BA156" s="5">
        <f>recovered!BA156-recovered!AZ156</f>
        <v>3</v>
      </c>
      <c r="BB156" s="5">
        <f>recovered!BB156-recovered!BA156</f>
        <v>0</v>
      </c>
      <c r="BC156" s="5">
        <f>recovered!BC156-recovered!BB156</f>
        <v>0</v>
      </c>
      <c r="BD156" s="5">
        <f>recovered!BD156-recovered!BC156</f>
        <v>0</v>
      </c>
      <c r="BE156" s="5">
        <f>recovered!BE156-recovered!BD156</f>
        <v>0</v>
      </c>
      <c r="BF156" s="5">
        <f>recovered!BF156-recovered!BE156</f>
        <v>0</v>
      </c>
      <c r="BG156" s="5">
        <f>recovered!BG156-recovered!BF156</f>
        <v>0</v>
      </c>
      <c r="BH156" s="5">
        <f>recovered!BH156-recovered!BG156</f>
        <v>0</v>
      </c>
      <c r="BI156" s="5">
        <f>recovered!BI156-recovered!BH156</f>
        <v>0</v>
      </c>
      <c r="BJ156" s="5">
        <f>recovered!BJ156-recovered!BI156</f>
        <v>0</v>
      </c>
      <c r="BK156" s="5">
        <f>recovered!BK156-recovered!BJ156</f>
        <v>0</v>
      </c>
      <c r="BL156" s="5">
        <f>recovered!BL156-recovered!BK156</f>
        <v>0</v>
      </c>
      <c r="BM156" s="5">
        <f>recovered!BM156-recovered!BL156</f>
        <v>0</v>
      </c>
      <c r="BN156" s="5">
        <f>recovered!BN156-recovered!BM156</f>
        <v>0</v>
      </c>
      <c r="BO156" s="5">
        <f>recovered!BO156-recovered!BN156</f>
        <v>0</v>
      </c>
      <c r="BP156" s="5">
        <f>recovered!BP156-recovered!BO156</f>
        <v>0</v>
      </c>
      <c r="BQ156" s="5">
        <f>recovered!BQ156-recovered!BP156</f>
        <v>0</v>
      </c>
      <c r="BR156" s="5">
        <f>recovered!BR156-recovered!BQ156</f>
        <v>0</v>
      </c>
      <c r="BS156" s="5">
        <f>recovered!BS156-recovered!BR156</f>
        <v>0</v>
      </c>
      <c r="BT156" s="5">
        <f>recovered!BT156-recovered!BS156</f>
        <v>0</v>
      </c>
      <c r="BU156" s="5">
        <f>recovered!BU156-recovered!BT156</f>
        <v>31</v>
      </c>
      <c r="BV156" s="5">
        <f>recovered!BV156-recovered!BU156</f>
        <v>0</v>
      </c>
      <c r="BW156" s="5">
        <f>recovered!BW156-recovered!BV156</f>
        <v>0</v>
      </c>
      <c r="BX156" s="5">
        <f>recovered!BX156-recovered!BW156</f>
        <v>0</v>
      </c>
      <c r="BY156" s="5">
        <f>recovered!BY156-recovered!BX156</f>
        <v>598</v>
      </c>
    </row>
    <row r="157">
      <c r="B157" s="1" t="str">
        <f>recovered!B157</f>
        <v>Moldova</v>
      </c>
      <c r="C157" s="4">
        <f>recovered!C157</f>
        <v>47.4116</v>
      </c>
      <c r="D157" s="4">
        <f>recovered!D157</f>
        <v>28.3699</v>
      </c>
      <c r="E157" s="5">
        <f>recovered!E157</f>
        <v>0</v>
      </c>
      <c r="F157" s="5">
        <f>recovered!F157-recovered!E157</f>
        <v>0</v>
      </c>
      <c r="G157" s="5">
        <f>recovered!G157-recovered!F157</f>
        <v>0</v>
      </c>
      <c r="H157" s="5">
        <f>recovered!H157-recovered!G157</f>
        <v>0</v>
      </c>
      <c r="I157" s="5">
        <f>recovered!I157-recovered!H157</f>
        <v>0</v>
      </c>
      <c r="J157" s="5">
        <f>recovered!J157-recovered!I157</f>
        <v>0</v>
      </c>
      <c r="K157" s="5">
        <f>recovered!K157-recovered!J157</f>
        <v>0</v>
      </c>
      <c r="L157" s="5">
        <f>recovered!L157-recovered!K157</f>
        <v>0</v>
      </c>
      <c r="M157" s="5">
        <f>recovered!M157-recovered!L157</f>
        <v>0</v>
      </c>
      <c r="N157" s="5">
        <f>recovered!N157-recovered!M157</f>
        <v>0</v>
      </c>
      <c r="O157" s="5">
        <f>recovered!O157-recovered!N157</f>
        <v>0</v>
      </c>
      <c r="P157" s="5">
        <f>recovered!P157-recovered!O157</f>
        <v>0</v>
      </c>
      <c r="Q157" s="5">
        <f>recovered!Q157-recovered!P157</f>
        <v>0</v>
      </c>
      <c r="R157" s="5">
        <f>recovered!R157-recovered!Q157</f>
        <v>0</v>
      </c>
      <c r="S157" s="5">
        <f>recovered!S157-recovered!R157</f>
        <v>0</v>
      </c>
      <c r="T157" s="5">
        <f>recovered!T157-recovered!S157</f>
        <v>0</v>
      </c>
      <c r="U157" s="5">
        <f>recovered!U157-recovered!T157</f>
        <v>0</v>
      </c>
      <c r="V157" s="5">
        <f>recovered!V157-recovered!U157</f>
        <v>0</v>
      </c>
      <c r="W157" s="5">
        <f>recovered!W157-recovered!V157</f>
        <v>0</v>
      </c>
      <c r="X157" s="5">
        <f>recovered!X157-recovered!W157</f>
        <v>0</v>
      </c>
      <c r="Y157" s="5">
        <f>recovered!Y157-recovered!X157</f>
        <v>0</v>
      </c>
      <c r="Z157" s="5">
        <f>recovered!Z157-recovered!Y157</f>
        <v>0</v>
      </c>
      <c r="AA157" s="5">
        <f>recovered!AA157-recovered!Z157</f>
        <v>0</v>
      </c>
      <c r="AB157" s="5">
        <f>recovered!AB157-recovered!AA157</f>
        <v>0</v>
      </c>
      <c r="AC157" s="5">
        <f>recovered!AC157-recovered!AB157</f>
        <v>0</v>
      </c>
      <c r="AD157" s="5">
        <f>recovered!AD157-recovered!AC157</f>
        <v>0</v>
      </c>
      <c r="AE157" s="5">
        <f>recovered!AE157-recovered!AD157</f>
        <v>0</v>
      </c>
      <c r="AF157" s="5">
        <f>recovered!AF157-recovered!AE157</f>
        <v>0</v>
      </c>
      <c r="AG157" s="5">
        <f>recovered!AG157-recovered!AF157</f>
        <v>0</v>
      </c>
      <c r="AH157" s="5">
        <f>recovered!AH157-recovered!AG157</f>
        <v>0</v>
      </c>
      <c r="AI157" s="5">
        <f>recovered!AI157-recovered!AH157</f>
        <v>0</v>
      </c>
      <c r="AJ157" s="5">
        <f>recovered!AJ157-recovered!AI157</f>
        <v>0</v>
      </c>
      <c r="AK157" s="5">
        <f>recovered!AK157-recovered!AJ157</f>
        <v>0</v>
      </c>
      <c r="AL157" s="5">
        <f>recovered!AL157-recovered!AK157</f>
        <v>0</v>
      </c>
      <c r="AM157" s="5">
        <f>recovered!AM157-recovered!AL157</f>
        <v>0</v>
      </c>
      <c r="AN157" s="5">
        <f>recovered!AN157-recovered!AM157</f>
        <v>0</v>
      </c>
      <c r="AO157" s="5">
        <f>recovered!AO157-recovered!AN157</f>
        <v>0</v>
      </c>
      <c r="AP157" s="5">
        <f>recovered!AP157-recovered!AO157</f>
        <v>0</v>
      </c>
      <c r="AQ157" s="5">
        <f>recovered!AQ157-recovered!AP157</f>
        <v>0</v>
      </c>
      <c r="AR157" s="5">
        <f>recovered!AR157-recovered!AQ157</f>
        <v>0</v>
      </c>
      <c r="AS157" s="5">
        <f>recovered!AS157-recovered!AR157</f>
        <v>0</v>
      </c>
      <c r="AT157" s="5">
        <f>recovered!AT157-recovered!AS157</f>
        <v>0</v>
      </c>
      <c r="AU157" s="5">
        <f>recovered!AU157-recovered!AT157</f>
        <v>0</v>
      </c>
      <c r="AV157" s="5">
        <f>recovered!AV157-recovered!AU157</f>
        <v>0</v>
      </c>
      <c r="AW157" s="5">
        <f>recovered!AW157-recovered!AV157</f>
        <v>0</v>
      </c>
      <c r="AX157" s="5">
        <f>recovered!AX157-recovered!AW157</f>
        <v>0</v>
      </c>
      <c r="AY157" s="5">
        <f>recovered!AY157-recovered!AX157</f>
        <v>0</v>
      </c>
      <c r="AZ157" s="5">
        <f>recovered!AZ157-recovered!AY157</f>
        <v>0</v>
      </c>
      <c r="BA157" s="5">
        <f>recovered!BA157-recovered!AZ157</f>
        <v>0</v>
      </c>
      <c r="BB157" s="5">
        <f>recovered!BB157-recovered!BA157</f>
        <v>0</v>
      </c>
      <c r="BC157" s="5">
        <f>recovered!BC157-recovered!BB157</f>
        <v>0</v>
      </c>
      <c r="BD157" s="5">
        <f>recovered!BD157-recovered!BC157</f>
        <v>0</v>
      </c>
      <c r="BE157" s="5">
        <f>recovered!BE157-recovered!BD157</f>
        <v>0</v>
      </c>
      <c r="BF157" s="5">
        <f>recovered!BF157-recovered!BE157</f>
        <v>0</v>
      </c>
      <c r="BG157" s="5">
        <f>recovered!BG157-recovered!BF157</f>
        <v>0</v>
      </c>
      <c r="BH157" s="5">
        <f>recovered!BH157-recovered!BG157</f>
        <v>1</v>
      </c>
      <c r="BI157" s="5">
        <f>recovered!BI157-recovered!BH157</f>
        <v>0</v>
      </c>
      <c r="BJ157" s="5">
        <f>recovered!BJ157-recovered!BI157</f>
        <v>0</v>
      </c>
      <c r="BK157" s="5">
        <f>recovered!BK157-recovered!BJ157</f>
        <v>0</v>
      </c>
      <c r="BL157" s="5">
        <f>recovered!BL157-recovered!BK157</f>
        <v>0</v>
      </c>
      <c r="BM157" s="5">
        <f>recovered!BM157-recovered!BL157</f>
        <v>0</v>
      </c>
      <c r="BN157" s="5">
        <f>recovered!BN157-recovered!BM157</f>
        <v>0</v>
      </c>
      <c r="BO157" s="5">
        <f>recovered!BO157-recovered!BN157</f>
        <v>1</v>
      </c>
      <c r="BP157" s="5">
        <f>recovered!BP157-recovered!BO157</f>
        <v>0</v>
      </c>
      <c r="BQ157" s="5">
        <f>recovered!BQ157-recovered!BP157</f>
        <v>0</v>
      </c>
      <c r="BR157" s="5">
        <f>recovered!BR157-recovered!BQ157</f>
        <v>0</v>
      </c>
      <c r="BS157" s="5">
        <f>recovered!BS157-recovered!BR157</f>
        <v>0</v>
      </c>
      <c r="BT157" s="5">
        <f>recovered!BT157-recovered!BS157</f>
        <v>0</v>
      </c>
      <c r="BU157" s="5">
        <f>recovered!BU157-recovered!BT157</f>
        <v>13</v>
      </c>
      <c r="BV157" s="5">
        <f>recovered!BV157-recovered!BU157</f>
        <v>3</v>
      </c>
      <c r="BW157" s="5">
        <f>recovered!BW157-recovered!BV157</f>
        <v>5</v>
      </c>
      <c r="BX157" s="5">
        <f>recovered!BX157-recovered!BW157</f>
        <v>0</v>
      </c>
      <c r="BY157" s="5">
        <f>recovered!BY157-recovered!BX157</f>
        <v>3</v>
      </c>
    </row>
    <row r="158">
      <c r="B158" s="1" t="str">
        <f>recovered!B158</f>
        <v>Monaco</v>
      </c>
      <c r="C158" s="4">
        <f>recovered!C158</f>
        <v>43.7333</v>
      </c>
      <c r="D158" s="4">
        <f>recovered!D158</f>
        <v>7.4167</v>
      </c>
      <c r="E158" s="5">
        <f>recovered!E158</f>
        <v>0</v>
      </c>
      <c r="F158" s="5">
        <f>recovered!F158-recovered!E158</f>
        <v>0</v>
      </c>
      <c r="G158" s="5">
        <f>recovered!G158-recovered!F158</f>
        <v>0</v>
      </c>
      <c r="H158" s="5">
        <f>recovered!H158-recovered!G158</f>
        <v>0</v>
      </c>
      <c r="I158" s="5">
        <f>recovered!I158-recovered!H158</f>
        <v>0</v>
      </c>
      <c r="J158" s="5">
        <f>recovered!J158-recovered!I158</f>
        <v>0</v>
      </c>
      <c r="K158" s="5">
        <f>recovered!K158-recovered!J158</f>
        <v>0</v>
      </c>
      <c r="L158" s="5">
        <f>recovered!L158-recovered!K158</f>
        <v>0</v>
      </c>
      <c r="M158" s="5">
        <f>recovered!M158-recovered!L158</f>
        <v>0</v>
      </c>
      <c r="N158" s="5">
        <f>recovered!N158-recovered!M158</f>
        <v>0</v>
      </c>
      <c r="O158" s="5">
        <f>recovered!O158-recovered!N158</f>
        <v>0</v>
      </c>
      <c r="P158" s="5">
        <f>recovered!P158-recovered!O158</f>
        <v>0</v>
      </c>
      <c r="Q158" s="5">
        <f>recovered!Q158-recovered!P158</f>
        <v>0</v>
      </c>
      <c r="R158" s="5">
        <f>recovered!R158-recovered!Q158</f>
        <v>0</v>
      </c>
      <c r="S158" s="5">
        <f>recovered!S158-recovered!R158</f>
        <v>0</v>
      </c>
      <c r="T158" s="5">
        <f>recovered!T158-recovered!S158</f>
        <v>0</v>
      </c>
      <c r="U158" s="5">
        <f>recovered!U158-recovered!T158</f>
        <v>0</v>
      </c>
      <c r="V158" s="5">
        <f>recovered!V158-recovered!U158</f>
        <v>0</v>
      </c>
      <c r="W158" s="5">
        <f>recovered!W158-recovered!V158</f>
        <v>0</v>
      </c>
      <c r="X158" s="5">
        <f>recovered!X158-recovered!W158</f>
        <v>0</v>
      </c>
      <c r="Y158" s="5">
        <f>recovered!Y158-recovered!X158</f>
        <v>0</v>
      </c>
      <c r="Z158" s="5">
        <f>recovered!Z158-recovered!Y158</f>
        <v>0</v>
      </c>
      <c r="AA158" s="5">
        <f>recovered!AA158-recovered!Z158</f>
        <v>0</v>
      </c>
      <c r="AB158" s="5">
        <f>recovered!AB158-recovered!AA158</f>
        <v>0</v>
      </c>
      <c r="AC158" s="5">
        <f>recovered!AC158-recovered!AB158</f>
        <v>0</v>
      </c>
      <c r="AD158" s="5">
        <f>recovered!AD158-recovered!AC158</f>
        <v>0</v>
      </c>
      <c r="AE158" s="5">
        <f>recovered!AE158-recovered!AD158</f>
        <v>0</v>
      </c>
      <c r="AF158" s="5">
        <f>recovered!AF158-recovered!AE158</f>
        <v>0</v>
      </c>
      <c r="AG158" s="5">
        <f>recovered!AG158-recovered!AF158</f>
        <v>0</v>
      </c>
      <c r="AH158" s="5">
        <f>recovered!AH158-recovered!AG158</f>
        <v>0</v>
      </c>
      <c r="AI158" s="5">
        <f>recovered!AI158-recovered!AH158</f>
        <v>0</v>
      </c>
      <c r="AJ158" s="5">
        <f>recovered!AJ158-recovered!AI158</f>
        <v>0</v>
      </c>
      <c r="AK158" s="5">
        <f>recovered!AK158-recovered!AJ158</f>
        <v>0</v>
      </c>
      <c r="AL158" s="5">
        <f>recovered!AL158-recovered!AK158</f>
        <v>0</v>
      </c>
      <c r="AM158" s="5">
        <f>recovered!AM158-recovered!AL158</f>
        <v>0</v>
      </c>
      <c r="AN158" s="5">
        <f>recovered!AN158-recovered!AM158</f>
        <v>0</v>
      </c>
      <c r="AO158" s="5">
        <f>recovered!AO158-recovered!AN158</f>
        <v>0</v>
      </c>
      <c r="AP158" s="5">
        <f>recovered!AP158-recovered!AO158</f>
        <v>0</v>
      </c>
      <c r="AQ158" s="5">
        <f>recovered!AQ158-recovered!AP158</f>
        <v>0</v>
      </c>
      <c r="AR158" s="5">
        <f>recovered!AR158-recovered!AQ158</f>
        <v>0</v>
      </c>
      <c r="AS158" s="5">
        <f>recovered!AS158-recovered!AR158</f>
        <v>0</v>
      </c>
      <c r="AT158" s="5">
        <f>recovered!AT158-recovered!AS158</f>
        <v>0</v>
      </c>
      <c r="AU158" s="5">
        <f>recovered!AU158-recovered!AT158</f>
        <v>0</v>
      </c>
      <c r="AV158" s="5">
        <f>recovered!AV158-recovered!AU158</f>
        <v>0</v>
      </c>
      <c r="AW158" s="5">
        <f>recovered!AW158-recovered!AV158</f>
        <v>0</v>
      </c>
      <c r="AX158" s="5">
        <f>recovered!AX158-recovered!AW158</f>
        <v>0</v>
      </c>
      <c r="AY158" s="5">
        <f>recovered!AY158-recovered!AX158</f>
        <v>0</v>
      </c>
      <c r="AZ158" s="5">
        <f>recovered!AZ158-recovered!AY158</f>
        <v>0</v>
      </c>
      <c r="BA158" s="5">
        <f>recovered!BA158-recovered!AZ158</f>
        <v>0</v>
      </c>
      <c r="BB158" s="5">
        <f>recovered!BB158-recovered!BA158</f>
        <v>0</v>
      </c>
      <c r="BC158" s="5">
        <f>recovered!BC158-recovered!BB158</f>
        <v>0</v>
      </c>
      <c r="BD158" s="5">
        <f>recovered!BD158-recovered!BC158</f>
        <v>0</v>
      </c>
      <c r="BE158" s="5">
        <f>recovered!BE158-recovered!BD158</f>
        <v>0</v>
      </c>
      <c r="BF158" s="5">
        <f>recovered!BF158-recovered!BE158</f>
        <v>0</v>
      </c>
      <c r="BG158" s="5">
        <f>recovered!BG158-recovered!BF158</f>
        <v>0</v>
      </c>
      <c r="BH158" s="5">
        <f>recovered!BH158-recovered!BG158</f>
        <v>0</v>
      </c>
      <c r="BI158" s="5">
        <f>recovered!BI158-recovered!BH158</f>
        <v>0</v>
      </c>
      <c r="BJ158" s="5">
        <f>recovered!BJ158-recovered!BI158</f>
        <v>0</v>
      </c>
      <c r="BK158" s="5">
        <f>recovered!BK158-recovered!BJ158</f>
        <v>0</v>
      </c>
      <c r="BL158" s="5">
        <f>recovered!BL158-recovered!BK158</f>
        <v>0</v>
      </c>
      <c r="BM158" s="5">
        <f>recovered!BM158-recovered!BL158</f>
        <v>1</v>
      </c>
      <c r="BN158" s="5">
        <f>recovered!BN158-recovered!BM158</f>
        <v>0</v>
      </c>
      <c r="BO158" s="5">
        <f>recovered!BO158-recovered!BN158</f>
        <v>0</v>
      </c>
      <c r="BP158" s="5">
        <f>recovered!BP158-recovered!BO158</f>
        <v>0</v>
      </c>
      <c r="BQ158" s="5">
        <f>recovered!BQ158-recovered!BP158</f>
        <v>0</v>
      </c>
      <c r="BR158" s="5">
        <f>recovered!BR158-recovered!BQ158</f>
        <v>0</v>
      </c>
      <c r="BS158" s="5">
        <f>recovered!BS158-recovered!BR158</f>
        <v>0</v>
      </c>
      <c r="BT158" s="5">
        <f>recovered!BT158-recovered!BS158</f>
        <v>0</v>
      </c>
      <c r="BU158" s="5">
        <f>recovered!BU158-recovered!BT158</f>
        <v>0</v>
      </c>
      <c r="BV158" s="5">
        <f>recovered!BV158-recovered!BU158</f>
        <v>1</v>
      </c>
      <c r="BW158" s="5">
        <f>recovered!BW158-recovered!BV158</f>
        <v>0</v>
      </c>
      <c r="BX158" s="5">
        <f>recovered!BX158-recovered!BW158</f>
        <v>0</v>
      </c>
      <c r="BY158" s="5">
        <f>recovered!BY158-recovered!BX158</f>
        <v>1</v>
      </c>
    </row>
    <row r="159">
      <c r="B159" s="1" t="str">
        <f>recovered!B159</f>
        <v>Mongolia</v>
      </c>
      <c r="C159" s="4">
        <f>recovered!C159</f>
        <v>46.8625</v>
      </c>
      <c r="D159" s="4">
        <f>recovered!D159</f>
        <v>103.8467</v>
      </c>
      <c r="E159" s="5">
        <f>recovered!E159</f>
        <v>0</v>
      </c>
      <c r="F159" s="5">
        <f>recovered!F159-recovered!E159</f>
        <v>0</v>
      </c>
      <c r="G159" s="5">
        <f>recovered!G159-recovered!F159</f>
        <v>0</v>
      </c>
      <c r="H159" s="5">
        <f>recovered!H159-recovered!G159</f>
        <v>0</v>
      </c>
      <c r="I159" s="5">
        <f>recovered!I159-recovered!H159</f>
        <v>0</v>
      </c>
      <c r="J159" s="5">
        <f>recovered!J159-recovered!I159</f>
        <v>0</v>
      </c>
      <c r="K159" s="5">
        <f>recovered!K159-recovered!J159</f>
        <v>0</v>
      </c>
      <c r="L159" s="5">
        <f>recovered!L159-recovered!K159</f>
        <v>0</v>
      </c>
      <c r="M159" s="5">
        <f>recovered!M159-recovered!L159</f>
        <v>0</v>
      </c>
      <c r="N159" s="5">
        <f>recovered!N159-recovered!M159</f>
        <v>0</v>
      </c>
      <c r="O159" s="5">
        <f>recovered!O159-recovered!N159</f>
        <v>0</v>
      </c>
      <c r="P159" s="5">
        <f>recovered!P159-recovered!O159</f>
        <v>0</v>
      </c>
      <c r="Q159" s="5">
        <f>recovered!Q159-recovered!P159</f>
        <v>0</v>
      </c>
      <c r="R159" s="5">
        <f>recovered!R159-recovered!Q159</f>
        <v>0</v>
      </c>
      <c r="S159" s="5">
        <f>recovered!S159-recovered!R159</f>
        <v>0</v>
      </c>
      <c r="T159" s="5">
        <f>recovered!T159-recovered!S159</f>
        <v>0</v>
      </c>
      <c r="U159" s="5">
        <f>recovered!U159-recovered!T159</f>
        <v>0</v>
      </c>
      <c r="V159" s="5">
        <f>recovered!V159-recovered!U159</f>
        <v>0</v>
      </c>
      <c r="W159" s="5">
        <f>recovered!W159-recovered!V159</f>
        <v>0</v>
      </c>
      <c r="X159" s="5">
        <f>recovered!X159-recovered!W159</f>
        <v>0</v>
      </c>
      <c r="Y159" s="5">
        <f>recovered!Y159-recovered!X159</f>
        <v>0</v>
      </c>
      <c r="Z159" s="5">
        <f>recovered!Z159-recovered!Y159</f>
        <v>0</v>
      </c>
      <c r="AA159" s="5">
        <f>recovered!AA159-recovered!Z159</f>
        <v>0</v>
      </c>
      <c r="AB159" s="5">
        <f>recovered!AB159-recovered!AA159</f>
        <v>0</v>
      </c>
      <c r="AC159" s="5">
        <f>recovered!AC159-recovered!AB159</f>
        <v>0</v>
      </c>
      <c r="AD159" s="5">
        <f>recovered!AD159-recovered!AC159</f>
        <v>0</v>
      </c>
      <c r="AE159" s="5">
        <f>recovered!AE159-recovered!AD159</f>
        <v>0</v>
      </c>
      <c r="AF159" s="5">
        <f>recovered!AF159-recovered!AE159</f>
        <v>0</v>
      </c>
      <c r="AG159" s="5">
        <f>recovered!AG159-recovered!AF159</f>
        <v>0</v>
      </c>
      <c r="AH159" s="5">
        <f>recovered!AH159-recovered!AG159</f>
        <v>0</v>
      </c>
      <c r="AI159" s="5">
        <f>recovered!AI159-recovered!AH159</f>
        <v>0</v>
      </c>
      <c r="AJ159" s="5">
        <f>recovered!AJ159-recovered!AI159</f>
        <v>0</v>
      </c>
      <c r="AK159" s="5">
        <f>recovered!AK159-recovered!AJ159</f>
        <v>0</v>
      </c>
      <c r="AL159" s="5">
        <f>recovered!AL159-recovered!AK159</f>
        <v>0</v>
      </c>
      <c r="AM159" s="5">
        <f>recovered!AM159-recovered!AL159</f>
        <v>0</v>
      </c>
      <c r="AN159" s="5">
        <f>recovered!AN159-recovered!AM159</f>
        <v>0</v>
      </c>
      <c r="AO159" s="5">
        <f>recovered!AO159-recovered!AN159</f>
        <v>0</v>
      </c>
      <c r="AP159" s="5">
        <f>recovered!AP159-recovered!AO159</f>
        <v>0</v>
      </c>
      <c r="AQ159" s="5">
        <f>recovered!AQ159-recovered!AP159</f>
        <v>0</v>
      </c>
      <c r="AR159" s="5">
        <f>recovered!AR159-recovered!AQ159</f>
        <v>0</v>
      </c>
      <c r="AS159" s="5">
        <f>recovered!AS159-recovered!AR159</f>
        <v>0</v>
      </c>
      <c r="AT159" s="5">
        <f>recovered!AT159-recovered!AS159</f>
        <v>0</v>
      </c>
      <c r="AU159" s="5">
        <f>recovered!AU159-recovered!AT159</f>
        <v>0</v>
      </c>
      <c r="AV159" s="5">
        <f>recovered!AV159-recovered!AU159</f>
        <v>0</v>
      </c>
      <c r="AW159" s="5">
        <f>recovered!AW159-recovered!AV159</f>
        <v>0</v>
      </c>
      <c r="AX159" s="5">
        <f>recovered!AX159-recovered!AW159</f>
        <v>0</v>
      </c>
      <c r="AY159" s="5">
        <f>recovered!AY159-recovered!AX159</f>
        <v>0</v>
      </c>
      <c r="AZ159" s="5">
        <f>recovered!AZ159-recovered!AY159</f>
        <v>0</v>
      </c>
      <c r="BA159" s="5">
        <f>recovered!BA159-recovered!AZ159</f>
        <v>0</v>
      </c>
      <c r="BB159" s="5">
        <f>recovered!BB159-recovered!BA159</f>
        <v>0</v>
      </c>
      <c r="BC159" s="5">
        <f>recovered!BC159-recovered!BB159</f>
        <v>0</v>
      </c>
      <c r="BD159" s="5">
        <f>recovered!BD159-recovered!BC159</f>
        <v>0</v>
      </c>
      <c r="BE159" s="5">
        <f>recovered!BE159-recovered!BD159</f>
        <v>0</v>
      </c>
      <c r="BF159" s="5">
        <f>recovered!BF159-recovered!BE159</f>
        <v>0</v>
      </c>
      <c r="BG159" s="5">
        <f>recovered!BG159-recovered!BF159</f>
        <v>0</v>
      </c>
      <c r="BH159" s="5">
        <f>recovered!BH159-recovered!BG159</f>
        <v>0</v>
      </c>
      <c r="BI159" s="5">
        <f>recovered!BI159-recovered!BH159</f>
        <v>0</v>
      </c>
      <c r="BJ159" s="5">
        <f>recovered!BJ159-recovered!BI159</f>
        <v>0</v>
      </c>
      <c r="BK159" s="5">
        <f>recovered!BK159-recovered!BJ159</f>
        <v>0</v>
      </c>
      <c r="BL159" s="5">
        <f>recovered!BL159-recovered!BK159</f>
        <v>0</v>
      </c>
      <c r="BM159" s="5">
        <f>recovered!BM159-recovered!BL159</f>
        <v>0</v>
      </c>
      <c r="BN159" s="5">
        <f>recovered!BN159-recovered!BM159</f>
        <v>0</v>
      </c>
      <c r="BO159" s="5">
        <f>recovered!BO159-recovered!BN159</f>
        <v>0</v>
      </c>
      <c r="BP159" s="5">
        <f>recovered!BP159-recovered!BO159</f>
        <v>0</v>
      </c>
      <c r="BQ159" s="5">
        <f>recovered!BQ159-recovered!BP159</f>
        <v>0</v>
      </c>
      <c r="BR159" s="5">
        <f>recovered!BR159-recovered!BQ159</f>
        <v>0</v>
      </c>
      <c r="BS159" s="5">
        <f>recovered!BS159-recovered!BR159</f>
        <v>0</v>
      </c>
      <c r="BT159" s="5">
        <f>recovered!BT159-recovered!BS159</f>
        <v>0</v>
      </c>
      <c r="BU159" s="5">
        <f>recovered!BU159-recovered!BT159</f>
        <v>2</v>
      </c>
      <c r="BV159" s="5">
        <f>recovered!BV159-recovered!BU159</f>
        <v>0</v>
      </c>
      <c r="BW159" s="5">
        <f>recovered!BW159-recovered!BV159</f>
        <v>0</v>
      </c>
      <c r="BX159" s="5">
        <f>recovered!BX159-recovered!BW159</f>
        <v>0</v>
      </c>
      <c r="BY159" s="5">
        <f>recovered!BY159-recovered!BX159</f>
        <v>0</v>
      </c>
    </row>
    <row r="160">
      <c r="B160" s="1" t="str">
        <f>recovered!B160</f>
        <v>Montenegro</v>
      </c>
      <c r="C160" s="4">
        <f>recovered!C160</f>
        <v>42.5</v>
      </c>
      <c r="D160" s="4">
        <f>recovered!D160</f>
        <v>19.3</v>
      </c>
      <c r="E160" s="5">
        <f>recovered!E160</f>
        <v>0</v>
      </c>
      <c r="F160" s="5">
        <f>recovered!F160-recovered!E160</f>
        <v>0</v>
      </c>
      <c r="G160" s="5">
        <f>recovered!G160-recovered!F160</f>
        <v>0</v>
      </c>
      <c r="H160" s="5">
        <f>recovered!H160-recovered!G160</f>
        <v>0</v>
      </c>
      <c r="I160" s="5">
        <f>recovered!I160-recovered!H160</f>
        <v>0</v>
      </c>
      <c r="J160" s="5">
        <f>recovered!J160-recovered!I160</f>
        <v>0</v>
      </c>
      <c r="K160" s="5">
        <f>recovered!K160-recovered!J160</f>
        <v>0</v>
      </c>
      <c r="L160" s="5">
        <f>recovered!L160-recovered!K160</f>
        <v>0</v>
      </c>
      <c r="M160" s="5">
        <f>recovered!M160-recovered!L160</f>
        <v>0</v>
      </c>
      <c r="N160" s="5">
        <f>recovered!N160-recovered!M160</f>
        <v>0</v>
      </c>
      <c r="O160" s="5">
        <f>recovered!O160-recovered!N160</f>
        <v>0</v>
      </c>
      <c r="P160" s="5">
        <f>recovered!P160-recovered!O160</f>
        <v>0</v>
      </c>
      <c r="Q160" s="5">
        <f>recovered!Q160-recovered!P160</f>
        <v>0</v>
      </c>
      <c r="R160" s="5">
        <f>recovered!R160-recovered!Q160</f>
        <v>0</v>
      </c>
      <c r="S160" s="5">
        <f>recovered!S160-recovered!R160</f>
        <v>0</v>
      </c>
      <c r="T160" s="5">
        <f>recovered!T160-recovered!S160</f>
        <v>0</v>
      </c>
      <c r="U160" s="5">
        <f>recovered!U160-recovered!T160</f>
        <v>0</v>
      </c>
      <c r="V160" s="5">
        <f>recovered!V160-recovered!U160</f>
        <v>0</v>
      </c>
      <c r="W160" s="5">
        <f>recovered!W160-recovered!V160</f>
        <v>0</v>
      </c>
      <c r="X160" s="5">
        <f>recovered!X160-recovered!W160</f>
        <v>0</v>
      </c>
      <c r="Y160" s="5">
        <f>recovered!Y160-recovered!X160</f>
        <v>0</v>
      </c>
      <c r="Z160" s="5">
        <f>recovered!Z160-recovered!Y160</f>
        <v>0</v>
      </c>
      <c r="AA160" s="5">
        <f>recovered!AA160-recovered!Z160</f>
        <v>0</v>
      </c>
      <c r="AB160" s="5">
        <f>recovered!AB160-recovered!AA160</f>
        <v>0</v>
      </c>
      <c r="AC160" s="5">
        <f>recovered!AC160-recovered!AB160</f>
        <v>0</v>
      </c>
      <c r="AD160" s="5">
        <f>recovered!AD160-recovered!AC160</f>
        <v>0</v>
      </c>
      <c r="AE160" s="5">
        <f>recovered!AE160-recovered!AD160</f>
        <v>0</v>
      </c>
      <c r="AF160" s="5">
        <f>recovered!AF160-recovered!AE160</f>
        <v>0</v>
      </c>
      <c r="AG160" s="5">
        <f>recovered!AG160-recovered!AF160</f>
        <v>0</v>
      </c>
      <c r="AH160" s="5">
        <f>recovered!AH160-recovered!AG160</f>
        <v>0</v>
      </c>
      <c r="AI160" s="5">
        <f>recovered!AI160-recovered!AH160</f>
        <v>0</v>
      </c>
      <c r="AJ160" s="5">
        <f>recovered!AJ160-recovered!AI160</f>
        <v>0</v>
      </c>
      <c r="AK160" s="5">
        <f>recovered!AK160-recovered!AJ160</f>
        <v>0</v>
      </c>
      <c r="AL160" s="5">
        <f>recovered!AL160-recovered!AK160</f>
        <v>0</v>
      </c>
      <c r="AM160" s="5">
        <f>recovered!AM160-recovered!AL160</f>
        <v>0</v>
      </c>
      <c r="AN160" s="5">
        <f>recovered!AN160-recovered!AM160</f>
        <v>0</v>
      </c>
      <c r="AO160" s="5">
        <f>recovered!AO160-recovered!AN160</f>
        <v>0</v>
      </c>
      <c r="AP160" s="5">
        <f>recovered!AP160-recovered!AO160</f>
        <v>0</v>
      </c>
      <c r="AQ160" s="5">
        <f>recovered!AQ160-recovered!AP160</f>
        <v>0</v>
      </c>
      <c r="AR160" s="5">
        <f>recovered!AR160-recovered!AQ160</f>
        <v>0</v>
      </c>
      <c r="AS160" s="5">
        <f>recovered!AS160-recovered!AR160</f>
        <v>0</v>
      </c>
      <c r="AT160" s="5">
        <f>recovered!AT160-recovered!AS160</f>
        <v>0</v>
      </c>
      <c r="AU160" s="5">
        <f>recovered!AU160-recovered!AT160</f>
        <v>0</v>
      </c>
      <c r="AV160" s="5">
        <f>recovered!AV160-recovered!AU160</f>
        <v>0</v>
      </c>
      <c r="AW160" s="5">
        <f>recovered!AW160-recovered!AV160</f>
        <v>0</v>
      </c>
      <c r="AX160" s="5">
        <f>recovered!AX160-recovered!AW160</f>
        <v>0</v>
      </c>
      <c r="AY160" s="5">
        <f>recovered!AY160-recovered!AX160</f>
        <v>0</v>
      </c>
      <c r="AZ160" s="5">
        <f>recovered!AZ160-recovered!AY160</f>
        <v>0</v>
      </c>
      <c r="BA160" s="5">
        <f>recovered!BA160-recovered!AZ160</f>
        <v>0</v>
      </c>
      <c r="BB160" s="5">
        <f>recovered!BB160-recovered!BA160</f>
        <v>0</v>
      </c>
      <c r="BC160" s="5">
        <f>recovered!BC160-recovered!BB160</f>
        <v>0</v>
      </c>
      <c r="BD160" s="5">
        <f>recovered!BD160-recovered!BC160</f>
        <v>0</v>
      </c>
      <c r="BE160" s="5">
        <f>recovered!BE160-recovered!BD160</f>
        <v>0</v>
      </c>
      <c r="BF160" s="5">
        <f>recovered!BF160-recovered!BE160</f>
        <v>0</v>
      </c>
      <c r="BG160" s="5">
        <f>recovered!BG160-recovered!BF160</f>
        <v>0</v>
      </c>
      <c r="BH160" s="5">
        <f>recovered!BH160-recovered!BG160</f>
        <v>0</v>
      </c>
      <c r="BI160" s="5">
        <f>recovered!BI160-recovered!BH160</f>
        <v>0</v>
      </c>
      <c r="BJ160" s="5">
        <f>recovered!BJ160-recovered!BI160</f>
        <v>0</v>
      </c>
      <c r="BK160" s="5">
        <f>recovered!BK160-recovered!BJ160</f>
        <v>0</v>
      </c>
      <c r="BL160" s="5">
        <f>recovered!BL160-recovered!BK160</f>
        <v>0</v>
      </c>
      <c r="BM160" s="5">
        <f>recovered!BM160-recovered!BL160</f>
        <v>0</v>
      </c>
      <c r="BN160" s="5">
        <f>recovered!BN160-recovered!BM160</f>
        <v>0</v>
      </c>
      <c r="BO160" s="5">
        <f>recovered!BO160-recovered!BN160</f>
        <v>0</v>
      </c>
      <c r="BP160" s="5">
        <f>recovered!BP160-recovered!BO160</f>
        <v>0</v>
      </c>
      <c r="BQ160" s="5">
        <f>recovered!BQ160-recovered!BP160</f>
        <v>0</v>
      </c>
      <c r="BR160" s="5">
        <f>recovered!BR160-recovered!BQ160</f>
        <v>0</v>
      </c>
      <c r="BS160" s="5">
        <f>recovered!BS160-recovered!BR160</f>
        <v>0</v>
      </c>
      <c r="BT160" s="5">
        <f>recovered!BT160-recovered!BS160</f>
        <v>0</v>
      </c>
      <c r="BU160" s="5">
        <f>recovered!BU160-recovered!BT160</f>
        <v>0</v>
      </c>
      <c r="BV160" s="5">
        <f>recovered!BV160-recovered!BU160</f>
        <v>0</v>
      </c>
      <c r="BW160" s="5">
        <f>recovered!BW160-recovered!BV160</f>
        <v>0</v>
      </c>
      <c r="BX160" s="5">
        <f>recovered!BX160-recovered!BW160</f>
        <v>0</v>
      </c>
      <c r="BY160" s="5">
        <f>recovered!BY160-recovered!BX160</f>
        <v>1</v>
      </c>
    </row>
    <row r="161">
      <c r="B161" s="1" t="str">
        <f>recovered!B161</f>
        <v>Morocco</v>
      </c>
      <c r="C161" s="4">
        <f>recovered!C161</f>
        <v>31.7917</v>
      </c>
      <c r="D161" s="4">
        <f>recovered!D161</f>
        <v>-7.0926</v>
      </c>
      <c r="E161" s="5">
        <f>recovered!E161</f>
        <v>0</v>
      </c>
      <c r="F161" s="5">
        <f>recovered!F161-recovered!E161</f>
        <v>0</v>
      </c>
      <c r="G161" s="5">
        <f>recovered!G161-recovered!F161</f>
        <v>0</v>
      </c>
      <c r="H161" s="5">
        <f>recovered!H161-recovered!G161</f>
        <v>0</v>
      </c>
      <c r="I161" s="5">
        <f>recovered!I161-recovered!H161</f>
        <v>0</v>
      </c>
      <c r="J161" s="5">
        <f>recovered!J161-recovered!I161</f>
        <v>0</v>
      </c>
      <c r="K161" s="5">
        <f>recovered!K161-recovered!J161</f>
        <v>0</v>
      </c>
      <c r="L161" s="5">
        <f>recovered!L161-recovered!K161</f>
        <v>0</v>
      </c>
      <c r="M161" s="5">
        <f>recovered!M161-recovered!L161</f>
        <v>0</v>
      </c>
      <c r="N161" s="5">
        <f>recovered!N161-recovered!M161</f>
        <v>0</v>
      </c>
      <c r="O161" s="5">
        <f>recovered!O161-recovered!N161</f>
        <v>0</v>
      </c>
      <c r="P161" s="5">
        <f>recovered!P161-recovered!O161</f>
        <v>0</v>
      </c>
      <c r="Q161" s="5">
        <f>recovered!Q161-recovered!P161</f>
        <v>0</v>
      </c>
      <c r="R161" s="5">
        <f>recovered!R161-recovered!Q161</f>
        <v>0</v>
      </c>
      <c r="S161" s="5">
        <f>recovered!S161-recovered!R161</f>
        <v>0</v>
      </c>
      <c r="T161" s="5">
        <f>recovered!T161-recovered!S161</f>
        <v>0</v>
      </c>
      <c r="U161" s="5">
        <f>recovered!U161-recovered!T161</f>
        <v>0</v>
      </c>
      <c r="V161" s="5">
        <f>recovered!V161-recovered!U161</f>
        <v>0</v>
      </c>
      <c r="W161" s="5">
        <f>recovered!W161-recovered!V161</f>
        <v>0</v>
      </c>
      <c r="X161" s="5">
        <f>recovered!X161-recovered!W161</f>
        <v>0</v>
      </c>
      <c r="Y161" s="5">
        <f>recovered!Y161-recovered!X161</f>
        <v>0</v>
      </c>
      <c r="Z161" s="5">
        <f>recovered!Z161-recovered!Y161</f>
        <v>0</v>
      </c>
      <c r="AA161" s="5">
        <f>recovered!AA161-recovered!Z161</f>
        <v>0</v>
      </c>
      <c r="AB161" s="5">
        <f>recovered!AB161-recovered!AA161</f>
        <v>0</v>
      </c>
      <c r="AC161" s="5">
        <f>recovered!AC161-recovered!AB161</f>
        <v>0</v>
      </c>
      <c r="AD161" s="5">
        <f>recovered!AD161-recovered!AC161</f>
        <v>0</v>
      </c>
      <c r="AE161" s="5">
        <f>recovered!AE161-recovered!AD161</f>
        <v>0</v>
      </c>
      <c r="AF161" s="5">
        <f>recovered!AF161-recovered!AE161</f>
        <v>0</v>
      </c>
      <c r="AG161" s="5">
        <f>recovered!AG161-recovered!AF161</f>
        <v>0</v>
      </c>
      <c r="AH161" s="5">
        <f>recovered!AH161-recovered!AG161</f>
        <v>0</v>
      </c>
      <c r="AI161" s="5">
        <f>recovered!AI161-recovered!AH161</f>
        <v>0</v>
      </c>
      <c r="AJ161" s="5">
        <f>recovered!AJ161-recovered!AI161</f>
        <v>0</v>
      </c>
      <c r="AK161" s="5">
        <f>recovered!AK161-recovered!AJ161</f>
        <v>0</v>
      </c>
      <c r="AL161" s="5">
        <f>recovered!AL161-recovered!AK161</f>
        <v>0</v>
      </c>
      <c r="AM161" s="5">
        <f>recovered!AM161-recovered!AL161</f>
        <v>0</v>
      </c>
      <c r="AN161" s="5">
        <f>recovered!AN161-recovered!AM161</f>
        <v>0</v>
      </c>
      <c r="AO161" s="5">
        <f>recovered!AO161-recovered!AN161</f>
        <v>0</v>
      </c>
      <c r="AP161" s="5">
        <f>recovered!AP161-recovered!AO161</f>
        <v>0</v>
      </c>
      <c r="AQ161" s="5">
        <f>recovered!AQ161-recovered!AP161</f>
        <v>0</v>
      </c>
      <c r="AR161" s="5">
        <f>recovered!AR161-recovered!AQ161</f>
        <v>0</v>
      </c>
      <c r="AS161" s="5">
        <f>recovered!AS161-recovered!AR161</f>
        <v>0</v>
      </c>
      <c r="AT161" s="5">
        <f>recovered!AT161-recovered!AS161</f>
        <v>0</v>
      </c>
      <c r="AU161" s="5">
        <f>recovered!AU161-recovered!AT161</f>
        <v>0</v>
      </c>
      <c r="AV161" s="5">
        <f>recovered!AV161-recovered!AU161</f>
        <v>0</v>
      </c>
      <c r="AW161" s="5">
        <f>recovered!AW161-recovered!AV161</f>
        <v>0</v>
      </c>
      <c r="AX161" s="5">
        <f>recovered!AX161-recovered!AW161</f>
        <v>0</v>
      </c>
      <c r="AY161" s="5">
        <f>recovered!AY161-recovered!AX161</f>
        <v>0</v>
      </c>
      <c r="AZ161" s="5">
        <f>recovered!AZ161-recovered!AY161</f>
        <v>0</v>
      </c>
      <c r="BA161" s="5">
        <f>recovered!BA161-recovered!AZ161</f>
        <v>0</v>
      </c>
      <c r="BB161" s="5">
        <f>recovered!BB161-recovered!BA161</f>
        <v>0</v>
      </c>
      <c r="BC161" s="5">
        <f>recovered!BC161-recovered!BB161</f>
        <v>0</v>
      </c>
      <c r="BD161" s="5">
        <f>recovered!BD161-recovered!BC161</f>
        <v>1</v>
      </c>
      <c r="BE161" s="5">
        <f>recovered!BE161-recovered!BD161</f>
        <v>0</v>
      </c>
      <c r="BF161" s="5">
        <f>recovered!BF161-recovered!BE161</f>
        <v>0</v>
      </c>
      <c r="BG161" s="5">
        <f>recovered!BG161-recovered!BF161</f>
        <v>0</v>
      </c>
      <c r="BH161" s="5">
        <f>recovered!BH161-recovered!BG161</f>
        <v>0</v>
      </c>
      <c r="BI161" s="5">
        <f>recovered!BI161-recovered!BH161</f>
        <v>0</v>
      </c>
      <c r="BJ161" s="5">
        <f>recovered!BJ161-recovered!BI161</f>
        <v>0</v>
      </c>
      <c r="BK161" s="5">
        <f>recovered!BK161-recovered!BJ161</f>
        <v>0</v>
      </c>
      <c r="BL161" s="5">
        <f>recovered!BL161-recovered!BK161</f>
        <v>2</v>
      </c>
      <c r="BM161" s="5">
        <f>recovered!BM161-recovered!BL161</f>
        <v>0</v>
      </c>
      <c r="BN161" s="5">
        <f>recovered!BN161-recovered!BM161</f>
        <v>0</v>
      </c>
      <c r="BO161" s="5">
        <f>recovered!BO161-recovered!BN161</f>
        <v>3</v>
      </c>
      <c r="BP161" s="5">
        <f>recovered!BP161-recovered!BO161</f>
        <v>1</v>
      </c>
      <c r="BQ161" s="5">
        <f>recovered!BQ161-recovered!BP161</f>
        <v>1</v>
      </c>
      <c r="BR161" s="5">
        <f>recovered!BR161-recovered!BQ161</f>
        <v>3</v>
      </c>
      <c r="BS161" s="5">
        <f>recovered!BS161-recovered!BR161</f>
        <v>0</v>
      </c>
      <c r="BT161" s="5">
        <f>recovered!BT161-recovered!BS161</f>
        <v>2</v>
      </c>
      <c r="BU161" s="5">
        <f>recovered!BU161-recovered!BT161</f>
        <v>2</v>
      </c>
      <c r="BV161" s="5">
        <f>recovered!BV161-recovered!BU161</f>
        <v>9</v>
      </c>
      <c r="BW161" s="5">
        <f>recovered!BW161-recovered!BV161</f>
        <v>5</v>
      </c>
      <c r="BX161" s="5">
        <f>recovered!BX161-recovered!BW161</f>
        <v>2</v>
      </c>
      <c r="BY161" s="5">
        <f>recovered!BY161-recovered!BX161</f>
        <v>26</v>
      </c>
    </row>
    <row r="162">
      <c r="B162" s="1" t="str">
        <f>recovered!B162</f>
        <v>Mozambique</v>
      </c>
      <c r="C162" s="4">
        <f>recovered!C162</f>
        <v>-18.6657</v>
      </c>
      <c r="D162" s="4">
        <f>recovered!D162</f>
        <v>35.5296</v>
      </c>
      <c r="E162" s="5">
        <f>recovered!E162</f>
        <v>0</v>
      </c>
      <c r="F162" s="5">
        <f>recovered!F162-recovered!E162</f>
        <v>0</v>
      </c>
      <c r="G162" s="5">
        <f>recovered!G162-recovered!F162</f>
        <v>0</v>
      </c>
      <c r="H162" s="5">
        <f>recovered!H162-recovered!G162</f>
        <v>0</v>
      </c>
      <c r="I162" s="5">
        <f>recovered!I162-recovered!H162</f>
        <v>0</v>
      </c>
      <c r="J162" s="5">
        <f>recovered!J162-recovered!I162</f>
        <v>0</v>
      </c>
      <c r="K162" s="5">
        <f>recovered!K162-recovered!J162</f>
        <v>0</v>
      </c>
      <c r="L162" s="5">
        <f>recovered!L162-recovered!K162</f>
        <v>0</v>
      </c>
      <c r="M162" s="5">
        <f>recovered!M162-recovered!L162</f>
        <v>0</v>
      </c>
      <c r="N162" s="5">
        <f>recovered!N162-recovered!M162</f>
        <v>0</v>
      </c>
      <c r="O162" s="5">
        <f>recovered!O162-recovered!N162</f>
        <v>0</v>
      </c>
      <c r="P162" s="5">
        <f>recovered!P162-recovered!O162</f>
        <v>0</v>
      </c>
      <c r="Q162" s="5">
        <f>recovered!Q162-recovered!P162</f>
        <v>0</v>
      </c>
      <c r="R162" s="5">
        <f>recovered!R162-recovered!Q162</f>
        <v>0</v>
      </c>
      <c r="S162" s="5">
        <f>recovered!S162-recovered!R162</f>
        <v>0</v>
      </c>
      <c r="T162" s="5">
        <f>recovered!T162-recovered!S162</f>
        <v>0</v>
      </c>
      <c r="U162" s="5">
        <f>recovered!U162-recovered!T162</f>
        <v>0</v>
      </c>
      <c r="V162" s="5">
        <f>recovered!V162-recovered!U162</f>
        <v>0</v>
      </c>
      <c r="W162" s="5">
        <f>recovered!W162-recovered!V162</f>
        <v>0</v>
      </c>
      <c r="X162" s="5">
        <f>recovered!X162-recovered!W162</f>
        <v>0</v>
      </c>
      <c r="Y162" s="5">
        <f>recovered!Y162-recovered!X162</f>
        <v>0</v>
      </c>
      <c r="Z162" s="5">
        <f>recovered!Z162-recovered!Y162</f>
        <v>0</v>
      </c>
      <c r="AA162" s="5">
        <f>recovered!AA162-recovered!Z162</f>
        <v>0</v>
      </c>
      <c r="AB162" s="5">
        <f>recovered!AB162-recovered!AA162</f>
        <v>0</v>
      </c>
      <c r="AC162" s="5">
        <f>recovered!AC162-recovered!AB162</f>
        <v>0</v>
      </c>
      <c r="AD162" s="5">
        <f>recovered!AD162-recovered!AC162</f>
        <v>0</v>
      </c>
      <c r="AE162" s="5">
        <f>recovered!AE162-recovered!AD162</f>
        <v>0</v>
      </c>
      <c r="AF162" s="5">
        <f>recovered!AF162-recovered!AE162</f>
        <v>0</v>
      </c>
      <c r="AG162" s="5">
        <f>recovered!AG162-recovered!AF162</f>
        <v>0</v>
      </c>
      <c r="AH162" s="5">
        <f>recovered!AH162-recovered!AG162</f>
        <v>0</v>
      </c>
      <c r="AI162" s="5">
        <f>recovered!AI162-recovered!AH162</f>
        <v>0</v>
      </c>
      <c r="AJ162" s="5">
        <f>recovered!AJ162-recovered!AI162</f>
        <v>0</v>
      </c>
      <c r="AK162" s="5">
        <f>recovered!AK162-recovered!AJ162</f>
        <v>0</v>
      </c>
      <c r="AL162" s="5">
        <f>recovered!AL162-recovered!AK162</f>
        <v>0</v>
      </c>
      <c r="AM162" s="5">
        <f>recovered!AM162-recovered!AL162</f>
        <v>0</v>
      </c>
      <c r="AN162" s="5">
        <f>recovered!AN162-recovered!AM162</f>
        <v>0</v>
      </c>
      <c r="AO162" s="5">
        <f>recovered!AO162-recovered!AN162</f>
        <v>0</v>
      </c>
      <c r="AP162" s="5">
        <f>recovered!AP162-recovered!AO162</f>
        <v>0</v>
      </c>
      <c r="AQ162" s="5">
        <f>recovered!AQ162-recovered!AP162</f>
        <v>0</v>
      </c>
      <c r="AR162" s="5">
        <f>recovered!AR162-recovered!AQ162</f>
        <v>0</v>
      </c>
      <c r="AS162" s="5">
        <f>recovered!AS162-recovered!AR162</f>
        <v>0</v>
      </c>
      <c r="AT162" s="5">
        <f>recovered!AT162-recovered!AS162</f>
        <v>0</v>
      </c>
      <c r="AU162" s="5">
        <f>recovered!AU162-recovered!AT162</f>
        <v>0</v>
      </c>
      <c r="AV162" s="5">
        <f>recovered!AV162-recovered!AU162</f>
        <v>0</v>
      </c>
      <c r="AW162" s="5">
        <f>recovered!AW162-recovered!AV162</f>
        <v>0</v>
      </c>
      <c r="AX162" s="5">
        <f>recovered!AX162-recovered!AW162</f>
        <v>0</v>
      </c>
      <c r="AY162" s="5">
        <f>recovered!AY162-recovered!AX162</f>
        <v>0</v>
      </c>
      <c r="AZ162" s="5">
        <f>recovered!AZ162-recovered!AY162</f>
        <v>0</v>
      </c>
      <c r="BA162" s="5">
        <f>recovered!BA162-recovered!AZ162</f>
        <v>0</v>
      </c>
      <c r="BB162" s="5">
        <f>recovered!BB162-recovered!BA162</f>
        <v>0</v>
      </c>
      <c r="BC162" s="5">
        <f>recovered!BC162-recovered!BB162</f>
        <v>0</v>
      </c>
      <c r="BD162" s="5">
        <f>recovered!BD162-recovered!BC162</f>
        <v>0</v>
      </c>
      <c r="BE162" s="5">
        <f>recovered!BE162-recovered!BD162</f>
        <v>0</v>
      </c>
      <c r="BF162" s="5">
        <f>recovered!BF162-recovered!BE162</f>
        <v>0</v>
      </c>
      <c r="BG162" s="5">
        <f>recovered!BG162-recovered!BF162</f>
        <v>0</v>
      </c>
      <c r="BH162" s="5">
        <f>recovered!BH162-recovered!BG162</f>
        <v>0</v>
      </c>
      <c r="BI162" s="5">
        <f>recovered!BI162-recovered!BH162</f>
        <v>0</v>
      </c>
      <c r="BJ162" s="5">
        <f>recovered!BJ162-recovered!BI162</f>
        <v>0</v>
      </c>
      <c r="BK162" s="5">
        <f>recovered!BK162-recovered!BJ162</f>
        <v>0</v>
      </c>
      <c r="BL162" s="5">
        <f>recovered!BL162-recovered!BK162</f>
        <v>0</v>
      </c>
      <c r="BM162" s="5">
        <f>recovered!BM162-recovered!BL162</f>
        <v>0</v>
      </c>
      <c r="BN162" s="5">
        <f>recovered!BN162-recovered!BM162</f>
        <v>0</v>
      </c>
      <c r="BO162" s="5">
        <f>recovered!BO162-recovered!BN162</f>
        <v>0</v>
      </c>
      <c r="BP162" s="5">
        <f>recovered!BP162-recovered!BO162</f>
        <v>0</v>
      </c>
      <c r="BQ162" s="5">
        <f>recovered!BQ162-recovered!BP162</f>
        <v>0</v>
      </c>
      <c r="BR162" s="5">
        <f>recovered!BR162-recovered!BQ162</f>
        <v>0</v>
      </c>
      <c r="BS162" s="5">
        <f>recovered!BS162-recovered!BR162</f>
        <v>0</v>
      </c>
      <c r="BT162" s="5">
        <f>recovered!BT162-recovered!BS162</f>
        <v>0</v>
      </c>
      <c r="BU162" s="5">
        <f>recovered!BU162-recovered!BT162</f>
        <v>0</v>
      </c>
      <c r="BV162" s="5">
        <f>recovered!BV162-recovered!BU162</f>
        <v>0</v>
      </c>
      <c r="BW162" s="5">
        <f>recovered!BW162-recovered!BV162</f>
        <v>0</v>
      </c>
      <c r="BX162" s="5">
        <f>recovered!BX162-recovered!BW162</f>
        <v>0</v>
      </c>
      <c r="BY162" s="5">
        <f>recovered!BY162-recovered!BX162</f>
        <v>0</v>
      </c>
    </row>
    <row r="163">
      <c r="B163" s="1" t="str">
        <f>recovered!B163</f>
        <v>Namibia</v>
      </c>
      <c r="C163" s="4">
        <f>recovered!C163</f>
        <v>-22.9576</v>
      </c>
      <c r="D163" s="4">
        <f>recovered!D163</f>
        <v>18.4904</v>
      </c>
      <c r="E163" s="5">
        <f>recovered!E163</f>
        <v>0</v>
      </c>
      <c r="F163" s="5">
        <f>recovered!F163-recovered!E163</f>
        <v>0</v>
      </c>
      <c r="G163" s="5">
        <f>recovered!G163-recovered!F163</f>
        <v>0</v>
      </c>
      <c r="H163" s="5">
        <f>recovered!H163-recovered!G163</f>
        <v>0</v>
      </c>
      <c r="I163" s="5">
        <f>recovered!I163-recovered!H163</f>
        <v>0</v>
      </c>
      <c r="J163" s="5">
        <f>recovered!J163-recovered!I163</f>
        <v>0</v>
      </c>
      <c r="K163" s="5">
        <f>recovered!K163-recovered!J163</f>
        <v>0</v>
      </c>
      <c r="L163" s="5">
        <f>recovered!L163-recovered!K163</f>
        <v>0</v>
      </c>
      <c r="M163" s="5">
        <f>recovered!M163-recovered!L163</f>
        <v>0</v>
      </c>
      <c r="N163" s="5">
        <f>recovered!N163-recovered!M163</f>
        <v>0</v>
      </c>
      <c r="O163" s="5">
        <f>recovered!O163-recovered!N163</f>
        <v>0</v>
      </c>
      <c r="P163" s="5">
        <f>recovered!P163-recovered!O163</f>
        <v>0</v>
      </c>
      <c r="Q163" s="5">
        <f>recovered!Q163-recovered!P163</f>
        <v>0</v>
      </c>
      <c r="R163" s="5">
        <f>recovered!R163-recovered!Q163</f>
        <v>0</v>
      </c>
      <c r="S163" s="5">
        <f>recovered!S163-recovered!R163</f>
        <v>0</v>
      </c>
      <c r="T163" s="5">
        <f>recovered!T163-recovered!S163</f>
        <v>0</v>
      </c>
      <c r="U163" s="5">
        <f>recovered!U163-recovered!T163</f>
        <v>0</v>
      </c>
      <c r="V163" s="5">
        <f>recovered!V163-recovered!U163</f>
        <v>0</v>
      </c>
      <c r="W163" s="5">
        <f>recovered!W163-recovered!V163</f>
        <v>0</v>
      </c>
      <c r="X163" s="5">
        <f>recovered!X163-recovered!W163</f>
        <v>0</v>
      </c>
      <c r="Y163" s="5">
        <f>recovered!Y163-recovered!X163</f>
        <v>0</v>
      </c>
      <c r="Z163" s="5">
        <f>recovered!Z163-recovered!Y163</f>
        <v>0</v>
      </c>
      <c r="AA163" s="5">
        <f>recovered!AA163-recovered!Z163</f>
        <v>0</v>
      </c>
      <c r="AB163" s="5">
        <f>recovered!AB163-recovered!AA163</f>
        <v>0</v>
      </c>
      <c r="AC163" s="5">
        <f>recovered!AC163-recovered!AB163</f>
        <v>0</v>
      </c>
      <c r="AD163" s="5">
        <f>recovered!AD163-recovered!AC163</f>
        <v>0</v>
      </c>
      <c r="AE163" s="5">
        <f>recovered!AE163-recovered!AD163</f>
        <v>0</v>
      </c>
      <c r="AF163" s="5">
        <f>recovered!AF163-recovered!AE163</f>
        <v>0</v>
      </c>
      <c r="AG163" s="5">
        <f>recovered!AG163-recovered!AF163</f>
        <v>0</v>
      </c>
      <c r="AH163" s="5">
        <f>recovered!AH163-recovered!AG163</f>
        <v>0</v>
      </c>
      <c r="AI163" s="5">
        <f>recovered!AI163-recovered!AH163</f>
        <v>0</v>
      </c>
      <c r="AJ163" s="5">
        <f>recovered!AJ163-recovered!AI163</f>
        <v>0</v>
      </c>
      <c r="AK163" s="5">
        <f>recovered!AK163-recovered!AJ163</f>
        <v>0</v>
      </c>
      <c r="AL163" s="5">
        <f>recovered!AL163-recovered!AK163</f>
        <v>0</v>
      </c>
      <c r="AM163" s="5">
        <f>recovered!AM163-recovered!AL163</f>
        <v>0</v>
      </c>
      <c r="AN163" s="5">
        <f>recovered!AN163-recovered!AM163</f>
        <v>0</v>
      </c>
      <c r="AO163" s="5">
        <f>recovered!AO163-recovered!AN163</f>
        <v>0</v>
      </c>
      <c r="AP163" s="5">
        <f>recovered!AP163-recovered!AO163</f>
        <v>0</v>
      </c>
      <c r="AQ163" s="5">
        <f>recovered!AQ163-recovered!AP163</f>
        <v>0</v>
      </c>
      <c r="AR163" s="5">
        <f>recovered!AR163-recovered!AQ163</f>
        <v>0</v>
      </c>
      <c r="AS163" s="5">
        <f>recovered!AS163-recovered!AR163</f>
        <v>0</v>
      </c>
      <c r="AT163" s="5">
        <f>recovered!AT163-recovered!AS163</f>
        <v>0</v>
      </c>
      <c r="AU163" s="5">
        <f>recovered!AU163-recovered!AT163</f>
        <v>0</v>
      </c>
      <c r="AV163" s="5">
        <f>recovered!AV163-recovered!AU163</f>
        <v>0</v>
      </c>
      <c r="AW163" s="5">
        <f>recovered!AW163-recovered!AV163</f>
        <v>0</v>
      </c>
      <c r="AX163" s="5">
        <f>recovered!AX163-recovered!AW163</f>
        <v>0</v>
      </c>
      <c r="AY163" s="5">
        <f>recovered!AY163-recovered!AX163</f>
        <v>0</v>
      </c>
      <c r="AZ163" s="5">
        <f>recovered!AZ163-recovered!AY163</f>
        <v>0</v>
      </c>
      <c r="BA163" s="5">
        <f>recovered!BA163-recovered!AZ163</f>
        <v>0</v>
      </c>
      <c r="BB163" s="5">
        <f>recovered!BB163-recovered!BA163</f>
        <v>0</v>
      </c>
      <c r="BC163" s="5">
        <f>recovered!BC163-recovered!BB163</f>
        <v>0</v>
      </c>
      <c r="BD163" s="5">
        <f>recovered!BD163-recovered!BC163</f>
        <v>0</v>
      </c>
      <c r="BE163" s="5">
        <f>recovered!BE163-recovered!BD163</f>
        <v>0</v>
      </c>
      <c r="BF163" s="5">
        <f>recovered!BF163-recovered!BE163</f>
        <v>0</v>
      </c>
      <c r="BG163" s="5">
        <f>recovered!BG163-recovered!BF163</f>
        <v>0</v>
      </c>
      <c r="BH163" s="5">
        <f>recovered!BH163-recovered!BG163</f>
        <v>0</v>
      </c>
      <c r="BI163" s="5">
        <f>recovered!BI163-recovered!BH163</f>
        <v>0</v>
      </c>
      <c r="BJ163" s="5">
        <f>recovered!BJ163-recovered!BI163</f>
        <v>0</v>
      </c>
      <c r="BK163" s="5">
        <f>recovered!BK163-recovered!BJ163</f>
        <v>0</v>
      </c>
      <c r="BL163" s="5">
        <f>recovered!BL163-recovered!BK163</f>
        <v>0</v>
      </c>
      <c r="BM163" s="5">
        <f>recovered!BM163-recovered!BL163</f>
        <v>0</v>
      </c>
      <c r="BN163" s="5">
        <f>recovered!BN163-recovered!BM163</f>
        <v>0</v>
      </c>
      <c r="BO163" s="5">
        <f>recovered!BO163-recovered!BN163</f>
        <v>2</v>
      </c>
      <c r="BP163" s="5">
        <f>recovered!BP163-recovered!BO163</f>
        <v>0</v>
      </c>
      <c r="BQ163" s="5">
        <f>recovered!BQ163-recovered!BP163</f>
        <v>0</v>
      </c>
      <c r="BR163" s="5">
        <f>recovered!BR163-recovered!BQ163</f>
        <v>0</v>
      </c>
      <c r="BS163" s="5">
        <f>recovered!BS163-recovered!BR163</f>
        <v>0</v>
      </c>
      <c r="BT163" s="5">
        <f>recovered!BT163-recovered!BS163</f>
        <v>0</v>
      </c>
      <c r="BU163" s="5">
        <f>recovered!BU163-recovered!BT163</f>
        <v>0</v>
      </c>
      <c r="BV163" s="5">
        <f>recovered!BV163-recovered!BU163</f>
        <v>0</v>
      </c>
      <c r="BW163" s="5">
        <f>recovered!BW163-recovered!BV163</f>
        <v>0</v>
      </c>
      <c r="BX163" s="5">
        <f>recovered!BX163-recovered!BW163</f>
        <v>1</v>
      </c>
      <c r="BY163" s="5">
        <f>recovered!BY163-recovered!BX163</f>
        <v>0</v>
      </c>
    </row>
    <row r="164">
      <c r="B164" s="1" t="str">
        <f>recovered!B164</f>
        <v>Nepal</v>
      </c>
      <c r="C164" s="4">
        <f>recovered!C164</f>
        <v>28.1667</v>
      </c>
      <c r="D164" s="4">
        <f>recovered!D164</f>
        <v>84.25</v>
      </c>
      <c r="E164" s="5">
        <f>recovered!E164</f>
        <v>0</v>
      </c>
      <c r="F164" s="5">
        <f>recovered!F164-recovered!E164</f>
        <v>0</v>
      </c>
      <c r="G164" s="5">
        <f>recovered!G164-recovered!F164</f>
        <v>0</v>
      </c>
      <c r="H164" s="5">
        <f>recovered!H164-recovered!G164</f>
        <v>0</v>
      </c>
      <c r="I164" s="5">
        <f>recovered!I164-recovered!H164</f>
        <v>0</v>
      </c>
      <c r="J164" s="5">
        <f>recovered!J164-recovered!I164</f>
        <v>0</v>
      </c>
      <c r="K164" s="5">
        <f>recovered!K164-recovered!J164</f>
        <v>0</v>
      </c>
      <c r="L164" s="5">
        <f>recovered!L164-recovered!K164</f>
        <v>0</v>
      </c>
      <c r="M164" s="5">
        <f>recovered!M164-recovered!L164</f>
        <v>0</v>
      </c>
      <c r="N164" s="5">
        <f>recovered!N164-recovered!M164</f>
        <v>0</v>
      </c>
      <c r="O164" s="5">
        <f>recovered!O164-recovered!N164</f>
        <v>0</v>
      </c>
      <c r="P164" s="5">
        <f>recovered!P164-recovered!O164</f>
        <v>0</v>
      </c>
      <c r="Q164" s="5">
        <f>recovered!Q164-recovered!P164</f>
        <v>0</v>
      </c>
      <c r="R164" s="5">
        <f>recovered!R164-recovered!Q164</f>
        <v>0</v>
      </c>
      <c r="S164" s="5">
        <f>recovered!S164-recovered!R164</f>
        <v>0</v>
      </c>
      <c r="T164" s="5">
        <f>recovered!T164-recovered!S164</f>
        <v>0</v>
      </c>
      <c r="U164" s="5">
        <f>recovered!U164-recovered!T164</f>
        <v>0</v>
      </c>
      <c r="V164" s="5">
        <f>recovered!V164-recovered!U164</f>
        <v>0</v>
      </c>
      <c r="W164" s="5">
        <f>recovered!W164-recovered!V164</f>
        <v>0</v>
      </c>
      <c r="X164" s="5">
        <f>recovered!X164-recovered!W164</f>
        <v>0</v>
      </c>
      <c r="Y164" s="5">
        <f>recovered!Y164-recovered!X164</f>
        <v>0</v>
      </c>
      <c r="Z164" s="5">
        <f>recovered!Z164-recovered!Y164</f>
        <v>1</v>
      </c>
      <c r="AA164" s="5">
        <f>recovered!AA164-recovered!Z164</f>
        <v>0</v>
      </c>
      <c r="AB164" s="5">
        <f>recovered!AB164-recovered!AA164</f>
        <v>0</v>
      </c>
      <c r="AC164" s="5">
        <f>recovered!AC164-recovered!AB164</f>
        <v>0</v>
      </c>
      <c r="AD164" s="5">
        <f>recovered!AD164-recovered!AC164</f>
        <v>0</v>
      </c>
      <c r="AE164" s="5">
        <f>recovered!AE164-recovered!AD164</f>
        <v>0</v>
      </c>
      <c r="AF164" s="5">
        <f>recovered!AF164-recovered!AE164</f>
        <v>0</v>
      </c>
      <c r="AG164" s="5">
        <f>recovered!AG164-recovered!AF164</f>
        <v>0</v>
      </c>
      <c r="AH164" s="5">
        <f>recovered!AH164-recovered!AG164</f>
        <v>0</v>
      </c>
      <c r="AI164" s="5">
        <f>recovered!AI164-recovered!AH164</f>
        <v>0</v>
      </c>
      <c r="AJ164" s="5">
        <f>recovered!AJ164-recovered!AI164</f>
        <v>0</v>
      </c>
      <c r="AK164" s="5">
        <f>recovered!AK164-recovered!AJ164</f>
        <v>0</v>
      </c>
      <c r="AL164" s="5">
        <f>recovered!AL164-recovered!AK164</f>
        <v>0</v>
      </c>
      <c r="AM164" s="5">
        <f>recovered!AM164-recovered!AL164</f>
        <v>0</v>
      </c>
      <c r="AN164" s="5">
        <f>recovered!AN164-recovered!AM164</f>
        <v>0</v>
      </c>
      <c r="AO164" s="5">
        <f>recovered!AO164-recovered!AN164</f>
        <v>0</v>
      </c>
      <c r="AP164" s="5">
        <f>recovered!AP164-recovered!AO164</f>
        <v>0</v>
      </c>
      <c r="AQ164" s="5">
        <f>recovered!AQ164-recovered!AP164</f>
        <v>0</v>
      </c>
      <c r="AR164" s="5">
        <f>recovered!AR164-recovered!AQ164</f>
        <v>0</v>
      </c>
      <c r="AS164" s="5">
        <f>recovered!AS164-recovered!AR164</f>
        <v>0</v>
      </c>
      <c r="AT164" s="5">
        <f>recovered!AT164-recovered!AS164</f>
        <v>0</v>
      </c>
      <c r="AU164" s="5">
        <f>recovered!AU164-recovered!AT164</f>
        <v>0</v>
      </c>
      <c r="AV164" s="5">
        <f>recovered!AV164-recovered!AU164</f>
        <v>0</v>
      </c>
      <c r="AW164" s="5">
        <f>recovered!AW164-recovered!AV164</f>
        <v>0</v>
      </c>
      <c r="AX164" s="5">
        <f>recovered!AX164-recovered!AW164</f>
        <v>0</v>
      </c>
      <c r="AY164" s="5">
        <f>recovered!AY164-recovered!AX164</f>
        <v>0</v>
      </c>
      <c r="AZ164" s="5">
        <f>recovered!AZ164-recovered!AY164</f>
        <v>0</v>
      </c>
      <c r="BA164" s="5">
        <f>recovered!BA164-recovered!AZ164</f>
        <v>0</v>
      </c>
      <c r="BB164" s="5">
        <f>recovered!BB164-recovered!BA164</f>
        <v>0</v>
      </c>
      <c r="BC164" s="5">
        <f>recovered!BC164-recovered!BB164</f>
        <v>0</v>
      </c>
      <c r="BD164" s="5">
        <f>recovered!BD164-recovered!BC164</f>
        <v>0</v>
      </c>
      <c r="BE164" s="5">
        <f>recovered!BE164-recovered!BD164</f>
        <v>0</v>
      </c>
      <c r="BF164" s="5">
        <f>recovered!BF164-recovered!BE164</f>
        <v>0</v>
      </c>
      <c r="BG164" s="5">
        <f>recovered!BG164-recovered!BF164</f>
        <v>0</v>
      </c>
      <c r="BH164" s="5">
        <f>recovered!BH164-recovered!BG164</f>
        <v>0</v>
      </c>
      <c r="BI164" s="5">
        <f>recovered!BI164-recovered!BH164</f>
        <v>0</v>
      </c>
      <c r="BJ164" s="5">
        <f>recovered!BJ164-recovered!BI164</f>
        <v>0</v>
      </c>
      <c r="BK164" s="5">
        <f>recovered!BK164-recovered!BJ164</f>
        <v>0</v>
      </c>
      <c r="BL164" s="5">
        <f>recovered!BL164-recovered!BK164</f>
        <v>0</v>
      </c>
      <c r="BM164" s="5">
        <f>recovered!BM164-recovered!BL164</f>
        <v>0</v>
      </c>
      <c r="BN164" s="5">
        <f>recovered!BN164-recovered!BM164</f>
        <v>0</v>
      </c>
      <c r="BO164" s="5">
        <f>recovered!BO164-recovered!BN164</f>
        <v>0</v>
      </c>
      <c r="BP164" s="5">
        <f>recovered!BP164-recovered!BO164</f>
        <v>0</v>
      </c>
      <c r="BQ164" s="5">
        <f>recovered!BQ164-recovered!BP164</f>
        <v>0</v>
      </c>
      <c r="BR164" s="5">
        <f>recovered!BR164-recovered!BQ164</f>
        <v>0</v>
      </c>
      <c r="BS164" s="5">
        <f>recovered!BS164-recovered!BR164</f>
        <v>0</v>
      </c>
      <c r="BT164" s="5">
        <f>recovered!BT164-recovered!BS164</f>
        <v>0</v>
      </c>
      <c r="BU164" s="5">
        <f>recovered!BU164-recovered!BT164</f>
        <v>0</v>
      </c>
      <c r="BV164" s="5">
        <f>recovered!BV164-recovered!BU164</f>
        <v>0</v>
      </c>
      <c r="BW164" s="5">
        <f>recovered!BW164-recovered!BV164</f>
        <v>0</v>
      </c>
      <c r="BX164" s="5">
        <f>recovered!BX164-recovered!BW164</f>
        <v>0</v>
      </c>
      <c r="BY164" s="5">
        <f>recovered!BY164-recovered!BX164</f>
        <v>0</v>
      </c>
    </row>
    <row r="165">
      <c r="B165" s="1" t="str">
        <f>recovered!B165</f>
        <v>Netherlands</v>
      </c>
      <c r="C165" s="4">
        <f>recovered!C165</f>
        <v>12.5186</v>
      </c>
      <c r="D165" s="4">
        <f>recovered!D165</f>
        <v>-70.0358</v>
      </c>
      <c r="E165" s="5">
        <f>recovered!E165</f>
        <v>0</v>
      </c>
      <c r="F165" s="5">
        <f>recovered!F165-recovered!E165</f>
        <v>0</v>
      </c>
      <c r="G165" s="5">
        <f>recovered!G165-recovered!F165</f>
        <v>0</v>
      </c>
      <c r="H165" s="5">
        <f>recovered!H165-recovered!G165</f>
        <v>0</v>
      </c>
      <c r="I165" s="5">
        <f>recovered!I165-recovered!H165</f>
        <v>0</v>
      </c>
      <c r="J165" s="5">
        <f>recovered!J165-recovered!I165</f>
        <v>0</v>
      </c>
      <c r="K165" s="5">
        <f>recovered!K165-recovered!J165</f>
        <v>0</v>
      </c>
      <c r="L165" s="5">
        <f>recovered!L165-recovered!K165</f>
        <v>0</v>
      </c>
      <c r="M165" s="5">
        <f>recovered!M165-recovered!L165</f>
        <v>0</v>
      </c>
      <c r="N165" s="5">
        <f>recovered!N165-recovered!M165</f>
        <v>0</v>
      </c>
      <c r="O165" s="5">
        <f>recovered!O165-recovered!N165</f>
        <v>0</v>
      </c>
      <c r="P165" s="5">
        <f>recovered!P165-recovered!O165</f>
        <v>0</v>
      </c>
      <c r="Q165" s="5">
        <f>recovered!Q165-recovered!P165</f>
        <v>0</v>
      </c>
      <c r="R165" s="5">
        <f>recovered!R165-recovered!Q165</f>
        <v>0</v>
      </c>
      <c r="S165" s="5">
        <f>recovered!S165-recovered!R165</f>
        <v>0</v>
      </c>
      <c r="T165" s="5">
        <f>recovered!T165-recovered!S165</f>
        <v>0</v>
      </c>
      <c r="U165" s="5">
        <f>recovered!U165-recovered!T165</f>
        <v>0</v>
      </c>
      <c r="V165" s="5">
        <f>recovered!V165-recovered!U165</f>
        <v>0</v>
      </c>
      <c r="W165" s="5">
        <f>recovered!W165-recovered!V165</f>
        <v>0</v>
      </c>
      <c r="X165" s="5">
        <f>recovered!X165-recovered!W165</f>
        <v>0</v>
      </c>
      <c r="Y165" s="5">
        <f>recovered!Y165-recovered!X165</f>
        <v>0</v>
      </c>
      <c r="Z165" s="5">
        <f>recovered!Z165-recovered!Y165</f>
        <v>0</v>
      </c>
      <c r="AA165" s="5">
        <f>recovered!AA165-recovered!Z165</f>
        <v>0</v>
      </c>
      <c r="AB165" s="5">
        <f>recovered!AB165-recovered!AA165</f>
        <v>0</v>
      </c>
      <c r="AC165" s="5">
        <f>recovered!AC165-recovered!AB165</f>
        <v>0</v>
      </c>
      <c r="AD165" s="5">
        <f>recovered!AD165-recovered!AC165</f>
        <v>0</v>
      </c>
      <c r="AE165" s="5">
        <f>recovered!AE165-recovered!AD165</f>
        <v>0</v>
      </c>
      <c r="AF165" s="5">
        <f>recovered!AF165-recovered!AE165</f>
        <v>0</v>
      </c>
      <c r="AG165" s="5">
        <f>recovered!AG165-recovered!AF165</f>
        <v>0</v>
      </c>
      <c r="AH165" s="5">
        <f>recovered!AH165-recovered!AG165</f>
        <v>0</v>
      </c>
      <c r="AI165" s="5">
        <f>recovered!AI165-recovered!AH165</f>
        <v>0</v>
      </c>
      <c r="AJ165" s="5">
        <f>recovered!AJ165-recovered!AI165</f>
        <v>0</v>
      </c>
      <c r="AK165" s="5">
        <f>recovered!AK165-recovered!AJ165</f>
        <v>0</v>
      </c>
      <c r="AL165" s="5">
        <f>recovered!AL165-recovered!AK165</f>
        <v>0</v>
      </c>
      <c r="AM165" s="5">
        <f>recovered!AM165-recovered!AL165</f>
        <v>0</v>
      </c>
      <c r="AN165" s="5">
        <f>recovered!AN165-recovered!AM165</f>
        <v>0</v>
      </c>
      <c r="AO165" s="5">
        <f>recovered!AO165-recovered!AN165</f>
        <v>0</v>
      </c>
      <c r="AP165" s="5">
        <f>recovered!AP165-recovered!AO165</f>
        <v>0</v>
      </c>
      <c r="AQ165" s="5">
        <f>recovered!AQ165-recovered!AP165</f>
        <v>0</v>
      </c>
      <c r="AR165" s="5">
        <f>recovered!AR165-recovered!AQ165</f>
        <v>0</v>
      </c>
      <c r="AS165" s="5">
        <f>recovered!AS165-recovered!AR165</f>
        <v>0</v>
      </c>
      <c r="AT165" s="5">
        <f>recovered!AT165-recovered!AS165</f>
        <v>0</v>
      </c>
      <c r="AU165" s="5">
        <f>recovered!AU165-recovered!AT165</f>
        <v>0</v>
      </c>
      <c r="AV165" s="5">
        <f>recovered!AV165-recovered!AU165</f>
        <v>0</v>
      </c>
      <c r="AW165" s="5">
        <f>recovered!AW165-recovered!AV165</f>
        <v>0</v>
      </c>
      <c r="AX165" s="5">
        <f>recovered!AX165-recovered!AW165</f>
        <v>0</v>
      </c>
      <c r="AY165" s="5">
        <f>recovered!AY165-recovered!AX165</f>
        <v>0</v>
      </c>
      <c r="AZ165" s="5">
        <f>recovered!AZ165-recovered!AY165</f>
        <v>0</v>
      </c>
      <c r="BA165" s="5">
        <f>recovered!BA165-recovered!AZ165</f>
        <v>0</v>
      </c>
      <c r="BB165" s="5">
        <f>recovered!BB165-recovered!BA165</f>
        <v>0</v>
      </c>
      <c r="BC165" s="5">
        <f>recovered!BC165-recovered!BB165</f>
        <v>0</v>
      </c>
      <c r="BD165" s="5">
        <f>recovered!BD165-recovered!BC165</f>
        <v>0</v>
      </c>
      <c r="BE165" s="5">
        <f>recovered!BE165-recovered!BD165</f>
        <v>0</v>
      </c>
      <c r="BF165" s="5">
        <f>recovered!BF165-recovered!BE165</f>
        <v>0</v>
      </c>
      <c r="BG165" s="5">
        <f>recovered!BG165-recovered!BF165</f>
        <v>0</v>
      </c>
      <c r="BH165" s="5">
        <f>recovered!BH165-recovered!BG165</f>
        <v>0</v>
      </c>
      <c r="BI165" s="5">
        <f>recovered!BI165-recovered!BH165</f>
        <v>0</v>
      </c>
      <c r="BJ165" s="5">
        <f>recovered!BJ165-recovered!BI165</f>
        <v>0</v>
      </c>
      <c r="BK165" s="5">
        <f>recovered!BK165-recovered!BJ165</f>
        <v>0</v>
      </c>
      <c r="BL165" s="5">
        <f>recovered!BL165-recovered!BK165</f>
        <v>0</v>
      </c>
      <c r="BM165" s="5">
        <f>recovered!BM165-recovered!BL165</f>
        <v>0</v>
      </c>
      <c r="BN165" s="5">
        <f>recovered!BN165-recovered!BM165</f>
        <v>0</v>
      </c>
      <c r="BO165" s="5">
        <f>recovered!BO165-recovered!BN165</f>
        <v>1</v>
      </c>
      <c r="BP165" s="5">
        <f>recovered!BP165-recovered!BO165</f>
        <v>0</v>
      </c>
      <c r="BQ165" s="5">
        <f>recovered!BQ165-recovered!BP165</f>
        <v>0</v>
      </c>
      <c r="BR165" s="5">
        <f>recovered!BR165-recovered!BQ165</f>
        <v>0</v>
      </c>
      <c r="BS165" s="5">
        <f>recovered!BS165-recovered!BR165</f>
        <v>0</v>
      </c>
      <c r="BT165" s="5">
        <f>recovered!BT165-recovered!BS165</f>
        <v>0</v>
      </c>
      <c r="BU165" s="5">
        <f>recovered!BU165-recovered!BT165</f>
        <v>0</v>
      </c>
      <c r="BV165" s="5">
        <f>recovered!BV165-recovered!BU165</f>
        <v>0</v>
      </c>
      <c r="BW165" s="5">
        <f>recovered!BW165-recovered!BV165</f>
        <v>0</v>
      </c>
      <c r="BX165" s="5">
        <f>recovered!BX165-recovered!BW165</f>
        <v>0</v>
      </c>
      <c r="BY165" s="5">
        <f>recovered!BY165-recovered!BX165</f>
        <v>0</v>
      </c>
    </row>
    <row r="166">
      <c r="B166" s="1" t="str">
        <f>recovered!B166</f>
        <v>Netherlands</v>
      </c>
      <c r="C166" s="4">
        <f>recovered!C166</f>
        <v>12.1696</v>
      </c>
      <c r="D166" s="4">
        <f>recovered!D166</f>
        <v>-68.99</v>
      </c>
      <c r="E166" s="5">
        <f>recovered!E166</f>
        <v>0</v>
      </c>
      <c r="F166" s="5">
        <f>recovered!F166-recovered!E166</f>
        <v>0</v>
      </c>
      <c r="G166" s="5">
        <f>recovered!G166-recovered!F166</f>
        <v>0</v>
      </c>
      <c r="H166" s="5">
        <f>recovered!H166-recovered!G166</f>
        <v>0</v>
      </c>
      <c r="I166" s="5">
        <f>recovered!I166-recovered!H166</f>
        <v>0</v>
      </c>
      <c r="J166" s="5">
        <f>recovered!J166-recovered!I166</f>
        <v>0</v>
      </c>
      <c r="K166" s="5">
        <f>recovered!K166-recovered!J166</f>
        <v>0</v>
      </c>
      <c r="L166" s="5">
        <f>recovered!L166-recovered!K166</f>
        <v>0</v>
      </c>
      <c r="M166" s="5">
        <f>recovered!M166-recovered!L166</f>
        <v>0</v>
      </c>
      <c r="N166" s="5">
        <f>recovered!N166-recovered!M166</f>
        <v>0</v>
      </c>
      <c r="O166" s="5">
        <f>recovered!O166-recovered!N166</f>
        <v>0</v>
      </c>
      <c r="P166" s="5">
        <f>recovered!P166-recovered!O166</f>
        <v>0</v>
      </c>
      <c r="Q166" s="5">
        <f>recovered!Q166-recovered!P166</f>
        <v>0</v>
      </c>
      <c r="R166" s="5">
        <f>recovered!R166-recovered!Q166</f>
        <v>0</v>
      </c>
      <c r="S166" s="5">
        <f>recovered!S166-recovered!R166</f>
        <v>0</v>
      </c>
      <c r="T166" s="5">
        <f>recovered!T166-recovered!S166</f>
        <v>0</v>
      </c>
      <c r="U166" s="5">
        <f>recovered!U166-recovered!T166</f>
        <v>0</v>
      </c>
      <c r="V166" s="5">
        <f>recovered!V166-recovered!U166</f>
        <v>0</v>
      </c>
      <c r="W166" s="5">
        <f>recovered!W166-recovered!V166</f>
        <v>0</v>
      </c>
      <c r="X166" s="5">
        <f>recovered!X166-recovered!W166</f>
        <v>0</v>
      </c>
      <c r="Y166" s="5">
        <f>recovered!Y166-recovered!X166</f>
        <v>0</v>
      </c>
      <c r="Z166" s="5">
        <f>recovered!Z166-recovered!Y166</f>
        <v>0</v>
      </c>
      <c r="AA166" s="5">
        <f>recovered!AA166-recovered!Z166</f>
        <v>0</v>
      </c>
      <c r="AB166" s="5">
        <f>recovered!AB166-recovered!AA166</f>
        <v>0</v>
      </c>
      <c r="AC166" s="5">
        <f>recovered!AC166-recovered!AB166</f>
        <v>0</v>
      </c>
      <c r="AD166" s="5">
        <f>recovered!AD166-recovered!AC166</f>
        <v>0</v>
      </c>
      <c r="AE166" s="5">
        <f>recovered!AE166-recovered!AD166</f>
        <v>0</v>
      </c>
      <c r="AF166" s="5">
        <f>recovered!AF166-recovered!AE166</f>
        <v>0</v>
      </c>
      <c r="AG166" s="5">
        <f>recovered!AG166-recovered!AF166</f>
        <v>0</v>
      </c>
      <c r="AH166" s="5">
        <f>recovered!AH166-recovered!AG166</f>
        <v>0</v>
      </c>
      <c r="AI166" s="5">
        <f>recovered!AI166-recovered!AH166</f>
        <v>0</v>
      </c>
      <c r="AJ166" s="5">
        <f>recovered!AJ166-recovered!AI166</f>
        <v>0</v>
      </c>
      <c r="AK166" s="5">
        <f>recovered!AK166-recovered!AJ166</f>
        <v>0</v>
      </c>
      <c r="AL166" s="5">
        <f>recovered!AL166-recovered!AK166</f>
        <v>0</v>
      </c>
      <c r="AM166" s="5">
        <f>recovered!AM166-recovered!AL166</f>
        <v>0</v>
      </c>
      <c r="AN166" s="5">
        <f>recovered!AN166-recovered!AM166</f>
        <v>0</v>
      </c>
      <c r="AO166" s="5">
        <f>recovered!AO166-recovered!AN166</f>
        <v>0</v>
      </c>
      <c r="AP166" s="5">
        <f>recovered!AP166-recovered!AO166</f>
        <v>0</v>
      </c>
      <c r="AQ166" s="5">
        <f>recovered!AQ166-recovered!AP166</f>
        <v>0</v>
      </c>
      <c r="AR166" s="5">
        <f>recovered!AR166-recovered!AQ166</f>
        <v>0</v>
      </c>
      <c r="AS166" s="5">
        <f>recovered!AS166-recovered!AR166</f>
        <v>0</v>
      </c>
      <c r="AT166" s="5">
        <f>recovered!AT166-recovered!AS166</f>
        <v>0</v>
      </c>
      <c r="AU166" s="5">
        <f>recovered!AU166-recovered!AT166</f>
        <v>0</v>
      </c>
      <c r="AV166" s="5">
        <f>recovered!AV166-recovered!AU166</f>
        <v>0</v>
      </c>
      <c r="AW166" s="5">
        <f>recovered!AW166-recovered!AV166</f>
        <v>0</v>
      </c>
      <c r="AX166" s="5">
        <f>recovered!AX166-recovered!AW166</f>
        <v>0</v>
      </c>
      <c r="AY166" s="5">
        <f>recovered!AY166-recovered!AX166</f>
        <v>0</v>
      </c>
      <c r="AZ166" s="5">
        <f>recovered!AZ166-recovered!AY166</f>
        <v>0</v>
      </c>
      <c r="BA166" s="5">
        <f>recovered!BA166-recovered!AZ166</f>
        <v>0</v>
      </c>
      <c r="BB166" s="5">
        <f>recovered!BB166-recovered!BA166</f>
        <v>0</v>
      </c>
      <c r="BC166" s="5">
        <f>recovered!BC166-recovered!BB166</f>
        <v>0</v>
      </c>
      <c r="BD166" s="5">
        <f>recovered!BD166-recovered!BC166</f>
        <v>0</v>
      </c>
      <c r="BE166" s="5">
        <f>recovered!BE166-recovered!BD166</f>
        <v>0</v>
      </c>
      <c r="BF166" s="5">
        <f>recovered!BF166-recovered!BE166</f>
        <v>0</v>
      </c>
      <c r="BG166" s="5">
        <f>recovered!BG166-recovered!BF166</f>
        <v>0</v>
      </c>
      <c r="BH166" s="5">
        <f>recovered!BH166-recovered!BG166</f>
        <v>0</v>
      </c>
      <c r="BI166" s="5">
        <f>recovered!BI166-recovered!BH166</f>
        <v>0</v>
      </c>
      <c r="BJ166" s="5">
        <f>recovered!BJ166-recovered!BI166</f>
        <v>0</v>
      </c>
      <c r="BK166" s="5">
        <f>recovered!BK166-recovered!BJ166</f>
        <v>0</v>
      </c>
      <c r="BL166" s="5">
        <f>recovered!BL166-recovered!BK166</f>
        <v>0</v>
      </c>
      <c r="BM166" s="5">
        <f>recovered!BM166-recovered!BL166</f>
        <v>0</v>
      </c>
      <c r="BN166" s="5">
        <f>recovered!BN166-recovered!BM166</f>
        <v>0</v>
      </c>
      <c r="BO166" s="5">
        <f>recovered!BO166-recovered!BN166</f>
        <v>0</v>
      </c>
      <c r="BP166" s="5">
        <f>recovered!BP166-recovered!BO166</f>
        <v>0</v>
      </c>
      <c r="BQ166" s="5">
        <f>recovered!BQ166-recovered!BP166</f>
        <v>2</v>
      </c>
      <c r="BR166" s="5">
        <f>recovered!BR166-recovered!BQ166</f>
        <v>0</v>
      </c>
      <c r="BS166" s="5">
        <f>recovered!BS166-recovered!BR166</f>
        <v>0</v>
      </c>
      <c r="BT166" s="5">
        <f>recovered!BT166-recovered!BS166</f>
        <v>0</v>
      </c>
      <c r="BU166" s="5">
        <f>recovered!BU166-recovered!BT166</f>
        <v>0</v>
      </c>
      <c r="BV166" s="5">
        <f>recovered!BV166-recovered!BU166</f>
        <v>0</v>
      </c>
      <c r="BW166" s="5">
        <f>recovered!BW166-recovered!BV166</f>
        <v>1</v>
      </c>
      <c r="BX166" s="5">
        <f>recovered!BX166-recovered!BW166</f>
        <v>0</v>
      </c>
      <c r="BY166" s="5">
        <f>recovered!BY166-recovered!BX166</f>
        <v>0</v>
      </c>
    </row>
    <row r="167">
      <c r="B167" s="1" t="str">
        <f>recovered!B167</f>
        <v>Netherlands</v>
      </c>
      <c r="C167" s="4">
        <f>recovered!C167</f>
        <v>18.0425</v>
      </c>
      <c r="D167" s="4">
        <f>recovered!D167</f>
        <v>-63.0548</v>
      </c>
      <c r="E167" s="5">
        <f>recovered!E167</f>
        <v>0</v>
      </c>
      <c r="F167" s="5">
        <f>recovered!F167-recovered!E167</f>
        <v>0</v>
      </c>
      <c r="G167" s="5">
        <f>recovered!G167-recovered!F167</f>
        <v>0</v>
      </c>
      <c r="H167" s="5">
        <f>recovered!H167-recovered!G167</f>
        <v>0</v>
      </c>
      <c r="I167" s="5">
        <f>recovered!I167-recovered!H167</f>
        <v>0</v>
      </c>
      <c r="J167" s="5">
        <f>recovered!J167-recovered!I167</f>
        <v>0</v>
      </c>
      <c r="K167" s="5">
        <f>recovered!K167-recovered!J167</f>
        <v>0</v>
      </c>
      <c r="L167" s="5">
        <f>recovered!L167-recovered!K167</f>
        <v>0</v>
      </c>
      <c r="M167" s="5">
        <f>recovered!M167-recovered!L167</f>
        <v>0</v>
      </c>
      <c r="N167" s="5">
        <f>recovered!N167-recovered!M167</f>
        <v>0</v>
      </c>
      <c r="O167" s="5">
        <f>recovered!O167-recovered!N167</f>
        <v>0</v>
      </c>
      <c r="P167" s="5">
        <f>recovered!P167-recovered!O167</f>
        <v>0</v>
      </c>
      <c r="Q167" s="5">
        <f>recovered!Q167-recovered!P167</f>
        <v>0</v>
      </c>
      <c r="R167" s="5">
        <f>recovered!R167-recovered!Q167</f>
        <v>0</v>
      </c>
      <c r="S167" s="5">
        <f>recovered!S167-recovered!R167</f>
        <v>0</v>
      </c>
      <c r="T167" s="5">
        <f>recovered!T167-recovered!S167</f>
        <v>0</v>
      </c>
      <c r="U167" s="5">
        <f>recovered!U167-recovered!T167</f>
        <v>0</v>
      </c>
      <c r="V167" s="5">
        <f>recovered!V167-recovered!U167</f>
        <v>0</v>
      </c>
      <c r="W167" s="5">
        <f>recovered!W167-recovered!V167</f>
        <v>0</v>
      </c>
      <c r="X167" s="5">
        <f>recovered!X167-recovered!W167</f>
        <v>0</v>
      </c>
      <c r="Y167" s="5">
        <f>recovered!Y167-recovered!X167</f>
        <v>0</v>
      </c>
      <c r="Z167" s="5">
        <f>recovered!Z167-recovered!Y167</f>
        <v>0</v>
      </c>
      <c r="AA167" s="5">
        <f>recovered!AA167-recovered!Z167</f>
        <v>0</v>
      </c>
      <c r="AB167" s="5">
        <f>recovered!AB167-recovered!AA167</f>
        <v>0</v>
      </c>
      <c r="AC167" s="5">
        <f>recovered!AC167-recovered!AB167</f>
        <v>0</v>
      </c>
      <c r="AD167" s="5">
        <f>recovered!AD167-recovered!AC167</f>
        <v>0</v>
      </c>
      <c r="AE167" s="5">
        <f>recovered!AE167-recovered!AD167</f>
        <v>0</v>
      </c>
      <c r="AF167" s="5">
        <f>recovered!AF167-recovered!AE167</f>
        <v>0</v>
      </c>
      <c r="AG167" s="5">
        <f>recovered!AG167-recovered!AF167</f>
        <v>0</v>
      </c>
      <c r="AH167" s="5">
        <f>recovered!AH167-recovered!AG167</f>
        <v>0</v>
      </c>
      <c r="AI167" s="5">
        <f>recovered!AI167-recovered!AH167</f>
        <v>0</v>
      </c>
      <c r="AJ167" s="5">
        <f>recovered!AJ167-recovered!AI167</f>
        <v>0</v>
      </c>
      <c r="AK167" s="5">
        <f>recovered!AK167-recovered!AJ167</f>
        <v>0</v>
      </c>
      <c r="AL167" s="5">
        <f>recovered!AL167-recovered!AK167</f>
        <v>0</v>
      </c>
      <c r="AM167" s="5">
        <f>recovered!AM167-recovered!AL167</f>
        <v>0</v>
      </c>
      <c r="AN167" s="5">
        <f>recovered!AN167-recovered!AM167</f>
        <v>0</v>
      </c>
      <c r="AO167" s="5">
        <f>recovered!AO167-recovered!AN167</f>
        <v>0</v>
      </c>
      <c r="AP167" s="5">
        <f>recovered!AP167-recovered!AO167</f>
        <v>0</v>
      </c>
      <c r="AQ167" s="5">
        <f>recovered!AQ167-recovered!AP167</f>
        <v>0</v>
      </c>
      <c r="AR167" s="5">
        <f>recovered!AR167-recovered!AQ167</f>
        <v>0</v>
      </c>
      <c r="AS167" s="5">
        <f>recovered!AS167-recovered!AR167</f>
        <v>0</v>
      </c>
      <c r="AT167" s="5">
        <f>recovered!AT167-recovered!AS167</f>
        <v>0</v>
      </c>
      <c r="AU167" s="5">
        <f>recovered!AU167-recovered!AT167</f>
        <v>0</v>
      </c>
      <c r="AV167" s="5">
        <f>recovered!AV167-recovered!AU167</f>
        <v>0</v>
      </c>
      <c r="AW167" s="5">
        <f>recovered!AW167-recovered!AV167</f>
        <v>0</v>
      </c>
      <c r="AX167" s="5">
        <f>recovered!AX167-recovered!AW167</f>
        <v>0</v>
      </c>
      <c r="AY167" s="5">
        <f>recovered!AY167-recovered!AX167</f>
        <v>0</v>
      </c>
      <c r="AZ167" s="5">
        <f>recovered!AZ167-recovered!AY167</f>
        <v>0</v>
      </c>
      <c r="BA167" s="5">
        <f>recovered!BA167-recovered!AZ167</f>
        <v>0</v>
      </c>
      <c r="BB167" s="5">
        <f>recovered!BB167-recovered!BA167</f>
        <v>0</v>
      </c>
      <c r="BC167" s="5">
        <f>recovered!BC167-recovered!BB167</f>
        <v>0</v>
      </c>
      <c r="BD167" s="5">
        <f>recovered!BD167-recovered!BC167</f>
        <v>0</v>
      </c>
      <c r="BE167" s="5">
        <f>recovered!BE167-recovered!BD167</f>
        <v>0</v>
      </c>
      <c r="BF167" s="5">
        <f>recovered!BF167-recovered!BE167</f>
        <v>0</v>
      </c>
      <c r="BG167" s="5">
        <f>recovered!BG167-recovered!BF167</f>
        <v>0</v>
      </c>
      <c r="BH167" s="5">
        <f>recovered!BH167-recovered!BG167</f>
        <v>0</v>
      </c>
      <c r="BI167" s="5">
        <f>recovered!BI167-recovered!BH167</f>
        <v>0</v>
      </c>
      <c r="BJ167" s="5">
        <f>recovered!BJ167-recovered!BI167</f>
        <v>0</v>
      </c>
      <c r="BK167" s="5">
        <f>recovered!BK167-recovered!BJ167</f>
        <v>0</v>
      </c>
      <c r="BL167" s="5">
        <f>recovered!BL167-recovered!BK167</f>
        <v>0</v>
      </c>
      <c r="BM167" s="5">
        <f>recovered!BM167-recovered!BL167</f>
        <v>0</v>
      </c>
      <c r="BN167" s="5">
        <f>recovered!BN167-recovered!BM167</f>
        <v>0</v>
      </c>
      <c r="BO167" s="5">
        <f>recovered!BO167-recovered!BN167</f>
        <v>0</v>
      </c>
      <c r="BP167" s="5">
        <f>recovered!BP167-recovered!BO167</f>
        <v>0</v>
      </c>
      <c r="BQ167" s="5">
        <f>recovered!BQ167-recovered!BP167</f>
        <v>0</v>
      </c>
      <c r="BR167" s="5">
        <f>recovered!BR167-recovered!BQ167</f>
        <v>0</v>
      </c>
      <c r="BS167" s="5">
        <f>recovered!BS167-recovered!BR167</f>
        <v>0</v>
      </c>
      <c r="BT167" s="5">
        <f>recovered!BT167-recovered!BS167</f>
        <v>0</v>
      </c>
      <c r="BU167" s="5">
        <f>recovered!BU167-recovered!BT167</f>
        <v>0</v>
      </c>
      <c r="BV167" s="5">
        <f>recovered!BV167-recovered!BU167</f>
        <v>0</v>
      </c>
      <c r="BW167" s="5">
        <f>recovered!BW167-recovered!BV167</f>
        <v>6</v>
      </c>
      <c r="BX167" s="5">
        <f>recovered!BX167-recovered!BW167</f>
        <v>0</v>
      </c>
      <c r="BY167" s="5">
        <f>recovered!BY167-recovered!BX167</f>
        <v>0</v>
      </c>
    </row>
    <row r="168">
      <c r="B168" s="1" t="str">
        <f>recovered!B168</f>
        <v>Netherlands</v>
      </c>
      <c r="C168" s="4">
        <f>recovered!C168</f>
        <v>52.1326</v>
      </c>
      <c r="D168" s="4">
        <f>recovered!D168</f>
        <v>5.2913</v>
      </c>
      <c r="E168" s="5">
        <f>recovered!E168</f>
        <v>0</v>
      </c>
      <c r="F168" s="5">
        <f>recovered!F168-recovered!E168</f>
        <v>0</v>
      </c>
      <c r="G168" s="5">
        <f>recovered!G168-recovered!F168</f>
        <v>0</v>
      </c>
      <c r="H168" s="5">
        <f>recovered!H168-recovered!G168</f>
        <v>0</v>
      </c>
      <c r="I168" s="5">
        <f>recovered!I168-recovered!H168</f>
        <v>0</v>
      </c>
      <c r="J168" s="5">
        <f>recovered!J168-recovered!I168</f>
        <v>0</v>
      </c>
      <c r="K168" s="5">
        <f>recovered!K168-recovered!J168</f>
        <v>0</v>
      </c>
      <c r="L168" s="5">
        <f>recovered!L168-recovered!K168</f>
        <v>0</v>
      </c>
      <c r="M168" s="5">
        <f>recovered!M168-recovered!L168</f>
        <v>0</v>
      </c>
      <c r="N168" s="5">
        <f>recovered!N168-recovered!M168</f>
        <v>0</v>
      </c>
      <c r="O168" s="5">
        <f>recovered!O168-recovered!N168</f>
        <v>0</v>
      </c>
      <c r="P168" s="5">
        <f>recovered!P168-recovered!O168</f>
        <v>0</v>
      </c>
      <c r="Q168" s="5">
        <f>recovered!Q168-recovered!P168</f>
        <v>0</v>
      </c>
      <c r="R168" s="5">
        <f>recovered!R168-recovered!Q168</f>
        <v>0</v>
      </c>
      <c r="S168" s="5">
        <f>recovered!S168-recovered!R168</f>
        <v>0</v>
      </c>
      <c r="T168" s="5">
        <f>recovered!T168-recovered!S168</f>
        <v>0</v>
      </c>
      <c r="U168" s="5">
        <f>recovered!U168-recovered!T168</f>
        <v>0</v>
      </c>
      <c r="V168" s="5">
        <f>recovered!V168-recovered!U168</f>
        <v>0</v>
      </c>
      <c r="W168" s="5">
        <f>recovered!W168-recovered!V168</f>
        <v>0</v>
      </c>
      <c r="X168" s="5">
        <f>recovered!X168-recovered!W168</f>
        <v>0</v>
      </c>
      <c r="Y168" s="5">
        <f>recovered!Y168-recovered!X168</f>
        <v>0</v>
      </c>
      <c r="Z168" s="5">
        <f>recovered!Z168-recovered!Y168</f>
        <v>0</v>
      </c>
      <c r="AA168" s="5">
        <f>recovered!AA168-recovered!Z168</f>
        <v>0</v>
      </c>
      <c r="AB168" s="5">
        <f>recovered!AB168-recovered!AA168</f>
        <v>0</v>
      </c>
      <c r="AC168" s="5">
        <f>recovered!AC168-recovered!AB168</f>
        <v>0</v>
      </c>
      <c r="AD168" s="5">
        <f>recovered!AD168-recovered!AC168</f>
        <v>0</v>
      </c>
      <c r="AE168" s="5">
        <f>recovered!AE168-recovered!AD168</f>
        <v>0</v>
      </c>
      <c r="AF168" s="5">
        <f>recovered!AF168-recovered!AE168</f>
        <v>0</v>
      </c>
      <c r="AG168" s="5">
        <f>recovered!AG168-recovered!AF168</f>
        <v>0</v>
      </c>
      <c r="AH168" s="5">
        <f>recovered!AH168-recovered!AG168</f>
        <v>0</v>
      </c>
      <c r="AI168" s="5">
        <f>recovered!AI168-recovered!AH168</f>
        <v>0</v>
      </c>
      <c r="AJ168" s="5">
        <f>recovered!AJ168-recovered!AI168</f>
        <v>0</v>
      </c>
      <c r="AK168" s="5">
        <f>recovered!AK168-recovered!AJ168</f>
        <v>0</v>
      </c>
      <c r="AL168" s="5">
        <f>recovered!AL168-recovered!AK168</f>
        <v>0</v>
      </c>
      <c r="AM168" s="5">
        <f>recovered!AM168-recovered!AL168</f>
        <v>0</v>
      </c>
      <c r="AN168" s="5">
        <f>recovered!AN168-recovered!AM168</f>
        <v>0</v>
      </c>
      <c r="AO168" s="5">
        <f>recovered!AO168-recovered!AN168</f>
        <v>0</v>
      </c>
      <c r="AP168" s="5">
        <f>recovered!AP168-recovered!AO168</f>
        <v>0</v>
      </c>
      <c r="AQ168" s="5">
        <f>recovered!AQ168-recovered!AP168</f>
        <v>0</v>
      </c>
      <c r="AR168" s="5">
        <f>recovered!AR168-recovered!AQ168</f>
        <v>0</v>
      </c>
      <c r="AS168" s="5">
        <f>recovered!AS168-recovered!AR168</f>
        <v>0</v>
      </c>
      <c r="AT168" s="5">
        <f>recovered!AT168-recovered!AS168</f>
        <v>0</v>
      </c>
      <c r="AU168" s="5">
        <f>recovered!AU168-recovered!AT168</f>
        <v>0</v>
      </c>
      <c r="AV168" s="5">
        <f>recovered!AV168-recovered!AU168</f>
        <v>0</v>
      </c>
      <c r="AW168" s="5">
        <f>recovered!AW168-recovered!AV168</f>
        <v>0</v>
      </c>
      <c r="AX168" s="5">
        <f>recovered!AX168-recovered!AW168</f>
        <v>0</v>
      </c>
      <c r="AY168" s="5">
        <f>recovered!AY168-recovered!AX168</f>
        <v>0</v>
      </c>
      <c r="AZ168" s="5">
        <f>recovered!AZ168-recovered!AY168</f>
        <v>0</v>
      </c>
      <c r="BA168" s="5">
        <f>recovered!BA168-recovered!AZ168</f>
        <v>0</v>
      </c>
      <c r="BB168" s="5">
        <f>recovered!BB168-recovered!BA168</f>
        <v>0</v>
      </c>
      <c r="BC168" s="5">
        <f>recovered!BC168-recovered!BB168</f>
        <v>0</v>
      </c>
      <c r="BD168" s="5">
        <f>recovered!BD168-recovered!BC168</f>
        <v>0</v>
      </c>
      <c r="BE168" s="5">
        <f>recovered!BE168-recovered!BD168</f>
        <v>2</v>
      </c>
      <c r="BF168" s="5">
        <f>recovered!BF168-recovered!BE168</f>
        <v>0</v>
      </c>
      <c r="BG168" s="5">
        <f>recovered!BG168-recovered!BF168</f>
        <v>0</v>
      </c>
      <c r="BH168" s="5">
        <f>recovered!BH168-recovered!BG168</f>
        <v>0</v>
      </c>
      <c r="BI168" s="5">
        <f>recovered!BI168-recovered!BH168</f>
        <v>0</v>
      </c>
      <c r="BJ168" s="5">
        <f>recovered!BJ168-recovered!BI168</f>
        <v>0</v>
      </c>
      <c r="BK168" s="5">
        <f>recovered!BK168-recovered!BJ168</f>
        <v>0</v>
      </c>
      <c r="BL168" s="5">
        <f>recovered!BL168-recovered!BK168</f>
        <v>0</v>
      </c>
      <c r="BM168" s="5">
        <f>recovered!BM168-recovered!BL168</f>
        <v>0</v>
      </c>
      <c r="BN168" s="5">
        <f>recovered!BN168-recovered!BM168</f>
        <v>0</v>
      </c>
      <c r="BO168" s="5">
        <f>recovered!BO168-recovered!BN168</f>
        <v>0</v>
      </c>
      <c r="BP168" s="5">
        <f>recovered!BP168-recovered!BO168</f>
        <v>1</v>
      </c>
      <c r="BQ168" s="5">
        <f>recovered!BQ168-recovered!BP168</f>
        <v>0</v>
      </c>
      <c r="BR168" s="5">
        <f>recovered!BR168-recovered!BQ168</f>
        <v>0</v>
      </c>
      <c r="BS168" s="5">
        <f>recovered!BS168-recovered!BR168</f>
        <v>0</v>
      </c>
      <c r="BT168" s="5">
        <f>recovered!BT168-recovered!BS168</f>
        <v>247</v>
      </c>
      <c r="BU168" s="5">
        <f>recovered!BU168-recovered!BT168</f>
        <v>0</v>
      </c>
      <c r="BV168" s="5">
        <f>recovered!BV168-recovered!BU168</f>
        <v>0</v>
      </c>
      <c r="BW168" s="5">
        <f>recovered!BW168-recovered!BV168</f>
        <v>0</v>
      </c>
      <c r="BX168" s="5">
        <f>recovered!BX168-recovered!BW168</f>
        <v>0</v>
      </c>
      <c r="BY168" s="5">
        <f>recovered!BY168-recovered!BX168</f>
        <v>0</v>
      </c>
    </row>
    <row r="169">
      <c r="B169" s="1" t="str">
        <f>recovered!B169</f>
        <v>New Zealand</v>
      </c>
      <c r="C169" s="4">
        <f>recovered!C169</f>
        <v>-40.9006</v>
      </c>
      <c r="D169" s="4">
        <f>recovered!D169</f>
        <v>174.886</v>
      </c>
      <c r="E169" s="5">
        <f>recovered!E169</f>
        <v>0</v>
      </c>
      <c r="F169" s="5">
        <f>recovered!F169-recovered!E169</f>
        <v>0</v>
      </c>
      <c r="G169" s="5">
        <f>recovered!G169-recovered!F169</f>
        <v>0</v>
      </c>
      <c r="H169" s="5">
        <f>recovered!H169-recovered!G169</f>
        <v>0</v>
      </c>
      <c r="I169" s="5">
        <f>recovered!I169-recovered!H169</f>
        <v>0</v>
      </c>
      <c r="J169" s="5">
        <f>recovered!J169-recovered!I169</f>
        <v>0</v>
      </c>
      <c r="K169" s="5">
        <f>recovered!K169-recovered!J169</f>
        <v>0</v>
      </c>
      <c r="L169" s="5">
        <f>recovered!L169-recovered!K169</f>
        <v>0</v>
      </c>
      <c r="M169" s="5">
        <f>recovered!M169-recovered!L169</f>
        <v>0</v>
      </c>
      <c r="N169" s="5">
        <f>recovered!N169-recovered!M169</f>
        <v>0</v>
      </c>
      <c r="O169" s="5">
        <f>recovered!O169-recovered!N169</f>
        <v>0</v>
      </c>
      <c r="P169" s="5">
        <f>recovered!P169-recovered!O169</f>
        <v>0</v>
      </c>
      <c r="Q169" s="5">
        <f>recovered!Q169-recovered!P169</f>
        <v>0</v>
      </c>
      <c r="R169" s="5">
        <f>recovered!R169-recovered!Q169</f>
        <v>0</v>
      </c>
      <c r="S169" s="5">
        <f>recovered!S169-recovered!R169</f>
        <v>0</v>
      </c>
      <c r="T169" s="5">
        <f>recovered!T169-recovered!S169</f>
        <v>0</v>
      </c>
      <c r="U169" s="5">
        <f>recovered!U169-recovered!T169</f>
        <v>0</v>
      </c>
      <c r="V169" s="5">
        <f>recovered!V169-recovered!U169</f>
        <v>0</v>
      </c>
      <c r="W169" s="5">
        <f>recovered!W169-recovered!V169</f>
        <v>0</v>
      </c>
      <c r="X169" s="5">
        <f>recovered!X169-recovered!W169</f>
        <v>0</v>
      </c>
      <c r="Y169" s="5">
        <f>recovered!Y169-recovered!X169</f>
        <v>0</v>
      </c>
      <c r="Z169" s="5">
        <f>recovered!Z169-recovered!Y169</f>
        <v>0</v>
      </c>
      <c r="AA169" s="5">
        <f>recovered!AA169-recovered!Z169</f>
        <v>0</v>
      </c>
      <c r="AB169" s="5">
        <f>recovered!AB169-recovered!AA169</f>
        <v>0</v>
      </c>
      <c r="AC169" s="5">
        <f>recovered!AC169-recovered!AB169</f>
        <v>0</v>
      </c>
      <c r="AD169" s="5">
        <f>recovered!AD169-recovered!AC169</f>
        <v>0</v>
      </c>
      <c r="AE169" s="5">
        <f>recovered!AE169-recovered!AD169</f>
        <v>0</v>
      </c>
      <c r="AF169" s="5">
        <f>recovered!AF169-recovered!AE169</f>
        <v>0</v>
      </c>
      <c r="AG169" s="5">
        <f>recovered!AG169-recovered!AF169</f>
        <v>0</v>
      </c>
      <c r="AH169" s="5">
        <f>recovered!AH169-recovered!AG169</f>
        <v>0</v>
      </c>
      <c r="AI169" s="5">
        <f>recovered!AI169-recovered!AH169</f>
        <v>0</v>
      </c>
      <c r="AJ169" s="5">
        <f>recovered!AJ169-recovered!AI169</f>
        <v>0</v>
      </c>
      <c r="AK169" s="5">
        <f>recovered!AK169-recovered!AJ169</f>
        <v>0</v>
      </c>
      <c r="AL169" s="5">
        <f>recovered!AL169-recovered!AK169</f>
        <v>0</v>
      </c>
      <c r="AM169" s="5">
        <f>recovered!AM169-recovered!AL169</f>
        <v>0</v>
      </c>
      <c r="AN169" s="5">
        <f>recovered!AN169-recovered!AM169</f>
        <v>0</v>
      </c>
      <c r="AO169" s="5">
        <f>recovered!AO169-recovered!AN169</f>
        <v>0</v>
      </c>
      <c r="AP169" s="5">
        <f>recovered!AP169-recovered!AO169</f>
        <v>0</v>
      </c>
      <c r="AQ169" s="5">
        <f>recovered!AQ169-recovered!AP169</f>
        <v>0</v>
      </c>
      <c r="AR169" s="5">
        <f>recovered!AR169-recovered!AQ169</f>
        <v>0</v>
      </c>
      <c r="AS169" s="5">
        <f>recovered!AS169-recovered!AR169</f>
        <v>0</v>
      </c>
      <c r="AT169" s="5">
        <f>recovered!AT169-recovered!AS169</f>
        <v>0</v>
      </c>
      <c r="AU169" s="5">
        <f>recovered!AU169-recovered!AT169</f>
        <v>0</v>
      </c>
      <c r="AV169" s="5">
        <f>recovered!AV169-recovered!AU169</f>
        <v>0</v>
      </c>
      <c r="AW169" s="5">
        <f>recovered!AW169-recovered!AV169</f>
        <v>0</v>
      </c>
      <c r="AX169" s="5">
        <f>recovered!AX169-recovered!AW169</f>
        <v>0</v>
      </c>
      <c r="AY169" s="5">
        <f>recovered!AY169-recovered!AX169</f>
        <v>0</v>
      </c>
      <c r="AZ169" s="5">
        <f>recovered!AZ169-recovered!AY169</f>
        <v>0</v>
      </c>
      <c r="BA169" s="5">
        <f>recovered!BA169-recovered!AZ169</f>
        <v>0</v>
      </c>
      <c r="BB169" s="5">
        <f>recovered!BB169-recovered!BA169</f>
        <v>0</v>
      </c>
      <c r="BC169" s="5">
        <f>recovered!BC169-recovered!BB169</f>
        <v>0</v>
      </c>
      <c r="BD169" s="5">
        <f>recovered!BD169-recovered!BC169</f>
        <v>0</v>
      </c>
      <c r="BE169" s="5">
        <f>recovered!BE169-recovered!BD169</f>
        <v>0</v>
      </c>
      <c r="BF169" s="5">
        <f>recovered!BF169-recovered!BE169</f>
        <v>0</v>
      </c>
      <c r="BG169" s="5">
        <f>recovered!BG169-recovered!BF169</f>
        <v>0</v>
      </c>
      <c r="BH169" s="5">
        <f>recovered!BH169-recovered!BG169</f>
        <v>0</v>
      </c>
      <c r="BI169" s="5">
        <f>recovered!BI169-recovered!BH169</f>
        <v>0</v>
      </c>
      <c r="BJ169" s="5">
        <f>recovered!BJ169-recovered!BI169</f>
        <v>0</v>
      </c>
      <c r="BK169" s="5">
        <f>recovered!BK169-recovered!BJ169</f>
        <v>0</v>
      </c>
      <c r="BL169" s="5">
        <f>recovered!BL169-recovered!BK169</f>
        <v>0</v>
      </c>
      <c r="BM169" s="5">
        <f>recovered!BM169-recovered!BL169</f>
        <v>0</v>
      </c>
      <c r="BN169" s="5">
        <f>recovered!BN169-recovered!BM169</f>
        <v>0</v>
      </c>
      <c r="BO169" s="5">
        <f>recovered!BO169-recovered!BN169</f>
        <v>12</v>
      </c>
      <c r="BP169" s="5">
        <f>recovered!BP169-recovered!BO169</f>
        <v>10</v>
      </c>
      <c r="BQ169" s="5">
        <f>recovered!BQ169-recovered!BP169</f>
        <v>5</v>
      </c>
      <c r="BR169" s="5">
        <f>recovered!BR169-recovered!BQ169</f>
        <v>10</v>
      </c>
      <c r="BS169" s="5">
        <f>recovered!BS169-recovered!BR169</f>
        <v>13</v>
      </c>
      <c r="BT169" s="5">
        <f>recovered!BT169-recovered!BS169</f>
        <v>6</v>
      </c>
      <c r="BU169" s="5">
        <f>recovered!BU169-recovered!BT169</f>
        <v>7</v>
      </c>
      <c r="BV169" s="5">
        <f>recovered!BV169-recovered!BU169</f>
        <v>11</v>
      </c>
      <c r="BW169" s="5">
        <f>recovered!BW169-recovered!BV169</f>
        <v>9</v>
      </c>
      <c r="BX169" s="5">
        <f>recovered!BX169-recovered!BW169</f>
        <v>9</v>
      </c>
      <c r="BY169" s="5">
        <f>recovered!BY169-recovered!BX169</f>
        <v>11</v>
      </c>
    </row>
    <row r="170">
      <c r="B170" s="1" t="str">
        <f>recovered!B170</f>
        <v>Nicaragua</v>
      </c>
      <c r="C170" s="4">
        <f>recovered!C170</f>
        <v>12.8654</v>
      </c>
      <c r="D170" s="4">
        <f>recovered!D170</f>
        <v>-85.2072</v>
      </c>
      <c r="E170" s="5">
        <f>recovered!E170</f>
        <v>0</v>
      </c>
      <c r="F170" s="5">
        <f>recovered!F170-recovered!E170</f>
        <v>0</v>
      </c>
      <c r="G170" s="5">
        <f>recovered!G170-recovered!F170</f>
        <v>0</v>
      </c>
      <c r="H170" s="5">
        <f>recovered!H170-recovered!G170</f>
        <v>0</v>
      </c>
      <c r="I170" s="5">
        <f>recovered!I170-recovered!H170</f>
        <v>0</v>
      </c>
      <c r="J170" s="5">
        <f>recovered!J170-recovered!I170</f>
        <v>0</v>
      </c>
      <c r="K170" s="5">
        <f>recovered!K170-recovered!J170</f>
        <v>0</v>
      </c>
      <c r="L170" s="5">
        <f>recovered!L170-recovered!K170</f>
        <v>0</v>
      </c>
      <c r="M170" s="5">
        <f>recovered!M170-recovered!L170</f>
        <v>0</v>
      </c>
      <c r="N170" s="5">
        <f>recovered!N170-recovered!M170</f>
        <v>0</v>
      </c>
      <c r="O170" s="5">
        <f>recovered!O170-recovered!N170</f>
        <v>0</v>
      </c>
      <c r="P170" s="5">
        <f>recovered!P170-recovered!O170</f>
        <v>0</v>
      </c>
      <c r="Q170" s="5">
        <f>recovered!Q170-recovered!P170</f>
        <v>0</v>
      </c>
      <c r="R170" s="5">
        <f>recovered!R170-recovered!Q170</f>
        <v>0</v>
      </c>
      <c r="S170" s="5">
        <f>recovered!S170-recovered!R170</f>
        <v>0</v>
      </c>
      <c r="T170" s="5">
        <f>recovered!T170-recovered!S170</f>
        <v>0</v>
      </c>
      <c r="U170" s="5">
        <f>recovered!U170-recovered!T170</f>
        <v>0</v>
      </c>
      <c r="V170" s="5">
        <f>recovered!V170-recovered!U170</f>
        <v>0</v>
      </c>
      <c r="W170" s="5">
        <f>recovered!W170-recovered!V170</f>
        <v>0</v>
      </c>
      <c r="X170" s="5">
        <f>recovered!X170-recovered!W170</f>
        <v>0</v>
      </c>
      <c r="Y170" s="5">
        <f>recovered!Y170-recovered!X170</f>
        <v>0</v>
      </c>
      <c r="Z170" s="5">
        <f>recovered!Z170-recovered!Y170</f>
        <v>0</v>
      </c>
      <c r="AA170" s="5">
        <f>recovered!AA170-recovered!Z170</f>
        <v>0</v>
      </c>
      <c r="AB170" s="5">
        <f>recovered!AB170-recovered!AA170</f>
        <v>0</v>
      </c>
      <c r="AC170" s="5">
        <f>recovered!AC170-recovered!AB170</f>
        <v>0</v>
      </c>
      <c r="AD170" s="5">
        <f>recovered!AD170-recovered!AC170</f>
        <v>0</v>
      </c>
      <c r="AE170" s="5">
        <f>recovered!AE170-recovered!AD170</f>
        <v>0</v>
      </c>
      <c r="AF170" s="5">
        <f>recovered!AF170-recovered!AE170</f>
        <v>0</v>
      </c>
      <c r="AG170" s="5">
        <f>recovered!AG170-recovered!AF170</f>
        <v>0</v>
      </c>
      <c r="AH170" s="5">
        <f>recovered!AH170-recovered!AG170</f>
        <v>0</v>
      </c>
      <c r="AI170" s="5">
        <f>recovered!AI170-recovered!AH170</f>
        <v>0</v>
      </c>
      <c r="AJ170" s="5">
        <f>recovered!AJ170-recovered!AI170</f>
        <v>0</v>
      </c>
      <c r="AK170" s="5">
        <f>recovered!AK170-recovered!AJ170</f>
        <v>0</v>
      </c>
      <c r="AL170" s="5">
        <f>recovered!AL170-recovered!AK170</f>
        <v>0</v>
      </c>
      <c r="AM170" s="5">
        <f>recovered!AM170-recovered!AL170</f>
        <v>0</v>
      </c>
      <c r="AN170" s="5">
        <f>recovered!AN170-recovered!AM170</f>
        <v>0</v>
      </c>
      <c r="AO170" s="5">
        <f>recovered!AO170-recovered!AN170</f>
        <v>0</v>
      </c>
      <c r="AP170" s="5">
        <f>recovered!AP170-recovered!AO170</f>
        <v>0</v>
      </c>
      <c r="AQ170" s="5">
        <f>recovered!AQ170-recovered!AP170</f>
        <v>0</v>
      </c>
      <c r="AR170" s="5">
        <f>recovered!AR170-recovered!AQ170</f>
        <v>0</v>
      </c>
      <c r="AS170" s="5">
        <f>recovered!AS170-recovered!AR170</f>
        <v>0</v>
      </c>
      <c r="AT170" s="5">
        <f>recovered!AT170-recovered!AS170</f>
        <v>0</v>
      </c>
      <c r="AU170" s="5">
        <f>recovered!AU170-recovered!AT170</f>
        <v>0</v>
      </c>
      <c r="AV170" s="5">
        <f>recovered!AV170-recovered!AU170</f>
        <v>0</v>
      </c>
      <c r="AW170" s="5">
        <f>recovered!AW170-recovered!AV170</f>
        <v>0</v>
      </c>
      <c r="AX170" s="5">
        <f>recovered!AX170-recovered!AW170</f>
        <v>0</v>
      </c>
      <c r="AY170" s="5">
        <f>recovered!AY170-recovered!AX170</f>
        <v>0</v>
      </c>
      <c r="AZ170" s="5">
        <f>recovered!AZ170-recovered!AY170</f>
        <v>0</v>
      </c>
      <c r="BA170" s="5">
        <f>recovered!BA170-recovered!AZ170</f>
        <v>0</v>
      </c>
      <c r="BB170" s="5">
        <f>recovered!BB170-recovered!BA170</f>
        <v>0</v>
      </c>
      <c r="BC170" s="5">
        <f>recovered!BC170-recovered!BB170</f>
        <v>0</v>
      </c>
      <c r="BD170" s="5">
        <f>recovered!BD170-recovered!BC170</f>
        <v>0</v>
      </c>
      <c r="BE170" s="5">
        <f>recovered!BE170-recovered!BD170</f>
        <v>0</v>
      </c>
      <c r="BF170" s="5">
        <f>recovered!BF170-recovered!BE170</f>
        <v>0</v>
      </c>
      <c r="BG170" s="5">
        <f>recovered!BG170-recovered!BF170</f>
        <v>0</v>
      </c>
      <c r="BH170" s="5">
        <f>recovered!BH170-recovered!BG170</f>
        <v>0</v>
      </c>
      <c r="BI170" s="5">
        <f>recovered!BI170-recovered!BH170</f>
        <v>0</v>
      </c>
      <c r="BJ170" s="5">
        <f>recovered!BJ170-recovered!BI170</f>
        <v>0</v>
      </c>
      <c r="BK170" s="5">
        <f>recovered!BK170-recovered!BJ170</f>
        <v>0</v>
      </c>
      <c r="BL170" s="5">
        <f>recovered!BL170-recovered!BK170</f>
        <v>0</v>
      </c>
      <c r="BM170" s="5">
        <f>recovered!BM170-recovered!BL170</f>
        <v>0</v>
      </c>
      <c r="BN170" s="5">
        <f>recovered!BN170-recovered!BM170</f>
        <v>0</v>
      </c>
      <c r="BO170" s="5">
        <f>recovered!BO170-recovered!BN170</f>
        <v>0</v>
      </c>
      <c r="BP170" s="5">
        <f>recovered!BP170-recovered!BO170</f>
        <v>0</v>
      </c>
      <c r="BQ170" s="5">
        <f>recovered!BQ170-recovered!BP170</f>
        <v>0</v>
      </c>
      <c r="BR170" s="5">
        <f>recovered!BR170-recovered!BQ170</f>
        <v>0</v>
      </c>
      <c r="BS170" s="5">
        <f>recovered!BS170-recovered!BR170</f>
        <v>0</v>
      </c>
      <c r="BT170" s="5">
        <f>recovered!BT170-recovered!BS170</f>
        <v>0</v>
      </c>
      <c r="BU170" s="5">
        <f>recovered!BU170-recovered!BT170</f>
        <v>0</v>
      </c>
      <c r="BV170" s="5">
        <f>recovered!BV170-recovered!BU170</f>
        <v>0</v>
      </c>
      <c r="BW170" s="5">
        <f>recovered!BW170-recovered!BV170</f>
        <v>0</v>
      </c>
      <c r="BX170" s="5">
        <f>recovered!BX170-recovered!BW170</f>
        <v>0</v>
      </c>
      <c r="BY170" s="5">
        <f>recovered!BY170-recovered!BX170</f>
        <v>0</v>
      </c>
    </row>
    <row r="171">
      <c r="B171" s="1" t="str">
        <f>recovered!B171</f>
        <v>Niger</v>
      </c>
      <c r="C171" s="4">
        <f>recovered!C171</f>
        <v>17.6078</v>
      </c>
      <c r="D171" s="4">
        <f>recovered!D171</f>
        <v>8.0817</v>
      </c>
      <c r="E171" s="5">
        <f>recovered!E171</f>
        <v>0</v>
      </c>
      <c r="F171" s="5">
        <f>recovered!F171-recovered!E171</f>
        <v>0</v>
      </c>
      <c r="G171" s="5">
        <f>recovered!G171-recovered!F171</f>
        <v>0</v>
      </c>
      <c r="H171" s="5">
        <f>recovered!H171-recovered!G171</f>
        <v>0</v>
      </c>
      <c r="I171" s="5">
        <f>recovered!I171-recovered!H171</f>
        <v>0</v>
      </c>
      <c r="J171" s="5">
        <f>recovered!J171-recovered!I171</f>
        <v>0</v>
      </c>
      <c r="K171" s="5">
        <f>recovered!K171-recovered!J171</f>
        <v>0</v>
      </c>
      <c r="L171" s="5">
        <f>recovered!L171-recovered!K171</f>
        <v>0</v>
      </c>
      <c r="M171" s="5">
        <f>recovered!M171-recovered!L171</f>
        <v>0</v>
      </c>
      <c r="N171" s="5">
        <f>recovered!N171-recovered!M171</f>
        <v>0</v>
      </c>
      <c r="O171" s="5">
        <f>recovered!O171-recovered!N171</f>
        <v>0</v>
      </c>
      <c r="P171" s="5">
        <f>recovered!P171-recovered!O171</f>
        <v>0</v>
      </c>
      <c r="Q171" s="5">
        <f>recovered!Q171-recovered!P171</f>
        <v>0</v>
      </c>
      <c r="R171" s="5">
        <f>recovered!R171-recovered!Q171</f>
        <v>0</v>
      </c>
      <c r="S171" s="5">
        <f>recovered!S171-recovered!R171</f>
        <v>0</v>
      </c>
      <c r="T171" s="5">
        <f>recovered!T171-recovered!S171</f>
        <v>0</v>
      </c>
      <c r="U171" s="5">
        <f>recovered!U171-recovered!T171</f>
        <v>0</v>
      </c>
      <c r="V171" s="5">
        <f>recovered!V171-recovered!U171</f>
        <v>0</v>
      </c>
      <c r="W171" s="5">
        <f>recovered!W171-recovered!V171</f>
        <v>0</v>
      </c>
      <c r="X171" s="5">
        <f>recovered!X171-recovered!W171</f>
        <v>0</v>
      </c>
      <c r="Y171" s="5">
        <f>recovered!Y171-recovered!X171</f>
        <v>0</v>
      </c>
      <c r="Z171" s="5">
        <f>recovered!Z171-recovered!Y171</f>
        <v>0</v>
      </c>
      <c r="AA171" s="5">
        <f>recovered!AA171-recovered!Z171</f>
        <v>0</v>
      </c>
      <c r="AB171" s="5">
        <f>recovered!AB171-recovered!AA171</f>
        <v>0</v>
      </c>
      <c r="AC171" s="5">
        <f>recovered!AC171-recovered!AB171</f>
        <v>0</v>
      </c>
      <c r="AD171" s="5">
        <f>recovered!AD171-recovered!AC171</f>
        <v>0</v>
      </c>
      <c r="AE171" s="5">
        <f>recovered!AE171-recovered!AD171</f>
        <v>0</v>
      </c>
      <c r="AF171" s="5">
        <f>recovered!AF171-recovered!AE171</f>
        <v>0</v>
      </c>
      <c r="AG171" s="5">
        <f>recovered!AG171-recovered!AF171</f>
        <v>0</v>
      </c>
      <c r="AH171" s="5">
        <f>recovered!AH171-recovered!AG171</f>
        <v>0</v>
      </c>
      <c r="AI171" s="5">
        <f>recovered!AI171-recovered!AH171</f>
        <v>0</v>
      </c>
      <c r="AJ171" s="5">
        <f>recovered!AJ171-recovered!AI171</f>
        <v>0</v>
      </c>
      <c r="AK171" s="5">
        <f>recovered!AK171-recovered!AJ171</f>
        <v>0</v>
      </c>
      <c r="AL171" s="5">
        <f>recovered!AL171-recovered!AK171</f>
        <v>0</v>
      </c>
      <c r="AM171" s="5">
        <f>recovered!AM171-recovered!AL171</f>
        <v>0</v>
      </c>
      <c r="AN171" s="5">
        <f>recovered!AN171-recovered!AM171</f>
        <v>0</v>
      </c>
      <c r="AO171" s="5">
        <f>recovered!AO171-recovered!AN171</f>
        <v>0</v>
      </c>
      <c r="AP171" s="5">
        <f>recovered!AP171-recovered!AO171</f>
        <v>0</v>
      </c>
      <c r="AQ171" s="5">
        <f>recovered!AQ171-recovered!AP171</f>
        <v>0</v>
      </c>
      <c r="AR171" s="5">
        <f>recovered!AR171-recovered!AQ171</f>
        <v>0</v>
      </c>
      <c r="AS171" s="5">
        <f>recovered!AS171-recovered!AR171</f>
        <v>0</v>
      </c>
      <c r="AT171" s="5">
        <f>recovered!AT171-recovered!AS171</f>
        <v>0</v>
      </c>
      <c r="AU171" s="5">
        <f>recovered!AU171-recovered!AT171</f>
        <v>0</v>
      </c>
      <c r="AV171" s="5">
        <f>recovered!AV171-recovered!AU171</f>
        <v>0</v>
      </c>
      <c r="AW171" s="5">
        <f>recovered!AW171-recovered!AV171</f>
        <v>0</v>
      </c>
      <c r="AX171" s="5">
        <f>recovered!AX171-recovered!AW171</f>
        <v>0</v>
      </c>
      <c r="AY171" s="5">
        <f>recovered!AY171-recovered!AX171</f>
        <v>0</v>
      </c>
      <c r="AZ171" s="5">
        <f>recovered!AZ171-recovered!AY171</f>
        <v>0</v>
      </c>
      <c r="BA171" s="5">
        <f>recovered!BA171-recovered!AZ171</f>
        <v>0</v>
      </c>
      <c r="BB171" s="5">
        <f>recovered!BB171-recovered!BA171</f>
        <v>0</v>
      </c>
      <c r="BC171" s="5">
        <f>recovered!BC171-recovered!BB171</f>
        <v>0</v>
      </c>
      <c r="BD171" s="5">
        <f>recovered!BD171-recovered!BC171</f>
        <v>0</v>
      </c>
      <c r="BE171" s="5">
        <f>recovered!BE171-recovered!BD171</f>
        <v>0</v>
      </c>
      <c r="BF171" s="5">
        <f>recovered!BF171-recovered!BE171</f>
        <v>0</v>
      </c>
      <c r="BG171" s="5">
        <f>recovered!BG171-recovered!BF171</f>
        <v>0</v>
      </c>
      <c r="BH171" s="5">
        <f>recovered!BH171-recovered!BG171</f>
        <v>0</v>
      </c>
      <c r="BI171" s="5">
        <f>recovered!BI171-recovered!BH171</f>
        <v>0</v>
      </c>
      <c r="BJ171" s="5">
        <f>recovered!BJ171-recovered!BI171</f>
        <v>0</v>
      </c>
      <c r="BK171" s="5">
        <f>recovered!BK171-recovered!BJ171</f>
        <v>0</v>
      </c>
      <c r="BL171" s="5">
        <f>recovered!BL171-recovered!BK171</f>
        <v>0</v>
      </c>
      <c r="BM171" s="5">
        <f>recovered!BM171-recovered!BL171</f>
        <v>0</v>
      </c>
      <c r="BN171" s="5">
        <f>recovered!BN171-recovered!BM171</f>
        <v>0</v>
      </c>
      <c r="BO171" s="5">
        <f>recovered!BO171-recovered!BN171</f>
        <v>0</v>
      </c>
      <c r="BP171" s="5">
        <f>recovered!BP171-recovered!BO171</f>
        <v>0</v>
      </c>
      <c r="BQ171" s="5">
        <f>recovered!BQ171-recovered!BP171</f>
        <v>0</v>
      </c>
      <c r="BR171" s="5">
        <f>recovered!BR171-recovered!BQ171</f>
        <v>0</v>
      </c>
      <c r="BS171" s="5">
        <f>recovered!BS171-recovered!BR171</f>
        <v>0</v>
      </c>
      <c r="BT171" s="5">
        <f>recovered!BT171-recovered!BS171</f>
        <v>0</v>
      </c>
      <c r="BU171" s="5">
        <f>recovered!BU171-recovered!BT171</f>
        <v>0</v>
      </c>
      <c r="BV171" s="5">
        <f>recovered!BV171-recovered!BU171</f>
        <v>0</v>
      </c>
      <c r="BW171" s="5">
        <f>recovered!BW171-recovered!BV171</f>
        <v>0</v>
      </c>
      <c r="BX171" s="5">
        <f>recovered!BX171-recovered!BW171</f>
        <v>0</v>
      </c>
      <c r="BY171" s="5">
        <f>recovered!BY171-recovered!BX171</f>
        <v>0</v>
      </c>
    </row>
    <row r="172">
      <c r="B172" s="1" t="str">
        <f>recovered!B172</f>
        <v>Nigeria</v>
      </c>
      <c r="C172" s="4">
        <f>recovered!C172</f>
        <v>9.082</v>
      </c>
      <c r="D172" s="4">
        <f>recovered!D172</f>
        <v>8.6753</v>
      </c>
      <c r="E172" s="5">
        <f>recovered!E172</f>
        <v>0</v>
      </c>
      <c r="F172" s="5">
        <f>recovered!F172-recovered!E172</f>
        <v>0</v>
      </c>
      <c r="G172" s="5">
        <f>recovered!G172-recovered!F172</f>
        <v>0</v>
      </c>
      <c r="H172" s="5">
        <f>recovered!H172-recovered!G172</f>
        <v>0</v>
      </c>
      <c r="I172" s="5">
        <f>recovered!I172-recovered!H172</f>
        <v>0</v>
      </c>
      <c r="J172" s="5">
        <f>recovered!J172-recovered!I172</f>
        <v>0</v>
      </c>
      <c r="K172" s="5">
        <f>recovered!K172-recovered!J172</f>
        <v>0</v>
      </c>
      <c r="L172" s="5">
        <f>recovered!L172-recovered!K172</f>
        <v>0</v>
      </c>
      <c r="M172" s="5">
        <f>recovered!M172-recovered!L172</f>
        <v>0</v>
      </c>
      <c r="N172" s="5">
        <f>recovered!N172-recovered!M172</f>
        <v>0</v>
      </c>
      <c r="O172" s="5">
        <f>recovered!O172-recovered!N172</f>
        <v>0</v>
      </c>
      <c r="P172" s="5">
        <f>recovered!P172-recovered!O172</f>
        <v>0</v>
      </c>
      <c r="Q172" s="5">
        <f>recovered!Q172-recovered!P172</f>
        <v>0</v>
      </c>
      <c r="R172" s="5">
        <f>recovered!R172-recovered!Q172</f>
        <v>0</v>
      </c>
      <c r="S172" s="5">
        <f>recovered!S172-recovered!R172</f>
        <v>0</v>
      </c>
      <c r="T172" s="5">
        <f>recovered!T172-recovered!S172</f>
        <v>0</v>
      </c>
      <c r="U172" s="5">
        <f>recovered!U172-recovered!T172</f>
        <v>0</v>
      </c>
      <c r="V172" s="5">
        <f>recovered!V172-recovered!U172</f>
        <v>0</v>
      </c>
      <c r="W172" s="5">
        <f>recovered!W172-recovered!V172</f>
        <v>0</v>
      </c>
      <c r="X172" s="5">
        <f>recovered!X172-recovered!W172</f>
        <v>0</v>
      </c>
      <c r="Y172" s="5">
        <f>recovered!Y172-recovered!X172</f>
        <v>0</v>
      </c>
      <c r="Z172" s="5">
        <f>recovered!Z172-recovered!Y172</f>
        <v>0</v>
      </c>
      <c r="AA172" s="5">
        <f>recovered!AA172-recovered!Z172</f>
        <v>0</v>
      </c>
      <c r="AB172" s="5">
        <f>recovered!AB172-recovered!AA172</f>
        <v>0</v>
      </c>
      <c r="AC172" s="5">
        <f>recovered!AC172-recovered!AB172</f>
        <v>0</v>
      </c>
      <c r="AD172" s="5">
        <f>recovered!AD172-recovered!AC172</f>
        <v>0</v>
      </c>
      <c r="AE172" s="5">
        <f>recovered!AE172-recovered!AD172</f>
        <v>0</v>
      </c>
      <c r="AF172" s="5">
        <f>recovered!AF172-recovered!AE172</f>
        <v>0</v>
      </c>
      <c r="AG172" s="5">
        <f>recovered!AG172-recovered!AF172</f>
        <v>0</v>
      </c>
      <c r="AH172" s="5">
        <f>recovered!AH172-recovered!AG172</f>
        <v>0</v>
      </c>
      <c r="AI172" s="5">
        <f>recovered!AI172-recovered!AH172</f>
        <v>0</v>
      </c>
      <c r="AJ172" s="5">
        <f>recovered!AJ172-recovered!AI172</f>
        <v>0</v>
      </c>
      <c r="AK172" s="5">
        <f>recovered!AK172-recovered!AJ172</f>
        <v>0</v>
      </c>
      <c r="AL172" s="5">
        <f>recovered!AL172-recovered!AK172</f>
        <v>0</v>
      </c>
      <c r="AM172" s="5">
        <f>recovered!AM172-recovered!AL172</f>
        <v>0</v>
      </c>
      <c r="AN172" s="5">
        <f>recovered!AN172-recovered!AM172</f>
        <v>0</v>
      </c>
      <c r="AO172" s="5">
        <f>recovered!AO172-recovered!AN172</f>
        <v>0</v>
      </c>
      <c r="AP172" s="5">
        <f>recovered!AP172-recovered!AO172</f>
        <v>0</v>
      </c>
      <c r="AQ172" s="5">
        <f>recovered!AQ172-recovered!AP172</f>
        <v>0</v>
      </c>
      <c r="AR172" s="5">
        <f>recovered!AR172-recovered!AQ172</f>
        <v>0</v>
      </c>
      <c r="AS172" s="5">
        <f>recovered!AS172-recovered!AR172</f>
        <v>0</v>
      </c>
      <c r="AT172" s="5">
        <f>recovered!AT172-recovered!AS172</f>
        <v>0</v>
      </c>
      <c r="AU172" s="5">
        <f>recovered!AU172-recovered!AT172</f>
        <v>0</v>
      </c>
      <c r="AV172" s="5">
        <f>recovered!AV172-recovered!AU172</f>
        <v>0</v>
      </c>
      <c r="AW172" s="5">
        <f>recovered!AW172-recovered!AV172</f>
        <v>0</v>
      </c>
      <c r="AX172" s="5">
        <f>recovered!AX172-recovered!AW172</f>
        <v>0</v>
      </c>
      <c r="AY172" s="5">
        <f>recovered!AY172-recovered!AX172</f>
        <v>0</v>
      </c>
      <c r="AZ172" s="5">
        <f>recovered!AZ172-recovered!AY172</f>
        <v>0</v>
      </c>
      <c r="BA172" s="5">
        <f>recovered!BA172-recovered!AZ172</f>
        <v>0</v>
      </c>
      <c r="BB172" s="5">
        <f>recovered!BB172-recovered!BA172</f>
        <v>0</v>
      </c>
      <c r="BC172" s="5">
        <f>recovered!BC172-recovered!BB172</f>
        <v>0</v>
      </c>
      <c r="BD172" s="5">
        <f>recovered!BD172-recovered!BC172</f>
        <v>0</v>
      </c>
      <c r="BE172" s="5">
        <f>recovered!BE172-recovered!BD172</f>
        <v>0</v>
      </c>
      <c r="BF172" s="5">
        <f>recovered!BF172-recovered!BE172</f>
        <v>0</v>
      </c>
      <c r="BG172" s="5">
        <f>recovered!BG172-recovered!BF172</f>
        <v>0</v>
      </c>
      <c r="BH172" s="5">
        <f>recovered!BH172-recovered!BG172</f>
        <v>0</v>
      </c>
      <c r="BI172" s="5">
        <f>recovered!BI172-recovered!BH172</f>
        <v>1</v>
      </c>
      <c r="BJ172" s="5">
        <f>recovered!BJ172-recovered!BI172</f>
        <v>0</v>
      </c>
      <c r="BK172" s="5">
        <f>recovered!BK172-recovered!BJ172</f>
        <v>0</v>
      </c>
      <c r="BL172" s="5">
        <f>recovered!BL172-recovered!BK172</f>
        <v>0</v>
      </c>
      <c r="BM172" s="5">
        <f>recovered!BM172-recovered!BL172</f>
        <v>1</v>
      </c>
      <c r="BN172" s="5">
        <f>recovered!BN172-recovered!BM172</f>
        <v>0</v>
      </c>
      <c r="BO172" s="5">
        <f>recovered!BO172-recovered!BN172</f>
        <v>0</v>
      </c>
      <c r="BP172" s="5">
        <f>recovered!BP172-recovered!BO172</f>
        <v>0</v>
      </c>
      <c r="BQ172" s="5">
        <f>recovered!BQ172-recovered!BP172</f>
        <v>0</v>
      </c>
      <c r="BR172" s="5">
        <f>recovered!BR172-recovered!BQ172</f>
        <v>1</v>
      </c>
      <c r="BS172" s="5">
        <f>recovered!BS172-recovered!BR172</f>
        <v>0</v>
      </c>
      <c r="BT172" s="5">
        <f>recovered!BT172-recovered!BS172</f>
        <v>0</v>
      </c>
      <c r="BU172" s="5">
        <f>recovered!BU172-recovered!BT172</f>
        <v>5</v>
      </c>
      <c r="BV172" s="5">
        <f>recovered!BV172-recovered!BU172</f>
        <v>0</v>
      </c>
      <c r="BW172" s="5">
        <f>recovered!BW172-recovered!BV172</f>
        <v>1</v>
      </c>
      <c r="BX172" s="5">
        <f>recovered!BX172-recovered!BW172</f>
        <v>11</v>
      </c>
      <c r="BY172" s="5">
        <f>recovered!BY172-recovered!BX172</f>
        <v>5</v>
      </c>
    </row>
    <row r="173">
      <c r="B173" s="1" t="str">
        <f>recovered!B173</f>
        <v>North Macedonia</v>
      </c>
      <c r="C173" s="4">
        <f>recovered!C173</f>
        <v>41.6086</v>
      </c>
      <c r="D173" s="4">
        <f>recovered!D173</f>
        <v>21.7453</v>
      </c>
      <c r="E173" s="5">
        <f>recovered!E173</f>
        <v>0</v>
      </c>
      <c r="F173" s="5">
        <f>recovered!F173-recovered!E173</f>
        <v>0</v>
      </c>
      <c r="G173" s="5">
        <f>recovered!G173-recovered!F173</f>
        <v>0</v>
      </c>
      <c r="H173" s="5">
        <f>recovered!H173-recovered!G173</f>
        <v>0</v>
      </c>
      <c r="I173" s="5">
        <f>recovered!I173-recovered!H173</f>
        <v>0</v>
      </c>
      <c r="J173" s="5">
        <f>recovered!J173-recovered!I173</f>
        <v>0</v>
      </c>
      <c r="K173" s="5">
        <f>recovered!K173-recovered!J173</f>
        <v>0</v>
      </c>
      <c r="L173" s="5">
        <f>recovered!L173-recovered!K173</f>
        <v>0</v>
      </c>
      <c r="M173" s="5">
        <f>recovered!M173-recovered!L173</f>
        <v>0</v>
      </c>
      <c r="N173" s="5">
        <f>recovered!N173-recovered!M173</f>
        <v>0</v>
      </c>
      <c r="O173" s="5">
        <f>recovered!O173-recovered!N173</f>
        <v>0</v>
      </c>
      <c r="P173" s="5">
        <f>recovered!P173-recovered!O173</f>
        <v>0</v>
      </c>
      <c r="Q173" s="5">
        <f>recovered!Q173-recovered!P173</f>
        <v>0</v>
      </c>
      <c r="R173" s="5">
        <f>recovered!R173-recovered!Q173</f>
        <v>0</v>
      </c>
      <c r="S173" s="5">
        <f>recovered!S173-recovered!R173</f>
        <v>0</v>
      </c>
      <c r="T173" s="5">
        <f>recovered!T173-recovered!S173</f>
        <v>0</v>
      </c>
      <c r="U173" s="5">
        <f>recovered!U173-recovered!T173</f>
        <v>0</v>
      </c>
      <c r="V173" s="5">
        <f>recovered!V173-recovered!U173</f>
        <v>0</v>
      </c>
      <c r="W173" s="5">
        <f>recovered!W173-recovered!V173</f>
        <v>0</v>
      </c>
      <c r="X173" s="5">
        <f>recovered!X173-recovered!W173</f>
        <v>0</v>
      </c>
      <c r="Y173" s="5">
        <f>recovered!Y173-recovered!X173</f>
        <v>0</v>
      </c>
      <c r="Z173" s="5">
        <f>recovered!Z173-recovered!Y173</f>
        <v>0</v>
      </c>
      <c r="AA173" s="5">
        <f>recovered!AA173-recovered!Z173</f>
        <v>0</v>
      </c>
      <c r="AB173" s="5">
        <f>recovered!AB173-recovered!AA173</f>
        <v>0</v>
      </c>
      <c r="AC173" s="5">
        <f>recovered!AC173-recovered!AB173</f>
        <v>0</v>
      </c>
      <c r="AD173" s="5">
        <f>recovered!AD173-recovered!AC173</f>
        <v>0</v>
      </c>
      <c r="AE173" s="5">
        <f>recovered!AE173-recovered!AD173</f>
        <v>0</v>
      </c>
      <c r="AF173" s="5">
        <f>recovered!AF173-recovered!AE173</f>
        <v>0</v>
      </c>
      <c r="AG173" s="5">
        <f>recovered!AG173-recovered!AF173</f>
        <v>0</v>
      </c>
      <c r="AH173" s="5">
        <f>recovered!AH173-recovered!AG173</f>
        <v>0</v>
      </c>
      <c r="AI173" s="5">
        <f>recovered!AI173-recovered!AH173</f>
        <v>0</v>
      </c>
      <c r="AJ173" s="5">
        <f>recovered!AJ173-recovered!AI173</f>
        <v>0</v>
      </c>
      <c r="AK173" s="5">
        <f>recovered!AK173-recovered!AJ173</f>
        <v>0</v>
      </c>
      <c r="AL173" s="5">
        <f>recovered!AL173-recovered!AK173</f>
        <v>0</v>
      </c>
      <c r="AM173" s="5">
        <f>recovered!AM173-recovered!AL173</f>
        <v>0</v>
      </c>
      <c r="AN173" s="5">
        <f>recovered!AN173-recovered!AM173</f>
        <v>0</v>
      </c>
      <c r="AO173" s="5">
        <f>recovered!AO173-recovered!AN173</f>
        <v>0</v>
      </c>
      <c r="AP173" s="5">
        <f>recovered!AP173-recovered!AO173</f>
        <v>0</v>
      </c>
      <c r="AQ173" s="5">
        <f>recovered!AQ173-recovered!AP173</f>
        <v>0</v>
      </c>
      <c r="AR173" s="5">
        <f>recovered!AR173-recovered!AQ173</f>
        <v>0</v>
      </c>
      <c r="AS173" s="5">
        <f>recovered!AS173-recovered!AR173</f>
        <v>0</v>
      </c>
      <c r="AT173" s="5">
        <f>recovered!AT173-recovered!AS173</f>
        <v>0</v>
      </c>
      <c r="AU173" s="5">
        <f>recovered!AU173-recovered!AT173</f>
        <v>0</v>
      </c>
      <c r="AV173" s="5">
        <f>recovered!AV173-recovered!AU173</f>
        <v>0</v>
      </c>
      <c r="AW173" s="5">
        <f>recovered!AW173-recovered!AV173</f>
        <v>0</v>
      </c>
      <c r="AX173" s="5">
        <f>recovered!AX173-recovered!AW173</f>
        <v>0</v>
      </c>
      <c r="AY173" s="5">
        <f>recovered!AY173-recovered!AX173</f>
        <v>0</v>
      </c>
      <c r="AZ173" s="5">
        <f>recovered!AZ173-recovered!AY173</f>
        <v>0</v>
      </c>
      <c r="BA173" s="5">
        <f>recovered!BA173-recovered!AZ173</f>
        <v>0</v>
      </c>
      <c r="BB173" s="5">
        <f>recovered!BB173-recovered!BA173</f>
        <v>0</v>
      </c>
      <c r="BC173" s="5">
        <f>recovered!BC173-recovered!BB173</f>
        <v>0</v>
      </c>
      <c r="BD173" s="5">
        <f>recovered!BD173-recovered!BC173</f>
        <v>1</v>
      </c>
      <c r="BE173" s="5">
        <f>recovered!BE173-recovered!BD173</f>
        <v>0</v>
      </c>
      <c r="BF173" s="5">
        <f>recovered!BF173-recovered!BE173</f>
        <v>0</v>
      </c>
      <c r="BG173" s="5">
        <f>recovered!BG173-recovered!BF173</f>
        <v>0</v>
      </c>
      <c r="BH173" s="5">
        <f>recovered!BH173-recovered!BG173</f>
        <v>0</v>
      </c>
      <c r="BI173" s="5">
        <f>recovered!BI173-recovered!BH173</f>
        <v>0</v>
      </c>
      <c r="BJ173" s="5">
        <f>recovered!BJ173-recovered!BI173</f>
        <v>0</v>
      </c>
      <c r="BK173" s="5">
        <f>recovered!BK173-recovered!BJ173</f>
        <v>0</v>
      </c>
      <c r="BL173" s="5">
        <f>recovered!BL173-recovered!BK173</f>
        <v>0</v>
      </c>
      <c r="BM173" s="5">
        <f>recovered!BM173-recovered!BL173</f>
        <v>0</v>
      </c>
      <c r="BN173" s="5">
        <f>recovered!BN173-recovered!BM173</f>
        <v>0</v>
      </c>
      <c r="BO173" s="5">
        <f>recovered!BO173-recovered!BN173</f>
        <v>0</v>
      </c>
      <c r="BP173" s="5">
        <f>recovered!BP173-recovered!BO173</f>
        <v>0</v>
      </c>
      <c r="BQ173" s="5">
        <f>recovered!BQ173-recovered!BP173</f>
        <v>2</v>
      </c>
      <c r="BR173" s="5">
        <f>recovered!BR173-recovered!BQ173</f>
        <v>0</v>
      </c>
      <c r="BS173" s="5">
        <f>recovered!BS173-recovered!BR173</f>
        <v>0</v>
      </c>
      <c r="BT173" s="5">
        <f>recovered!BT173-recovered!BS173</f>
        <v>0</v>
      </c>
      <c r="BU173" s="5">
        <f>recovered!BU173-recovered!BT173</f>
        <v>9</v>
      </c>
      <c r="BV173" s="5">
        <f>recovered!BV173-recovered!BU173</f>
        <v>0</v>
      </c>
      <c r="BW173" s="5">
        <f>recovered!BW173-recovered!BV173</f>
        <v>5</v>
      </c>
      <c r="BX173" s="5">
        <f>recovered!BX173-recovered!BW173</f>
        <v>0</v>
      </c>
      <c r="BY173" s="5">
        <f>recovered!BY173-recovered!BX173</f>
        <v>3</v>
      </c>
    </row>
    <row r="174">
      <c r="B174" s="1" t="str">
        <f>recovered!B174</f>
        <v>Norway</v>
      </c>
      <c r="C174" s="4">
        <f>recovered!C174</f>
        <v>60.472</v>
      </c>
      <c r="D174" s="4">
        <f>recovered!D174</f>
        <v>8.4689</v>
      </c>
      <c r="E174" s="5">
        <f>recovered!E174</f>
        <v>0</v>
      </c>
      <c r="F174" s="5">
        <f>recovered!F174-recovered!E174</f>
        <v>0</v>
      </c>
      <c r="G174" s="5">
        <f>recovered!G174-recovered!F174</f>
        <v>0</v>
      </c>
      <c r="H174" s="5">
        <f>recovered!H174-recovered!G174</f>
        <v>0</v>
      </c>
      <c r="I174" s="5">
        <f>recovered!I174-recovered!H174</f>
        <v>0</v>
      </c>
      <c r="J174" s="5">
        <f>recovered!J174-recovered!I174</f>
        <v>0</v>
      </c>
      <c r="K174" s="5">
        <f>recovered!K174-recovered!J174</f>
        <v>0</v>
      </c>
      <c r="L174" s="5">
        <f>recovered!L174-recovered!K174</f>
        <v>0</v>
      </c>
      <c r="M174" s="5">
        <f>recovered!M174-recovered!L174</f>
        <v>0</v>
      </c>
      <c r="N174" s="5">
        <f>recovered!N174-recovered!M174</f>
        <v>0</v>
      </c>
      <c r="O174" s="5">
        <f>recovered!O174-recovered!N174</f>
        <v>0</v>
      </c>
      <c r="P174" s="5">
        <f>recovered!P174-recovered!O174</f>
        <v>0</v>
      </c>
      <c r="Q174" s="5">
        <f>recovered!Q174-recovered!P174</f>
        <v>0</v>
      </c>
      <c r="R174" s="5">
        <f>recovered!R174-recovered!Q174</f>
        <v>0</v>
      </c>
      <c r="S174" s="5">
        <f>recovered!S174-recovered!R174</f>
        <v>0</v>
      </c>
      <c r="T174" s="5">
        <f>recovered!T174-recovered!S174</f>
        <v>0</v>
      </c>
      <c r="U174" s="5">
        <f>recovered!U174-recovered!T174</f>
        <v>0</v>
      </c>
      <c r="V174" s="5">
        <f>recovered!V174-recovered!U174</f>
        <v>0</v>
      </c>
      <c r="W174" s="5">
        <f>recovered!W174-recovered!V174</f>
        <v>0</v>
      </c>
      <c r="X174" s="5">
        <f>recovered!X174-recovered!W174</f>
        <v>0</v>
      </c>
      <c r="Y174" s="5">
        <f>recovered!Y174-recovered!X174</f>
        <v>0</v>
      </c>
      <c r="Z174" s="5">
        <f>recovered!Z174-recovered!Y174</f>
        <v>0</v>
      </c>
      <c r="AA174" s="5">
        <f>recovered!AA174-recovered!Z174</f>
        <v>0</v>
      </c>
      <c r="AB174" s="5">
        <f>recovered!AB174-recovered!AA174</f>
        <v>0</v>
      </c>
      <c r="AC174" s="5">
        <f>recovered!AC174-recovered!AB174</f>
        <v>0</v>
      </c>
      <c r="AD174" s="5">
        <f>recovered!AD174-recovered!AC174</f>
        <v>0</v>
      </c>
      <c r="AE174" s="5">
        <f>recovered!AE174-recovered!AD174</f>
        <v>0</v>
      </c>
      <c r="AF174" s="5">
        <f>recovered!AF174-recovered!AE174</f>
        <v>0</v>
      </c>
      <c r="AG174" s="5">
        <f>recovered!AG174-recovered!AF174</f>
        <v>0</v>
      </c>
      <c r="AH174" s="5">
        <f>recovered!AH174-recovered!AG174</f>
        <v>0</v>
      </c>
      <c r="AI174" s="5">
        <f>recovered!AI174-recovered!AH174</f>
        <v>0</v>
      </c>
      <c r="AJ174" s="5">
        <f>recovered!AJ174-recovered!AI174</f>
        <v>0</v>
      </c>
      <c r="AK174" s="5">
        <f>recovered!AK174-recovered!AJ174</f>
        <v>0</v>
      </c>
      <c r="AL174" s="5">
        <f>recovered!AL174-recovered!AK174</f>
        <v>0</v>
      </c>
      <c r="AM174" s="5">
        <f>recovered!AM174-recovered!AL174</f>
        <v>0</v>
      </c>
      <c r="AN174" s="5">
        <f>recovered!AN174-recovered!AM174</f>
        <v>0</v>
      </c>
      <c r="AO174" s="5">
        <f>recovered!AO174-recovered!AN174</f>
        <v>0</v>
      </c>
      <c r="AP174" s="5">
        <f>recovered!AP174-recovered!AO174</f>
        <v>0</v>
      </c>
      <c r="AQ174" s="5">
        <f>recovered!AQ174-recovered!AP174</f>
        <v>0</v>
      </c>
      <c r="AR174" s="5">
        <f>recovered!AR174-recovered!AQ174</f>
        <v>0</v>
      </c>
      <c r="AS174" s="5">
        <f>recovered!AS174-recovered!AR174</f>
        <v>0</v>
      </c>
      <c r="AT174" s="5">
        <f>recovered!AT174-recovered!AS174</f>
        <v>0</v>
      </c>
      <c r="AU174" s="5">
        <f>recovered!AU174-recovered!AT174</f>
        <v>0</v>
      </c>
      <c r="AV174" s="5">
        <f>recovered!AV174-recovered!AU174</f>
        <v>0</v>
      </c>
      <c r="AW174" s="5">
        <f>recovered!AW174-recovered!AV174</f>
        <v>0</v>
      </c>
      <c r="AX174" s="5">
        <f>recovered!AX174-recovered!AW174</f>
        <v>0</v>
      </c>
      <c r="AY174" s="5">
        <f>recovered!AY174-recovered!AX174</f>
        <v>0</v>
      </c>
      <c r="AZ174" s="5">
        <f>recovered!AZ174-recovered!AY174</f>
        <v>1</v>
      </c>
      <c r="BA174" s="5">
        <f>recovered!BA174-recovered!AZ174</f>
        <v>0</v>
      </c>
      <c r="BB174" s="5">
        <f>recovered!BB174-recovered!BA174</f>
        <v>0</v>
      </c>
      <c r="BC174" s="5">
        <f>recovered!BC174-recovered!BB174</f>
        <v>0</v>
      </c>
      <c r="BD174" s="5">
        <f>recovered!BD174-recovered!BC174</f>
        <v>0</v>
      </c>
      <c r="BE174" s="5">
        <f>recovered!BE174-recovered!BD174</f>
        <v>0</v>
      </c>
      <c r="BF174" s="5">
        <f>recovered!BF174-recovered!BE174</f>
        <v>0</v>
      </c>
      <c r="BG174" s="5">
        <f>recovered!BG174-recovered!BF174</f>
        <v>0</v>
      </c>
      <c r="BH174" s="5">
        <f>recovered!BH174-recovered!BG174</f>
        <v>0</v>
      </c>
      <c r="BI174" s="5">
        <f>recovered!BI174-recovered!BH174</f>
        <v>0</v>
      </c>
      <c r="BJ174" s="5">
        <f>recovered!BJ174-recovered!BI174</f>
        <v>0</v>
      </c>
      <c r="BK174" s="5">
        <f>recovered!BK174-recovered!BJ174</f>
        <v>0</v>
      </c>
      <c r="BL174" s="5">
        <f>recovered!BL174-recovered!BK174</f>
        <v>0</v>
      </c>
      <c r="BM174" s="5">
        <f>recovered!BM174-recovered!BL174</f>
        <v>0</v>
      </c>
      <c r="BN174" s="5">
        <f>recovered!BN174-recovered!BM174</f>
        <v>0</v>
      </c>
      <c r="BO174" s="5">
        <f>recovered!BO174-recovered!BN174</f>
        <v>5</v>
      </c>
      <c r="BP174" s="5">
        <f>recovered!BP174-recovered!BO174</f>
        <v>0</v>
      </c>
      <c r="BQ174" s="5">
        <f>recovered!BQ174-recovered!BP174</f>
        <v>0</v>
      </c>
      <c r="BR174" s="5">
        <f>recovered!BR174-recovered!BQ174</f>
        <v>0</v>
      </c>
      <c r="BS174" s="5">
        <f>recovered!BS174-recovered!BR174</f>
        <v>1</v>
      </c>
      <c r="BT174" s="5">
        <f>recovered!BT174-recovered!BS174</f>
        <v>0</v>
      </c>
      <c r="BU174" s="5">
        <f>recovered!BU174-recovered!BT174</f>
        <v>5</v>
      </c>
      <c r="BV174" s="5">
        <f>recovered!BV174-recovered!BU174</f>
        <v>1</v>
      </c>
      <c r="BW174" s="5">
        <f>recovered!BW174-recovered!BV174</f>
        <v>0</v>
      </c>
      <c r="BX174" s="5">
        <f>recovered!BX174-recovered!BW174</f>
        <v>19</v>
      </c>
      <c r="BY174" s="5">
        <f>recovered!BY174-recovered!BX174</f>
        <v>0</v>
      </c>
    </row>
    <row r="175">
      <c r="B175" s="1" t="str">
        <f>recovered!B175</f>
        <v>Oman</v>
      </c>
      <c r="C175" s="4">
        <f>recovered!C175</f>
        <v>21</v>
      </c>
      <c r="D175" s="4">
        <f>recovered!D175</f>
        <v>57</v>
      </c>
      <c r="E175" s="5">
        <f>recovered!E175</f>
        <v>0</v>
      </c>
      <c r="F175" s="5">
        <f>recovered!F175-recovered!E175</f>
        <v>0</v>
      </c>
      <c r="G175" s="5">
        <f>recovered!G175-recovered!F175</f>
        <v>0</v>
      </c>
      <c r="H175" s="5">
        <f>recovered!H175-recovered!G175</f>
        <v>0</v>
      </c>
      <c r="I175" s="5">
        <f>recovered!I175-recovered!H175</f>
        <v>0</v>
      </c>
      <c r="J175" s="5">
        <f>recovered!J175-recovered!I175</f>
        <v>0</v>
      </c>
      <c r="K175" s="5">
        <f>recovered!K175-recovered!J175</f>
        <v>0</v>
      </c>
      <c r="L175" s="5">
        <f>recovered!L175-recovered!K175</f>
        <v>0</v>
      </c>
      <c r="M175" s="5">
        <f>recovered!M175-recovered!L175</f>
        <v>0</v>
      </c>
      <c r="N175" s="5">
        <f>recovered!N175-recovered!M175</f>
        <v>0</v>
      </c>
      <c r="O175" s="5">
        <f>recovered!O175-recovered!N175</f>
        <v>0</v>
      </c>
      <c r="P175" s="5">
        <f>recovered!P175-recovered!O175</f>
        <v>0</v>
      </c>
      <c r="Q175" s="5">
        <f>recovered!Q175-recovered!P175</f>
        <v>0</v>
      </c>
      <c r="R175" s="5">
        <f>recovered!R175-recovered!Q175</f>
        <v>0</v>
      </c>
      <c r="S175" s="5">
        <f>recovered!S175-recovered!R175</f>
        <v>0</v>
      </c>
      <c r="T175" s="5">
        <f>recovered!T175-recovered!S175</f>
        <v>0</v>
      </c>
      <c r="U175" s="5">
        <f>recovered!U175-recovered!T175</f>
        <v>0</v>
      </c>
      <c r="V175" s="5">
        <f>recovered!V175-recovered!U175</f>
        <v>0</v>
      </c>
      <c r="W175" s="5">
        <f>recovered!W175-recovered!V175</f>
        <v>0</v>
      </c>
      <c r="X175" s="5">
        <f>recovered!X175-recovered!W175</f>
        <v>0</v>
      </c>
      <c r="Y175" s="5">
        <f>recovered!Y175-recovered!X175</f>
        <v>0</v>
      </c>
      <c r="Z175" s="5">
        <f>recovered!Z175-recovered!Y175</f>
        <v>0</v>
      </c>
      <c r="AA175" s="5">
        <f>recovered!AA175-recovered!Z175</f>
        <v>0</v>
      </c>
      <c r="AB175" s="5">
        <f>recovered!AB175-recovered!AA175</f>
        <v>0</v>
      </c>
      <c r="AC175" s="5">
        <f>recovered!AC175-recovered!AB175</f>
        <v>0</v>
      </c>
      <c r="AD175" s="5">
        <f>recovered!AD175-recovered!AC175</f>
        <v>0</v>
      </c>
      <c r="AE175" s="5">
        <f>recovered!AE175-recovered!AD175</f>
        <v>0</v>
      </c>
      <c r="AF175" s="5">
        <f>recovered!AF175-recovered!AE175</f>
        <v>0</v>
      </c>
      <c r="AG175" s="5">
        <f>recovered!AG175-recovered!AF175</f>
        <v>0</v>
      </c>
      <c r="AH175" s="5">
        <f>recovered!AH175-recovered!AG175</f>
        <v>0</v>
      </c>
      <c r="AI175" s="5">
        <f>recovered!AI175-recovered!AH175</f>
        <v>0</v>
      </c>
      <c r="AJ175" s="5">
        <f>recovered!AJ175-recovered!AI175</f>
        <v>0</v>
      </c>
      <c r="AK175" s="5">
        <f>recovered!AK175-recovered!AJ175</f>
        <v>0</v>
      </c>
      <c r="AL175" s="5">
        <f>recovered!AL175-recovered!AK175</f>
        <v>0</v>
      </c>
      <c r="AM175" s="5">
        <f>recovered!AM175-recovered!AL175</f>
        <v>0</v>
      </c>
      <c r="AN175" s="5">
        <f>recovered!AN175-recovered!AM175</f>
        <v>0</v>
      </c>
      <c r="AO175" s="5">
        <f>recovered!AO175-recovered!AN175</f>
        <v>0</v>
      </c>
      <c r="AP175" s="5">
        <f>recovered!AP175-recovered!AO175</f>
        <v>0</v>
      </c>
      <c r="AQ175" s="5">
        <f>recovered!AQ175-recovered!AP175</f>
        <v>1</v>
      </c>
      <c r="AR175" s="5">
        <f>recovered!AR175-recovered!AQ175</f>
        <v>0</v>
      </c>
      <c r="AS175" s="5">
        <f>recovered!AS175-recovered!AR175</f>
        <v>0</v>
      </c>
      <c r="AT175" s="5">
        <f>recovered!AT175-recovered!AS175</f>
        <v>1</v>
      </c>
      <c r="AU175" s="5">
        <f>recovered!AU175-recovered!AT175</f>
        <v>0</v>
      </c>
      <c r="AV175" s="5">
        <f>recovered!AV175-recovered!AU175</f>
        <v>0</v>
      </c>
      <c r="AW175" s="5">
        <f>recovered!AW175-recovered!AV175</f>
        <v>0</v>
      </c>
      <c r="AX175" s="5">
        <f>recovered!AX175-recovered!AW175</f>
        <v>0</v>
      </c>
      <c r="AY175" s="5">
        <f>recovered!AY175-recovered!AX175</f>
        <v>0</v>
      </c>
      <c r="AZ175" s="5">
        <f>recovered!AZ175-recovered!AY175</f>
        <v>0</v>
      </c>
      <c r="BA175" s="5">
        <f>recovered!BA175-recovered!AZ175</f>
        <v>7</v>
      </c>
      <c r="BB175" s="5">
        <f>recovered!BB175-recovered!BA175</f>
        <v>0</v>
      </c>
      <c r="BC175" s="5">
        <f>recovered!BC175-recovered!BB175</f>
        <v>0</v>
      </c>
      <c r="BD175" s="5">
        <f>recovered!BD175-recovered!BC175</f>
        <v>0</v>
      </c>
      <c r="BE175" s="5">
        <f>recovered!BE175-recovered!BD175</f>
        <v>0</v>
      </c>
      <c r="BF175" s="5">
        <f>recovered!BF175-recovered!BE175</f>
        <v>0</v>
      </c>
      <c r="BG175" s="5">
        <f>recovered!BG175-recovered!BF175</f>
        <v>0</v>
      </c>
      <c r="BH175" s="5">
        <f>recovered!BH175-recovered!BG175</f>
        <v>0</v>
      </c>
      <c r="BI175" s="5">
        <f>recovered!BI175-recovered!BH175</f>
        <v>3</v>
      </c>
      <c r="BJ175" s="5">
        <f>recovered!BJ175-recovered!BI175</f>
        <v>0</v>
      </c>
      <c r="BK175" s="5">
        <f>recovered!BK175-recovered!BJ175</f>
        <v>0</v>
      </c>
      <c r="BL175" s="5">
        <f>recovered!BL175-recovered!BK175</f>
        <v>0</v>
      </c>
      <c r="BM175" s="5">
        <f>recovered!BM175-recovered!BL175</f>
        <v>5</v>
      </c>
      <c r="BN175" s="5">
        <f>recovered!BN175-recovered!BM175</f>
        <v>0</v>
      </c>
      <c r="BO175" s="5">
        <f>recovered!BO175-recovered!BN175</f>
        <v>0</v>
      </c>
      <c r="BP175" s="5">
        <f>recovered!BP175-recovered!BO175</f>
        <v>0</v>
      </c>
      <c r="BQ175" s="5">
        <f>recovered!BQ175-recovered!BP175</f>
        <v>6</v>
      </c>
      <c r="BR175" s="5">
        <f>recovered!BR175-recovered!BQ175</f>
        <v>0</v>
      </c>
      <c r="BS175" s="5">
        <f>recovered!BS175-recovered!BR175</f>
        <v>0</v>
      </c>
      <c r="BT175" s="5">
        <f>recovered!BT175-recovered!BS175</f>
        <v>0</v>
      </c>
      <c r="BU175" s="5">
        <f>recovered!BU175-recovered!BT175</f>
        <v>6</v>
      </c>
      <c r="BV175" s="5">
        <f>recovered!BV175-recovered!BU175</f>
        <v>5</v>
      </c>
      <c r="BW175" s="5">
        <f>recovered!BW175-recovered!BV175</f>
        <v>0</v>
      </c>
      <c r="BX175" s="5">
        <f>recovered!BX175-recovered!BW175</f>
        <v>23</v>
      </c>
      <c r="BY175" s="5">
        <f>recovered!BY175-recovered!BX175</f>
        <v>0</v>
      </c>
    </row>
    <row r="176">
      <c r="B176" s="1" t="str">
        <f>recovered!B176</f>
        <v>Pakistan</v>
      </c>
      <c r="C176" s="4">
        <f>recovered!C176</f>
        <v>30.3753</v>
      </c>
      <c r="D176" s="4">
        <f>recovered!D176</f>
        <v>69.3451</v>
      </c>
      <c r="E176" s="5">
        <f>recovered!E176</f>
        <v>0</v>
      </c>
      <c r="F176" s="5">
        <f>recovered!F176-recovered!E176</f>
        <v>0</v>
      </c>
      <c r="G176" s="5">
        <f>recovered!G176-recovered!F176</f>
        <v>0</v>
      </c>
      <c r="H176" s="5">
        <f>recovered!H176-recovered!G176</f>
        <v>0</v>
      </c>
      <c r="I176" s="5">
        <f>recovered!I176-recovered!H176</f>
        <v>0</v>
      </c>
      <c r="J176" s="5">
        <f>recovered!J176-recovered!I176</f>
        <v>0</v>
      </c>
      <c r="K176" s="5">
        <f>recovered!K176-recovered!J176</f>
        <v>0</v>
      </c>
      <c r="L176" s="5">
        <f>recovered!L176-recovered!K176</f>
        <v>0</v>
      </c>
      <c r="M176" s="5">
        <f>recovered!M176-recovered!L176</f>
        <v>0</v>
      </c>
      <c r="N176" s="5">
        <f>recovered!N176-recovered!M176</f>
        <v>0</v>
      </c>
      <c r="O176" s="5">
        <f>recovered!O176-recovered!N176</f>
        <v>0</v>
      </c>
      <c r="P176" s="5">
        <f>recovered!P176-recovered!O176</f>
        <v>0</v>
      </c>
      <c r="Q176" s="5">
        <f>recovered!Q176-recovered!P176</f>
        <v>0</v>
      </c>
      <c r="R176" s="5">
        <f>recovered!R176-recovered!Q176</f>
        <v>0</v>
      </c>
      <c r="S176" s="5">
        <f>recovered!S176-recovered!R176</f>
        <v>0</v>
      </c>
      <c r="T176" s="5">
        <f>recovered!T176-recovered!S176</f>
        <v>0</v>
      </c>
      <c r="U176" s="5">
        <f>recovered!U176-recovered!T176</f>
        <v>0</v>
      </c>
      <c r="V176" s="5">
        <f>recovered!V176-recovered!U176</f>
        <v>0</v>
      </c>
      <c r="W176" s="5">
        <f>recovered!W176-recovered!V176</f>
        <v>0</v>
      </c>
      <c r="X176" s="5">
        <f>recovered!X176-recovered!W176</f>
        <v>0</v>
      </c>
      <c r="Y176" s="5">
        <f>recovered!Y176-recovered!X176</f>
        <v>0</v>
      </c>
      <c r="Z176" s="5">
        <f>recovered!Z176-recovered!Y176</f>
        <v>0</v>
      </c>
      <c r="AA176" s="5">
        <f>recovered!AA176-recovered!Z176</f>
        <v>0</v>
      </c>
      <c r="AB176" s="5">
        <f>recovered!AB176-recovered!AA176</f>
        <v>0</v>
      </c>
      <c r="AC176" s="5">
        <f>recovered!AC176-recovered!AB176</f>
        <v>0</v>
      </c>
      <c r="AD176" s="5">
        <f>recovered!AD176-recovered!AC176</f>
        <v>0</v>
      </c>
      <c r="AE176" s="5">
        <f>recovered!AE176-recovered!AD176</f>
        <v>0</v>
      </c>
      <c r="AF176" s="5">
        <f>recovered!AF176-recovered!AE176</f>
        <v>0</v>
      </c>
      <c r="AG176" s="5">
        <f>recovered!AG176-recovered!AF176</f>
        <v>0</v>
      </c>
      <c r="AH176" s="5">
        <f>recovered!AH176-recovered!AG176</f>
        <v>0</v>
      </c>
      <c r="AI176" s="5">
        <f>recovered!AI176-recovered!AH176</f>
        <v>0</v>
      </c>
      <c r="AJ176" s="5">
        <f>recovered!AJ176-recovered!AI176</f>
        <v>0</v>
      </c>
      <c r="AK176" s="5">
        <f>recovered!AK176-recovered!AJ176</f>
        <v>0</v>
      </c>
      <c r="AL176" s="5">
        <f>recovered!AL176-recovered!AK176</f>
        <v>0</v>
      </c>
      <c r="AM176" s="5">
        <f>recovered!AM176-recovered!AL176</f>
        <v>0</v>
      </c>
      <c r="AN176" s="5">
        <f>recovered!AN176-recovered!AM176</f>
        <v>0</v>
      </c>
      <c r="AO176" s="5">
        <f>recovered!AO176-recovered!AN176</f>
        <v>0</v>
      </c>
      <c r="AP176" s="5">
        <f>recovered!AP176-recovered!AO176</f>
        <v>0</v>
      </c>
      <c r="AQ176" s="5">
        <f>recovered!AQ176-recovered!AP176</f>
        <v>0</v>
      </c>
      <c r="AR176" s="5">
        <f>recovered!AR176-recovered!AQ176</f>
        <v>0</v>
      </c>
      <c r="AS176" s="5">
        <f>recovered!AS176-recovered!AR176</f>
        <v>0</v>
      </c>
      <c r="AT176" s="5">
        <f>recovered!AT176-recovered!AS176</f>
        <v>0</v>
      </c>
      <c r="AU176" s="5">
        <f>recovered!AU176-recovered!AT176</f>
        <v>0</v>
      </c>
      <c r="AV176" s="5">
        <f>recovered!AV176-recovered!AU176</f>
        <v>0</v>
      </c>
      <c r="AW176" s="5">
        <f>recovered!AW176-recovered!AV176</f>
        <v>0</v>
      </c>
      <c r="AX176" s="5">
        <f>recovered!AX176-recovered!AW176</f>
        <v>0</v>
      </c>
      <c r="AY176" s="5">
        <f>recovered!AY176-recovered!AX176</f>
        <v>1</v>
      </c>
      <c r="AZ176" s="5">
        <f>recovered!AZ176-recovered!AY176</f>
        <v>0</v>
      </c>
      <c r="BA176" s="5">
        <f>recovered!BA176-recovered!AZ176</f>
        <v>0</v>
      </c>
      <c r="BB176" s="5">
        <f>recovered!BB176-recovered!BA176</f>
        <v>1</v>
      </c>
      <c r="BC176" s="5">
        <f>recovered!BC176-recovered!BB176</f>
        <v>0</v>
      </c>
      <c r="BD176" s="5">
        <f>recovered!BD176-recovered!BC176</f>
        <v>0</v>
      </c>
      <c r="BE176" s="5">
        <f>recovered!BE176-recovered!BD176</f>
        <v>0</v>
      </c>
      <c r="BF176" s="5">
        <f>recovered!BF176-recovered!BE176</f>
        <v>0</v>
      </c>
      <c r="BG176" s="5">
        <f>recovered!BG176-recovered!BF176</f>
        <v>0</v>
      </c>
      <c r="BH176" s="5">
        <f>recovered!BH176-recovered!BG176</f>
        <v>0</v>
      </c>
      <c r="BI176" s="5">
        <f>recovered!BI176-recovered!BH176</f>
        <v>0</v>
      </c>
      <c r="BJ176" s="5">
        <f>recovered!BJ176-recovered!BI176</f>
        <v>11</v>
      </c>
      <c r="BK176" s="5">
        <f>recovered!BK176-recovered!BJ176</f>
        <v>0</v>
      </c>
      <c r="BL176" s="5">
        <f>recovered!BL176-recovered!BK176</f>
        <v>0</v>
      </c>
      <c r="BM176" s="5">
        <f>recovered!BM176-recovered!BL176</f>
        <v>-8</v>
      </c>
      <c r="BN176" s="5">
        <f>recovered!BN176-recovered!BM176</f>
        <v>0</v>
      </c>
      <c r="BO176" s="5">
        <f>recovered!BO176-recovered!BN176</f>
        <v>13</v>
      </c>
      <c r="BP176" s="5">
        <f>recovered!BP176-recovered!BO176</f>
        <v>3</v>
      </c>
      <c r="BQ176" s="5">
        <f>recovered!BQ176-recovered!BP176</f>
        <v>0</v>
      </c>
      <c r="BR176" s="5">
        <f>recovered!BR176-recovered!BQ176</f>
        <v>2</v>
      </c>
      <c r="BS176" s="5">
        <f>recovered!BS176-recovered!BR176</f>
        <v>6</v>
      </c>
      <c r="BT176" s="5">
        <f>recovered!BT176-recovered!BS176</f>
        <v>0</v>
      </c>
      <c r="BU176" s="5">
        <f>recovered!BU176-recovered!BT176</f>
        <v>47</v>
      </c>
      <c r="BV176" s="5">
        <f>recovered!BV176-recovered!BU176</f>
        <v>0</v>
      </c>
      <c r="BW176" s="5">
        <f>recovered!BW176-recovered!BV176</f>
        <v>18</v>
      </c>
      <c r="BX176" s="5">
        <f>recovered!BX176-recovered!BW176</f>
        <v>31</v>
      </c>
      <c r="BY176" s="5">
        <f>recovered!BY176-recovered!BX176</f>
        <v>1</v>
      </c>
    </row>
    <row r="177">
      <c r="B177" s="1" t="str">
        <f>recovered!B177</f>
        <v>Panama</v>
      </c>
      <c r="C177" s="4">
        <f>recovered!C177</f>
        <v>8.538</v>
      </c>
      <c r="D177" s="4">
        <f>recovered!D177</f>
        <v>-80.7821</v>
      </c>
      <c r="E177" s="5">
        <f>recovered!E177</f>
        <v>0</v>
      </c>
      <c r="F177" s="5">
        <f>recovered!F177-recovered!E177</f>
        <v>0</v>
      </c>
      <c r="G177" s="5">
        <f>recovered!G177-recovered!F177</f>
        <v>0</v>
      </c>
      <c r="H177" s="5">
        <f>recovered!H177-recovered!G177</f>
        <v>0</v>
      </c>
      <c r="I177" s="5">
        <f>recovered!I177-recovered!H177</f>
        <v>0</v>
      </c>
      <c r="J177" s="5">
        <f>recovered!J177-recovered!I177</f>
        <v>0</v>
      </c>
      <c r="K177" s="5">
        <f>recovered!K177-recovered!J177</f>
        <v>0</v>
      </c>
      <c r="L177" s="5">
        <f>recovered!L177-recovered!K177</f>
        <v>0</v>
      </c>
      <c r="M177" s="5">
        <f>recovered!M177-recovered!L177</f>
        <v>0</v>
      </c>
      <c r="N177" s="5">
        <f>recovered!N177-recovered!M177</f>
        <v>0</v>
      </c>
      <c r="O177" s="5">
        <f>recovered!O177-recovered!N177</f>
        <v>0</v>
      </c>
      <c r="P177" s="5">
        <f>recovered!P177-recovered!O177</f>
        <v>0</v>
      </c>
      <c r="Q177" s="5">
        <f>recovered!Q177-recovered!P177</f>
        <v>0</v>
      </c>
      <c r="R177" s="5">
        <f>recovered!R177-recovered!Q177</f>
        <v>0</v>
      </c>
      <c r="S177" s="5">
        <f>recovered!S177-recovered!R177</f>
        <v>0</v>
      </c>
      <c r="T177" s="5">
        <f>recovered!T177-recovered!S177</f>
        <v>0</v>
      </c>
      <c r="U177" s="5">
        <f>recovered!U177-recovered!T177</f>
        <v>0</v>
      </c>
      <c r="V177" s="5">
        <f>recovered!V177-recovered!U177</f>
        <v>0</v>
      </c>
      <c r="W177" s="5">
        <f>recovered!W177-recovered!V177</f>
        <v>0</v>
      </c>
      <c r="X177" s="5">
        <f>recovered!X177-recovered!W177</f>
        <v>0</v>
      </c>
      <c r="Y177" s="5">
        <f>recovered!Y177-recovered!X177</f>
        <v>0</v>
      </c>
      <c r="Z177" s="5">
        <f>recovered!Z177-recovered!Y177</f>
        <v>0</v>
      </c>
      <c r="AA177" s="5">
        <f>recovered!AA177-recovered!Z177</f>
        <v>0</v>
      </c>
      <c r="AB177" s="5">
        <f>recovered!AB177-recovered!AA177</f>
        <v>0</v>
      </c>
      <c r="AC177" s="5">
        <f>recovered!AC177-recovered!AB177</f>
        <v>0</v>
      </c>
      <c r="AD177" s="5">
        <f>recovered!AD177-recovered!AC177</f>
        <v>0</v>
      </c>
      <c r="AE177" s="5">
        <f>recovered!AE177-recovered!AD177</f>
        <v>0</v>
      </c>
      <c r="AF177" s="5">
        <f>recovered!AF177-recovered!AE177</f>
        <v>0</v>
      </c>
      <c r="AG177" s="5">
        <f>recovered!AG177-recovered!AF177</f>
        <v>0</v>
      </c>
      <c r="AH177" s="5">
        <f>recovered!AH177-recovered!AG177</f>
        <v>0</v>
      </c>
      <c r="AI177" s="5">
        <f>recovered!AI177-recovered!AH177</f>
        <v>0</v>
      </c>
      <c r="AJ177" s="5">
        <f>recovered!AJ177-recovered!AI177</f>
        <v>0</v>
      </c>
      <c r="AK177" s="5">
        <f>recovered!AK177-recovered!AJ177</f>
        <v>0</v>
      </c>
      <c r="AL177" s="5">
        <f>recovered!AL177-recovered!AK177</f>
        <v>0</v>
      </c>
      <c r="AM177" s="5">
        <f>recovered!AM177-recovered!AL177</f>
        <v>0</v>
      </c>
      <c r="AN177" s="5">
        <f>recovered!AN177-recovered!AM177</f>
        <v>0</v>
      </c>
      <c r="AO177" s="5">
        <f>recovered!AO177-recovered!AN177</f>
        <v>0</v>
      </c>
      <c r="AP177" s="5">
        <f>recovered!AP177-recovered!AO177</f>
        <v>0</v>
      </c>
      <c r="AQ177" s="5">
        <f>recovered!AQ177-recovered!AP177</f>
        <v>0</v>
      </c>
      <c r="AR177" s="5">
        <f>recovered!AR177-recovered!AQ177</f>
        <v>0</v>
      </c>
      <c r="AS177" s="5">
        <f>recovered!AS177-recovered!AR177</f>
        <v>0</v>
      </c>
      <c r="AT177" s="5">
        <f>recovered!AT177-recovered!AS177</f>
        <v>0</v>
      </c>
      <c r="AU177" s="5">
        <f>recovered!AU177-recovered!AT177</f>
        <v>0</v>
      </c>
      <c r="AV177" s="5">
        <f>recovered!AV177-recovered!AU177</f>
        <v>0</v>
      </c>
      <c r="AW177" s="5">
        <f>recovered!AW177-recovered!AV177</f>
        <v>0</v>
      </c>
      <c r="AX177" s="5">
        <f>recovered!AX177-recovered!AW177</f>
        <v>0</v>
      </c>
      <c r="AY177" s="5">
        <f>recovered!AY177-recovered!AX177</f>
        <v>0</v>
      </c>
      <c r="AZ177" s="5">
        <f>recovered!AZ177-recovered!AY177</f>
        <v>0</v>
      </c>
      <c r="BA177" s="5">
        <f>recovered!BA177-recovered!AZ177</f>
        <v>0</v>
      </c>
      <c r="BB177" s="5">
        <f>recovered!BB177-recovered!BA177</f>
        <v>0</v>
      </c>
      <c r="BC177" s="5">
        <f>recovered!BC177-recovered!BB177</f>
        <v>0</v>
      </c>
      <c r="BD177" s="5">
        <f>recovered!BD177-recovered!BC177</f>
        <v>0</v>
      </c>
      <c r="BE177" s="5">
        <f>recovered!BE177-recovered!BD177</f>
        <v>0</v>
      </c>
      <c r="BF177" s="5">
        <f>recovered!BF177-recovered!BE177</f>
        <v>0</v>
      </c>
      <c r="BG177" s="5">
        <f>recovered!BG177-recovered!BF177</f>
        <v>0</v>
      </c>
      <c r="BH177" s="5">
        <f>recovered!BH177-recovered!BG177</f>
        <v>0</v>
      </c>
      <c r="BI177" s="5">
        <f>recovered!BI177-recovered!BH177</f>
        <v>0</v>
      </c>
      <c r="BJ177" s="5">
        <f>recovered!BJ177-recovered!BI177</f>
        <v>0</v>
      </c>
      <c r="BK177" s="5">
        <f>recovered!BK177-recovered!BJ177</f>
        <v>0</v>
      </c>
      <c r="BL177" s="5">
        <f>recovered!BL177-recovered!BK177</f>
        <v>0</v>
      </c>
      <c r="BM177" s="5">
        <f>recovered!BM177-recovered!BL177</f>
        <v>0</v>
      </c>
      <c r="BN177" s="5">
        <f>recovered!BN177-recovered!BM177</f>
        <v>0</v>
      </c>
      <c r="BO177" s="5">
        <f>recovered!BO177-recovered!BN177</f>
        <v>1</v>
      </c>
      <c r="BP177" s="5">
        <f>recovered!BP177-recovered!BO177</f>
        <v>0</v>
      </c>
      <c r="BQ177" s="5">
        <f>recovered!BQ177-recovered!BP177</f>
        <v>1</v>
      </c>
      <c r="BR177" s="5">
        <f>recovered!BR177-recovered!BQ177</f>
        <v>0</v>
      </c>
      <c r="BS177" s="5">
        <f>recovered!BS177-recovered!BR177</f>
        <v>0</v>
      </c>
      <c r="BT177" s="5">
        <f>recovered!BT177-recovered!BS177</f>
        <v>2</v>
      </c>
      <c r="BU177" s="5">
        <f>recovered!BU177-recovered!BT177</f>
        <v>0</v>
      </c>
      <c r="BV177" s="5">
        <f>recovered!BV177-recovered!BU177</f>
        <v>5</v>
      </c>
      <c r="BW177" s="5">
        <f>recovered!BW177-recovered!BV177</f>
        <v>0</v>
      </c>
      <c r="BX177" s="5">
        <f>recovered!BX177-recovered!BW177</f>
        <v>0</v>
      </c>
      <c r="BY177" s="5">
        <f>recovered!BY177-recovered!BX177</f>
        <v>1</v>
      </c>
    </row>
    <row r="178">
      <c r="B178" s="1" t="str">
        <f>recovered!B178</f>
        <v>Papua New Guinea</v>
      </c>
      <c r="C178" s="4">
        <f>recovered!C178</f>
        <v>-6.315</v>
      </c>
      <c r="D178" s="4">
        <f>recovered!D178</f>
        <v>143.9555</v>
      </c>
      <c r="E178" s="5">
        <f>recovered!E178</f>
        <v>0</v>
      </c>
      <c r="F178" s="5">
        <f>recovered!F178-recovered!E178</f>
        <v>0</v>
      </c>
      <c r="G178" s="5">
        <f>recovered!G178-recovered!F178</f>
        <v>0</v>
      </c>
      <c r="H178" s="5">
        <f>recovered!H178-recovered!G178</f>
        <v>0</v>
      </c>
      <c r="I178" s="5">
        <f>recovered!I178-recovered!H178</f>
        <v>0</v>
      </c>
      <c r="J178" s="5">
        <f>recovered!J178-recovered!I178</f>
        <v>0</v>
      </c>
      <c r="K178" s="5">
        <f>recovered!K178-recovered!J178</f>
        <v>0</v>
      </c>
      <c r="L178" s="5">
        <f>recovered!L178-recovered!K178</f>
        <v>0</v>
      </c>
      <c r="M178" s="5">
        <f>recovered!M178-recovered!L178</f>
        <v>0</v>
      </c>
      <c r="N178" s="5">
        <f>recovered!N178-recovered!M178</f>
        <v>0</v>
      </c>
      <c r="O178" s="5">
        <f>recovered!O178-recovered!N178</f>
        <v>0</v>
      </c>
      <c r="P178" s="5">
        <f>recovered!P178-recovered!O178</f>
        <v>0</v>
      </c>
      <c r="Q178" s="5">
        <f>recovered!Q178-recovered!P178</f>
        <v>0</v>
      </c>
      <c r="R178" s="5">
        <f>recovered!R178-recovered!Q178</f>
        <v>0</v>
      </c>
      <c r="S178" s="5">
        <f>recovered!S178-recovered!R178</f>
        <v>0</v>
      </c>
      <c r="T178" s="5">
        <f>recovered!T178-recovered!S178</f>
        <v>0</v>
      </c>
      <c r="U178" s="5">
        <f>recovered!U178-recovered!T178</f>
        <v>0</v>
      </c>
      <c r="V178" s="5">
        <f>recovered!V178-recovered!U178</f>
        <v>0</v>
      </c>
      <c r="W178" s="5">
        <f>recovered!W178-recovered!V178</f>
        <v>0</v>
      </c>
      <c r="X178" s="5">
        <f>recovered!X178-recovered!W178</f>
        <v>0</v>
      </c>
      <c r="Y178" s="5">
        <f>recovered!Y178-recovered!X178</f>
        <v>0</v>
      </c>
      <c r="Z178" s="5">
        <f>recovered!Z178-recovered!Y178</f>
        <v>0</v>
      </c>
      <c r="AA178" s="5">
        <f>recovered!AA178-recovered!Z178</f>
        <v>0</v>
      </c>
      <c r="AB178" s="5">
        <f>recovered!AB178-recovered!AA178</f>
        <v>0</v>
      </c>
      <c r="AC178" s="5">
        <f>recovered!AC178-recovered!AB178</f>
        <v>0</v>
      </c>
      <c r="AD178" s="5">
        <f>recovered!AD178-recovered!AC178</f>
        <v>0</v>
      </c>
      <c r="AE178" s="5">
        <f>recovered!AE178-recovered!AD178</f>
        <v>0</v>
      </c>
      <c r="AF178" s="5">
        <f>recovered!AF178-recovered!AE178</f>
        <v>0</v>
      </c>
      <c r="AG178" s="5">
        <f>recovered!AG178-recovered!AF178</f>
        <v>0</v>
      </c>
      <c r="AH178" s="5">
        <f>recovered!AH178-recovered!AG178</f>
        <v>0</v>
      </c>
      <c r="AI178" s="5">
        <f>recovered!AI178-recovered!AH178</f>
        <v>0</v>
      </c>
      <c r="AJ178" s="5">
        <f>recovered!AJ178-recovered!AI178</f>
        <v>0</v>
      </c>
      <c r="AK178" s="5">
        <f>recovered!AK178-recovered!AJ178</f>
        <v>0</v>
      </c>
      <c r="AL178" s="5">
        <f>recovered!AL178-recovered!AK178</f>
        <v>0</v>
      </c>
      <c r="AM178" s="5">
        <f>recovered!AM178-recovered!AL178</f>
        <v>0</v>
      </c>
      <c r="AN178" s="5">
        <f>recovered!AN178-recovered!AM178</f>
        <v>0</v>
      </c>
      <c r="AO178" s="5">
        <f>recovered!AO178-recovered!AN178</f>
        <v>0</v>
      </c>
      <c r="AP178" s="5">
        <f>recovered!AP178-recovered!AO178</f>
        <v>0</v>
      </c>
      <c r="AQ178" s="5">
        <f>recovered!AQ178-recovered!AP178</f>
        <v>0</v>
      </c>
      <c r="AR178" s="5">
        <f>recovered!AR178-recovered!AQ178</f>
        <v>0</v>
      </c>
      <c r="AS178" s="5">
        <f>recovered!AS178-recovered!AR178</f>
        <v>0</v>
      </c>
      <c r="AT178" s="5">
        <f>recovered!AT178-recovered!AS178</f>
        <v>0</v>
      </c>
      <c r="AU178" s="5">
        <f>recovered!AU178-recovered!AT178</f>
        <v>0</v>
      </c>
      <c r="AV178" s="5">
        <f>recovered!AV178-recovered!AU178</f>
        <v>0</v>
      </c>
      <c r="AW178" s="5">
        <f>recovered!AW178-recovered!AV178</f>
        <v>0</v>
      </c>
      <c r="AX178" s="5">
        <f>recovered!AX178-recovered!AW178</f>
        <v>0</v>
      </c>
      <c r="AY178" s="5">
        <f>recovered!AY178-recovered!AX178</f>
        <v>0</v>
      </c>
      <c r="AZ178" s="5">
        <f>recovered!AZ178-recovered!AY178</f>
        <v>0</v>
      </c>
      <c r="BA178" s="5">
        <f>recovered!BA178-recovered!AZ178</f>
        <v>0</v>
      </c>
      <c r="BB178" s="5">
        <f>recovered!BB178-recovered!BA178</f>
        <v>0</v>
      </c>
      <c r="BC178" s="5">
        <f>recovered!BC178-recovered!BB178</f>
        <v>0</v>
      </c>
      <c r="BD178" s="5">
        <f>recovered!BD178-recovered!BC178</f>
        <v>0</v>
      </c>
      <c r="BE178" s="5">
        <f>recovered!BE178-recovered!BD178</f>
        <v>0</v>
      </c>
      <c r="BF178" s="5">
        <f>recovered!BF178-recovered!BE178</f>
        <v>0</v>
      </c>
      <c r="BG178" s="5">
        <f>recovered!BG178-recovered!BF178</f>
        <v>0</v>
      </c>
      <c r="BH178" s="5">
        <f>recovered!BH178-recovered!BG178</f>
        <v>0</v>
      </c>
      <c r="BI178" s="5">
        <f>recovered!BI178-recovered!BH178</f>
        <v>0</v>
      </c>
      <c r="BJ178" s="5">
        <f>recovered!BJ178-recovered!BI178</f>
        <v>0</v>
      </c>
      <c r="BK178" s="5">
        <f>recovered!BK178-recovered!BJ178</f>
        <v>0</v>
      </c>
      <c r="BL178" s="5">
        <f>recovered!BL178-recovered!BK178</f>
        <v>0</v>
      </c>
      <c r="BM178" s="5">
        <f>recovered!BM178-recovered!BL178</f>
        <v>0</v>
      </c>
      <c r="BN178" s="5">
        <f>recovered!BN178-recovered!BM178</f>
        <v>0</v>
      </c>
      <c r="BO178" s="5">
        <f>recovered!BO178-recovered!BN178</f>
        <v>0</v>
      </c>
      <c r="BP178" s="5">
        <f>recovered!BP178-recovered!BO178</f>
        <v>0</v>
      </c>
      <c r="BQ178" s="5">
        <f>recovered!BQ178-recovered!BP178</f>
        <v>0</v>
      </c>
      <c r="BR178" s="5">
        <f>recovered!BR178-recovered!BQ178</f>
        <v>0</v>
      </c>
      <c r="BS178" s="5">
        <f>recovered!BS178-recovered!BR178</f>
        <v>0</v>
      </c>
      <c r="BT178" s="5">
        <f>recovered!BT178-recovered!BS178</f>
        <v>0</v>
      </c>
      <c r="BU178" s="5">
        <f>recovered!BU178-recovered!BT178</f>
        <v>0</v>
      </c>
      <c r="BV178" s="5">
        <f>recovered!BV178-recovered!BU178</f>
        <v>0</v>
      </c>
      <c r="BW178" s="5">
        <f>recovered!BW178-recovered!BV178</f>
        <v>0</v>
      </c>
      <c r="BX178" s="5">
        <f>recovered!BX178-recovered!BW178</f>
        <v>0</v>
      </c>
      <c r="BY178" s="5">
        <f>recovered!BY178-recovered!BX178</f>
        <v>0</v>
      </c>
    </row>
    <row r="179">
      <c r="B179" s="1" t="str">
        <f>recovered!B179</f>
        <v>Paraguay</v>
      </c>
      <c r="C179" s="4">
        <f>recovered!C179</f>
        <v>-23.4425</v>
      </c>
      <c r="D179" s="4">
        <f>recovered!D179</f>
        <v>-58.4438</v>
      </c>
      <c r="E179" s="5">
        <f>recovered!E179</f>
        <v>0</v>
      </c>
      <c r="F179" s="5">
        <f>recovered!F179-recovered!E179</f>
        <v>0</v>
      </c>
      <c r="G179" s="5">
        <f>recovered!G179-recovered!F179</f>
        <v>0</v>
      </c>
      <c r="H179" s="5">
        <f>recovered!H179-recovered!G179</f>
        <v>0</v>
      </c>
      <c r="I179" s="5">
        <f>recovered!I179-recovered!H179</f>
        <v>0</v>
      </c>
      <c r="J179" s="5">
        <f>recovered!J179-recovered!I179</f>
        <v>0</v>
      </c>
      <c r="K179" s="5">
        <f>recovered!K179-recovered!J179</f>
        <v>0</v>
      </c>
      <c r="L179" s="5">
        <f>recovered!L179-recovered!K179</f>
        <v>0</v>
      </c>
      <c r="M179" s="5">
        <f>recovered!M179-recovered!L179</f>
        <v>0</v>
      </c>
      <c r="N179" s="5">
        <f>recovered!N179-recovered!M179</f>
        <v>0</v>
      </c>
      <c r="O179" s="5">
        <f>recovered!O179-recovered!N179</f>
        <v>0</v>
      </c>
      <c r="P179" s="5">
        <f>recovered!P179-recovered!O179</f>
        <v>0</v>
      </c>
      <c r="Q179" s="5">
        <f>recovered!Q179-recovered!P179</f>
        <v>0</v>
      </c>
      <c r="R179" s="5">
        <f>recovered!R179-recovered!Q179</f>
        <v>0</v>
      </c>
      <c r="S179" s="5">
        <f>recovered!S179-recovered!R179</f>
        <v>0</v>
      </c>
      <c r="T179" s="5">
        <f>recovered!T179-recovered!S179</f>
        <v>0</v>
      </c>
      <c r="U179" s="5">
        <f>recovered!U179-recovered!T179</f>
        <v>0</v>
      </c>
      <c r="V179" s="5">
        <f>recovered!V179-recovered!U179</f>
        <v>0</v>
      </c>
      <c r="W179" s="5">
        <f>recovered!W179-recovered!V179</f>
        <v>0</v>
      </c>
      <c r="X179" s="5">
        <f>recovered!X179-recovered!W179</f>
        <v>0</v>
      </c>
      <c r="Y179" s="5">
        <f>recovered!Y179-recovered!X179</f>
        <v>0</v>
      </c>
      <c r="Z179" s="5">
        <f>recovered!Z179-recovered!Y179</f>
        <v>0</v>
      </c>
      <c r="AA179" s="5">
        <f>recovered!AA179-recovered!Z179</f>
        <v>0</v>
      </c>
      <c r="AB179" s="5">
        <f>recovered!AB179-recovered!AA179</f>
        <v>0</v>
      </c>
      <c r="AC179" s="5">
        <f>recovered!AC179-recovered!AB179</f>
        <v>0</v>
      </c>
      <c r="AD179" s="5">
        <f>recovered!AD179-recovered!AC179</f>
        <v>0</v>
      </c>
      <c r="AE179" s="5">
        <f>recovered!AE179-recovered!AD179</f>
        <v>0</v>
      </c>
      <c r="AF179" s="5">
        <f>recovered!AF179-recovered!AE179</f>
        <v>0</v>
      </c>
      <c r="AG179" s="5">
        <f>recovered!AG179-recovered!AF179</f>
        <v>0</v>
      </c>
      <c r="AH179" s="5">
        <f>recovered!AH179-recovered!AG179</f>
        <v>0</v>
      </c>
      <c r="AI179" s="5">
        <f>recovered!AI179-recovered!AH179</f>
        <v>0</v>
      </c>
      <c r="AJ179" s="5">
        <f>recovered!AJ179-recovered!AI179</f>
        <v>0</v>
      </c>
      <c r="AK179" s="5">
        <f>recovered!AK179-recovered!AJ179</f>
        <v>0</v>
      </c>
      <c r="AL179" s="5">
        <f>recovered!AL179-recovered!AK179</f>
        <v>0</v>
      </c>
      <c r="AM179" s="5">
        <f>recovered!AM179-recovered!AL179</f>
        <v>0</v>
      </c>
      <c r="AN179" s="5">
        <f>recovered!AN179-recovered!AM179</f>
        <v>0</v>
      </c>
      <c r="AO179" s="5">
        <f>recovered!AO179-recovered!AN179</f>
        <v>0</v>
      </c>
      <c r="AP179" s="5">
        <f>recovered!AP179-recovered!AO179</f>
        <v>0</v>
      </c>
      <c r="AQ179" s="5">
        <f>recovered!AQ179-recovered!AP179</f>
        <v>0</v>
      </c>
      <c r="AR179" s="5">
        <f>recovered!AR179-recovered!AQ179</f>
        <v>0</v>
      </c>
      <c r="AS179" s="5">
        <f>recovered!AS179-recovered!AR179</f>
        <v>0</v>
      </c>
      <c r="AT179" s="5">
        <f>recovered!AT179-recovered!AS179</f>
        <v>0</v>
      </c>
      <c r="AU179" s="5">
        <f>recovered!AU179-recovered!AT179</f>
        <v>0</v>
      </c>
      <c r="AV179" s="5">
        <f>recovered!AV179-recovered!AU179</f>
        <v>0</v>
      </c>
      <c r="AW179" s="5">
        <f>recovered!AW179-recovered!AV179</f>
        <v>0</v>
      </c>
      <c r="AX179" s="5">
        <f>recovered!AX179-recovered!AW179</f>
        <v>0</v>
      </c>
      <c r="AY179" s="5">
        <f>recovered!AY179-recovered!AX179</f>
        <v>0</v>
      </c>
      <c r="AZ179" s="5">
        <f>recovered!AZ179-recovered!AY179</f>
        <v>0</v>
      </c>
      <c r="BA179" s="5">
        <f>recovered!BA179-recovered!AZ179</f>
        <v>0</v>
      </c>
      <c r="BB179" s="5">
        <f>recovered!BB179-recovered!BA179</f>
        <v>0</v>
      </c>
      <c r="BC179" s="5">
        <f>recovered!BC179-recovered!BB179</f>
        <v>0</v>
      </c>
      <c r="BD179" s="5">
        <f>recovered!BD179-recovered!BC179</f>
        <v>0</v>
      </c>
      <c r="BE179" s="5">
        <f>recovered!BE179-recovered!BD179</f>
        <v>0</v>
      </c>
      <c r="BF179" s="5">
        <f>recovered!BF179-recovered!BE179</f>
        <v>0</v>
      </c>
      <c r="BG179" s="5">
        <f>recovered!BG179-recovered!BF179</f>
        <v>0</v>
      </c>
      <c r="BH179" s="5">
        <f>recovered!BH179-recovered!BG179</f>
        <v>0</v>
      </c>
      <c r="BI179" s="5">
        <f>recovered!BI179-recovered!BH179</f>
        <v>0</v>
      </c>
      <c r="BJ179" s="5">
        <f>recovered!BJ179-recovered!BI179</f>
        <v>0</v>
      </c>
      <c r="BK179" s="5">
        <f>recovered!BK179-recovered!BJ179</f>
        <v>0</v>
      </c>
      <c r="BL179" s="5">
        <f>recovered!BL179-recovered!BK179</f>
        <v>0</v>
      </c>
      <c r="BM179" s="5">
        <f>recovered!BM179-recovered!BL179</f>
        <v>0</v>
      </c>
      <c r="BN179" s="5">
        <f>recovered!BN179-recovered!BM179</f>
        <v>0</v>
      </c>
      <c r="BO179" s="5">
        <f>recovered!BO179-recovered!BN179</f>
        <v>0</v>
      </c>
      <c r="BP179" s="5">
        <f>recovered!BP179-recovered!BO179</f>
        <v>0</v>
      </c>
      <c r="BQ179" s="5">
        <f>recovered!BQ179-recovered!BP179</f>
        <v>0</v>
      </c>
      <c r="BR179" s="5">
        <f>recovered!BR179-recovered!BQ179</f>
        <v>1</v>
      </c>
      <c r="BS179" s="5">
        <f>recovered!BS179-recovered!BR179</f>
        <v>0</v>
      </c>
      <c r="BT179" s="5">
        <f>recovered!BT179-recovered!BS179</f>
        <v>0</v>
      </c>
      <c r="BU179" s="5">
        <f>recovered!BU179-recovered!BT179</f>
        <v>0</v>
      </c>
      <c r="BV179" s="5">
        <f>recovered!BV179-recovered!BU179</f>
        <v>0</v>
      </c>
      <c r="BW179" s="5">
        <f>recovered!BW179-recovered!BV179</f>
        <v>0</v>
      </c>
      <c r="BX179" s="5">
        <f>recovered!BX179-recovered!BW179</f>
        <v>1</v>
      </c>
      <c r="BY179" s="5">
        <f>recovered!BY179-recovered!BX179</f>
        <v>4</v>
      </c>
    </row>
    <row r="180">
      <c r="B180" s="1" t="str">
        <f>recovered!B180</f>
        <v>Peru</v>
      </c>
      <c r="C180" s="4">
        <f>recovered!C180</f>
        <v>-9.19</v>
      </c>
      <c r="D180" s="4">
        <f>recovered!D180</f>
        <v>-75.0152</v>
      </c>
      <c r="E180" s="5">
        <f>recovered!E180</f>
        <v>0</v>
      </c>
      <c r="F180" s="5">
        <f>recovered!F180-recovered!E180</f>
        <v>0</v>
      </c>
      <c r="G180" s="5">
        <f>recovered!G180-recovered!F180</f>
        <v>0</v>
      </c>
      <c r="H180" s="5">
        <f>recovered!H180-recovered!G180</f>
        <v>0</v>
      </c>
      <c r="I180" s="5">
        <f>recovered!I180-recovered!H180</f>
        <v>0</v>
      </c>
      <c r="J180" s="5">
        <f>recovered!J180-recovered!I180</f>
        <v>0</v>
      </c>
      <c r="K180" s="5">
        <f>recovered!K180-recovered!J180</f>
        <v>0</v>
      </c>
      <c r="L180" s="5">
        <f>recovered!L180-recovered!K180</f>
        <v>0</v>
      </c>
      <c r="M180" s="5">
        <f>recovered!M180-recovered!L180</f>
        <v>0</v>
      </c>
      <c r="N180" s="5">
        <f>recovered!N180-recovered!M180</f>
        <v>0</v>
      </c>
      <c r="O180" s="5">
        <f>recovered!O180-recovered!N180</f>
        <v>0</v>
      </c>
      <c r="P180" s="5">
        <f>recovered!P180-recovered!O180</f>
        <v>0</v>
      </c>
      <c r="Q180" s="5">
        <f>recovered!Q180-recovered!P180</f>
        <v>0</v>
      </c>
      <c r="R180" s="5">
        <f>recovered!R180-recovered!Q180</f>
        <v>0</v>
      </c>
      <c r="S180" s="5">
        <f>recovered!S180-recovered!R180</f>
        <v>0</v>
      </c>
      <c r="T180" s="5">
        <f>recovered!T180-recovered!S180</f>
        <v>0</v>
      </c>
      <c r="U180" s="5">
        <f>recovered!U180-recovered!T180</f>
        <v>0</v>
      </c>
      <c r="V180" s="5">
        <f>recovered!V180-recovered!U180</f>
        <v>0</v>
      </c>
      <c r="W180" s="5">
        <f>recovered!W180-recovered!V180</f>
        <v>0</v>
      </c>
      <c r="X180" s="5">
        <f>recovered!X180-recovered!W180</f>
        <v>0</v>
      </c>
      <c r="Y180" s="5">
        <f>recovered!Y180-recovered!X180</f>
        <v>0</v>
      </c>
      <c r="Z180" s="5">
        <f>recovered!Z180-recovered!Y180</f>
        <v>0</v>
      </c>
      <c r="AA180" s="5">
        <f>recovered!AA180-recovered!Z180</f>
        <v>0</v>
      </c>
      <c r="AB180" s="5">
        <f>recovered!AB180-recovered!AA180</f>
        <v>0</v>
      </c>
      <c r="AC180" s="5">
        <f>recovered!AC180-recovered!AB180</f>
        <v>0</v>
      </c>
      <c r="AD180" s="5">
        <f>recovered!AD180-recovered!AC180</f>
        <v>0</v>
      </c>
      <c r="AE180" s="5">
        <f>recovered!AE180-recovered!AD180</f>
        <v>0</v>
      </c>
      <c r="AF180" s="5">
        <f>recovered!AF180-recovered!AE180</f>
        <v>0</v>
      </c>
      <c r="AG180" s="5">
        <f>recovered!AG180-recovered!AF180</f>
        <v>0</v>
      </c>
      <c r="AH180" s="5">
        <f>recovered!AH180-recovered!AG180</f>
        <v>0</v>
      </c>
      <c r="AI180" s="5">
        <f>recovered!AI180-recovered!AH180</f>
        <v>0</v>
      </c>
      <c r="AJ180" s="5">
        <f>recovered!AJ180-recovered!AI180</f>
        <v>0</v>
      </c>
      <c r="AK180" s="5">
        <f>recovered!AK180-recovered!AJ180</f>
        <v>0</v>
      </c>
      <c r="AL180" s="5">
        <f>recovered!AL180-recovered!AK180</f>
        <v>0</v>
      </c>
      <c r="AM180" s="5">
        <f>recovered!AM180-recovered!AL180</f>
        <v>0</v>
      </c>
      <c r="AN180" s="5">
        <f>recovered!AN180-recovered!AM180</f>
        <v>0</v>
      </c>
      <c r="AO180" s="5">
        <f>recovered!AO180-recovered!AN180</f>
        <v>0</v>
      </c>
      <c r="AP180" s="5">
        <f>recovered!AP180-recovered!AO180</f>
        <v>0</v>
      </c>
      <c r="AQ180" s="5">
        <f>recovered!AQ180-recovered!AP180</f>
        <v>0</v>
      </c>
      <c r="AR180" s="5">
        <f>recovered!AR180-recovered!AQ180</f>
        <v>0</v>
      </c>
      <c r="AS180" s="5">
        <f>recovered!AS180-recovered!AR180</f>
        <v>0</v>
      </c>
      <c r="AT180" s="5">
        <f>recovered!AT180-recovered!AS180</f>
        <v>0</v>
      </c>
      <c r="AU180" s="5">
        <f>recovered!AU180-recovered!AT180</f>
        <v>0</v>
      </c>
      <c r="AV180" s="5">
        <f>recovered!AV180-recovered!AU180</f>
        <v>0</v>
      </c>
      <c r="AW180" s="5">
        <f>recovered!AW180-recovered!AV180</f>
        <v>0</v>
      </c>
      <c r="AX180" s="5">
        <f>recovered!AX180-recovered!AW180</f>
        <v>0</v>
      </c>
      <c r="AY180" s="5">
        <f>recovered!AY180-recovered!AX180</f>
        <v>0</v>
      </c>
      <c r="AZ180" s="5">
        <f>recovered!AZ180-recovered!AY180</f>
        <v>0</v>
      </c>
      <c r="BA180" s="5">
        <f>recovered!BA180-recovered!AZ180</f>
        <v>0</v>
      </c>
      <c r="BB180" s="5">
        <f>recovered!BB180-recovered!BA180</f>
        <v>0</v>
      </c>
      <c r="BC180" s="5">
        <f>recovered!BC180-recovered!BB180</f>
        <v>0</v>
      </c>
      <c r="BD180" s="5">
        <f>recovered!BD180-recovered!BC180</f>
        <v>0</v>
      </c>
      <c r="BE180" s="5">
        <f>recovered!BE180-recovered!BD180</f>
        <v>0</v>
      </c>
      <c r="BF180" s="5">
        <f>recovered!BF180-recovered!BE180</f>
        <v>0</v>
      </c>
      <c r="BG180" s="5">
        <f>recovered!BG180-recovered!BF180</f>
        <v>0</v>
      </c>
      <c r="BH180" s="5">
        <f>recovered!BH180-recovered!BG180</f>
        <v>1</v>
      </c>
      <c r="BI180" s="5">
        <f>recovered!BI180-recovered!BH180</f>
        <v>0</v>
      </c>
      <c r="BJ180" s="5">
        <f>recovered!BJ180-recovered!BI180</f>
        <v>0</v>
      </c>
      <c r="BK180" s="5">
        <f>recovered!BK180-recovered!BJ180</f>
        <v>0</v>
      </c>
      <c r="BL180" s="5">
        <f>recovered!BL180-recovered!BK180</f>
        <v>0</v>
      </c>
      <c r="BM180" s="5">
        <f>recovered!BM180-recovered!BL180</f>
        <v>0</v>
      </c>
      <c r="BN180" s="5">
        <f>recovered!BN180-recovered!BM180</f>
        <v>0</v>
      </c>
      <c r="BO180" s="5">
        <f>recovered!BO180-recovered!BN180</f>
        <v>0</v>
      </c>
      <c r="BP180" s="5">
        <f>recovered!BP180-recovered!BO180</f>
        <v>0</v>
      </c>
      <c r="BQ180" s="5">
        <f>recovered!BQ180-recovered!BP180</f>
        <v>13</v>
      </c>
      <c r="BR180" s="5">
        <f>recovered!BR180-recovered!BQ180</f>
        <v>2</v>
      </c>
      <c r="BS180" s="5">
        <f>recovered!BS180-recovered!BR180</f>
        <v>0</v>
      </c>
      <c r="BT180" s="5">
        <f>recovered!BT180-recovered!BS180</f>
        <v>0</v>
      </c>
      <c r="BU180" s="5">
        <f>recovered!BU180-recovered!BT180</f>
        <v>37</v>
      </c>
      <c r="BV180" s="5">
        <f>recovered!BV180-recovered!BU180</f>
        <v>341</v>
      </c>
      <c r="BW180" s="5">
        <f>recovered!BW180-recovered!BV180</f>
        <v>0</v>
      </c>
      <c r="BX180" s="5">
        <f>recovered!BX180-recovered!BW180</f>
        <v>143</v>
      </c>
      <c r="BY180" s="5">
        <f>recovered!BY180-recovered!BX180</f>
        <v>0</v>
      </c>
    </row>
    <row r="181">
      <c r="B181" s="1" t="str">
        <f>recovered!B181</f>
        <v>Philippines</v>
      </c>
      <c r="C181" s="4">
        <f>recovered!C181</f>
        <v>13</v>
      </c>
      <c r="D181" s="4">
        <f>recovered!D181</f>
        <v>122</v>
      </c>
      <c r="E181" s="5">
        <f>recovered!E181</f>
        <v>0</v>
      </c>
      <c r="F181" s="5">
        <f>recovered!F181-recovered!E181</f>
        <v>0</v>
      </c>
      <c r="G181" s="5">
        <f>recovered!G181-recovered!F181</f>
        <v>0</v>
      </c>
      <c r="H181" s="5">
        <f>recovered!H181-recovered!G181</f>
        <v>0</v>
      </c>
      <c r="I181" s="5">
        <f>recovered!I181-recovered!H181</f>
        <v>0</v>
      </c>
      <c r="J181" s="5">
        <f>recovered!J181-recovered!I181</f>
        <v>0</v>
      </c>
      <c r="K181" s="5">
        <f>recovered!K181-recovered!J181</f>
        <v>0</v>
      </c>
      <c r="L181" s="5">
        <f>recovered!L181-recovered!K181</f>
        <v>0</v>
      </c>
      <c r="M181" s="5">
        <f>recovered!M181-recovered!L181</f>
        <v>0</v>
      </c>
      <c r="N181" s="5">
        <f>recovered!N181-recovered!M181</f>
        <v>0</v>
      </c>
      <c r="O181" s="5">
        <f>recovered!O181-recovered!N181</f>
        <v>0</v>
      </c>
      <c r="P181" s="5">
        <f>recovered!P181-recovered!O181</f>
        <v>0</v>
      </c>
      <c r="Q181" s="5">
        <f>recovered!Q181-recovered!P181</f>
        <v>0</v>
      </c>
      <c r="R181" s="5">
        <f>recovered!R181-recovered!Q181</f>
        <v>0</v>
      </c>
      <c r="S181" s="5">
        <f>recovered!S181-recovered!R181</f>
        <v>0</v>
      </c>
      <c r="T181" s="5">
        <f>recovered!T181-recovered!S181</f>
        <v>0</v>
      </c>
      <c r="U181" s="5">
        <f>recovered!U181-recovered!T181</f>
        <v>0</v>
      </c>
      <c r="V181" s="5">
        <f>recovered!V181-recovered!U181</f>
        <v>0</v>
      </c>
      <c r="W181" s="5">
        <f>recovered!W181-recovered!V181</f>
        <v>0</v>
      </c>
      <c r="X181" s="5">
        <f>recovered!X181-recovered!W181</f>
        <v>0</v>
      </c>
      <c r="Y181" s="5">
        <f>recovered!Y181-recovered!X181</f>
        <v>0</v>
      </c>
      <c r="Z181" s="5">
        <f>recovered!Z181-recovered!Y181</f>
        <v>1</v>
      </c>
      <c r="AA181" s="5">
        <f>recovered!AA181-recovered!Z181</f>
        <v>0</v>
      </c>
      <c r="AB181" s="5">
        <f>recovered!AB181-recovered!AA181</f>
        <v>0</v>
      </c>
      <c r="AC181" s="5">
        <f>recovered!AC181-recovered!AB181</f>
        <v>0</v>
      </c>
      <c r="AD181" s="5">
        <f>recovered!AD181-recovered!AC181</f>
        <v>0</v>
      </c>
      <c r="AE181" s="5">
        <f>recovered!AE181-recovered!AD181</f>
        <v>0</v>
      </c>
      <c r="AF181" s="5">
        <f>recovered!AF181-recovered!AE181</f>
        <v>0</v>
      </c>
      <c r="AG181" s="5">
        <f>recovered!AG181-recovered!AF181</f>
        <v>0</v>
      </c>
      <c r="AH181" s="5">
        <f>recovered!AH181-recovered!AG181</f>
        <v>0</v>
      </c>
      <c r="AI181" s="5">
        <f>recovered!AI181-recovered!AH181</f>
        <v>0</v>
      </c>
      <c r="AJ181" s="5">
        <f>recovered!AJ181-recovered!AI181</f>
        <v>0</v>
      </c>
      <c r="AK181" s="5">
        <f>recovered!AK181-recovered!AJ181</f>
        <v>0</v>
      </c>
      <c r="AL181" s="5">
        <f>recovered!AL181-recovered!AK181</f>
        <v>0</v>
      </c>
      <c r="AM181" s="5">
        <f>recovered!AM181-recovered!AL181</f>
        <v>0</v>
      </c>
      <c r="AN181" s="5">
        <f>recovered!AN181-recovered!AM181</f>
        <v>0</v>
      </c>
      <c r="AO181" s="5">
        <f>recovered!AO181-recovered!AN181</f>
        <v>0</v>
      </c>
      <c r="AP181" s="5">
        <f>recovered!AP181-recovered!AO181</f>
        <v>0</v>
      </c>
      <c r="AQ181" s="5">
        <f>recovered!AQ181-recovered!AP181</f>
        <v>0</v>
      </c>
      <c r="AR181" s="5">
        <f>recovered!AR181-recovered!AQ181</f>
        <v>0</v>
      </c>
      <c r="AS181" s="5">
        <f>recovered!AS181-recovered!AR181</f>
        <v>0</v>
      </c>
      <c r="AT181" s="5">
        <f>recovered!AT181-recovered!AS181</f>
        <v>0</v>
      </c>
      <c r="AU181" s="5">
        <f>recovered!AU181-recovered!AT181</f>
        <v>0</v>
      </c>
      <c r="AV181" s="5">
        <f>recovered!AV181-recovered!AU181</f>
        <v>0</v>
      </c>
      <c r="AW181" s="5">
        <f>recovered!AW181-recovered!AV181</f>
        <v>0</v>
      </c>
      <c r="AX181" s="5">
        <f>recovered!AX181-recovered!AW181</f>
        <v>0</v>
      </c>
      <c r="AY181" s="5">
        <f>recovered!AY181-recovered!AX181</f>
        <v>0</v>
      </c>
      <c r="AZ181" s="5">
        <f>recovered!AZ181-recovered!AY181</f>
        <v>0</v>
      </c>
      <c r="BA181" s="5">
        <f>recovered!BA181-recovered!AZ181</f>
        <v>1</v>
      </c>
      <c r="BB181" s="5">
        <f>recovered!BB181-recovered!BA181</f>
        <v>0</v>
      </c>
      <c r="BC181" s="5">
        <f>recovered!BC181-recovered!BB181</f>
        <v>0</v>
      </c>
      <c r="BD181" s="5">
        <f>recovered!BD181-recovered!BC181</f>
        <v>0</v>
      </c>
      <c r="BE181" s="5">
        <f>recovered!BE181-recovered!BD181</f>
        <v>0</v>
      </c>
      <c r="BF181" s="5">
        <f>recovered!BF181-recovered!BE181</f>
        <v>0</v>
      </c>
      <c r="BG181" s="5">
        <f>recovered!BG181-recovered!BF181</f>
        <v>0</v>
      </c>
      <c r="BH181" s="5">
        <f>recovered!BH181-recovered!BG181</f>
        <v>3</v>
      </c>
      <c r="BI181" s="5">
        <f>recovered!BI181-recovered!BH181</f>
        <v>0</v>
      </c>
      <c r="BJ181" s="5">
        <f>recovered!BJ181-recovered!BI181</f>
        <v>3</v>
      </c>
      <c r="BK181" s="5">
        <f>recovered!BK181-recovered!BJ181</f>
        <v>0</v>
      </c>
      <c r="BL181" s="5">
        <f>recovered!BL181-recovered!BK181</f>
        <v>5</v>
      </c>
      <c r="BM181" s="5">
        <f>recovered!BM181-recovered!BL181</f>
        <v>4</v>
      </c>
      <c r="BN181" s="5">
        <f>recovered!BN181-recovered!BM181</f>
        <v>0</v>
      </c>
      <c r="BO181" s="5">
        <f>recovered!BO181-recovered!BN181</f>
        <v>3</v>
      </c>
      <c r="BP181" s="5">
        <f>recovered!BP181-recovered!BO181</f>
        <v>6</v>
      </c>
      <c r="BQ181" s="5">
        <f>recovered!BQ181-recovered!BP181</f>
        <v>2</v>
      </c>
      <c r="BR181" s="5">
        <f>recovered!BR181-recovered!BQ181</f>
        <v>3</v>
      </c>
      <c r="BS181" s="5">
        <f>recovered!BS181-recovered!BR181</f>
        <v>4</v>
      </c>
      <c r="BT181" s="5">
        <f>recovered!BT181-recovered!BS181</f>
        <v>7</v>
      </c>
      <c r="BU181" s="5">
        <f>recovered!BU181-recovered!BT181</f>
        <v>0</v>
      </c>
      <c r="BV181" s="5">
        <f>recovered!BV181-recovered!BU181</f>
        <v>7</v>
      </c>
      <c r="BW181" s="5">
        <f>recovered!BW181-recovered!BV181</f>
        <v>1</v>
      </c>
      <c r="BX181" s="5">
        <f>recovered!BX181-recovered!BW181</f>
        <v>1</v>
      </c>
      <c r="BY181" s="5">
        <f>recovered!BY181-recovered!BX181</f>
        <v>1</v>
      </c>
    </row>
    <row r="182">
      <c r="B182" s="1" t="str">
        <f>recovered!B182</f>
        <v>Poland</v>
      </c>
      <c r="C182" s="4">
        <f>recovered!C182</f>
        <v>51.9194</v>
      </c>
      <c r="D182" s="4">
        <f>recovered!D182</f>
        <v>19.1451</v>
      </c>
      <c r="E182" s="5">
        <f>recovered!E182</f>
        <v>0</v>
      </c>
      <c r="F182" s="5">
        <f>recovered!F182-recovered!E182</f>
        <v>0</v>
      </c>
      <c r="G182" s="5">
        <f>recovered!G182-recovered!F182</f>
        <v>0</v>
      </c>
      <c r="H182" s="5">
        <f>recovered!H182-recovered!G182</f>
        <v>0</v>
      </c>
      <c r="I182" s="5">
        <f>recovered!I182-recovered!H182</f>
        <v>0</v>
      </c>
      <c r="J182" s="5">
        <f>recovered!J182-recovered!I182</f>
        <v>0</v>
      </c>
      <c r="K182" s="5">
        <f>recovered!K182-recovered!J182</f>
        <v>0</v>
      </c>
      <c r="L182" s="5">
        <f>recovered!L182-recovered!K182</f>
        <v>0</v>
      </c>
      <c r="M182" s="5">
        <f>recovered!M182-recovered!L182</f>
        <v>0</v>
      </c>
      <c r="N182" s="5">
        <f>recovered!N182-recovered!M182</f>
        <v>0</v>
      </c>
      <c r="O182" s="5">
        <f>recovered!O182-recovered!N182</f>
        <v>0</v>
      </c>
      <c r="P182" s="5">
        <f>recovered!P182-recovered!O182</f>
        <v>0</v>
      </c>
      <c r="Q182" s="5">
        <f>recovered!Q182-recovered!P182</f>
        <v>0</v>
      </c>
      <c r="R182" s="5">
        <f>recovered!R182-recovered!Q182</f>
        <v>0</v>
      </c>
      <c r="S182" s="5">
        <f>recovered!S182-recovered!R182</f>
        <v>0</v>
      </c>
      <c r="T182" s="5">
        <f>recovered!T182-recovered!S182</f>
        <v>0</v>
      </c>
      <c r="U182" s="5">
        <f>recovered!U182-recovered!T182</f>
        <v>0</v>
      </c>
      <c r="V182" s="5">
        <f>recovered!V182-recovered!U182</f>
        <v>0</v>
      </c>
      <c r="W182" s="5">
        <f>recovered!W182-recovered!V182</f>
        <v>0</v>
      </c>
      <c r="X182" s="5">
        <f>recovered!X182-recovered!W182</f>
        <v>0</v>
      </c>
      <c r="Y182" s="5">
        <f>recovered!Y182-recovered!X182</f>
        <v>0</v>
      </c>
      <c r="Z182" s="5">
        <f>recovered!Z182-recovered!Y182</f>
        <v>0</v>
      </c>
      <c r="AA182" s="5">
        <f>recovered!AA182-recovered!Z182</f>
        <v>0</v>
      </c>
      <c r="AB182" s="5">
        <f>recovered!AB182-recovered!AA182</f>
        <v>0</v>
      </c>
      <c r="AC182" s="5">
        <f>recovered!AC182-recovered!AB182</f>
        <v>0</v>
      </c>
      <c r="AD182" s="5">
        <f>recovered!AD182-recovered!AC182</f>
        <v>0</v>
      </c>
      <c r="AE182" s="5">
        <f>recovered!AE182-recovered!AD182</f>
        <v>0</v>
      </c>
      <c r="AF182" s="5">
        <f>recovered!AF182-recovered!AE182</f>
        <v>0</v>
      </c>
      <c r="AG182" s="5">
        <f>recovered!AG182-recovered!AF182</f>
        <v>0</v>
      </c>
      <c r="AH182" s="5">
        <f>recovered!AH182-recovered!AG182</f>
        <v>0</v>
      </c>
      <c r="AI182" s="5">
        <f>recovered!AI182-recovered!AH182</f>
        <v>0</v>
      </c>
      <c r="AJ182" s="5">
        <f>recovered!AJ182-recovered!AI182</f>
        <v>0</v>
      </c>
      <c r="AK182" s="5">
        <f>recovered!AK182-recovered!AJ182</f>
        <v>0</v>
      </c>
      <c r="AL182" s="5">
        <f>recovered!AL182-recovered!AK182</f>
        <v>0</v>
      </c>
      <c r="AM182" s="5">
        <f>recovered!AM182-recovered!AL182</f>
        <v>0</v>
      </c>
      <c r="AN182" s="5">
        <f>recovered!AN182-recovered!AM182</f>
        <v>0</v>
      </c>
      <c r="AO182" s="5">
        <f>recovered!AO182-recovered!AN182</f>
        <v>0</v>
      </c>
      <c r="AP182" s="5">
        <f>recovered!AP182-recovered!AO182</f>
        <v>0</v>
      </c>
      <c r="AQ182" s="5">
        <f>recovered!AQ182-recovered!AP182</f>
        <v>0</v>
      </c>
      <c r="AR182" s="5">
        <f>recovered!AR182-recovered!AQ182</f>
        <v>0</v>
      </c>
      <c r="AS182" s="5">
        <f>recovered!AS182-recovered!AR182</f>
        <v>0</v>
      </c>
      <c r="AT182" s="5">
        <f>recovered!AT182-recovered!AS182</f>
        <v>0</v>
      </c>
      <c r="AU182" s="5">
        <f>recovered!AU182-recovered!AT182</f>
        <v>0</v>
      </c>
      <c r="AV182" s="5">
        <f>recovered!AV182-recovered!AU182</f>
        <v>0</v>
      </c>
      <c r="AW182" s="5">
        <f>recovered!AW182-recovered!AV182</f>
        <v>0</v>
      </c>
      <c r="AX182" s="5">
        <f>recovered!AX182-recovered!AW182</f>
        <v>0</v>
      </c>
      <c r="AY182" s="5">
        <f>recovered!AY182-recovered!AX182</f>
        <v>0</v>
      </c>
      <c r="AZ182" s="5">
        <f>recovered!AZ182-recovered!AY182</f>
        <v>0</v>
      </c>
      <c r="BA182" s="5">
        <f>recovered!BA182-recovered!AZ182</f>
        <v>0</v>
      </c>
      <c r="BB182" s="5">
        <f>recovered!BB182-recovered!BA182</f>
        <v>0</v>
      </c>
      <c r="BC182" s="5">
        <f>recovered!BC182-recovered!BB182</f>
        <v>0</v>
      </c>
      <c r="BD182" s="5">
        <f>recovered!BD182-recovered!BC182</f>
        <v>0</v>
      </c>
      <c r="BE182" s="5">
        <f>recovered!BE182-recovered!BD182</f>
        <v>0</v>
      </c>
      <c r="BF182" s="5">
        <f>recovered!BF182-recovered!BE182</f>
        <v>0</v>
      </c>
      <c r="BG182" s="5">
        <f>recovered!BG182-recovered!BF182</f>
        <v>13</v>
      </c>
      <c r="BH182" s="5">
        <f>recovered!BH182-recovered!BG182</f>
        <v>0</v>
      </c>
      <c r="BI182" s="5">
        <f>recovered!BI182-recovered!BH182</f>
        <v>0</v>
      </c>
      <c r="BJ182" s="5">
        <f>recovered!BJ182-recovered!BI182</f>
        <v>-12</v>
      </c>
      <c r="BK182" s="5">
        <f>recovered!BK182-recovered!BJ182</f>
        <v>0</v>
      </c>
      <c r="BL182" s="5">
        <f>recovered!BL182-recovered!BK182</f>
        <v>0</v>
      </c>
      <c r="BM182" s="5">
        <f>recovered!BM182-recovered!BL182</f>
        <v>0</v>
      </c>
      <c r="BN182" s="5">
        <f>recovered!BN182-recovered!BM182</f>
        <v>0</v>
      </c>
      <c r="BO182" s="5">
        <f>recovered!BO182-recovered!BN182</f>
        <v>0</v>
      </c>
      <c r="BP182" s="5">
        <f>recovered!BP182-recovered!BO182</f>
        <v>6</v>
      </c>
      <c r="BQ182" s="5">
        <f>recovered!BQ182-recovered!BP182</f>
        <v>0</v>
      </c>
      <c r="BR182" s="5">
        <f>recovered!BR182-recovered!BQ182</f>
        <v>0</v>
      </c>
      <c r="BS182" s="5">
        <f>recovered!BS182-recovered!BR182</f>
        <v>0</v>
      </c>
      <c r="BT182" s="5">
        <f>recovered!BT182-recovered!BS182</f>
        <v>0</v>
      </c>
      <c r="BU182" s="5">
        <f>recovered!BU182-recovered!BT182</f>
        <v>0</v>
      </c>
      <c r="BV182" s="5">
        <f>recovered!BV182-recovered!BU182</f>
        <v>0</v>
      </c>
      <c r="BW182" s="5">
        <f>recovered!BW182-recovered!BV182</f>
        <v>40</v>
      </c>
      <c r="BX182" s="5">
        <f>recovered!BX182-recovered!BW182</f>
        <v>9</v>
      </c>
      <c r="BY182" s="5">
        <f>recovered!BY182-recovered!BX182</f>
        <v>0</v>
      </c>
    </row>
    <row r="183">
      <c r="B183" s="1" t="str">
        <f>recovered!B183</f>
        <v>Portugal</v>
      </c>
      <c r="C183" s="4">
        <f>recovered!C183</f>
        <v>39.3999</v>
      </c>
      <c r="D183" s="4">
        <f>recovered!D183</f>
        <v>-8.2245</v>
      </c>
      <c r="E183" s="5">
        <f>recovered!E183</f>
        <v>0</v>
      </c>
      <c r="F183" s="5">
        <f>recovered!F183-recovered!E183</f>
        <v>0</v>
      </c>
      <c r="G183" s="5">
        <f>recovered!G183-recovered!F183</f>
        <v>0</v>
      </c>
      <c r="H183" s="5">
        <f>recovered!H183-recovered!G183</f>
        <v>0</v>
      </c>
      <c r="I183" s="5">
        <f>recovered!I183-recovered!H183</f>
        <v>0</v>
      </c>
      <c r="J183" s="5">
        <f>recovered!J183-recovered!I183</f>
        <v>0</v>
      </c>
      <c r="K183" s="5">
        <f>recovered!K183-recovered!J183</f>
        <v>0</v>
      </c>
      <c r="L183" s="5">
        <f>recovered!L183-recovered!K183</f>
        <v>0</v>
      </c>
      <c r="M183" s="5">
        <f>recovered!M183-recovered!L183</f>
        <v>0</v>
      </c>
      <c r="N183" s="5">
        <f>recovered!N183-recovered!M183</f>
        <v>0</v>
      </c>
      <c r="O183" s="5">
        <f>recovered!O183-recovered!N183</f>
        <v>0</v>
      </c>
      <c r="P183" s="5">
        <f>recovered!P183-recovered!O183</f>
        <v>0</v>
      </c>
      <c r="Q183" s="5">
        <f>recovered!Q183-recovered!P183</f>
        <v>0</v>
      </c>
      <c r="R183" s="5">
        <f>recovered!R183-recovered!Q183</f>
        <v>0</v>
      </c>
      <c r="S183" s="5">
        <f>recovered!S183-recovered!R183</f>
        <v>0</v>
      </c>
      <c r="T183" s="5">
        <f>recovered!T183-recovered!S183</f>
        <v>0</v>
      </c>
      <c r="U183" s="5">
        <f>recovered!U183-recovered!T183</f>
        <v>0</v>
      </c>
      <c r="V183" s="5">
        <f>recovered!V183-recovered!U183</f>
        <v>0</v>
      </c>
      <c r="W183" s="5">
        <f>recovered!W183-recovered!V183</f>
        <v>0</v>
      </c>
      <c r="X183" s="5">
        <f>recovered!X183-recovered!W183</f>
        <v>0</v>
      </c>
      <c r="Y183" s="5">
        <f>recovered!Y183-recovered!X183</f>
        <v>0</v>
      </c>
      <c r="Z183" s="5">
        <f>recovered!Z183-recovered!Y183</f>
        <v>0</v>
      </c>
      <c r="AA183" s="5">
        <f>recovered!AA183-recovered!Z183</f>
        <v>0</v>
      </c>
      <c r="AB183" s="5">
        <f>recovered!AB183-recovered!AA183</f>
        <v>0</v>
      </c>
      <c r="AC183" s="5">
        <f>recovered!AC183-recovered!AB183</f>
        <v>0</v>
      </c>
      <c r="AD183" s="5">
        <f>recovered!AD183-recovered!AC183</f>
        <v>0</v>
      </c>
      <c r="AE183" s="5">
        <f>recovered!AE183-recovered!AD183</f>
        <v>0</v>
      </c>
      <c r="AF183" s="5">
        <f>recovered!AF183-recovered!AE183</f>
        <v>0</v>
      </c>
      <c r="AG183" s="5">
        <f>recovered!AG183-recovered!AF183</f>
        <v>0</v>
      </c>
      <c r="AH183" s="5">
        <f>recovered!AH183-recovered!AG183</f>
        <v>0</v>
      </c>
      <c r="AI183" s="5">
        <f>recovered!AI183-recovered!AH183</f>
        <v>0</v>
      </c>
      <c r="AJ183" s="5">
        <f>recovered!AJ183-recovered!AI183</f>
        <v>0</v>
      </c>
      <c r="AK183" s="5">
        <f>recovered!AK183-recovered!AJ183</f>
        <v>0</v>
      </c>
      <c r="AL183" s="5">
        <f>recovered!AL183-recovered!AK183</f>
        <v>0</v>
      </c>
      <c r="AM183" s="5">
        <f>recovered!AM183-recovered!AL183</f>
        <v>0</v>
      </c>
      <c r="AN183" s="5">
        <f>recovered!AN183-recovered!AM183</f>
        <v>0</v>
      </c>
      <c r="AO183" s="5">
        <f>recovered!AO183-recovered!AN183</f>
        <v>0</v>
      </c>
      <c r="AP183" s="5">
        <f>recovered!AP183-recovered!AO183</f>
        <v>0</v>
      </c>
      <c r="AQ183" s="5">
        <f>recovered!AQ183-recovered!AP183</f>
        <v>0</v>
      </c>
      <c r="AR183" s="5">
        <f>recovered!AR183-recovered!AQ183</f>
        <v>0</v>
      </c>
      <c r="AS183" s="5">
        <f>recovered!AS183-recovered!AR183</f>
        <v>0</v>
      </c>
      <c r="AT183" s="5">
        <f>recovered!AT183-recovered!AS183</f>
        <v>0</v>
      </c>
      <c r="AU183" s="5">
        <f>recovered!AU183-recovered!AT183</f>
        <v>0</v>
      </c>
      <c r="AV183" s="5">
        <f>recovered!AV183-recovered!AU183</f>
        <v>0</v>
      </c>
      <c r="AW183" s="5">
        <f>recovered!AW183-recovered!AV183</f>
        <v>0</v>
      </c>
      <c r="AX183" s="5">
        <f>recovered!AX183-recovered!AW183</f>
        <v>0</v>
      </c>
      <c r="AY183" s="5">
        <f>recovered!AY183-recovered!AX183</f>
        <v>0</v>
      </c>
      <c r="AZ183" s="5">
        <f>recovered!AZ183-recovered!AY183</f>
        <v>0</v>
      </c>
      <c r="BA183" s="5">
        <f>recovered!BA183-recovered!AZ183</f>
        <v>0</v>
      </c>
      <c r="BB183" s="5">
        <f>recovered!BB183-recovered!BA183</f>
        <v>0</v>
      </c>
      <c r="BC183" s="5">
        <f>recovered!BC183-recovered!BB183</f>
        <v>0</v>
      </c>
      <c r="BD183" s="5">
        <f>recovered!BD183-recovered!BC183</f>
        <v>1</v>
      </c>
      <c r="BE183" s="5">
        <f>recovered!BE183-recovered!BD183</f>
        <v>1</v>
      </c>
      <c r="BF183" s="5">
        <f>recovered!BF183-recovered!BE183</f>
        <v>0</v>
      </c>
      <c r="BG183" s="5">
        <f>recovered!BG183-recovered!BF183</f>
        <v>1</v>
      </c>
      <c r="BH183" s="5">
        <f>recovered!BH183-recovered!BG183</f>
        <v>0</v>
      </c>
      <c r="BI183" s="5">
        <f>recovered!BI183-recovered!BH183</f>
        <v>0</v>
      </c>
      <c r="BJ183" s="5">
        <f>recovered!BJ183-recovered!BI183</f>
        <v>0</v>
      </c>
      <c r="BK183" s="5">
        <f>recovered!BK183-recovered!BJ183</f>
        <v>2</v>
      </c>
      <c r="BL183" s="5">
        <f>recovered!BL183-recovered!BK183</f>
        <v>0</v>
      </c>
      <c r="BM183" s="5">
        <f>recovered!BM183-recovered!BL183</f>
        <v>0</v>
      </c>
      <c r="BN183" s="5">
        <f>recovered!BN183-recovered!BM183</f>
        <v>0</v>
      </c>
      <c r="BO183" s="5">
        <f>recovered!BO183-recovered!BN183</f>
        <v>17</v>
      </c>
      <c r="BP183" s="5">
        <f>recovered!BP183-recovered!BO183</f>
        <v>0</v>
      </c>
      <c r="BQ183" s="5">
        <f>recovered!BQ183-recovered!BP183</f>
        <v>21</v>
      </c>
      <c r="BR183" s="5">
        <f>recovered!BR183-recovered!BQ183</f>
        <v>0</v>
      </c>
      <c r="BS183" s="5">
        <f>recovered!BS183-recovered!BR183</f>
        <v>0</v>
      </c>
      <c r="BT183" s="5">
        <f>recovered!BT183-recovered!BS183</f>
        <v>0</v>
      </c>
      <c r="BU183" s="5">
        <f>recovered!BU183-recovered!BT183</f>
        <v>0</v>
      </c>
      <c r="BV183" s="5">
        <f>recovered!BV183-recovered!BU183</f>
        <v>0</v>
      </c>
      <c r="BW183" s="5">
        <f>recovered!BW183-recovered!BV183</f>
        <v>0</v>
      </c>
      <c r="BX183" s="5">
        <f>recovered!BX183-recovered!BW183</f>
        <v>25</v>
      </c>
      <c r="BY183" s="5">
        <f>recovered!BY183-recovered!BX183</f>
        <v>0</v>
      </c>
    </row>
    <row r="184">
      <c r="B184" s="1" t="str">
        <f>recovered!B184</f>
        <v>Qatar</v>
      </c>
      <c r="C184" s="4">
        <f>recovered!C184</f>
        <v>25.3548</v>
      </c>
      <c r="D184" s="4">
        <f>recovered!D184</f>
        <v>51.1839</v>
      </c>
      <c r="E184" s="5">
        <f>recovered!E184</f>
        <v>0</v>
      </c>
      <c r="F184" s="5">
        <f>recovered!F184-recovered!E184</f>
        <v>0</v>
      </c>
      <c r="G184" s="5">
        <f>recovered!G184-recovered!F184</f>
        <v>0</v>
      </c>
      <c r="H184" s="5">
        <f>recovered!H184-recovered!G184</f>
        <v>0</v>
      </c>
      <c r="I184" s="5">
        <f>recovered!I184-recovered!H184</f>
        <v>0</v>
      </c>
      <c r="J184" s="5">
        <f>recovered!J184-recovered!I184</f>
        <v>0</v>
      </c>
      <c r="K184" s="5">
        <f>recovered!K184-recovered!J184</f>
        <v>0</v>
      </c>
      <c r="L184" s="5">
        <f>recovered!L184-recovered!K184</f>
        <v>0</v>
      </c>
      <c r="M184" s="5">
        <f>recovered!M184-recovered!L184</f>
        <v>0</v>
      </c>
      <c r="N184" s="5">
        <f>recovered!N184-recovered!M184</f>
        <v>0</v>
      </c>
      <c r="O184" s="5">
        <f>recovered!O184-recovered!N184</f>
        <v>0</v>
      </c>
      <c r="P184" s="5">
        <f>recovered!P184-recovered!O184</f>
        <v>0</v>
      </c>
      <c r="Q184" s="5">
        <f>recovered!Q184-recovered!P184</f>
        <v>0</v>
      </c>
      <c r="R184" s="5">
        <f>recovered!R184-recovered!Q184</f>
        <v>0</v>
      </c>
      <c r="S184" s="5">
        <f>recovered!S184-recovered!R184</f>
        <v>0</v>
      </c>
      <c r="T184" s="5">
        <f>recovered!T184-recovered!S184</f>
        <v>0</v>
      </c>
      <c r="U184" s="5">
        <f>recovered!U184-recovered!T184</f>
        <v>0</v>
      </c>
      <c r="V184" s="5">
        <f>recovered!V184-recovered!U184</f>
        <v>0</v>
      </c>
      <c r="W184" s="5">
        <f>recovered!W184-recovered!V184</f>
        <v>0</v>
      </c>
      <c r="X184" s="5">
        <f>recovered!X184-recovered!W184</f>
        <v>0</v>
      </c>
      <c r="Y184" s="5">
        <f>recovered!Y184-recovered!X184</f>
        <v>0</v>
      </c>
      <c r="Z184" s="5">
        <f>recovered!Z184-recovered!Y184</f>
        <v>0</v>
      </c>
      <c r="AA184" s="5">
        <f>recovered!AA184-recovered!Z184</f>
        <v>0</v>
      </c>
      <c r="AB184" s="5">
        <f>recovered!AB184-recovered!AA184</f>
        <v>0</v>
      </c>
      <c r="AC184" s="5">
        <f>recovered!AC184-recovered!AB184</f>
        <v>0</v>
      </c>
      <c r="AD184" s="5">
        <f>recovered!AD184-recovered!AC184</f>
        <v>0</v>
      </c>
      <c r="AE184" s="5">
        <f>recovered!AE184-recovered!AD184</f>
        <v>0</v>
      </c>
      <c r="AF184" s="5">
        <f>recovered!AF184-recovered!AE184</f>
        <v>0</v>
      </c>
      <c r="AG184" s="5">
        <f>recovered!AG184-recovered!AF184</f>
        <v>0</v>
      </c>
      <c r="AH184" s="5">
        <f>recovered!AH184-recovered!AG184</f>
        <v>0</v>
      </c>
      <c r="AI184" s="5">
        <f>recovered!AI184-recovered!AH184</f>
        <v>0</v>
      </c>
      <c r="AJ184" s="5">
        <f>recovered!AJ184-recovered!AI184</f>
        <v>0</v>
      </c>
      <c r="AK184" s="5">
        <f>recovered!AK184-recovered!AJ184</f>
        <v>0</v>
      </c>
      <c r="AL184" s="5">
        <f>recovered!AL184-recovered!AK184</f>
        <v>0</v>
      </c>
      <c r="AM184" s="5">
        <f>recovered!AM184-recovered!AL184</f>
        <v>0</v>
      </c>
      <c r="AN184" s="5">
        <f>recovered!AN184-recovered!AM184</f>
        <v>0</v>
      </c>
      <c r="AO184" s="5">
        <f>recovered!AO184-recovered!AN184</f>
        <v>0</v>
      </c>
      <c r="AP184" s="5">
        <f>recovered!AP184-recovered!AO184</f>
        <v>0</v>
      </c>
      <c r="AQ184" s="5">
        <f>recovered!AQ184-recovered!AP184</f>
        <v>0</v>
      </c>
      <c r="AR184" s="5">
        <f>recovered!AR184-recovered!AQ184</f>
        <v>0</v>
      </c>
      <c r="AS184" s="5">
        <f>recovered!AS184-recovered!AR184</f>
        <v>0</v>
      </c>
      <c r="AT184" s="5">
        <f>recovered!AT184-recovered!AS184</f>
        <v>0</v>
      </c>
      <c r="AU184" s="5">
        <f>recovered!AU184-recovered!AT184</f>
        <v>0</v>
      </c>
      <c r="AV184" s="5">
        <f>recovered!AV184-recovered!AU184</f>
        <v>0</v>
      </c>
      <c r="AW184" s="5">
        <f>recovered!AW184-recovered!AV184</f>
        <v>0</v>
      </c>
      <c r="AX184" s="5">
        <f>recovered!AX184-recovered!AW184</f>
        <v>0</v>
      </c>
      <c r="AY184" s="5">
        <f>recovered!AY184-recovered!AX184</f>
        <v>0</v>
      </c>
      <c r="AZ184" s="5">
        <f>recovered!AZ184-recovered!AY184</f>
        <v>0</v>
      </c>
      <c r="BA184" s="5">
        <f>recovered!BA184-recovered!AZ184</f>
        <v>0</v>
      </c>
      <c r="BB184" s="5">
        <f>recovered!BB184-recovered!BA184</f>
        <v>0</v>
      </c>
      <c r="BC184" s="5">
        <f>recovered!BC184-recovered!BB184</f>
        <v>0</v>
      </c>
      <c r="BD184" s="5">
        <f>recovered!BD184-recovered!BC184</f>
        <v>0</v>
      </c>
      <c r="BE184" s="5">
        <f>recovered!BE184-recovered!BD184</f>
        <v>4</v>
      </c>
      <c r="BF184" s="5">
        <f>recovered!BF184-recovered!BE184</f>
        <v>0</v>
      </c>
      <c r="BG184" s="5">
        <f>recovered!BG184-recovered!BF184</f>
        <v>0</v>
      </c>
      <c r="BH184" s="5">
        <f>recovered!BH184-recovered!BG184</f>
        <v>0</v>
      </c>
      <c r="BI184" s="5">
        <f>recovered!BI184-recovered!BH184</f>
        <v>0</v>
      </c>
      <c r="BJ184" s="5">
        <f>recovered!BJ184-recovered!BI184</f>
        <v>0</v>
      </c>
      <c r="BK184" s="5">
        <f>recovered!BK184-recovered!BJ184</f>
        <v>6</v>
      </c>
      <c r="BL184" s="5">
        <f>recovered!BL184-recovered!BK184</f>
        <v>17</v>
      </c>
      <c r="BM184" s="5">
        <f>recovered!BM184-recovered!BL184</f>
        <v>6</v>
      </c>
      <c r="BN184" s="5">
        <f>recovered!BN184-recovered!BM184</f>
        <v>0</v>
      </c>
      <c r="BO184" s="5">
        <f>recovered!BO184-recovered!BN184</f>
        <v>8</v>
      </c>
      <c r="BP184" s="5">
        <f>recovered!BP184-recovered!BO184</f>
        <v>0</v>
      </c>
      <c r="BQ184" s="5">
        <f>recovered!BQ184-recovered!BP184</f>
        <v>2</v>
      </c>
      <c r="BR184" s="5">
        <f>recovered!BR184-recovered!BQ184</f>
        <v>0</v>
      </c>
      <c r="BS184" s="5">
        <f>recovered!BS184-recovered!BR184</f>
        <v>2</v>
      </c>
      <c r="BT184" s="5">
        <f>recovered!BT184-recovered!BS184</f>
        <v>3</v>
      </c>
      <c r="BU184" s="5">
        <f>recovered!BU184-recovered!BT184</f>
        <v>3</v>
      </c>
      <c r="BV184" s="5">
        <f>recovered!BV184-recovered!BU184</f>
        <v>11</v>
      </c>
      <c r="BW184" s="5">
        <f>recovered!BW184-recovered!BV184</f>
        <v>9</v>
      </c>
      <c r="BX184" s="5">
        <f>recovered!BX184-recovered!BW184</f>
        <v>1</v>
      </c>
      <c r="BY184" s="5">
        <f>recovered!BY184-recovered!BX184</f>
        <v>21</v>
      </c>
    </row>
    <row r="185">
      <c r="B185" s="1" t="str">
        <f>recovered!B185</f>
        <v>Romania</v>
      </c>
      <c r="C185" s="4">
        <f>recovered!C185</f>
        <v>45.9432</v>
      </c>
      <c r="D185" s="4">
        <f>recovered!D185</f>
        <v>24.9668</v>
      </c>
      <c r="E185" s="5">
        <f>recovered!E185</f>
        <v>0</v>
      </c>
      <c r="F185" s="5">
        <f>recovered!F185-recovered!E185</f>
        <v>0</v>
      </c>
      <c r="G185" s="5">
        <f>recovered!G185-recovered!F185</f>
        <v>0</v>
      </c>
      <c r="H185" s="5">
        <f>recovered!H185-recovered!G185</f>
        <v>0</v>
      </c>
      <c r="I185" s="5">
        <f>recovered!I185-recovered!H185</f>
        <v>0</v>
      </c>
      <c r="J185" s="5">
        <f>recovered!J185-recovered!I185</f>
        <v>0</v>
      </c>
      <c r="K185" s="5">
        <f>recovered!K185-recovered!J185</f>
        <v>0</v>
      </c>
      <c r="L185" s="5">
        <f>recovered!L185-recovered!K185</f>
        <v>0</v>
      </c>
      <c r="M185" s="5">
        <f>recovered!M185-recovered!L185</f>
        <v>0</v>
      </c>
      <c r="N185" s="5">
        <f>recovered!N185-recovered!M185</f>
        <v>0</v>
      </c>
      <c r="O185" s="5">
        <f>recovered!O185-recovered!N185</f>
        <v>0</v>
      </c>
      <c r="P185" s="5">
        <f>recovered!P185-recovered!O185</f>
        <v>0</v>
      </c>
      <c r="Q185" s="5">
        <f>recovered!Q185-recovered!P185</f>
        <v>0</v>
      </c>
      <c r="R185" s="5">
        <f>recovered!R185-recovered!Q185</f>
        <v>0</v>
      </c>
      <c r="S185" s="5">
        <f>recovered!S185-recovered!R185</f>
        <v>0</v>
      </c>
      <c r="T185" s="5">
        <f>recovered!T185-recovered!S185</f>
        <v>0</v>
      </c>
      <c r="U185" s="5">
        <f>recovered!U185-recovered!T185</f>
        <v>0</v>
      </c>
      <c r="V185" s="5">
        <f>recovered!V185-recovered!U185</f>
        <v>0</v>
      </c>
      <c r="W185" s="5">
        <f>recovered!W185-recovered!V185</f>
        <v>0</v>
      </c>
      <c r="X185" s="5">
        <f>recovered!X185-recovered!W185</f>
        <v>0</v>
      </c>
      <c r="Y185" s="5">
        <f>recovered!Y185-recovered!X185</f>
        <v>0</v>
      </c>
      <c r="Z185" s="5">
        <f>recovered!Z185-recovered!Y185</f>
        <v>0</v>
      </c>
      <c r="AA185" s="5">
        <f>recovered!AA185-recovered!Z185</f>
        <v>0</v>
      </c>
      <c r="AB185" s="5">
        <f>recovered!AB185-recovered!AA185</f>
        <v>0</v>
      </c>
      <c r="AC185" s="5">
        <f>recovered!AC185-recovered!AB185</f>
        <v>0</v>
      </c>
      <c r="AD185" s="5">
        <f>recovered!AD185-recovered!AC185</f>
        <v>0</v>
      </c>
      <c r="AE185" s="5">
        <f>recovered!AE185-recovered!AD185</f>
        <v>0</v>
      </c>
      <c r="AF185" s="5">
        <f>recovered!AF185-recovered!AE185</f>
        <v>0</v>
      </c>
      <c r="AG185" s="5">
        <f>recovered!AG185-recovered!AF185</f>
        <v>0</v>
      </c>
      <c r="AH185" s="5">
        <f>recovered!AH185-recovered!AG185</f>
        <v>0</v>
      </c>
      <c r="AI185" s="5">
        <f>recovered!AI185-recovered!AH185</f>
        <v>0</v>
      </c>
      <c r="AJ185" s="5">
        <f>recovered!AJ185-recovered!AI185</f>
        <v>0</v>
      </c>
      <c r="AK185" s="5">
        <f>recovered!AK185-recovered!AJ185</f>
        <v>0</v>
      </c>
      <c r="AL185" s="5">
        <f>recovered!AL185-recovered!AK185</f>
        <v>0</v>
      </c>
      <c r="AM185" s="5">
        <f>recovered!AM185-recovered!AL185</f>
        <v>0</v>
      </c>
      <c r="AN185" s="5">
        <f>recovered!AN185-recovered!AM185</f>
        <v>0</v>
      </c>
      <c r="AO185" s="5">
        <f>recovered!AO185-recovered!AN185</f>
        <v>0</v>
      </c>
      <c r="AP185" s="5">
        <f>recovered!AP185-recovered!AO185</f>
        <v>0</v>
      </c>
      <c r="AQ185" s="5">
        <f>recovered!AQ185-recovered!AP185</f>
        <v>0</v>
      </c>
      <c r="AR185" s="5">
        <f>recovered!AR185-recovered!AQ185</f>
        <v>0</v>
      </c>
      <c r="AS185" s="5">
        <f>recovered!AS185-recovered!AR185</f>
        <v>0</v>
      </c>
      <c r="AT185" s="5">
        <f>recovered!AT185-recovered!AS185</f>
        <v>0</v>
      </c>
      <c r="AU185" s="5">
        <f>recovered!AU185-recovered!AT185</f>
        <v>1</v>
      </c>
      <c r="AV185" s="5">
        <f>recovered!AV185-recovered!AU185</f>
        <v>0</v>
      </c>
      <c r="AW185" s="5">
        <f>recovered!AW185-recovered!AV185</f>
        <v>0</v>
      </c>
      <c r="AX185" s="5">
        <f>recovered!AX185-recovered!AW185</f>
        <v>2</v>
      </c>
      <c r="AY185" s="5">
        <f>recovered!AY185-recovered!AX185</f>
        <v>0</v>
      </c>
      <c r="AZ185" s="5">
        <f>recovered!AZ185-recovered!AY185</f>
        <v>0</v>
      </c>
      <c r="BA185" s="5">
        <f>recovered!BA185-recovered!AZ185</f>
        <v>0</v>
      </c>
      <c r="BB185" s="5">
        <f>recovered!BB185-recovered!BA185</f>
        <v>3</v>
      </c>
      <c r="BC185" s="5">
        <f>recovered!BC185-recovered!BB185</f>
        <v>0</v>
      </c>
      <c r="BD185" s="5">
        <f>recovered!BD185-recovered!BC185</f>
        <v>1</v>
      </c>
      <c r="BE185" s="5">
        <f>recovered!BE185-recovered!BD185</f>
        <v>2</v>
      </c>
      <c r="BF185" s="5">
        <f>recovered!BF185-recovered!BE185</f>
        <v>0</v>
      </c>
      <c r="BG185" s="5">
        <f>recovered!BG185-recovered!BF185</f>
        <v>0</v>
      </c>
      <c r="BH185" s="5">
        <f>recovered!BH185-recovered!BG185</f>
        <v>7</v>
      </c>
      <c r="BI185" s="5">
        <f>recovered!BI185-recovered!BH185</f>
        <v>3</v>
      </c>
      <c r="BJ185" s="5">
        <f>recovered!BJ185-recovered!BI185</f>
        <v>6</v>
      </c>
      <c r="BK185" s="5">
        <f>recovered!BK185-recovered!BJ185</f>
        <v>0</v>
      </c>
      <c r="BL185" s="5">
        <f>recovered!BL185-recovered!BK185</f>
        <v>27</v>
      </c>
      <c r="BM185" s="5">
        <f>recovered!BM185-recovered!BL185</f>
        <v>12</v>
      </c>
      <c r="BN185" s="5">
        <f>recovered!BN185-recovered!BM185</f>
        <v>0</v>
      </c>
      <c r="BO185" s="5">
        <f>recovered!BO185-recovered!BN185</f>
        <v>15</v>
      </c>
      <c r="BP185" s="5">
        <f>recovered!BP185-recovered!BO185</f>
        <v>7</v>
      </c>
      <c r="BQ185" s="5">
        <f>recovered!BQ185-recovered!BP185</f>
        <v>8</v>
      </c>
      <c r="BR185" s="5">
        <f>recovered!BR185-recovered!BQ185</f>
        <v>21</v>
      </c>
      <c r="BS185" s="5">
        <f>recovered!BS185-recovered!BR185</f>
        <v>24</v>
      </c>
      <c r="BT185" s="5">
        <f>recovered!BT185-recovered!BS185</f>
        <v>67</v>
      </c>
      <c r="BU185" s="5">
        <f>recovered!BU185-recovered!BT185</f>
        <v>3</v>
      </c>
      <c r="BV185" s="5">
        <f>recovered!BV185-recovered!BU185</f>
        <v>11</v>
      </c>
      <c r="BW185" s="5">
        <f>recovered!BW185-recovered!BV185</f>
        <v>32</v>
      </c>
      <c r="BX185" s="5">
        <f>recovered!BX185-recovered!BW185</f>
        <v>15</v>
      </c>
      <c r="BY185" s="5">
        <f>recovered!BY185-recovered!BX185</f>
        <v>16</v>
      </c>
    </row>
    <row r="186">
      <c r="B186" s="1" t="str">
        <f>recovered!B186</f>
        <v>Russia</v>
      </c>
      <c r="C186" s="4">
        <f>recovered!C186</f>
        <v>60</v>
      </c>
      <c r="D186" s="4">
        <f>recovered!D186</f>
        <v>90</v>
      </c>
      <c r="E186" s="5">
        <f>recovered!E186</f>
        <v>0</v>
      </c>
      <c r="F186" s="5">
        <f>recovered!F186-recovered!E186</f>
        <v>0</v>
      </c>
      <c r="G186" s="5">
        <f>recovered!G186-recovered!F186</f>
        <v>0</v>
      </c>
      <c r="H186" s="5">
        <f>recovered!H186-recovered!G186</f>
        <v>0</v>
      </c>
      <c r="I186" s="5">
        <f>recovered!I186-recovered!H186</f>
        <v>0</v>
      </c>
      <c r="J186" s="5">
        <f>recovered!J186-recovered!I186</f>
        <v>0</v>
      </c>
      <c r="K186" s="5">
        <f>recovered!K186-recovered!J186</f>
        <v>0</v>
      </c>
      <c r="L186" s="5">
        <f>recovered!L186-recovered!K186</f>
        <v>0</v>
      </c>
      <c r="M186" s="5">
        <f>recovered!M186-recovered!L186</f>
        <v>0</v>
      </c>
      <c r="N186" s="5">
        <f>recovered!N186-recovered!M186</f>
        <v>0</v>
      </c>
      <c r="O186" s="5">
        <f>recovered!O186-recovered!N186</f>
        <v>0</v>
      </c>
      <c r="P186" s="5">
        <f>recovered!P186-recovered!O186</f>
        <v>0</v>
      </c>
      <c r="Q186" s="5">
        <f>recovered!Q186-recovered!P186</f>
        <v>0</v>
      </c>
      <c r="R186" s="5">
        <f>recovered!R186-recovered!Q186</f>
        <v>0</v>
      </c>
      <c r="S186" s="5">
        <f>recovered!S186-recovered!R186</f>
        <v>0</v>
      </c>
      <c r="T186" s="5">
        <f>recovered!T186-recovered!S186</f>
        <v>0</v>
      </c>
      <c r="U186" s="5">
        <f>recovered!U186-recovered!T186</f>
        <v>0</v>
      </c>
      <c r="V186" s="5">
        <f>recovered!V186-recovered!U186</f>
        <v>0</v>
      </c>
      <c r="W186" s="5">
        <f>recovered!W186-recovered!V186</f>
        <v>0</v>
      </c>
      <c r="X186" s="5">
        <f>recovered!X186-recovered!W186</f>
        <v>0</v>
      </c>
      <c r="Y186" s="5">
        <f>recovered!Y186-recovered!X186</f>
        <v>0</v>
      </c>
      <c r="Z186" s="5">
        <f>recovered!Z186-recovered!Y186</f>
        <v>2</v>
      </c>
      <c r="AA186" s="5">
        <f>recovered!AA186-recovered!Z186</f>
        <v>0</v>
      </c>
      <c r="AB186" s="5">
        <f>recovered!AB186-recovered!AA186</f>
        <v>0</v>
      </c>
      <c r="AC186" s="5">
        <f>recovered!AC186-recovered!AB186</f>
        <v>0</v>
      </c>
      <c r="AD186" s="5">
        <f>recovered!AD186-recovered!AC186</f>
        <v>0</v>
      </c>
      <c r="AE186" s="5">
        <f>recovered!AE186-recovered!AD186</f>
        <v>0</v>
      </c>
      <c r="AF186" s="5">
        <f>recovered!AF186-recovered!AE186</f>
        <v>0</v>
      </c>
      <c r="AG186" s="5">
        <f>recovered!AG186-recovered!AF186</f>
        <v>0</v>
      </c>
      <c r="AH186" s="5">
        <f>recovered!AH186-recovered!AG186</f>
        <v>0</v>
      </c>
      <c r="AI186" s="5">
        <f>recovered!AI186-recovered!AH186</f>
        <v>0</v>
      </c>
      <c r="AJ186" s="5">
        <f>recovered!AJ186-recovered!AI186</f>
        <v>0</v>
      </c>
      <c r="AK186" s="5">
        <f>recovered!AK186-recovered!AJ186</f>
        <v>0</v>
      </c>
      <c r="AL186" s="5">
        <f>recovered!AL186-recovered!AK186</f>
        <v>0</v>
      </c>
      <c r="AM186" s="5">
        <f>recovered!AM186-recovered!AL186</f>
        <v>0</v>
      </c>
      <c r="AN186" s="5">
        <f>recovered!AN186-recovered!AM186</f>
        <v>0</v>
      </c>
      <c r="AO186" s="5">
        <f>recovered!AO186-recovered!AN186</f>
        <v>0</v>
      </c>
      <c r="AP186" s="5">
        <f>recovered!AP186-recovered!AO186</f>
        <v>0</v>
      </c>
      <c r="AQ186" s="5">
        <f>recovered!AQ186-recovered!AP186</f>
        <v>0</v>
      </c>
      <c r="AR186" s="5">
        <f>recovered!AR186-recovered!AQ186</f>
        <v>0</v>
      </c>
      <c r="AS186" s="5">
        <f>recovered!AS186-recovered!AR186</f>
        <v>0</v>
      </c>
      <c r="AT186" s="5">
        <f>recovered!AT186-recovered!AS186</f>
        <v>0</v>
      </c>
      <c r="AU186" s="5">
        <f>recovered!AU186-recovered!AT186</f>
        <v>0</v>
      </c>
      <c r="AV186" s="5">
        <f>recovered!AV186-recovered!AU186</f>
        <v>0</v>
      </c>
      <c r="AW186" s="5">
        <f>recovered!AW186-recovered!AV186</f>
        <v>0</v>
      </c>
      <c r="AX186" s="5">
        <f>recovered!AX186-recovered!AW186</f>
        <v>0</v>
      </c>
      <c r="AY186" s="5">
        <f>recovered!AY186-recovered!AX186</f>
        <v>1</v>
      </c>
      <c r="AZ186" s="5">
        <f>recovered!AZ186-recovered!AY186</f>
        <v>0</v>
      </c>
      <c r="BA186" s="5">
        <f>recovered!BA186-recovered!AZ186</f>
        <v>0</v>
      </c>
      <c r="BB186" s="5">
        <f>recovered!BB186-recovered!BA186</f>
        <v>0</v>
      </c>
      <c r="BC186" s="5">
        <f>recovered!BC186-recovered!BB186</f>
        <v>0</v>
      </c>
      <c r="BD186" s="5">
        <f>recovered!BD186-recovered!BC186</f>
        <v>0</v>
      </c>
      <c r="BE186" s="5">
        <f>recovered!BE186-recovered!BD186</f>
        <v>5</v>
      </c>
      <c r="BF186" s="5">
        <f>recovered!BF186-recovered!BE186</f>
        <v>0</v>
      </c>
      <c r="BG186" s="5">
        <f>recovered!BG186-recovered!BF186</f>
        <v>0</v>
      </c>
      <c r="BH186" s="5">
        <f>recovered!BH186-recovered!BG186</f>
        <v>0</v>
      </c>
      <c r="BI186" s="5">
        <f>recovered!BI186-recovered!BH186</f>
        <v>0</v>
      </c>
      <c r="BJ186" s="5">
        <f>recovered!BJ186-recovered!BI186</f>
        <v>1</v>
      </c>
      <c r="BK186" s="5">
        <f>recovered!BK186-recovered!BJ186</f>
        <v>0</v>
      </c>
      <c r="BL186" s="5">
        <f>recovered!BL186-recovered!BK186</f>
        <v>3</v>
      </c>
      <c r="BM186" s="5">
        <f>recovered!BM186-recovered!BL186</f>
        <v>4</v>
      </c>
      <c r="BN186" s="5">
        <f>recovered!BN186-recovered!BM186</f>
        <v>0</v>
      </c>
      <c r="BO186" s="5">
        <f>recovered!BO186-recovered!BN186</f>
        <v>6</v>
      </c>
      <c r="BP186" s="5">
        <f>recovered!BP186-recovered!BO186</f>
        <v>7</v>
      </c>
      <c r="BQ186" s="5">
        <f>recovered!BQ186-recovered!BP186</f>
        <v>9</v>
      </c>
      <c r="BR186" s="5">
        <f>recovered!BR186-recovered!BQ186</f>
        <v>7</v>
      </c>
      <c r="BS186" s="5">
        <f>recovered!BS186-recovered!BR186</f>
        <v>4</v>
      </c>
      <c r="BT186" s="5">
        <f>recovered!BT186-recovered!BS186</f>
        <v>15</v>
      </c>
      <c r="BU186" s="5">
        <f>recovered!BU186-recovered!BT186</f>
        <v>2</v>
      </c>
      <c r="BV186" s="5">
        <f>recovered!BV186-recovered!BU186</f>
        <v>55</v>
      </c>
      <c r="BW186" s="5">
        <f>recovered!BW186-recovered!BV186</f>
        <v>69</v>
      </c>
      <c r="BX186" s="5">
        <f>recovered!BX186-recovered!BW186</f>
        <v>45</v>
      </c>
      <c r="BY186" s="5">
        <f>recovered!BY186-recovered!BX186</f>
        <v>46</v>
      </c>
    </row>
    <row r="187">
      <c r="B187" s="1" t="str">
        <f>recovered!B187</f>
        <v>Rwanda</v>
      </c>
      <c r="C187" s="4">
        <f>recovered!C187</f>
        <v>-1.9403</v>
      </c>
      <c r="D187" s="4">
        <f>recovered!D187</f>
        <v>29.8739</v>
      </c>
      <c r="E187" s="5">
        <f>recovered!E187</f>
        <v>0</v>
      </c>
      <c r="F187" s="5">
        <f>recovered!F187-recovered!E187</f>
        <v>0</v>
      </c>
      <c r="G187" s="5">
        <f>recovered!G187-recovered!F187</f>
        <v>0</v>
      </c>
      <c r="H187" s="5">
        <f>recovered!H187-recovered!G187</f>
        <v>0</v>
      </c>
      <c r="I187" s="5">
        <f>recovered!I187-recovered!H187</f>
        <v>0</v>
      </c>
      <c r="J187" s="5">
        <f>recovered!J187-recovered!I187</f>
        <v>0</v>
      </c>
      <c r="K187" s="5">
        <f>recovered!K187-recovered!J187</f>
        <v>0</v>
      </c>
      <c r="L187" s="5">
        <f>recovered!L187-recovered!K187</f>
        <v>0</v>
      </c>
      <c r="M187" s="5">
        <f>recovered!M187-recovered!L187</f>
        <v>0</v>
      </c>
      <c r="N187" s="5">
        <f>recovered!N187-recovered!M187</f>
        <v>0</v>
      </c>
      <c r="O187" s="5">
        <f>recovered!O187-recovered!N187</f>
        <v>0</v>
      </c>
      <c r="P187" s="5">
        <f>recovered!P187-recovered!O187</f>
        <v>0</v>
      </c>
      <c r="Q187" s="5">
        <f>recovered!Q187-recovered!P187</f>
        <v>0</v>
      </c>
      <c r="R187" s="5">
        <f>recovered!R187-recovered!Q187</f>
        <v>0</v>
      </c>
      <c r="S187" s="5">
        <f>recovered!S187-recovered!R187</f>
        <v>0</v>
      </c>
      <c r="T187" s="5">
        <f>recovered!T187-recovered!S187</f>
        <v>0</v>
      </c>
      <c r="U187" s="5">
        <f>recovered!U187-recovered!T187</f>
        <v>0</v>
      </c>
      <c r="V187" s="5">
        <f>recovered!V187-recovered!U187</f>
        <v>0</v>
      </c>
      <c r="W187" s="5">
        <f>recovered!W187-recovered!V187</f>
        <v>0</v>
      </c>
      <c r="X187" s="5">
        <f>recovered!X187-recovered!W187</f>
        <v>0</v>
      </c>
      <c r="Y187" s="5">
        <f>recovered!Y187-recovered!X187</f>
        <v>0</v>
      </c>
      <c r="Z187" s="5">
        <f>recovered!Z187-recovered!Y187</f>
        <v>0</v>
      </c>
      <c r="AA187" s="5">
        <f>recovered!AA187-recovered!Z187</f>
        <v>0</v>
      </c>
      <c r="AB187" s="5">
        <f>recovered!AB187-recovered!AA187</f>
        <v>0</v>
      </c>
      <c r="AC187" s="5">
        <f>recovered!AC187-recovered!AB187</f>
        <v>0</v>
      </c>
      <c r="AD187" s="5">
        <f>recovered!AD187-recovered!AC187</f>
        <v>0</v>
      </c>
      <c r="AE187" s="5">
        <f>recovered!AE187-recovered!AD187</f>
        <v>0</v>
      </c>
      <c r="AF187" s="5">
        <f>recovered!AF187-recovered!AE187</f>
        <v>0</v>
      </c>
      <c r="AG187" s="5">
        <f>recovered!AG187-recovered!AF187</f>
        <v>0</v>
      </c>
      <c r="AH187" s="5">
        <f>recovered!AH187-recovered!AG187</f>
        <v>0</v>
      </c>
      <c r="AI187" s="5">
        <f>recovered!AI187-recovered!AH187</f>
        <v>0</v>
      </c>
      <c r="AJ187" s="5">
        <f>recovered!AJ187-recovered!AI187</f>
        <v>0</v>
      </c>
      <c r="AK187" s="5">
        <f>recovered!AK187-recovered!AJ187</f>
        <v>0</v>
      </c>
      <c r="AL187" s="5">
        <f>recovered!AL187-recovered!AK187</f>
        <v>0</v>
      </c>
      <c r="AM187" s="5">
        <f>recovered!AM187-recovered!AL187</f>
        <v>0</v>
      </c>
      <c r="AN187" s="5">
        <f>recovered!AN187-recovered!AM187</f>
        <v>0</v>
      </c>
      <c r="AO187" s="5">
        <f>recovered!AO187-recovered!AN187</f>
        <v>0</v>
      </c>
      <c r="AP187" s="5">
        <f>recovered!AP187-recovered!AO187</f>
        <v>0</v>
      </c>
      <c r="AQ187" s="5">
        <f>recovered!AQ187-recovered!AP187</f>
        <v>0</v>
      </c>
      <c r="AR187" s="5">
        <f>recovered!AR187-recovered!AQ187</f>
        <v>0</v>
      </c>
      <c r="AS187" s="5">
        <f>recovered!AS187-recovered!AR187</f>
        <v>0</v>
      </c>
      <c r="AT187" s="5">
        <f>recovered!AT187-recovered!AS187</f>
        <v>0</v>
      </c>
      <c r="AU187" s="5">
        <f>recovered!AU187-recovered!AT187</f>
        <v>0</v>
      </c>
      <c r="AV187" s="5">
        <f>recovered!AV187-recovered!AU187</f>
        <v>0</v>
      </c>
      <c r="AW187" s="5">
        <f>recovered!AW187-recovered!AV187</f>
        <v>0</v>
      </c>
      <c r="AX187" s="5">
        <f>recovered!AX187-recovered!AW187</f>
        <v>0</v>
      </c>
      <c r="AY187" s="5">
        <f>recovered!AY187-recovered!AX187</f>
        <v>0</v>
      </c>
      <c r="AZ187" s="5">
        <f>recovered!AZ187-recovered!AY187</f>
        <v>0</v>
      </c>
      <c r="BA187" s="5">
        <f>recovered!BA187-recovered!AZ187</f>
        <v>0</v>
      </c>
      <c r="BB187" s="5">
        <f>recovered!BB187-recovered!BA187</f>
        <v>0</v>
      </c>
      <c r="BC187" s="5">
        <f>recovered!BC187-recovered!BB187</f>
        <v>0</v>
      </c>
      <c r="BD187" s="5">
        <f>recovered!BD187-recovered!BC187</f>
        <v>0</v>
      </c>
      <c r="BE187" s="5">
        <f>recovered!BE187-recovered!BD187</f>
        <v>0</v>
      </c>
      <c r="BF187" s="5">
        <f>recovered!BF187-recovered!BE187</f>
        <v>0</v>
      </c>
      <c r="BG187" s="5">
        <f>recovered!BG187-recovered!BF187</f>
        <v>0</v>
      </c>
      <c r="BH187" s="5">
        <f>recovered!BH187-recovered!BG187</f>
        <v>0</v>
      </c>
      <c r="BI187" s="5">
        <f>recovered!BI187-recovered!BH187</f>
        <v>0</v>
      </c>
      <c r="BJ187" s="5">
        <f>recovered!BJ187-recovered!BI187</f>
        <v>0</v>
      </c>
      <c r="BK187" s="5">
        <f>recovered!BK187-recovered!BJ187</f>
        <v>0</v>
      </c>
      <c r="BL187" s="5">
        <f>recovered!BL187-recovered!BK187</f>
        <v>0</v>
      </c>
      <c r="BM187" s="5">
        <f>recovered!BM187-recovered!BL187</f>
        <v>0</v>
      </c>
      <c r="BN187" s="5">
        <f>recovered!BN187-recovered!BM187</f>
        <v>0</v>
      </c>
      <c r="BO187" s="5">
        <f>recovered!BO187-recovered!BN187</f>
        <v>0</v>
      </c>
      <c r="BP187" s="5">
        <f>recovered!BP187-recovered!BO187</f>
        <v>0</v>
      </c>
      <c r="BQ187" s="5">
        <f>recovered!BQ187-recovered!BP187</f>
        <v>0</v>
      </c>
      <c r="BR187" s="5">
        <f>recovered!BR187-recovered!BQ187</f>
        <v>0</v>
      </c>
      <c r="BS187" s="5">
        <f>recovered!BS187-recovered!BR187</f>
        <v>0</v>
      </c>
      <c r="BT187" s="5">
        <f>recovered!BT187-recovered!BS187</f>
        <v>0</v>
      </c>
      <c r="BU187" s="5">
        <f>recovered!BU187-recovered!BT187</f>
        <v>0</v>
      </c>
      <c r="BV187" s="5">
        <f>recovered!BV187-recovered!BU187</f>
        <v>0</v>
      </c>
      <c r="BW187" s="5">
        <f>recovered!BW187-recovered!BV187</f>
        <v>0</v>
      </c>
      <c r="BX187" s="5">
        <f>recovered!BX187-recovered!BW187</f>
        <v>0</v>
      </c>
      <c r="BY187" s="5">
        <f>recovered!BY187-recovered!BX187</f>
        <v>0</v>
      </c>
    </row>
    <row r="188">
      <c r="B188" s="1" t="str">
        <f>recovered!B188</f>
        <v>Saint Kitts and Nevis</v>
      </c>
      <c r="C188" s="4">
        <f>recovered!C188</f>
        <v>17.357822</v>
      </c>
      <c r="D188" s="4">
        <f>recovered!D188</f>
        <v>-62.782998</v>
      </c>
      <c r="E188" s="5">
        <f>recovered!E188</f>
        <v>0</v>
      </c>
      <c r="F188" s="5">
        <f>recovered!F188-recovered!E188</f>
        <v>0</v>
      </c>
      <c r="G188" s="5">
        <f>recovered!G188-recovered!F188</f>
        <v>0</v>
      </c>
      <c r="H188" s="5">
        <f>recovered!H188-recovered!G188</f>
        <v>0</v>
      </c>
      <c r="I188" s="5">
        <f>recovered!I188-recovered!H188</f>
        <v>0</v>
      </c>
      <c r="J188" s="5">
        <f>recovered!J188-recovered!I188</f>
        <v>0</v>
      </c>
      <c r="K188" s="5">
        <f>recovered!K188-recovered!J188</f>
        <v>0</v>
      </c>
      <c r="L188" s="5">
        <f>recovered!L188-recovered!K188</f>
        <v>0</v>
      </c>
      <c r="M188" s="5">
        <f>recovered!M188-recovered!L188</f>
        <v>0</v>
      </c>
      <c r="N188" s="5">
        <f>recovered!N188-recovered!M188</f>
        <v>0</v>
      </c>
      <c r="O188" s="5">
        <f>recovered!O188-recovered!N188</f>
        <v>0</v>
      </c>
      <c r="P188" s="5">
        <f>recovered!P188-recovered!O188</f>
        <v>0</v>
      </c>
      <c r="Q188" s="5">
        <f>recovered!Q188-recovered!P188</f>
        <v>0</v>
      </c>
      <c r="R188" s="5">
        <f>recovered!R188-recovered!Q188</f>
        <v>0</v>
      </c>
      <c r="S188" s="5">
        <f>recovered!S188-recovered!R188</f>
        <v>0</v>
      </c>
      <c r="T188" s="5">
        <f>recovered!T188-recovered!S188</f>
        <v>0</v>
      </c>
      <c r="U188" s="5">
        <f>recovered!U188-recovered!T188</f>
        <v>0</v>
      </c>
      <c r="V188" s="5">
        <f>recovered!V188-recovered!U188</f>
        <v>0</v>
      </c>
      <c r="W188" s="5">
        <f>recovered!W188-recovered!V188</f>
        <v>0</v>
      </c>
      <c r="X188" s="5">
        <f>recovered!X188-recovered!W188</f>
        <v>0</v>
      </c>
      <c r="Y188" s="5">
        <f>recovered!Y188-recovered!X188</f>
        <v>0</v>
      </c>
      <c r="Z188" s="5">
        <f>recovered!Z188-recovered!Y188</f>
        <v>0</v>
      </c>
      <c r="AA188" s="5">
        <f>recovered!AA188-recovered!Z188</f>
        <v>0</v>
      </c>
      <c r="AB188" s="5">
        <f>recovered!AB188-recovered!AA188</f>
        <v>0</v>
      </c>
      <c r="AC188" s="5">
        <f>recovered!AC188-recovered!AB188</f>
        <v>0</v>
      </c>
      <c r="AD188" s="5">
        <f>recovered!AD188-recovered!AC188</f>
        <v>0</v>
      </c>
      <c r="AE188" s="5">
        <f>recovered!AE188-recovered!AD188</f>
        <v>0</v>
      </c>
      <c r="AF188" s="5">
        <f>recovered!AF188-recovered!AE188</f>
        <v>0</v>
      </c>
      <c r="AG188" s="5">
        <f>recovered!AG188-recovered!AF188</f>
        <v>0</v>
      </c>
      <c r="AH188" s="5">
        <f>recovered!AH188-recovered!AG188</f>
        <v>0</v>
      </c>
      <c r="AI188" s="5">
        <f>recovered!AI188-recovered!AH188</f>
        <v>0</v>
      </c>
      <c r="AJ188" s="5">
        <f>recovered!AJ188-recovered!AI188</f>
        <v>0</v>
      </c>
      <c r="AK188" s="5">
        <f>recovered!AK188-recovered!AJ188</f>
        <v>0</v>
      </c>
      <c r="AL188" s="5">
        <f>recovered!AL188-recovered!AK188</f>
        <v>0</v>
      </c>
      <c r="AM188" s="5">
        <f>recovered!AM188-recovered!AL188</f>
        <v>0</v>
      </c>
      <c r="AN188" s="5">
        <f>recovered!AN188-recovered!AM188</f>
        <v>0</v>
      </c>
      <c r="AO188" s="5">
        <f>recovered!AO188-recovered!AN188</f>
        <v>0</v>
      </c>
      <c r="AP188" s="5">
        <f>recovered!AP188-recovered!AO188</f>
        <v>0</v>
      </c>
      <c r="AQ188" s="5">
        <f>recovered!AQ188-recovered!AP188</f>
        <v>0</v>
      </c>
      <c r="AR188" s="5">
        <f>recovered!AR188-recovered!AQ188</f>
        <v>0</v>
      </c>
      <c r="AS188" s="5">
        <f>recovered!AS188-recovered!AR188</f>
        <v>0</v>
      </c>
      <c r="AT188" s="5">
        <f>recovered!AT188-recovered!AS188</f>
        <v>0</v>
      </c>
      <c r="AU188" s="5">
        <f>recovered!AU188-recovered!AT188</f>
        <v>0</v>
      </c>
      <c r="AV188" s="5">
        <f>recovered!AV188-recovered!AU188</f>
        <v>0</v>
      </c>
      <c r="AW188" s="5">
        <f>recovered!AW188-recovered!AV188</f>
        <v>0</v>
      </c>
      <c r="AX188" s="5">
        <f>recovered!AX188-recovered!AW188</f>
        <v>0</v>
      </c>
      <c r="AY188" s="5">
        <f>recovered!AY188-recovered!AX188</f>
        <v>0</v>
      </c>
      <c r="AZ188" s="5">
        <f>recovered!AZ188-recovered!AY188</f>
        <v>0</v>
      </c>
      <c r="BA188" s="5">
        <f>recovered!BA188-recovered!AZ188</f>
        <v>0</v>
      </c>
      <c r="BB188" s="5">
        <f>recovered!BB188-recovered!BA188</f>
        <v>0</v>
      </c>
      <c r="BC188" s="5">
        <f>recovered!BC188-recovered!BB188</f>
        <v>0</v>
      </c>
      <c r="BD188" s="5">
        <f>recovered!BD188-recovered!BC188</f>
        <v>0</v>
      </c>
      <c r="BE188" s="5">
        <f>recovered!BE188-recovered!BD188</f>
        <v>0</v>
      </c>
      <c r="BF188" s="5">
        <f>recovered!BF188-recovered!BE188</f>
        <v>0</v>
      </c>
      <c r="BG188" s="5">
        <f>recovered!BG188-recovered!BF188</f>
        <v>0</v>
      </c>
      <c r="BH188" s="5">
        <f>recovered!BH188-recovered!BG188</f>
        <v>0</v>
      </c>
      <c r="BI188" s="5">
        <f>recovered!BI188-recovered!BH188</f>
        <v>0</v>
      </c>
      <c r="BJ188" s="5">
        <f>recovered!BJ188-recovered!BI188</f>
        <v>0</v>
      </c>
      <c r="BK188" s="5">
        <f>recovered!BK188-recovered!BJ188</f>
        <v>0</v>
      </c>
      <c r="BL188" s="5">
        <f>recovered!BL188-recovered!BK188</f>
        <v>0</v>
      </c>
      <c r="BM188" s="5">
        <f>recovered!BM188-recovered!BL188</f>
        <v>0</v>
      </c>
      <c r="BN188" s="5">
        <f>recovered!BN188-recovered!BM188</f>
        <v>0</v>
      </c>
      <c r="BO188" s="5">
        <f>recovered!BO188-recovered!BN188</f>
        <v>0</v>
      </c>
      <c r="BP188" s="5">
        <f>recovered!BP188-recovered!BO188</f>
        <v>0</v>
      </c>
      <c r="BQ188" s="5">
        <f>recovered!BQ188-recovered!BP188</f>
        <v>0</v>
      </c>
      <c r="BR188" s="5">
        <f>recovered!BR188-recovered!BQ188</f>
        <v>0</v>
      </c>
      <c r="BS188" s="5">
        <f>recovered!BS188-recovered!BR188</f>
        <v>0</v>
      </c>
      <c r="BT188" s="5">
        <f>recovered!BT188-recovered!BS188</f>
        <v>0</v>
      </c>
      <c r="BU188" s="5">
        <f>recovered!BU188-recovered!BT188</f>
        <v>0</v>
      </c>
      <c r="BV188" s="5">
        <f>recovered!BV188-recovered!BU188</f>
        <v>0</v>
      </c>
      <c r="BW188" s="5">
        <f>recovered!BW188-recovered!BV188</f>
        <v>0</v>
      </c>
      <c r="BX188" s="5">
        <f>recovered!BX188-recovered!BW188</f>
        <v>0</v>
      </c>
      <c r="BY188" s="5">
        <f>recovered!BY188-recovered!BX188</f>
        <v>0</v>
      </c>
    </row>
    <row r="189">
      <c r="B189" s="1" t="str">
        <f>recovered!B189</f>
        <v>Saint Lucia</v>
      </c>
      <c r="C189" s="4">
        <f>recovered!C189</f>
        <v>13.9094</v>
      </c>
      <c r="D189" s="4">
        <f>recovered!D189</f>
        <v>-60.9789</v>
      </c>
      <c r="E189" s="5">
        <f>recovered!E189</f>
        <v>0</v>
      </c>
      <c r="F189" s="5">
        <f>recovered!F189-recovered!E189</f>
        <v>0</v>
      </c>
      <c r="G189" s="5">
        <f>recovered!G189-recovered!F189</f>
        <v>0</v>
      </c>
      <c r="H189" s="5">
        <f>recovered!H189-recovered!G189</f>
        <v>0</v>
      </c>
      <c r="I189" s="5">
        <f>recovered!I189-recovered!H189</f>
        <v>0</v>
      </c>
      <c r="J189" s="5">
        <f>recovered!J189-recovered!I189</f>
        <v>0</v>
      </c>
      <c r="K189" s="5">
        <f>recovered!K189-recovered!J189</f>
        <v>0</v>
      </c>
      <c r="L189" s="5">
        <f>recovered!L189-recovered!K189</f>
        <v>0</v>
      </c>
      <c r="M189" s="5">
        <f>recovered!M189-recovered!L189</f>
        <v>0</v>
      </c>
      <c r="N189" s="5">
        <f>recovered!N189-recovered!M189</f>
        <v>0</v>
      </c>
      <c r="O189" s="5">
        <f>recovered!O189-recovered!N189</f>
        <v>0</v>
      </c>
      <c r="P189" s="5">
        <f>recovered!P189-recovered!O189</f>
        <v>0</v>
      </c>
      <c r="Q189" s="5">
        <f>recovered!Q189-recovered!P189</f>
        <v>0</v>
      </c>
      <c r="R189" s="5">
        <f>recovered!R189-recovered!Q189</f>
        <v>0</v>
      </c>
      <c r="S189" s="5">
        <f>recovered!S189-recovered!R189</f>
        <v>0</v>
      </c>
      <c r="T189" s="5">
        <f>recovered!T189-recovered!S189</f>
        <v>0</v>
      </c>
      <c r="U189" s="5">
        <f>recovered!U189-recovered!T189</f>
        <v>0</v>
      </c>
      <c r="V189" s="5">
        <f>recovered!V189-recovered!U189</f>
        <v>0</v>
      </c>
      <c r="W189" s="5">
        <f>recovered!W189-recovered!V189</f>
        <v>0</v>
      </c>
      <c r="X189" s="5">
        <f>recovered!X189-recovered!W189</f>
        <v>0</v>
      </c>
      <c r="Y189" s="5">
        <f>recovered!Y189-recovered!X189</f>
        <v>0</v>
      </c>
      <c r="Z189" s="5">
        <f>recovered!Z189-recovered!Y189</f>
        <v>0</v>
      </c>
      <c r="AA189" s="5">
        <f>recovered!AA189-recovered!Z189</f>
        <v>0</v>
      </c>
      <c r="AB189" s="5">
        <f>recovered!AB189-recovered!AA189</f>
        <v>0</v>
      </c>
      <c r="AC189" s="5">
        <f>recovered!AC189-recovered!AB189</f>
        <v>0</v>
      </c>
      <c r="AD189" s="5">
        <f>recovered!AD189-recovered!AC189</f>
        <v>0</v>
      </c>
      <c r="AE189" s="5">
        <f>recovered!AE189-recovered!AD189</f>
        <v>0</v>
      </c>
      <c r="AF189" s="5">
        <f>recovered!AF189-recovered!AE189</f>
        <v>0</v>
      </c>
      <c r="AG189" s="5">
        <f>recovered!AG189-recovered!AF189</f>
        <v>0</v>
      </c>
      <c r="AH189" s="5">
        <f>recovered!AH189-recovered!AG189</f>
        <v>0</v>
      </c>
      <c r="AI189" s="5">
        <f>recovered!AI189-recovered!AH189</f>
        <v>0</v>
      </c>
      <c r="AJ189" s="5">
        <f>recovered!AJ189-recovered!AI189</f>
        <v>0</v>
      </c>
      <c r="AK189" s="5">
        <f>recovered!AK189-recovered!AJ189</f>
        <v>0</v>
      </c>
      <c r="AL189" s="5">
        <f>recovered!AL189-recovered!AK189</f>
        <v>0</v>
      </c>
      <c r="AM189" s="5">
        <f>recovered!AM189-recovered!AL189</f>
        <v>0</v>
      </c>
      <c r="AN189" s="5">
        <f>recovered!AN189-recovered!AM189</f>
        <v>0</v>
      </c>
      <c r="AO189" s="5">
        <f>recovered!AO189-recovered!AN189</f>
        <v>0</v>
      </c>
      <c r="AP189" s="5">
        <f>recovered!AP189-recovered!AO189</f>
        <v>0</v>
      </c>
      <c r="AQ189" s="5">
        <f>recovered!AQ189-recovered!AP189</f>
        <v>0</v>
      </c>
      <c r="AR189" s="5">
        <f>recovered!AR189-recovered!AQ189</f>
        <v>0</v>
      </c>
      <c r="AS189" s="5">
        <f>recovered!AS189-recovered!AR189</f>
        <v>0</v>
      </c>
      <c r="AT189" s="5">
        <f>recovered!AT189-recovered!AS189</f>
        <v>0</v>
      </c>
      <c r="AU189" s="5">
        <f>recovered!AU189-recovered!AT189</f>
        <v>0</v>
      </c>
      <c r="AV189" s="5">
        <f>recovered!AV189-recovered!AU189</f>
        <v>0</v>
      </c>
      <c r="AW189" s="5">
        <f>recovered!AW189-recovered!AV189</f>
        <v>0</v>
      </c>
      <c r="AX189" s="5">
        <f>recovered!AX189-recovered!AW189</f>
        <v>0</v>
      </c>
      <c r="AY189" s="5">
        <f>recovered!AY189-recovered!AX189</f>
        <v>0</v>
      </c>
      <c r="AZ189" s="5">
        <f>recovered!AZ189-recovered!AY189</f>
        <v>0</v>
      </c>
      <c r="BA189" s="5">
        <f>recovered!BA189-recovered!AZ189</f>
        <v>0</v>
      </c>
      <c r="BB189" s="5">
        <f>recovered!BB189-recovered!BA189</f>
        <v>0</v>
      </c>
      <c r="BC189" s="5">
        <f>recovered!BC189-recovered!BB189</f>
        <v>0</v>
      </c>
      <c r="BD189" s="5">
        <f>recovered!BD189-recovered!BC189</f>
        <v>0</v>
      </c>
      <c r="BE189" s="5">
        <f>recovered!BE189-recovered!BD189</f>
        <v>0</v>
      </c>
      <c r="BF189" s="5">
        <f>recovered!BF189-recovered!BE189</f>
        <v>0</v>
      </c>
      <c r="BG189" s="5">
        <f>recovered!BG189-recovered!BF189</f>
        <v>0</v>
      </c>
      <c r="BH189" s="5">
        <f>recovered!BH189-recovered!BG189</f>
        <v>0</v>
      </c>
      <c r="BI189" s="5">
        <f>recovered!BI189-recovered!BH189</f>
        <v>0</v>
      </c>
      <c r="BJ189" s="5">
        <f>recovered!BJ189-recovered!BI189</f>
        <v>0</v>
      </c>
      <c r="BK189" s="5">
        <f>recovered!BK189-recovered!BJ189</f>
        <v>0</v>
      </c>
      <c r="BL189" s="5">
        <f>recovered!BL189-recovered!BK189</f>
        <v>0</v>
      </c>
      <c r="BM189" s="5">
        <f>recovered!BM189-recovered!BL189</f>
        <v>0</v>
      </c>
      <c r="BN189" s="5">
        <f>recovered!BN189-recovered!BM189</f>
        <v>0</v>
      </c>
      <c r="BO189" s="5">
        <f>recovered!BO189-recovered!BN189</f>
        <v>0</v>
      </c>
      <c r="BP189" s="5">
        <f>recovered!BP189-recovered!BO189</f>
        <v>0</v>
      </c>
      <c r="BQ189" s="5">
        <f>recovered!BQ189-recovered!BP189</f>
        <v>0</v>
      </c>
      <c r="BR189" s="5">
        <f>recovered!BR189-recovered!BQ189</f>
        <v>1</v>
      </c>
      <c r="BS189" s="5">
        <f>recovered!BS189-recovered!BR189</f>
        <v>0</v>
      </c>
      <c r="BT189" s="5">
        <f>recovered!BT189-recovered!BS189</f>
        <v>0</v>
      </c>
      <c r="BU189" s="5">
        <f>recovered!BU189-recovered!BT189</f>
        <v>0</v>
      </c>
      <c r="BV189" s="5">
        <f>recovered!BV189-recovered!BU189</f>
        <v>0</v>
      </c>
      <c r="BW189" s="5">
        <f>recovered!BW189-recovered!BV189</f>
        <v>0</v>
      </c>
      <c r="BX189" s="5">
        <f>recovered!BX189-recovered!BW189</f>
        <v>0</v>
      </c>
      <c r="BY189" s="5">
        <f>recovered!BY189-recovered!BX189</f>
        <v>0</v>
      </c>
    </row>
    <row r="190">
      <c r="B190" s="1" t="str">
        <f>recovered!B190</f>
        <v>Saint Vincent and the Grenadines</v>
      </c>
      <c r="C190" s="4">
        <f>recovered!C190</f>
        <v>12.9843</v>
      </c>
      <c r="D190" s="4">
        <f>recovered!D190</f>
        <v>-61.2872</v>
      </c>
      <c r="E190" s="5">
        <f>recovered!E190</f>
        <v>0</v>
      </c>
      <c r="F190" s="5">
        <f>recovered!F190-recovered!E190</f>
        <v>0</v>
      </c>
      <c r="G190" s="5">
        <f>recovered!G190-recovered!F190</f>
        <v>0</v>
      </c>
      <c r="H190" s="5">
        <f>recovered!H190-recovered!G190</f>
        <v>0</v>
      </c>
      <c r="I190" s="5">
        <f>recovered!I190-recovered!H190</f>
        <v>0</v>
      </c>
      <c r="J190" s="5">
        <f>recovered!J190-recovered!I190</f>
        <v>0</v>
      </c>
      <c r="K190" s="5">
        <f>recovered!K190-recovered!J190</f>
        <v>0</v>
      </c>
      <c r="L190" s="5">
        <f>recovered!L190-recovered!K190</f>
        <v>0</v>
      </c>
      <c r="M190" s="5">
        <f>recovered!M190-recovered!L190</f>
        <v>0</v>
      </c>
      <c r="N190" s="5">
        <f>recovered!N190-recovered!M190</f>
        <v>0</v>
      </c>
      <c r="O190" s="5">
        <f>recovered!O190-recovered!N190</f>
        <v>0</v>
      </c>
      <c r="P190" s="5">
        <f>recovered!P190-recovered!O190</f>
        <v>0</v>
      </c>
      <c r="Q190" s="5">
        <f>recovered!Q190-recovered!P190</f>
        <v>0</v>
      </c>
      <c r="R190" s="5">
        <f>recovered!R190-recovered!Q190</f>
        <v>0</v>
      </c>
      <c r="S190" s="5">
        <f>recovered!S190-recovered!R190</f>
        <v>0</v>
      </c>
      <c r="T190" s="5">
        <f>recovered!T190-recovered!S190</f>
        <v>0</v>
      </c>
      <c r="U190" s="5">
        <f>recovered!U190-recovered!T190</f>
        <v>0</v>
      </c>
      <c r="V190" s="5">
        <f>recovered!V190-recovered!U190</f>
        <v>0</v>
      </c>
      <c r="W190" s="5">
        <f>recovered!W190-recovered!V190</f>
        <v>0</v>
      </c>
      <c r="X190" s="5">
        <f>recovered!X190-recovered!W190</f>
        <v>0</v>
      </c>
      <c r="Y190" s="5">
        <f>recovered!Y190-recovered!X190</f>
        <v>0</v>
      </c>
      <c r="Z190" s="5">
        <f>recovered!Z190-recovered!Y190</f>
        <v>0</v>
      </c>
      <c r="AA190" s="5">
        <f>recovered!AA190-recovered!Z190</f>
        <v>0</v>
      </c>
      <c r="AB190" s="5">
        <f>recovered!AB190-recovered!AA190</f>
        <v>0</v>
      </c>
      <c r="AC190" s="5">
        <f>recovered!AC190-recovered!AB190</f>
        <v>0</v>
      </c>
      <c r="AD190" s="5">
        <f>recovered!AD190-recovered!AC190</f>
        <v>0</v>
      </c>
      <c r="AE190" s="5">
        <f>recovered!AE190-recovered!AD190</f>
        <v>0</v>
      </c>
      <c r="AF190" s="5">
        <f>recovered!AF190-recovered!AE190</f>
        <v>0</v>
      </c>
      <c r="AG190" s="5">
        <f>recovered!AG190-recovered!AF190</f>
        <v>0</v>
      </c>
      <c r="AH190" s="5">
        <f>recovered!AH190-recovered!AG190</f>
        <v>0</v>
      </c>
      <c r="AI190" s="5">
        <f>recovered!AI190-recovered!AH190</f>
        <v>0</v>
      </c>
      <c r="AJ190" s="5">
        <f>recovered!AJ190-recovered!AI190</f>
        <v>0</v>
      </c>
      <c r="AK190" s="5">
        <f>recovered!AK190-recovered!AJ190</f>
        <v>0</v>
      </c>
      <c r="AL190" s="5">
        <f>recovered!AL190-recovered!AK190</f>
        <v>0</v>
      </c>
      <c r="AM190" s="5">
        <f>recovered!AM190-recovered!AL190</f>
        <v>0</v>
      </c>
      <c r="AN190" s="5">
        <f>recovered!AN190-recovered!AM190</f>
        <v>0</v>
      </c>
      <c r="AO190" s="5">
        <f>recovered!AO190-recovered!AN190</f>
        <v>0</v>
      </c>
      <c r="AP190" s="5">
        <f>recovered!AP190-recovered!AO190</f>
        <v>0</v>
      </c>
      <c r="AQ190" s="5">
        <f>recovered!AQ190-recovered!AP190</f>
        <v>0</v>
      </c>
      <c r="AR190" s="5">
        <f>recovered!AR190-recovered!AQ190</f>
        <v>0</v>
      </c>
      <c r="AS190" s="5">
        <f>recovered!AS190-recovered!AR190</f>
        <v>0</v>
      </c>
      <c r="AT190" s="5">
        <f>recovered!AT190-recovered!AS190</f>
        <v>0</v>
      </c>
      <c r="AU190" s="5">
        <f>recovered!AU190-recovered!AT190</f>
        <v>0</v>
      </c>
      <c r="AV190" s="5">
        <f>recovered!AV190-recovered!AU190</f>
        <v>0</v>
      </c>
      <c r="AW190" s="5">
        <f>recovered!AW190-recovered!AV190</f>
        <v>0</v>
      </c>
      <c r="AX190" s="5">
        <f>recovered!AX190-recovered!AW190</f>
        <v>0</v>
      </c>
      <c r="AY190" s="5">
        <f>recovered!AY190-recovered!AX190</f>
        <v>0</v>
      </c>
      <c r="AZ190" s="5">
        <f>recovered!AZ190-recovered!AY190</f>
        <v>0</v>
      </c>
      <c r="BA190" s="5">
        <f>recovered!BA190-recovered!AZ190</f>
        <v>0</v>
      </c>
      <c r="BB190" s="5">
        <f>recovered!BB190-recovered!BA190</f>
        <v>0</v>
      </c>
      <c r="BC190" s="5">
        <f>recovered!BC190-recovered!BB190</f>
        <v>0</v>
      </c>
      <c r="BD190" s="5">
        <f>recovered!BD190-recovered!BC190</f>
        <v>0</v>
      </c>
      <c r="BE190" s="5">
        <f>recovered!BE190-recovered!BD190</f>
        <v>0</v>
      </c>
      <c r="BF190" s="5">
        <f>recovered!BF190-recovered!BE190</f>
        <v>0</v>
      </c>
      <c r="BG190" s="5">
        <f>recovered!BG190-recovered!BF190</f>
        <v>0</v>
      </c>
      <c r="BH190" s="5">
        <f>recovered!BH190-recovered!BG190</f>
        <v>0</v>
      </c>
      <c r="BI190" s="5">
        <f>recovered!BI190-recovered!BH190</f>
        <v>0</v>
      </c>
      <c r="BJ190" s="5">
        <f>recovered!BJ190-recovered!BI190</f>
        <v>0</v>
      </c>
      <c r="BK190" s="5">
        <f>recovered!BK190-recovered!BJ190</f>
        <v>0</v>
      </c>
      <c r="BL190" s="5">
        <f>recovered!BL190-recovered!BK190</f>
        <v>0</v>
      </c>
      <c r="BM190" s="5">
        <f>recovered!BM190-recovered!BL190</f>
        <v>0</v>
      </c>
      <c r="BN190" s="5">
        <f>recovered!BN190-recovered!BM190</f>
        <v>0</v>
      </c>
      <c r="BO190" s="5">
        <f>recovered!BO190-recovered!BN190</f>
        <v>0</v>
      </c>
      <c r="BP190" s="5">
        <f>recovered!BP190-recovered!BO190</f>
        <v>0</v>
      </c>
      <c r="BQ190" s="5">
        <f>recovered!BQ190-recovered!BP190</f>
        <v>0</v>
      </c>
      <c r="BR190" s="5">
        <f>recovered!BR190-recovered!BQ190</f>
        <v>0</v>
      </c>
      <c r="BS190" s="5">
        <f>recovered!BS190-recovered!BR190</f>
        <v>1</v>
      </c>
      <c r="BT190" s="5">
        <f>recovered!BT190-recovered!BS190</f>
        <v>0</v>
      </c>
      <c r="BU190" s="5">
        <f>recovered!BU190-recovered!BT190</f>
        <v>0</v>
      </c>
      <c r="BV190" s="5">
        <f>recovered!BV190-recovered!BU190</f>
        <v>0</v>
      </c>
      <c r="BW190" s="5">
        <f>recovered!BW190-recovered!BV190</f>
        <v>0</v>
      </c>
      <c r="BX190" s="5">
        <f>recovered!BX190-recovered!BW190</f>
        <v>0</v>
      </c>
      <c r="BY190" s="5">
        <f>recovered!BY190-recovered!BX190</f>
        <v>0</v>
      </c>
    </row>
    <row r="191">
      <c r="B191" s="1" t="str">
        <f>recovered!B191</f>
        <v>San Marino</v>
      </c>
      <c r="C191" s="4">
        <f>recovered!C191</f>
        <v>43.9424</v>
      </c>
      <c r="D191" s="4">
        <f>recovered!D191</f>
        <v>12.4578</v>
      </c>
      <c r="E191" s="5">
        <f>recovered!E191</f>
        <v>0</v>
      </c>
      <c r="F191" s="5">
        <f>recovered!F191-recovered!E191</f>
        <v>0</v>
      </c>
      <c r="G191" s="5">
        <f>recovered!G191-recovered!F191</f>
        <v>0</v>
      </c>
      <c r="H191" s="5">
        <f>recovered!H191-recovered!G191</f>
        <v>0</v>
      </c>
      <c r="I191" s="5">
        <f>recovered!I191-recovered!H191</f>
        <v>0</v>
      </c>
      <c r="J191" s="5">
        <f>recovered!J191-recovered!I191</f>
        <v>0</v>
      </c>
      <c r="K191" s="5">
        <f>recovered!K191-recovered!J191</f>
        <v>0</v>
      </c>
      <c r="L191" s="5">
        <f>recovered!L191-recovered!K191</f>
        <v>0</v>
      </c>
      <c r="M191" s="5">
        <f>recovered!M191-recovered!L191</f>
        <v>0</v>
      </c>
      <c r="N191" s="5">
        <f>recovered!N191-recovered!M191</f>
        <v>0</v>
      </c>
      <c r="O191" s="5">
        <f>recovered!O191-recovered!N191</f>
        <v>0</v>
      </c>
      <c r="P191" s="5">
        <f>recovered!P191-recovered!O191</f>
        <v>0</v>
      </c>
      <c r="Q191" s="5">
        <f>recovered!Q191-recovered!P191</f>
        <v>0</v>
      </c>
      <c r="R191" s="5">
        <f>recovered!R191-recovered!Q191</f>
        <v>0</v>
      </c>
      <c r="S191" s="5">
        <f>recovered!S191-recovered!R191</f>
        <v>0</v>
      </c>
      <c r="T191" s="5">
        <f>recovered!T191-recovered!S191</f>
        <v>0</v>
      </c>
      <c r="U191" s="5">
        <f>recovered!U191-recovered!T191</f>
        <v>0</v>
      </c>
      <c r="V191" s="5">
        <f>recovered!V191-recovered!U191</f>
        <v>0</v>
      </c>
      <c r="W191" s="5">
        <f>recovered!W191-recovered!V191</f>
        <v>0</v>
      </c>
      <c r="X191" s="5">
        <f>recovered!X191-recovered!W191</f>
        <v>0</v>
      </c>
      <c r="Y191" s="5">
        <f>recovered!Y191-recovered!X191</f>
        <v>0</v>
      </c>
      <c r="Z191" s="5">
        <f>recovered!Z191-recovered!Y191</f>
        <v>0</v>
      </c>
      <c r="AA191" s="5">
        <f>recovered!AA191-recovered!Z191</f>
        <v>0</v>
      </c>
      <c r="AB191" s="5">
        <f>recovered!AB191-recovered!AA191</f>
        <v>0</v>
      </c>
      <c r="AC191" s="5">
        <f>recovered!AC191-recovered!AB191</f>
        <v>0</v>
      </c>
      <c r="AD191" s="5">
        <f>recovered!AD191-recovered!AC191</f>
        <v>0</v>
      </c>
      <c r="AE191" s="5">
        <f>recovered!AE191-recovered!AD191</f>
        <v>0</v>
      </c>
      <c r="AF191" s="5">
        <f>recovered!AF191-recovered!AE191</f>
        <v>0</v>
      </c>
      <c r="AG191" s="5">
        <f>recovered!AG191-recovered!AF191</f>
        <v>0</v>
      </c>
      <c r="AH191" s="5">
        <f>recovered!AH191-recovered!AG191</f>
        <v>0</v>
      </c>
      <c r="AI191" s="5">
        <f>recovered!AI191-recovered!AH191</f>
        <v>0</v>
      </c>
      <c r="AJ191" s="5">
        <f>recovered!AJ191-recovered!AI191</f>
        <v>0</v>
      </c>
      <c r="AK191" s="5">
        <f>recovered!AK191-recovered!AJ191</f>
        <v>0</v>
      </c>
      <c r="AL191" s="5">
        <f>recovered!AL191-recovered!AK191</f>
        <v>0</v>
      </c>
      <c r="AM191" s="5">
        <f>recovered!AM191-recovered!AL191</f>
        <v>0</v>
      </c>
      <c r="AN191" s="5">
        <f>recovered!AN191-recovered!AM191</f>
        <v>0</v>
      </c>
      <c r="AO191" s="5">
        <f>recovered!AO191-recovered!AN191</f>
        <v>0</v>
      </c>
      <c r="AP191" s="5">
        <f>recovered!AP191-recovered!AO191</f>
        <v>0</v>
      </c>
      <c r="AQ191" s="5">
        <f>recovered!AQ191-recovered!AP191</f>
        <v>0</v>
      </c>
      <c r="AR191" s="5">
        <f>recovered!AR191-recovered!AQ191</f>
        <v>0</v>
      </c>
      <c r="AS191" s="5">
        <f>recovered!AS191-recovered!AR191</f>
        <v>0</v>
      </c>
      <c r="AT191" s="5">
        <f>recovered!AT191-recovered!AS191</f>
        <v>0</v>
      </c>
      <c r="AU191" s="5">
        <f>recovered!AU191-recovered!AT191</f>
        <v>0</v>
      </c>
      <c r="AV191" s="5">
        <f>recovered!AV191-recovered!AU191</f>
        <v>0</v>
      </c>
      <c r="AW191" s="5">
        <f>recovered!AW191-recovered!AV191</f>
        <v>0</v>
      </c>
      <c r="AX191" s="5">
        <f>recovered!AX191-recovered!AW191</f>
        <v>0</v>
      </c>
      <c r="AY191" s="5">
        <f>recovered!AY191-recovered!AX191</f>
        <v>0</v>
      </c>
      <c r="AZ191" s="5">
        <f>recovered!AZ191-recovered!AY191</f>
        <v>0</v>
      </c>
      <c r="BA191" s="5">
        <f>recovered!BA191-recovered!AZ191</f>
        <v>0</v>
      </c>
      <c r="BB191" s="5">
        <f>recovered!BB191-recovered!BA191</f>
        <v>0</v>
      </c>
      <c r="BC191" s="5">
        <f>recovered!BC191-recovered!BB191</f>
        <v>0</v>
      </c>
      <c r="BD191" s="5">
        <f>recovered!BD191-recovered!BC191</f>
        <v>0</v>
      </c>
      <c r="BE191" s="5">
        <f>recovered!BE191-recovered!BD191</f>
        <v>4</v>
      </c>
      <c r="BF191" s="5">
        <f>recovered!BF191-recovered!BE191</f>
        <v>0</v>
      </c>
      <c r="BG191" s="5">
        <f>recovered!BG191-recovered!BF191</f>
        <v>0</v>
      </c>
      <c r="BH191" s="5">
        <f>recovered!BH191-recovered!BG191</f>
        <v>0</v>
      </c>
      <c r="BI191" s="5">
        <f>recovered!BI191-recovered!BH191</f>
        <v>0</v>
      </c>
      <c r="BJ191" s="5">
        <f>recovered!BJ191-recovered!BI191</f>
        <v>0</v>
      </c>
      <c r="BK191" s="5">
        <f>recovered!BK191-recovered!BJ191</f>
        <v>0</v>
      </c>
      <c r="BL191" s="5">
        <f>recovered!BL191-recovered!BK191</f>
        <v>0</v>
      </c>
      <c r="BM191" s="5">
        <f>recovered!BM191-recovered!BL191</f>
        <v>0</v>
      </c>
      <c r="BN191" s="5">
        <f>recovered!BN191-recovered!BM191</f>
        <v>0</v>
      </c>
      <c r="BO191" s="5">
        <f>recovered!BO191-recovered!BN191</f>
        <v>0</v>
      </c>
      <c r="BP191" s="5">
        <f>recovered!BP191-recovered!BO191</f>
        <v>0</v>
      </c>
      <c r="BQ191" s="5">
        <f>recovered!BQ191-recovered!BP191</f>
        <v>0</v>
      </c>
      <c r="BR191" s="5">
        <f>recovered!BR191-recovered!BQ191</f>
        <v>0</v>
      </c>
      <c r="BS191" s="5">
        <f>recovered!BS191-recovered!BR191</f>
        <v>2</v>
      </c>
      <c r="BT191" s="5">
        <f>recovered!BT191-recovered!BS191</f>
        <v>0</v>
      </c>
      <c r="BU191" s="5">
        <f>recovered!BU191-recovered!BT191</f>
        <v>7</v>
      </c>
      <c r="BV191" s="5">
        <f>recovered!BV191-recovered!BU191</f>
        <v>0</v>
      </c>
      <c r="BW191" s="5">
        <f>recovered!BW191-recovered!BV191</f>
        <v>0</v>
      </c>
      <c r="BX191" s="5">
        <f>recovered!BX191-recovered!BW191</f>
        <v>8</v>
      </c>
      <c r="BY191" s="5">
        <f>recovered!BY191-recovered!BX191</f>
        <v>0</v>
      </c>
    </row>
    <row r="192">
      <c r="B192" s="1" t="str">
        <f>recovered!B192</f>
        <v>Saudi Arabia</v>
      </c>
      <c r="C192" s="4">
        <f>recovered!C192</f>
        <v>24</v>
      </c>
      <c r="D192" s="4">
        <f>recovered!D192</f>
        <v>45</v>
      </c>
      <c r="E192" s="5">
        <f>recovered!E192</f>
        <v>0</v>
      </c>
      <c r="F192" s="5">
        <f>recovered!F192-recovered!E192</f>
        <v>0</v>
      </c>
      <c r="G192" s="5">
        <f>recovered!G192-recovered!F192</f>
        <v>0</v>
      </c>
      <c r="H192" s="5">
        <f>recovered!H192-recovered!G192</f>
        <v>0</v>
      </c>
      <c r="I192" s="5">
        <f>recovered!I192-recovered!H192</f>
        <v>0</v>
      </c>
      <c r="J192" s="5">
        <f>recovered!J192-recovered!I192</f>
        <v>0</v>
      </c>
      <c r="K192" s="5">
        <f>recovered!K192-recovered!J192</f>
        <v>0</v>
      </c>
      <c r="L192" s="5">
        <f>recovered!L192-recovered!K192</f>
        <v>0</v>
      </c>
      <c r="M192" s="5">
        <f>recovered!M192-recovered!L192</f>
        <v>0</v>
      </c>
      <c r="N192" s="5">
        <f>recovered!N192-recovered!M192</f>
        <v>0</v>
      </c>
      <c r="O192" s="5">
        <f>recovered!O192-recovered!N192</f>
        <v>0</v>
      </c>
      <c r="P192" s="5">
        <f>recovered!P192-recovered!O192</f>
        <v>0</v>
      </c>
      <c r="Q192" s="5">
        <f>recovered!Q192-recovered!P192</f>
        <v>0</v>
      </c>
      <c r="R192" s="5">
        <f>recovered!R192-recovered!Q192</f>
        <v>0</v>
      </c>
      <c r="S192" s="5">
        <f>recovered!S192-recovered!R192</f>
        <v>0</v>
      </c>
      <c r="T192" s="5">
        <f>recovered!T192-recovered!S192</f>
        <v>0</v>
      </c>
      <c r="U192" s="5">
        <f>recovered!U192-recovered!T192</f>
        <v>0</v>
      </c>
      <c r="V192" s="5">
        <f>recovered!V192-recovered!U192</f>
        <v>0</v>
      </c>
      <c r="W192" s="5">
        <f>recovered!W192-recovered!V192</f>
        <v>0</v>
      </c>
      <c r="X192" s="5">
        <f>recovered!X192-recovered!W192</f>
        <v>0</v>
      </c>
      <c r="Y192" s="5">
        <f>recovered!Y192-recovered!X192</f>
        <v>0</v>
      </c>
      <c r="Z192" s="5">
        <f>recovered!Z192-recovered!Y192</f>
        <v>0</v>
      </c>
      <c r="AA192" s="5">
        <f>recovered!AA192-recovered!Z192</f>
        <v>0</v>
      </c>
      <c r="AB192" s="5">
        <f>recovered!AB192-recovered!AA192</f>
        <v>0</v>
      </c>
      <c r="AC192" s="5">
        <f>recovered!AC192-recovered!AB192</f>
        <v>0</v>
      </c>
      <c r="AD192" s="5">
        <f>recovered!AD192-recovered!AC192</f>
        <v>0</v>
      </c>
      <c r="AE192" s="5">
        <f>recovered!AE192-recovered!AD192</f>
        <v>0</v>
      </c>
      <c r="AF192" s="5">
        <f>recovered!AF192-recovered!AE192</f>
        <v>0</v>
      </c>
      <c r="AG192" s="5">
        <f>recovered!AG192-recovered!AF192</f>
        <v>0</v>
      </c>
      <c r="AH192" s="5">
        <f>recovered!AH192-recovered!AG192</f>
        <v>0</v>
      </c>
      <c r="AI192" s="5">
        <f>recovered!AI192-recovered!AH192</f>
        <v>0</v>
      </c>
      <c r="AJ192" s="5">
        <f>recovered!AJ192-recovered!AI192</f>
        <v>0</v>
      </c>
      <c r="AK192" s="5">
        <f>recovered!AK192-recovered!AJ192</f>
        <v>0</v>
      </c>
      <c r="AL192" s="5">
        <f>recovered!AL192-recovered!AK192</f>
        <v>0</v>
      </c>
      <c r="AM192" s="5">
        <f>recovered!AM192-recovered!AL192</f>
        <v>0</v>
      </c>
      <c r="AN192" s="5">
        <f>recovered!AN192-recovered!AM192</f>
        <v>0</v>
      </c>
      <c r="AO192" s="5">
        <f>recovered!AO192-recovered!AN192</f>
        <v>0</v>
      </c>
      <c r="AP192" s="5">
        <f>recovered!AP192-recovered!AO192</f>
        <v>0</v>
      </c>
      <c r="AQ192" s="5">
        <f>recovered!AQ192-recovered!AP192</f>
        <v>0</v>
      </c>
      <c r="AR192" s="5">
        <f>recovered!AR192-recovered!AQ192</f>
        <v>0</v>
      </c>
      <c r="AS192" s="5">
        <f>recovered!AS192-recovered!AR192</f>
        <v>0</v>
      </c>
      <c r="AT192" s="5">
        <f>recovered!AT192-recovered!AS192</f>
        <v>0</v>
      </c>
      <c r="AU192" s="5">
        <f>recovered!AU192-recovered!AT192</f>
        <v>0</v>
      </c>
      <c r="AV192" s="5">
        <f>recovered!AV192-recovered!AU192</f>
        <v>0</v>
      </c>
      <c r="AW192" s="5">
        <f>recovered!AW192-recovered!AV192</f>
        <v>0</v>
      </c>
      <c r="AX192" s="5">
        <f>recovered!AX192-recovered!AW192</f>
        <v>0</v>
      </c>
      <c r="AY192" s="5">
        <f>recovered!AY192-recovered!AX192</f>
        <v>0</v>
      </c>
      <c r="AZ192" s="5">
        <f>recovered!AZ192-recovered!AY192</f>
        <v>0</v>
      </c>
      <c r="BA192" s="5">
        <f>recovered!BA192-recovered!AZ192</f>
        <v>1</v>
      </c>
      <c r="BB192" s="5">
        <f>recovered!BB192-recovered!BA192</f>
        <v>0</v>
      </c>
      <c r="BC192" s="5">
        <f>recovered!BC192-recovered!BB192</f>
        <v>0</v>
      </c>
      <c r="BD192" s="5">
        <f>recovered!BD192-recovered!BC192</f>
        <v>0</v>
      </c>
      <c r="BE192" s="5">
        <f>recovered!BE192-recovered!BD192</f>
        <v>0</v>
      </c>
      <c r="BF192" s="5">
        <f>recovered!BF192-recovered!BE192</f>
        <v>0</v>
      </c>
      <c r="BG192" s="5">
        <f>recovered!BG192-recovered!BF192</f>
        <v>1</v>
      </c>
      <c r="BH192" s="5">
        <f>recovered!BH192-recovered!BG192</f>
        <v>4</v>
      </c>
      <c r="BI192" s="5">
        <f>recovered!BI192-recovered!BH192</f>
        <v>0</v>
      </c>
      <c r="BJ192" s="5">
        <f>recovered!BJ192-recovered!BI192</f>
        <v>0</v>
      </c>
      <c r="BK192" s="5">
        <f>recovered!BK192-recovered!BJ192</f>
        <v>2</v>
      </c>
      <c r="BL192" s="5">
        <f>recovered!BL192-recovered!BK192</f>
        <v>8</v>
      </c>
      <c r="BM192" s="5">
        <f>recovered!BM192-recovered!BL192</f>
        <v>0</v>
      </c>
      <c r="BN192" s="5">
        <f>recovered!BN192-recovered!BM192</f>
        <v>0</v>
      </c>
      <c r="BO192" s="5">
        <f>recovered!BO192-recovered!BN192</f>
        <v>12</v>
      </c>
      <c r="BP192" s="5">
        <f>recovered!BP192-recovered!BO192</f>
        <v>1</v>
      </c>
      <c r="BQ192" s="5">
        <f>recovered!BQ192-recovered!BP192</f>
        <v>4</v>
      </c>
      <c r="BR192" s="5">
        <f>recovered!BR192-recovered!BQ192</f>
        <v>2</v>
      </c>
      <c r="BS192" s="5">
        <f>recovered!BS192-recovered!BR192</f>
        <v>2</v>
      </c>
      <c r="BT192" s="5">
        <f>recovered!BT192-recovered!BS192</f>
        <v>29</v>
      </c>
      <c r="BU192" s="5">
        <f>recovered!BU192-recovered!BT192</f>
        <v>49</v>
      </c>
      <c r="BV192" s="5">
        <f>recovered!BV192-recovered!BU192</f>
        <v>50</v>
      </c>
      <c r="BW192" s="5">
        <f>recovered!BW192-recovered!BV192</f>
        <v>99</v>
      </c>
      <c r="BX192" s="5">
        <f>recovered!BX192-recovered!BW192</f>
        <v>64</v>
      </c>
      <c r="BY192" s="5">
        <f>recovered!BY192-recovered!BX192</f>
        <v>23</v>
      </c>
    </row>
    <row r="193">
      <c r="B193" s="1" t="str">
        <f>recovered!B193</f>
        <v>Senegal</v>
      </c>
      <c r="C193" s="4">
        <f>recovered!C193</f>
        <v>14.4974</v>
      </c>
      <c r="D193" s="4">
        <f>recovered!D193</f>
        <v>-14.4524</v>
      </c>
      <c r="E193" s="5">
        <f>recovered!E193</f>
        <v>0</v>
      </c>
      <c r="F193" s="5">
        <f>recovered!F193-recovered!E193</f>
        <v>0</v>
      </c>
      <c r="G193" s="5">
        <f>recovered!G193-recovered!F193</f>
        <v>0</v>
      </c>
      <c r="H193" s="5">
        <f>recovered!H193-recovered!G193</f>
        <v>0</v>
      </c>
      <c r="I193" s="5">
        <f>recovered!I193-recovered!H193</f>
        <v>0</v>
      </c>
      <c r="J193" s="5">
        <f>recovered!J193-recovered!I193</f>
        <v>0</v>
      </c>
      <c r="K193" s="5">
        <f>recovered!K193-recovered!J193</f>
        <v>0</v>
      </c>
      <c r="L193" s="5">
        <f>recovered!L193-recovered!K193</f>
        <v>0</v>
      </c>
      <c r="M193" s="5">
        <f>recovered!M193-recovered!L193</f>
        <v>0</v>
      </c>
      <c r="N193" s="5">
        <f>recovered!N193-recovered!M193</f>
        <v>0</v>
      </c>
      <c r="O193" s="5">
        <f>recovered!O193-recovered!N193</f>
        <v>0</v>
      </c>
      <c r="P193" s="5">
        <f>recovered!P193-recovered!O193</f>
        <v>0</v>
      </c>
      <c r="Q193" s="5">
        <f>recovered!Q193-recovered!P193</f>
        <v>0</v>
      </c>
      <c r="R193" s="5">
        <f>recovered!R193-recovered!Q193</f>
        <v>0</v>
      </c>
      <c r="S193" s="5">
        <f>recovered!S193-recovered!R193</f>
        <v>0</v>
      </c>
      <c r="T193" s="5">
        <f>recovered!T193-recovered!S193</f>
        <v>0</v>
      </c>
      <c r="U193" s="5">
        <f>recovered!U193-recovered!T193</f>
        <v>0</v>
      </c>
      <c r="V193" s="5">
        <f>recovered!V193-recovered!U193</f>
        <v>0</v>
      </c>
      <c r="W193" s="5">
        <f>recovered!W193-recovered!V193</f>
        <v>0</v>
      </c>
      <c r="X193" s="5">
        <f>recovered!X193-recovered!W193</f>
        <v>0</v>
      </c>
      <c r="Y193" s="5">
        <f>recovered!Y193-recovered!X193</f>
        <v>0</v>
      </c>
      <c r="Z193" s="5">
        <f>recovered!Z193-recovered!Y193</f>
        <v>0</v>
      </c>
      <c r="AA193" s="5">
        <f>recovered!AA193-recovered!Z193</f>
        <v>0</v>
      </c>
      <c r="AB193" s="5">
        <f>recovered!AB193-recovered!AA193</f>
        <v>0</v>
      </c>
      <c r="AC193" s="5">
        <f>recovered!AC193-recovered!AB193</f>
        <v>0</v>
      </c>
      <c r="AD193" s="5">
        <f>recovered!AD193-recovered!AC193</f>
        <v>0</v>
      </c>
      <c r="AE193" s="5">
        <f>recovered!AE193-recovered!AD193</f>
        <v>0</v>
      </c>
      <c r="AF193" s="5">
        <f>recovered!AF193-recovered!AE193</f>
        <v>0</v>
      </c>
      <c r="AG193" s="5">
        <f>recovered!AG193-recovered!AF193</f>
        <v>0</v>
      </c>
      <c r="AH193" s="5">
        <f>recovered!AH193-recovered!AG193</f>
        <v>0</v>
      </c>
      <c r="AI193" s="5">
        <f>recovered!AI193-recovered!AH193</f>
        <v>0</v>
      </c>
      <c r="AJ193" s="5">
        <f>recovered!AJ193-recovered!AI193</f>
        <v>0</v>
      </c>
      <c r="AK193" s="5">
        <f>recovered!AK193-recovered!AJ193</f>
        <v>0</v>
      </c>
      <c r="AL193" s="5">
        <f>recovered!AL193-recovered!AK193</f>
        <v>0</v>
      </c>
      <c r="AM193" s="5">
        <f>recovered!AM193-recovered!AL193</f>
        <v>0</v>
      </c>
      <c r="AN193" s="5">
        <f>recovered!AN193-recovered!AM193</f>
        <v>0</v>
      </c>
      <c r="AO193" s="5">
        <f>recovered!AO193-recovered!AN193</f>
        <v>0</v>
      </c>
      <c r="AP193" s="5">
        <f>recovered!AP193-recovered!AO193</f>
        <v>0</v>
      </c>
      <c r="AQ193" s="5">
        <f>recovered!AQ193-recovered!AP193</f>
        <v>0</v>
      </c>
      <c r="AR193" s="5">
        <f>recovered!AR193-recovered!AQ193</f>
        <v>0</v>
      </c>
      <c r="AS193" s="5">
        <f>recovered!AS193-recovered!AR193</f>
        <v>0</v>
      </c>
      <c r="AT193" s="5">
        <f>recovered!AT193-recovered!AS193</f>
        <v>0</v>
      </c>
      <c r="AU193" s="5">
        <f>recovered!AU193-recovered!AT193</f>
        <v>0</v>
      </c>
      <c r="AV193" s="5">
        <f>recovered!AV193-recovered!AU193</f>
        <v>0</v>
      </c>
      <c r="AW193" s="5">
        <f>recovered!AW193-recovered!AV193</f>
        <v>0</v>
      </c>
      <c r="AX193" s="5">
        <f>recovered!AX193-recovered!AW193</f>
        <v>0</v>
      </c>
      <c r="AY193" s="5">
        <f>recovered!AY193-recovered!AX193</f>
        <v>1</v>
      </c>
      <c r="AZ193" s="5">
        <f>recovered!AZ193-recovered!AY193</f>
        <v>0</v>
      </c>
      <c r="BA193" s="5">
        <f>recovered!BA193-recovered!AZ193</f>
        <v>0</v>
      </c>
      <c r="BB193" s="5">
        <f>recovered!BB193-recovered!BA193</f>
        <v>0</v>
      </c>
      <c r="BC193" s="5">
        <f>recovered!BC193-recovered!BB193</f>
        <v>0</v>
      </c>
      <c r="BD193" s="5">
        <f>recovered!BD193-recovered!BC193</f>
        <v>0</v>
      </c>
      <c r="BE193" s="5">
        <f>recovered!BE193-recovered!BD193</f>
        <v>0</v>
      </c>
      <c r="BF193" s="5">
        <f>recovered!BF193-recovered!BE193</f>
        <v>0</v>
      </c>
      <c r="BG193" s="5">
        <f>recovered!BG193-recovered!BF193</f>
        <v>1</v>
      </c>
      <c r="BH193" s="5">
        <f>recovered!BH193-recovered!BG193</f>
        <v>0</v>
      </c>
      <c r="BI193" s="5">
        <f>recovered!BI193-recovered!BH193</f>
        <v>0</v>
      </c>
      <c r="BJ193" s="5">
        <f>recovered!BJ193-recovered!BI193</f>
        <v>0</v>
      </c>
      <c r="BK193" s="5">
        <f>recovered!BK193-recovered!BJ193</f>
        <v>0</v>
      </c>
      <c r="BL193" s="5">
        <f>recovered!BL193-recovered!BK193</f>
        <v>3</v>
      </c>
      <c r="BM193" s="5">
        <f>recovered!BM193-recovered!BL193</f>
        <v>0</v>
      </c>
      <c r="BN193" s="5">
        <f>recovered!BN193-recovered!BM193</f>
        <v>0</v>
      </c>
      <c r="BO193" s="5">
        <f>recovered!BO193-recovered!BN193</f>
        <v>3</v>
      </c>
      <c r="BP193" s="5">
        <f>recovered!BP193-recovered!BO193</f>
        <v>1</v>
      </c>
      <c r="BQ193" s="5">
        <f>recovered!BQ193-recovered!BP193</f>
        <v>0</v>
      </c>
      <c r="BR193" s="5">
        <f>recovered!BR193-recovered!BQ193</f>
        <v>2</v>
      </c>
      <c r="BS193" s="5">
        <f>recovered!BS193-recovered!BR193</f>
        <v>7</v>
      </c>
      <c r="BT193" s="5">
        <f>recovered!BT193-recovered!BS193</f>
        <v>9</v>
      </c>
      <c r="BU193" s="5">
        <f>recovered!BU193-recovered!BT193</f>
        <v>0</v>
      </c>
      <c r="BV193" s="5">
        <f>recovered!BV193-recovered!BU193</f>
        <v>13</v>
      </c>
      <c r="BW193" s="5">
        <f>recovered!BW193-recovered!BV193</f>
        <v>5</v>
      </c>
      <c r="BX193" s="5">
        <f>recovered!BX193-recovered!BW193</f>
        <v>10</v>
      </c>
      <c r="BY193" s="5">
        <f>recovered!BY193-recovered!BX193</f>
        <v>11</v>
      </c>
    </row>
    <row r="194">
      <c r="B194" s="1" t="str">
        <f>recovered!B194</f>
        <v>Serbia</v>
      </c>
      <c r="C194" s="4">
        <f>recovered!C194</f>
        <v>44.0165</v>
      </c>
      <c r="D194" s="4">
        <f>recovered!D194</f>
        <v>21.0059</v>
      </c>
      <c r="E194" s="5">
        <f>recovered!E194</f>
        <v>0</v>
      </c>
      <c r="F194" s="5">
        <f>recovered!F194-recovered!E194</f>
        <v>0</v>
      </c>
      <c r="G194" s="5">
        <f>recovered!G194-recovered!F194</f>
        <v>0</v>
      </c>
      <c r="H194" s="5">
        <f>recovered!H194-recovered!G194</f>
        <v>0</v>
      </c>
      <c r="I194" s="5">
        <f>recovered!I194-recovered!H194</f>
        <v>0</v>
      </c>
      <c r="J194" s="5">
        <f>recovered!J194-recovered!I194</f>
        <v>0</v>
      </c>
      <c r="K194" s="5">
        <f>recovered!K194-recovered!J194</f>
        <v>0</v>
      </c>
      <c r="L194" s="5">
        <f>recovered!L194-recovered!K194</f>
        <v>0</v>
      </c>
      <c r="M194" s="5">
        <f>recovered!M194-recovered!L194</f>
        <v>0</v>
      </c>
      <c r="N194" s="5">
        <f>recovered!N194-recovered!M194</f>
        <v>0</v>
      </c>
      <c r="O194" s="5">
        <f>recovered!O194-recovered!N194</f>
        <v>0</v>
      </c>
      <c r="P194" s="5">
        <f>recovered!P194-recovered!O194</f>
        <v>0</v>
      </c>
      <c r="Q194" s="5">
        <f>recovered!Q194-recovered!P194</f>
        <v>0</v>
      </c>
      <c r="R194" s="5">
        <f>recovered!R194-recovered!Q194</f>
        <v>0</v>
      </c>
      <c r="S194" s="5">
        <f>recovered!S194-recovered!R194</f>
        <v>0</v>
      </c>
      <c r="T194" s="5">
        <f>recovered!T194-recovered!S194</f>
        <v>0</v>
      </c>
      <c r="U194" s="5">
        <f>recovered!U194-recovered!T194</f>
        <v>0</v>
      </c>
      <c r="V194" s="5">
        <f>recovered!V194-recovered!U194</f>
        <v>0</v>
      </c>
      <c r="W194" s="5">
        <f>recovered!W194-recovered!V194</f>
        <v>0</v>
      </c>
      <c r="X194" s="5">
        <f>recovered!X194-recovered!W194</f>
        <v>0</v>
      </c>
      <c r="Y194" s="5">
        <f>recovered!Y194-recovered!X194</f>
        <v>0</v>
      </c>
      <c r="Z194" s="5">
        <f>recovered!Z194-recovered!Y194</f>
        <v>0</v>
      </c>
      <c r="AA194" s="5">
        <f>recovered!AA194-recovered!Z194</f>
        <v>0</v>
      </c>
      <c r="AB194" s="5">
        <f>recovered!AB194-recovered!AA194</f>
        <v>0</v>
      </c>
      <c r="AC194" s="5">
        <f>recovered!AC194-recovered!AB194</f>
        <v>0</v>
      </c>
      <c r="AD194" s="5">
        <f>recovered!AD194-recovered!AC194</f>
        <v>0</v>
      </c>
      <c r="AE194" s="5">
        <f>recovered!AE194-recovered!AD194</f>
        <v>0</v>
      </c>
      <c r="AF194" s="5">
        <f>recovered!AF194-recovered!AE194</f>
        <v>0</v>
      </c>
      <c r="AG194" s="5">
        <f>recovered!AG194-recovered!AF194</f>
        <v>0</v>
      </c>
      <c r="AH194" s="5">
        <f>recovered!AH194-recovered!AG194</f>
        <v>0</v>
      </c>
      <c r="AI194" s="5">
        <f>recovered!AI194-recovered!AH194</f>
        <v>0</v>
      </c>
      <c r="AJ194" s="5">
        <f>recovered!AJ194-recovered!AI194</f>
        <v>0</v>
      </c>
      <c r="AK194" s="5">
        <f>recovered!AK194-recovered!AJ194</f>
        <v>0</v>
      </c>
      <c r="AL194" s="5">
        <f>recovered!AL194-recovered!AK194</f>
        <v>0</v>
      </c>
      <c r="AM194" s="5">
        <f>recovered!AM194-recovered!AL194</f>
        <v>0</v>
      </c>
      <c r="AN194" s="5">
        <f>recovered!AN194-recovered!AM194</f>
        <v>0</v>
      </c>
      <c r="AO194" s="5">
        <f>recovered!AO194-recovered!AN194</f>
        <v>0</v>
      </c>
      <c r="AP194" s="5">
        <f>recovered!AP194-recovered!AO194</f>
        <v>0</v>
      </c>
      <c r="AQ194" s="5">
        <f>recovered!AQ194-recovered!AP194</f>
        <v>0</v>
      </c>
      <c r="AR194" s="5">
        <f>recovered!AR194-recovered!AQ194</f>
        <v>0</v>
      </c>
      <c r="AS194" s="5">
        <f>recovered!AS194-recovered!AR194</f>
        <v>0</v>
      </c>
      <c r="AT194" s="5">
        <f>recovered!AT194-recovered!AS194</f>
        <v>0</v>
      </c>
      <c r="AU194" s="5">
        <f>recovered!AU194-recovered!AT194</f>
        <v>0</v>
      </c>
      <c r="AV194" s="5">
        <f>recovered!AV194-recovered!AU194</f>
        <v>0</v>
      </c>
      <c r="AW194" s="5">
        <f>recovered!AW194-recovered!AV194</f>
        <v>0</v>
      </c>
      <c r="AX194" s="5">
        <f>recovered!AX194-recovered!AW194</f>
        <v>0</v>
      </c>
      <c r="AY194" s="5">
        <f>recovered!AY194-recovered!AX194</f>
        <v>0</v>
      </c>
      <c r="AZ194" s="5">
        <f>recovered!AZ194-recovered!AY194</f>
        <v>0</v>
      </c>
      <c r="BA194" s="5">
        <f>recovered!BA194-recovered!AZ194</f>
        <v>0</v>
      </c>
      <c r="BB194" s="5">
        <f>recovered!BB194-recovered!BA194</f>
        <v>0</v>
      </c>
      <c r="BC194" s="5">
        <f>recovered!BC194-recovered!BB194</f>
        <v>0</v>
      </c>
      <c r="BD194" s="5">
        <f>recovered!BD194-recovered!BC194</f>
        <v>0</v>
      </c>
      <c r="BE194" s="5">
        <f>recovered!BE194-recovered!BD194</f>
        <v>0</v>
      </c>
      <c r="BF194" s="5">
        <f>recovered!BF194-recovered!BE194</f>
        <v>0</v>
      </c>
      <c r="BG194" s="5">
        <f>recovered!BG194-recovered!BF194</f>
        <v>1</v>
      </c>
      <c r="BH194" s="5">
        <f>recovered!BH194-recovered!BG194</f>
        <v>0</v>
      </c>
      <c r="BI194" s="5">
        <f>recovered!BI194-recovered!BH194</f>
        <v>0</v>
      </c>
      <c r="BJ194" s="5">
        <f>recovered!BJ194-recovered!BI194</f>
        <v>0</v>
      </c>
      <c r="BK194" s="5">
        <f>recovered!BK194-recovered!BJ194</f>
        <v>0</v>
      </c>
      <c r="BL194" s="5">
        <f>recovered!BL194-recovered!BK194</f>
        <v>0</v>
      </c>
      <c r="BM194" s="5">
        <f>recovered!BM194-recovered!BL194</f>
        <v>0</v>
      </c>
      <c r="BN194" s="5">
        <f>recovered!BN194-recovered!BM194</f>
        <v>0</v>
      </c>
      <c r="BO194" s="5">
        <f>recovered!BO194-recovered!BN194</f>
        <v>14</v>
      </c>
      <c r="BP194" s="5">
        <f>recovered!BP194-recovered!BO194</f>
        <v>0</v>
      </c>
      <c r="BQ194" s="5">
        <f>recovered!BQ194-recovered!BP194</f>
        <v>-15</v>
      </c>
      <c r="BR194" s="5">
        <f>recovered!BR194-recovered!BQ194</f>
        <v>0</v>
      </c>
      <c r="BS194" s="5">
        <f>recovered!BS194-recovered!BR194</f>
        <v>0</v>
      </c>
      <c r="BT194" s="5">
        <f>recovered!BT194-recovered!BS194</f>
        <v>0</v>
      </c>
      <c r="BU194" s="5">
        <f>recovered!BU194-recovered!BT194</f>
        <v>0</v>
      </c>
      <c r="BV194" s="5">
        <f>recovered!BV194-recovered!BU194</f>
        <v>0</v>
      </c>
      <c r="BW194" s="5">
        <f>recovered!BW194-recovered!BV194</f>
        <v>0</v>
      </c>
      <c r="BX194" s="5">
        <f>recovered!BX194-recovered!BW194</f>
        <v>0</v>
      </c>
      <c r="BY194" s="5">
        <f>recovered!BY194-recovered!BX194</f>
        <v>0</v>
      </c>
    </row>
    <row r="195">
      <c r="B195" s="1" t="str">
        <f>recovered!B195</f>
        <v>Seychelles</v>
      </c>
      <c r="C195" s="4">
        <f>recovered!C195</f>
        <v>-4.6796</v>
      </c>
      <c r="D195" s="4">
        <f>recovered!D195</f>
        <v>55.492</v>
      </c>
      <c r="E195" s="5">
        <f>recovered!E195</f>
        <v>0</v>
      </c>
      <c r="F195" s="5">
        <f>recovered!F195-recovered!E195</f>
        <v>0</v>
      </c>
      <c r="G195" s="5">
        <f>recovered!G195-recovered!F195</f>
        <v>0</v>
      </c>
      <c r="H195" s="5">
        <f>recovered!H195-recovered!G195</f>
        <v>0</v>
      </c>
      <c r="I195" s="5">
        <f>recovered!I195-recovered!H195</f>
        <v>0</v>
      </c>
      <c r="J195" s="5">
        <f>recovered!J195-recovered!I195</f>
        <v>0</v>
      </c>
      <c r="K195" s="5">
        <f>recovered!K195-recovered!J195</f>
        <v>0</v>
      </c>
      <c r="L195" s="5">
        <f>recovered!L195-recovered!K195</f>
        <v>0</v>
      </c>
      <c r="M195" s="5">
        <f>recovered!M195-recovered!L195</f>
        <v>0</v>
      </c>
      <c r="N195" s="5">
        <f>recovered!N195-recovered!M195</f>
        <v>0</v>
      </c>
      <c r="O195" s="5">
        <f>recovered!O195-recovered!N195</f>
        <v>0</v>
      </c>
      <c r="P195" s="5">
        <f>recovered!P195-recovered!O195</f>
        <v>0</v>
      </c>
      <c r="Q195" s="5">
        <f>recovered!Q195-recovered!P195</f>
        <v>0</v>
      </c>
      <c r="R195" s="5">
        <f>recovered!R195-recovered!Q195</f>
        <v>0</v>
      </c>
      <c r="S195" s="5">
        <f>recovered!S195-recovered!R195</f>
        <v>0</v>
      </c>
      <c r="T195" s="5">
        <f>recovered!T195-recovered!S195</f>
        <v>0</v>
      </c>
      <c r="U195" s="5">
        <f>recovered!U195-recovered!T195</f>
        <v>0</v>
      </c>
      <c r="V195" s="5">
        <f>recovered!V195-recovered!U195</f>
        <v>0</v>
      </c>
      <c r="W195" s="5">
        <f>recovered!W195-recovered!V195</f>
        <v>0</v>
      </c>
      <c r="X195" s="5">
        <f>recovered!X195-recovered!W195</f>
        <v>0</v>
      </c>
      <c r="Y195" s="5">
        <f>recovered!Y195-recovered!X195</f>
        <v>0</v>
      </c>
      <c r="Z195" s="5">
        <f>recovered!Z195-recovered!Y195</f>
        <v>0</v>
      </c>
      <c r="AA195" s="5">
        <f>recovered!AA195-recovered!Z195</f>
        <v>0</v>
      </c>
      <c r="AB195" s="5">
        <f>recovered!AB195-recovered!AA195</f>
        <v>0</v>
      </c>
      <c r="AC195" s="5">
        <f>recovered!AC195-recovered!AB195</f>
        <v>0</v>
      </c>
      <c r="AD195" s="5">
        <f>recovered!AD195-recovered!AC195</f>
        <v>0</v>
      </c>
      <c r="AE195" s="5">
        <f>recovered!AE195-recovered!AD195</f>
        <v>0</v>
      </c>
      <c r="AF195" s="5">
        <f>recovered!AF195-recovered!AE195</f>
        <v>0</v>
      </c>
      <c r="AG195" s="5">
        <f>recovered!AG195-recovered!AF195</f>
        <v>0</v>
      </c>
      <c r="AH195" s="5">
        <f>recovered!AH195-recovered!AG195</f>
        <v>0</v>
      </c>
      <c r="AI195" s="5">
        <f>recovered!AI195-recovered!AH195</f>
        <v>0</v>
      </c>
      <c r="AJ195" s="5">
        <f>recovered!AJ195-recovered!AI195</f>
        <v>0</v>
      </c>
      <c r="AK195" s="5">
        <f>recovered!AK195-recovered!AJ195</f>
        <v>0</v>
      </c>
      <c r="AL195" s="5">
        <f>recovered!AL195-recovered!AK195</f>
        <v>0</v>
      </c>
      <c r="AM195" s="5">
        <f>recovered!AM195-recovered!AL195</f>
        <v>0</v>
      </c>
      <c r="AN195" s="5">
        <f>recovered!AN195-recovered!AM195</f>
        <v>0</v>
      </c>
      <c r="AO195" s="5">
        <f>recovered!AO195-recovered!AN195</f>
        <v>0</v>
      </c>
      <c r="AP195" s="5">
        <f>recovered!AP195-recovered!AO195</f>
        <v>0</v>
      </c>
      <c r="AQ195" s="5">
        <f>recovered!AQ195-recovered!AP195</f>
        <v>0</v>
      </c>
      <c r="AR195" s="5">
        <f>recovered!AR195-recovered!AQ195</f>
        <v>0</v>
      </c>
      <c r="AS195" s="5">
        <f>recovered!AS195-recovered!AR195</f>
        <v>0</v>
      </c>
      <c r="AT195" s="5">
        <f>recovered!AT195-recovered!AS195</f>
        <v>0</v>
      </c>
      <c r="AU195" s="5">
        <f>recovered!AU195-recovered!AT195</f>
        <v>0</v>
      </c>
      <c r="AV195" s="5">
        <f>recovered!AV195-recovered!AU195</f>
        <v>0</v>
      </c>
      <c r="AW195" s="5">
        <f>recovered!AW195-recovered!AV195</f>
        <v>0</v>
      </c>
      <c r="AX195" s="5">
        <f>recovered!AX195-recovered!AW195</f>
        <v>0</v>
      </c>
      <c r="AY195" s="5">
        <f>recovered!AY195-recovered!AX195</f>
        <v>0</v>
      </c>
      <c r="AZ195" s="5">
        <f>recovered!AZ195-recovered!AY195</f>
        <v>0</v>
      </c>
      <c r="BA195" s="5">
        <f>recovered!BA195-recovered!AZ195</f>
        <v>0</v>
      </c>
      <c r="BB195" s="5">
        <f>recovered!BB195-recovered!BA195</f>
        <v>0</v>
      </c>
      <c r="BC195" s="5">
        <f>recovered!BC195-recovered!BB195</f>
        <v>0</v>
      </c>
      <c r="BD195" s="5">
        <f>recovered!BD195-recovered!BC195</f>
        <v>0</v>
      </c>
      <c r="BE195" s="5">
        <f>recovered!BE195-recovered!BD195</f>
        <v>0</v>
      </c>
      <c r="BF195" s="5">
        <f>recovered!BF195-recovered!BE195</f>
        <v>0</v>
      </c>
      <c r="BG195" s="5">
        <f>recovered!BG195-recovered!BF195</f>
        <v>0</v>
      </c>
      <c r="BH195" s="5">
        <f>recovered!BH195-recovered!BG195</f>
        <v>0</v>
      </c>
      <c r="BI195" s="5">
        <f>recovered!BI195-recovered!BH195</f>
        <v>0</v>
      </c>
      <c r="BJ195" s="5">
        <f>recovered!BJ195-recovered!BI195</f>
        <v>0</v>
      </c>
      <c r="BK195" s="5">
        <f>recovered!BK195-recovered!BJ195</f>
        <v>0</v>
      </c>
      <c r="BL195" s="5">
        <f>recovered!BL195-recovered!BK195</f>
        <v>0</v>
      </c>
      <c r="BM195" s="5">
        <f>recovered!BM195-recovered!BL195</f>
        <v>0</v>
      </c>
      <c r="BN195" s="5">
        <f>recovered!BN195-recovered!BM195</f>
        <v>0</v>
      </c>
      <c r="BO195" s="5">
        <f>recovered!BO195-recovered!BN195</f>
        <v>0</v>
      </c>
      <c r="BP195" s="5">
        <f>recovered!BP195-recovered!BO195</f>
        <v>0</v>
      </c>
      <c r="BQ195" s="5">
        <f>recovered!BQ195-recovered!BP195</f>
        <v>0</v>
      </c>
      <c r="BR195" s="5">
        <f>recovered!BR195-recovered!BQ195</f>
        <v>0</v>
      </c>
      <c r="BS195" s="5">
        <f>recovered!BS195-recovered!BR195</f>
        <v>0</v>
      </c>
      <c r="BT195" s="5">
        <f>recovered!BT195-recovered!BS195</f>
        <v>0</v>
      </c>
      <c r="BU195" s="5">
        <f>recovered!BU195-recovered!BT195</f>
        <v>0</v>
      </c>
      <c r="BV195" s="5">
        <f>recovered!BV195-recovered!BU195</f>
        <v>0</v>
      </c>
      <c r="BW195" s="5">
        <f>recovered!BW195-recovered!BV195</f>
        <v>0</v>
      </c>
      <c r="BX195" s="5">
        <f>recovered!BX195-recovered!BW195</f>
        <v>0</v>
      </c>
      <c r="BY195" s="5">
        <f>recovered!BY195-recovered!BX195</f>
        <v>0</v>
      </c>
    </row>
    <row r="196">
      <c r="B196" s="1" t="str">
        <f>recovered!B196</f>
        <v>Singapore</v>
      </c>
      <c r="C196" s="4">
        <f>recovered!C196</f>
        <v>1.2833</v>
      </c>
      <c r="D196" s="4">
        <f>recovered!D196</f>
        <v>103.8333</v>
      </c>
      <c r="E196" s="5">
        <f>recovered!E196</f>
        <v>0</v>
      </c>
      <c r="F196" s="5">
        <f>recovered!F196-recovered!E196</f>
        <v>0</v>
      </c>
      <c r="G196" s="5">
        <f>recovered!G196-recovered!F196</f>
        <v>0</v>
      </c>
      <c r="H196" s="5">
        <f>recovered!H196-recovered!G196</f>
        <v>0</v>
      </c>
      <c r="I196" s="5">
        <f>recovered!I196-recovered!H196</f>
        <v>0</v>
      </c>
      <c r="J196" s="5">
        <f>recovered!J196-recovered!I196</f>
        <v>0</v>
      </c>
      <c r="K196" s="5">
        <f>recovered!K196-recovered!J196</f>
        <v>0</v>
      </c>
      <c r="L196" s="5">
        <f>recovered!L196-recovered!K196</f>
        <v>0</v>
      </c>
      <c r="M196" s="5">
        <f>recovered!M196-recovered!L196</f>
        <v>0</v>
      </c>
      <c r="N196" s="5">
        <f>recovered!N196-recovered!M196</f>
        <v>0</v>
      </c>
      <c r="O196" s="5">
        <f>recovered!O196-recovered!N196</f>
        <v>0</v>
      </c>
      <c r="P196" s="5">
        <f>recovered!P196-recovered!O196</f>
        <v>0</v>
      </c>
      <c r="Q196" s="5">
        <f>recovered!Q196-recovered!P196</f>
        <v>0</v>
      </c>
      <c r="R196" s="5">
        <f>recovered!R196-recovered!Q196</f>
        <v>0</v>
      </c>
      <c r="S196" s="5">
        <f>recovered!S196-recovered!R196</f>
        <v>0</v>
      </c>
      <c r="T196" s="5">
        <f>recovered!T196-recovered!S196</f>
        <v>0</v>
      </c>
      <c r="U196" s="5">
        <f>recovered!U196-recovered!T196</f>
        <v>0</v>
      </c>
      <c r="V196" s="5">
        <f>recovered!V196-recovered!U196</f>
        <v>2</v>
      </c>
      <c r="W196" s="5">
        <f>recovered!W196-recovered!V196</f>
        <v>0</v>
      </c>
      <c r="X196" s="5">
        <f>recovered!X196-recovered!W196</f>
        <v>0</v>
      </c>
      <c r="Y196" s="5">
        <f>recovered!Y196-recovered!X196</f>
        <v>7</v>
      </c>
      <c r="Z196" s="5">
        <f>recovered!Z196-recovered!Y196</f>
        <v>6</v>
      </c>
      <c r="AA196" s="5">
        <f>recovered!AA196-recovered!Z196</f>
        <v>0</v>
      </c>
      <c r="AB196" s="5">
        <f>recovered!AB196-recovered!AA196</f>
        <v>2</v>
      </c>
      <c r="AC196" s="5">
        <f>recovered!AC196-recovered!AB196</f>
        <v>1</v>
      </c>
      <c r="AD196" s="5">
        <f>recovered!AD196-recovered!AC196</f>
        <v>0</v>
      </c>
      <c r="AE196" s="5">
        <f>recovered!AE196-recovered!AD196</f>
        <v>6</v>
      </c>
      <c r="AF196" s="5">
        <f>recovered!AF196-recovered!AE196</f>
        <v>5</v>
      </c>
      <c r="AG196" s="5">
        <f>recovered!AG196-recovered!AF196</f>
        <v>5</v>
      </c>
      <c r="AH196" s="5">
        <f>recovered!AH196-recovered!AG196</f>
        <v>0</v>
      </c>
      <c r="AI196" s="5">
        <f>recovered!AI196-recovered!AH196</f>
        <v>3</v>
      </c>
      <c r="AJ196" s="5">
        <f>recovered!AJ196-recovered!AI196</f>
        <v>0</v>
      </c>
      <c r="AK196" s="5">
        <f>recovered!AK196-recovered!AJ196</f>
        <v>14</v>
      </c>
      <c r="AL196" s="5">
        <f>recovered!AL196-recovered!AK196</f>
        <v>0</v>
      </c>
      <c r="AM196" s="5">
        <f>recovered!AM196-recovered!AL196</f>
        <v>2</v>
      </c>
      <c r="AN196" s="5">
        <f>recovered!AN196-recovered!AM196</f>
        <v>9</v>
      </c>
      <c r="AO196" s="5">
        <f>recovered!AO196-recovered!AN196</f>
        <v>0</v>
      </c>
      <c r="AP196" s="5">
        <f>recovered!AP196-recovered!AO196</f>
        <v>0</v>
      </c>
      <c r="AQ196" s="5">
        <f>recovered!AQ196-recovered!AP196</f>
        <v>10</v>
      </c>
      <c r="AR196" s="5">
        <f>recovered!AR196-recovered!AQ196</f>
        <v>0</v>
      </c>
      <c r="AS196" s="5">
        <f>recovered!AS196-recovered!AR196</f>
        <v>6</v>
      </c>
      <c r="AT196" s="5">
        <f>recovered!AT196-recovered!AS196</f>
        <v>0</v>
      </c>
      <c r="AU196" s="5">
        <f>recovered!AU196-recovered!AT196</f>
        <v>0</v>
      </c>
      <c r="AV196" s="5">
        <f>recovered!AV196-recovered!AU196</f>
        <v>0</v>
      </c>
      <c r="AW196" s="5">
        <f>recovered!AW196-recovered!AV196</f>
        <v>0</v>
      </c>
      <c r="AX196" s="5">
        <f>recovered!AX196-recovered!AW196</f>
        <v>0</v>
      </c>
      <c r="AY196" s="5">
        <f>recovered!AY196-recovered!AX196</f>
        <v>0</v>
      </c>
      <c r="AZ196" s="5">
        <f>recovered!AZ196-recovered!AY196</f>
        <v>0</v>
      </c>
      <c r="BA196" s="5">
        <f>recovered!BA196-recovered!AZ196</f>
        <v>0</v>
      </c>
      <c r="BB196" s="5">
        <f>recovered!BB196-recovered!BA196</f>
        <v>18</v>
      </c>
      <c r="BC196" s="5">
        <f>recovered!BC196-recovered!BB196</f>
        <v>0</v>
      </c>
      <c r="BD196" s="5">
        <f>recovered!BD196-recovered!BC196</f>
        <v>1</v>
      </c>
      <c r="BE196" s="5">
        <f>recovered!BE196-recovered!BD196</f>
        <v>8</v>
      </c>
      <c r="BF196" s="5">
        <f>recovered!BF196-recovered!BE196</f>
        <v>0</v>
      </c>
      <c r="BG196" s="5">
        <f>recovered!BG196-recovered!BF196</f>
        <v>4</v>
      </c>
      <c r="BH196" s="5">
        <f>recovered!BH196-recovered!BG196</f>
        <v>5</v>
      </c>
      <c r="BI196" s="5">
        <f>recovered!BI196-recovered!BH196</f>
        <v>0</v>
      </c>
      <c r="BJ196" s="5">
        <f>recovered!BJ196-recovered!BI196</f>
        <v>0</v>
      </c>
      <c r="BK196" s="5">
        <f>recovered!BK196-recovered!BJ196</f>
        <v>10</v>
      </c>
      <c r="BL196" s="5">
        <f>recovered!BL196-recovered!BK196</f>
        <v>16</v>
      </c>
      <c r="BM196" s="5">
        <f>recovered!BM196-recovered!BL196</f>
        <v>4</v>
      </c>
      <c r="BN196" s="5">
        <f>recovered!BN196-recovered!BM196</f>
        <v>0</v>
      </c>
      <c r="BO196" s="5">
        <f>recovered!BO196-recovered!BN196</f>
        <v>12</v>
      </c>
      <c r="BP196" s="5">
        <f>recovered!BP196-recovered!BO196</f>
        <v>4</v>
      </c>
      <c r="BQ196" s="5">
        <f>recovered!BQ196-recovered!BP196</f>
        <v>12</v>
      </c>
      <c r="BR196" s="5">
        <f>recovered!BR196-recovered!BQ196</f>
        <v>11</v>
      </c>
      <c r="BS196" s="5">
        <f>recovered!BS196-recovered!BR196</f>
        <v>15</v>
      </c>
      <c r="BT196" s="5">
        <f>recovered!BT196-recovered!BS196</f>
        <v>14</v>
      </c>
      <c r="BU196" s="5">
        <f>recovered!BU196-recovered!BT196</f>
        <v>16</v>
      </c>
      <c r="BV196" s="5">
        <f>recovered!BV196-recovered!BU196</f>
        <v>12</v>
      </c>
      <c r="BW196" s="5">
        <f>recovered!BW196-recovered!BV196</f>
        <v>5</v>
      </c>
      <c r="BX196" s="5">
        <f>recovered!BX196-recovered!BW196</f>
        <v>21</v>
      </c>
      <c r="BY196" s="5">
        <f>recovered!BY196-recovered!BX196</f>
        <v>16</v>
      </c>
    </row>
    <row r="197">
      <c r="B197" s="1" t="str">
        <f>recovered!B197</f>
        <v>Slovakia</v>
      </c>
      <c r="C197" s="4">
        <f>recovered!C197</f>
        <v>48.669</v>
      </c>
      <c r="D197" s="4">
        <f>recovered!D197</f>
        <v>19.699</v>
      </c>
      <c r="E197" s="5">
        <f>recovered!E197</f>
        <v>0</v>
      </c>
      <c r="F197" s="5">
        <f>recovered!F197-recovered!E197</f>
        <v>0</v>
      </c>
      <c r="G197" s="5">
        <f>recovered!G197-recovered!F197</f>
        <v>0</v>
      </c>
      <c r="H197" s="5">
        <f>recovered!H197-recovered!G197</f>
        <v>0</v>
      </c>
      <c r="I197" s="5">
        <f>recovered!I197-recovered!H197</f>
        <v>0</v>
      </c>
      <c r="J197" s="5">
        <f>recovered!J197-recovered!I197</f>
        <v>0</v>
      </c>
      <c r="K197" s="5">
        <f>recovered!K197-recovered!J197</f>
        <v>0</v>
      </c>
      <c r="L197" s="5">
        <f>recovered!L197-recovered!K197</f>
        <v>0</v>
      </c>
      <c r="M197" s="5">
        <f>recovered!M197-recovered!L197</f>
        <v>0</v>
      </c>
      <c r="N197" s="5">
        <f>recovered!N197-recovered!M197</f>
        <v>0</v>
      </c>
      <c r="O197" s="5">
        <f>recovered!O197-recovered!N197</f>
        <v>0</v>
      </c>
      <c r="P197" s="5">
        <f>recovered!P197-recovered!O197</f>
        <v>0</v>
      </c>
      <c r="Q197" s="5">
        <f>recovered!Q197-recovered!P197</f>
        <v>0</v>
      </c>
      <c r="R197" s="5">
        <f>recovered!R197-recovered!Q197</f>
        <v>0</v>
      </c>
      <c r="S197" s="5">
        <f>recovered!S197-recovered!R197</f>
        <v>0</v>
      </c>
      <c r="T197" s="5">
        <f>recovered!T197-recovered!S197</f>
        <v>0</v>
      </c>
      <c r="U197" s="5">
        <f>recovered!U197-recovered!T197</f>
        <v>0</v>
      </c>
      <c r="V197" s="5">
        <f>recovered!V197-recovered!U197</f>
        <v>0</v>
      </c>
      <c r="W197" s="5">
        <f>recovered!W197-recovered!V197</f>
        <v>0</v>
      </c>
      <c r="X197" s="5">
        <f>recovered!X197-recovered!W197</f>
        <v>0</v>
      </c>
      <c r="Y197" s="5">
        <f>recovered!Y197-recovered!X197</f>
        <v>0</v>
      </c>
      <c r="Z197" s="5">
        <f>recovered!Z197-recovered!Y197</f>
        <v>0</v>
      </c>
      <c r="AA197" s="5">
        <f>recovered!AA197-recovered!Z197</f>
        <v>0</v>
      </c>
      <c r="AB197" s="5">
        <f>recovered!AB197-recovered!AA197</f>
        <v>0</v>
      </c>
      <c r="AC197" s="5">
        <f>recovered!AC197-recovered!AB197</f>
        <v>0</v>
      </c>
      <c r="AD197" s="5">
        <f>recovered!AD197-recovered!AC197</f>
        <v>0</v>
      </c>
      <c r="AE197" s="5">
        <f>recovered!AE197-recovered!AD197</f>
        <v>0</v>
      </c>
      <c r="AF197" s="5">
        <f>recovered!AF197-recovered!AE197</f>
        <v>0</v>
      </c>
      <c r="AG197" s="5">
        <f>recovered!AG197-recovered!AF197</f>
        <v>0</v>
      </c>
      <c r="AH197" s="5">
        <f>recovered!AH197-recovered!AG197</f>
        <v>0</v>
      </c>
      <c r="AI197" s="5">
        <f>recovered!AI197-recovered!AH197</f>
        <v>0</v>
      </c>
      <c r="AJ197" s="5">
        <f>recovered!AJ197-recovered!AI197</f>
        <v>0</v>
      </c>
      <c r="AK197" s="5">
        <f>recovered!AK197-recovered!AJ197</f>
        <v>0</v>
      </c>
      <c r="AL197" s="5">
        <f>recovered!AL197-recovered!AK197</f>
        <v>0</v>
      </c>
      <c r="AM197" s="5">
        <f>recovered!AM197-recovered!AL197</f>
        <v>0</v>
      </c>
      <c r="AN197" s="5">
        <f>recovered!AN197-recovered!AM197</f>
        <v>0</v>
      </c>
      <c r="AO197" s="5">
        <f>recovered!AO197-recovered!AN197</f>
        <v>0</v>
      </c>
      <c r="AP197" s="5">
        <f>recovered!AP197-recovered!AO197</f>
        <v>0</v>
      </c>
      <c r="AQ197" s="5">
        <f>recovered!AQ197-recovered!AP197</f>
        <v>0</v>
      </c>
      <c r="AR197" s="5">
        <f>recovered!AR197-recovered!AQ197</f>
        <v>0</v>
      </c>
      <c r="AS197" s="5">
        <f>recovered!AS197-recovered!AR197</f>
        <v>0</v>
      </c>
      <c r="AT197" s="5">
        <f>recovered!AT197-recovered!AS197</f>
        <v>0</v>
      </c>
      <c r="AU197" s="5">
        <f>recovered!AU197-recovered!AT197</f>
        <v>0</v>
      </c>
      <c r="AV197" s="5">
        <f>recovered!AV197-recovered!AU197</f>
        <v>0</v>
      </c>
      <c r="AW197" s="5">
        <f>recovered!AW197-recovered!AV197</f>
        <v>0</v>
      </c>
      <c r="AX197" s="5">
        <f>recovered!AX197-recovered!AW197</f>
        <v>0</v>
      </c>
      <c r="AY197" s="5">
        <f>recovered!AY197-recovered!AX197</f>
        <v>0</v>
      </c>
      <c r="AZ197" s="5">
        <f>recovered!AZ197-recovered!AY197</f>
        <v>0</v>
      </c>
      <c r="BA197" s="5">
        <f>recovered!BA197-recovered!AZ197</f>
        <v>0</v>
      </c>
      <c r="BB197" s="5">
        <f>recovered!BB197-recovered!BA197</f>
        <v>0</v>
      </c>
      <c r="BC197" s="5">
        <f>recovered!BC197-recovered!BB197</f>
        <v>0</v>
      </c>
      <c r="BD197" s="5">
        <f>recovered!BD197-recovered!BC197</f>
        <v>0</v>
      </c>
      <c r="BE197" s="5">
        <f>recovered!BE197-recovered!BD197</f>
        <v>0</v>
      </c>
      <c r="BF197" s="5">
        <f>recovered!BF197-recovered!BE197</f>
        <v>0</v>
      </c>
      <c r="BG197" s="5">
        <f>recovered!BG197-recovered!BF197</f>
        <v>0</v>
      </c>
      <c r="BH197" s="5">
        <f>recovered!BH197-recovered!BG197</f>
        <v>0</v>
      </c>
      <c r="BI197" s="5">
        <f>recovered!BI197-recovered!BH197</f>
        <v>0</v>
      </c>
      <c r="BJ197" s="5">
        <f>recovered!BJ197-recovered!BI197</f>
        <v>0</v>
      </c>
      <c r="BK197" s="5">
        <f>recovered!BK197-recovered!BJ197</f>
        <v>0</v>
      </c>
      <c r="BL197" s="5">
        <f>recovered!BL197-recovered!BK197</f>
        <v>0</v>
      </c>
      <c r="BM197" s="5">
        <f>recovered!BM197-recovered!BL197</f>
        <v>7</v>
      </c>
      <c r="BN197" s="5">
        <f>recovered!BN197-recovered!BM197</f>
        <v>0</v>
      </c>
      <c r="BO197" s="5">
        <f>recovered!BO197-recovered!BN197</f>
        <v>0</v>
      </c>
      <c r="BP197" s="5">
        <f>recovered!BP197-recovered!BO197</f>
        <v>0</v>
      </c>
      <c r="BQ197" s="5">
        <f>recovered!BQ197-recovered!BP197</f>
        <v>-5</v>
      </c>
      <c r="BR197" s="5">
        <f>recovered!BR197-recovered!BQ197</f>
        <v>0</v>
      </c>
      <c r="BS197" s="5">
        <f>recovered!BS197-recovered!BR197</f>
        <v>0</v>
      </c>
      <c r="BT197" s="5">
        <f>recovered!BT197-recovered!BS197</f>
        <v>0</v>
      </c>
      <c r="BU197" s="5">
        <f>recovered!BU197-recovered!BT197</f>
        <v>5</v>
      </c>
      <c r="BV197" s="5">
        <f>recovered!BV197-recovered!BU197</f>
        <v>-4</v>
      </c>
      <c r="BW197" s="5">
        <f>recovered!BW197-recovered!BV197</f>
        <v>0</v>
      </c>
      <c r="BX197" s="5">
        <f>recovered!BX197-recovered!BW197</f>
        <v>2</v>
      </c>
      <c r="BY197" s="5">
        <f>recovered!BY197-recovered!BX197</f>
        <v>5</v>
      </c>
    </row>
    <row r="198">
      <c r="B198" s="1" t="str">
        <f>recovered!B198</f>
        <v>Slovenia</v>
      </c>
      <c r="C198" s="4">
        <f>recovered!C198</f>
        <v>46.1512</v>
      </c>
      <c r="D198" s="4">
        <f>recovered!D198</f>
        <v>14.9955</v>
      </c>
      <c r="E198" s="5">
        <f>recovered!E198</f>
        <v>0</v>
      </c>
      <c r="F198" s="5">
        <f>recovered!F198-recovered!E198</f>
        <v>0</v>
      </c>
      <c r="G198" s="5">
        <f>recovered!G198-recovered!F198</f>
        <v>0</v>
      </c>
      <c r="H198" s="5">
        <f>recovered!H198-recovered!G198</f>
        <v>0</v>
      </c>
      <c r="I198" s="5">
        <f>recovered!I198-recovered!H198</f>
        <v>0</v>
      </c>
      <c r="J198" s="5">
        <f>recovered!J198-recovered!I198</f>
        <v>0</v>
      </c>
      <c r="K198" s="5">
        <f>recovered!K198-recovered!J198</f>
        <v>0</v>
      </c>
      <c r="L198" s="5">
        <f>recovered!L198-recovered!K198</f>
        <v>0</v>
      </c>
      <c r="M198" s="5">
        <f>recovered!M198-recovered!L198</f>
        <v>0</v>
      </c>
      <c r="N198" s="5">
        <f>recovered!N198-recovered!M198</f>
        <v>0</v>
      </c>
      <c r="O198" s="5">
        <f>recovered!O198-recovered!N198</f>
        <v>0</v>
      </c>
      <c r="P198" s="5">
        <f>recovered!P198-recovered!O198</f>
        <v>0</v>
      </c>
      <c r="Q198" s="5">
        <f>recovered!Q198-recovered!P198</f>
        <v>0</v>
      </c>
      <c r="R198" s="5">
        <f>recovered!R198-recovered!Q198</f>
        <v>0</v>
      </c>
      <c r="S198" s="5">
        <f>recovered!S198-recovered!R198</f>
        <v>0</v>
      </c>
      <c r="T198" s="5">
        <f>recovered!T198-recovered!S198</f>
        <v>0</v>
      </c>
      <c r="U198" s="5">
        <f>recovered!U198-recovered!T198</f>
        <v>0</v>
      </c>
      <c r="V198" s="5">
        <f>recovered!V198-recovered!U198</f>
        <v>0</v>
      </c>
      <c r="W198" s="5">
        <f>recovered!W198-recovered!V198</f>
        <v>0</v>
      </c>
      <c r="X198" s="5">
        <f>recovered!X198-recovered!W198</f>
        <v>0</v>
      </c>
      <c r="Y198" s="5">
        <f>recovered!Y198-recovered!X198</f>
        <v>0</v>
      </c>
      <c r="Z198" s="5">
        <f>recovered!Z198-recovered!Y198</f>
        <v>0</v>
      </c>
      <c r="AA198" s="5">
        <f>recovered!AA198-recovered!Z198</f>
        <v>0</v>
      </c>
      <c r="AB198" s="5">
        <f>recovered!AB198-recovered!AA198</f>
        <v>0</v>
      </c>
      <c r="AC198" s="5">
        <f>recovered!AC198-recovered!AB198</f>
        <v>0</v>
      </c>
      <c r="AD198" s="5">
        <f>recovered!AD198-recovered!AC198</f>
        <v>0</v>
      </c>
      <c r="AE198" s="5">
        <f>recovered!AE198-recovered!AD198</f>
        <v>0</v>
      </c>
      <c r="AF198" s="5">
        <f>recovered!AF198-recovered!AE198</f>
        <v>0</v>
      </c>
      <c r="AG198" s="5">
        <f>recovered!AG198-recovered!AF198</f>
        <v>0</v>
      </c>
      <c r="AH198" s="5">
        <f>recovered!AH198-recovered!AG198</f>
        <v>0</v>
      </c>
      <c r="AI198" s="5">
        <f>recovered!AI198-recovered!AH198</f>
        <v>0</v>
      </c>
      <c r="AJ198" s="5">
        <f>recovered!AJ198-recovered!AI198</f>
        <v>0</v>
      </c>
      <c r="AK198" s="5">
        <f>recovered!AK198-recovered!AJ198</f>
        <v>0</v>
      </c>
      <c r="AL198" s="5">
        <f>recovered!AL198-recovered!AK198</f>
        <v>0</v>
      </c>
      <c r="AM198" s="5">
        <f>recovered!AM198-recovered!AL198</f>
        <v>0</v>
      </c>
      <c r="AN198" s="5">
        <f>recovered!AN198-recovered!AM198</f>
        <v>0</v>
      </c>
      <c r="AO198" s="5">
        <f>recovered!AO198-recovered!AN198</f>
        <v>0</v>
      </c>
      <c r="AP198" s="5">
        <f>recovered!AP198-recovered!AO198</f>
        <v>0</v>
      </c>
      <c r="AQ198" s="5">
        <f>recovered!AQ198-recovered!AP198</f>
        <v>0</v>
      </c>
      <c r="AR198" s="5">
        <f>recovered!AR198-recovered!AQ198</f>
        <v>0</v>
      </c>
      <c r="AS198" s="5">
        <f>recovered!AS198-recovered!AR198</f>
        <v>0</v>
      </c>
      <c r="AT198" s="5">
        <f>recovered!AT198-recovered!AS198</f>
        <v>0</v>
      </c>
      <c r="AU198" s="5">
        <f>recovered!AU198-recovered!AT198</f>
        <v>0</v>
      </c>
      <c r="AV198" s="5">
        <f>recovered!AV198-recovered!AU198</f>
        <v>0</v>
      </c>
      <c r="AW198" s="5">
        <f>recovered!AW198-recovered!AV198</f>
        <v>0</v>
      </c>
      <c r="AX198" s="5">
        <f>recovered!AX198-recovered!AW198</f>
        <v>0</v>
      </c>
      <c r="AY198" s="5">
        <f>recovered!AY198-recovered!AX198</f>
        <v>0</v>
      </c>
      <c r="AZ198" s="5">
        <f>recovered!AZ198-recovered!AY198</f>
        <v>0</v>
      </c>
      <c r="BA198" s="5">
        <f>recovered!BA198-recovered!AZ198</f>
        <v>0</v>
      </c>
      <c r="BB198" s="5">
        <f>recovered!BB198-recovered!BA198</f>
        <v>0</v>
      </c>
      <c r="BC198" s="5">
        <f>recovered!BC198-recovered!BB198</f>
        <v>0</v>
      </c>
      <c r="BD198" s="5">
        <f>recovered!BD198-recovered!BC198</f>
        <v>0</v>
      </c>
      <c r="BE198" s="5">
        <f>recovered!BE198-recovered!BD198</f>
        <v>0</v>
      </c>
      <c r="BF198" s="5">
        <f>recovered!BF198-recovered!BE198</f>
        <v>0</v>
      </c>
      <c r="BG198" s="5">
        <f>recovered!BG198-recovered!BF198</f>
        <v>0</v>
      </c>
      <c r="BH198" s="5">
        <f>recovered!BH198-recovered!BG198</f>
        <v>0</v>
      </c>
      <c r="BI198" s="5">
        <f>recovered!BI198-recovered!BH198</f>
        <v>0</v>
      </c>
      <c r="BJ198" s="5">
        <f>recovered!BJ198-recovered!BI198</f>
        <v>0</v>
      </c>
      <c r="BK198" s="5">
        <f>recovered!BK198-recovered!BJ198</f>
        <v>0</v>
      </c>
      <c r="BL198" s="5">
        <f>recovered!BL198-recovered!BK198</f>
        <v>0</v>
      </c>
      <c r="BM198" s="5">
        <f>recovered!BM198-recovered!BL198</f>
        <v>0</v>
      </c>
      <c r="BN198" s="5">
        <f>recovered!BN198-recovered!BM198</f>
        <v>0</v>
      </c>
      <c r="BO198" s="5">
        <f>recovered!BO198-recovered!BN198</f>
        <v>0</v>
      </c>
      <c r="BP198" s="5">
        <f>recovered!BP198-recovered!BO198</f>
        <v>10</v>
      </c>
      <c r="BQ198" s="5">
        <f>recovered!BQ198-recovered!BP198</f>
        <v>0</v>
      </c>
      <c r="BR198" s="5">
        <f>recovered!BR198-recovered!BQ198</f>
        <v>0</v>
      </c>
      <c r="BS198" s="5">
        <f>recovered!BS198-recovered!BR198</f>
        <v>0</v>
      </c>
      <c r="BT198" s="5">
        <f>recovered!BT198-recovered!BS198</f>
        <v>0</v>
      </c>
      <c r="BU198" s="5">
        <f>recovered!BU198-recovered!BT198</f>
        <v>0</v>
      </c>
      <c r="BV198" s="5">
        <f>recovered!BV198-recovered!BU198</f>
        <v>0</v>
      </c>
      <c r="BW198" s="5">
        <f>recovered!BW198-recovered!BV198</f>
        <v>0</v>
      </c>
      <c r="BX198" s="5">
        <f>recovered!BX198-recovered!BW198</f>
        <v>60</v>
      </c>
      <c r="BY198" s="5">
        <f>recovered!BY198-recovered!BX198</f>
        <v>0</v>
      </c>
    </row>
    <row r="199">
      <c r="B199" s="1" t="str">
        <f>recovered!B199</f>
        <v>Somalia</v>
      </c>
      <c r="C199" s="4">
        <f>recovered!C199</f>
        <v>5.1521</v>
      </c>
      <c r="D199" s="4">
        <f>recovered!D199</f>
        <v>46.1996</v>
      </c>
      <c r="E199" s="5">
        <f>recovered!E199</f>
        <v>0</v>
      </c>
      <c r="F199" s="5">
        <f>recovered!F199-recovered!E199</f>
        <v>0</v>
      </c>
      <c r="G199" s="5">
        <f>recovered!G199-recovered!F199</f>
        <v>0</v>
      </c>
      <c r="H199" s="5">
        <f>recovered!H199-recovered!G199</f>
        <v>0</v>
      </c>
      <c r="I199" s="5">
        <f>recovered!I199-recovered!H199</f>
        <v>0</v>
      </c>
      <c r="J199" s="5">
        <f>recovered!J199-recovered!I199</f>
        <v>0</v>
      </c>
      <c r="K199" s="5">
        <f>recovered!K199-recovered!J199</f>
        <v>0</v>
      </c>
      <c r="L199" s="5">
        <f>recovered!L199-recovered!K199</f>
        <v>0</v>
      </c>
      <c r="M199" s="5">
        <f>recovered!M199-recovered!L199</f>
        <v>0</v>
      </c>
      <c r="N199" s="5">
        <f>recovered!N199-recovered!M199</f>
        <v>0</v>
      </c>
      <c r="O199" s="5">
        <f>recovered!O199-recovered!N199</f>
        <v>0</v>
      </c>
      <c r="P199" s="5">
        <f>recovered!P199-recovered!O199</f>
        <v>0</v>
      </c>
      <c r="Q199" s="5">
        <f>recovered!Q199-recovered!P199</f>
        <v>0</v>
      </c>
      <c r="R199" s="5">
        <f>recovered!R199-recovered!Q199</f>
        <v>0</v>
      </c>
      <c r="S199" s="5">
        <f>recovered!S199-recovered!R199</f>
        <v>0</v>
      </c>
      <c r="T199" s="5">
        <f>recovered!T199-recovered!S199</f>
        <v>0</v>
      </c>
      <c r="U199" s="5">
        <f>recovered!U199-recovered!T199</f>
        <v>0</v>
      </c>
      <c r="V199" s="5">
        <f>recovered!V199-recovered!U199</f>
        <v>0</v>
      </c>
      <c r="W199" s="5">
        <f>recovered!W199-recovered!V199</f>
        <v>0</v>
      </c>
      <c r="X199" s="5">
        <f>recovered!X199-recovered!W199</f>
        <v>0</v>
      </c>
      <c r="Y199" s="5">
        <f>recovered!Y199-recovered!X199</f>
        <v>0</v>
      </c>
      <c r="Z199" s="5">
        <f>recovered!Z199-recovered!Y199</f>
        <v>0</v>
      </c>
      <c r="AA199" s="5">
        <f>recovered!AA199-recovered!Z199</f>
        <v>0</v>
      </c>
      <c r="AB199" s="5">
        <f>recovered!AB199-recovered!AA199</f>
        <v>0</v>
      </c>
      <c r="AC199" s="5">
        <f>recovered!AC199-recovered!AB199</f>
        <v>0</v>
      </c>
      <c r="AD199" s="5">
        <f>recovered!AD199-recovered!AC199</f>
        <v>0</v>
      </c>
      <c r="AE199" s="5">
        <f>recovered!AE199-recovered!AD199</f>
        <v>0</v>
      </c>
      <c r="AF199" s="5">
        <f>recovered!AF199-recovered!AE199</f>
        <v>0</v>
      </c>
      <c r="AG199" s="5">
        <f>recovered!AG199-recovered!AF199</f>
        <v>0</v>
      </c>
      <c r="AH199" s="5">
        <f>recovered!AH199-recovered!AG199</f>
        <v>0</v>
      </c>
      <c r="AI199" s="5">
        <f>recovered!AI199-recovered!AH199</f>
        <v>0</v>
      </c>
      <c r="AJ199" s="5">
        <f>recovered!AJ199-recovered!AI199</f>
        <v>0</v>
      </c>
      <c r="AK199" s="5">
        <f>recovered!AK199-recovered!AJ199</f>
        <v>0</v>
      </c>
      <c r="AL199" s="5">
        <f>recovered!AL199-recovered!AK199</f>
        <v>0</v>
      </c>
      <c r="AM199" s="5">
        <f>recovered!AM199-recovered!AL199</f>
        <v>0</v>
      </c>
      <c r="AN199" s="5">
        <f>recovered!AN199-recovered!AM199</f>
        <v>0</v>
      </c>
      <c r="AO199" s="5">
        <f>recovered!AO199-recovered!AN199</f>
        <v>0</v>
      </c>
      <c r="AP199" s="5">
        <f>recovered!AP199-recovered!AO199</f>
        <v>0</v>
      </c>
      <c r="AQ199" s="5">
        <f>recovered!AQ199-recovered!AP199</f>
        <v>0</v>
      </c>
      <c r="AR199" s="5">
        <f>recovered!AR199-recovered!AQ199</f>
        <v>0</v>
      </c>
      <c r="AS199" s="5">
        <f>recovered!AS199-recovered!AR199</f>
        <v>0</v>
      </c>
      <c r="AT199" s="5">
        <f>recovered!AT199-recovered!AS199</f>
        <v>0</v>
      </c>
      <c r="AU199" s="5">
        <f>recovered!AU199-recovered!AT199</f>
        <v>0</v>
      </c>
      <c r="AV199" s="5">
        <f>recovered!AV199-recovered!AU199</f>
        <v>0</v>
      </c>
      <c r="AW199" s="5">
        <f>recovered!AW199-recovered!AV199</f>
        <v>0</v>
      </c>
      <c r="AX199" s="5">
        <f>recovered!AX199-recovered!AW199</f>
        <v>0</v>
      </c>
      <c r="AY199" s="5">
        <f>recovered!AY199-recovered!AX199</f>
        <v>0</v>
      </c>
      <c r="AZ199" s="5">
        <f>recovered!AZ199-recovered!AY199</f>
        <v>0</v>
      </c>
      <c r="BA199" s="5">
        <f>recovered!BA199-recovered!AZ199</f>
        <v>0</v>
      </c>
      <c r="BB199" s="5">
        <f>recovered!BB199-recovered!BA199</f>
        <v>0</v>
      </c>
      <c r="BC199" s="5">
        <f>recovered!BC199-recovered!BB199</f>
        <v>0</v>
      </c>
      <c r="BD199" s="5">
        <f>recovered!BD199-recovered!BC199</f>
        <v>0</v>
      </c>
      <c r="BE199" s="5">
        <f>recovered!BE199-recovered!BD199</f>
        <v>0</v>
      </c>
      <c r="BF199" s="5">
        <f>recovered!BF199-recovered!BE199</f>
        <v>0</v>
      </c>
      <c r="BG199" s="5">
        <f>recovered!BG199-recovered!BF199</f>
        <v>0</v>
      </c>
      <c r="BH199" s="5">
        <f>recovered!BH199-recovered!BG199</f>
        <v>0</v>
      </c>
      <c r="BI199" s="5">
        <f>recovered!BI199-recovered!BH199</f>
        <v>0</v>
      </c>
      <c r="BJ199" s="5">
        <f>recovered!BJ199-recovered!BI199</f>
        <v>0</v>
      </c>
      <c r="BK199" s="5">
        <f>recovered!BK199-recovered!BJ199</f>
        <v>0</v>
      </c>
      <c r="BL199" s="5">
        <f>recovered!BL199-recovered!BK199</f>
        <v>0</v>
      </c>
      <c r="BM199" s="5">
        <f>recovered!BM199-recovered!BL199</f>
        <v>0</v>
      </c>
      <c r="BN199" s="5">
        <f>recovered!BN199-recovered!BM199</f>
        <v>0</v>
      </c>
      <c r="BO199" s="5">
        <f>recovered!BO199-recovered!BN199</f>
        <v>0</v>
      </c>
      <c r="BP199" s="5">
        <f>recovered!BP199-recovered!BO199</f>
        <v>0</v>
      </c>
      <c r="BQ199" s="5">
        <f>recovered!BQ199-recovered!BP199</f>
        <v>0</v>
      </c>
      <c r="BR199" s="5">
        <f>recovered!BR199-recovered!BQ199</f>
        <v>0</v>
      </c>
      <c r="BS199" s="5">
        <f>recovered!BS199-recovered!BR199</f>
        <v>0</v>
      </c>
      <c r="BT199" s="5">
        <f>recovered!BT199-recovered!BS199</f>
        <v>0</v>
      </c>
      <c r="BU199" s="5">
        <f>recovered!BU199-recovered!BT199</f>
        <v>0</v>
      </c>
      <c r="BV199" s="5">
        <f>recovered!BV199-recovered!BU199</f>
        <v>1</v>
      </c>
      <c r="BW199" s="5">
        <f>recovered!BW199-recovered!BV199</f>
        <v>0</v>
      </c>
      <c r="BX199" s="5">
        <f>recovered!BX199-recovered!BW199</f>
        <v>0</v>
      </c>
      <c r="BY199" s="5">
        <f>recovered!BY199-recovered!BX199</f>
        <v>0</v>
      </c>
    </row>
    <row r="200">
      <c r="B200" s="1" t="str">
        <f>recovered!B200</f>
        <v>South Africa</v>
      </c>
      <c r="C200" s="4">
        <f>recovered!C200</f>
        <v>-30.5595</v>
      </c>
      <c r="D200" s="4">
        <f>recovered!D200</f>
        <v>22.9375</v>
      </c>
      <c r="E200" s="5">
        <f>recovered!E200</f>
        <v>0</v>
      </c>
      <c r="F200" s="5">
        <f>recovered!F200-recovered!E200</f>
        <v>0</v>
      </c>
      <c r="G200" s="5">
        <f>recovered!G200-recovered!F200</f>
        <v>0</v>
      </c>
      <c r="H200" s="5">
        <f>recovered!H200-recovered!G200</f>
        <v>0</v>
      </c>
      <c r="I200" s="5">
        <f>recovered!I200-recovered!H200</f>
        <v>0</v>
      </c>
      <c r="J200" s="5">
        <f>recovered!J200-recovered!I200</f>
        <v>0</v>
      </c>
      <c r="K200" s="5">
        <f>recovered!K200-recovered!J200</f>
        <v>0</v>
      </c>
      <c r="L200" s="5">
        <f>recovered!L200-recovered!K200</f>
        <v>0</v>
      </c>
      <c r="M200" s="5">
        <f>recovered!M200-recovered!L200</f>
        <v>0</v>
      </c>
      <c r="N200" s="5">
        <f>recovered!N200-recovered!M200</f>
        <v>0</v>
      </c>
      <c r="O200" s="5">
        <f>recovered!O200-recovered!N200</f>
        <v>0</v>
      </c>
      <c r="P200" s="5">
        <f>recovered!P200-recovered!O200</f>
        <v>0</v>
      </c>
      <c r="Q200" s="5">
        <f>recovered!Q200-recovered!P200</f>
        <v>0</v>
      </c>
      <c r="R200" s="5">
        <f>recovered!R200-recovered!Q200</f>
        <v>0</v>
      </c>
      <c r="S200" s="5">
        <f>recovered!S200-recovered!R200</f>
        <v>0</v>
      </c>
      <c r="T200" s="5">
        <f>recovered!T200-recovered!S200</f>
        <v>0</v>
      </c>
      <c r="U200" s="5">
        <f>recovered!U200-recovered!T200</f>
        <v>0</v>
      </c>
      <c r="V200" s="5">
        <f>recovered!V200-recovered!U200</f>
        <v>0</v>
      </c>
      <c r="W200" s="5">
        <f>recovered!W200-recovered!V200</f>
        <v>0</v>
      </c>
      <c r="X200" s="5">
        <f>recovered!X200-recovered!W200</f>
        <v>0</v>
      </c>
      <c r="Y200" s="5">
        <f>recovered!Y200-recovered!X200</f>
        <v>0</v>
      </c>
      <c r="Z200" s="5">
        <f>recovered!Z200-recovered!Y200</f>
        <v>0</v>
      </c>
      <c r="AA200" s="5">
        <f>recovered!AA200-recovered!Z200</f>
        <v>0</v>
      </c>
      <c r="AB200" s="5">
        <f>recovered!AB200-recovered!AA200</f>
        <v>0</v>
      </c>
      <c r="AC200" s="5">
        <f>recovered!AC200-recovered!AB200</f>
        <v>0</v>
      </c>
      <c r="AD200" s="5">
        <f>recovered!AD200-recovered!AC200</f>
        <v>0</v>
      </c>
      <c r="AE200" s="5">
        <f>recovered!AE200-recovered!AD200</f>
        <v>0</v>
      </c>
      <c r="AF200" s="5">
        <f>recovered!AF200-recovered!AE200</f>
        <v>0</v>
      </c>
      <c r="AG200" s="5">
        <f>recovered!AG200-recovered!AF200</f>
        <v>0</v>
      </c>
      <c r="AH200" s="5">
        <f>recovered!AH200-recovered!AG200</f>
        <v>0</v>
      </c>
      <c r="AI200" s="5">
        <f>recovered!AI200-recovered!AH200</f>
        <v>0</v>
      </c>
      <c r="AJ200" s="5">
        <f>recovered!AJ200-recovered!AI200</f>
        <v>0</v>
      </c>
      <c r="AK200" s="5">
        <f>recovered!AK200-recovered!AJ200</f>
        <v>0</v>
      </c>
      <c r="AL200" s="5">
        <f>recovered!AL200-recovered!AK200</f>
        <v>0</v>
      </c>
      <c r="AM200" s="5">
        <f>recovered!AM200-recovered!AL200</f>
        <v>0</v>
      </c>
      <c r="AN200" s="5">
        <f>recovered!AN200-recovered!AM200</f>
        <v>0</v>
      </c>
      <c r="AO200" s="5">
        <f>recovered!AO200-recovered!AN200</f>
        <v>0</v>
      </c>
      <c r="AP200" s="5">
        <f>recovered!AP200-recovered!AO200</f>
        <v>0</v>
      </c>
      <c r="AQ200" s="5">
        <f>recovered!AQ200-recovered!AP200</f>
        <v>0</v>
      </c>
      <c r="AR200" s="5">
        <f>recovered!AR200-recovered!AQ200</f>
        <v>0</v>
      </c>
      <c r="AS200" s="5">
        <f>recovered!AS200-recovered!AR200</f>
        <v>0</v>
      </c>
      <c r="AT200" s="5">
        <f>recovered!AT200-recovered!AS200</f>
        <v>0</v>
      </c>
      <c r="AU200" s="5">
        <f>recovered!AU200-recovered!AT200</f>
        <v>0</v>
      </c>
      <c r="AV200" s="5">
        <f>recovered!AV200-recovered!AU200</f>
        <v>0</v>
      </c>
      <c r="AW200" s="5">
        <f>recovered!AW200-recovered!AV200</f>
        <v>0</v>
      </c>
      <c r="AX200" s="5">
        <f>recovered!AX200-recovered!AW200</f>
        <v>0</v>
      </c>
      <c r="AY200" s="5">
        <f>recovered!AY200-recovered!AX200</f>
        <v>0</v>
      </c>
      <c r="AZ200" s="5">
        <f>recovered!AZ200-recovered!AY200</f>
        <v>0</v>
      </c>
      <c r="BA200" s="5">
        <f>recovered!BA200-recovered!AZ200</f>
        <v>0</v>
      </c>
      <c r="BB200" s="5">
        <f>recovered!BB200-recovered!BA200</f>
        <v>0</v>
      </c>
      <c r="BC200" s="5">
        <f>recovered!BC200-recovered!BB200</f>
        <v>0</v>
      </c>
      <c r="BD200" s="5">
        <f>recovered!BD200-recovered!BC200</f>
        <v>0</v>
      </c>
      <c r="BE200" s="5">
        <f>recovered!BE200-recovered!BD200</f>
        <v>0</v>
      </c>
      <c r="BF200" s="5">
        <f>recovered!BF200-recovered!BE200</f>
        <v>0</v>
      </c>
      <c r="BG200" s="5">
        <f>recovered!BG200-recovered!BF200</f>
        <v>0</v>
      </c>
      <c r="BH200" s="5">
        <f>recovered!BH200-recovered!BG200</f>
        <v>0</v>
      </c>
      <c r="BI200" s="5">
        <f>recovered!BI200-recovered!BH200</f>
        <v>0</v>
      </c>
      <c r="BJ200" s="5">
        <f>recovered!BJ200-recovered!BI200</f>
        <v>0</v>
      </c>
      <c r="BK200" s="5">
        <f>recovered!BK200-recovered!BJ200</f>
        <v>0</v>
      </c>
      <c r="BL200" s="5">
        <f>recovered!BL200-recovered!BK200</f>
        <v>0</v>
      </c>
      <c r="BM200" s="5">
        <f>recovered!BM200-recovered!BL200</f>
        <v>0</v>
      </c>
      <c r="BN200" s="5">
        <f>recovered!BN200-recovered!BM200</f>
        <v>0</v>
      </c>
      <c r="BO200" s="5">
        <f>recovered!BO200-recovered!BN200</f>
        <v>4</v>
      </c>
      <c r="BP200" s="5">
        <f>recovered!BP200-recovered!BO200</f>
        <v>8</v>
      </c>
      <c r="BQ200" s="5">
        <f>recovered!BQ200-recovered!BP200</f>
        <v>0</v>
      </c>
      <c r="BR200" s="5">
        <f>recovered!BR200-recovered!BQ200</f>
        <v>19</v>
      </c>
      <c r="BS200" s="5">
        <f>recovered!BS200-recovered!BR200</f>
        <v>0</v>
      </c>
      <c r="BT200" s="5">
        <f>recovered!BT200-recovered!BS200</f>
        <v>0</v>
      </c>
      <c r="BU200" s="5">
        <f>recovered!BU200-recovered!BT200</f>
        <v>0</v>
      </c>
      <c r="BV200" s="5">
        <f>recovered!BV200-recovered!BU200</f>
        <v>0</v>
      </c>
      <c r="BW200" s="5">
        <f>recovered!BW200-recovered!BV200</f>
        <v>19</v>
      </c>
      <c r="BX200" s="5">
        <f>recovered!BX200-recovered!BW200</f>
        <v>0</v>
      </c>
      <c r="BY200" s="5">
        <f>recovered!BY200-recovered!BX200</f>
        <v>45</v>
      </c>
    </row>
    <row r="201">
      <c r="B201" s="1" t="str">
        <f>recovered!B201</f>
        <v>Spain</v>
      </c>
      <c r="C201" s="4">
        <f>recovered!C201</f>
        <v>40</v>
      </c>
      <c r="D201" s="4">
        <f>recovered!D201</f>
        <v>-4</v>
      </c>
      <c r="E201" s="5">
        <f>recovered!E201</f>
        <v>0</v>
      </c>
      <c r="F201" s="5">
        <f>recovered!F201-recovered!E201</f>
        <v>0</v>
      </c>
      <c r="G201" s="5">
        <f>recovered!G201-recovered!F201</f>
        <v>0</v>
      </c>
      <c r="H201" s="5">
        <f>recovered!H201-recovered!G201</f>
        <v>0</v>
      </c>
      <c r="I201" s="5">
        <f>recovered!I201-recovered!H201</f>
        <v>0</v>
      </c>
      <c r="J201" s="5">
        <f>recovered!J201-recovered!I201</f>
        <v>0</v>
      </c>
      <c r="K201" s="5">
        <f>recovered!K201-recovered!J201</f>
        <v>0</v>
      </c>
      <c r="L201" s="5">
        <f>recovered!L201-recovered!K201</f>
        <v>0</v>
      </c>
      <c r="M201" s="5">
        <f>recovered!M201-recovered!L201</f>
        <v>0</v>
      </c>
      <c r="N201" s="5">
        <f>recovered!N201-recovered!M201</f>
        <v>0</v>
      </c>
      <c r="O201" s="5">
        <f>recovered!O201-recovered!N201</f>
        <v>0</v>
      </c>
      <c r="P201" s="5">
        <f>recovered!P201-recovered!O201</f>
        <v>0</v>
      </c>
      <c r="Q201" s="5">
        <f>recovered!Q201-recovered!P201</f>
        <v>0</v>
      </c>
      <c r="R201" s="5">
        <f>recovered!R201-recovered!Q201</f>
        <v>0</v>
      </c>
      <c r="S201" s="5">
        <f>recovered!S201-recovered!R201</f>
        <v>0</v>
      </c>
      <c r="T201" s="5">
        <f>recovered!T201-recovered!S201</f>
        <v>0</v>
      </c>
      <c r="U201" s="5">
        <f>recovered!U201-recovered!T201</f>
        <v>0</v>
      </c>
      <c r="V201" s="5">
        <f>recovered!V201-recovered!U201</f>
        <v>0</v>
      </c>
      <c r="W201" s="5">
        <f>recovered!W201-recovered!V201</f>
        <v>0</v>
      </c>
      <c r="X201" s="5">
        <f>recovered!X201-recovered!W201</f>
        <v>0</v>
      </c>
      <c r="Y201" s="5">
        <f>recovered!Y201-recovered!X201</f>
        <v>0</v>
      </c>
      <c r="Z201" s="5">
        <f>recovered!Z201-recovered!Y201</f>
        <v>0</v>
      </c>
      <c r="AA201" s="5">
        <f>recovered!AA201-recovered!Z201</f>
        <v>0</v>
      </c>
      <c r="AB201" s="5">
        <f>recovered!AB201-recovered!AA201</f>
        <v>0</v>
      </c>
      <c r="AC201" s="5">
        <f>recovered!AC201-recovered!AB201</f>
        <v>2</v>
      </c>
      <c r="AD201" s="5">
        <f>recovered!AD201-recovered!AC201</f>
        <v>0</v>
      </c>
      <c r="AE201" s="5">
        <f>recovered!AE201-recovered!AD201</f>
        <v>0</v>
      </c>
      <c r="AF201" s="5">
        <f>recovered!AF201-recovered!AE201</f>
        <v>0</v>
      </c>
      <c r="AG201" s="5">
        <f>recovered!AG201-recovered!AF201</f>
        <v>0</v>
      </c>
      <c r="AH201" s="5">
        <f>recovered!AH201-recovered!AG201</f>
        <v>0</v>
      </c>
      <c r="AI201" s="5">
        <f>recovered!AI201-recovered!AH201</f>
        <v>0</v>
      </c>
      <c r="AJ201" s="5">
        <f>recovered!AJ201-recovered!AI201</f>
        <v>0</v>
      </c>
      <c r="AK201" s="5">
        <f>recovered!AK201-recovered!AJ201</f>
        <v>0</v>
      </c>
      <c r="AL201" s="5">
        <f>recovered!AL201-recovered!AK201</f>
        <v>0</v>
      </c>
      <c r="AM201" s="5">
        <f>recovered!AM201-recovered!AL201</f>
        <v>0</v>
      </c>
      <c r="AN201" s="5">
        <f>recovered!AN201-recovered!AM201</f>
        <v>0</v>
      </c>
      <c r="AO201" s="5">
        <f>recovered!AO201-recovered!AN201</f>
        <v>0</v>
      </c>
      <c r="AP201" s="5">
        <f>recovered!AP201-recovered!AO201</f>
        <v>0</v>
      </c>
      <c r="AQ201" s="5">
        <f>recovered!AQ201-recovered!AP201</f>
        <v>0</v>
      </c>
      <c r="AR201" s="5">
        <f>recovered!AR201-recovered!AQ201</f>
        <v>0</v>
      </c>
      <c r="AS201" s="5">
        <f>recovered!AS201-recovered!AR201</f>
        <v>0</v>
      </c>
      <c r="AT201" s="5">
        <f>recovered!AT201-recovered!AS201</f>
        <v>0</v>
      </c>
      <c r="AU201" s="5">
        <f>recovered!AU201-recovered!AT201</f>
        <v>0</v>
      </c>
      <c r="AV201" s="5">
        <f>recovered!AV201-recovered!AU201</f>
        <v>0</v>
      </c>
      <c r="AW201" s="5">
        <f>recovered!AW201-recovered!AV201</f>
        <v>0</v>
      </c>
      <c r="AX201" s="5">
        <f>recovered!AX201-recovered!AW201</f>
        <v>28</v>
      </c>
      <c r="AY201" s="5">
        <f>recovered!AY201-recovered!AX201</f>
        <v>0</v>
      </c>
      <c r="AZ201" s="5">
        <f>recovered!AZ201-recovered!AY201</f>
        <v>2</v>
      </c>
      <c r="BA201" s="5">
        <f>recovered!BA201-recovered!AZ201</f>
        <v>0</v>
      </c>
      <c r="BB201" s="5">
        <f>recovered!BB201-recovered!BA201</f>
        <v>151</v>
      </c>
      <c r="BC201" s="5">
        <f>recovered!BC201-recovered!BB201</f>
        <v>0</v>
      </c>
      <c r="BD201" s="5">
        <f>recovered!BD201-recovered!BC201</f>
        <v>10</v>
      </c>
      <c r="BE201" s="5">
        <f>recovered!BE201-recovered!BD201</f>
        <v>324</v>
      </c>
      <c r="BF201" s="5">
        <f>recovered!BF201-recovered!BE201</f>
        <v>0</v>
      </c>
      <c r="BG201" s="5">
        <f>recovered!BG201-recovered!BF201</f>
        <v>13</v>
      </c>
      <c r="BH201" s="5">
        <f>recovered!BH201-recovered!BG201</f>
        <v>498</v>
      </c>
      <c r="BI201" s="5">
        <f>recovered!BI201-recovered!BH201</f>
        <v>53</v>
      </c>
      <c r="BJ201" s="5">
        <f>recovered!BJ201-recovered!BI201</f>
        <v>26</v>
      </c>
      <c r="BK201" s="5">
        <f>recovered!BK201-recovered!BJ201</f>
        <v>481</v>
      </c>
      <c r="BL201" s="5">
        <f>recovered!BL201-recovered!BK201</f>
        <v>537</v>
      </c>
      <c r="BM201" s="5">
        <f>recovered!BM201-recovered!BL201</f>
        <v>450</v>
      </c>
      <c r="BN201" s="5">
        <f>recovered!BN201-recovered!BM201</f>
        <v>0</v>
      </c>
      <c r="BO201" s="5">
        <f>recovered!BO201-recovered!BN201</f>
        <v>1219</v>
      </c>
      <c r="BP201" s="5">
        <f>recovered!BP201-recovered!BO201</f>
        <v>1573</v>
      </c>
      <c r="BQ201" s="5">
        <f>recovered!BQ201-recovered!BP201</f>
        <v>1648</v>
      </c>
      <c r="BR201" s="5">
        <f>recovered!BR201-recovered!BQ201</f>
        <v>2342</v>
      </c>
      <c r="BS201" s="5">
        <f>recovered!BS201-recovered!BR201</f>
        <v>2928</v>
      </c>
      <c r="BT201" s="5">
        <f>recovered!BT201-recovered!BS201</f>
        <v>2424</v>
      </c>
      <c r="BU201" s="5">
        <f>recovered!BU201-recovered!BT201</f>
        <v>2071</v>
      </c>
      <c r="BV201" s="5">
        <f>recovered!BV201-recovered!BU201</f>
        <v>2479</v>
      </c>
      <c r="BW201" s="5">
        <f>recovered!BW201-recovered!BV201</f>
        <v>3388</v>
      </c>
      <c r="BX201" s="5">
        <f>recovered!BX201-recovered!BW201</f>
        <v>4096</v>
      </c>
      <c r="BY201" s="5">
        <f>recovered!BY201-recovered!BX201</f>
        <v>3770</v>
      </c>
    </row>
    <row r="202">
      <c r="B202" s="1" t="str">
        <f>recovered!B202</f>
        <v>Sri Lanka</v>
      </c>
      <c r="C202" s="4">
        <f>recovered!C202</f>
        <v>7</v>
      </c>
      <c r="D202" s="4">
        <f>recovered!D202</f>
        <v>81</v>
      </c>
      <c r="E202" s="5">
        <f>recovered!E202</f>
        <v>0</v>
      </c>
      <c r="F202" s="5">
        <f>recovered!F202-recovered!E202</f>
        <v>0</v>
      </c>
      <c r="G202" s="5">
        <f>recovered!G202-recovered!F202</f>
        <v>0</v>
      </c>
      <c r="H202" s="5">
        <f>recovered!H202-recovered!G202</f>
        <v>0</v>
      </c>
      <c r="I202" s="5">
        <f>recovered!I202-recovered!H202</f>
        <v>0</v>
      </c>
      <c r="J202" s="5">
        <f>recovered!J202-recovered!I202</f>
        <v>0</v>
      </c>
      <c r="K202" s="5">
        <f>recovered!K202-recovered!J202</f>
        <v>0</v>
      </c>
      <c r="L202" s="5">
        <f>recovered!L202-recovered!K202</f>
        <v>0</v>
      </c>
      <c r="M202" s="5">
        <f>recovered!M202-recovered!L202</f>
        <v>0</v>
      </c>
      <c r="N202" s="5">
        <f>recovered!N202-recovered!M202</f>
        <v>0</v>
      </c>
      <c r="O202" s="5">
        <f>recovered!O202-recovered!N202</f>
        <v>0</v>
      </c>
      <c r="P202" s="5">
        <f>recovered!P202-recovered!O202</f>
        <v>0</v>
      </c>
      <c r="Q202" s="5">
        <f>recovered!Q202-recovered!P202</f>
        <v>0</v>
      </c>
      <c r="R202" s="5">
        <f>recovered!R202-recovered!Q202</f>
        <v>0</v>
      </c>
      <c r="S202" s="5">
        <f>recovered!S202-recovered!R202</f>
        <v>0</v>
      </c>
      <c r="T202" s="5">
        <f>recovered!T202-recovered!S202</f>
        <v>0</v>
      </c>
      <c r="U202" s="5">
        <f>recovered!U202-recovered!T202</f>
        <v>0</v>
      </c>
      <c r="V202" s="5">
        <f>recovered!V202-recovered!U202</f>
        <v>1</v>
      </c>
      <c r="W202" s="5">
        <f>recovered!W202-recovered!V202</f>
        <v>0</v>
      </c>
      <c r="X202" s="5">
        <f>recovered!X202-recovered!W202</f>
        <v>0</v>
      </c>
      <c r="Y202" s="5">
        <f>recovered!Y202-recovered!X202</f>
        <v>0</v>
      </c>
      <c r="Z202" s="5">
        <f>recovered!Z202-recovered!Y202</f>
        <v>0</v>
      </c>
      <c r="AA202" s="5">
        <f>recovered!AA202-recovered!Z202</f>
        <v>0</v>
      </c>
      <c r="AB202" s="5">
        <f>recovered!AB202-recovered!AA202</f>
        <v>0</v>
      </c>
      <c r="AC202" s="5">
        <f>recovered!AC202-recovered!AB202</f>
        <v>0</v>
      </c>
      <c r="AD202" s="5">
        <f>recovered!AD202-recovered!AC202</f>
        <v>0</v>
      </c>
      <c r="AE202" s="5">
        <f>recovered!AE202-recovered!AD202</f>
        <v>0</v>
      </c>
      <c r="AF202" s="5">
        <f>recovered!AF202-recovered!AE202</f>
        <v>0</v>
      </c>
      <c r="AG202" s="5">
        <f>recovered!AG202-recovered!AF202</f>
        <v>0</v>
      </c>
      <c r="AH202" s="5">
        <f>recovered!AH202-recovered!AG202</f>
        <v>0</v>
      </c>
      <c r="AI202" s="5">
        <f>recovered!AI202-recovered!AH202</f>
        <v>0</v>
      </c>
      <c r="AJ202" s="5">
        <f>recovered!AJ202-recovered!AI202</f>
        <v>0</v>
      </c>
      <c r="AK202" s="5">
        <f>recovered!AK202-recovered!AJ202</f>
        <v>0</v>
      </c>
      <c r="AL202" s="5">
        <f>recovered!AL202-recovered!AK202</f>
        <v>0</v>
      </c>
      <c r="AM202" s="5">
        <f>recovered!AM202-recovered!AL202</f>
        <v>0</v>
      </c>
      <c r="AN202" s="5">
        <f>recovered!AN202-recovered!AM202</f>
        <v>0</v>
      </c>
      <c r="AO202" s="5">
        <f>recovered!AO202-recovered!AN202</f>
        <v>0</v>
      </c>
      <c r="AP202" s="5">
        <f>recovered!AP202-recovered!AO202</f>
        <v>0</v>
      </c>
      <c r="AQ202" s="5">
        <f>recovered!AQ202-recovered!AP202</f>
        <v>0</v>
      </c>
      <c r="AR202" s="5">
        <f>recovered!AR202-recovered!AQ202</f>
        <v>0</v>
      </c>
      <c r="AS202" s="5">
        <f>recovered!AS202-recovered!AR202</f>
        <v>0</v>
      </c>
      <c r="AT202" s="5">
        <f>recovered!AT202-recovered!AS202</f>
        <v>0</v>
      </c>
      <c r="AU202" s="5">
        <f>recovered!AU202-recovered!AT202</f>
        <v>0</v>
      </c>
      <c r="AV202" s="5">
        <f>recovered!AV202-recovered!AU202</f>
        <v>0</v>
      </c>
      <c r="AW202" s="5">
        <f>recovered!AW202-recovered!AV202</f>
        <v>0</v>
      </c>
      <c r="AX202" s="5">
        <f>recovered!AX202-recovered!AW202</f>
        <v>0</v>
      </c>
      <c r="AY202" s="5">
        <f>recovered!AY202-recovered!AX202</f>
        <v>0</v>
      </c>
      <c r="AZ202" s="5">
        <f>recovered!AZ202-recovered!AY202</f>
        <v>0</v>
      </c>
      <c r="BA202" s="5">
        <f>recovered!BA202-recovered!AZ202</f>
        <v>0</v>
      </c>
      <c r="BB202" s="5">
        <f>recovered!BB202-recovered!BA202</f>
        <v>0</v>
      </c>
      <c r="BC202" s="5">
        <f>recovered!BC202-recovered!BB202</f>
        <v>0</v>
      </c>
      <c r="BD202" s="5">
        <f>recovered!BD202-recovered!BC202</f>
        <v>0</v>
      </c>
      <c r="BE202" s="5">
        <f>recovered!BE202-recovered!BD202</f>
        <v>0</v>
      </c>
      <c r="BF202" s="5">
        <f>recovered!BF202-recovered!BE202</f>
        <v>0</v>
      </c>
      <c r="BG202" s="5">
        <f>recovered!BG202-recovered!BF202</f>
        <v>0</v>
      </c>
      <c r="BH202" s="5">
        <f>recovered!BH202-recovered!BG202</f>
        <v>0</v>
      </c>
      <c r="BI202" s="5">
        <f>recovered!BI202-recovered!BH202</f>
        <v>0</v>
      </c>
      <c r="BJ202" s="5">
        <f>recovered!BJ202-recovered!BI202</f>
        <v>2</v>
      </c>
      <c r="BK202" s="5">
        <f>recovered!BK202-recovered!BJ202</f>
        <v>0</v>
      </c>
      <c r="BL202" s="5">
        <f>recovered!BL202-recovered!BK202</f>
        <v>-2</v>
      </c>
      <c r="BM202" s="5">
        <f>recovered!BM202-recovered!BL202</f>
        <v>2</v>
      </c>
      <c r="BN202" s="5">
        <f>recovered!BN202-recovered!BM202</f>
        <v>0</v>
      </c>
      <c r="BO202" s="5">
        <f>recovered!BO202-recovered!BN202</f>
        <v>-1</v>
      </c>
      <c r="BP202" s="5">
        <f>recovered!BP202-recovered!BO202</f>
        <v>1</v>
      </c>
      <c r="BQ202" s="5">
        <f>recovered!BQ202-recovered!BP202</f>
        <v>4</v>
      </c>
      <c r="BR202" s="5">
        <f>recovered!BR202-recovered!BQ202</f>
        <v>0</v>
      </c>
      <c r="BS202" s="5">
        <f>recovered!BS202-recovered!BR202</f>
        <v>2</v>
      </c>
      <c r="BT202" s="5">
        <f>recovered!BT202-recovered!BS202</f>
        <v>2</v>
      </c>
      <c r="BU202" s="5">
        <f>recovered!BU202-recovered!BT202</f>
        <v>4</v>
      </c>
      <c r="BV202" s="5">
        <f>recovered!BV202-recovered!BU202</f>
        <v>2</v>
      </c>
      <c r="BW202" s="5">
        <f>recovered!BW202-recovered!BV202</f>
        <v>4</v>
      </c>
      <c r="BX202" s="5">
        <f>recovered!BX202-recovered!BW202</f>
        <v>0</v>
      </c>
      <c r="BY202" s="5">
        <f>recovered!BY202-recovered!BX202</f>
        <v>3</v>
      </c>
    </row>
    <row r="203">
      <c r="B203" s="1" t="str">
        <f>recovered!B203</f>
        <v>Sudan</v>
      </c>
      <c r="C203" s="4">
        <f>recovered!C203</f>
        <v>12.8628</v>
      </c>
      <c r="D203" s="4">
        <f>recovered!D203</f>
        <v>30.2176</v>
      </c>
      <c r="E203" s="5">
        <f>recovered!E203</f>
        <v>0</v>
      </c>
      <c r="F203" s="5">
        <f>recovered!F203-recovered!E203</f>
        <v>0</v>
      </c>
      <c r="G203" s="5">
        <f>recovered!G203-recovered!F203</f>
        <v>0</v>
      </c>
      <c r="H203" s="5">
        <f>recovered!H203-recovered!G203</f>
        <v>0</v>
      </c>
      <c r="I203" s="5">
        <f>recovered!I203-recovered!H203</f>
        <v>0</v>
      </c>
      <c r="J203" s="5">
        <f>recovered!J203-recovered!I203</f>
        <v>0</v>
      </c>
      <c r="K203" s="5">
        <f>recovered!K203-recovered!J203</f>
        <v>0</v>
      </c>
      <c r="L203" s="5">
        <f>recovered!L203-recovered!K203</f>
        <v>0</v>
      </c>
      <c r="M203" s="5">
        <f>recovered!M203-recovered!L203</f>
        <v>0</v>
      </c>
      <c r="N203" s="5">
        <f>recovered!N203-recovered!M203</f>
        <v>0</v>
      </c>
      <c r="O203" s="5">
        <f>recovered!O203-recovered!N203</f>
        <v>0</v>
      </c>
      <c r="P203" s="5">
        <f>recovered!P203-recovered!O203</f>
        <v>0</v>
      </c>
      <c r="Q203" s="5">
        <f>recovered!Q203-recovered!P203</f>
        <v>0</v>
      </c>
      <c r="R203" s="5">
        <f>recovered!R203-recovered!Q203</f>
        <v>0</v>
      </c>
      <c r="S203" s="5">
        <f>recovered!S203-recovered!R203</f>
        <v>0</v>
      </c>
      <c r="T203" s="5">
        <f>recovered!T203-recovered!S203</f>
        <v>0</v>
      </c>
      <c r="U203" s="5">
        <f>recovered!U203-recovered!T203</f>
        <v>0</v>
      </c>
      <c r="V203" s="5">
        <f>recovered!V203-recovered!U203</f>
        <v>0</v>
      </c>
      <c r="W203" s="5">
        <f>recovered!W203-recovered!V203</f>
        <v>0</v>
      </c>
      <c r="X203" s="5">
        <f>recovered!X203-recovered!W203</f>
        <v>0</v>
      </c>
      <c r="Y203" s="5">
        <f>recovered!Y203-recovered!X203</f>
        <v>0</v>
      </c>
      <c r="Z203" s="5">
        <f>recovered!Z203-recovered!Y203</f>
        <v>0</v>
      </c>
      <c r="AA203" s="5">
        <f>recovered!AA203-recovered!Z203</f>
        <v>0</v>
      </c>
      <c r="AB203" s="5">
        <f>recovered!AB203-recovered!AA203</f>
        <v>0</v>
      </c>
      <c r="AC203" s="5">
        <f>recovered!AC203-recovered!AB203</f>
        <v>0</v>
      </c>
      <c r="AD203" s="5">
        <f>recovered!AD203-recovered!AC203</f>
        <v>0</v>
      </c>
      <c r="AE203" s="5">
        <f>recovered!AE203-recovered!AD203</f>
        <v>0</v>
      </c>
      <c r="AF203" s="5">
        <f>recovered!AF203-recovered!AE203</f>
        <v>0</v>
      </c>
      <c r="AG203" s="5">
        <f>recovered!AG203-recovered!AF203</f>
        <v>0</v>
      </c>
      <c r="AH203" s="5">
        <f>recovered!AH203-recovered!AG203</f>
        <v>0</v>
      </c>
      <c r="AI203" s="5">
        <f>recovered!AI203-recovered!AH203</f>
        <v>0</v>
      </c>
      <c r="AJ203" s="5">
        <f>recovered!AJ203-recovered!AI203</f>
        <v>0</v>
      </c>
      <c r="AK203" s="5">
        <f>recovered!AK203-recovered!AJ203</f>
        <v>0</v>
      </c>
      <c r="AL203" s="5">
        <f>recovered!AL203-recovered!AK203</f>
        <v>0</v>
      </c>
      <c r="AM203" s="5">
        <f>recovered!AM203-recovered!AL203</f>
        <v>0</v>
      </c>
      <c r="AN203" s="5">
        <f>recovered!AN203-recovered!AM203</f>
        <v>0</v>
      </c>
      <c r="AO203" s="5">
        <f>recovered!AO203-recovered!AN203</f>
        <v>0</v>
      </c>
      <c r="AP203" s="5">
        <f>recovered!AP203-recovered!AO203</f>
        <v>0</v>
      </c>
      <c r="AQ203" s="5">
        <f>recovered!AQ203-recovered!AP203</f>
        <v>0</v>
      </c>
      <c r="AR203" s="5">
        <f>recovered!AR203-recovered!AQ203</f>
        <v>0</v>
      </c>
      <c r="AS203" s="5">
        <f>recovered!AS203-recovered!AR203</f>
        <v>0</v>
      </c>
      <c r="AT203" s="5">
        <f>recovered!AT203-recovered!AS203</f>
        <v>0</v>
      </c>
      <c r="AU203" s="5">
        <f>recovered!AU203-recovered!AT203</f>
        <v>0</v>
      </c>
      <c r="AV203" s="5">
        <f>recovered!AV203-recovered!AU203</f>
        <v>0</v>
      </c>
      <c r="AW203" s="5">
        <f>recovered!AW203-recovered!AV203</f>
        <v>0</v>
      </c>
      <c r="AX203" s="5">
        <f>recovered!AX203-recovered!AW203</f>
        <v>0</v>
      </c>
      <c r="AY203" s="5">
        <f>recovered!AY203-recovered!AX203</f>
        <v>0</v>
      </c>
      <c r="AZ203" s="5">
        <f>recovered!AZ203-recovered!AY203</f>
        <v>0</v>
      </c>
      <c r="BA203" s="5">
        <f>recovered!BA203-recovered!AZ203</f>
        <v>0</v>
      </c>
      <c r="BB203" s="5">
        <f>recovered!BB203-recovered!BA203</f>
        <v>0</v>
      </c>
      <c r="BC203" s="5">
        <f>recovered!BC203-recovered!BB203</f>
        <v>0</v>
      </c>
      <c r="BD203" s="5">
        <f>recovered!BD203-recovered!BC203</f>
        <v>0</v>
      </c>
      <c r="BE203" s="5">
        <f>recovered!BE203-recovered!BD203</f>
        <v>0</v>
      </c>
      <c r="BF203" s="5">
        <f>recovered!BF203-recovered!BE203</f>
        <v>0</v>
      </c>
      <c r="BG203" s="5">
        <f>recovered!BG203-recovered!BF203</f>
        <v>0</v>
      </c>
      <c r="BH203" s="5">
        <f>recovered!BH203-recovered!BG203</f>
        <v>0</v>
      </c>
      <c r="BI203" s="5">
        <f>recovered!BI203-recovered!BH203</f>
        <v>0</v>
      </c>
      <c r="BJ203" s="5">
        <f>recovered!BJ203-recovered!BI203</f>
        <v>0</v>
      </c>
      <c r="BK203" s="5">
        <f>recovered!BK203-recovered!BJ203</f>
        <v>0</v>
      </c>
      <c r="BL203" s="5">
        <f>recovered!BL203-recovered!BK203</f>
        <v>0</v>
      </c>
      <c r="BM203" s="5">
        <f>recovered!BM203-recovered!BL203</f>
        <v>0</v>
      </c>
      <c r="BN203" s="5">
        <f>recovered!BN203-recovered!BM203</f>
        <v>0</v>
      </c>
      <c r="BO203" s="5">
        <f>recovered!BO203-recovered!BN203</f>
        <v>0</v>
      </c>
      <c r="BP203" s="5">
        <f>recovered!BP203-recovered!BO203</f>
        <v>0</v>
      </c>
      <c r="BQ203" s="5">
        <f>recovered!BQ203-recovered!BP203</f>
        <v>0</v>
      </c>
      <c r="BR203" s="5">
        <f>recovered!BR203-recovered!BQ203</f>
        <v>0</v>
      </c>
      <c r="BS203" s="5">
        <f>recovered!BS203-recovered!BR203</f>
        <v>0</v>
      </c>
      <c r="BT203" s="5">
        <f>recovered!BT203-recovered!BS203</f>
        <v>0</v>
      </c>
      <c r="BU203" s="5">
        <f>recovered!BU203-recovered!BT203</f>
        <v>0</v>
      </c>
      <c r="BV203" s="5">
        <f>recovered!BV203-recovered!BU203</f>
        <v>1</v>
      </c>
      <c r="BW203" s="5">
        <f>recovered!BW203-recovered!BV203</f>
        <v>1</v>
      </c>
      <c r="BX203" s="5">
        <f>recovered!BX203-recovered!BW203</f>
        <v>0</v>
      </c>
      <c r="BY203" s="5">
        <f>recovered!BY203-recovered!BX203</f>
        <v>0</v>
      </c>
    </row>
    <row r="204">
      <c r="B204" s="1" t="str">
        <f>recovered!B204</f>
        <v>Suriname</v>
      </c>
      <c r="C204" s="4">
        <f>recovered!C204</f>
        <v>3.9193</v>
      </c>
      <c r="D204" s="4">
        <f>recovered!D204</f>
        <v>-56.0278</v>
      </c>
      <c r="E204" s="5">
        <f>recovered!E204</f>
        <v>0</v>
      </c>
      <c r="F204" s="5">
        <f>recovered!F204-recovered!E204</f>
        <v>0</v>
      </c>
      <c r="G204" s="5">
        <f>recovered!G204-recovered!F204</f>
        <v>0</v>
      </c>
      <c r="H204" s="5">
        <f>recovered!H204-recovered!G204</f>
        <v>0</v>
      </c>
      <c r="I204" s="5">
        <f>recovered!I204-recovered!H204</f>
        <v>0</v>
      </c>
      <c r="J204" s="5">
        <f>recovered!J204-recovered!I204</f>
        <v>0</v>
      </c>
      <c r="K204" s="5">
        <f>recovered!K204-recovered!J204</f>
        <v>0</v>
      </c>
      <c r="L204" s="5">
        <f>recovered!L204-recovered!K204</f>
        <v>0</v>
      </c>
      <c r="M204" s="5">
        <f>recovered!M204-recovered!L204</f>
        <v>0</v>
      </c>
      <c r="N204" s="5">
        <f>recovered!N204-recovered!M204</f>
        <v>0</v>
      </c>
      <c r="O204" s="5">
        <f>recovered!O204-recovered!N204</f>
        <v>0</v>
      </c>
      <c r="P204" s="5">
        <f>recovered!P204-recovered!O204</f>
        <v>0</v>
      </c>
      <c r="Q204" s="5">
        <f>recovered!Q204-recovered!P204</f>
        <v>0</v>
      </c>
      <c r="R204" s="5">
        <f>recovered!R204-recovered!Q204</f>
        <v>0</v>
      </c>
      <c r="S204" s="5">
        <f>recovered!S204-recovered!R204</f>
        <v>0</v>
      </c>
      <c r="T204" s="5">
        <f>recovered!T204-recovered!S204</f>
        <v>0</v>
      </c>
      <c r="U204" s="5">
        <f>recovered!U204-recovered!T204</f>
        <v>0</v>
      </c>
      <c r="V204" s="5">
        <f>recovered!V204-recovered!U204</f>
        <v>0</v>
      </c>
      <c r="W204" s="5">
        <f>recovered!W204-recovered!V204</f>
        <v>0</v>
      </c>
      <c r="X204" s="5">
        <f>recovered!X204-recovered!W204</f>
        <v>0</v>
      </c>
      <c r="Y204" s="5">
        <f>recovered!Y204-recovered!X204</f>
        <v>0</v>
      </c>
      <c r="Z204" s="5">
        <f>recovered!Z204-recovered!Y204</f>
        <v>0</v>
      </c>
      <c r="AA204" s="5">
        <f>recovered!AA204-recovered!Z204</f>
        <v>0</v>
      </c>
      <c r="AB204" s="5">
        <f>recovered!AB204-recovered!AA204</f>
        <v>0</v>
      </c>
      <c r="AC204" s="5">
        <f>recovered!AC204-recovered!AB204</f>
        <v>0</v>
      </c>
      <c r="AD204" s="5">
        <f>recovered!AD204-recovered!AC204</f>
        <v>0</v>
      </c>
      <c r="AE204" s="5">
        <f>recovered!AE204-recovered!AD204</f>
        <v>0</v>
      </c>
      <c r="AF204" s="5">
        <f>recovered!AF204-recovered!AE204</f>
        <v>0</v>
      </c>
      <c r="AG204" s="5">
        <f>recovered!AG204-recovered!AF204</f>
        <v>0</v>
      </c>
      <c r="AH204" s="5">
        <f>recovered!AH204-recovered!AG204</f>
        <v>0</v>
      </c>
      <c r="AI204" s="5">
        <f>recovered!AI204-recovered!AH204</f>
        <v>0</v>
      </c>
      <c r="AJ204" s="5">
        <f>recovered!AJ204-recovered!AI204</f>
        <v>0</v>
      </c>
      <c r="AK204" s="5">
        <f>recovered!AK204-recovered!AJ204</f>
        <v>0</v>
      </c>
      <c r="AL204" s="5">
        <f>recovered!AL204-recovered!AK204</f>
        <v>0</v>
      </c>
      <c r="AM204" s="5">
        <f>recovered!AM204-recovered!AL204</f>
        <v>0</v>
      </c>
      <c r="AN204" s="5">
        <f>recovered!AN204-recovered!AM204</f>
        <v>0</v>
      </c>
      <c r="AO204" s="5">
        <f>recovered!AO204-recovered!AN204</f>
        <v>0</v>
      </c>
      <c r="AP204" s="5">
        <f>recovered!AP204-recovered!AO204</f>
        <v>0</v>
      </c>
      <c r="AQ204" s="5">
        <f>recovered!AQ204-recovered!AP204</f>
        <v>0</v>
      </c>
      <c r="AR204" s="5">
        <f>recovered!AR204-recovered!AQ204</f>
        <v>0</v>
      </c>
      <c r="AS204" s="5">
        <f>recovered!AS204-recovered!AR204</f>
        <v>0</v>
      </c>
      <c r="AT204" s="5">
        <f>recovered!AT204-recovered!AS204</f>
        <v>0</v>
      </c>
      <c r="AU204" s="5">
        <f>recovered!AU204-recovered!AT204</f>
        <v>0</v>
      </c>
      <c r="AV204" s="5">
        <f>recovered!AV204-recovered!AU204</f>
        <v>0</v>
      </c>
      <c r="AW204" s="5">
        <f>recovered!AW204-recovered!AV204</f>
        <v>0</v>
      </c>
      <c r="AX204" s="5">
        <f>recovered!AX204-recovered!AW204</f>
        <v>0</v>
      </c>
      <c r="AY204" s="5">
        <f>recovered!AY204-recovered!AX204</f>
        <v>0</v>
      </c>
      <c r="AZ204" s="5">
        <f>recovered!AZ204-recovered!AY204</f>
        <v>0</v>
      </c>
      <c r="BA204" s="5">
        <f>recovered!BA204-recovered!AZ204</f>
        <v>0</v>
      </c>
      <c r="BB204" s="5">
        <f>recovered!BB204-recovered!BA204</f>
        <v>0</v>
      </c>
      <c r="BC204" s="5">
        <f>recovered!BC204-recovered!BB204</f>
        <v>0</v>
      </c>
      <c r="BD204" s="5">
        <f>recovered!BD204-recovered!BC204</f>
        <v>0</v>
      </c>
      <c r="BE204" s="5">
        <f>recovered!BE204-recovered!BD204</f>
        <v>0</v>
      </c>
      <c r="BF204" s="5">
        <f>recovered!BF204-recovered!BE204</f>
        <v>0</v>
      </c>
      <c r="BG204" s="5">
        <f>recovered!BG204-recovered!BF204</f>
        <v>0</v>
      </c>
      <c r="BH204" s="5">
        <f>recovered!BH204-recovered!BG204</f>
        <v>0</v>
      </c>
      <c r="BI204" s="5">
        <f>recovered!BI204-recovered!BH204</f>
        <v>0</v>
      </c>
      <c r="BJ204" s="5">
        <f>recovered!BJ204-recovered!BI204</f>
        <v>0</v>
      </c>
      <c r="BK204" s="5">
        <f>recovered!BK204-recovered!BJ204</f>
        <v>0</v>
      </c>
      <c r="BL204" s="5">
        <f>recovered!BL204-recovered!BK204</f>
        <v>0</v>
      </c>
      <c r="BM204" s="5">
        <f>recovered!BM204-recovered!BL204</f>
        <v>0</v>
      </c>
      <c r="BN204" s="5">
        <f>recovered!BN204-recovered!BM204</f>
        <v>0</v>
      </c>
      <c r="BO204" s="5">
        <f>recovered!BO204-recovered!BN204</f>
        <v>0</v>
      </c>
      <c r="BP204" s="5">
        <f>recovered!BP204-recovered!BO204</f>
        <v>0</v>
      </c>
      <c r="BQ204" s="5">
        <f>recovered!BQ204-recovered!BP204</f>
        <v>0</v>
      </c>
      <c r="BR204" s="5">
        <f>recovered!BR204-recovered!BQ204</f>
        <v>0</v>
      </c>
      <c r="BS204" s="5">
        <f>recovered!BS204-recovered!BR204</f>
        <v>0</v>
      </c>
      <c r="BT204" s="5">
        <f>recovered!BT204-recovered!BS204</f>
        <v>0</v>
      </c>
      <c r="BU204" s="5">
        <f>recovered!BU204-recovered!BT204</f>
        <v>0</v>
      </c>
      <c r="BV204" s="5">
        <f>recovered!BV204-recovered!BU204</f>
        <v>0</v>
      </c>
      <c r="BW204" s="5">
        <f>recovered!BW204-recovered!BV204</f>
        <v>0</v>
      </c>
      <c r="BX204" s="5">
        <f>recovered!BX204-recovered!BW204</f>
        <v>0</v>
      </c>
      <c r="BY204" s="5">
        <f>recovered!BY204-recovered!BX204</f>
        <v>0</v>
      </c>
    </row>
    <row r="205">
      <c r="B205" s="1" t="str">
        <f>recovered!B205</f>
        <v>Sweden</v>
      </c>
      <c r="C205" s="4">
        <f>recovered!C205</f>
        <v>63</v>
      </c>
      <c r="D205" s="4">
        <f>recovered!D205</f>
        <v>16</v>
      </c>
      <c r="E205" s="5">
        <f>recovered!E205</f>
        <v>0</v>
      </c>
      <c r="F205" s="5">
        <f>recovered!F205-recovered!E205</f>
        <v>0</v>
      </c>
      <c r="G205" s="5">
        <f>recovered!G205-recovered!F205</f>
        <v>0</v>
      </c>
      <c r="H205" s="5">
        <f>recovered!H205-recovered!G205</f>
        <v>0</v>
      </c>
      <c r="I205" s="5">
        <f>recovered!I205-recovered!H205</f>
        <v>0</v>
      </c>
      <c r="J205" s="5">
        <f>recovered!J205-recovered!I205</f>
        <v>0</v>
      </c>
      <c r="K205" s="5">
        <f>recovered!K205-recovered!J205</f>
        <v>0</v>
      </c>
      <c r="L205" s="5">
        <f>recovered!L205-recovered!K205</f>
        <v>0</v>
      </c>
      <c r="M205" s="5">
        <f>recovered!M205-recovered!L205</f>
        <v>0</v>
      </c>
      <c r="N205" s="5">
        <f>recovered!N205-recovered!M205</f>
        <v>0</v>
      </c>
      <c r="O205" s="5">
        <f>recovered!O205-recovered!N205</f>
        <v>0</v>
      </c>
      <c r="P205" s="5">
        <f>recovered!P205-recovered!O205</f>
        <v>0</v>
      </c>
      <c r="Q205" s="5">
        <f>recovered!Q205-recovered!P205</f>
        <v>0</v>
      </c>
      <c r="R205" s="5">
        <f>recovered!R205-recovered!Q205</f>
        <v>0</v>
      </c>
      <c r="S205" s="5">
        <f>recovered!S205-recovered!R205</f>
        <v>0</v>
      </c>
      <c r="T205" s="5">
        <f>recovered!T205-recovered!S205</f>
        <v>0</v>
      </c>
      <c r="U205" s="5">
        <f>recovered!U205-recovered!T205</f>
        <v>0</v>
      </c>
      <c r="V205" s="5">
        <f>recovered!V205-recovered!U205</f>
        <v>0</v>
      </c>
      <c r="W205" s="5">
        <f>recovered!W205-recovered!V205</f>
        <v>0</v>
      </c>
      <c r="X205" s="5">
        <f>recovered!X205-recovered!W205</f>
        <v>0</v>
      </c>
      <c r="Y205" s="5">
        <f>recovered!Y205-recovered!X205</f>
        <v>0</v>
      </c>
      <c r="Z205" s="5">
        <f>recovered!Z205-recovered!Y205</f>
        <v>0</v>
      </c>
      <c r="AA205" s="5">
        <f>recovered!AA205-recovered!Z205</f>
        <v>0</v>
      </c>
      <c r="AB205" s="5">
        <f>recovered!AB205-recovered!AA205</f>
        <v>0</v>
      </c>
      <c r="AC205" s="5">
        <f>recovered!AC205-recovered!AB205</f>
        <v>0</v>
      </c>
      <c r="AD205" s="5">
        <f>recovered!AD205-recovered!AC205</f>
        <v>0</v>
      </c>
      <c r="AE205" s="5">
        <f>recovered!AE205-recovered!AD205</f>
        <v>0</v>
      </c>
      <c r="AF205" s="5">
        <f>recovered!AF205-recovered!AE205</f>
        <v>0</v>
      </c>
      <c r="AG205" s="5">
        <f>recovered!AG205-recovered!AF205</f>
        <v>0</v>
      </c>
      <c r="AH205" s="5">
        <f>recovered!AH205-recovered!AG205</f>
        <v>0</v>
      </c>
      <c r="AI205" s="5">
        <f>recovered!AI205-recovered!AH205</f>
        <v>0</v>
      </c>
      <c r="AJ205" s="5">
        <f>recovered!AJ205-recovered!AI205</f>
        <v>0</v>
      </c>
      <c r="AK205" s="5">
        <f>recovered!AK205-recovered!AJ205</f>
        <v>0</v>
      </c>
      <c r="AL205" s="5">
        <f>recovered!AL205-recovered!AK205</f>
        <v>0</v>
      </c>
      <c r="AM205" s="5">
        <f>recovered!AM205-recovered!AL205</f>
        <v>0</v>
      </c>
      <c r="AN205" s="5">
        <f>recovered!AN205-recovered!AM205</f>
        <v>0</v>
      </c>
      <c r="AO205" s="5">
        <f>recovered!AO205-recovered!AN205</f>
        <v>0</v>
      </c>
      <c r="AP205" s="5">
        <f>recovered!AP205-recovered!AO205</f>
        <v>0</v>
      </c>
      <c r="AQ205" s="5">
        <f>recovered!AQ205-recovered!AP205</f>
        <v>0</v>
      </c>
      <c r="AR205" s="5">
        <f>recovered!AR205-recovered!AQ205</f>
        <v>0</v>
      </c>
      <c r="AS205" s="5">
        <f>recovered!AS205-recovered!AR205</f>
        <v>0</v>
      </c>
      <c r="AT205" s="5">
        <f>recovered!AT205-recovered!AS205</f>
        <v>0</v>
      </c>
      <c r="AU205" s="5">
        <f>recovered!AU205-recovered!AT205</f>
        <v>0</v>
      </c>
      <c r="AV205" s="5">
        <f>recovered!AV205-recovered!AU205</f>
        <v>0</v>
      </c>
      <c r="AW205" s="5">
        <f>recovered!AW205-recovered!AV205</f>
        <v>0</v>
      </c>
      <c r="AX205" s="5">
        <f>recovered!AX205-recovered!AW205</f>
        <v>0</v>
      </c>
      <c r="AY205" s="5">
        <f>recovered!AY205-recovered!AX205</f>
        <v>0</v>
      </c>
      <c r="AZ205" s="5">
        <f>recovered!AZ205-recovered!AY205</f>
        <v>1</v>
      </c>
      <c r="BA205" s="5">
        <f>recovered!BA205-recovered!AZ205</f>
        <v>0</v>
      </c>
      <c r="BB205" s="5">
        <f>recovered!BB205-recovered!BA205</f>
        <v>0</v>
      </c>
      <c r="BC205" s="5">
        <f>recovered!BC205-recovered!BB205</f>
        <v>0</v>
      </c>
      <c r="BD205" s="5">
        <f>recovered!BD205-recovered!BC205</f>
        <v>0</v>
      </c>
      <c r="BE205" s="5">
        <f>recovered!BE205-recovered!BD205</f>
        <v>0</v>
      </c>
      <c r="BF205" s="5">
        <f>recovered!BF205-recovered!BE205</f>
        <v>0</v>
      </c>
      <c r="BG205" s="5">
        <f>recovered!BG205-recovered!BF205</f>
        <v>0</v>
      </c>
      <c r="BH205" s="5">
        <f>recovered!BH205-recovered!BG205</f>
        <v>0</v>
      </c>
      <c r="BI205" s="5">
        <f>recovered!BI205-recovered!BH205</f>
        <v>0</v>
      </c>
      <c r="BJ205" s="5">
        <f>recovered!BJ205-recovered!BI205</f>
        <v>15</v>
      </c>
      <c r="BK205" s="5">
        <f>recovered!BK205-recovered!BJ205</f>
        <v>0</v>
      </c>
      <c r="BL205" s="5">
        <f>recovered!BL205-recovered!BK205</f>
        <v>0</v>
      </c>
      <c r="BM205" s="5">
        <f>recovered!BM205-recovered!BL205</f>
        <v>0</v>
      </c>
      <c r="BN205" s="5">
        <f>recovered!BN205-recovered!BM205</f>
        <v>0</v>
      </c>
      <c r="BO205" s="5">
        <f>recovered!BO205-recovered!BN205</f>
        <v>0</v>
      </c>
      <c r="BP205" s="5">
        <f>recovered!BP205-recovered!BO205</f>
        <v>0</v>
      </c>
      <c r="BQ205" s="5">
        <f>recovered!BQ205-recovered!BP205</f>
        <v>0</v>
      </c>
      <c r="BR205" s="5">
        <f>recovered!BR205-recovered!BQ205</f>
        <v>0</v>
      </c>
      <c r="BS205" s="5">
        <f>recovered!BS205-recovered!BR205</f>
        <v>0</v>
      </c>
      <c r="BT205" s="5">
        <f>recovered!BT205-recovered!BS205</f>
        <v>0</v>
      </c>
      <c r="BU205" s="5">
        <f>recovered!BU205-recovered!BT205</f>
        <v>0</v>
      </c>
      <c r="BV205" s="5">
        <f>recovered!BV205-recovered!BU205</f>
        <v>0</v>
      </c>
      <c r="BW205" s="5">
        <f>recovered!BW205-recovered!BV205</f>
        <v>87</v>
      </c>
      <c r="BX205" s="5">
        <f>recovered!BX205-recovered!BW205</f>
        <v>0</v>
      </c>
      <c r="BY205" s="5">
        <f>recovered!BY205-recovered!BX205</f>
        <v>102</v>
      </c>
    </row>
    <row r="206">
      <c r="B206" s="1" t="str">
        <f>recovered!B206</f>
        <v>Switzerland</v>
      </c>
      <c r="C206" s="4">
        <f>recovered!C206</f>
        <v>46.8182</v>
      </c>
      <c r="D206" s="4">
        <f>recovered!D206</f>
        <v>8.2275</v>
      </c>
      <c r="E206" s="5">
        <f>recovered!E206</f>
        <v>0</v>
      </c>
      <c r="F206" s="5">
        <f>recovered!F206-recovered!E206</f>
        <v>0</v>
      </c>
      <c r="G206" s="5">
        <f>recovered!G206-recovered!F206</f>
        <v>0</v>
      </c>
      <c r="H206" s="5">
        <f>recovered!H206-recovered!G206</f>
        <v>0</v>
      </c>
      <c r="I206" s="5">
        <f>recovered!I206-recovered!H206</f>
        <v>0</v>
      </c>
      <c r="J206" s="5">
        <f>recovered!J206-recovered!I206</f>
        <v>0</v>
      </c>
      <c r="K206" s="5">
        <f>recovered!K206-recovered!J206</f>
        <v>0</v>
      </c>
      <c r="L206" s="5">
        <f>recovered!L206-recovered!K206</f>
        <v>0</v>
      </c>
      <c r="M206" s="5">
        <f>recovered!M206-recovered!L206</f>
        <v>0</v>
      </c>
      <c r="N206" s="5">
        <f>recovered!N206-recovered!M206</f>
        <v>0</v>
      </c>
      <c r="O206" s="5">
        <f>recovered!O206-recovered!N206</f>
        <v>0</v>
      </c>
      <c r="P206" s="5">
        <f>recovered!P206-recovered!O206</f>
        <v>0</v>
      </c>
      <c r="Q206" s="5">
        <f>recovered!Q206-recovered!P206</f>
        <v>0</v>
      </c>
      <c r="R206" s="5">
        <f>recovered!R206-recovered!Q206</f>
        <v>0</v>
      </c>
      <c r="S206" s="5">
        <f>recovered!S206-recovered!R206</f>
        <v>0</v>
      </c>
      <c r="T206" s="5">
        <f>recovered!T206-recovered!S206</f>
        <v>0</v>
      </c>
      <c r="U206" s="5">
        <f>recovered!U206-recovered!T206</f>
        <v>0</v>
      </c>
      <c r="V206" s="5">
        <f>recovered!V206-recovered!U206</f>
        <v>0</v>
      </c>
      <c r="W206" s="5">
        <f>recovered!W206-recovered!V206</f>
        <v>0</v>
      </c>
      <c r="X206" s="5">
        <f>recovered!X206-recovered!W206</f>
        <v>0</v>
      </c>
      <c r="Y206" s="5">
        <f>recovered!Y206-recovered!X206</f>
        <v>0</v>
      </c>
      <c r="Z206" s="5">
        <f>recovered!Z206-recovered!Y206</f>
        <v>0</v>
      </c>
      <c r="AA206" s="5">
        <f>recovered!AA206-recovered!Z206</f>
        <v>0</v>
      </c>
      <c r="AB206" s="5">
        <f>recovered!AB206-recovered!AA206</f>
        <v>0</v>
      </c>
      <c r="AC206" s="5">
        <f>recovered!AC206-recovered!AB206</f>
        <v>0</v>
      </c>
      <c r="AD206" s="5">
        <f>recovered!AD206-recovered!AC206</f>
        <v>0</v>
      </c>
      <c r="AE206" s="5">
        <f>recovered!AE206-recovered!AD206</f>
        <v>0</v>
      </c>
      <c r="AF206" s="5">
        <f>recovered!AF206-recovered!AE206</f>
        <v>0</v>
      </c>
      <c r="AG206" s="5">
        <f>recovered!AG206-recovered!AF206</f>
        <v>0</v>
      </c>
      <c r="AH206" s="5">
        <f>recovered!AH206-recovered!AG206</f>
        <v>0</v>
      </c>
      <c r="AI206" s="5">
        <f>recovered!AI206-recovered!AH206</f>
        <v>0</v>
      </c>
      <c r="AJ206" s="5">
        <f>recovered!AJ206-recovered!AI206</f>
        <v>0</v>
      </c>
      <c r="AK206" s="5">
        <f>recovered!AK206-recovered!AJ206</f>
        <v>0</v>
      </c>
      <c r="AL206" s="5">
        <f>recovered!AL206-recovered!AK206</f>
        <v>0</v>
      </c>
      <c r="AM206" s="5">
        <f>recovered!AM206-recovered!AL206</f>
        <v>0</v>
      </c>
      <c r="AN206" s="5">
        <f>recovered!AN206-recovered!AM206</f>
        <v>0</v>
      </c>
      <c r="AO206" s="5">
        <f>recovered!AO206-recovered!AN206</f>
        <v>0</v>
      </c>
      <c r="AP206" s="5">
        <f>recovered!AP206-recovered!AO206</f>
        <v>0</v>
      </c>
      <c r="AQ206" s="5">
        <f>recovered!AQ206-recovered!AP206</f>
        <v>0</v>
      </c>
      <c r="AR206" s="5">
        <f>recovered!AR206-recovered!AQ206</f>
        <v>0</v>
      </c>
      <c r="AS206" s="5">
        <f>recovered!AS206-recovered!AR206</f>
        <v>0</v>
      </c>
      <c r="AT206" s="5">
        <f>recovered!AT206-recovered!AS206</f>
        <v>2</v>
      </c>
      <c r="AU206" s="5">
        <f>recovered!AU206-recovered!AT206</f>
        <v>1</v>
      </c>
      <c r="AV206" s="5">
        <f>recovered!AV206-recovered!AU206</f>
        <v>0</v>
      </c>
      <c r="AW206" s="5">
        <f>recovered!AW206-recovered!AV206</f>
        <v>0</v>
      </c>
      <c r="AX206" s="5">
        <f>recovered!AX206-recovered!AW206</f>
        <v>0</v>
      </c>
      <c r="AY206" s="5">
        <f>recovered!AY206-recovered!AX206</f>
        <v>0</v>
      </c>
      <c r="AZ206" s="5">
        <f>recovered!AZ206-recovered!AY206</f>
        <v>0</v>
      </c>
      <c r="BA206" s="5">
        <f>recovered!BA206-recovered!AZ206</f>
        <v>0</v>
      </c>
      <c r="BB206" s="5">
        <f>recovered!BB206-recovered!BA206</f>
        <v>1</v>
      </c>
      <c r="BC206" s="5">
        <f>recovered!BC206-recovered!BB206</f>
        <v>0</v>
      </c>
      <c r="BD206" s="5">
        <f>recovered!BD206-recovered!BC206</f>
        <v>0</v>
      </c>
      <c r="BE206" s="5">
        <f>recovered!BE206-recovered!BD206</f>
        <v>0</v>
      </c>
      <c r="BF206" s="5">
        <f>recovered!BF206-recovered!BE206</f>
        <v>0</v>
      </c>
      <c r="BG206" s="5">
        <f>recovered!BG206-recovered!BF206</f>
        <v>0</v>
      </c>
      <c r="BH206" s="5">
        <f>recovered!BH206-recovered!BG206</f>
        <v>0</v>
      </c>
      <c r="BI206" s="5">
        <f>recovered!BI206-recovered!BH206</f>
        <v>11</v>
      </c>
      <c r="BJ206" s="5">
        <f>recovered!BJ206-recovered!BI206</f>
        <v>0</v>
      </c>
      <c r="BK206" s="5">
        <f>recovered!BK206-recovered!BJ206</f>
        <v>0</v>
      </c>
      <c r="BL206" s="5">
        <f>recovered!BL206-recovered!BK206</f>
        <v>0</v>
      </c>
      <c r="BM206" s="5">
        <f>recovered!BM206-recovered!BL206</f>
        <v>116</v>
      </c>
      <c r="BN206" s="5">
        <f>recovered!BN206-recovered!BM206</f>
        <v>0</v>
      </c>
      <c r="BO206" s="5">
        <f>recovered!BO206-recovered!BN206</f>
        <v>0</v>
      </c>
      <c r="BP206" s="5">
        <f>recovered!BP206-recovered!BO206</f>
        <v>0</v>
      </c>
      <c r="BQ206" s="5">
        <f>recovered!BQ206-recovered!BP206</f>
        <v>0</v>
      </c>
      <c r="BR206" s="5">
        <f>recovered!BR206-recovered!BQ206</f>
        <v>1399</v>
      </c>
      <c r="BS206" s="5">
        <f>recovered!BS206-recovered!BR206</f>
        <v>0</v>
      </c>
      <c r="BT206" s="5">
        <f>recovered!BT206-recovered!BS206</f>
        <v>65</v>
      </c>
      <c r="BU206" s="5">
        <f>recovered!BU206-recovered!BT206</f>
        <v>228</v>
      </c>
      <c r="BV206" s="5">
        <f>recovered!BV206-recovered!BU206</f>
        <v>0</v>
      </c>
      <c r="BW206" s="5">
        <f>recovered!BW206-recovered!BV206</f>
        <v>1144</v>
      </c>
      <c r="BX206" s="5">
        <f>recovered!BX206-recovered!BW206</f>
        <v>1046</v>
      </c>
      <c r="BY206" s="5">
        <f>recovered!BY206-recovered!BX206</f>
        <v>833</v>
      </c>
    </row>
    <row r="207">
      <c r="B207" s="1" t="str">
        <f>recovered!B207</f>
        <v>Syria</v>
      </c>
      <c r="C207" s="4">
        <f>recovered!C207</f>
        <v>34.8021</v>
      </c>
      <c r="D207" s="4">
        <f>recovered!D207</f>
        <v>38.9968</v>
      </c>
      <c r="E207" s="5">
        <f>recovered!E207</f>
        <v>0</v>
      </c>
      <c r="F207" s="5">
        <f>recovered!F207-recovered!E207</f>
        <v>0</v>
      </c>
      <c r="G207" s="5">
        <f>recovered!G207-recovered!F207</f>
        <v>0</v>
      </c>
      <c r="H207" s="5">
        <f>recovered!H207-recovered!G207</f>
        <v>0</v>
      </c>
      <c r="I207" s="5">
        <f>recovered!I207-recovered!H207</f>
        <v>0</v>
      </c>
      <c r="J207" s="5">
        <f>recovered!J207-recovered!I207</f>
        <v>0</v>
      </c>
      <c r="K207" s="5">
        <f>recovered!K207-recovered!J207</f>
        <v>0</v>
      </c>
      <c r="L207" s="5">
        <f>recovered!L207-recovered!K207</f>
        <v>0</v>
      </c>
      <c r="M207" s="5">
        <f>recovered!M207-recovered!L207</f>
        <v>0</v>
      </c>
      <c r="N207" s="5">
        <f>recovered!N207-recovered!M207</f>
        <v>0</v>
      </c>
      <c r="O207" s="5">
        <f>recovered!O207-recovered!N207</f>
        <v>0</v>
      </c>
      <c r="P207" s="5">
        <f>recovered!P207-recovered!O207</f>
        <v>0</v>
      </c>
      <c r="Q207" s="5">
        <f>recovered!Q207-recovered!P207</f>
        <v>0</v>
      </c>
      <c r="R207" s="5">
        <f>recovered!R207-recovered!Q207</f>
        <v>0</v>
      </c>
      <c r="S207" s="5">
        <f>recovered!S207-recovered!R207</f>
        <v>0</v>
      </c>
      <c r="T207" s="5">
        <f>recovered!T207-recovered!S207</f>
        <v>0</v>
      </c>
      <c r="U207" s="5">
        <f>recovered!U207-recovered!T207</f>
        <v>0</v>
      </c>
      <c r="V207" s="5">
        <f>recovered!V207-recovered!U207</f>
        <v>0</v>
      </c>
      <c r="W207" s="5">
        <f>recovered!W207-recovered!V207</f>
        <v>0</v>
      </c>
      <c r="X207" s="5">
        <f>recovered!X207-recovered!W207</f>
        <v>0</v>
      </c>
      <c r="Y207" s="5">
        <f>recovered!Y207-recovered!X207</f>
        <v>0</v>
      </c>
      <c r="Z207" s="5">
        <f>recovered!Z207-recovered!Y207</f>
        <v>0</v>
      </c>
      <c r="AA207" s="5">
        <f>recovered!AA207-recovered!Z207</f>
        <v>0</v>
      </c>
      <c r="AB207" s="5">
        <f>recovered!AB207-recovered!AA207</f>
        <v>0</v>
      </c>
      <c r="AC207" s="5">
        <f>recovered!AC207-recovered!AB207</f>
        <v>0</v>
      </c>
      <c r="AD207" s="5">
        <f>recovered!AD207-recovered!AC207</f>
        <v>0</v>
      </c>
      <c r="AE207" s="5">
        <f>recovered!AE207-recovered!AD207</f>
        <v>0</v>
      </c>
      <c r="AF207" s="5">
        <f>recovered!AF207-recovered!AE207</f>
        <v>0</v>
      </c>
      <c r="AG207" s="5">
        <f>recovered!AG207-recovered!AF207</f>
        <v>0</v>
      </c>
      <c r="AH207" s="5">
        <f>recovered!AH207-recovered!AG207</f>
        <v>0</v>
      </c>
      <c r="AI207" s="5">
        <f>recovered!AI207-recovered!AH207</f>
        <v>0</v>
      </c>
      <c r="AJ207" s="5">
        <f>recovered!AJ207-recovered!AI207</f>
        <v>0</v>
      </c>
      <c r="AK207" s="5">
        <f>recovered!AK207-recovered!AJ207</f>
        <v>0</v>
      </c>
      <c r="AL207" s="5">
        <f>recovered!AL207-recovered!AK207</f>
        <v>0</v>
      </c>
      <c r="AM207" s="5">
        <f>recovered!AM207-recovered!AL207</f>
        <v>0</v>
      </c>
      <c r="AN207" s="5">
        <f>recovered!AN207-recovered!AM207</f>
        <v>0</v>
      </c>
      <c r="AO207" s="5">
        <f>recovered!AO207-recovered!AN207</f>
        <v>0</v>
      </c>
      <c r="AP207" s="5">
        <f>recovered!AP207-recovered!AO207</f>
        <v>0</v>
      </c>
      <c r="AQ207" s="5">
        <f>recovered!AQ207-recovered!AP207</f>
        <v>0</v>
      </c>
      <c r="AR207" s="5">
        <f>recovered!AR207-recovered!AQ207</f>
        <v>0</v>
      </c>
      <c r="AS207" s="5">
        <f>recovered!AS207-recovered!AR207</f>
        <v>0</v>
      </c>
      <c r="AT207" s="5">
        <f>recovered!AT207-recovered!AS207</f>
        <v>0</v>
      </c>
      <c r="AU207" s="5">
        <f>recovered!AU207-recovered!AT207</f>
        <v>0</v>
      </c>
      <c r="AV207" s="5">
        <f>recovered!AV207-recovered!AU207</f>
        <v>0</v>
      </c>
      <c r="AW207" s="5">
        <f>recovered!AW207-recovered!AV207</f>
        <v>0</v>
      </c>
      <c r="AX207" s="5">
        <f>recovered!AX207-recovered!AW207</f>
        <v>0</v>
      </c>
      <c r="AY207" s="5">
        <f>recovered!AY207-recovered!AX207</f>
        <v>0</v>
      </c>
      <c r="AZ207" s="5">
        <f>recovered!AZ207-recovered!AY207</f>
        <v>0</v>
      </c>
      <c r="BA207" s="5">
        <f>recovered!BA207-recovered!AZ207</f>
        <v>0</v>
      </c>
      <c r="BB207" s="5">
        <f>recovered!BB207-recovered!BA207</f>
        <v>0</v>
      </c>
      <c r="BC207" s="5">
        <f>recovered!BC207-recovered!BB207</f>
        <v>0</v>
      </c>
      <c r="BD207" s="5">
        <f>recovered!BD207-recovered!BC207</f>
        <v>0</v>
      </c>
      <c r="BE207" s="5">
        <f>recovered!BE207-recovered!BD207</f>
        <v>0</v>
      </c>
      <c r="BF207" s="5">
        <f>recovered!BF207-recovered!BE207</f>
        <v>0</v>
      </c>
      <c r="BG207" s="5">
        <f>recovered!BG207-recovered!BF207</f>
        <v>0</v>
      </c>
      <c r="BH207" s="5">
        <f>recovered!BH207-recovered!BG207</f>
        <v>0</v>
      </c>
      <c r="BI207" s="5">
        <f>recovered!BI207-recovered!BH207</f>
        <v>0</v>
      </c>
      <c r="BJ207" s="5">
        <f>recovered!BJ207-recovered!BI207</f>
        <v>0</v>
      </c>
      <c r="BK207" s="5">
        <f>recovered!BK207-recovered!BJ207</f>
        <v>0</v>
      </c>
      <c r="BL207" s="5">
        <f>recovered!BL207-recovered!BK207</f>
        <v>0</v>
      </c>
      <c r="BM207" s="5">
        <f>recovered!BM207-recovered!BL207</f>
        <v>0</v>
      </c>
      <c r="BN207" s="5">
        <f>recovered!BN207-recovered!BM207</f>
        <v>0</v>
      </c>
      <c r="BO207" s="5">
        <f>recovered!BO207-recovered!BN207</f>
        <v>0</v>
      </c>
      <c r="BP207" s="5">
        <f>recovered!BP207-recovered!BO207</f>
        <v>0</v>
      </c>
      <c r="BQ207" s="5">
        <f>recovered!BQ207-recovered!BP207</f>
        <v>0</v>
      </c>
      <c r="BR207" s="5">
        <f>recovered!BR207-recovered!BQ207</f>
        <v>0</v>
      </c>
      <c r="BS207" s="5">
        <f>recovered!BS207-recovered!BR207</f>
        <v>0</v>
      </c>
      <c r="BT207" s="5">
        <f>recovered!BT207-recovered!BS207</f>
        <v>0</v>
      </c>
      <c r="BU207" s="5">
        <f>recovered!BU207-recovered!BT207</f>
        <v>0</v>
      </c>
      <c r="BV207" s="5">
        <f>recovered!BV207-recovered!BU207</f>
        <v>0</v>
      </c>
      <c r="BW207" s="5">
        <f>recovered!BW207-recovered!BV207</f>
        <v>0</v>
      </c>
      <c r="BX207" s="5">
        <f>recovered!BX207-recovered!BW207</f>
        <v>0</v>
      </c>
      <c r="BY207" s="5">
        <f>recovered!BY207-recovered!BX207</f>
        <v>0</v>
      </c>
    </row>
    <row r="208">
      <c r="B208" s="1" t="str">
        <f>recovered!B208</f>
        <v>Taiwan*</v>
      </c>
      <c r="C208" s="4">
        <f>recovered!C208</f>
        <v>23.7</v>
      </c>
      <c r="D208" s="4">
        <f>recovered!D208</f>
        <v>121</v>
      </c>
      <c r="E208" s="5">
        <f>recovered!E208</f>
        <v>0</v>
      </c>
      <c r="F208" s="5">
        <f>recovered!F208-recovered!E208</f>
        <v>0</v>
      </c>
      <c r="G208" s="5">
        <f>recovered!G208-recovered!F208</f>
        <v>0</v>
      </c>
      <c r="H208" s="5">
        <f>recovered!H208-recovered!G208</f>
        <v>0</v>
      </c>
      <c r="I208" s="5">
        <f>recovered!I208-recovered!H208</f>
        <v>0</v>
      </c>
      <c r="J208" s="5">
        <f>recovered!J208-recovered!I208</f>
        <v>0</v>
      </c>
      <c r="K208" s="5">
        <f>recovered!K208-recovered!J208</f>
        <v>0</v>
      </c>
      <c r="L208" s="5">
        <f>recovered!L208-recovered!K208</f>
        <v>0</v>
      </c>
      <c r="M208" s="5">
        <f>recovered!M208-recovered!L208</f>
        <v>0</v>
      </c>
      <c r="N208" s="5">
        <f>recovered!N208-recovered!M208</f>
        <v>0</v>
      </c>
      <c r="O208" s="5">
        <f>recovered!O208-recovered!N208</f>
        <v>0</v>
      </c>
      <c r="P208" s="5">
        <f>recovered!P208-recovered!O208</f>
        <v>0</v>
      </c>
      <c r="Q208" s="5">
        <f>recovered!Q208-recovered!P208</f>
        <v>0</v>
      </c>
      <c r="R208" s="5">
        <f>recovered!R208-recovered!Q208</f>
        <v>0</v>
      </c>
      <c r="S208" s="5">
        <f>recovered!S208-recovered!R208</f>
        <v>0</v>
      </c>
      <c r="T208" s="5">
        <f>recovered!T208-recovered!S208</f>
        <v>1</v>
      </c>
      <c r="U208" s="5">
        <f>recovered!U208-recovered!T208</f>
        <v>0</v>
      </c>
      <c r="V208" s="5">
        <f>recovered!V208-recovered!U208</f>
        <v>0</v>
      </c>
      <c r="W208" s="5">
        <f>recovered!W208-recovered!V208</f>
        <v>0</v>
      </c>
      <c r="X208" s="5">
        <f>recovered!X208-recovered!W208</f>
        <v>0</v>
      </c>
      <c r="Y208" s="5">
        <f>recovered!Y208-recovered!X208</f>
        <v>0</v>
      </c>
      <c r="Z208" s="5">
        <f>recovered!Z208-recovered!Y208</f>
        <v>0</v>
      </c>
      <c r="AA208" s="5">
        <f>recovered!AA208-recovered!Z208</f>
        <v>0</v>
      </c>
      <c r="AB208" s="5">
        <f>recovered!AB208-recovered!AA208</f>
        <v>1</v>
      </c>
      <c r="AC208" s="5">
        <f>recovered!AC208-recovered!AB208</f>
        <v>0</v>
      </c>
      <c r="AD208" s="5">
        <f>recovered!AD208-recovered!AC208</f>
        <v>0</v>
      </c>
      <c r="AE208" s="5">
        <f>recovered!AE208-recovered!AD208</f>
        <v>0</v>
      </c>
      <c r="AF208" s="5">
        <f>recovered!AF208-recovered!AE208</f>
        <v>0</v>
      </c>
      <c r="AG208" s="5">
        <f>recovered!AG208-recovered!AF208</f>
        <v>0</v>
      </c>
      <c r="AH208" s="5">
        <f>recovered!AH208-recovered!AG208</f>
        <v>0</v>
      </c>
      <c r="AI208" s="5">
        <f>recovered!AI208-recovered!AH208</f>
        <v>0</v>
      </c>
      <c r="AJ208" s="5">
        <f>recovered!AJ208-recovered!AI208</f>
        <v>0</v>
      </c>
      <c r="AK208" s="5">
        <f>recovered!AK208-recovered!AJ208</f>
        <v>0</v>
      </c>
      <c r="AL208" s="5">
        <f>recovered!AL208-recovered!AK208</f>
        <v>3</v>
      </c>
      <c r="AM208" s="5">
        <f>recovered!AM208-recovered!AL208</f>
        <v>0</v>
      </c>
      <c r="AN208" s="5">
        <f>recovered!AN208-recovered!AM208</f>
        <v>0</v>
      </c>
      <c r="AO208" s="5">
        <f>recovered!AO208-recovered!AN208</f>
        <v>0</v>
      </c>
      <c r="AP208" s="5">
        <f>recovered!AP208-recovered!AO208</f>
        <v>1</v>
      </c>
      <c r="AQ208" s="5">
        <f>recovered!AQ208-recovered!AP208</f>
        <v>3</v>
      </c>
      <c r="AR208" s="5">
        <f>recovered!AR208-recovered!AQ208</f>
        <v>0</v>
      </c>
      <c r="AS208" s="5">
        <f>recovered!AS208-recovered!AR208</f>
        <v>3</v>
      </c>
      <c r="AT208" s="5">
        <f>recovered!AT208-recovered!AS208</f>
        <v>0</v>
      </c>
      <c r="AU208" s="5">
        <f>recovered!AU208-recovered!AT208</f>
        <v>0</v>
      </c>
      <c r="AV208" s="5">
        <f>recovered!AV208-recovered!AU208</f>
        <v>0</v>
      </c>
      <c r="AW208" s="5">
        <f>recovered!AW208-recovered!AV208</f>
        <v>0</v>
      </c>
      <c r="AX208" s="5">
        <f>recovered!AX208-recovered!AW208</f>
        <v>0</v>
      </c>
      <c r="AY208" s="5">
        <f>recovered!AY208-recovered!AX208</f>
        <v>1</v>
      </c>
      <c r="AZ208" s="5">
        <f>recovered!AZ208-recovered!AY208</f>
        <v>2</v>
      </c>
      <c r="BA208" s="5">
        <f>recovered!BA208-recovered!AZ208</f>
        <v>2</v>
      </c>
      <c r="BB208" s="5">
        <f>recovered!BB208-recovered!BA208</f>
        <v>0</v>
      </c>
      <c r="BC208" s="5">
        <f>recovered!BC208-recovered!BB208</f>
        <v>3</v>
      </c>
      <c r="BD208" s="5">
        <f>recovered!BD208-recovered!BC208</f>
        <v>0</v>
      </c>
      <c r="BE208" s="5">
        <f>recovered!BE208-recovered!BD208</f>
        <v>0</v>
      </c>
      <c r="BF208" s="5">
        <f>recovered!BF208-recovered!BE208</f>
        <v>0</v>
      </c>
      <c r="BG208" s="5">
        <f>recovered!BG208-recovered!BF208</f>
        <v>0</v>
      </c>
      <c r="BH208" s="5">
        <f>recovered!BH208-recovered!BG208</f>
        <v>2</v>
      </c>
      <c r="BI208" s="5">
        <f>recovered!BI208-recovered!BH208</f>
        <v>0</v>
      </c>
      <c r="BJ208" s="5">
        <f>recovered!BJ208-recovered!BI208</f>
        <v>4</v>
      </c>
      <c r="BK208" s="5">
        <f>recovered!BK208-recovered!BJ208</f>
        <v>0</v>
      </c>
      <c r="BL208" s="5">
        <f>recovered!BL208-recovered!BK208</f>
        <v>2</v>
      </c>
      <c r="BM208" s="5">
        <f>recovered!BM208-recovered!BL208</f>
        <v>0</v>
      </c>
      <c r="BN208" s="5">
        <f>recovered!BN208-recovered!BM208</f>
        <v>0</v>
      </c>
      <c r="BO208" s="5">
        <f>recovered!BO208-recovered!BN208</f>
        <v>1</v>
      </c>
      <c r="BP208" s="5">
        <f>recovered!BP208-recovered!BO208</f>
        <v>0</v>
      </c>
      <c r="BQ208" s="5">
        <f>recovered!BQ208-recovered!BP208</f>
        <v>0</v>
      </c>
      <c r="BR208" s="5">
        <f>recovered!BR208-recovered!BQ208</f>
        <v>0</v>
      </c>
      <c r="BS208" s="5">
        <f>recovered!BS208-recovered!BR208</f>
        <v>1</v>
      </c>
      <c r="BT208" s="5">
        <f>recovered!BT208-recovered!BS208</f>
        <v>0</v>
      </c>
      <c r="BU208" s="5">
        <f>recovered!BU208-recovered!BT208</f>
        <v>9</v>
      </c>
      <c r="BV208" s="5">
        <f>recovered!BV208-recovered!BU208</f>
        <v>0</v>
      </c>
      <c r="BW208" s="5">
        <f>recovered!BW208-recovered!BV208</f>
        <v>0</v>
      </c>
      <c r="BX208" s="5">
        <f>recovered!BX208-recovered!BW208</f>
        <v>6</v>
      </c>
      <c r="BY208" s="5">
        <f>recovered!BY208-recovered!BX208</f>
        <v>5</v>
      </c>
    </row>
    <row r="209">
      <c r="B209" s="1" t="str">
        <f>recovered!B209</f>
        <v>Tanzania</v>
      </c>
      <c r="C209" s="4">
        <f>recovered!C209</f>
        <v>-6.369</v>
      </c>
      <c r="D209" s="4">
        <f>recovered!D209</f>
        <v>34.8888</v>
      </c>
      <c r="E209" s="5">
        <f>recovered!E209</f>
        <v>0</v>
      </c>
      <c r="F209" s="5">
        <f>recovered!F209-recovered!E209</f>
        <v>0</v>
      </c>
      <c r="G209" s="5">
        <f>recovered!G209-recovered!F209</f>
        <v>0</v>
      </c>
      <c r="H209" s="5">
        <f>recovered!H209-recovered!G209</f>
        <v>0</v>
      </c>
      <c r="I209" s="5">
        <f>recovered!I209-recovered!H209</f>
        <v>0</v>
      </c>
      <c r="J209" s="5">
        <f>recovered!J209-recovered!I209</f>
        <v>0</v>
      </c>
      <c r="K209" s="5">
        <f>recovered!K209-recovered!J209</f>
        <v>0</v>
      </c>
      <c r="L209" s="5">
        <f>recovered!L209-recovered!K209</f>
        <v>0</v>
      </c>
      <c r="M209" s="5">
        <f>recovered!M209-recovered!L209</f>
        <v>0</v>
      </c>
      <c r="N209" s="5">
        <f>recovered!N209-recovered!M209</f>
        <v>0</v>
      </c>
      <c r="O209" s="5">
        <f>recovered!O209-recovered!N209</f>
        <v>0</v>
      </c>
      <c r="P209" s="5">
        <f>recovered!P209-recovered!O209</f>
        <v>0</v>
      </c>
      <c r="Q209" s="5">
        <f>recovered!Q209-recovered!P209</f>
        <v>0</v>
      </c>
      <c r="R209" s="5">
        <f>recovered!R209-recovered!Q209</f>
        <v>0</v>
      </c>
      <c r="S209" s="5">
        <f>recovered!S209-recovered!R209</f>
        <v>0</v>
      </c>
      <c r="T209" s="5">
        <f>recovered!T209-recovered!S209</f>
        <v>0</v>
      </c>
      <c r="U209" s="5">
        <f>recovered!U209-recovered!T209</f>
        <v>0</v>
      </c>
      <c r="V209" s="5">
        <f>recovered!V209-recovered!U209</f>
        <v>0</v>
      </c>
      <c r="W209" s="5">
        <f>recovered!W209-recovered!V209</f>
        <v>0</v>
      </c>
      <c r="X209" s="5">
        <f>recovered!X209-recovered!W209</f>
        <v>0</v>
      </c>
      <c r="Y209" s="5">
        <f>recovered!Y209-recovered!X209</f>
        <v>0</v>
      </c>
      <c r="Z209" s="5">
        <f>recovered!Z209-recovered!Y209</f>
        <v>0</v>
      </c>
      <c r="AA209" s="5">
        <f>recovered!AA209-recovered!Z209</f>
        <v>0</v>
      </c>
      <c r="AB209" s="5">
        <f>recovered!AB209-recovered!AA209</f>
        <v>0</v>
      </c>
      <c r="AC209" s="5">
        <f>recovered!AC209-recovered!AB209</f>
        <v>0</v>
      </c>
      <c r="AD209" s="5">
        <f>recovered!AD209-recovered!AC209</f>
        <v>0</v>
      </c>
      <c r="AE209" s="5">
        <f>recovered!AE209-recovered!AD209</f>
        <v>0</v>
      </c>
      <c r="AF209" s="5">
        <f>recovered!AF209-recovered!AE209</f>
        <v>0</v>
      </c>
      <c r="AG209" s="5">
        <f>recovered!AG209-recovered!AF209</f>
        <v>0</v>
      </c>
      <c r="AH209" s="5">
        <f>recovered!AH209-recovered!AG209</f>
        <v>0</v>
      </c>
      <c r="AI209" s="5">
        <f>recovered!AI209-recovered!AH209</f>
        <v>0</v>
      </c>
      <c r="AJ209" s="5">
        <f>recovered!AJ209-recovered!AI209</f>
        <v>0</v>
      </c>
      <c r="AK209" s="5">
        <f>recovered!AK209-recovered!AJ209</f>
        <v>0</v>
      </c>
      <c r="AL209" s="5">
        <f>recovered!AL209-recovered!AK209</f>
        <v>0</v>
      </c>
      <c r="AM209" s="5">
        <f>recovered!AM209-recovered!AL209</f>
        <v>0</v>
      </c>
      <c r="AN209" s="5">
        <f>recovered!AN209-recovered!AM209</f>
        <v>0</v>
      </c>
      <c r="AO209" s="5">
        <f>recovered!AO209-recovered!AN209</f>
        <v>0</v>
      </c>
      <c r="AP209" s="5">
        <f>recovered!AP209-recovered!AO209</f>
        <v>0</v>
      </c>
      <c r="AQ209" s="5">
        <f>recovered!AQ209-recovered!AP209</f>
        <v>0</v>
      </c>
      <c r="AR209" s="5">
        <f>recovered!AR209-recovered!AQ209</f>
        <v>0</v>
      </c>
      <c r="AS209" s="5">
        <f>recovered!AS209-recovered!AR209</f>
        <v>0</v>
      </c>
      <c r="AT209" s="5">
        <f>recovered!AT209-recovered!AS209</f>
        <v>0</v>
      </c>
      <c r="AU209" s="5">
        <f>recovered!AU209-recovered!AT209</f>
        <v>0</v>
      </c>
      <c r="AV209" s="5">
        <f>recovered!AV209-recovered!AU209</f>
        <v>0</v>
      </c>
      <c r="AW209" s="5">
        <f>recovered!AW209-recovered!AV209</f>
        <v>0</v>
      </c>
      <c r="AX209" s="5">
        <f>recovered!AX209-recovered!AW209</f>
        <v>0</v>
      </c>
      <c r="AY209" s="5">
        <f>recovered!AY209-recovered!AX209</f>
        <v>0</v>
      </c>
      <c r="AZ209" s="5">
        <f>recovered!AZ209-recovered!AY209</f>
        <v>0</v>
      </c>
      <c r="BA209" s="5">
        <f>recovered!BA209-recovered!AZ209</f>
        <v>0</v>
      </c>
      <c r="BB209" s="5">
        <f>recovered!BB209-recovered!BA209</f>
        <v>0</v>
      </c>
      <c r="BC209" s="5">
        <f>recovered!BC209-recovered!BB209</f>
        <v>0</v>
      </c>
      <c r="BD209" s="5">
        <f>recovered!BD209-recovered!BC209</f>
        <v>0</v>
      </c>
      <c r="BE209" s="5">
        <f>recovered!BE209-recovered!BD209</f>
        <v>0</v>
      </c>
      <c r="BF209" s="5">
        <f>recovered!BF209-recovered!BE209</f>
        <v>0</v>
      </c>
      <c r="BG209" s="5">
        <f>recovered!BG209-recovered!BF209</f>
        <v>0</v>
      </c>
      <c r="BH209" s="5">
        <f>recovered!BH209-recovered!BG209</f>
        <v>0</v>
      </c>
      <c r="BI209" s="5">
        <f>recovered!BI209-recovered!BH209</f>
        <v>0</v>
      </c>
      <c r="BJ209" s="5">
        <f>recovered!BJ209-recovered!BI209</f>
        <v>0</v>
      </c>
      <c r="BK209" s="5">
        <f>recovered!BK209-recovered!BJ209</f>
        <v>0</v>
      </c>
      <c r="BL209" s="5">
        <f>recovered!BL209-recovered!BK209</f>
        <v>0</v>
      </c>
      <c r="BM209" s="5">
        <f>recovered!BM209-recovered!BL209</f>
        <v>0</v>
      </c>
      <c r="BN209" s="5">
        <f>recovered!BN209-recovered!BM209</f>
        <v>0</v>
      </c>
      <c r="BO209" s="5">
        <f>recovered!BO209-recovered!BN209</f>
        <v>0</v>
      </c>
      <c r="BP209" s="5">
        <f>recovered!BP209-recovered!BO209</f>
        <v>0</v>
      </c>
      <c r="BQ209" s="5">
        <f>recovered!BQ209-recovered!BP209</f>
        <v>0</v>
      </c>
      <c r="BR209" s="5">
        <f>recovered!BR209-recovered!BQ209</f>
        <v>1</v>
      </c>
      <c r="BS209" s="5">
        <f>recovered!BS209-recovered!BR209</f>
        <v>0</v>
      </c>
      <c r="BT209" s="5">
        <f>recovered!BT209-recovered!BS209</f>
        <v>0</v>
      </c>
      <c r="BU209" s="5">
        <f>recovered!BU209-recovered!BT209</f>
        <v>0</v>
      </c>
      <c r="BV209" s="5">
        <f>recovered!BV209-recovered!BU209</f>
        <v>0</v>
      </c>
      <c r="BW209" s="5">
        <f>recovered!BW209-recovered!BV209</f>
        <v>0</v>
      </c>
      <c r="BX209" s="5">
        <f>recovered!BX209-recovered!BW209</f>
        <v>1</v>
      </c>
      <c r="BY209" s="5">
        <f>recovered!BY209-recovered!BX209</f>
        <v>1</v>
      </c>
    </row>
    <row r="210">
      <c r="B210" s="1" t="str">
        <f>recovered!B210</f>
        <v>Thailand</v>
      </c>
      <c r="C210" s="4">
        <f>recovered!C210</f>
        <v>15</v>
      </c>
      <c r="D210" s="4">
        <f>recovered!D210</f>
        <v>101</v>
      </c>
      <c r="E210" s="5">
        <f>recovered!E210</f>
        <v>0</v>
      </c>
      <c r="F210" s="5">
        <f>recovered!F210-recovered!E210</f>
        <v>0</v>
      </c>
      <c r="G210" s="5">
        <f>recovered!G210-recovered!F210</f>
        <v>0</v>
      </c>
      <c r="H210" s="5">
        <f>recovered!H210-recovered!G210</f>
        <v>0</v>
      </c>
      <c r="I210" s="5">
        <f>recovered!I210-recovered!H210</f>
        <v>2</v>
      </c>
      <c r="J210" s="5">
        <f>recovered!J210-recovered!I210</f>
        <v>0</v>
      </c>
      <c r="K210" s="5">
        <f>recovered!K210-recovered!J210</f>
        <v>3</v>
      </c>
      <c r="L210" s="5">
        <f>recovered!L210-recovered!K210</f>
        <v>0</v>
      </c>
      <c r="M210" s="5">
        <f>recovered!M210-recovered!L210</f>
        <v>0</v>
      </c>
      <c r="N210" s="5">
        <f>recovered!N210-recovered!M210</f>
        <v>0</v>
      </c>
      <c r="O210" s="5">
        <f>recovered!O210-recovered!N210</f>
        <v>0</v>
      </c>
      <c r="P210" s="5">
        <f>recovered!P210-recovered!O210</f>
        <v>0</v>
      </c>
      <c r="Q210" s="5">
        <f>recovered!Q210-recovered!P210</f>
        <v>0</v>
      </c>
      <c r="R210" s="5">
        <f>recovered!R210-recovered!Q210</f>
        <v>0</v>
      </c>
      <c r="S210" s="5">
        <f>recovered!S210-recovered!R210</f>
        <v>0</v>
      </c>
      <c r="T210" s="5">
        <f>recovered!T210-recovered!S210</f>
        <v>0</v>
      </c>
      <c r="U210" s="5">
        <f>recovered!U210-recovered!T210</f>
        <v>0</v>
      </c>
      <c r="V210" s="5">
        <f>recovered!V210-recovered!U210</f>
        <v>5</v>
      </c>
      <c r="W210" s="5">
        <f>recovered!W210-recovered!V210</f>
        <v>0</v>
      </c>
      <c r="X210" s="5">
        <f>recovered!X210-recovered!W210</f>
        <v>0</v>
      </c>
      <c r="Y210" s="5">
        <f>recovered!Y210-recovered!X210</f>
        <v>0</v>
      </c>
      <c r="Z210" s="5">
        <f>recovered!Z210-recovered!Y210</f>
        <v>0</v>
      </c>
      <c r="AA210" s="5">
        <f>recovered!AA210-recovered!Z210</f>
        <v>2</v>
      </c>
      <c r="AB210" s="5">
        <f>recovered!AB210-recovered!AA210</f>
        <v>0</v>
      </c>
      <c r="AC210" s="5">
        <f>recovered!AC210-recovered!AB210</f>
        <v>0</v>
      </c>
      <c r="AD210" s="5">
        <f>recovered!AD210-recovered!AC210</f>
        <v>2</v>
      </c>
      <c r="AE210" s="5">
        <f>recovered!AE210-recovered!AD210</f>
        <v>1</v>
      </c>
      <c r="AF210" s="5">
        <f>recovered!AF210-recovered!AE210</f>
        <v>0</v>
      </c>
      <c r="AG210" s="5">
        <f>recovered!AG210-recovered!AF210</f>
        <v>0</v>
      </c>
      <c r="AH210" s="5">
        <f>recovered!AH210-recovered!AG210</f>
        <v>0</v>
      </c>
      <c r="AI210" s="5">
        <f>recovered!AI210-recovered!AH210</f>
        <v>2</v>
      </c>
      <c r="AJ210" s="5">
        <f>recovered!AJ210-recovered!AI210</f>
        <v>0</v>
      </c>
      <c r="AK210" s="5">
        <f>recovered!AK210-recovered!AJ210</f>
        <v>4</v>
      </c>
      <c r="AL210" s="5">
        <f>recovered!AL210-recovered!AK210</f>
        <v>0</v>
      </c>
      <c r="AM210" s="5">
        <f>recovered!AM210-recovered!AL210</f>
        <v>1</v>
      </c>
      <c r="AN210" s="5">
        <f>recovered!AN210-recovered!AM210</f>
        <v>0</v>
      </c>
      <c r="AO210" s="5">
        <f>recovered!AO210-recovered!AN210</f>
        <v>0</v>
      </c>
      <c r="AP210" s="5">
        <f>recovered!AP210-recovered!AO210</f>
        <v>6</v>
      </c>
      <c r="AQ210" s="5">
        <f>recovered!AQ210-recovered!AP210</f>
        <v>0</v>
      </c>
      <c r="AR210" s="5">
        <f>recovered!AR210-recovered!AQ210</f>
        <v>0</v>
      </c>
      <c r="AS210" s="5">
        <f>recovered!AS210-recovered!AR210</f>
        <v>3</v>
      </c>
      <c r="AT210" s="5">
        <f>recovered!AT210-recovered!AS210</f>
        <v>0</v>
      </c>
      <c r="AU210" s="5">
        <f>recovered!AU210-recovered!AT210</f>
        <v>0</v>
      </c>
      <c r="AV210" s="5">
        <f>recovered!AV210-recovered!AU210</f>
        <v>0</v>
      </c>
      <c r="AW210" s="5">
        <f>recovered!AW210-recovered!AV210</f>
        <v>0</v>
      </c>
      <c r="AX210" s="5">
        <f>recovered!AX210-recovered!AW210</f>
        <v>0</v>
      </c>
      <c r="AY210" s="5">
        <f>recovered!AY210-recovered!AX210</f>
        <v>0</v>
      </c>
      <c r="AZ210" s="5">
        <f>recovered!AZ210-recovered!AY210</f>
        <v>0</v>
      </c>
      <c r="BA210" s="5">
        <f>recovered!BA210-recovered!AZ210</f>
        <v>2</v>
      </c>
      <c r="BB210" s="5">
        <f>recovered!BB210-recovered!BA210</f>
        <v>1</v>
      </c>
      <c r="BC210" s="5">
        <f>recovered!BC210-recovered!BB210</f>
        <v>0</v>
      </c>
      <c r="BD210" s="5">
        <f>recovered!BD210-recovered!BC210</f>
        <v>1</v>
      </c>
      <c r="BE210" s="5">
        <f>recovered!BE210-recovered!BD210</f>
        <v>0</v>
      </c>
      <c r="BF210" s="5">
        <f>recovered!BF210-recovered!BE210</f>
        <v>0</v>
      </c>
      <c r="BG210" s="5">
        <f>recovered!BG210-recovered!BF210</f>
        <v>0</v>
      </c>
      <c r="BH210" s="5">
        <f>recovered!BH210-recovered!BG210</f>
        <v>6</v>
      </c>
      <c r="BI210" s="5">
        <f>recovered!BI210-recovered!BH210</f>
        <v>1</v>
      </c>
      <c r="BJ210" s="5">
        <f>recovered!BJ210-recovered!BI210</f>
        <v>0</v>
      </c>
      <c r="BK210" s="5">
        <f>recovered!BK210-recovered!BJ210</f>
        <v>0</v>
      </c>
      <c r="BL210" s="5">
        <f>recovered!BL210-recovered!BK210</f>
        <v>0</v>
      </c>
      <c r="BM210" s="5">
        <f>recovered!BM210-recovered!BL210</f>
        <v>2</v>
      </c>
      <c r="BN210" s="5">
        <f>recovered!BN210-recovered!BM210</f>
        <v>0</v>
      </c>
      <c r="BO210" s="5">
        <f>recovered!BO210-recovered!BN210</f>
        <v>8</v>
      </c>
      <c r="BP210" s="5">
        <f>recovered!BP210-recovered!BO210</f>
        <v>18</v>
      </c>
      <c r="BQ210" s="5">
        <f>recovered!BQ210-recovered!BP210</f>
        <v>18</v>
      </c>
      <c r="BR210" s="5">
        <f>recovered!BR210-recovered!BQ210</f>
        <v>9</v>
      </c>
      <c r="BS210" s="5">
        <f>recovered!BS210-recovered!BR210</f>
        <v>0</v>
      </c>
      <c r="BT210" s="5">
        <f>recovered!BT210-recovered!BS210</f>
        <v>0</v>
      </c>
      <c r="BU210" s="5">
        <f>recovered!BU210-recovered!BT210</f>
        <v>132</v>
      </c>
      <c r="BV210" s="5">
        <f>recovered!BV210-recovered!BU210</f>
        <v>113</v>
      </c>
      <c r="BW210" s="5">
        <f>recovered!BW210-recovered!BV210</f>
        <v>163</v>
      </c>
      <c r="BX210" s="5">
        <f>recovered!BX210-recovered!BW210</f>
        <v>0</v>
      </c>
      <c r="BY210" s="5">
        <f>recovered!BY210-recovered!BX210</f>
        <v>107</v>
      </c>
    </row>
    <row r="211">
      <c r="B211" s="1" t="str">
        <f>recovered!B211</f>
        <v>Timor-Leste</v>
      </c>
      <c r="C211" s="4">
        <f>recovered!C211</f>
        <v>-8.8742</v>
      </c>
      <c r="D211" s="4">
        <f>recovered!D211</f>
        <v>125.7275</v>
      </c>
      <c r="E211" s="5">
        <f>recovered!E211</f>
        <v>0</v>
      </c>
      <c r="F211" s="5">
        <f>recovered!F211-recovered!E211</f>
        <v>0</v>
      </c>
      <c r="G211" s="5">
        <f>recovered!G211-recovered!F211</f>
        <v>0</v>
      </c>
      <c r="H211" s="5">
        <f>recovered!H211-recovered!G211</f>
        <v>0</v>
      </c>
      <c r="I211" s="5">
        <f>recovered!I211-recovered!H211</f>
        <v>0</v>
      </c>
      <c r="J211" s="5">
        <f>recovered!J211-recovered!I211</f>
        <v>0</v>
      </c>
      <c r="K211" s="5">
        <f>recovered!K211-recovered!J211</f>
        <v>0</v>
      </c>
      <c r="L211" s="5">
        <f>recovered!L211-recovered!K211</f>
        <v>0</v>
      </c>
      <c r="M211" s="5">
        <f>recovered!M211-recovered!L211</f>
        <v>0</v>
      </c>
      <c r="N211" s="5">
        <f>recovered!N211-recovered!M211</f>
        <v>0</v>
      </c>
      <c r="O211" s="5">
        <f>recovered!O211-recovered!N211</f>
        <v>0</v>
      </c>
      <c r="P211" s="5">
        <f>recovered!P211-recovered!O211</f>
        <v>0</v>
      </c>
      <c r="Q211" s="5">
        <f>recovered!Q211-recovered!P211</f>
        <v>0</v>
      </c>
      <c r="R211" s="5">
        <f>recovered!R211-recovered!Q211</f>
        <v>0</v>
      </c>
      <c r="S211" s="5">
        <f>recovered!S211-recovered!R211</f>
        <v>0</v>
      </c>
      <c r="T211" s="5">
        <f>recovered!T211-recovered!S211</f>
        <v>0</v>
      </c>
      <c r="U211" s="5">
        <f>recovered!U211-recovered!T211</f>
        <v>0</v>
      </c>
      <c r="V211" s="5">
        <f>recovered!V211-recovered!U211</f>
        <v>0</v>
      </c>
      <c r="W211" s="5">
        <f>recovered!W211-recovered!V211</f>
        <v>0</v>
      </c>
      <c r="X211" s="5">
        <f>recovered!X211-recovered!W211</f>
        <v>0</v>
      </c>
      <c r="Y211" s="5">
        <f>recovered!Y211-recovered!X211</f>
        <v>0</v>
      </c>
      <c r="Z211" s="5">
        <f>recovered!Z211-recovered!Y211</f>
        <v>0</v>
      </c>
      <c r="AA211" s="5">
        <f>recovered!AA211-recovered!Z211</f>
        <v>0</v>
      </c>
      <c r="AB211" s="5">
        <f>recovered!AB211-recovered!AA211</f>
        <v>0</v>
      </c>
      <c r="AC211" s="5">
        <f>recovered!AC211-recovered!AB211</f>
        <v>0</v>
      </c>
      <c r="AD211" s="5">
        <f>recovered!AD211-recovered!AC211</f>
        <v>0</v>
      </c>
      <c r="AE211" s="5">
        <f>recovered!AE211-recovered!AD211</f>
        <v>0</v>
      </c>
      <c r="AF211" s="5">
        <f>recovered!AF211-recovered!AE211</f>
        <v>0</v>
      </c>
      <c r="AG211" s="5">
        <f>recovered!AG211-recovered!AF211</f>
        <v>0</v>
      </c>
      <c r="AH211" s="5">
        <f>recovered!AH211-recovered!AG211</f>
        <v>0</v>
      </c>
      <c r="AI211" s="5">
        <f>recovered!AI211-recovered!AH211</f>
        <v>0</v>
      </c>
      <c r="AJ211" s="5">
        <f>recovered!AJ211-recovered!AI211</f>
        <v>0</v>
      </c>
      <c r="AK211" s="5">
        <f>recovered!AK211-recovered!AJ211</f>
        <v>0</v>
      </c>
      <c r="AL211" s="5">
        <f>recovered!AL211-recovered!AK211</f>
        <v>0</v>
      </c>
      <c r="AM211" s="5">
        <f>recovered!AM211-recovered!AL211</f>
        <v>0</v>
      </c>
      <c r="AN211" s="5">
        <f>recovered!AN211-recovered!AM211</f>
        <v>0</v>
      </c>
      <c r="AO211" s="5">
        <f>recovered!AO211-recovered!AN211</f>
        <v>0</v>
      </c>
      <c r="AP211" s="5">
        <f>recovered!AP211-recovered!AO211</f>
        <v>0</v>
      </c>
      <c r="AQ211" s="5">
        <f>recovered!AQ211-recovered!AP211</f>
        <v>0</v>
      </c>
      <c r="AR211" s="5">
        <f>recovered!AR211-recovered!AQ211</f>
        <v>0</v>
      </c>
      <c r="AS211" s="5">
        <f>recovered!AS211-recovered!AR211</f>
        <v>0</v>
      </c>
      <c r="AT211" s="5">
        <f>recovered!AT211-recovered!AS211</f>
        <v>0</v>
      </c>
      <c r="AU211" s="5">
        <f>recovered!AU211-recovered!AT211</f>
        <v>0</v>
      </c>
      <c r="AV211" s="5">
        <f>recovered!AV211-recovered!AU211</f>
        <v>0</v>
      </c>
      <c r="AW211" s="5">
        <f>recovered!AW211-recovered!AV211</f>
        <v>0</v>
      </c>
      <c r="AX211" s="5">
        <f>recovered!AX211-recovered!AW211</f>
        <v>0</v>
      </c>
      <c r="AY211" s="5">
        <f>recovered!AY211-recovered!AX211</f>
        <v>0</v>
      </c>
      <c r="AZ211" s="5">
        <f>recovered!AZ211-recovered!AY211</f>
        <v>0</v>
      </c>
      <c r="BA211" s="5">
        <f>recovered!BA211-recovered!AZ211</f>
        <v>0</v>
      </c>
      <c r="BB211" s="5">
        <f>recovered!BB211-recovered!BA211</f>
        <v>0</v>
      </c>
      <c r="BC211" s="5">
        <f>recovered!BC211-recovered!BB211</f>
        <v>0</v>
      </c>
      <c r="BD211" s="5">
        <f>recovered!BD211-recovered!BC211</f>
        <v>0</v>
      </c>
      <c r="BE211" s="5">
        <f>recovered!BE211-recovered!BD211</f>
        <v>0</v>
      </c>
      <c r="BF211" s="5">
        <f>recovered!BF211-recovered!BE211</f>
        <v>0</v>
      </c>
      <c r="BG211" s="5">
        <f>recovered!BG211-recovered!BF211</f>
        <v>0</v>
      </c>
      <c r="BH211" s="5">
        <f>recovered!BH211-recovered!BG211</f>
        <v>0</v>
      </c>
      <c r="BI211" s="5">
        <f>recovered!BI211-recovered!BH211</f>
        <v>0</v>
      </c>
      <c r="BJ211" s="5">
        <f>recovered!BJ211-recovered!BI211</f>
        <v>0</v>
      </c>
      <c r="BK211" s="5">
        <f>recovered!BK211-recovered!BJ211</f>
        <v>0</v>
      </c>
      <c r="BL211" s="5">
        <f>recovered!BL211-recovered!BK211</f>
        <v>0</v>
      </c>
      <c r="BM211" s="5">
        <f>recovered!BM211-recovered!BL211</f>
        <v>0</v>
      </c>
      <c r="BN211" s="5">
        <f>recovered!BN211-recovered!BM211</f>
        <v>0</v>
      </c>
      <c r="BO211" s="5">
        <f>recovered!BO211-recovered!BN211</f>
        <v>0</v>
      </c>
      <c r="BP211" s="5">
        <f>recovered!BP211-recovered!BO211</f>
        <v>0</v>
      </c>
      <c r="BQ211" s="5">
        <f>recovered!BQ211-recovered!BP211</f>
        <v>0</v>
      </c>
      <c r="BR211" s="5">
        <f>recovered!BR211-recovered!BQ211</f>
        <v>0</v>
      </c>
      <c r="BS211" s="5">
        <f>recovered!BS211-recovered!BR211</f>
        <v>0</v>
      </c>
      <c r="BT211" s="5">
        <f>recovered!BT211-recovered!BS211</f>
        <v>0</v>
      </c>
      <c r="BU211" s="5">
        <f>recovered!BU211-recovered!BT211</f>
        <v>0</v>
      </c>
      <c r="BV211" s="5">
        <f>recovered!BV211-recovered!BU211</f>
        <v>0</v>
      </c>
      <c r="BW211" s="5">
        <f>recovered!BW211-recovered!BV211</f>
        <v>0</v>
      </c>
      <c r="BX211" s="5">
        <f>recovered!BX211-recovered!BW211</f>
        <v>0</v>
      </c>
      <c r="BY211" s="5">
        <f>recovered!BY211-recovered!BX211</f>
        <v>0</v>
      </c>
    </row>
    <row r="212">
      <c r="B212" s="1" t="str">
        <f>recovered!B212</f>
        <v>Togo</v>
      </c>
      <c r="C212" s="4">
        <f>recovered!C212</f>
        <v>8.6195</v>
      </c>
      <c r="D212" s="4">
        <f>recovered!D212</f>
        <v>0.8248</v>
      </c>
      <c r="E212" s="5">
        <f>recovered!E212</f>
        <v>0</v>
      </c>
      <c r="F212" s="5">
        <f>recovered!F212-recovered!E212</f>
        <v>0</v>
      </c>
      <c r="G212" s="5">
        <f>recovered!G212-recovered!F212</f>
        <v>0</v>
      </c>
      <c r="H212" s="5">
        <f>recovered!H212-recovered!G212</f>
        <v>0</v>
      </c>
      <c r="I212" s="5">
        <f>recovered!I212-recovered!H212</f>
        <v>0</v>
      </c>
      <c r="J212" s="5">
        <f>recovered!J212-recovered!I212</f>
        <v>0</v>
      </c>
      <c r="K212" s="5">
        <f>recovered!K212-recovered!J212</f>
        <v>0</v>
      </c>
      <c r="L212" s="5">
        <f>recovered!L212-recovered!K212</f>
        <v>0</v>
      </c>
      <c r="M212" s="5">
        <f>recovered!M212-recovered!L212</f>
        <v>0</v>
      </c>
      <c r="N212" s="5">
        <f>recovered!N212-recovered!M212</f>
        <v>0</v>
      </c>
      <c r="O212" s="5">
        <f>recovered!O212-recovered!N212</f>
        <v>0</v>
      </c>
      <c r="P212" s="5">
        <f>recovered!P212-recovered!O212</f>
        <v>0</v>
      </c>
      <c r="Q212" s="5">
        <f>recovered!Q212-recovered!P212</f>
        <v>0</v>
      </c>
      <c r="R212" s="5">
        <f>recovered!R212-recovered!Q212</f>
        <v>0</v>
      </c>
      <c r="S212" s="5">
        <f>recovered!S212-recovered!R212</f>
        <v>0</v>
      </c>
      <c r="T212" s="5">
        <f>recovered!T212-recovered!S212</f>
        <v>0</v>
      </c>
      <c r="U212" s="5">
        <f>recovered!U212-recovered!T212</f>
        <v>0</v>
      </c>
      <c r="V212" s="5">
        <f>recovered!V212-recovered!U212</f>
        <v>0</v>
      </c>
      <c r="W212" s="5">
        <f>recovered!W212-recovered!V212</f>
        <v>0</v>
      </c>
      <c r="X212" s="5">
        <f>recovered!X212-recovered!W212</f>
        <v>0</v>
      </c>
      <c r="Y212" s="5">
        <f>recovered!Y212-recovered!X212</f>
        <v>0</v>
      </c>
      <c r="Z212" s="5">
        <f>recovered!Z212-recovered!Y212</f>
        <v>0</v>
      </c>
      <c r="AA212" s="5">
        <f>recovered!AA212-recovered!Z212</f>
        <v>0</v>
      </c>
      <c r="AB212" s="5">
        <f>recovered!AB212-recovered!AA212</f>
        <v>0</v>
      </c>
      <c r="AC212" s="5">
        <f>recovered!AC212-recovered!AB212</f>
        <v>0</v>
      </c>
      <c r="AD212" s="5">
        <f>recovered!AD212-recovered!AC212</f>
        <v>0</v>
      </c>
      <c r="AE212" s="5">
        <f>recovered!AE212-recovered!AD212</f>
        <v>0</v>
      </c>
      <c r="AF212" s="5">
        <f>recovered!AF212-recovered!AE212</f>
        <v>0</v>
      </c>
      <c r="AG212" s="5">
        <f>recovered!AG212-recovered!AF212</f>
        <v>0</v>
      </c>
      <c r="AH212" s="5">
        <f>recovered!AH212-recovered!AG212</f>
        <v>0</v>
      </c>
      <c r="AI212" s="5">
        <f>recovered!AI212-recovered!AH212</f>
        <v>0</v>
      </c>
      <c r="AJ212" s="5">
        <f>recovered!AJ212-recovered!AI212</f>
        <v>0</v>
      </c>
      <c r="AK212" s="5">
        <f>recovered!AK212-recovered!AJ212</f>
        <v>0</v>
      </c>
      <c r="AL212" s="5">
        <f>recovered!AL212-recovered!AK212</f>
        <v>0</v>
      </c>
      <c r="AM212" s="5">
        <f>recovered!AM212-recovered!AL212</f>
        <v>0</v>
      </c>
      <c r="AN212" s="5">
        <f>recovered!AN212-recovered!AM212</f>
        <v>0</v>
      </c>
      <c r="AO212" s="5">
        <f>recovered!AO212-recovered!AN212</f>
        <v>0</v>
      </c>
      <c r="AP212" s="5">
        <f>recovered!AP212-recovered!AO212</f>
        <v>0</v>
      </c>
      <c r="AQ212" s="5">
        <f>recovered!AQ212-recovered!AP212</f>
        <v>0</v>
      </c>
      <c r="AR212" s="5">
        <f>recovered!AR212-recovered!AQ212</f>
        <v>0</v>
      </c>
      <c r="AS212" s="5">
        <f>recovered!AS212-recovered!AR212</f>
        <v>0</v>
      </c>
      <c r="AT212" s="5">
        <f>recovered!AT212-recovered!AS212</f>
        <v>0</v>
      </c>
      <c r="AU212" s="5">
        <f>recovered!AU212-recovered!AT212</f>
        <v>0</v>
      </c>
      <c r="AV212" s="5">
        <f>recovered!AV212-recovered!AU212</f>
        <v>0</v>
      </c>
      <c r="AW212" s="5">
        <f>recovered!AW212-recovered!AV212</f>
        <v>0</v>
      </c>
      <c r="AX212" s="5">
        <f>recovered!AX212-recovered!AW212</f>
        <v>0</v>
      </c>
      <c r="AY212" s="5">
        <f>recovered!AY212-recovered!AX212</f>
        <v>0</v>
      </c>
      <c r="AZ212" s="5">
        <f>recovered!AZ212-recovered!AY212</f>
        <v>0</v>
      </c>
      <c r="BA212" s="5">
        <f>recovered!BA212-recovered!AZ212</f>
        <v>0</v>
      </c>
      <c r="BB212" s="5">
        <f>recovered!BB212-recovered!BA212</f>
        <v>0</v>
      </c>
      <c r="BC212" s="5">
        <f>recovered!BC212-recovered!BB212</f>
        <v>0</v>
      </c>
      <c r="BD212" s="5">
        <f>recovered!BD212-recovered!BC212</f>
        <v>0</v>
      </c>
      <c r="BE212" s="5">
        <f>recovered!BE212-recovered!BD212</f>
        <v>0</v>
      </c>
      <c r="BF212" s="5">
        <f>recovered!BF212-recovered!BE212</f>
        <v>0</v>
      </c>
      <c r="BG212" s="5">
        <f>recovered!BG212-recovered!BF212</f>
        <v>0</v>
      </c>
      <c r="BH212" s="5">
        <f>recovered!BH212-recovered!BG212</f>
        <v>0</v>
      </c>
      <c r="BI212" s="5">
        <f>recovered!BI212-recovered!BH212</f>
        <v>0</v>
      </c>
      <c r="BJ212" s="5">
        <f>recovered!BJ212-recovered!BI212</f>
        <v>0</v>
      </c>
      <c r="BK212" s="5">
        <f>recovered!BK212-recovered!BJ212</f>
        <v>1</v>
      </c>
      <c r="BL212" s="5">
        <f>recovered!BL212-recovered!BK212</f>
        <v>0</v>
      </c>
      <c r="BM212" s="5">
        <f>recovered!BM212-recovered!BL212</f>
        <v>0</v>
      </c>
      <c r="BN212" s="5">
        <f>recovered!BN212-recovered!BM212</f>
        <v>0</v>
      </c>
      <c r="BO212" s="5">
        <f>recovered!BO212-recovered!BN212</f>
        <v>0</v>
      </c>
      <c r="BP212" s="5">
        <f>recovered!BP212-recovered!BO212</f>
        <v>0</v>
      </c>
      <c r="BQ212" s="5">
        <f>recovered!BQ212-recovered!BP212</f>
        <v>0</v>
      </c>
      <c r="BR212" s="5">
        <f>recovered!BR212-recovered!BQ212</f>
        <v>0</v>
      </c>
      <c r="BS212" s="5">
        <f>recovered!BS212-recovered!BR212</f>
        <v>0</v>
      </c>
      <c r="BT212" s="5">
        <f>recovered!BT212-recovered!BS212</f>
        <v>0</v>
      </c>
      <c r="BU212" s="5">
        <f>recovered!BU212-recovered!BT212</f>
        <v>0</v>
      </c>
      <c r="BV212" s="5">
        <f>recovered!BV212-recovered!BU212</f>
        <v>9</v>
      </c>
      <c r="BW212" s="5">
        <f>recovered!BW212-recovered!BV212</f>
        <v>0</v>
      </c>
      <c r="BX212" s="5">
        <f>recovered!BX212-recovered!BW212</f>
        <v>7</v>
      </c>
      <c r="BY212" s="5">
        <f>recovered!BY212-recovered!BX212</f>
        <v>0</v>
      </c>
    </row>
    <row r="213">
      <c r="B213" s="1" t="str">
        <f>recovered!B213</f>
        <v>Trinidad and Tobago</v>
      </c>
      <c r="C213" s="4">
        <f>recovered!C213</f>
        <v>10.6918</v>
      </c>
      <c r="D213" s="4">
        <f>recovered!D213</f>
        <v>-61.2225</v>
      </c>
      <c r="E213" s="5">
        <f>recovered!E213</f>
        <v>0</v>
      </c>
      <c r="F213" s="5">
        <f>recovered!F213-recovered!E213</f>
        <v>0</v>
      </c>
      <c r="G213" s="5">
        <f>recovered!G213-recovered!F213</f>
        <v>0</v>
      </c>
      <c r="H213" s="5">
        <f>recovered!H213-recovered!G213</f>
        <v>0</v>
      </c>
      <c r="I213" s="5">
        <f>recovered!I213-recovered!H213</f>
        <v>0</v>
      </c>
      <c r="J213" s="5">
        <f>recovered!J213-recovered!I213</f>
        <v>0</v>
      </c>
      <c r="K213" s="5">
        <f>recovered!K213-recovered!J213</f>
        <v>0</v>
      </c>
      <c r="L213" s="5">
        <f>recovered!L213-recovered!K213</f>
        <v>0</v>
      </c>
      <c r="M213" s="5">
        <f>recovered!M213-recovered!L213</f>
        <v>0</v>
      </c>
      <c r="N213" s="5">
        <f>recovered!N213-recovered!M213</f>
        <v>0</v>
      </c>
      <c r="O213" s="5">
        <f>recovered!O213-recovered!N213</f>
        <v>0</v>
      </c>
      <c r="P213" s="5">
        <f>recovered!P213-recovered!O213</f>
        <v>0</v>
      </c>
      <c r="Q213" s="5">
        <f>recovered!Q213-recovered!P213</f>
        <v>0</v>
      </c>
      <c r="R213" s="5">
        <f>recovered!R213-recovered!Q213</f>
        <v>0</v>
      </c>
      <c r="S213" s="5">
        <f>recovered!S213-recovered!R213</f>
        <v>0</v>
      </c>
      <c r="T213" s="5">
        <f>recovered!T213-recovered!S213</f>
        <v>0</v>
      </c>
      <c r="U213" s="5">
        <f>recovered!U213-recovered!T213</f>
        <v>0</v>
      </c>
      <c r="V213" s="5">
        <f>recovered!V213-recovered!U213</f>
        <v>0</v>
      </c>
      <c r="W213" s="5">
        <f>recovered!W213-recovered!V213</f>
        <v>0</v>
      </c>
      <c r="X213" s="5">
        <f>recovered!X213-recovered!W213</f>
        <v>0</v>
      </c>
      <c r="Y213" s="5">
        <f>recovered!Y213-recovered!X213</f>
        <v>0</v>
      </c>
      <c r="Z213" s="5">
        <f>recovered!Z213-recovered!Y213</f>
        <v>0</v>
      </c>
      <c r="AA213" s="5">
        <f>recovered!AA213-recovered!Z213</f>
        <v>0</v>
      </c>
      <c r="AB213" s="5">
        <f>recovered!AB213-recovered!AA213</f>
        <v>0</v>
      </c>
      <c r="AC213" s="5">
        <f>recovered!AC213-recovered!AB213</f>
        <v>0</v>
      </c>
      <c r="AD213" s="5">
        <f>recovered!AD213-recovered!AC213</f>
        <v>0</v>
      </c>
      <c r="AE213" s="5">
        <f>recovered!AE213-recovered!AD213</f>
        <v>0</v>
      </c>
      <c r="AF213" s="5">
        <f>recovered!AF213-recovered!AE213</f>
        <v>0</v>
      </c>
      <c r="AG213" s="5">
        <f>recovered!AG213-recovered!AF213</f>
        <v>0</v>
      </c>
      <c r="AH213" s="5">
        <f>recovered!AH213-recovered!AG213</f>
        <v>0</v>
      </c>
      <c r="AI213" s="5">
        <f>recovered!AI213-recovered!AH213</f>
        <v>0</v>
      </c>
      <c r="AJ213" s="5">
        <f>recovered!AJ213-recovered!AI213</f>
        <v>0</v>
      </c>
      <c r="AK213" s="5">
        <f>recovered!AK213-recovered!AJ213</f>
        <v>0</v>
      </c>
      <c r="AL213" s="5">
        <f>recovered!AL213-recovered!AK213</f>
        <v>0</v>
      </c>
      <c r="AM213" s="5">
        <f>recovered!AM213-recovered!AL213</f>
        <v>0</v>
      </c>
      <c r="AN213" s="5">
        <f>recovered!AN213-recovered!AM213</f>
        <v>0</v>
      </c>
      <c r="AO213" s="5">
        <f>recovered!AO213-recovered!AN213</f>
        <v>0</v>
      </c>
      <c r="AP213" s="5">
        <f>recovered!AP213-recovered!AO213</f>
        <v>0</v>
      </c>
      <c r="AQ213" s="5">
        <f>recovered!AQ213-recovered!AP213</f>
        <v>0</v>
      </c>
      <c r="AR213" s="5">
        <f>recovered!AR213-recovered!AQ213</f>
        <v>0</v>
      </c>
      <c r="AS213" s="5">
        <f>recovered!AS213-recovered!AR213</f>
        <v>0</v>
      </c>
      <c r="AT213" s="5">
        <f>recovered!AT213-recovered!AS213</f>
        <v>0</v>
      </c>
      <c r="AU213" s="5">
        <f>recovered!AU213-recovered!AT213</f>
        <v>0</v>
      </c>
      <c r="AV213" s="5">
        <f>recovered!AV213-recovered!AU213</f>
        <v>0</v>
      </c>
      <c r="AW213" s="5">
        <f>recovered!AW213-recovered!AV213</f>
        <v>0</v>
      </c>
      <c r="AX213" s="5">
        <f>recovered!AX213-recovered!AW213</f>
        <v>0</v>
      </c>
      <c r="AY213" s="5">
        <f>recovered!AY213-recovered!AX213</f>
        <v>0</v>
      </c>
      <c r="AZ213" s="5">
        <f>recovered!AZ213-recovered!AY213</f>
        <v>0</v>
      </c>
      <c r="BA213" s="5">
        <f>recovered!BA213-recovered!AZ213</f>
        <v>0</v>
      </c>
      <c r="BB213" s="5">
        <f>recovered!BB213-recovered!BA213</f>
        <v>0</v>
      </c>
      <c r="BC213" s="5">
        <f>recovered!BC213-recovered!BB213</f>
        <v>0</v>
      </c>
      <c r="BD213" s="5">
        <f>recovered!BD213-recovered!BC213</f>
        <v>0</v>
      </c>
      <c r="BE213" s="5">
        <f>recovered!BE213-recovered!BD213</f>
        <v>0</v>
      </c>
      <c r="BF213" s="5">
        <f>recovered!BF213-recovered!BE213</f>
        <v>0</v>
      </c>
      <c r="BG213" s="5">
        <f>recovered!BG213-recovered!BF213</f>
        <v>0</v>
      </c>
      <c r="BH213" s="5">
        <f>recovered!BH213-recovered!BG213</f>
        <v>0</v>
      </c>
      <c r="BI213" s="5">
        <f>recovered!BI213-recovered!BH213</f>
        <v>0</v>
      </c>
      <c r="BJ213" s="5">
        <f>recovered!BJ213-recovered!BI213</f>
        <v>0</v>
      </c>
      <c r="BK213" s="5">
        <f>recovered!BK213-recovered!BJ213</f>
        <v>0</v>
      </c>
      <c r="BL213" s="5">
        <f>recovered!BL213-recovered!BK213</f>
        <v>1</v>
      </c>
      <c r="BM213" s="5">
        <f>recovered!BM213-recovered!BL213</f>
        <v>0</v>
      </c>
      <c r="BN213" s="5">
        <f>recovered!BN213-recovered!BM213</f>
        <v>0</v>
      </c>
      <c r="BO213" s="5">
        <f>recovered!BO213-recovered!BN213</f>
        <v>-1</v>
      </c>
      <c r="BP213" s="5">
        <f>recovered!BP213-recovered!BO213</f>
        <v>0</v>
      </c>
      <c r="BQ213" s="5">
        <f>recovered!BQ213-recovered!BP213</f>
        <v>0</v>
      </c>
      <c r="BR213" s="5">
        <f>recovered!BR213-recovered!BQ213</f>
        <v>1</v>
      </c>
      <c r="BS213" s="5">
        <f>recovered!BS213-recovered!BR213</f>
        <v>0</v>
      </c>
      <c r="BT213" s="5">
        <f>recovered!BT213-recovered!BS213</f>
        <v>0</v>
      </c>
      <c r="BU213" s="5">
        <f>recovered!BU213-recovered!BT213</f>
        <v>0</v>
      </c>
      <c r="BV213" s="5">
        <f>recovered!BV213-recovered!BU213</f>
        <v>0</v>
      </c>
      <c r="BW213" s="5">
        <f>recovered!BW213-recovered!BV213</f>
        <v>0</v>
      </c>
      <c r="BX213" s="5">
        <f>recovered!BX213-recovered!BW213</f>
        <v>0</v>
      </c>
      <c r="BY213" s="5">
        <f>recovered!BY213-recovered!BX213</f>
        <v>0</v>
      </c>
    </row>
    <row r="214">
      <c r="B214" s="1" t="str">
        <f>recovered!B214</f>
        <v>Tunisia</v>
      </c>
      <c r="C214" s="4">
        <f>recovered!C214</f>
        <v>34</v>
      </c>
      <c r="D214" s="4">
        <f>recovered!D214</f>
        <v>9</v>
      </c>
      <c r="E214" s="5">
        <f>recovered!E214</f>
        <v>0</v>
      </c>
      <c r="F214" s="5">
        <f>recovered!F214-recovered!E214</f>
        <v>0</v>
      </c>
      <c r="G214" s="5">
        <f>recovered!G214-recovered!F214</f>
        <v>0</v>
      </c>
      <c r="H214" s="5">
        <f>recovered!H214-recovered!G214</f>
        <v>0</v>
      </c>
      <c r="I214" s="5">
        <f>recovered!I214-recovered!H214</f>
        <v>0</v>
      </c>
      <c r="J214" s="5">
        <f>recovered!J214-recovered!I214</f>
        <v>0</v>
      </c>
      <c r="K214" s="5">
        <f>recovered!K214-recovered!J214</f>
        <v>0</v>
      </c>
      <c r="L214" s="5">
        <f>recovered!L214-recovered!K214</f>
        <v>0</v>
      </c>
      <c r="M214" s="5">
        <f>recovered!M214-recovered!L214</f>
        <v>0</v>
      </c>
      <c r="N214" s="5">
        <f>recovered!N214-recovered!M214</f>
        <v>0</v>
      </c>
      <c r="O214" s="5">
        <f>recovered!O214-recovered!N214</f>
        <v>0</v>
      </c>
      <c r="P214" s="5">
        <f>recovered!P214-recovered!O214</f>
        <v>0</v>
      </c>
      <c r="Q214" s="5">
        <f>recovered!Q214-recovered!P214</f>
        <v>0</v>
      </c>
      <c r="R214" s="5">
        <f>recovered!R214-recovered!Q214</f>
        <v>0</v>
      </c>
      <c r="S214" s="5">
        <f>recovered!S214-recovered!R214</f>
        <v>0</v>
      </c>
      <c r="T214" s="5">
        <f>recovered!T214-recovered!S214</f>
        <v>0</v>
      </c>
      <c r="U214" s="5">
        <f>recovered!U214-recovered!T214</f>
        <v>0</v>
      </c>
      <c r="V214" s="5">
        <f>recovered!V214-recovered!U214</f>
        <v>0</v>
      </c>
      <c r="W214" s="5">
        <f>recovered!W214-recovered!V214</f>
        <v>0</v>
      </c>
      <c r="X214" s="5">
        <f>recovered!X214-recovered!W214</f>
        <v>0</v>
      </c>
      <c r="Y214" s="5">
        <f>recovered!Y214-recovered!X214</f>
        <v>0</v>
      </c>
      <c r="Z214" s="5">
        <f>recovered!Z214-recovered!Y214</f>
        <v>0</v>
      </c>
      <c r="AA214" s="5">
        <f>recovered!AA214-recovered!Z214</f>
        <v>0</v>
      </c>
      <c r="AB214" s="5">
        <f>recovered!AB214-recovered!AA214</f>
        <v>0</v>
      </c>
      <c r="AC214" s="5">
        <f>recovered!AC214-recovered!AB214</f>
        <v>0</v>
      </c>
      <c r="AD214" s="5">
        <f>recovered!AD214-recovered!AC214</f>
        <v>0</v>
      </c>
      <c r="AE214" s="5">
        <f>recovered!AE214-recovered!AD214</f>
        <v>0</v>
      </c>
      <c r="AF214" s="5">
        <f>recovered!AF214-recovered!AE214</f>
        <v>0</v>
      </c>
      <c r="AG214" s="5">
        <f>recovered!AG214-recovered!AF214</f>
        <v>0</v>
      </c>
      <c r="AH214" s="5">
        <f>recovered!AH214-recovered!AG214</f>
        <v>0</v>
      </c>
      <c r="AI214" s="5">
        <f>recovered!AI214-recovered!AH214</f>
        <v>0</v>
      </c>
      <c r="AJ214" s="5">
        <f>recovered!AJ214-recovered!AI214</f>
        <v>0</v>
      </c>
      <c r="AK214" s="5">
        <f>recovered!AK214-recovered!AJ214</f>
        <v>0</v>
      </c>
      <c r="AL214" s="5">
        <f>recovered!AL214-recovered!AK214</f>
        <v>0</v>
      </c>
      <c r="AM214" s="5">
        <f>recovered!AM214-recovered!AL214</f>
        <v>0</v>
      </c>
      <c r="AN214" s="5">
        <f>recovered!AN214-recovered!AM214</f>
        <v>0</v>
      </c>
      <c r="AO214" s="5">
        <f>recovered!AO214-recovered!AN214</f>
        <v>0</v>
      </c>
      <c r="AP214" s="5">
        <f>recovered!AP214-recovered!AO214</f>
        <v>0</v>
      </c>
      <c r="AQ214" s="5">
        <f>recovered!AQ214-recovered!AP214</f>
        <v>0</v>
      </c>
      <c r="AR214" s="5">
        <f>recovered!AR214-recovered!AQ214</f>
        <v>0</v>
      </c>
      <c r="AS214" s="5">
        <f>recovered!AS214-recovered!AR214</f>
        <v>0</v>
      </c>
      <c r="AT214" s="5">
        <f>recovered!AT214-recovered!AS214</f>
        <v>0</v>
      </c>
      <c r="AU214" s="5">
        <f>recovered!AU214-recovered!AT214</f>
        <v>0</v>
      </c>
      <c r="AV214" s="5">
        <f>recovered!AV214-recovered!AU214</f>
        <v>0</v>
      </c>
      <c r="AW214" s="5">
        <f>recovered!AW214-recovered!AV214</f>
        <v>0</v>
      </c>
      <c r="AX214" s="5">
        <f>recovered!AX214-recovered!AW214</f>
        <v>0</v>
      </c>
      <c r="AY214" s="5">
        <f>recovered!AY214-recovered!AX214</f>
        <v>0</v>
      </c>
      <c r="AZ214" s="5">
        <f>recovered!AZ214-recovered!AY214</f>
        <v>0</v>
      </c>
      <c r="BA214" s="5">
        <f>recovered!BA214-recovered!AZ214</f>
        <v>0</v>
      </c>
      <c r="BB214" s="5">
        <f>recovered!BB214-recovered!BA214</f>
        <v>0</v>
      </c>
      <c r="BC214" s="5">
        <f>recovered!BC214-recovered!BB214</f>
        <v>0</v>
      </c>
      <c r="BD214" s="5">
        <f>recovered!BD214-recovered!BC214</f>
        <v>0</v>
      </c>
      <c r="BE214" s="5">
        <f>recovered!BE214-recovered!BD214</f>
        <v>0</v>
      </c>
      <c r="BF214" s="5">
        <f>recovered!BF214-recovered!BE214</f>
        <v>0</v>
      </c>
      <c r="BG214" s="5">
        <f>recovered!BG214-recovered!BF214</f>
        <v>0</v>
      </c>
      <c r="BH214" s="5">
        <f>recovered!BH214-recovered!BG214</f>
        <v>0</v>
      </c>
      <c r="BI214" s="5">
        <f>recovered!BI214-recovered!BH214</f>
        <v>0</v>
      </c>
      <c r="BJ214" s="5">
        <f>recovered!BJ214-recovered!BI214</f>
        <v>0</v>
      </c>
      <c r="BK214" s="5">
        <f>recovered!BK214-recovered!BJ214</f>
        <v>0</v>
      </c>
      <c r="BL214" s="5">
        <f>recovered!BL214-recovered!BK214</f>
        <v>0</v>
      </c>
      <c r="BM214" s="5">
        <f>recovered!BM214-recovered!BL214</f>
        <v>1</v>
      </c>
      <c r="BN214" s="5">
        <f>recovered!BN214-recovered!BM214</f>
        <v>0</v>
      </c>
      <c r="BO214" s="5">
        <f>recovered!BO214-recovered!BN214</f>
        <v>0</v>
      </c>
      <c r="BP214" s="5">
        <f>recovered!BP214-recovered!BO214</f>
        <v>1</v>
      </c>
      <c r="BQ214" s="5">
        <f>recovered!BQ214-recovered!BP214</f>
        <v>0</v>
      </c>
      <c r="BR214" s="5">
        <f>recovered!BR214-recovered!BQ214</f>
        <v>0</v>
      </c>
      <c r="BS214" s="5">
        <f>recovered!BS214-recovered!BR214</f>
        <v>0</v>
      </c>
      <c r="BT214" s="5">
        <f>recovered!BT214-recovered!BS214</f>
        <v>0</v>
      </c>
      <c r="BU214" s="5">
        <f>recovered!BU214-recovered!BT214</f>
        <v>1</v>
      </c>
      <c r="BV214" s="5">
        <f>recovered!BV214-recovered!BU214</f>
        <v>0</v>
      </c>
      <c r="BW214" s="5">
        <f>recovered!BW214-recovered!BV214</f>
        <v>2</v>
      </c>
      <c r="BX214" s="5">
        <f>recovered!BX214-recovered!BW214</f>
        <v>0</v>
      </c>
      <c r="BY214" s="5">
        <f>recovered!BY214-recovered!BX214</f>
        <v>0</v>
      </c>
    </row>
    <row r="215">
      <c r="B215" s="1" t="str">
        <f>recovered!B215</f>
        <v>Turkey</v>
      </c>
      <c r="C215" s="4">
        <f>recovered!C215</f>
        <v>38.9637</v>
      </c>
      <c r="D215" s="4">
        <f>recovered!D215</f>
        <v>35.2433</v>
      </c>
      <c r="E215" s="5">
        <f>recovered!E215</f>
        <v>0</v>
      </c>
      <c r="F215" s="5">
        <f>recovered!F215-recovered!E215</f>
        <v>0</v>
      </c>
      <c r="G215" s="5">
        <f>recovered!G215-recovered!F215</f>
        <v>0</v>
      </c>
      <c r="H215" s="5">
        <f>recovered!H215-recovered!G215</f>
        <v>0</v>
      </c>
      <c r="I215" s="5">
        <f>recovered!I215-recovered!H215</f>
        <v>0</v>
      </c>
      <c r="J215" s="5">
        <f>recovered!J215-recovered!I215</f>
        <v>0</v>
      </c>
      <c r="K215" s="5">
        <f>recovered!K215-recovered!J215</f>
        <v>0</v>
      </c>
      <c r="L215" s="5">
        <f>recovered!L215-recovered!K215</f>
        <v>0</v>
      </c>
      <c r="M215" s="5">
        <f>recovered!M215-recovered!L215</f>
        <v>0</v>
      </c>
      <c r="N215" s="5">
        <f>recovered!N215-recovered!M215</f>
        <v>0</v>
      </c>
      <c r="O215" s="5">
        <f>recovered!O215-recovered!N215</f>
        <v>0</v>
      </c>
      <c r="P215" s="5">
        <f>recovered!P215-recovered!O215</f>
        <v>0</v>
      </c>
      <c r="Q215" s="5">
        <f>recovered!Q215-recovered!P215</f>
        <v>0</v>
      </c>
      <c r="R215" s="5">
        <f>recovered!R215-recovered!Q215</f>
        <v>0</v>
      </c>
      <c r="S215" s="5">
        <f>recovered!S215-recovered!R215</f>
        <v>0</v>
      </c>
      <c r="T215" s="5">
        <f>recovered!T215-recovered!S215</f>
        <v>0</v>
      </c>
      <c r="U215" s="5">
        <f>recovered!U215-recovered!T215</f>
        <v>0</v>
      </c>
      <c r="V215" s="5">
        <f>recovered!V215-recovered!U215</f>
        <v>0</v>
      </c>
      <c r="W215" s="5">
        <f>recovered!W215-recovered!V215</f>
        <v>0</v>
      </c>
      <c r="X215" s="5">
        <f>recovered!X215-recovered!W215</f>
        <v>0</v>
      </c>
      <c r="Y215" s="5">
        <f>recovered!Y215-recovered!X215</f>
        <v>0</v>
      </c>
      <c r="Z215" s="5">
        <f>recovered!Z215-recovered!Y215</f>
        <v>0</v>
      </c>
      <c r="AA215" s="5">
        <f>recovered!AA215-recovered!Z215</f>
        <v>0</v>
      </c>
      <c r="AB215" s="5">
        <f>recovered!AB215-recovered!AA215</f>
        <v>0</v>
      </c>
      <c r="AC215" s="5">
        <f>recovered!AC215-recovered!AB215</f>
        <v>0</v>
      </c>
      <c r="AD215" s="5">
        <f>recovered!AD215-recovered!AC215</f>
        <v>0</v>
      </c>
      <c r="AE215" s="5">
        <f>recovered!AE215-recovered!AD215</f>
        <v>0</v>
      </c>
      <c r="AF215" s="5">
        <f>recovered!AF215-recovered!AE215</f>
        <v>0</v>
      </c>
      <c r="AG215" s="5">
        <f>recovered!AG215-recovered!AF215</f>
        <v>0</v>
      </c>
      <c r="AH215" s="5">
        <f>recovered!AH215-recovered!AG215</f>
        <v>0</v>
      </c>
      <c r="AI215" s="5">
        <f>recovered!AI215-recovered!AH215</f>
        <v>0</v>
      </c>
      <c r="AJ215" s="5">
        <f>recovered!AJ215-recovered!AI215</f>
        <v>0</v>
      </c>
      <c r="AK215" s="5">
        <f>recovered!AK215-recovered!AJ215</f>
        <v>0</v>
      </c>
      <c r="AL215" s="5">
        <f>recovered!AL215-recovered!AK215</f>
        <v>0</v>
      </c>
      <c r="AM215" s="5">
        <f>recovered!AM215-recovered!AL215</f>
        <v>0</v>
      </c>
      <c r="AN215" s="5">
        <f>recovered!AN215-recovered!AM215</f>
        <v>0</v>
      </c>
      <c r="AO215" s="5">
        <f>recovered!AO215-recovered!AN215</f>
        <v>0</v>
      </c>
      <c r="AP215" s="5">
        <f>recovered!AP215-recovered!AO215</f>
        <v>0</v>
      </c>
      <c r="AQ215" s="5">
        <f>recovered!AQ215-recovered!AP215</f>
        <v>0</v>
      </c>
      <c r="AR215" s="5">
        <f>recovered!AR215-recovered!AQ215</f>
        <v>0</v>
      </c>
      <c r="AS215" s="5">
        <f>recovered!AS215-recovered!AR215</f>
        <v>0</v>
      </c>
      <c r="AT215" s="5">
        <f>recovered!AT215-recovered!AS215</f>
        <v>0</v>
      </c>
      <c r="AU215" s="5">
        <f>recovered!AU215-recovered!AT215</f>
        <v>0</v>
      </c>
      <c r="AV215" s="5">
        <f>recovered!AV215-recovered!AU215</f>
        <v>0</v>
      </c>
      <c r="AW215" s="5">
        <f>recovered!AW215-recovered!AV215</f>
        <v>0</v>
      </c>
      <c r="AX215" s="5">
        <f>recovered!AX215-recovered!AW215</f>
        <v>0</v>
      </c>
      <c r="AY215" s="5">
        <f>recovered!AY215-recovered!AX215</f>
        <v>0</v>
      </c>
      <c r="AZ215" s="5">
        <f>recovered!AZ215-recovered!AY215</f>
        <v>0</v>
      </c>
      <c r="BA215" s="5">
        <f>recovered!BA215-recovered!AZ215</f>
        <v>0</v>
      </c>
      <c r="BB215" s="5">
        <f>recovered!BB215-recovered!BA215</f>
        <v>0</v>
      </c>
      <c r="BC215" s="5">
        <f>recovered!BC215-recovered!BB215</f>
        <v>0</v>
      </c>
      <c r="BD215" s="5">
        <f>recovered!BD215-recovered!BC215</f>
        <v>0</v>
      </c>
      <c r="BE215" s="5">
        <f>recovered!BE215-recovered!BD215</f>
        <v>0</v>
      </c>
      <c r="BF215" s="5">
        <f>recovered!BF215-recovered!BE215</f>
        <v>0</v>
      </c>
      <c r="BG215" s="5">
        <f>recovered!BG215-recovered!BF215</f>
        <v>0</v>
      </c>
      <c r="BH215" s="5">
        <f>recovered!BH215-recovered!BG215</f>
        <v>0</v>
      </c>
      <c r="BI215" s="5">
        <f>recovered!BI215-recovered!BH215</f>
        <v>0</v>
      </c>
      <c r="BJ215" s="5">
        <f>recovered!BJ215-recovered!BI215</f>
        <v>0</v>
      </c>
      <c r="BK215" s="5">
        <f>recovered!BK215-recovered!BJ215</f>
        <v>0</v>
      </c>
      <c r="BL215" s="5">
        <f>recovered!BL215-recovered!BK215</f>
        <v>0</v>
      </c>
      <c r="BM215" s="5">
        <f>recovered!BM215-recovered!BL215</f>
        <v>0</v>
      </c>
      <c r="BN215" s="5">
        <f>recovered!BN215-recovered!BM215</f>
        <v>0</v>
      </c>
      <c r="BO215" s="5">
        <f>recovered!BO215-recovered!BN215</f>
        <v>0</v>
      </c>
      <c r="BP215" s="5">
        <f>recovered!BP215-recovered!BO215</f>
        <v>26</v>
      </c>
      <c r="BQ215" s="5">
        <f>recovered!BQ215-recovered!BP215</f>
        <v>0</v>
      </c>
      <c r="BR215" s="5">
        <f>recovered!BR215-recovered!BQ215</f>
        <v>16</v>
      </c>
      <c r="BS215" s="5">
        <f>recovered!BS215-recovered!BR215</f>
        <v>28</v>
      </c>
      <c r="BT215" s="5">
        <f>recovered!BT215-recovered!BS215</f>
        <v>35</v>
      </c>
      <c r="BU215" s="5">
        <f>recovered!BU215-recovered!BT215</f>
        <v>57</v>
      </c>
      <c r="BV215" s="5">
        <f>recovered!BV215-recovered!BU215</f>
        <v>81</v>
      </c>
      <c r="BW215" s="5">
        <f>recovered!BW215-recovered!BV215</f>
        <v>90</v>
      </c>
      <c r="BX215" s="5">
        <f>recovered!BX215-recovered!BW215</f>
        <v>82</v>
      </c>
      <c r="BY215" s="5">
        <f>recovered!BY215-recovered!BX215</f>
        <v>69</v>
      </c>
    </row>
    <row r="216">
      <c r="B216" s="1" t="str">
        <f>recovered!B216</f>
        <v>Uganda</v>
      </c>
      <c r="C216" s="4">
        <f>recovered!C216</f>
        <v>1</v>
      </c>
      <c r="D216" s="4">
        <f>recovered!D216</f>
        <v>32</v>
      </c>
      <c r="E216" s="5">
        <f>recovered!E216</f>
        <v>0</v>
      </c>
      <c r="F216" s="5">
        <f>recovered!F216-recovered!E216</f>
        <v>0</v>
      </c>
      <c r="G216" s="5">
        <f>recovered!G216-recovered!F216</f>
        <v>0</v>
      </c>
      <c r="H216" s="5">
        <f>recovered!H216-recovered!G216</f>
        <v>0</v>
      </c>
      <c r="I216" s="5">
        <f>recovered!I216-recovered!H216</f>
        <v>0</v>
      </c>
      <c r="J216" s="5">
        <f>recovered!J216-recovered!I216</f>
        <v>0</v>
      </c>
      <c r="K216" s="5">
        <f>recovered!K216-recovered!J216</f>
        <v>0</v>
      </c>
      <c r="L216" s="5">
        <f>recovered!L216-recovered!K216</f>
        <v>0</v>
      </c>
      <c r="M216" s="5">
        <f>recovered!M216-recovered!L216</f>
        <v>0</v>
      </c>
      <c r="N216" s="5">
        <f>recovered!N216-recovered!M216</f>
        <v>0</v>
      </c>
      <c r="O216" s="5">
        <f>recovered!O216-recovered!N216</f>
        <v>0</v>
      </c>
      <c r="P216" s="5">
        <f>recovered!P216-recovered!O216</f>
        <v>0</v>
      </c>
      <c r="Q216" s="5">
        <f>recovered!Q216-recovered!P216</f>
        <v>0</v>
      </c>
      <c r="R216" s="5">
        <f>recovered!R216-recovered!Q216</f>
        <v>0</v>
      </c>
      <c r="S216" s="5">
        <f>recovered!S216-recovered!R216</f>
        <v>0</v>
      </c>
      <c r="T216" s="5">
        <f>recovered!T216-recovered!S216</f>
        <v>0</v>
      </c>
      <c r="U216" s="5">
        <f>recovered!U216-recovered!T216</f>
        <v>0</v>
      </c>
      <c r="V216" s="5">
        <f>recovered!V216-recovered!U216</f>
        <v>0</v>
      </c>
      <c r="W216" s="5">
        <f>recovered!W216-recovered!V216</f>
        <v>0</v>
      </c>
      <c r="X216" s="5">
        <f>recovered!X216-recovered!W216</f>
        <v>0</v>
      </c>
      <c r="Y216" s="5">
        <f>recovered!Y216-recovered!X216</f>
        <v>0</v>
      </c>
      <c r="Z216" s="5">
        <f>recovered!Z216-recovered!Y216</f>
        <v>0</v>
      </c>
      <c r="AA216" s="5">
        <f>recovered!AA216-recovered!Z216</f>
        <v>0</v>
      </c>
      <c r="AB216" s="5">
        <f>recovered!AB216-recovered!AA216</f>
        <v>0</v>
      </c>
      <c r="AC216" s="5">
        <f>recovered!AC216-recovered!AB216</f>
        <v>0</v>
      </c>
      <c r="AD216" s="5">
        <f>recovered!AD216-recovered!AC216</f>
        <v>0</v>
      </c>
      <c r="AE216" s="5">
        <f>recovered!AE216-recovered!AD216</f>
        <v>0</v>
      </c>
      <c r="AF216" s="5">
        <f>recovered!AF216-recovered!AE216</f>
        <v>0</v>
      </c>
      <c r="AG216" s="5">
        <f>recovered!AG216-recovered!AF216</f>
        <v>0</v>
      </c>
      <c r="AH216" s="5">
        <f>recovered!AH216-recovered!AG216</f>
        <v>0</v>
      </c>
      <c r="AI216" s="5">
        <f>recovered!AI216-recovered!AH216</f>
        <v>0</v>
      </c>
      <c r="AJ216" s="5">
        <f>recovered!AJ216-recovered!AI216</f>
        <v>0</v>
      </c>
      <c r="AK216" s="5">
        <f>recovered!AK216-recovered!AJ216</f>
        <v>0</v>
      </c>
      <c r="AL216" s="5">
        <f>recovered!AL216-recovered!AK216</f>
        <v>0</v>
      </c>
      <c r="AM216" s="5">
        <f>recovered!AM216-recovered!AL216</f>
        <v>0</v>
      </c>
      <c r="AN216" s="5">
        <f>recovered!AN216-recovered!AM216</f>
        <v>0</v>
      </c>
      <c r="AO216" s="5">
        <f>recovered!AO216-recovered!AN216</f>
        <v>0</v>
      </c>
      <c r="AP216" s="5">
        <f>recovered!AP216-recovered!AO216</f>
        <v>0</v>
      </c>
      <c r="AQ216" s="5">
        <f>recovered!AQ216-recovered!AP216</f>
        <v>0</v>
      </c>
      <c r="AR216" s="5">
        <f>recovered!AR216-recovered!AQ216</f>
        <v>0</v>
      </c>
      <c r="AS216" s="5">
        <f>recovered!AS216-recovered!AR216</f>
        <v>0</v>
      </c>
      <c r="AT216" s="5">
        <f>recovered!AT216-recovered!AS216</f>
        <v>0</v>
      </c>
      <c r="AU216" s="5">
        <f>recovered!AU216-recovered!AT216</f>
        <v>0</v>
      </c>
      <c r="AV216" s="5">
        <f>recovered!AV216-recovered!AU216</f>
        <v>0</v>
      </c>
      <c r="AW216" s="5">
        <f>recovered!AW216-recovered!AV216</f>
        <v>0</v>
      </c>
      <c r="AX216" s="5">
        <f>recovered!AX216-recovered!AW216</f>
        <v>0</v>
      </c>
      <c r="AY216" s="5">
        <f>recovered!AY216-recovered!AX216</f>
        <v>0</v>
      </c>
      <c r="AZ216" s="5">
        <f>recovered!AZ216-recovered!AY216</f>
        <v>0</v>
      </c>
      <c r="BA216" s="5">
        <f>recovered!BA216-recovered!AZ216</f>
        <v>0</v>
      </c>
      <c r="BB216" s="5">
        <f>recovered!BB216-recovered!BA216</f>
        <v>0</v>
      </c>
      <c r="BC216" s="5">
        <f>recovered!BC216-recovered!BB216</f>
        <v>0</v>
      </c>
      <c r="BD216" s="5">
        <f>recovered!BD216-recovered!BC216</f>
        <v>0</v>
      </c>
      <c r="BE216" s="5">
        <f>recovered!BE216-recovered!BD216</f>
        <v>0</v>
      </c>
      <c r="BF216" s="5">
        <f>recovered!BF216-recovered!BE216</f>
        <v>0</v>
      </c>
      <c r="BG216" s="5">
        <f>recovered!BG216-recovered!BF216</f>
        <v>0</v>
      </c>
      <c r="BH216" s="5">
        <f>recovered!BH216-recovered!BG216</f>
        <v>0</v>
      </c>
      <c r="BI216" s="5">
        <f>recovered!BI216-recovered!BH216</f>
        <v>0</v>
      </c>
      <c r="BJ216" s="5">
        <f>recovered!BJ216-recovered!BI216</f>
        <v>0</v>
      </c>
      <c r="BK216" s="5">
        <f>recovered!BK216-recovered!BJ216</f>
        <v>0</v>
      </c>
      <c r="BL216" s="5">
        <f>recovered!BL216-recovered!BK216</f>
        <v>0</v>
      </c>
      <c r="BM216" s="5">
        <f>recovered!BM216-recovered!BL216</f>
        <v>0</v>
      </c>
      <c r="BN216" s="5">
        <f>recovered!BN216-recovered!BM216</f>
        <v>0</v>
      </c>
      <c r="BO216" s="5">
        <f>recovered!BO216-recovered!BN216</f>
        <v>0</v>
      </c>
      <c r="BP216" s="5">
        <f>recovered!BP216-recovered!BO216</f>
        <v>0</v>
      </c>
      <c r="BQ216" s="5">
        <f>recovered!BQ216-recovered!BP216</f>
        <v>0</v>
      </c>
      <c r="BR216" s="5">
        <f>recovered!BR216-recovered!BQ216</f>
        <v>0</v>
      </c>
      <c r="BS216" s="5">
        <f>recovered!BS216-recovered!BR216</f>
        <v>0</v>
      </c>
      <c r="BT216" s="5">
        <f>recovered!BT216-recovered!BS216</f>
        <v>0</v>
      </c>
      <c r="BU216" s="5">
        <f>recovered!BU216-recovered!BT216</f>
        <v>0</v>
      </c>
      <c r="BV216" s="5">
        <f>recovered!BV216-recovered!BU216</f>
        <v>0</v>
      </c>
      <c r="BW216" s="5">
        <f>recovered!BW216-recovered!BV216</f>
        <v>0</v>
      </c>
      <c r="BX216" s="5">
        <f>recovered!BX216-recovered!BW216</f>
        <v>0</v>
      </c>
      <c r="BY216" s="5">
        <f>recovered!BY216-recovered!BX216</f>
        <v>0</v>
      </c>
    </row>
    <row r="217">
      <c r="B217" s="1" t="str">
        <f>recovered!B217</f>
        <v>Ukraine</v>
      </c>
      <c r="C217" s="4">
        <f>recovered!C217</f>
        <v>48.3794</v>
      </c>
      <c r="D217" s="4">
        <f>recovered!D217</f>
        <v>31.1656</v>
      </c>
      <c r="E217" s="5">
        <f>recovered!E217</f>
        <v>0</v>
      </c>
      <c r="F217" s="5">
        <f>recovered!F217-recovered!E217</f>
        <v>0</v>
      </c>
      <c r="G217" s="5">
        <f>recovered!G217-recovered!F217</f>
        <v>0</v>
      </c>
      <c r="H217" s="5">
        <f>recovered!H217-recovered!G217</f>
        <v>0</v>
      </c>
      <c r="I217" s="5">
        <f>recovered!I217-recovered!H217</f>
        <v>0</v>
      </c>
      <c r="J217" s="5">
        <f>recovered!J217-recovered!I217</f>
        <v>0</v>
      </c>
      <c r="K217" s="5">
        <f>recovered!K217-recovered!J217</f>
        <v>0</v>
      </c>
      <c r="L217" s="5">
        <f>recovered!L217-recovered!K217</f>
        <v>0</v>
      </c>
      <c r="M217" s="5">
        <f>recovered!M217-recovered!L217</f>
        <v>0</v>
      </c>
      <c r="N217" s="5">
        <f>recovered!N217-recovered!M217</f>
        <v>0</v>
      </c>
      <c r="O217" s="5">
        <f>recovered!O217-recovered!N217</f>
        <v>0</v>
      </c>
      <c r="P217" s="5">
        <f>recovered!P217-recovered!O217</f>
        <v>0</v>
      </c>
      <c r="Q217" s="5">
        <f>recovered!Q217-recovered!P217</f>
        <v>0</v>
      </c>
      <c r="R217" s="5">
        <f>recovered!R217-recovered!Q217</f>
        <v>0</v>
      </c>
      <c r="S217" s="5">
        <f>recovered!S217-recovered!R217</f>
        <v>0</v>
      </c>
      <c r="T217" s="5">
        <f>recovered!T217-recovered!S217</f>
        <v>0</v>
      </c>
      <c r="U217" s="5">
        <f>recovered!U217-recovered!T217</f>
        <v>0</v>
      </c>
      <c r="V217" s="5">
        <f>recovered!V217-recovered!U217</f>
        <v>0</v>
      </c>
      <c r="W217" s="5">
        <f>recovered!W217-recovered!V217</f>
        <v>0</v>
      </c>
      <c r="X217" s="5">
        <f>recovered!X217-recovered!W217</f>
        <v>0</v>
      </c>
      <c r="Y217" s="5">
        <f>recovered!Y217-recovered!X217</f>
        <v>0</v>
      </c>
      <c r="Z217" s="5">
        <f>recovered!Z217-recovered!Y217</f>
        <v>0</v>
      </c>
      <c r="AA217" s="5">
        <f>recovered!AA217-recovered!Z217</f>
        <v>0</v>
      </c>
      <c r="AB217" s="5">
        <f>recovered!AB217-recovered!AA217</f>
        <v>0</v>
      </c>
      <c r="AC217" s="5">
        <f>recovered!AC217-recovered!AB217</f>
        <v>0</v>
      </c>
      <c r="AD217" s="5">
        <f>recovered!AD217-recovered!AC217</f>
        <v>0</v>
      </c>
      <c r="AE217" s="5">
        <f>recovered!AE217-recovered!AD217</f>
        <v>0</v>
      </c>
      <c r="AF217" s="5">
        <f>recovered!AF217-recovered!AE217</f>
        <v>0</v>
      </c>
      <c r="AG217" s="5">
        <f>recovered!AG217-recovered!AF217</f>
        <v>0</v>
      </c>
      <c r="AH217" s="5">
        <f>recovered!AH217-recovered!AG217</f>
        <v>0</v>
      </c>
      <c r="AI217" s="5">
        <f>recovered!AI217-recovered!AH217</f>
        <v>0</v>
      </c>
      <c r="AJ217" s="5">
        <f>recovered!AJ217-recovered!AI217</f>
        <v>0</v>
      </c>
      <c r="AK217" s="5">
        <f>recovered!AK217-recovered!AJ217</f>
        <v>0</v>
      </c>
      <c r="AL217" s="5">
        <f>recovered!AL217-recovered!AK217</f>
        <v>0</v>
      </c>
      <c r="AM217" s="5">
        <f>recovered!AM217-recovered!AL217</f>
        <v>0</v>
      </c>
      <c r="AN217" s="5">
        <f>recovered!AN217-recovered!AM217</f>
        <v>0</v>
      </c>
      <c r="AO217" s="5">
        <f>recovered!AO217-recovered!AN217</f>
        <v>0</v>
      </c>
      <c r="AP217" s="5">
        <f>recovered!AP217-recovered!AO217</f>
        <v>0</v>
      </c>
      <c r="AQ217" s="5">
        <f>recovered!AQ217-recovered!AP217</f>
        <v>0</v>
      </c>
      <c r="AR217" s="5">
        <f>recovered!AR217-recovered!AQ217</f>
        <v>0</v>
      </c>
      <c r="AS217" s="5">
        <f>recovered!AS217-recovered!AR217</f>
        <v>0</v>
      </c>
      <c r="AT217" s="5">
        <f>recovered!AT217-recovered!AS217</f>
        <v>0</v>
      </c>
      <c r="AU217" s="5">
        <f>recovered!AU217-recovered!AT217</f>
        <v>0</v>
      </c>
      <c r="AV217" s="5">
        <f>recovered!AV217-recovered!AU217</f>
        <v>0</v>
      </c>
      <c r="AW217" s="5">
        <f>recovered!AW217-recovered!AV217</f>
        <v>0</v>
      </c>
      <c r="AX217" s="5">
        <f>recovered!AX217-recovered!AW217</f>
        <v>0</v>
      </c>
      <c r="AY217" s="5">
        <f>recovered!AY217-recovered!AX217</f>
        <v>0</v>
      </c>
      <c r="AZ217" s="5">
        <f>recovered!AZ217-recovered!AY217</f>
        <v>0</v>
      </c>
      <c r="BA217" s="5">
        <f>recovered!BA217-recovered!AZ217</f>
        <v>0</v>
      </c>
      <c r="BB217" s="5">
        <f>recovered!BB217-recovered!BA217</f>
        <v>0</v>
      </c>
      <c r="BC217" s="5">
        <f>recovered!BC217-recovered!BB217</f>
        <v>0</v>
      </c>
      <c r="BD217" s="5">
        <f>recovered!BD217-recovered!BC217</f>
        <v>0</v>
      </c>
      <c r="BE217" s="5">
        <f>recovered!BE217-recovered!BD217</f>
        <v>0</v>
      </c>
      <c r="BF217" s="5">
        <f>recovered!BF217-recovered!BE217</f>
        <v>0</v>
      </c>
      <c r="BG217" s="5">
        <f>recovered!BG217-recovered!BF217</f>
        <v>0</v>
      </c>
      <c r="BH217" s="5">
        <f>recovered!BH217-recovered!BG217</f>
        <v>0</v>
      </c>
      <c r="BI217" s="5">
        <f>recovered!BI217-recovered!BH217</f>
        <v>0</v>
      </c>
      <c r="BJ217" s="5">
        <f>recovered!BJ217-recovered!BI217</f>
        <v>0</v>
      </c>
      <c r="BK217" s="5">
        <f>recovered!BK217-recovered!BJ217</f>
        <v>0</v>
      </c>
      <c r="BL217" s="5">
        <f>recovered!BL217-recovered!BK217</f>
        <v>1</v>
      </c>
      <c r="BM217" s="5">
        <f>recovered!BM217-recovered!BL217</f>
        <v>0</v>
      </c>
      <c r="BN217" s="5">
        <f>recovered!BN217-recovered!BM217</f>
        <v>0</v>
      </c>
      <c r="BO217" s="5">
        <f>recovered!BO217-recovered!BN217</f>
        <v>0</v>
      </c>
      <c r="BP217" s="5">
        <f>recovered!BP217-recovered!BO217</f>
        <v>0</v>
      </c>
      <c r="BQ217" s="5">
        <f>recovered!BQ217-recovered!BP217</f>
        <v>0</v>
      </c>
      <c r="BR217" s="5">
        <f>recovered!BR217-recovered!BQ217</f>
        <v>4</v>
      </c>
      <c r="BS217" s="5">
        <f>recovered!BS217-recovered!BR217</f>
        <v>0</v>
      </c>
      <c r="BT217" s="5">
        <f>recovered!BT217-recovered!BS217</f>
        <v>1</v>
      </c>
      <c r="BU217" s="5">
        <f>recovered!BU217-recovered!BT217</f>
        <v>2</v>
      </c>
      <c r="BV217" s="5">
        <f>recovered!BV217-recovered!BU217</f>
        <v>2</v>
      </c>
      <c r="BW217" s="5">
        <f>recovered!BW217-recovered!BV217</f>
        <v>3</v>
      </c>
      <c r="BX217" s="5">
        <f>recovered!BX217-recovered!BW217</f>
        <v>6</v>
      </c>
      <c r="BY217" s="5">
        <f>recovered!BY217-recovered!BX217</f>
        <v>3</v>
      </c>
    </row>
    <row r="218">
      <c r="B218" s="1" t="str">
        <f>recovered!B218</f>
        <v>United Arab Emirates</v>
      </c>
      <c r="C218" s="4">
        <f>recovered!C218</f>
        <v>24</v>
      </c>
      <c r="D218" s="4">
        <f>recovered!D218</f>
        <v>54</v>
      </c>
      <c r="E218" s="5">
        <f>recovered!E218</f>
        <v>0</v>
      </c>
      <c r="F218" s="5">
        <f>recovered!F218-recovered!E218</f>
        <v>0</v>
      </c>
      <c r="G218" s="5">
        <f>recovered!G218-recovered!F218</f>
        <v>0</v>
      </c>
      <c r="H218" s="5">
        <f>recovered!H218-recovered!G218</f>
        <v>0</v>
      </c>
      <c r="I218" s="5">
        <f>recovered!I218-recovered!H218</f>
        <v>0</v>
      </c>
      <c r="J218" s="5">
        <f>recovered!J218-recovered!I218</f>
        <v>0</v>
      </c>
      <c r="K218" s="5">
        <f>recovered!K218-recovered!J218</f>
        <v>0</v>
      </c>
      <c r="L218" s="5">
        <f>recovered!L218-recovered!K218</f>
        <v>0</v>
      </c>
      <c r="M218" s="5">
        <f>recovered!M218-recovered!L218</f>
        <v>0</v>
      </c>
      <c r="N218" s="5">
        <f>recovered!N218-recovered!M218</f>
        <v>0</v>
      </c>
      <c r="O218" s="5">
        <f>recovered!O218-recovered!N218</f>
        <v>0</v>
      </c>
      <c r="P218" s="5">
        <f>recovered!P218-recovered!O218</f>
        <v>0</v>
      </c>
      <c r="Q218" s="5">
        <f>recovered!Q218-recovered!P218</f>
        <v>0</v>
      </c>
      <c r="R218" s="5">
        <f>recovered!R218-recovered!Q218</f>
        <v>0</v>
      </c>
      <c r="S218" s="5">
        <f>recovered!S218-recovered!R218</f>
        <v>0</v>
      </c>
      <c r="T218" s="5">
        <f>recovered!T218-recovered!S218</f>
        <v>0</v>
      </c>
      <c r="U218" s="5">
        <f>recovered!U218-recovered!T218</f>
        <v>0</v>
      </c>
      <c r="V218" s="5">
        <f>recovered!V218-recovered!U218</f>
        <v>0</v>
      </c>
      <c r="W218" s="5">
        <f>recovered!W218-recovered!V218</f>
        <v>0</v>
      </c>
      <c r="X218" s="5">
        <f>recovered!X218-recovered!W218</f>
        <v>0</v>
      </c>
      <c r="Y218" s="5">
        <f>recovered!Y218-recovered!X218</f>
        <v>0</v>
      </c>
      <c r="Z218" s="5">
        <f>recovered!Z218-recovered!Y218</f>
        <v>1</v>
      </c>
      <c r="AA218" s="5">
        <f>recovered!AA218-recovered!Z218</f>
        <v>0</v>
      </c>
      <c r="AB218" s="5">
        <f>recovered!AB218-recovered!AA218</f>
        <v>0</v>
      </c>
      <c r="AC218" s="5">
        <f>recovered!AC218-recovered!AB218</f>
        <v>2</v>
      </c>
      <c r="AD218" s="5">
        <f>recovered!AD218-recovered!AC218</f>
        <v>1</v>
      </c>
      <c r="AE218" s="5">
        <f>recovered!AE218-recovered!AD218</f>
        <v>0</v>
      </c>
      <c r="AF218" s="5">
        <f>recovered!AF218-recovered!AE218</f>
        <v>0</v>
      </c>
      <c r="AG218" s="5">
        <f>recovered!AG218-recovered!AF218</f>
        <v>0</v>
      </c>
      <c r="AH218" s="5">
        <f>recovered!AH218-recovered!AG218</f>
        <v>0</v>
      </c>
      <c r="AI218" s="5">
        <f>recovered!AI218-recovered!AH218</f>
        <v>0</v>
      </c>
      <c r="AJ218" s="5">
        <f>recovered!AJ218-recovered!AI218</f>
        <v>0</v>
      </c>
      <c r="AK218" s="5">
        <f>recovered!AK218-recovered!AJ218</f>
        <v>0</v>
      </c>
      <c r="AL218" s="5">
        <f>recovered!AL218-recovered!AK218</f>
        <v>0</v>
      </c>
      <c r="AM218" s="5">
        <f>recovered!AM218-recovered!AL218</f>
        <v>0</v>
      </c>
      <c r="AN218" s="5">
        <f>recovered!AN218-recovered!AM218</f>
        <v>0</v>
      </c>
      <c r="AO218" s="5">
        <f>recovered!AO218-recovered!AN218</f>
        <v>0</v>
      </c>
      <c r="AP218" s="5">
        <f>recovered!AP218-recovered!AO218</f>
        <v>1</v>
      </c>
      <c r="AQ218" s="5">
        <f>recovered!AQ218-recovered!AP218</f>
        <v>0</v>
      </c>
      <c r="AR218" s="5">
        <f>recovered!AR218-recovered!AQ218</f>
        <v>0</v>
      </c>
      <c r="AS218" s="5">
        <f>recovered!AS218-recovered!AR218</f>
        <v>0</v>
      </c>
      <c r="AT218" s="5">
        <f>recovered!AT218-recovered!AS218</f>
        <v>0</v>
      </c>
      <c r="AU218" s="5">
        <f>recovered!AU218-recovered!AT218</f>
        <v>0</v>
      </c>
      <c r="AV218" s="5">
        <f>recovered!AV218-recovered!AU218</f>
        <v>0</v>
      </c>
      <c r="AW218" s="5">
        <f>recovered!AW218-recovered!AV218</f>
        <v>0</v>
      </c>
      <c r="AX218" s="5">
        <f>recovered!AX218-recovered!AW218</f>
        <v>2</v>
      </c>
      <c r="AY218" s="5">
        <f>recovered!AY218-recovered!AX218</f>
        <v>0</v>
      </c>
      <c r="AZ218" s="5">
        <f>recovered!AZ218-recovered!AY218</f>
        <v>0</v>
      </c>
      <c r="BA218" s="5">
        <f>recovered!BA218-recovered!AZ218</f>
        <v>5</v>
      </c>
      <c r="BB218" s="5">
        <f>recovered!BB218-recovered!BA218</f>
        <v>5</v>
      </c>
      <c r="BC218" s="5">
        <f>recovered!BC218-recovered!BB218</f>
        <v>0</v>
      </c>
      <c r="BD218" s="5">
        <f>recovered!BD218-recovered!BC218</f>
        <v>0</v>
      </c>
      <c r="BE218" s="5">
        <f>recovered!BE218-recovered!BD218</f>
        <v>0</v>
      </c>
      <c r="BF218" s="5">
        <f>recovered!BF218-recovered!BE218</f>
        <v>6</v>
      </c>
      <c r="BG218" s="5">
        <f>recovered!BG218-recovered!BF218</f>
        <v>0</v>
      </c>
      <c r="BH218" s="5">
        <f>recovered!BH218-recovered!BG218</f>
        <v>0</v>
      </c>
      <c r="BI218" s="5">
        <f>recovered!BI218-recovered!BH218</f>
        <v>3</v>
      </c>
      <c r="BJ218" s="5">
        <f>recovered!BJ218-recovered!BI218</f>
        <v>5</v>
      </c>
      <c r="BK218" s="5">
        <f>recovered!BK218-recovered!BJ218</f>
        <v>0</v>
      </c>
      <c r="BL218" s="5">
        <f>recovered!BL218-recovered!BK218</f>
        <v>7</v>
      </c>
      <c r="BM218" s="5">
        <f>recovered!BM218-recovered!BL218</f>
        <v>0</v>
      </c>
      <c r="BN218" s="5">
        <f>recovered!BN218-recovered!BM218</f>
        <v>0</v>
      </c>
      <c r="BO218" s="5">
        <f>recovered!BO218-recovered!BN218</f>
        <v>7</v>
      </c>
      <c r="BP218" s="5">
        <f>recovered!BP218-recovered!BO218</f>
        <v>7</v>
      </c>
      <c r="BQ218" s="5">
        <f>recovered!BQ218-recovered!BP218</f>
        <v>0</v>
      </c>
      <c r="BR218" s="5">
        <f>recovered!BR218-recovered!BQ218</f>
        <v>0</v>
      </c>
      <c r="BS218" s="5">
        <f>recovered!BS218-recovered!BR218</f>
        <v>0</v>
      </c>
      <c r="BT218" s="5">
        <f>recovered!BT218-recovered!BS218</f>
        <v>6</v>
      </c>
      <c r="BU218" s="5">
        <f>recovered!BU218-recovered!BT218</f>
        <v>3</v>
      </c>
      <c r="BV218" s="5">
        <f>recovered!BV218-recovered!BU218</f>
        <v>0</v>
      </c>
      <c r="BW218" s="5">
        <f>recovered!BW218-recovered!BV218</f>
        <v>0</v>
      </c>
      <c r="BX218" s="5">
        <f>recovered!BX218-recovered!BW218</f>
        <v>35</v>
      </c>
      <c r="BY218" s="5">
        <f>recovered!BY218-recovered!BX218</f>
        <v>12</v>
      </c>
    </row>
    <row r="219">
      <c r="B219" s="1" t="str">
        <f>recovered!B219</f>
        <v>United Kingdom</v>
      </c>
      <c r="C219" s="4">
        <f>recovered!C219</f>
        <v>32.3078</v>
      </c>
      <c r="D219" s="4">
        <f>recovered!D219</f>
        <v>-64.7505</v>
      </c>
      <c r="E219" s="5">
        <f>recovered!E219</f>
        <v>0</v>
      </c>
      <c r="F219" s="5">
        <f>recovered!F219-recovered!E219</f>
        <v>0</v>
      </c>
      <c r="G219" s="5">
        <f>recovered!G219-recovered!F219</f>
        <v>0</v>
      </c>
      <c r="H219" s="5">
        <f>recovered!H219-recovered!G219</f>
        <v>0</v>
      </c>
      <c r="I219" s="5">
        <f>recovered!I219-recovered!H219</f>
        <v>0</v>
      </c>
      <c r="J219" s="5">
        <f>recovered!J219-recovered!I219</f>
        <v>0</v>
      </c>
      <c r="K219" s="5">
        <f>recovered!K219-recovered!J219</f>
        <v>0</v>
      </c>
      <c r="L219" s="5">
        <f>recovered!L219-recovered!K219</f>
        <v>0</v>
      </c>
      <c r="M219" s="5">
        <f>recovered!M219-recovered!L219</f>
        <v>0</v>
      </c>
      <c r="N219" s="5">
        <f>recovered!N219-recovered!M219</f>
        <v>0</v>
      </c>
      <c r="O219" s="5">
        <f>recovered!O219-recovered!N219</f>
        <v>0</v>
      </c>
      <c r="P219" s="5">
        <f>recovered!P219-recovered!O219</f>
        <v>0</v>
      </c>
      <c r="Q219" s="5">
        <f>recovered!Q219-recovered!P219</f>
        <v>0</v>
      </c>
      <c r="R219" s="5">
        <f>recovered!R219-recovered!Q219</f>
        <v>0</v>
      </c>
      <c r="S219" s="5">
        <f>recovered!S219-recovered!R219</f>
        <v>0</v>
      </c>
      <c r="T219" s="5">
        <f>recovered!T219-recovered!S219</f>
        <v>0</v>
      </c>
      <c r="U219" s="5">
        <f>recovered!U219-recovered!T219</f>
        <v>0</v>
      </c>
      <c r="V219" s="5">
        <f>recovered!V219-recovered!U219</f>
        <v>0</v>
      </c>
      <c r="W219" s="5">
        <f>recovered!W219-recovered!V219</f>
        <v>0</v>
      </c>
      <c r="X219" s="5">
        <f>recovered!X219-recovered!W219</f>
        <v>0</v>
      </c>
      <c r="Y219" s="5">
        <f>recovered!Y219-recovered!X219</f>
        <v>0</v>
      </c>
      <c r="Z219" s="5">
        <f>recovered!Z219-recovered!Y219</f>
        <v>0</v>
      </c>
      <c r="AA219" s="5">
        <f>recovered!AA219-recovered!Z219</f>
        <v>0</v>
      </c>
      <c r="AB219" s="5">
        <f>recovered!AB219-recovered!AA219</f>
        <v>0</v>
      </c>
      <c r="AC219" s="5">
        <f>recovered!AC219-recovered!AB219</f>
        <v>0</v>
      </c>
      <c r="AD219" s="5">
        <f>recovered!AD219-recovered!AC219</f>
        <v>0</v>
      </c>
      <c r="AE219" s="5">
        <f>recovered!AE219-recovered!AD219</f>
        <v>0</v>
      </c>
      <c r="AF219" s="5">
        <f>recovered!AF219-recovered!AE219</f>
        <v>0</v>
      </c>
      <c r="AG219" s="5">
        <f>recovered!AG219-recovered!AF219</f>
        <v>0</v>
      </c>
      <c r="AH219" s="5">
        <f>recovered!AH219-recovered!AG219</f>
        <v>0</v>
      </c>
      <c r="AI219" s="5">
        <f>recovered!AI219-recovered!AH219</f>
        <v>0</v>
      </c>
      <c r="AJ219" s="5">
        <f>recovered!AJ219-recovered!AI219</f>
        <v>0</v>
      </c>
      <c r="AK219" s="5">
        <f>recovered!AK219-recovered!AJ219</f>
        <v>0</v>
      </c>
      <c r="AL219" s="5">
        <f>recovered!AL219-recovered!AK219</f>
        <v>0</v>
      </c>
      <c r="AM219" s="5">
        <f>recovered!AM219-recovered!AL219</f>
        <v>0</v>
      </c>
      <c r="AN219" s="5">
        <f>recovered!AN219-recovered!AM219</f>
        <v>0</v>
      </c>
      <c r="AO219" s="5">
        <f>recovered!AO219-recovered!AN219</f>
        <v>0</v>
      </c>
      <c r="AP219" s="5">
        <f>recovered!AP219-recovered!AO219</f>
        <v>0</v>
      </c>
      <c r="AQ219" s="5">
        <f>recovered!AQ219-recovered!AP219</f>
        <v>0</v>
      </c>
      <c r="AR219" s="5">
        <f>recovered!AR219-recovered!AQ219</f>
        <v>0</v>
      </c>
      <c r="AS219" s="5">
        <f>recovered!AS219-recovered!AR219</f>
        <v>0</v>
      </c>
      <c r="AT219" s="5">
        <f>recovered!AT219-recovered!AS219</f>
        <v>0</v>
      </c>
      <c r="AU219" s="5">
        <f>recovered!AU219-recovered!AT219</f>
        <v>0</v>
      </c>
      <c r="AV219" s="5">
        <f>recovered!AV219-recovered!AU219</f>
        <v>0</v>
      </c>
      <c r="AW219" s="5">
        <f>recovered!AW219-recovered!AV219</f>
        <v>0</v>
      </c>
      <c r="AX219" s="5">
        <f>recovered!AX219-recovered!AW219</f>
        <v>0</v>
      </c>
      <c r="AY219" s="5">
        <f>recovered!AY219-recovered!AX219</f>
        <v>0</v>
      </c>
      <c r="AZ219" s="5">
        <f>recovered!AZ219-recovered!AY219</f>
        <v>0</v>
      </c>
      <c r="BA219" s="5">
        <f>recovered!BA219-recovered!AZ219</f>
        <v>0</v>
      </c>
      <c r="BB219" s="5">
        <f>recovered!BB219-recovered!BA219</f>
        <v>0</v>
      </c>
      <c r="BC219" s="5">
        <f>recovered!BC219-recovered!BB219</f>
        <v>0</v>
      </c>
      <c r="BD219" s="5">
        <f>recovered!BD219-recovered!BC219</f>
        <v>0</v>
      </c>
      <c r="BE219" s="5">
        <f>recovered!BE219-recovered!BD219</f>
        <v>0</v>
      </c>
      <c r="BF219" s="5">
        <f>recovered!BF219-recovered!BE219</f>
        <v>0</v>
      </c>
      <c r="BG219" s="5">
        <f>recovered!BG219-recovered!BF219</f>
        <v>0</v>
      </c>
      <c r="BH219" s="5">
        <f>recovered!BH219-recovered!BG219</f>
        <v>0</v>
      </c>
      <c r="BI219" s="5">
        <f>recovered!BI219-recovered!BH219</f>
        <v>0</v>
      </c>
      <c r="BJ219" s="5">
        <f>recovered!BJ219-recovered!BI219</f>
        <v>0</v>
      </c>
      <c r="BK219" s="5">
        <f>recovered!BK219-recovered!BJ219</f>
        <v>0</v>
      </c>
      <c r="BL219" s="5">
        <f>recovered!BL219-recovered!BK219</f>
        <v>0</v>
      </c>
      <c r="BM219" s="5">
        <f>recovered!BM219-recovered!BL219</f>
        <v>0</v>
      </c>
      <c r="BN219" s="5">
        <f>recovered!BN219-recovered!BM219</f>
        <v>0</v>
      </c>
      <c r="BO219" s="5">
        <f>recovered!BO219-recovered!BN219</f>
        <v>0</v>
      </c>
      <c r="BP219" s="5">
        <f>recovered!BP219-recovered!BO219</f>
        <v>0</v>
      </c>
      <c r="BQ219" s="5">
        <f>recovered!BQ219-recovered!BP219</f>
        <v>2</v>
      </c>
      <c r="BR219" s="5">
        <f>recovered!BR219-recovered!BQ219</f>
        <v>0</v>
      </c>
      <c r="BS219" s="5">
        <f>recovered!BS219-recovered!BR219</f>
        <v>0</v>
      </c>
      <c r="BT219" s="5">
        <f>recovered!BT219-recovered!BS219</f>
        <v>0</v>
      </c>
      <c r="BU219" s="5">
        <f>recovered!BU219-recovered!BT219</f>
        <v>0</v>
      </c>
      <c r="BV219" s="5">
        <f>recovered!BV219-recovered!BU219</f>
        <v>8</v>
      </c>
      <c r="BW219" s="5">
        <f>recovered!BW219-recovered!BV219</f>
        <v>0</v>
      </c>
      <c r="BX219" s="5">
        <f>recovered!BX219-recovered!BW219</f>
        <v>1</v>
      </c>
      <c r="BY219" s="5">
        <f>recovered!BY219-recovered!BX219</f>
        <v>3</v>
      </c>
    </row>
    <row r="220">
      <c r="B220" s="1" t="str">
        <f>recovered!B220</f>
        <v>United Kingdom</v>
      </c>
      <c r="C220" s="4">
        <f>recovered!C220</f>
        <v>19.3133</v>
      </c>
      <c r="D220" s="4">
        <f>recovered!D220</f>
        <v>-81.2546</v>
      </c>
      <c r="E220" s="5">
        <f>recovered!E220</f>
        <v>0</v>
      </c>
      <c r="F220" s="5">
        <f>recovered!F220-recovered!E220</f>
        <v>0</v>
      </c>
      <c r="G220" s="5">
        <f>recovered!G220-recovered!F220</f>
        <v>0</v>
      </c>
      <c r="H220" s="5">
        <f>recovered!H220-recovered!G220</f>
        <v>0</v>
      </c>
      <c r="I220" s="5">
        <f>recovered!I220-recovered!H220</f>
        <v>0</v>
      </c>
      <c r="J220" s="5">
        <f>recovered!J220-recovered!I220</f>
        <v>0</v>
      </c>
      <c r="K220" s="5">
        <f>recovered!K220-recovered!J220</f>
        <v>0</v>
      </c>
      <c r="L220" s="5">
        <f>recovered!L220-recovered!K220</f>
        <v>0</v>
      </c>
      <c r="M220" s="5">
        <f>recovered!M220-recovered!L220</f>
        <v>0</v>
      </c>
      <c r="N220" s="5">
        <f>recovered!N220-recovered!M220</f>
        <v>0</v>
      </c>
      <c r="O220" s="5">
        <f>recovered!O220-recovered!N220</f>
        <v>0</v>
      </c>
      <c r="P220" s="5">
        <f>recovered!P220-recovered!O220</f>
        <v>0</v>
      </c>
      <c r="Q220" s="5">
        <f>recovered!Q220-recovered!P220</f>
        <v>0</v>
      </c>
      <c r="R220" s="5">
        <f>recovered!R220-recovered!Q220</f>
        <v>0</v>
      </c>
      <c r="S220" s="5">
        <f>recovered!S220-recovered!R220</f>
        <v>0</v>
      </c>
      <c r="T220" s="5">
        <f>recovered!T220-recovered!S220</f>
        <v>0</v>
      </c>
      <c r="U220" s="5">
        <f>recovered!U220-recovered!T220</f>
        <v>0</v>
      </c>
      <c r="V220" s="5">
        <f>recovered!V220-recovered!U220</f>
        <v>0</v>
      </c>
      <c r="W220" s="5">
        <f>recovered!W220-recovered!V220</f>
        <v>0</v>
      </c>
      <c r="X220" s="5">
        <f>recovered!X220-recovered!W220</f>
        <v>0</v>
      </c>
      <c r="Y220" s="5">
        <f>recovered!Y220-recovered!X220</f>
        <v>0</v>
      </c>
      <c r="Z220" s="5">
        <f>recovered!Z220-recovered!Y220</f>
        <v>0</v>
      </c>
      <c r="AA220" s="5">
        <f>recovered!AA220-recovered!Z220</f>
        <v>0</v>
      </c>
      <c r="AB220" s="5">
        <f>recovered!AB220-recovered!AA220</f>
        <v>0</v>
      </c>
      <c r="AC220" s="5">
        <f>recovered!AC220-recovered!AB220</f>
        <v>0</v>
      </c>
      <c r="AD220" s="5">
        <f>recovered!AD220-recovered!AC220</f>
        <v>0</v>
      </c>
      <c r="AE220" s="5">
        <f>recovered!AE220-recovered!AD220</f>
        <v>0</v>
      </c>
      <c r="AF220" s="5">
        <f>recovered!AF220-recovered!AE220</f>
        <v>0</v>
      </c>
      <c r="AG220" s="5">
        <f>recovered!AG220-recovered!AF220</f>
        <v>0</v>
      </c>
      <c r="AH220" s="5">
        <f>recovered!AH220-recovered!AG220</f>
        <v>0</v>
      </c>
      <c r="AI220" s="5">
        <f>recovered!AI220-recovered!AH220</f>
        <v>0</v>
      </c>
      <c r="AJ220" s="5">
        <f>recovered!AJ220-recovered!AI220</f>
        <v>0</v>
      </c>
      <c r="AK220" s="5">
        <f>recovered!AK220-recovered!AJ220</f>
        <v>0</v>
      </c>
      <c r="AL220" s="5">
        <f>recovered!AL220-recovered!AK220</f>
        <v>0</v>
      </c>
      <c r="AM220" s="5">
        <f>recovered!AM220-recovered!AL220</f>
        <v>0</v>
      </c>
      <c r="AN220" s="5">
        <f>recovered!AN220-recovered!AM220</f>
        <v>0</v>
      </c>
      <c r="AO220" s="5">
        <f>recovered!AO220-recovered!AN220</f>
        <v>0</v>
      </c>
      <c r="AP220" s="5">
        <f>recovered!AP220-recovered!AO220</f>
        <v>0</v>
      </c>
      <c r="AQ220" s="5">
        <f>recovered!AQ220-recovered!AP220</f>
        <v>0</v>
      </c>
      <c r="AR220" s="5">
        <f>recovered!AR220-recovered!AQ220</f>
        <v>0</v>
      </c>
      <c r="AS220" s="5">
        <f>recovered!AS220-recovered!AR220</f>
        <v>0</v>
      </c>
      <c r="AT220" s="5">
        <f>recovered!AT220-recovered!AS220</f>
        <v>0</v>
      </c>
      <c r="AU220" s="5">
        <f>recovered!AU220-recovered!AT220</f>
        <v>0</v>
      </c>
      <c r="AV220" s="5">
        <f>recovered!AV220-recovered!AU220</f>
        <v>0</v>
      </c>
      <c r="AW220" s="5">
        <f>recovered!AW220-recovered!AV220</f>
        <v>0</v>
      </c>
      <c r="AX220" s="5">
        <f>recovered!AX220-recovered!AW220</f>
        <v>0</v>
      </c>
      <c r="AY220" s="5">
        <f>recovered!AY220-recovered!AX220</f>
        <v>0</v>
      </c>
      <c r="AZ220" s="5">
        <f>recovered!AZ220-recovered!AY220</f>
        <v>0</v>
      </c>
      <c r="BA220" s="5">
        <f>recovered!BA220-recovered!AZ220</f>
        <v>0</v>
      </c>
      <c r="BB220" s="5">
        <f>recovered!BB220-recovered!BA220</f>
        <v>0</v>
      </c>
      <c r="BC220" s="5">
        <f>recovered!BC220-recovered!BB220</f>
        <v>0</v>
      </c>
      <c r="BD220" s="5">
        <f>recovered!BD220-recovered!BC220</f>
        <v>0</v>
      </c>
      <c r="BE220" s="5">
        <f>recovered!BE220-recovered!BD220</f>
        <v>0</v>
      </c>
      <c r="BF220" s="5">
        <f>recovered!BF220-recovered!BE220</f>
        <v>0</v>
      </c>
      <c r="BG220" s="5">
        <f>recovered!BG220-recovered!BF220</f>
        <v>0</v>
      </c>
      <c r="BH220" s="5">
        <f>recovered!BH220-recovered!BG220</f>
        <v>0</v>
      </c>
      <c r="BI220" s="5">
        <f>recovered!BI220-recovered!BH220</f>
        <v>0</v>
      </c>
      <c r="BJ220" s="5">
        <f>recovered!BJ220-recovered!BI220</f>
        <v>0</v>
      </c>
      <c r="BK220" s="5">
        <f>recovered!BK220-recovered!BJ220</f>
        <v>0</v>
      </c>
      <c r="BL220" s="5">
        <f>recovered!BL220-recovered!BK220</f>
        <v>0</v>
      </c>
      <c r="BM220" s="5">
        <f>recovered!BM220-recovered!BL220</f>
        <v>0</v>
      </c>
      <c r="BN220" s="5">
        <f>recovered!BN220-recovered!BM220</f>
        <v>0</v>
      </c>
      <c r="BO220" s="5">
        <f>recovered!BO220-recovered!BN220</f>
        <v>0</v>
      </c>
      <c r="BP220" s="5">
        <f>recovered!BP220-recovered!BO220</f>
        <v>0</v>
      </c>
      <c r="BQ220" s="5">
        <f>recovered!BQ220-recovered!BP220</f>
        <v>0</v>
      </c>
      <c r="BR220" s="5">
        <f>recovered!BR220-recovered!BQ220</f>
        <v>0</v>
      </c>
      <c r="BS220" s="5">
        <f>recovered!BS220-recovered!BR220</f>
        <v>0</v>
      </c>
      <c r="BT220" s="5">
        <f>recovered!BT220-recovered!BS220</f>
        <v>0</v>
      </c>
      <c r="BU220" s="5">
        <f>recovered!BU220-recovered!BT220</f>
        <v>0</v>
      </c>
      <c r="BV220" s="5">
        <f>recovered!BV220-recovered!BU220</f>
        <v>0</v>
      </c>
      <c r="BW220" s="5">
        <f>recovered!BW220-recovered!BV220</f>
        <v>0</v>
      </c>
      <c r="BX220" s="5">
        <f>recovered!BX220-recovered!BW220</f>
        <v>0</v>
      </c>
      <c r="BY220" s="5">
        <f>recovered!BY220-recovered!BX220</f>
        <v>0</v>
      </c>
    </row>
    <row r="221">
      <c r="B221" s="1" t="str">
        <f>recovered!B221</f>
        <v>United Kingdom</v>
      </c>
      <c r="C221" s="4">
        <f>recovered!C221</f>
        <v>49.3723</v>
      </c>
      <c r="D221" s="4">
        <f>recovered!D221</f>
        <v>-2.3644</v>
      </c>
      <c r="E221" s="5">
        <f>recovered!E221</f>
        <v>0</v>
      </c>
      <c r="F221" s="5">
        <f>recovered!F221-recovered!E221</f>
        <v>0</v>
      </c>
      <c r="G221" s="5">
        <f>recovered!G221-recovered!F221</f>
        <v>0</v>
      </c>
      <c r="H221" s="5">
        <f>recovered!H221-recovered!G221</f>
        <v>0</v>
      </c>
      <c r="I221" s="5">
        <f>recovered!I221-recovered!H221</f>
        <v>0</v>
      </c>
      <c r="J221" s="5">
        <f>recovered!J221-recovered!I221</f>
        <v>0</v>
      </c>
      <c r="K221" s="5">
        <f>recovered!K221-recovered!J221</f>
        <v>0</v>
      </c>
      <c r="L221" s="5">
        <f>recovered!L221-recovered!K221</f>
        <v>0</v>
      </c>
      <c r="M221" s="5">
        <f>recovered!M221-recovered!L221</f>
        <v>0</v>
      </c>
      <c r="N221" s="5">
        <f>recovered!N221-recovered!M221</f>
        <v>0</v>
      </c>
      <c r="O221" s="5">
        <f>recovered!O221-recovered!N221</f>
        <v>0</v>
      </c>
      <c r="P221" s="5">
        <f>recovered!P221-recovered!O221</f>
        <v>0</v>
      </c>
      <c r="Q221" s="5">
        <f>recovered!Q221-recovered!P221</f>
        <v>0</v>
      </c>
      <c r="R221" s="5">
        <f>recovered!R221-recovered!Q221</f>
        <v>0</v>
      </c>
      <c r="S221" s="5">
        <f>recovered!S221-recovered!R221</f>
        <v>0</v>
      </c>
      <c r="T221" s="5">
        <f>recovered!T221-recovered!S221</f>
        <v>0</v>
      </c>
      <c r="U221" s="5">
        <f>recovered!U221-recovered!T221</f>
        <v>0</v>
      </c>
      <c r="V221" s="5">
        <f>recovered!V221-recovered!U221</f>
        <v>0</v>
      </c>
      <c r="W221" s="5">
        <f>recovered!W221-recovered!V221</f>
        <v>0</v>
      </c>
      <c r="X221" s="5">
        <f>recovered!X221-recovered!W221</f>
        <v>0</v>
      </c>
      <c r="Y221" s="5">
        <f>recovered!Y221-recovered!X221</f>
        <v>0</v>
      </c>
      <c r="Z221" s="5">
        <f>recovered!Z221-recovered!Y221</f>
        <v>0</v>
      </c>
      <c r="AA221" s="5">
        <f>recovered!AA221-recovered!Z221</f>
        <v>0</v>
      </c>
      <c r="AB221" s="5">
        <f>recovered!AB221-recovered!AA221</f>
        <v>0</v>
      </c>
      <c r="AC221" s="5">
        <f>recovered!AC221-recovered!AB221</f>
        <v>0</v>
      </c>
      <c r="AD221" s="5">
        <f>recovered!AD221-recovered!AC221</f>
        <v>0</v>
      </c>
      <c r="AE221" s="5">
        <f>recovered!AE221-recovered!AD221</f>
        <v>0</v>
      </c>
      <c r="AF221" s="5">
        <f>recovered!AF221-recovered!AE221</f>
        <v>0</v>
      </c>
      <c r="AG221" s="5">
        <f>recovered!AG221-recovered!AF221</f>
        <v>0</v>
      </c>
      <c r="AH221" s="5">
        <f>recovered!AH221-recovered!AG221</f>
        <v>0</v>
      </c>
      <c r="AI221" s="5">
        <f>recovered!AI221-recovered!AH221</f>
        <v>0</v>
      </c>
      <c r="AJ221" s="5">
        <f>recovered!AJ221-recovered!AI221</f>
        <v>0</v>
      </c>
      <c r="AK221" s="5">
        <f>recovered!AK221-recovered!AJ221</f>
        <v>0</v>
      </c>
      <c r="AL221" s="5">
        <f>recovered!AL221-recovered!AK221</f>
        <v>0</v>
      </c>
      <c r="AM221" s="5">
        <f>recovered!AM221-recovered!AL221</f>
        <v>0</v>
      </c>
      <c r="AN221" s="5">
        <f>recovered!AN221-recovered!AM221</f>
        <v>0</v>
      </c>
      <c r="AO221" s="5">
        <f>recovered!AO221-recovered!AN221</f>
        <v>0</v>
      </c>
      <c r="AP221" s="5">
        <f>recovered!AP221-recovered!AO221</f>
        <v>0</v>
      </c>
      <c r="AQ221" s="5">
        <f>recovered!AQ221-recovered!AP221</f>
        <v>0</v>
      </c>
      <c r="AR221" s="5">
        <f>recovered!AR221-recovered!AQ221</f>
        <v>0</v>
      </c>
      <c r="AS221" s="5">
        <f>recovered!AS221-recovered!AR221</f>
        <v>0</v>
      </c>
      <c r="AT221" s="5">
        <f>recovered!AT221-recovered!AS221</f>
        <v>0</v>
      </c>
      <c r="AU221" s="5">
        <f>recovered!AU221-recovered!AT221</f>
        <v>0</v>
      </c>
      <c r="AV221" s="5">
        <f>recovered!AV221-recovered!AU221</f>
        <v>0</v>
      </c>
      <c r="AW221" s="5">
        <f>recovered!AW221-recovered!AV221</f>
        <v>0</v>
      </c>
      <c r="AX221" s="5">
        <f>recovered!AX221-recovered!AW221</f>
        <v>0</v>
      </c>
      <c r="AY221" s="5">
        <f>recovered!AY221-recovered!AX221</f>
        <v>0</v>
      </c>
      <c r="AZ221" s="5">
        <f>recovered!AZ221-recovered!AY221</f>
        <v>0</v>
      </c>
      <c r="BA221" s="5">
        <f>recovered!BA221-recovered!AZ221</f>
        <v>0</v>
      </c>
      <c r="BB221" s="5">
        <f>recovered!BB221-recovered!BA221</f>
        <v>0</v>
      </c>
      <c r="BC221" s="5">
        <f>recovered!BC221-recovered!BB221</f>
        <v>0</v>
      </c>
      <c r="BD221" s="5">
        <f>recovered!BD221-recovered!BC221</f>
        <v>0</v>
      </c>
      <c r="BE221" s="5">
        <f>recovered!BE221-recovered!BD221</f>
        <v>0</v>
      </c>
      <c r="BF221" s="5">
        <f>recovered!BF221-recovered!BE221</f>
        <v>0</v>
      </c>
      <c r="BG221" s="5">
        <f>recovered!BG221-recovered!BF221</f>
        <v>0</v>
      </c>
      <c r="BH221" s="5">
        <f>recovered!BH221-recovered!BG221</f>
        <v>0</v>
      </c>
      <c r="BI221" s="5">
        <f>recovered!BI221-recovered!BH221</f>
        <v>0</v>
      </c>
      <c r="BJ221" s="5">
        <f>recovered!BJ221-recovered!BI221</f>
        <v>0</v>
      </c>
      <c r="BK221" s="5">
        <f>recovered!BK221-recovered!BJ221</f>
        <v>0</v>
      </c>
      <c r="BL221" s="5">
        <f>recovered!BL221-recovered!BK221</f>
        <v>0</v>
      </c>
      <c r="BM221" s="5">
        <f>recovered!BM221-recovered!BL221</f>
        <v>0</v>
      </c>
      <c r="BN221" s="5">
        <f>recovered!BN221-recovered!BM221</f>
        <v>0</v>
      </c>
      <c r="BO221" s="5">
        <f>recovered!BO221-recovered!BN221</f>
        <v>0</v>
      </c>
      <c r="BP221" s="5">
        <f>recovered!BP221-recovered!BO221</f>
        <v>0</v>
      </c>
      <c r="BQ221" s="5">
        <f>recovered!BQ221-recovered!BP221</f>
        <v>0</v>
      </c>
      <c r="BR221" s="5">
        <f>recovered!BR221-recovered!BQ221</f>
        <v>0</v>
      </c>
      <c r="BS221" s="5">
        <f>recovered!BS221-recovered!BR221</f>
        <v>0</v>
      </c>
      <c r="BT221" s="5">
        <f>recovered!BT221-recovered!BS221</f>
        <v>0</v>
      </c>
      <c r="BU221" s="5">
        <f>recovered!BU221-recovered!BT221</f>
        <v>0</v>
      </c>
      <c r="BV221" s="5">
        <f>recovered!BV221-recovered!BU221</f>
        <v>0</v>
      </c>
      <c r="BW221" s="5">
        <f>recovered!BW221-recovered!BV221</f>
        <v>0</v>
      </c>
      <c r="BX221" s="5">
        <f>recovered!BX221-recovered!BW221</f>
        <v>0</v>
      </c>
      <c r="BY221" s="5">
        <f>recovered!BY221-recovered!BX221</f>
        <v>13</v>
      </c>
    </row>
    <row r="222">
      <c r="B222" s="1" t="str">
        <f>recovered!B222</f>
        <v>United Kingdom</v>
      </c>
      <c r="C222" s="4">
        <f>recovered!C222</f>
        <v>36.1408</v>
      </c>
      <c r="D222" s="4">
        <f>recovered!D222</f>
        <v>-5.3536</v>
      </c>
      <c r="E222" s="5">
        <f>recovered!E222</f>
        <v>0</v>
      </c>
      <c r="F222" s="5">
        <f>recovered!F222-recovered!E222</f>
        <v>0</v>
      </c>
      <c r="G222" s="5">
        <f>recovered!G222-recovered!F222</f>
        <v>0</v>
      </c>
      <c r="H222" s="5">
        <f>recovered!H222-recovered!G222</f>
        <v>0</v>
      </c>
      <c r="I222" s="5">
        <f>recovered!I222-recovered!H222</f>
        <v>0</v>
      </c>
      <c r="J222" s="5">
        <f>recovered!J222-recovered!I222</f>
        <v>0</v>
      </c>
      <c r="K222" s="5">
        <f>recovered!K222-recovered!J222</f>
        <v>0</v>
      </c>
      <c r="L222" s="5">
        <f>recovered!L222-recovered!K222</f>
        <v>0</v>
      </c>
      <c r="M222" s="5">
        <f>recovered!M222-recovered!L222</f>
        <v>0</v>
      </c>
      <c r="N222" s="5">
        <f>recovered!N222-recovered!M222</f>
        <v>0</v>
      </c>
      <c r="O222" s="5">
        <f>recovered!O222-recovered!N222</f>
        <v>0</v>
      </c>
      <c r="P222" s="5">
        <f>recovered!P222-recovered!O222</f>
        <v>0</v>
      </c>
      <c r="Q222" s="5">
        <f>recovered!Q222-recovered!P222</f>
        <v>0</v>
      </c>
      <c r="R222" s="5">
        <f>recovered!R222-recovered!Q222</f>
        <v>0</v>
      </c>
      <c r="S222" s="5">
        <f>recovered!S222-recovered!R222</f>
        <v>0</v>
      </c>
      <c r="T222" s="5">
        <f>recovered!T222-recovered!S222</f>
        <v>0</v>
      </c>
      <c r="U222" s="5">
        <f>recovered!U222-recovered!T222</f>
        <v>0</v>
      </c>
      <c r="V222" s="5">
        <f>recovered!V222-recovered!U222</f>
        <v>0</v>
      </c>
      <c r="W222" s="5">
        <f>recovered!W222-recovered!V222</f>
        <v>0</v>
      </c>
      <c r="X222" s="5">
        <f>recovered!X222-recovered!W222</f>
        <v>0</v>
      </c>
      <c r="Y222" s="5">
        <f>recovered!Y222-recovered!X222</f>
        <v>0</v>
      </c>
      <c r="Z222" s="5">
        <f>recovered!Z222-recovered!Y222</f>
        <v>0</v>
      </c>
      <c r="AA222" s="5">
        <f>recovered!AA222-recovered!Z222</f>
        <v>0</v>
      </c>
      <c r="AB222" s="5">
        <f>recovered!AB222-recovered!AA222</f>
        <v>0</v>
      </c>
      <c r="AC222" s="5">
        <f>recovered!AC222-recovered!AB222</f>
        <v>0</v>
      </c>
      <c r="AD222" s="5">
        <f>recovered!AD222-recovered!AC222</f>
        <v>0</v>
      </c>
      <c r="AE222" s="5">
        <f>recovered!AE222-recovered!AD222</f>
        <v>0</v>
      </c>
      <c r="AF222" s="5">
        <f>recovered!AF222-recovered!AE222</f>
        <v>0</v>
      </c>
      <c r="AG222" s="5">
        <f>recovered!AG222-recovered!AF222</f>
        <v>0</v>
      </c>
      <c r="AH222" s="5">
        <f>recovered!AH222-recovered!AG222</f>
        <v>0</v>
      </c>
      <c r="AI222" s="5">
        <f>recovered!AI222-recovered!AH222</f>
        <v>0</v>
      </c>
      <c r="AJ222" s="5">
        <f>recovered!AJ222-recovered!AI222</f>
        <v>0</v>
      </c>
      <c r="AK222" s="5">
        <f>recovered!AK222-recovered!AJ222</f>
        <v>0</v>
      </c>
      <c r="AL222" s="5">
        <f>recovered!AL222-recovered!AK222</f>
        <v>0</v>
      </c>
      <c r="AM222" s="5">
        <f>recovered!AM222-recovered!AL222</f>
        <v>0</v>
      </c>
      <c r="AN222" s="5">
        <f>recovered!AN222-recovered!AM222</f>
        <v>0</v>
      </c>
      <c r="AO222" s="5">
        <f>recovered!AO222-recovered!AN222</f>
        <v>0</v>
      </c>
      <c r="AP222" s="5">
        <f>recovered!AP222-recovered!AO222</f>
        <v>0</v>
      </c>
      <c r="AQ222" s="5">
        <f>recovered!AQ222-recovered!AP222</f>
        <v>0</v>
      </c>
      <c r="AR222" s="5">
        <f>recovered!AR222-recovered!AQ222</f>
        <v>0</v>
      </c>
      <c r="AS222" s="5">
        <f>recovered!AS222-recovered!AR222</f>
        <v>0</v>
      </c>
      <c r="AT222" s="5">
        <f>recovered!AT222-recovered!AS222</f>
        <v>0</v>
      </c>
      <c r="AU222" s="5">
        <f>recovered!AU222-recovered!AT222</f>
        <v>0</v>
      </c>
      <c r="AV222" s="5">
        <f>recovered!AV222-recovered!AU222</f>
        <v>0</v>
      </c>
      <c r="AW222" s="5">
        <f>recovered!AW222-recovered!AV222</f>
        <v>0</v>
      </c>
      <c r="AX222" s="5">
        <f>recovered!AX222-recovered!AW222</f>
        <v>0</v>
      </c>
      <c r="AY222" s="5">
        <f>recovered!AY222-recovered!AX222</f>
        <v>0</v>
      </c>
      <c r="AZ222" s="5">
        <f>recovered!AZ222-recovered!AY222</f>
        <v>0</v>
      </c>
      <c r="BA222" s="5">
        <f>recovered!BA222-recovered!AZ222</f>
        <v>1</v>
      </c>
      <c r="BB222" s="5">
        <f>recovered!BB222-recovered!BA222</f>
        <v>0</v>
      </c>
      <c r="BC222" s="5">
        <f>recovered!BC222-recovered!BB222</f>
        <v>0</v>
      </c>
      <c r="BD222" s="5">
        <f>recovered!BD222-recovered!BC222</f>
        <v>0</v>
      </c>
      <c r="BE222" s="5">
        <f>recovered!BE222-recovered!BD222</f>
        <v>0</v>
      </c>
      <c r="BF222" s="5">
        <f>recovered!BF222-recovered!BE222</f>
        <v>0</v>
      </c>
      <c r="BG222" s="5">
        <f>recovered!BG222-recovered!BF222</f>
        <v>0</v>
      </c>
      <c r="BH222" s="5">
        <f>recovered!BH222-recovered!BG222</f>
        <v>0</v>
      </c>
      <c r="BI222" s="5">
        <f>recovered!BI222-recovered!BH222</f>
        <v>1</v>
      </c>
      <c r="BJ222" s="5">
        <f>recovered!BJ222-recovered!BI222</f>
        <v>0</v>
      </c>
      <c r="BK222" s="5">
        <f>recovered!BK222-recovered!BJ222</f>
        <v>0</v>
      </c>
      <c r="BL222" s="5">
        <f>recovered!BL222-recovered!BK222</f>
        <v>0</v>
      </c>
      <c r="BM222" s="5">
        <f>recovered!BM222-recovered!BL222</f>
        <v>0</v>
      </c>
      <c r="BN222" s="5">
        <f>recovered!BN222-recovered!BM222</f>
        <v>0</v>
      </c>
      <c r="BO222" s="5">
        <f>recovered!BO222-recovered!BN222</f>
        <v>3</v>
      </c>
      <c r="BP222" s="5">
        <f>recovered!BP222-recovered!BO222</f>
        <v>0</v>
      </c>
      <c r="BQ222" s="5">
        <f>recovered!BQ222-recovered!BP222</f>
        <v>8</v>
      </c>
      <c r="BR222" s="5">
        <f>recovered!BR222-recovered!BQ222</f>
        <v>1</v>
      </c>
      <c r="BS222" s="5">
        <f>recovered!BS222-recovered!BR222</f>
        <v>0</v>
      </c>
      <c r="BT222" s="5">
        <f>recovered!BT222-recovered!BS222</f>
        <v>0</v>
      </c>
      <c r="BU222" s="5">
        <f>recovered!BU222-recovered!BT222</f>
        <v>20</v>
      </c>
      <c r="BV222" s="5">
        <f>recovered!BV222-recovered!BU222</f>
        <v>0</v>
      </c>
      <c r="BW222" s="5">
        <f>recovered!BW222-recovered!BV222</f>
        <v>0</v>
      </c>
      <c r="BX222" s="5">
        <f>recovered!BX222-recovered!BW222</f>
        <v>12</v>
      </c>
      <c r="BY222" s="5">
        <f>recovered!BY222-recovered!BX222</f>
        <v>0</v>
      </c>
    </row>
    <row r="223">
      <c r="B223" s="1" t="str">
        <f>recovered!B223</f>
        <v>United Kingdom</v>
      </c>
      <c r="C223" s="4">
        <f>recovered!C223</f>
        <v>54.2361</v>
      </c>
      <c r="D223" s="4">
        <f>recovered!D223</f>
        <v>-4.5481</v>
      </c>
      <c r="E223" s="5">
        <f>recovered!E223</f>
        <v>0</v>
      </c>
      <c r="F223" s="5">
        <f>recovered!F223-recovered!E223</f>
        <v>0</v>
      </c>
      <c r="G223" s="5">
        <f>recovered!G223-recovered!F223</f>
        <v>0</v>
      </c>
      <c r="H223" s="5">
        <f>recovered!H223-recovered!G223</f>
        <v>0</v>
      </c>
      <c r="I223" s="5">
        <f>recovered!I223-recovered!H223</f>
        <v>0</v>
      </c>
      <c r="J223" s="5">
        <f>recovered!J223-recovered!I223</f>
        <v>0</v>
      </c>
      <c r="K223" s="5">
        <f>recovered!K223-recovered!J223</f>
        <v>0</v>
      </c>
      <c r="L223" s="5">
        <f>recovered!L223-recovered!K223</f>
        <v>0</v>
      </c>
      <c r="M223" s="5">
        <f>recovered!M223-recovered!L223</f>
        <v>0</v>
      </c>
      <c r="N223" s="5">
        <f>recovered!N223-recovered!M223</f>
        <v>0</v>
      </c>
      <c r="O223" s="5">
        <f>recovered!O223-recovered!N223</f>
        <v>0</v>
      </c>
      <c r="P223" s="5">
        <f>recovered!P223-recovered!O223</f>
        <v>0</v>
      </c>
      <c r="Q223" s="5">
        <f>recovered!Q223-recovered!P223</f>
        <v>0</v>
      </c>
      <c r="R223" s="5">
        <f>recovered!R223-recovered!Q223</f>
        <v>0</v>
      </c>
      <c r="S223" s="5">
        <f>recovered!S223-recovered!R223</f>
        <v>0</v>
      </c>
      <c r="T223" s="5">
        <f>recovered!T223-recovered!S223</f>
        <v>0</v>
      </c>
      <c r="U223" s="5">
        <f>recovered!U223-recovered!T223</f>
        <v>0</v>
      </c>
      <c r="V223" s="5">
        <f>recovered!V223-recovered!U223</f>
        <v>0</v>
      </c>
      <c r="W223" s="5">
        <f>recovered!W223-recovered!V223</f>
        <v>0</v>
      </c>
      <c r="X223" s="5">
        <f>recovered!X223-recovered!W223</f>
        <v>0</v>
      </c>
      <c r="Y223" s="5">
        <f>recovered!Y223-recovered!X223</f>
        <v>0</v>
      </c>
      <c r="Z223" s="5">
        <f>recovered!Z223-recovered!Y223</f>
        <v>0</v>
      </c>
      <c r="AA223" s="5">
        <f>recovered!AA223-recovered!Z223</f>
        <v>0</v>
      </c>
      <c r="AB223" s="5">
        <f>recovered!AB223-recovered!AA223</f>
        <v>0</v>
      </c>
      <c r="AC223" s="5">
        <f>recovered!AC223-recovered!AB223</f>
        <v>0</v>
      </c>
      <c r="AD223" s="5">
        <f>recovered!AD223-recovered!AC223</f>
        <v>0</v>
      </c>
      <c r="AE223" s="5">
        <f>recovered!AE223-recovered!AD223</f>
        <v>0</v>
      </c>
      <c r="AF223" s="5">
        <f>recovered!AF223-recovered!AE223</f>
        <v>0</v>
      </c>
      <c r="AG223" s="5">
        <f>recovered!AG223-recovered!AF223</f>
        <v>0</v>
      </c>
      <c r="AH223" s="5">
        <f>recovered!AH223-recovered!AG223</f>
        <v>0</v>
      </c>
      <c r="AI223" s="5">
        <f>recovered!AI223-recovered!AH223</f>
        <v>0</v>
      </c>
      <c r="AJ223" s="5">
        <f>recovered!AJ223-recovered!AI223</f>
        <v>0</v>
      </c>
      <c r="AK223" s="5">
        <f>recovered!AK223-recovered!AJ223</f>
        <v>0</v>
      </c>
      <c r="AL223" s="5">
        <f>recovered!AL223-recovered!AK223</f>
        <v>0</v>
      </c>
      <c r="AM223" s="5">
        <f>recovered!AM223-recovered!AL223</f>
        <v>0</v>
      </c>
      <c r="AN223" s="5">
        <f>recovered!AN223-recovered!AM223</f>
        <v>0</v>
      </c>
      <c r="AO223" s="5">
        <f>recovered!AO223-recovered!AN223</f>
        <v>0</v>
      </c>
      <c r="AP223" s="5">
        <f>recovered!AP223-recovered!AO223</f>
        <v>0</v>
      </c>
      <c r="AQ223" s="5">
        <f>recovered!AQ223-recovered!AP223</f>
        <v>0</v>
      </c>
      <c r="AR223" s="5">
        <f>recovered!AR223-recovered!AQ223</f>
        <v>0</v>
      </c>
      <c r="AS223" s="5">
        <f>recovered!AS223-recovered!AR223</f>
        <v>0</v>
      </c>
      <c r="AT223" s="5">
        <f>recovered!AT223-recovered!AS223</f>
        <v>0</v>
      </c>
      <c r="AU223" s="5">
        <f>recovered!AU223-recovered!AT223</f>
        <v>0</v>
      </c>
      <c r="AV223" s="5">
        <f>recovered!AV223-recovered!AU223</f>
        <v>0</v>
      </c>
      <c r="AW223" s="5">
        <f>recovered!AW223-recovered!AV223</f>
        <v>0</v>
      </c>
      <c r="AX223" s="5">
        <f>recovered!AX223-recovered!AW223</f>
        <v>0</v>
      </c>
      <c r="AY223" s="5">
        <f>recovered!AY223-recovered!AX223</f>
        <v>0</v>
      </c>
      <c r="AZ223" s="5">
        <f>recovered!AZ223-recovered!AY223</f>
        <v>0</v>
      </c>
      <c r="BA223" s="5">
        <f>recovered!BA223-recovered!AZ223</f>
        <v>0</v>
      </c>
      <c r="BB223" s="5">
        <f>recovered!BB223-recovered!BA223</f>
        <v>0</v>
      </c>
      <c r="BC223" s="5">
        <f>recovered!BC223-recovered!BB223</f>
        <v>0</v>
      </c>
      <c r="BD223" s="5">
        <f>recovered!BD223-recovered!BC223</f>
        <v>0</v>
      </c>
      <c r="BE223" s="5">
        <f>recovered!BE223-recovered!BD223</f>
        <v>0</v>
      </c>
      <c r="BF223" s="5">
        <f>recovered!BF223-recovered!BE223</f>
        <v>0</v>
      </c>
      <c r="BG223" s="5">
        <f>recovered!BG223-recovered!BF223</f>
        <v>0</v>
      </c>
      <c r="BH223" s="5">
        <f>recovered!BH223-recovered!BG223</f>
        <v>0</v>
      </c>
      <c r="BI223" s="5">
        <f>recovered!BI223-recovered!BH223</f>
        <v>0</v>
      </c>
      <c r="BJ223" s="5">
        <f>recovered!BJ223-recovered!BI223</f>
        <v>0</v>
      </c>
      <c r="BK223" s="5">
        <f>recovered!BK223-recovered!BJ223</f>
        <v>0</v>
      </c>
      <c r="BL223" s="5">
        <f>recovered!BL223-recovered!BK223</f>
        <v>0</v>
      </c>
      <c r="BM223" s="5">
        <f>recovered!BM223-recovered!BL223</f>
        <v>0</v>
      </c>
      <c r="BN223" s="5">
        <f>recovered!BN223-recovered!BM223</f>
        <v>0</v>
      </c>
      <c r="BO223" s="5">
        <f>recovered!BO223-recovered!BN223</f>
        <v>0</v>
      </c>
      <c r="BP223" s="5">
        <f>recovered!BP223-recovered!BO223</f>
        <v>0</v>
      </c>
      <c r="BQ223" s="5">
        <f>recovered!BQ223-recovered!BP223</f>
        <v>0</v>
      </c>
      <c r="BR223" s="5">
        <f>recovered!BR223-recovered!BQ223</f>
        <v>0</v>
      </c>
      <c r="BS223" s="5">
        <f>recovered!BS223-recovered!BR223</f>
        <v>0</v>
      </c>
      <c r="BT223" s="5">
        <f>recovered!BT223-recovered!BS223</f>
        <v>0</v>
      </c>
      <c r="BU223" s="5">
        <f>recovered!BU223-recovered!BT223</f>
        <v>0</v>
      </c>
      <c r="BV223" s="5">
        <f>recovered!BV223-recovered!BU223</f>
        <v>0</v>
      </c>
      <c r="BW223" s="5">
        <f>recovered!BW223-recovered!BV223</f>
        <v>0</v>
      </c>
      <c r="BX223" s="5">
        <f>recovered!BX223-recovered!BW223</f>
        <v>0</v>
      </c>
      <c r="BY223" s="5">
        <f>recovered!BY223-recovered!BX223</f>
        <v>0</v>
      </c>
    </row>
    <row r="224">
      <c r="B224" s="1" t="str">
        <f>recovered!B224</f>
        <v>United Kingdom</v>
      </c>
      <c r="C224" s="4">
        <f>recovered!C224</f>
        <v>16.7425</v>
      </c>
      <c r="D224" s="4">
        <f>recovered!D224</f>
        <v>-62.1874</v>
      </c>
      <c r="E224" s="5">
        <f>recovered!E224</f>
        <v>0</v>
      </c>
      <c r="F224" s="5">
        <f>recovered!F224-recovered!E224</f>
        <v>0</v>
      </c>
      <c r="G224" s="5">
        <f>recovered!G224-recovered!F224</f>
        <v>0</v>
      </c>
      <c r="H224" s="5">
        <f>recovered!H224-recovered!G224</f>
        <v>0</v>
      </c>
      <c r="I224" s="5">
        <f>recovered!I224-recovered!H224</f>
        <v>0</v>
      </c>
      <c r="J224" s="5">
        <f>recovered!J224-recovered!I224</f>
        <v>0</v>
      </c>
      <c r="K224" s="5">
        <f>recovered!K224-recovered!J224</f>
        <v>0</v>
      </c>
      <c r="L224" s="5">
        <f>recovered!L224-recovered!K224</f>
        <v>0</v>
      </c>
      <c r="M224" s="5">
        <f>recovered!M224-recovered!L224</f>
        <v>0</v>
      </c>
      <c r="N224" s="5">
        <f>recovered!N224-recovered!M224</f>
        <v>0</v>
      </c>
      <c r="O224" s="5">
        <f>recovered!O224-recovered!N224</f>
        <v>0</v>
      </c>
      <c r="P224" s="5">
        <f>recovered!P224-recovered!O224</f>
        <v>0</v>
      </c>
      <c r="Q224" s="5">
        <f>recovered!Q224-recovered!P224</f>
        <v>0</v>
      </c>
      <c r="R224" s="5">
        <f>recovered!R224-recovered!Q224</f>
        <v>0</v>
      </c>
      <c r="S224" s="5">
        <f>recovered!S224-recovered!R224</f>
        <v>0</v>
      </c>
      <c r="T224" s="5">
        <f>recovered!T224-recovered!S224</f>
        <v>0</v>
      </c>
      <c r="U224" s="5">
        <f>recovered!U224-recovered!T224</f>
        <v>0</v>
      </c>
      <c r="V224" s="5">
        <f>recovered!V224-recovered!U224</f>
        <v>0</v>
      </c>
      <c r="W224" s="5">
        <f>recovered!W224-recovered!V224</f>
        <v>0</v>
      </c>
      <c r="X224" s="5">
        <f>recovered!X224-recovered!W224</f>
        <v>0</v>
      </c>
      <c r="Y224" s="5">
        <f>recovered!Y224-recovered!X224</f>
        <v>0</v>
      </c>
      <c r="Z224" s="5">
        <f>recovered!Z224-recovered!Y224</f>
        <v>0</v>
      </c>
      <c r="AA224" s="5">
        <f>recovered!AA224-recovered!Z224</f>
        <v>0</v>
      </c>
      <c r="AB224" s="5">
        <f>recovered!AB224-recovered!AA224</f>
        <v>0</v>
      </c>
      <c r="AC224" s="5">
        <f>recovered!AC224-recovered!AB224</f>
        <v>0</v>
      </c>
      <c r="AD224" s="5">
        <f>recovered!AD224-recovered!AC224</f>
        <v>0</v>
      </c>
      <c r="AE224" s="5">
        <f>recovered!AE224-recovered!AD224</f>
        <v>0</v>
      </c>
      <c r="AF224" s="5">
        <f>recovered!AF224-recovered!AE224</f>
        <v>0</v>
      </c>
      <c r="AG224" s="5">
        <f>recovered!AG224-recovered!AF224</f>
        <v>0</v>
      </c>
      <c r="AH224" s="5">
        <f>recovered!AH224-recovered!AG224</f>
        <v>0</v>
      </c>
      <c r="AI224" s="5">
        <f>recovered!AI224-recovered!AH224</f>
        <v>0</v>
      </c>
      <c r="AJ224" s="5">
        <f>recovered!AJ224-recovered!AI224</f>
        <v>0</v>
      </c>
      <c r="AK224" s="5">
        <f>recovered!AK224-recovered!AJ224</f>
        <v>0</v>
      </c>
      <c r="AL224" s="5">
        <f>recovered!AL224-recovered!AK224</f>
        <v>0</v>
      </c>
      <c r="AM224" s="5">
        <f>recovered!AM224-recovered!AL224</f>
        <v>0</v>
      </c>
      <c r="AN224" s="5">
        <f>recovered!AN224-recovered!AM224</f>
        <v>0</v>
      </c>
      <c r="AO224" s="5">
        <f>recovered!AO224-recovered!AN224</f>
        <v>0</v>
      </c>
      <c r="AP224" s="5">
        <f>recovered!AP224-recovered!AO224</f>
        <v>0</v>
      </c>
      <c r="AQ224" s="5">
        <f>recovered!AQ224-recovered!AP224</f>
        <v>0</v>
      </c>
      <c r="AR224" s="5">
        <f>recovered!AR224-recovered!AQ224</f>
        <v>0</v>
      </c>
      <c r="AS224" s="5">
        <f>recovered!AS224-recovered!AR224</f>
        <v>0</v>
      </c>
      <c r="AT224" s="5">
        <f>recovered!AT224-recovered!AS224</f>
        <v>0</v>
      </c>
      <c r="AU224" s="5">
        <f>recovered!AU224-recovered!AT224</f>
        <v>0</v>
      </c>
      <c r="AV224" s="5">
        <f>recovered!AV224-recovered!AU224</f>
        <v>0</v>
      </c>
      <c r="AW224" s="5">
        <f>recovered!AW224-recovered!AV224</f>
        <v>0</v>
      </c>
      <c r="AX224" s="5">
        <f>recovered!AX224-recovered!AW224</f>
        <v>0</v>
      </c>
      <c r="AY224" s="5">
        <f>recovered!AY224-recovered!AX224</f>
        <v>0</v>
      </c>
      <c r="AZ224" s="5">
        <f>recovered!AZ224-recovered!AY224</f>
        <v>0</v>
      </c>
      <c r="BA224" s="5">
        <f>recovered!BA224-recovered!AZ224</f>
        <v>0</v>
      </c>
      <c r="BB224" s="5">
        <f>recovered!BB224-recovered!BA224</f>
        <v>0</v>
      </c>
      <c r="BC224" s="5">
        <f>recovered!BC224-recovered!BB224</f>
        <v>0</v>
      </c>
      <c r="BD224" s="5">
        <f>recovered!BD224-recovered!BC224</f>
        <v>0</v>
      </c>
      <c r="BE224" s="5">
        <f>recovered!BE224-recovered!BD224</f>
        <v>0</v>
      </c>
      <c r="BF224" s="5">
        <f>recovered!BF224-recovered!BE224</f>
        <v>0</v>
      </c>
      <c r="BG224" s="5">
        <f>recovered!BG224-recovered!BF224</f>
        <v>0</v>
      </c>
      <c r="BH224" s="5">
        <f>recovered!BH224-recovered!BG224</f>
        <v>0</v>
      </c>
      <c r="BI224" s="5">
        <f>recovered!BI224-recovered!BH224</f>
        <v>0</v>
      </c>
      <c r="BJ224" s="5">
        <f>recovered!BJ224-recovered!BI224</f>
        <v>0</v>
      </c>
      <c r="BK224" s="5">
        <f>recovered!BK224-recovered!BJ224</f>
        <v>0</v>
      </c>
      <c r="BL224" s="5">
        <f>recovered!BL224-recovered!BK224</f>
        <v>0</v>
      </c>
      <c r="BM224" s="5">
        <f>recovered!BM224-recovered!BL224</f>
        <v>0</v>
      </c>
      <c r="BN224" s="5">
        <f>recovered!BN224-recovered!BM224</f>
        <v>0</v>
      </c>
      <c r="BO224" s="5">
        <f>recovered!BO224-recovered!BN224</f>
        <v>0</v>
      </c>
      <c r="BP224" s="5">
        <f>recovered!BP224-recovered!BO224</f>
        <v>0</v>
      </c>
      <c r="BQ224" s="5">
        <f>recovered!BQ224-recovered!BP224</f>
        <v>0</v>
      </c>
      <c r="BR224" s="5">
        <f>recovered!BR224-recovered!BQ224</f>
        <v>0</v>
      </c>
      <c r="BS224" s="5">
        <f>recovered!BS224-recovered!BR224</f>
        <v>0</v>
      </c>
      <c r="BT224" s="5">
        <f>recovered!BT224-recovered!BS224</f>
        <v>0</v>
      </c>
      <c r="BU224" s="5">
        <f>recovered!BU224-recovered!BT224</f>
        <v>0</v>
      </c>
      <c r="BV224" s="5">
        <f>recovered!BV224-recovered!BU224</f>
        <v>0</v>
      </c>
      <c r="BW224" s="5">
        <f>recovered!BW224-recovered!BV224</f>
        <v>0</v>
      </c>
      <c r="BX224" s="5">
        <f>recovered!BX224-recovered!BW224</f>
        <v>0</v>
      </c>
      <c r="BY224" s="5">
        <f>recovered!BY224-recovered!BX224</f>
        <v>0</v>
      </c>
    </row>
    <row r="225">
      <c r="B225" s="1" t="str">
        <f>recovered!B225</f>
        <v>United Kingdom</v>
      </c>
      <c r="C225" s="4">
        <f>recovered!C225</f>
        <v>55.3781</v>
      </c>
      <c r="D225" s="4">
        <f>recovered!D225</f>
        <v>-3.436</v>
      </c>
      <c r="E225" s="5">
        <f>recovered!E225</f>
        <v>0</v>
      </c>
      <c r="F225" s="5">
        <f>recovered!F225-recovered!E225</f>
        <v>0</v>
      </c>
      <c r="G225" s="5">
        <f>recovered!G225-recovered!F225</f>
        <v>0</v>
      </c>
      <c r="H225" s="5">
        <f>recovered!H225-recovered!G225</f>
        <v>0</v>
      </c>
      <c r="I225" s="5">
        <f>recovered!I225-recovered!H225</f>
        <v>0</v>
      </c>
      <c r="J225" s="5">
        <f>recovered!J225-recovered!I225</f>
        <v>0</v>
      </c>
      <c r="K225" s="5">
        <f>recovered!K225-recovered!J225</f>
        <v>0</v>
      </c>
      <c r="L225" s="5">
        <f>recovered!L225-recovered!K225</f>
        <v>0</v>
      </c>
      <c r="M225" s="5">
        <f>recovered!M225-recovered!L225</f>
        <v>0</v>
      </c>
      <c r="N225" s="5">
        <f>recovered!N225-recovered!M225</f>
        <v>0</v>
      </c>
      <c r="O225" s="5">
        <f>recovered!O225-recovered!N225</f>
        <v>0</v>
      </c>
      <c r="P225" s="5">
        <f>recovered!P225-recovered!O225</f>
        <v>0</v>
      </c>
      <c r="Q225" s="5">
        <f>recovered!Q225-recovered!P225</f>
        <v>0</v>
      </c>
      <c r="R225" s="5">
        <f>recovered!R225-recovered!Q225</f>
        <v>0</v>
      </c>
      <c r="S225" s="5">
        <f>recovered!S225-recovered!R225</f>
        <v>0</v>
      </c>
      <c r="T225" s="5">
        <f>recovered!T225-recovered!S225</f>
        <v>0</v>
      </c>
      <c r="U225" s="5">
        <f>recovered!U225-recovered!T225</f>
        <v>0</v>
      </c>
      <c r="V225" s="5">
        <f>recovered!V225-recovered!U225</f>
        <v>0</v>
      </c>
      <c r="W225" s="5">
        <f>recovered!W225-recovered!V225</f>
        <v>0</v>
      </c>
      <c r="X225" s="5">
        <f>recovered!X225-recovered!W225</f>
        <v>0</v>
      </c>
      <c r="Y225" s="5">
        <f>recovered!Y225-recovered!X225</f>
        <v>0</v>
      </c>
      <c r="Z225" s="5">
        <f>recovered!Z225-recovered!Y225</f>
        <v>1</v>
      </c>
      <c r="AA225" s="5">
        <f>recovered!AA225-recovered!Z225</f>
        <v>0</v>
      </c>
      <c r="AB225" s="5">
        <f>recovered!AB225-recovered!AA225</f>
        <v>0</v>
      </c>
      <c r="AC225" s="5">
        <f>recovered!AC225-recovered!AB225</f>
        <v>0</v>
      </c>
      <c r="AD225" s="5">
        <f>recovered!AD225-recovered!AC225</f>
        <v>7</v>
      </c>
      <c r="AE225" s="5">
        <f>recovered!AE225-recovered!AD225</f>
        <v>0</v>
      </c>
      <c r="AF225" s="5">
        <f>recovered!AF225-recovered!AE225</f>
        <v>0</v>
      </c>
      <c r="AG225" s="5">
        <f>recovered!AG225-recovered!AF225</f>
        <v>0</v>
      </c>
      <c r="AH225" s="5">
        <f>recovered!AH225-recovered!AG225</f>
        <v>0</v>
      </c>
      <c r="AI225" s="5">
        <f>recovered!AI225-recovered!AH225</f>
        <v>0</v>
      </c>
      <c r="AJ225" s="5">
        <f>recovered!AJ225-recovered!AI225</f>
        <v>0</v>
      </c>
      <c r="AK225" s="5">
        <f>recovered!AK225-recovered!AJ225</f>
        <v>0</v>
      </c>
      <c r="AL225" s="5">
        <f>recovered!AL225-recovered!AK225</f>
        <v>0</v>
      </c>
      <c r="AM225" s="5">
        <f>recovered!AM225-recovered!AL225</f>
        <v>0</v>
      </c>
      <c r="AN225" s="5">
        <f>recovered!AN225-recovered!AM225</f>
        <v>0</v>
      </c>
      <c r="AO225" s="5">
        <f>recovered!AO225-recovered!AN225</f>
        <v>0</v>
      </c>
      <c r="AP225" s="5">
        <f>recovered!AP225-recovered!AO225</f>
        <v>0</v>
      </c>
      <c r="AQ225" s="5">
        <f>recovered!AQ225-recovered!AP225</f>
        <v>0</v>
      </c>
      <c r="AR225" s="5">
        <f>recovered!AR225-recovered!AQ225</f>
        <v>0</v>
      </c>
      <c r="AS225" s="5">
        <f>recovered!AS225-recovered!AR225</f>
        <v>0</v>
      </c>
      <c r="AT225" s="5">
        <f>recovered!AT225-recovered!AS225</f>
        <v>0</v>
      </c>
      <c r="AU225" s="5">
        <f>recovered!AU225-recovered!AT225</f>
        <v>0</v>
      </c>
      <c r="AV225" s="5">
        <f>recovered!AV225-recovered!AU225</f>
        <v>0</v>
      </c>
      <c r="AW225" s="5">
        <f>recovered!AW225-recovered!AV225</f>
        <v>0</v>
      </c>
      <c r="AX225" s="5">
        <f>recovered!AX225-recovered!AW225</f>
        <v>10</v>
      </c>
      <c r="AY225" s="5">
        <f>recovered!AY225-recovered!AX225</f>
        <v>0</v>
      </c>
      <c r="AZ225" s="5">
        <f>recovered!AZ225-recovered!AY225</f>
        <v>0</v>
      </c>
      <c r="BA225" s="5">
        <f>recovered!BA225-recovered!AZ225</f>
        <v>0</v>
      </c>
      <c r="BB225" s="5">
        <f>recovered!BB225-recovered!BA225</f>
        <v>0</v>
      </c>
      <c r="BC225" s="5">
        <f>recovered!BC225-recovered!BB225</f>
        <v>0</v>
      </c>
      <c r="BD225" s="5">
        <f>recovered!BD225-recovered!BC225</f>
        <v>0</v>
      </c>
      <c r="BE225" s="5">
        <f>recovered!BE225-recovered!BD225</f>
        <v>0</v>
      </c>
      <c r="BF225" s="5">
        <f>recovered!BF225-recovered!BE225</f>
        <v>0</v>
      </c>
      <c r="BG225" s="5">
        <f>recovered!BG225-recovered!BF225</f>
        <v>2</v>
      </c>
      <c r="BH225" s="5">
        <f>recovered!BH225-recovered!BG225</f>
        <v>32</v>
      </c>
      <c r="BI225" s="5">
        <f>recovered!BI225-recovered!BH225</f>
        <v>13</v>
      </c>
      <c r="BJ225" s="5">
        <f>recovered!BJ225-recovered!BI225</f>
        <v>0</v>
      </c>
      <c r="BK225" s="5">
        <f>recovered!BK225-recovered!BJ225</f>
        <v>0</v>
      </c>
      <c r="BL225" s="5">
        <f>recovered!BL225-recovered!BK225</f>
        <v>0</v>
      </c>
      <c r="BM225" s="5">
        <f>recovered!BM225-recovered!BL225</f>
        <v>0</v>
      </c>
      <c r="BN225" s="5">
        <f>recovered!BN225-recovered!BM225</f>
        <v>0</v>
      </c>
      <c r="BO225" s="5">
        <f>recovered!BO225-recovered!BN225</f>
        <v>70</v>
      </c>
      <c r="BP225" s="5">
        <f>recovered!BP225-recovered!BO225</f>
        <v>0</v>
      </c>
      <c r="BQ225" s="5">
        <f>recovered!BQ225-recovered!BP225</f>
        <v>0</v>
      </c>
      <c r="BR225" s="5">
        <f>recovered!BR225-recovered!BQ225</f>
        <v>0</v>
      </c>
      <c r="BS225" s="5">
        <f>recovered!BS225-recovered!BR225</f>
        <v>0</v>
      </c>
      <c r="BT225" s="5">
        <f>recovered!BT225-recovered!BS225</f>
        <v>0</v>
      </c>
      <c r="BU225" s="5">
        <f>recovered!BU225-recovered!BT225</f>
        <v>0</v>
      </c>
      <c r="BV225" s="5">
        <f>recovered!BV225-recovered!BU225</f>
        <v>0</v>
      </c>
      <c r="BW225" s="5">
        <f>recovered!BW225-recovered!BV225</f>
        <v>0</v>
      </c>
      <c r="BX225" s="5">
        <f>recovered!BX225-recovered!BW225</f>
        <v>0</v>
      </c>
      <c r="BY225" s="5">
        <f>recovered!BY225-recovered!BX225</f>
        <v>0</v>
      </c>
    </row>
    <row r="226">
      <c r="B226" s="1" t="str">
        <f>recovered!B226</f>
        <v>Uruguay</v>
      </c>
      <c r="C226" s="4">
        <f>recovered!C226</f>
        <v>-32.5228</v>
      </c>
      <c r="D226" s="4">
        <f>recovered!D226</f>
        <v>-55.7658</v>
      </c>
      <c r="E226" s="5">
        <f>recovered!E226</f>
        <v>0</v>
      </c>
      <c r="F226" s="5">
        <f>recovered!F226-recovered!E226</f>
        <v>0</v>
      </c>
      <c r="G226" s="5">
        <f>recovered!G226-recovered!F226</f>
        <v>0</v>
      </c>
      <c r="H226" s="5">
        <f>recovered!H226-recovered!G226</f>
        <v>0</v>
      </c>
      <c r="I226" s="5">
        <f>recovered!I226-recovered!H226</f>
        <v>0</v>
      </c>
      <c r="J226" s="5">
        <f>recovered!J226-recovered!I226</f>
        <v>0</v>
      </c>
      <c r="K226" s="5">
        <f>recovered!K226-recovered!J226</f>
        <v>0</v>
      </c>
      <c r="L226" s="5">
        <f>recovered!L226-recovered!K226</f>
        <v>0</v>
      </c>
      <c r="M226" s="5">
        <f>recovered!M226-recovered!L226</f>
        <v>0</v>
      </c>
      <c r="N226" s="5">
        <f>recovered!N226-recovered!M226</f>
        <v>0</v>
      </c>
      <c r="O226" s="5">
        <f>recovered!O226-recovered!N226</f>
        <v>0</v>
      </c>
      <c r="P226" s="5">
        <f>recovered!P226-recovered!O226</f>
        <v>0</v>
      </c>
      <c r="Q226" s="5">
        <f>recovered!Q226-recovered!P226</f>
        <v>0</v>
      </c>
      <c r="R226" s="5">
        <f>recovered!R226-recovered!Q226</f>
        <v>0</v>
      </c>
      <c r="S226" s="5">
        <f>recovered!S226-recovered!R226</f>
        <v>0</v>
      </c>
      <c r="T226" s="5">
        <f>recovered!T226-recovered!S226</f>
        <v>0</v>
      </c>
      <c r="U226" s="5">
        <f>recovered!U226-recovered!T226</f>
        <v>0</v>
      </c>
      <c r="V226" s="5">
        <f>recovered!V226-recovered!U226</f>
        <v>0</v>
      </c>
      <c r="W226" s="5">
        <f>recovered!W226-recovered!V226</f>
        <v>0</v>
      </c>
      <c r="X226" s="5">
        <f>recovered!X226-recovered!W226</f>
        <v>0</v>
      </c>
      <c r="Y226" s="5">
        <f>recovered!Y226-recovered!X226</f>
        <v>0</v>
      </c>
      <c r="Z226" s="5">
        <f>recovered!Z226-recovered!Y226</f>
        <v>0</v>
      </c>
      <c r="AA226" s="5">
        <f>recovered!AA226-recovered!Z226</f>
        <v>0</v>
      </c>
      <c r="AB226" s="5">
        <f>recovered!AB226-recovered!AA226</f>
        <v>0</v>
      </c>
      <c r="AC226" s="5">
        <f>recovered!AC226-recovered!AB226</f>
        <v>0</v>
      </c>
      <c r="AD226" s="5">
        <f>recovered!AD226-recovered!AC226</f>
        <v>0</v>
      </c>
      <c r="AE226" s="5">
        <f>recovered!AE226-recovered!AD226</f>
        <v>0</v>
      </c>
      <c r="AF226" s="5">
        <f>recovered!AF226-recovered!AE226</f>
        <v>0</v>
      </c>
      <c r="AG226" s="5">
        <f>recovered!AG226-recovered!AF226</f>
        <v>0</v>
      </c>
      <c r="AH226" s="5">
        <f>recovered!AH226-recovered!AG226</f>
        <v>0</v>
      </c>
      <c r="AI226" s="5">
        <f>recovered!AI226-recovered!AH226</f>
        <v>0</v>
      </c>
      <c r="AJ226" s="5">
        <f>recovered!AJ226-recovered!AI226</f>
        <v>0</v>
      </c>
      <c r="AK226" s="5">
        <f>recovered!AK226-recovered!AJ226</f>
        <v>0</v>
      </c>
      <c r="AL226" s="5">
        <f>recovered!AL226-recovered!AK226</f>
        <v>0</v>
      </c>
      <c r="AM226" s="5">
        <f>recovered!AM226-recovered!AL226</f>
        <v>0</v>
      </c>
      <c r="AN226" s="5">
        <f>recovered!AN226-recovered!AM226</f>
        <v>0</v>
      </c>
      <c r="AO226" s="5">
        <f>recovered!AO226-recovered!AN226</f>
        <v>0</v>
      </c>
      <c r="AP226" s="5">
        <f>recovered!AP226-recovered!AO226</f>
        <v>0</v>
      </c>
      <c r="AQ226" s="5">
        <f>recovered!AQ226-recovered!AP226</f>
        <v>0</v>
      </c>
      <c r="AR226" s="5">
        <f>recovered!AR226-recovered!AQ226</f>
        <v>0</v>
      </c>
      <c r="AS226" s="5">
        <f>recovered!AS226-recovered!AR226</f>
        <v>0</v>
      </c>
      <c r="AT226" s="5">
        <f>recovered!AT226-recovered!AS226</f>
        <v>0</v>
      </c>
      <c r="AU226" s="5">
        <f>recovered!AU226-recovered!AT226</f>
        <v>0</v>
      </c>
      <c r="AV226" s="5">
        <f>recovered!AV226-recovered!AU226</f>
        <v>0</v>
      </c>
      <c r="AW226" s="5">
        <f>recovered!AW226-recovered!AV226</f>
        <v>0</v>
      </c>
      <c r="AX226" s="5">
        <f>recovered!AX226-recovered!AW226</f>
        <v>0</v>
      </c>
      <c r="AY226" s="5">
        <f>recovered!AY226-recovered!AX226</f>
        <v>0</v>
      </c>
      <c r="AZ226" s="5">
        <f>recovered!AZ226-recovered!AY226</f>
        <v>0</v>
      </c>
      <c r="BA226" s="5">
        <f>recovered!BA226-recovered!AZ226</f>
        <v>0</v>
      </c>
      <c r="BB226" s="5">
        <f>recovered!BB226-recovered!BA226</f>
        <v>0</v>
      </c>
      <c r="BC226" s="5">
        <f>recovered!BC226-recovered!BB226</f>
        <v>0</v>
      </c>
      <c r="BD226" s="5">
        <f>recovered!BD226-recovered!BC226</f>
        <v>0</v>
      </c>
      <c r="BE226" s="5">
        <f>recovered!BE226-recovered!BD226</f>
        <v>0</v>
      </c>
      <c r="BF226" s="5">
        <f>recovered!BF226-recovered!BE226</f>
        <v>0</v>
      </c>
      <c r="BG226" s="5">
        <f>recovered!BG226-recovered!BF226</f>
        <v>0</v>
      </c>
      <c r="BH226" s="5">
        <f>recovered!BH226-recovered!BG226</f>
        <v>0</v>
      </c>
      <c r="BI226" s="5">
        <f>recovered!BI226-recovered!BH226</f>
        <v>0</v>
      </c>
      <c r="BJ226" s="5">
        <f>recovered!BJ226-recovered!BI226</f>
        <v>0</v>
      </c>
      <c r="BK226" s="5">
        <f>recovered!BK226-recovered!BJ226</f>
        <v>0</v>
      </c>
      <c r="BL226" s="5">
        <f>recovered!BL226-recovered!BK226</f>
        <v>0</v>
      </c>
      <c r="BM226" s="5">
        <f>recovered!BM226-recovered!BL226</f>
        <v>0</v>
      </c>
      <c r="BN226" s="5">
        <f>recovered!BN226-recovered!BM226</f>
        <v>0</v>
      </c>
      <c r="BO226" s="5">
        <f>recovered!BO226-recovered!BN226</f>
        <v>0</v>
      </c>
      <c r="BP226" s="5">
        <f>recovered!BP226-recovered!BO226</f>
        <v>0</v>
      </c>
      <c r="BQ226" s="5">
        <f>recovered!BQ226-recovered!BP226</f>
        <v>0</v>
      </c>
      <c r="BR226" s="5">
        <f>recovered!BR226-recovered!BQ226</f>
        <v>0</v>
      </c>
      <c r="BS226" s="5">
        <f>recovered!BS226-recovered!BR226</f>
        <v>0</v>
      </c>
      <c r="BT226" s="5">
        <f>recovered!BT226-recovered!BS226</f>
        <v>0</v>
      </c>
      <c r="BU226" s="5">
        <f>recovered!BU226-recovered!BT226</f>
        <v>0</v>
      </c>
      <c r="BV226" s="5">
        <f>recovered!BV226-recovered!BU226</f>
        <v>41</v>
      </c>
      <c r="BW226" s="5">
        <f>recovered!BW226-recovered!BV226</f>
        <v>0</v>
      </c>
      <c r="BX226" s="5">
        <f>recovered!BX226-recovered!BW226</f>
        <v>21</v>
      </c>
      <c r="BY226" s="5">
        <f>recovered!BY226-recovered!BX226</f>
        <v>6</v>
      </c>
    </row>
    <row r="227">
      <c r="B227" s="1" t="str">
        <f>recovered!B227</f>
        <v>US</v>
      </c>
      <c r="C227" s="4">
        <f>recovered!C227</f>
        <v>37.0902</v>
      </c>
      <c r="D227" s="4">
        <f>recovered!D227</f>
        <v>-95.7129</v>
      </c>
      <c r="E227" s="5">
        <f>recovered!E227</f>
        <v>0</v>
      </c>
      <c r="F227" s="5">
        <f>recovered!F227-recovered!E227</f>
        <v>0</v>
      </c>
      <c r="G227" s="5">
        <f>recovered!G227-recovered!F227</f>
        <v>0</v>
      </c>
      <c r="H227" s="5">
        <f>recovered!H227-recovered!G227</f>
        <v>0</v>
      </c>
      <c r="I227" s="5">
        <f>recovered!I227-recovered!H227</f>
        <v>0</v>
      </c>
      <c r="J227" s="5">
        <f>recovered!J227-recovered!I227</f>
        <v>0</v>
      </c>
      <c r="K227" s="5">
        <f>recovered!K227-recovered!J227</f>
        <v>0</v>
      </c>
      <c r="L227" s="5">
        <f>recovered!L227-recovered!K227</f>
        <v>0</v>
      </c>
      <c r="M227" s="5">
        <f>recovered!M227-recovered!L227</f>
        <v>0</v>
      </c>
      <c r="N227" s="5">
        <f>recovered!N227-recovered!M227</f>
        <v>0</v>
      </c>
      <c r="O227" s="5">
        <f>recovered!O227-recovered!N227</f>
        <v>0</v>
      </c>
      <c r="P227" s="5">
        <f>recovered!P227-recovered!O227</f>
        <v>0</v>
      </c>
      <c r="Q227" s="5">
        <f>recovered!Q227-recovered!P227</f>
        <v>0</v>
      </c>
      <c r="R227" s="5">
        <f>recovered!R227-recovered!Q227</f>
        <v>0</v>
      </c>
      <c r="S227" s="5">
        <f>recovered!S227-recovered!R227</f>
        <v>0</v>
      </c>
      <c r="T227" s="5">
        <f>recovered!T227-recovered!S227</f>
        <v>0</v>
      </c>
      <c r="U227" s="5">
        <f>recovered!U227-recovered!T227</f>
        <v>0</v>
      </c>
      <c r="V227" s="5">
        <f>recovered!V227-recovered!U227</f>
        <v>0</v>
      </c>
      <c r="W227" s="5">
        <f>recovered!W227-recovered!V227</f>
        <v>3</v>
      </c>
      <c r="X227" s="5">
        <f>recovered!X227-recovered!W227</f>
        <v>0</v>
      </c>
      <c r="Y227" s="5">
        <f>recovered!Y227-recovered!X227</f>
        <v>0</v>
      </c>
      <c r="Z227" s="5">
        <f>recovered!Z227-recovered!Y227</f>
        <v>0</v>
      </c>
      <c r="AA227" s="5">
        <f>recovered!AA227-recovered!Z227</f>
        <v>0</v>
      </c>
      <c r="AB227" s="5">
        <f>recovered!AB227-recovered!AA227</f>
        <v>0</v>
      </c>
      <c r="AC227" s="5">
        <f>recovered!AC227-recovered!AB227</f>
        <v>0</v>
      </c>
      <c r="AD227" s="5">
        <f>recovered!AD227-recovered!AC227</f>
        <v>0</v>
      </c>
      <c r="AE227" s="5">
        <f>recovered!AE227-recovered!AD227</f>
        <v>0</v>
      </c>
      <c r="AF227" s="5">
        <f>recovered!AF227-recovered!AE227</f>
        <v>0</v>
      </c>
      <c r="AG227" s="5">
        <f>recovered!AG227-recovered!AF227</f>
        <v>0</v>
      </c>
      <c r="AH227" s="5">
        <f>recovered!AH227-recovered!AG227</f>
        <v>0</v>
      </c>
      <c r="AI227" s="5">
        <f>recovered!AI227-recovered!AH227</f>
        <v>2</v>
      </c>
      <c r="AJ227" s="5">
        <f>recovered!AJ227-recovered!AI227</f>
        <v>0</v>
      </c>
      <c r="AK227" s="5">
        <f>recovered!AK227-recovered!AJ227</f>
        <v>0</v>
      </c>
      <c r="AL227" s="5">
        <f>recovered!AL227-recovered!AK227</f>
        <v>0</v>
      </c>
      <c r="AM227" s="5">
        <f>recovered!AM227-recovered!AL227</f>
        <v>1</v>
      </c>
      <c r="AN227" s="5">
        <f>recovered!AN227-recovered!AM227</f>
        <v>0</v>
      </c>
      <c r="AO227" s="5">
        <f>recovered!AO227-recovered!AN227</f>
        <v>0</v>
      </c>
      <c r="AP227" s="5">
        <f>recovered!AP227-recovered!AO227</f>
        <v>1</v>
      </c>
      <c r="AQ227" s="5">
        <f>recovered!AQ227-recovered!AP227</f>
        <v>0</v>
      </c>
      <c r="AR227" s="5">
        <f>recovered!AR227-recovered!AQ227</f>
        <v>0</v>
      </c>
      <c r="AS227" s="5">
        <f>recovered!AS227-recovered!AR227</f>
        <v>0</v>
      </c>
      <c r="AT227" s="5">
        <f>recovered!AT227-recovered!AS227</f>
        <v>0</v>
      </c>
      <c r="AU227" s="5">
        <f>recovered!AU227-recovered!AT227</f>
        <v>0</v>
      </c>
      <c r="AV227" s="5">
        <f>recovered!AV227-recovered!AU227</f>
        <v>0</v>
      </c>
      <c r="AW227" s="5">
        <f>recovered!AW227-recovered!AV227</f>
        <v>0</v>
      </c>
      <c r="AX227" s="5">
        <f>recovered!AX227-recovered!AW227</f>
        <v>0</v>
      </c>
      <c r="AY227" s="5">
        <f>recovered!AY227-recovered!AX227</f>
        <v>0</v>
      </c>
      <c r="AZ227" s="5">
        <f>recovered!AZ227-recovered!AY227</f>
        <v>0</v>
      </c>
      <c r="BA227" s="5">
        <f>recovered!BA227-recovered!AZ227</f>
        <v>1</v>
      </c>
      <c r="BB227" s="5">
        <f>recovered!BB227-recovered!BA227</f>
        <v>0</v>
      </c>
      <c r="BC227" s="5">
        <f>recovered!BC227-recovered!BB227</f>
        <v>4</v>
      </c>
      <c r="BD227" s="5">
        <f>recovered!BD227-recovered!BC227</f>
        <v>0</v>
      </c>
      <c r="BE227" s="5">
        <f>recovered!BE227-recovered!BD227</f>
        <v>0</v>
      </c>
      <c r="BF227" s="5">
        <f>recovered!BF227-recovered!BE227</f>
        <v>0</v>
      </c>
      <c r="BG227" s="5">
        <f>recovered!BG227-recovered!BF227</f>
        <v>5</v>
      </c>
      <c r="BH227" s="5">
        <f>recovered!BH227-recovered!BG227</f>
        <v>0</v>
      </c>
      <c r="BI227" s="5">
        <f>recovered!BI227-recovered!BH227</f>
        <v>88</v>
      </c>
      <c r="BJ227" s="5">
        <f>recovered!BJ227-recovered!BI227</f>
        <v>16</v>
      </c>
      <c r="BK227" s="5">
        <f>recovered!BK227-recovered!BJ227</f>
        <v>26</v>
      </c>
      <c r="BL227" s="5">
        <f>recovered!BL227-recovered!BK227</f>
        <v>29</v>
      </c>
      <c r="BM227" s="5">
        <f>recovered!BM227-recovered!BL227</f>
        <v>2</v>
      </c>
      <c r="BN227" s="5">
        <f>recovered!BN227-recovered!BM227</f>
        <v>0</v>
      </c>
      <c r="BO227" s="5">
        <f>recovered!BO227-recovered!BN227</f>
        <v>170</v>
      </c>
      <c r="BP227" s="5">
        <f>recovered!BP227-recovered!BO227</f>
        <v>13</v>
      </c>
      <c r="BQ227" s="5">
        <f>recovered!BQ227-recovered!BP227</f>
        <v>320</v>
      </c>
      <c r="BR227" s="5">
        <f>recovered!BR227-recovered!BQ227</f>
        <v>188</v>
      </c>
      <c r="BS227" s="5">
        <f>recovered!BS227-recovered!BR227</f>
        <v>203</v>
      </c>
      <c r="BT227" s="5">
        <f>recovered!BT227-recovered!BS227</f>
        <v>1593</v>
      </c>
      <c r="BU227" s="5">
        <f>recovered!BU227-recovered!BT227</f>
        <v>2979</v>
      </c>
      <c r="BV227" s="5">
        <f>recovered!BV227-recovered!BU227</f>
        <v>1380</v>
      </c>
      <c r="BW227" s="5">
        <f>recovered!BW227-recovered!BV227</f>
        <v>1450</v>
      </c>
      <c r="BX227" s="5">
        <f>recovered!BX227-recovered!BW227</f>
        <v>527</v>
      </c>
      <c r="BY227" s="5">
        <f>recovered!BY227-recovered!BX227</f>
        <v>706</v>
      </c>
    </row>
    <row r="228">
      <c r="B228" s="1" t="str">
        <f>recovered!B228</f>
        <v>Uzbekistan</v>
      </c>
      <c r="C228" s="4">
        <f>recovered!C228</f>
        <v>41.3775</v>
      </c>
      <c r="D228" s="4">
        <f>recovered!D228</f>
        <v>64.5853</v>
      </c>
      <c r="E228" s="5">
        <f>recovered!E228</f>
        <v>0</v>
      </c>
      <c r="F228" s="5">
        <f>recovered!F228-recovered!E228</f>
        <v>0</v>
      </c>
      <c r="G228" s="5">
        <f>recovered!G228-recovered!F228</f>
        <v>0</v>
      </c>
      <c r="H228" s="5">
        <f>recovered!H228-recovered!G228</f>
        <v>0</v>
      </c>
      <c r="I228" s="5">
        <f>recovered!I228-recovered!H228</f>
        <v>0</v>
      </c>
      <c r="J228" s="5">
        <f>recovered!J228-recovered!I228</f>
        <v>0</v>
      </c>
      <c r="K228" s="5">
        <f>recovered!K228-recovered!J228</f>
        <v>0</v>
      </c>
      <c r="L228" s="5">
        <f>recovered!L228-recovered!K228</f>
        <v>0</v>
      </c>
      <c r="M228" s="5">
        <f>recovered!M228-recovered!L228</f>
        <v>0</v>
      </c>
      <c r="N228" s="5">
        <f>recovered!N228-recovered!M228</f>
        <v>0</v>
      </c>
      <c r="O228" s="5">
        <f>recovered!O228-recovered!N228</f>
        <v>0</v>
      </c>
      <c r="P228" s="5">
        <f>recovered!P228-recovered!O228</f>
        <v>0</v>
      </c>
      <c r="Q228" s="5">
        <f>recovered!Q228-recovered!P228</f>
        <v>0</v>
      </c>
      <c r="R228" s="5">
        <f>recovered!R228-recovered!Q228</f>
        <v>0</v>
      </c>
      <c r="S228" s="5">
        <f>recovered!S228-recovered!R228</f>
        <v>0</v>
      </c>
      <c r="T228" s="5">
        <f>recovered!T228-recovered!S228</f>
        <v>0</v>
      </c>
      <c r="U228" s="5">
        <f>recovered!U228-recovered!T228</f>
        <v>0</v>
      </c>
      <c r="V228" s="5">
        <f>recovered!V228-recovered!U228</f>
        <v>0</v>
      </c>
      <c r="W228" s="5">
        <f>recovered!W228-recovered!V228</f>
        <v>0</v>
      </c>
      <c r="X228" s="5">
        <f>recovered!X228-recovered!W228</f>
        <v>0</v>
      </c>
      <c r="Y228" s="5">
        <f>recovered!Y228-recovered!X228</f>
        <v>0</v>
      </c>
      <c r="Z228" s="5">
        <f>recovered!Z228-recovered!Y228</f>
        <v>0</v>
      </c>
      <c r="AA228" s="5">
        <f>recovered!AA228-recovered!Z228</f>
        <v>0</v>
      </c>
      <c r="AB228" s="5">
        <f>recovered!AB228-recovered!AA228</f>
        <v>0</v>
      </c>
      <c r="AC228" s="5">
        <f>recovered!AC228-recovered!AB228</f>
        <v>0</v>
      </c>
      <c r="AD228" s="5">
        <f>recovered!AD228-recovered!AC228</f>
        <v>0</v>
      </c>
      <c r="AE228" s="5">
        <f>recovered!AE228-recovered!AD228</f>
        <v>0</v>
      </c>
      <c r="AF228" s="5">
        <f>recovered!AF228-recovered!AE228</f>
        <v>0</v>
      </c>
      <c r="AG228" s="5">
        <f>recovered!AG228-recovered!AF228</f>
        <v>0</v>
      </c>
      <c r="AH228" s="5">
        <f>recovered!AH228-recovered!AG228</f>
        <v>0</v>
      </c>
      <c r="AI228" s="5">
        <f>recovered!AI228-recovered!AH228</f>
        <v>0</v>
      </c>
      <c r="AJ228" s="5">
        <f>recovered!AJ228-recovered!AI228</f>
        <v>0</v>
      </c>
      <c r="AK228" s="5">
        <f>recovered!AK228-recovered!AJ228</f>
        <v>0</v>
      </c>
      <c r="AL228" s="5">
        <f>recovered!AL228-recovered!AK228</f>
        <v>0</v>
      </c>
      <c r="AM228" s="5">
        <f>recovered!AM228-recovered!AL228</f>
        <v>0</v>
      </c>
      <c r="AN228" s="5">
        <f>recovered!AN228-recovered!AM228</f>
        <v>0</v>
      </c>
      <c r="AO228" s="5">
        <f>recovered!AO228-recovered!AN228</f>
        <v>0</v>
      </c>
      <c r="AP228" s="5">
        <f>recovered!AP228-recovered!AO228</f>
        <v>0</v>
      </c>
      <c r="AQ228" s="5">
        <f>recovered!AQ228-recovered!AP228</f>
        <v>0</v>
      </c>
      <c r="AR228" s="5">
        <f>recovered!AR228-recovered!AQ228</f>
        <v>0</v>
      </c>
      <c r="AS228" s="5">
        <f>recovered!AS228-recovered!AR228</f>
        <v>0</v>
      </c>
      <c r="AT228" s="5">
        <f>recovered!AT228-recovered!AS228</f>
        <v>0</v>
      </c>
      <c r="AU228" s="5">
        <f>recovered!AU228-recovered!AT228</f>
        <v>0</v>
      </c>
      <c r="AV228" s="5">
        <f>recovered!AV228-recovered!AU228</f>
        <v>0</v>
      </c>
      <c r="AW228" s="5">
        <f>recovered!AW228-recovered!AV228</f>
        <v>0</v>
      </c>
      <c r="AX228" s="5">
        <f>recovered!AX228-recovered!AW228</f>
        <v>0</v>
      </c>
      <c r="AY228" s="5">
        <f>recovered!AY228-recovered!AX228</f>
        <v>0</v>
      </c>
      <c r="AZ228" s="5">
        <f>recovered!AZ228-recovered!AY228</f>
        <v>0</v>
      </c>
      <c r="BA228" s="5">
        <f>recovered!BA228-recovered!AZ228</f>
        <v>0</v>
      </c>
      <c r="BB228" s="5">
        <f>recovered!BB228-recovered!BA228</f>
        <v>0</v>
      </c>
      <c r="BC228" s="5">
        <f>recovered!BC228-recovered!BB228</f>
        <v>0</v>
      </c>
      <c r="BD228" s="5">
        <f>recovered!BD228-recovered!BC228</f>
        <v>0</v>
      </c>
      <c r="BE228" s="5">
        <f>recovered!BE228-recovered!BD228</f>
        <v>0</v>
      </c>
      <c r="BF228" s="5">
        <f>recovered!BF228-recovered!BE228</f>
        <v>0</v>
      </c>
      <c r="BG228" s="5">
        <f>recovered!BG228-recovered!BF228</f>
        <v>0</v>
      </c>
      <c r="BH228" s="5">
        <f>recovered!BH228-recovered!BG228</f>
        <v>0</v>
      </c>
      <c r="BI228" s="5">
        <f>recovered!BI228-recovered!BH228</f>
        <v>0</v>
      </c>
      <c r="BJ228" s="5">
        <f>recovered!BJ228-recovered!BI228</f>
        <v>0</v>
      </c>
      <c r="BK228" s="5">
        <f>recovered!BK228-recovered!BJ228</f>
        <v>0</v>
      </c>
      <c r="BL228" s="5">
        <f>recovered!BL228-recovered!BK228</f>
        <v>0</v>
      </c>
      <c r="BM228" s="5">
        <f>recovered!BM228-recovered!BL228</f>
        <v>0</v>
      </c>
      <c r="BN228" s="5">
        <f>recovered!BN228-recovered!BM228</f>
        <v>0</v>
      </c>
      <c r="BO228" s="5">
        <f>recovered!BO228-recovered!BN228</f>
        <v>0</v>
      </c>
      <c r="BP228" s="5">
        <f>recovered!BP228-recovered!BO228</f>
        <v>0</v>
      </c>
      <c r="BQ228" s="5">
        <f>recovered!BQ228-recovered!BP228</f>
        <v>0</v>
      </c>
      <c r="BR228" s="5">
        <f>recovered!BR228-recovered!BQ228</f>
        <v>5</v>
      </c>
      <c r="BS228" s="5">
        <f>recovered!BS228-recovered!BR228</f>
        <v>0</v>
      </c>
      <c r="BT228" s="5">
        <f>recovered!BT228-recovered!BS228</f>
        <v>2</v>
      </c>
      <c r="BU228" s="5">
        <f>recovered!BU228-recovered!BT228</f>
        <v>0</v>
      </c>
      <c r="BV228" s="5">
        <f>recovered!BV228-recovered!BU228</f>
        <v>0</v>
      </c>
      <c r="BW228" s="5">
        <f>recovered!BW228-recovered!BV228</f>
        <v>5</v>
      </c>
      <c r="BX228" s="5">
        <f>recovered!BX228-recovered!BW228</f>
        <v>13</v>
      </c>
      <c r="BY228" s="5">
        <f>recovered!BY228-recovered!BX228</f>
        <v>0</v>
      </c>
    </row>
    <row r="229">
      <c r="B229" s="1" t="str">
        <f>recovered!B229</f>
        <v>Venezuela</v>
      </c>
      <c r="C229" s="4">
        <f>recovered!C229</f>
        <v>6.4238</v>
      </c>
      <c r="D229" s="4">
        <f>recovered!D229</f>
        <v>-66.5897</v>
      </c>
      <c r="E229" s="5">
        <f>recovered!E229</f>
        <v>0</v>
      </c>
      <c r="F229" s="5">
        <f>recovered!F229-recovered!E229</f>
        <v>0</v>
      </c>
      <c r="G229" s="5">
        <f>recovered!G229-recovered!F229</f>
        <v>0</v>
      </c>
      <c r="H229" s="5">
        <f>recovered!H229-recovered!G229</f>
        <v>0</v>
      </c>
      <c r="I229" s="5">
        <f>recovered!I229-recovered!H229</f>
        <v>0</v>
      </c>
      <c r="J229" s="5">
        <f>recovered!J229-recovered!I229</f>
        <v>0</v>
      </c>
      <c r="K229" s="5">
        <f>recovered!K229-recovered!J229</f>
        <v>0</v>
      </c>
      <c r="L229" s="5">
        <f>recovered!L229-recovered!K229</f>
        <v>0</v>
      </c>
      <c r="M229" s="5">
        <f>recovered!M229-recovered!L229</f>
        <v>0</v>
      </c>
      <c r="N229" s="5">
        <f>recovered!N229-recovered!M229</f>
        <v>0</v>
      </c>
      <c r="O229" s="5">
        <f>recovered!O229-recovered!N229</f>
        <v>0</v>
      </c>
      <c r="P229" s="5">
        <f>recovered!P229-recovered!O229</f>
        <v>0</v>
      </c>
      <c r="Q229" s="5">
        <f>recovered!Q229-recovered!P229</f>
        <v>0</v>
      </c>
      <c r="R229" s="5">
        <f>recovered!R229-recovered!Q229</f>
        <v>0</v>
      </c>
      <c r="S229" s="5">
        <f>recovered!S229-recovered!R229</f>
        <v>0</v>
      </c>
      <c r="T229" s="5">
        <f>recovered!T229-recovered!S229</f>
        <v>0</v>
      </c>
      <c r="U229" s="5">
        <f>recovered!U229-recovered!T229</f>
        <v>0</v>
      </c>
      <c r="V229" s="5">
        <f>recovered!V229-recovered!U229</f>
        <v>0</v>
      </c>
      <c r="W229" s="5">
        <f>recovered!W229-recovered!V229</f>
        <v>0</v>
      </c>
      <c r="X229" s="5">
        <f>recovered!X229-recovered!W229</f>
        <v>0</v>
      </c>
      <c r="Y229" s="5">
        <f>recovered!Y229-recovered!X229</f>
        <v>0</v>
      </c>
      <c r="Z229" s="5">
        <f>recovered!Z229-recovered!Y229</f>
        <v>0</v>
      </c>
      <c r="AA229" s="5">
        <f>recovered!AA229-recovered!Z229</f>
        <v>0</v>
      </c>
      <c r="AB229" s="5">
        <f>recovered!AB229-recovered!AA229</f>
        <v>0</v>
      </c>
      <c r="AC229" s="5">
        <f>recovered!AC229-recovered!AB229</f>
        <v>0</v>
      </c>
      <c r="AD229" s="5">
        <f>recovered!AD229-recovered!AC229</f>
        <v>0</v>
      </c>
      <c r="AE229" s="5">
        <f>recovered!AE229-recovered!AD229</f>
        <v>0</v>
      </c>
      <c r="AF229" s="5">
        <f>recovered!AF229-recovered!AE229</f>
        <v>0</v>
      </c>
      <c r="AG229" s="5">
        <f>recovered!AG229-recovered!AF229</f>
        <v>0</v>
      </c>
      <c r="AH229" s="5">
        <f>recovered!AH229-recovered!AG229</f>
        <v>0</v>
      </c>
      <c r="AI229" s="5">
        <f>recovered!AI229-recovered!AH229</f>
        <v>0</v>
      </c>
      <c r="AJ229" s="5">
        <f>recovered!AJ229-recovered!AI229</f>
        <v>0</v>
      </c>
      <c r="AK229" s="5">
        <f>recovered!AK229-recovered!AJ229</f>
        <v>0</v>
      </c>
      <c r="AL229" s="5">
        <f>recovered!AL229-recovered!AK229</f>
        <v>0</v>
      </c>
      <c r="AM229" s="5">
        <f>recovered!AM229-recovered!AL229</f>
        <v>0</v>
      </c>
      <c r="AN229" s="5">
        <f>recovered!AN229-recovered!AM229</f>
        <v>0</v>
      </c>
      <c r="AO229" s="5">
        <f>recovered!AO229-recovered!AN229</f>
        <v>0</v>
      </c>
      <c r="AP229" s="5">
        <f>recovered!AP229-recovered!AO229</f>
        <v>0</v>
      </c>
      <c r="AQ229" s="5">
        <f>recovered!AQ229-recovered!AP229</f>
        <v>0</v>
      </c>
      <c r="AR229" s="5">
        <f>recovered!AR229-recovered!AQ229</f>
        <v>0</v>
      </c>
      <c r="AS229" s="5">
        <f>recovered!AS229-recovered!AR229</f>
        <v>0</v>
      </c>
      <c r="AT229" s="5">
        <f>recovered!AT229-recovered!AS229</f>
        <v>0</v>
      </c>
      <c r="AU229" s="5">
        <f>recovered!AU229-recovered!AT229</f>
        <v>0</v>
      </c>
      <c r="AV229" s="5">
        <f>recovered!AV229-recovered!AU229</f>
        <v>0</v>
      </c>
      <c r="AW229" s="5">
        <f>recovered!AW229-recovered!AV229</f>
        <v>0</v>
      </c>
      <c r="AX229" s="5">
        <f>recovered!AX229-recovered!AW229</f>
        <v>0</v>
      </c>
      <c r="AY229" s="5">
        <f>recovered!AY229-recovered!AX229</f>
        <v>0</v>
      </c>
      <c r="AZ229" s="5">
        <f>recovered!AZ229-recovered!AY229</f>
        <v>0</v>
      </c>
      <c r="BA229" s="5">
        <f>recovered!BA229-recovered!AZ229</f>
        <v>0</v>
      </c>
      <c r="BB229" s="5">
        <f>recovered!BB229-recovered!BA229</f>
        <v>0</v>
      </c>
      <c r="BC229" s="5">
        <f>recovered!BC229-recovered!BB229</f>
        <v>0</v>
      </c>
      <c r="BD229" s="5">
        <f>recovered!BD229-recovered!BC229</f>
        <v>0</v>
      </c>
      <c r="BE229" s="5">
        <f>recovered!BE229-recovered!BD229</f>
        <v>0</v>
      </c>
      <c r="BF229" s="5">
        <f>recovered!BF229-recovered!BE229</f>
        <v>0</v>
      </c>
      <c r="BG229" s="5">
        <f>recovered!BG229-recovered!BF229</f>
        <v>0</v>
      </c>
      <c r="BH229" s="5">
        <f>recovered!BH229-recovered!BG229</f>
        <v>0</v>
      </c>
      <c r="BI229" s="5">
        <f>recovered!BI229-recovered!BH229</f>
        <v>0</v>
      </c>
      <c r="BJ229" s="5">
        <f>recovered!BJ229-recovered!BI229</f>
        <v>0</v>
      </c>
      <c r="BK229" s="5">
        <f>recovered!BK229-recovered!BJ229</f>
        <v>0</v>
      </c>
      <c r="BL229" s="5">
        <f>recovered!BL229-recovered!BK229</f>
        <v>0</v>
      </c>
      <c r="BM229" s="5">
        <f>recovered!BM229-recovered!BL229</f>
        <v>15</v>
      </c>
      <c r="BN229" s="5">
        <f>recovered!BN229-recovered!BM229</f>
        <v>0</v>
      </c>
      <c r="BO229" s="5">
        <f>recovered!BO229-recovered!BN229</f>
        <v>0</v>
      </c>
      <c r="BP229" s="5">
        <f>recovered!BP229-recovered!BO229</f>
        <v>0</v>
      </c>
      <c r="BQ229" s="5">
        <f>recovered!BQ229-recovered!BP229</f>
        <v>0</v>
      </c>
      <c r="BR229" s="5">
        <f>recovered!BR229-recovered!BQ229</f>
        <v>16</v>
      </c>
      <c r="BS229" s="5">
        <f>recovered!BS229-recovered!BR229</f>
        <v>8</v>
      </c>
      <c r="BT229" s="5">
        <f>recovered!BT229-recovered!BS229</f>
        <v>0</v>
      </c>
      <c r="BU229" s="5">
        <f>recovered!BU229-recovered!BT229</f>
        <v>0</v>
      </c>
      <c r="BV229" s="5">
        <f>recovered!BV229-recovered!BU229</f>
        <v>0</v>
      </c>
      <c r="BW229" s="5">
        <f>recovered!BW229-recovered!BV229</f>
        <v>2</v>
      </c>
      <c r="BX229" s="5">
        <f>recovered!BX229-recovered!BW229</f>
        <v>2</v>
      </c>
      <c r="BY229" s="5">
        <f>recovered!BY229-recovered!BX229</f>
        <v>9</v>
      </c>
    </row>
    <row r="230">
      <c r="B230" s="1" t="str">
        <f>recovered!B230</f>
        <v>Vietnam</v>
      </c>
      <c r="C230" s="4">
        <f>recovered!C230</f>
        <v>16</v>
      </c>
      <c r="D230" s="4">
        <f>recovered!D230</f>
        <v>108</v>
      </c>
      <c r="E230" s="5">
        <f>recovered!E230</f>
        <v>0</v>
      </c>
      <c r="F230" s="5">
        <f>recovered!F230-recovered!E230</f>
        <v>0</v>
      </c>
      <c r="G230" s="5">
        <f>recovered!G230-recovered!F230</f>
        <v>0</v>
      </c>
      <c r="H230" s="5">
        <f>recovered!H230-recovered!G230</f>
        <v>0</v>
      </c>
      <c r="I230" s="5">
        <f>recovered!I230-recovered!H230</f>
        <v>0</v>
      </c>
      <c r="J230" s="5">
        <f>recovered!J230-recovered!I230</f>
        <v>0</v>
      </c>
      <c r="K230" s="5">
        <f>recovered!K230-recovered!J230</f>
        <v>0</v>
      </c>
      <c r="L230" s="5">
        <f>recovered!L230-recovered!K230</f>
        <v>0</v>
      </c>
      <c r="M230" s="5">
        <f>recovered!M230-recovered!L230</f>
        <v>0</v>
      </c>
      <c r="N230" s="5">
        <f>recovered!N230-recovered!M230</f>
        <v>0</v>
      </c>
      <c r="O230" s="5">
        <f>recovered!O230-recovered!N230</f>
        <v>1</v>
      </c>
      <c r="P230" s="5">
        <f>recovered!P230-recovered!O230</f>
        <v>0</v>
      </c>
      <c r="Q230" s="5">
        <f>recovered!Q230-recovered!P230</f>
        <v>0</v>
      </c>
      <c r="R230" s="5">
        <f>recovered!R230-recovered!Q230</f>
        <v>0</v>
      </c>
      <c r="S230" s="5">
        <f>recovered!S230-recovered!R230</f>
        <v>0</v>
      </c>
      <c r="T230" s="5">
        <f>recovered!T230-recovered!S230</f>
        <v>0</v>
      </c>
      <c r="U230" s="5">
        <f>recovered!U230-recovered!T230</f>
        <v>0</v>
      </c>
      <c r="V230" s="5">
        <f>recovered!V230-recovered!U230</f>
        <v>0</v>
      </c>
      <c r="W230" s="5">
        <f>recovered!W230-recovered!V230</f>
        <v>0</v>
      </c>
      <c r="X230" s="5">
        <f>recovered!X230-recovered!W230</f>
        <v>0</v>
      </c>
      <c r="Y230" s="5">
        <f>recovered!Y230-recovered!X230</f>
        <v>5</v>
      </c>
      <c r="Z230" s="5">
        <f>recovered!Z230-recovered!Y230</f>
        <v>0</v>
      </c>
      <c r="AA230" s="5">
        <f>recovered!AA230-recovered!Z230</f>
        <v>1</v>
      </c>
      <c r="AB230" s="5">
        <f>recovered!AB230-recovered!AA230</f>
        <v>0</v>
      </c>
      <c r="AC230" s="5">
        <f>recovered!AC230-recovered!AB230</f>
        <v>0</v>
      </c>
      <c r="AD230" s="5">
        <f>recovered!AD230-recovered!AC230</f>
        <v>0</v>
      </c>
      <c r="AE230" s="5">
        <f>recovered!AE230-recovered!AD230</f>
        <v>0</v>
      </c>
      <c r="AF230" s="5">
        <f>recovered!AF230-recovered!AE230</f>
        <v>0</v>
      </c>
      <c r="AG230" s="5">
        <f>recovered!AG230-recovered!AF230</f>
        <v>0</v>
      </c>
      <c r="AH230" s="5">
        <f>recovered!AH230-recovered!AG230</f>
        <v>0</v>
      </c>
      <c r="AI230" s="5">
        <f>recovered!AI230-recovered!AH230</f>
        <v>7</v>
      </c>
      <c r="AJ230" s="5">
        <f>recovered!AJ230-recovered!AI230</f>
        <v>0</v>
      </c>
      <c r="AK230" s="5">
        <f>recovered!AK230-recovered!AJ230</f>
        <v>0</v>
      </c>
      <c r="AL230" s="5">
        <f>recovered!AL230-recovered!AK230</f>
        <v>0</v>
      </c>
      <c r="AM230" s="5">
        <f>recovered!AM230-recovered!AL230</f>
        <v>2</v>
      </c>
      <c r="AN230" s="5">
        <f>recovered!AN230-recovered!AM230</f>
        <v>0</v>
      </c>
      <c r="AO230" s="5">
        <f>recovered!AO230-recovered!AN230</f>
        <v>0</v>
      </c>
      <c r="AP230" s="5">
        <f>recovered!AP230-recovered!AO230</f>
        <v>0</v>
      </c>
      <c r="AQ230" s="5">
        <f>recovered!AQ230-recovered!AP230</f>
        <v>0</v>
      </c>
      <c r="AR230" s="5">
        <f>recovered!AR230-recovered!AQ230</f>
        <v>0</v>
      </c>
      <c r="AS230" s="5">
        <f>recovered!AS230-recovered!AR230</f>
        <v>0</v>
      </c>
      <c r="AT230" s="5">
        <f>recovered!AT230-recovered!AS230</f>
        <v>0</v>
      </c>
      <c r="AU230" s="5">
        <f>recovered!AU230-recovered!AT230</f>
        <v>0</v>
      </c>
      <c r="AV230" s="5">
        <f>recovered!AV230-recovered!AU230</f>
        <v>0</v>
      </c>
      <c r="AW230" s="5">
        <f>recovered!AW230-recovered!AV230</f>
        <v>0</v>
      </c>
      <c r="AX230" s="5">
        <f>recovered!AX230-recovered!AW230</f>
        <v>0</v>
      </c>
      <c r="AY230" s="5">
        <f>recovered!AY230-recovered!AX230</f>
        <v>0</v>
      </c>
      <c r="AZ230" s="5">
        <f>recovered!AZ230-recovered!AY230</f>
        <v>0</v>
      </c>
      <c r="BA230" s="5">
        <f>recovered!BA230-recovered!AZ230</f>
        <v>0</v>
      </c>
      <c r="BB230" s="5">
        <f>recovered!BB230-recovered!BA230</f>
        <v>0</v>
      </c>
      <c r="BC230" s="5">
        <f>recovered!BC230-recovered!BB230</f>
        <v>0</v>
      </c>
      <c r="BD230" s="5">
        <f>recovered!BD230-recovered!BC230</f>
        <v>0</v>
      </c>
      <c r="BE230" s="5">
        <f>recovered!BE230-recovered!BD230</f>
        <v>0</v>
      </c>
      <c r="BF230" s="5">
        <f>recovered!BF230-recovered!BE230</f>
        <v>0</v>
      </c>
      <c r="BG230" s="5">
        <f>recovered!BG230-recovered!BF230</f>
        <v>0</v>
      </c>
      <c r="BH230" s="5">
        <f>recovered!BH230-recovered!BG230</f>
        <v>0</v>
      </c>
      <c r="BI230" s="5">
        <f>recovered!BI230-recovered!BH230</f>
        <v>0</v>
      </c>
      <c r="BJ230" s="5">
        <f>recovered!BJ230-recovered!BI230</f>
        <v>0</v>
      </c>
      <c r="BK230" s="5">
        <f>recovered!BK230-recovered!BJ230</f>
        <v>0</v>
      </c>
      <c r="BL230" s="5">
        <f>recovered!BL230-recovered!BK230</f>
        <v>1</v>
      </c>
      <c r="BM230" s="5">
        <f>recovered!BM230-recovered!BL230</f>
        <v>0</v>
      </c>
      <c r="BN230" s="5">
        <f>recovered!BN230-recovered!BM230</f>
        <v>0</v>
      </c>
      <c r="BO230" s="5">
        <f>recovered!BO230-recovered!BN230</f>
        <v>0</v>
      </c>
      <c r="BP230" s="5">
        <f>recovered!BP230-recovered!BO230</f>
        <v>0</v>
      </c>
      <c r="BQ230" s="5">
        <f>recovered!BQ230-recovered!BP230</f>
        <v>3</v>
      </c>
      <c r="BR230" s="5">
        <f>recovered!BR230-recovered!BQ230</f>
        <v>0</v>
      </c>
      <c r="BS230" s="5">
        <f>recovered!BS230-recovered!BR230</f>
        <v>1</v>
      </c>
      <c r="BT230" s="5">
        <f>recovered!BT230-recovered!BS230</f>
        <v>4</v>
      </c>
      <c r="BU230" s="5">
        <f>recovered!BU230-recovered!BT230</f>
        <v>30</v>
      </c>
      <c r="BV230" s="5">
        <f>recovered!BV230-recovered!BU230</f>
        <v>3</v>
      </c>
      <c r="BW230" s="5">
        <f>recovered!BW230-recovered!BV230</f>
        <v>5</v>
      </c>
      <c r="BX230" s="5">
        <f>recovered!BX230-recovered!BW230</f>
        <v>12</v>
      </c>
      <c r="BY230" s="5">
        <f>recovered!BY230-recovered!BX230</f>
        <v>10</v>
      </c>
    </row>
    <row r="231">
      <c r="B231" s="1" t="str">
        <f>recovered!B231</f>
        <v>Zambia</v>
      </c>
      <c r="C231" s="4">
        <f>recovered!C231</f>
        <v>-15.4167</v>
      </c>
      <c r="D231" s="4">
        <f>recovered!D231</f>
        <v>28.2833</v>
      </c>
      <c r="E231" s="5">
        <f>recovered!E231</f>
        <v>0</v>
      </c>
      <c r="F231" s="5">
        <f>recovered!F231-recovered!E231</f>
        <v>0</v>
      </c>
      <c r="G231" s="5">
        <f>recovered!G231-recovered!F231</f>
        <v>0</v>
      </c>
      <c r="H231" s="5">
        <f>recovered!H231-recovered!G231</f>
        <v>0</v>
      </c>
      <c r="I231" s="5">
        <f>recovered!I231-recovered!H231</f>
        <v>0</v>
      </c>
      <c r="J231" s="5">
        <f>recovered!J231-recovered!I231</f>
        <v>0</v>
      </c>
      <c r="K231" s="5">
        <f>recovered!K231-recovered!J231</f>
        <v>0</v>
      </c>
      <c r="L231" s="5">
        <f>recovered!L231-recovered!K231</f>
        <v>0</v>
      </c>
      <c r="M231" s="5">
        <f>recovered!M231-recovered!L231</f>
        <v>0</v>
      </c>
      <c r="N231" s="5">
        <f>recovered!N231-recovered!M231</f>
        <v>0</v>
      </c>
      <c r="O231" s="5">
        <f>recovered!O231-recovered!N231</f>
        <v>0</v>
      </c>
      <c r="P231" s="5">
        <f>recovered!P231-recovered!O231</f>
        <v>0</v>
      </c>
      <c r="Q231" s="5">
        <f>recovered!Q231-recovered!P231</f>
        <v>0</v>
      </c>
      <c r="R231" s="5">
        <f>recovered!R231-recovered!Q231</f>
        <v>0</v>
      </c>
      <c r="S231" s="5">
        <f>recovered!S231-recovered!R231</f>
        <v>0</v>
      </c>
      <c r="T231" s="5">
        <f>recovered!T231-recovered!S231</f>
        <v>0</v>
      </c>
      <c r="U231" s="5">
        <f>recovered!U231-recovered!T231</f>
        <v>0</v>
      </c>
      <c r="V231" s="5">
        <f>recovered!V231-recovered!U231</f>
        <v>0</v>
      </c>
      <c r="W231" s="5">
        <f>recovered!W231-recovered!V231</f>
        <v>0</v>
      </c>
      <c r="X231" s="5">
        <f>recovered!X231-recovered!W231</f>
        <v>0</v>
      </c>
      <c r="Y231" s="5">
        <f>recovered!Y231-recovered!X231</f>
        <v>0</v>
      </c>
      <c r="Z231" s="5">
        <f>recovered!Z231-recovered!Y231</f>
        <v>0</v>
      </c>
      <c r="AA231" s="5">
        <f>recovered!AA231-recovered!Z231</f>
        <v>0</v>
      </c>
      <c r="AB231" s="5">
        <f>recovered!AB231-recovered!AA231</f>
        <v>0</v>
      </c>
      <c r="AC231" s="5">
        <f>recovered!AC231-recovered!AB231</f>
        <v>0</v>
      </c>
      <c r="AD231" s="5">
        <f>recovered!AD231-recovered!AC231</f>
        <v>0</v>
      </c>
      <c r="AE231" s="5">
        <f>recovered!AE231-recovered!AD231</f>
        <v>0</v>
      </c>
      <c r="AF231" s="5">
        <f>recovered!AF231-recovered!AE231</f>
        <v>0</v>
      </c>
      <c r="AG231" s="5">
        <f>recovered!AG231-recovered!AF231</f>
        <v>0</v>
      </c>
      <c r="AH231" s="5">
        <f>recovered!AH231-recovered!AG231</f>
        <v>0</v>
      </c>
      <c r="AI231" s="5">
        <f>recovered!AI231-recovered!AH231</f>
        <v>0</v>
      </c>
      <c r="AJ231" s="5">
        <f>recovered!AJ231-recovered!AI231</f>
        <v>0</v>
      </c>
      <c r="AK231" s="5">
        <f>recovered!AK231-recovered!AJ231</f>
        <v>0</v>
      </c>
      <c r="AL231" s="5">
        <f>recovered!AL231-recovered!AK231</f>
        <v>0</v>
      </c>
      <c r="AM231" s="5">
        <f>recovered!AM231-recovered!AL231</f>
        <v>0</v>
      </c>
      <c r="AN231" s="5">
        <f>recovered!AN231-recovered!AM231</f>
        <v>0</v>
      </c>
      <c r="AO231" s="5">
        <f>recovered!AO231-recovered!AN231</f>
        <v>0</v>
      </c>
      <c r="AP231" s="5">
        <f>recovered!AP231-recovered!AO231</f>
        <v>0</v>
      </c>
      <c r="AQ231" s="5">
        <f>recovered!AQ231-recovered!AP231</f>
        <v>0</v>
      </c>
      <c r="AR231" s="5">
        <f>recovered!AR231-recovered!AQ231</f>
        <v>0</v>
      </c>
      <c r="AS231" s="5">
        <f>recovered!AS231-recovered!AR231</f>
        <v>0</v>
      </c>
      <c r="AT231" s="5">
        <f>recovered!AT231-recovered!AS231</f>
        <v>0</v>
      </c>
      <c r="AU231" s="5">
        <f>recovered!AU231-recovered!AT231</f>
        <v>0</v>
      </c>
      <c r="AV231" s="5">
        <f>recovered!AV231-recovered!AU231</f>
        <v>0</v>
      </c>
      <c r="AW231" s="5">
        <f>recovered!AW231-recovered!AV231</f>
        <v>0</v>
      </c>
      <c r="AX231" s="5">
        <f>recovered!AX231-recovered!AW231</f>
        <v>0</v>
      </c>
      <c r="AY231" s="5">
        <f>recovered!AY231-recovered!AX231</f>
        <v>0</v>
      </c>
      <c r="AZ231" s="5">
        <f>recovered!AZ231-recovered!AY231</f>
        <v>0</v>
      </c>
      <c r="BA231" s="5">
        <f>recovered!BA231-recovered!AZ231</f>
        <v>0</v>
      </c>
      <c r="BB231" s="5">
        <f>recovered!BB231-recovered!BA231</f>
        <v>0</v>
      </c>
      <c r="BC231" s="5">
        <f>recovered!BC231-recovered!BB231</f>
        <v>0</v>
      </c>
      <c r="BD231" s="5">
        <f>recovered!BD231-recovered!BC231</f>
        <v>0</v>
      </c>
      <c r="BE231" s="5">
        <f>recovered!BE231-recovered!BD231</f>
        <v>0</v>
      </c>
      <c r="BF231" s="5">
        <f>recovered!BF231-recovered!BE231</f>
        <v>0</v>
      </c>
      <c r="BG231" s="5">
        <f>recovered!BG231-recovered!BF231</f>
        <v>0</v>
      </c>
      <c r="BH231" s="5">
        <f>recovered!BH231-recovered!BG231</f>
        <v>0</v>
      </c>
      <c r="BI231" s="5">
        <f>recovered!BI231-recovered!BH231</f>
        <v>0</v>
      </c>
      <c r="BJ231" s="5">
        <f>recovered!BJ231-recovered!BI231</f>
        <v>0</v>
      </c>
      <c r="BK231" s="5">
        <f>recovered!BK231-recovered!BJ231</f>
        <v>0</v>
      </c>
      <c r="BL231" s="5">
        <f>recovered!BL231-recovered!BK231</f>
        <v>0</v>
      </c>
      <c r="BM231" s="5">
        <f>recovered!BM231-recovered!BL231</f>
        <v>0</v>
      </c>
      <c r="BN231" s="5">
        <f>recovered!BN231-recovered!BM231</f>
        <v>0</v>
      </c>
      <c r="BO231" s="5">
        <f>recovered!BO231-recovered!BN231</f>
        <v>0</v>
      </c>
      <c r="BP231" s="5">
        <f>recovered!BP231-recovered!BO231</f>
        <v>0</v>
      </c>
      <c r="BQ231" s="5">
        <f>recovered!BQ231-recovered!BP231</f>
        <v>0</v>
      </c>
      <c r="BR231" s="5">
        <f>recovered!BR231-recovered!BQ231</f>
        <v>0</v>
      </c>
      <c r="BS231" s="5">
        <f>recovered!BS231-recovered!BR231</f>
        <v>0</v>
      </c>
      <c r="BT231" s="5">
        <f>recovered!BT231-recovered!BS231</f>
        <v>0</v>
      </c>
      <c r="BU231" s="5">
        <f>recovered!BU231-recovered!BT231</f>
        <v>0</v>
      </c>
      <c r="BV231" s="5">
        <f>recovered!BV231-recovered!BU231</f>
        <v>0</v>
      </c>
      <c r="BW231" s="5">
        <f>recovered!BW231-recovered!BV231</f>
        <v>0</v>
      </c>
      <c r="BX231" s="5">
        <f>recovered!BX231-recovered!BW231</f>
        <v>0</v>
      </c>
      <c r="BY231" s="5">
        <f>recovered!BY231-recovered!BX231</f>
        <v>2</v>
      </c>
    </row>
    <row r="232">
      <c r="B232" s="1" t="str">
        <f>recovered!B232</f>
        <v>Zimbabwe</v>
      </c>
      <c r="C232" s="4">
        <f>recovered!C232</f>
        <v>-20</v>
      </c>
      <c r="D232" s="4">
        <f>recovered!D232</f>
        <v>30</v>
      </c>
      <c r="E232" s="5">
        <f>recovered!E232</f>
        <v>0</v>
      </c>
      <c r="F232" s="5">
        <f>recovered!F232-recovered!E232</f>
        <v>0</v>
      </c>
      <c r="G232" s="5">
        <f>recovered!G232-recovered!F232</f>
        <v>0</v>
      </c>
      <c r="H232" s="5">
        <f>recovered!H232-recovered!G232</f>
        <v>0</v>
      </c>
      <c r="I232" s="5">
        <f>recovered!I232-recovered!H232</f>
        <v>0</v>
      </c>
      <c r="J232" s="5">
        <f>recovered!J232-recovered!I232</f>
        <v>0</v>
      </c>
      <c r="K232" s="5">
        <f>recovered!K232-recovered!J232</f>
        <v>0</v>
      </c>
      <c r="L232" s="5">
        <f>recovered!L232-recovered!K232</f>
        <v>0</v>
      </c>
      <c r="M232" s="5">
        <f>recovered!M232-recovered!L232</f>
        <v>0</v>
      </c>
      <c r="N232" s="5">
        <f>recovered!N232-recovered!M232</f>
        <v>0</v>
      </c>
      <c r="O232" s="5">
        <f>recovered!O232-recovered!N232</f>
        <v>0</v>
      </c>
      <c r="P232" s="5">
        <f>recovered!P232-recovered!O232</f>
        <v>0</v>
      </c>
      <c r="Q232" s="5">
        <f>recovered!Q232-recovered!P232</f>
        <v>0</v>
      </c>
      <c r="R232" s="5">
        <f>recovered!R232-recovered!Q232</f>
        <v>0</v>
      </c>
      <c r="S232" s="5">
        <f>recovered!S232-recovered!R232</f>
        <v>0</v>
      </c>
      <c r="T232" s="5">
        <f>recovered!T232-recovered!S232</f>
        <v>0</v>
      </c>
      <c r="U232" s="5">
        <f>recovered!U232-recovered!T232</f>
        <v>0</v>
      </c>
      <c r="V232" s="5">
        <f>recovered!V232-recovered!U232</f>
        <v>0</v>
      </c>
      <c r="W232" s="5">
        <f>recovered!W232-recovered!V232</f>
        <v>0</v>
      </c>
      <c r="X232" s="5">
        <f>recovered!X232-recovered!W232</f>
        <v>0</v>
      </c>
      <c r="Y232" s="5">
        <f>recovered!Y232-recovered!X232</f>
        <v>0</v>
      </c>
      <c r="Z232" s="5">
        <f>recovered!Z232-recovered!Y232</f>
        <v>0</v>
      </c>
      <c r="AA232" s="5">
        <f>recovered!AA232-recovered!Z232</f>
        <v>0</v>
      </c>
      <c r="AB232" s="5">
        <f>recovered!AB232-recovered!AA232</f>
        <v>0</v>
      </c>
      <c r="AC232" s="5">
        <f>recovered!AC232-recovered!AB232</f>
        <v>0</v>
      </c>
      <c r="AD232" s="5">
        <f>recovered!AD232-recovered!AC232</f>
        <v>0</v>
      </c>
      <c r="AE232" s="5">
        <f>recovered!AE232-recovered!AD232</f>
        <v>0</v>
      </c>
      <c r="AF232" s="5">
        <f>recovered!AF232-recovered!AE232</f>
        <v>0</v>
      </c>
      <c r="AG232" s="5">
        <f>recovered!AG232-recovered!AF232</f>
        <v>0</v>
      </c>
      <c r="AH232" s="5">
        <f>recovered!AH232-recovered!AG232</f>
        <v>0</v>
      </c>
      <c r="AI232" s="5">
        <f>recovered!AI232-recovered!AH232</f>
        <v>0</v>
      </c>
      <c r="AJ232" s="5">
        <f>recovered!AJ232-recovered!AI232</f>
        <v>0</v>
      </c>
      <c r="AK232" s="5">
        <f>recovered!AK232-recovered!AJ232</f>
        <v>0</v>
      </c>
      <c r="AL232" s="5">
        <f>recovered!AL232-recovered!AK232</f>
        <v>0</v>
      </c>
      <c r="AM232" s="5">
        <f>recovered!AM232-recovered!AL232</f>
        <v>0</v>
      </c>
      <c r="AN232" s="5">
        <f>recovered!AN232-recovered!AM232</f>
        <v>0</v>
      </c>
      <c r="AO232" s="5">
        <f>recovered!AO232-recovered!AN232</f>
        <v>0</v>
      </c>
      <c r="AP232" s="5">
        <f>recovered!AP232-recovered!AO232</f>
        <v>0</v>
      </c>
      <c r="AQ232" s="5">
        <f>recovered!AQ232-recovered!AP232</f>
        <v>0</v>
      </c>
      <c r="AR232" s="5">
        <f>recovered!AR232-recovered!AQ232</f>
        <v>0</v>
      </c>
      <c r="AS232" s="5">
        <f>recovered!AS232-recovered!AR232</f>
        <v>0</v>
      </c>
      <c r="AT232" s="5">
        <f>recovered!AT232-recovered!AS232</f>
        <v>0</v>
      </c>
      <c r="AU232" s="5">
        <f>recovered!AU232-recovered!AT232</f>
        <v>0</v>
      </c>
      <c r="AV232" s="5">
        <f>recovered!AV232-recovered!AU232</f>
        <v>0</v>
      </c>
      <c r="AW232" s="5">
        <f>recovered!AW232-recovered!AV232</f>
        <v>0</v>
      </c>
      <c r="AX232" s="5">
        <f>recovered!AX232-recovered!AW232</f>
        <v>0</v>
      </c>
      <c r="AY232" s="5">
        <f>recovered!AY232-recovered!AX232</f>
        <v>0</v>
      </c>
      <c r="AZ232" s="5">
        <f>recovered!AZ232-recovered!AY232</f>
        <v>0</v>
      </c>
      <c r="BA232" s="5">
        <f>recovered!BA232-recovered!AZ232</f>
        <v>0</v>
      </c>
      <c r="BB232" s="5">
        <f>recovered!BB232-recovered!BA232</f>
        <v>0</v>
      </c>
      <c r="BC232" s="5">
        <f>recovered!BC232-recovered!BB232</f>
        <v>0</v>
      </c>
      <c r="BD232" s="5">
        <f>recovered!BD232-recovered!BC232</f>
        <v>0</v>
      </c>
      <c r="BE232" s="5">
        <f>recovered!BE232-recovered!BD232</f>
        <v>0</v>
      </c>
      <c r="BF232" s="5">
        <f>recovered!BF232-recovered!BE232</f>
        <v>0</v>
      </c>
      <c r="BG232" s="5">
        <f>recovered!BG232-recovered!BF232</f>
        <v>0</v>
      </c>
      <c r="BH232" s="5">
        <f>recovered!BH232-recovered!BG232</f>
        <v>0</v>
      </c>
      <c r="BI232" s="5">
        <f>recovered!BI232-recovered!BH232</f>
        <v>0</v>
      </c>
      <c r="BJ232" s="5">
        <f>recovered!BJ232-recovered!BI232</f>
        <v>0</v>
      </c>
      <c r="BK232" s="5">
        <f>recovered!BK232-recovered!BJ232</f>
        <v>0</v>
      </c>
      <c r="BL232" s="5">
        <f>recovered!BL232-recovered!BK232</f>
        <v>0</v>
      </c>
      <c r="BM232" s="5">
        <f>recovered!BM232-recovered!BL232</f>
        <v>0</v>
      </c>
      <c r="BN232" s="5">
        <f>recovered!BN232-recovered!BM232</f>
        <v>0</v>
      </c>
      <c r="BO232" s="5">
        <f>recovered!BO232-recovered!BN232</f>
        <v>0</v>
      </c>
      <c r="BP232" s="5">
        <f>recovered!BP232-recovered!BO232</f>
        <v>0</v>
      </c>
      <c r="BQ232" s="5">
        <f>recovered!BQ232-recovered!BP232</f>
        <v>0</v>
      </c>
      <c r="BR232" s="5">
        <f>recovered!BR232-recovered!BQ232</f>
        <v>0</v>
      </c>
      <c r="BS232" s="5">
        <f>recovered!BS232-recovered!BR232</f>
        <v>0</v>
      </c>
      <c r="BT232" s="5">
        <f>recovered!BT232-recovered!BS232</f>
        <v>0</v>
      </c>
      <c r="BU232" s="5">
        <f>recovered!BU232-recovered!BT232</f>
        <v>0</v>
      </c>
      <c r="BV232" s="5">
        <f>recovered!BV232-recovered!BU232</f>
        <v>0</v>
      </c>
      <c r="BW232" s="5">
        <f>recovered!BW232-recovered!BV232</f>
        <v>0</v>
      </c>
      <c r="BX232" s="5">
        <f>recovered!BX232-recovered!BW232</f>
        <v>0</v>
      </c>
      <c r="BY232" s="5">
        <f>recovered!BY232-recovered!BX232</f>
        <v>0</v>
      </c>
    </row>
    <row r="233">
      <c r="B233" s="1" t="str">
        <f>recovered!B233</f>
        <v>West Bank and Gaza</v>
      </c>
      <c r="C233" s="4">
        <f>recovered!C233</f>
        <v>31.9522</v>
      </c>
      <c r="D233" s="4">
        <f>recovered!D233</f>
        <v>35.2332</v>
      </c>
      <c r="E233" s="5">
        <f>recovered!E233</f>
        <v>0</v>
      </c>
      <c r="F233" s="5">
        <f>recovered!F233-recovered!E233</f>
        <v>0</v>
      </c>
      <c r="G233" s="5">
        <f>recovered!G233-recovered!F233</f>
        <v>0</v>
      </c>
      <c r="H233" s="5">
        <f>recovered!H233-recovered!G233</f>
        <v>0</v>
      </c>
      <c r="I233" s="5">
        <f>recovered!I233-recovered!H233</f>
        <v>0</v>
      </c>
      <c r="J233" s="5">
        <f>recovered!J233-recovered!I233</f>
        <v>0</v>
      </c>
      <c r="K233" s="5">
        <f>recovered!K233-recovered!J233</f>
        <v>0</v>
      </c>
      <c r="L233" s="5">
        <f>recovered!L233-recovered!K233</f>
        <v>0</v>
      </c>
      <c r="M233" s="5">
        <f>recovered!M233-recovered!L233</f>
        <v>0</v>
      </c>
      <c r="N233" s="5">
        <f>recovered!N233-recovered!M233</f>
        <v>0</v>
      </c>
      <c r="O233" s="5">
        <f>recovered!O233-recovered!N233</f>
        <v>0</v>
      </c>
      <c r="P233" s="5">
        <f>recovered!P233-recovered!O233</f>
        <v>0</v>
      </c>
      <c r="Q233" s="5">
        <f>recovered!Q233-recovered!P233</f>
        <v>0</v>
      </c>
      <c r="R233" s="5">
        <f>recovered!R233-recovered!Q233</f>
        <v>0</v>
      </c>
      <c r="S233" s="5">
        <f>recovered!S233-recovered!R233</f>
        <v>0</v>
      </c>
      <c r="T233" s="5">
        <f>recovered!T233-recovered!S233</f>
        <v>0</v>
      </c>
      <c r="U233" s="5">
        <f>recovered!U233-recovered!T233</f>
        <v>0</v>
      </c>
      <c r="V233" s="5">
        <f>recovered!V233-recovered!U233</f>
        <v>0</v>
      </c>
      <c r="W233" s="5">
        <f>recovered!W233-recovered!V233</f>
        <v>0</v>
      </c>
      <c r="X233" s="5">
        <f>recovered!X233-recovered!W233</f>
        <v>0</v>
      </c>
      <c r="Y233" s="5">
        <f>recovered!Y233-recovered!X233</f>
        <v>0</v>
      </c>
      <c r="Z233" s="5">
        <f>recovered!Z233-recovered!Y233</f>
        <v>0</v>
      </c>
      <c r="AA233" s="5">
        <f>recovered!AA233-recovered!Z233</f>
        <v>0</v>
      </c>
      <c r="AB233" s="5">
        <f>recovered!AB233-recovered!AA233</f>
        <v>0</v>
      </c>
      <c r="AC233" s="5">
        <f>recovered!AC233-recovered!AB233</f>
        <v>0</v>
      </c>
      <c r="AD233" s="5">
        <f>recovered!AD233-recovered!AC233</f>
        <v>0</v>
      </c>
      <c r="AE233" s="5">
        <f>recovered!AE233-recovered!AD233</f>
        <v>0</v>
      </c>
      <c r="AF233" s="5">
        <f>recovered!AF233-recovered!AE233</f>
        <v>0</v>
      </c>
      <c r="AG233" s="5">
        <f>recovered!AG233-recovered!AF233</f>
        <v>0</v>
      </c>
      <c r="AH233" s="5">
        <f>recovered!AH233-recovered!AG233</f>
        <v>0</v>
      </c>
      <c r="AI233" s="5">
        <f>recovered!AI233-recovered!AH233</f>
        <v>0</v>
      </c>
      <c r="AJ233" s="5">
        <f>recovered!AJ233-recovered!AI233</f>
        <v>0</v>
      </c>
      <c r="AK233" s="5">
        <f>recovered!AK233-recovered!AJ233</f>
        <v>0</v>
      </c>
      <c r="AL233" s="5">
        <f>recovered!AL233-recovered!AK233</f>
        <v>0</v>
      </c>
      <c r="AM233" s="5">
        <f>recovered!AM233-recovered!AL233</f>
        <v>0</v>
      </c>
      <c r="AN233" s="5">
        <f>recovered!AN233-recovered!AM233</f>
        <v>0</v>
      </c>
      <c r="AO233" s="5">
        <f>recovered!AO233-recovered!AN233</f>
        <v>0</v>
      </c>
      <c r="AP233" s="5">
        <f>recovered!AP233-recovered!AO233</f>
        <v>0</v>
      </c>
      <c r="AQ233" s="5">
        <f>recovered!AQ233-recovered!AP233</f>
        <v>0</v>
      </c>
      <c r="AR233" s="5">
        <f>recovered!AR233-recovered!AQ233</f>
        <v>0</v>
      </c>
      <c r="AS233" s="5">
        <f>recovered!AS233-recovered!AR233</f>
        <v>0</v>
      </c>
      <c r="AT233" s="5">
        <f>recovered!AT233-recovered!AS233</f>
        <v>0</v>
      </c>
      <c r="AU233" s="5">
        <f>recovered!AU233-recovered!AT233</f>
        <v>0</v>
      </c>
      <c r="AV233" s="5">
        <f>recovered!AV233-recovered!AU233</f>
        <v>0</v>
      </c>
      <c r="AW233" s="5">
        <f>recovered!AW233-recovered!AV233</f>
        <v>0</v>
      </c>
      <c r="AX233" s="5">
        <f>recovered!AX233-recovered!AW233</f>
        <v>0</v>
      </c>
      <c r="AY233" s="5">
        <f>recovered!AY233-recovered!AX233</f>
        <v>0</v>
      </c>
      <c r="AZ233" s="5">
        <f>recovered!AZ233-recovered!AY233</f>
        <v>0</v>
      </c>
      <c r="BA233" s="5">
        <f>recovered!BA233-recovered!AZ233</f>
        <v>0</v>
      </c>
      <c r="BB233" s="5">
        <f>recovered!BB233-recovered!BA233</f>
        <v>0</v>
      </c>
      <c r="BC233" s="5">
        <f>recovered!BC233-recovered!BB233</f>
        <v>0</v>
      </c>
      <c r="BD233" s="5">
        <f>recovered!BD233-recovered!BC233</f>
        <v>0</v>
      </c>
      <c r="BE233" s="5">
        <f>recovered!BE233-recovered!BD233</f>
        <v>0</v>
      </c>
      <c r="BF233" s="5">
        <f>recovered!BF233-recovered!BE233</f>
        <v>0</v>
      </c>
      <c r="BG233" s="5">
        <f>recovered!BG233-recovered!BF233</f>
        <v>0</v>
      </c>
      <c r="BH233" s="5">
        <f>recovered!BH233-recovered!BG233</f>
        <v>0</v>
      </c>
      <c r="BI233" s="5">
        <f>recovered!BI233-recovered!BH233</f>
        <v>0</v>
      </c>
      <c r="BJ233" s="5">
        <f>recovered!BJ233-recovered!BI233</f>
        <v>0</v>
      </c>
      <c r="BK233" s="5">
        <f>recovered!BK233-recovered!BJ233</f>
        <v>17</v>
      </c>
      <c r="BL233" s="5">
        <f>recovered!BL233-recovered!BK233</f>
        <v>0</v>
      </c>
      <c r="BM233" s="5">
        <f>recovered!BM233-recovered!BL233</f>
        <v>0</v>
      </c>
      <c r="BN233" s="5">
        <f>recovered!BN233-recovered!BM233</f>
        <v>0</v>
      </c>
      <c r="BO233" s="5">
        <f>recovered!BO233-recovered!BN233</f>
        <v>0</v>
      </c>
      <c r="BP233" s="5">
        <f>recovered!BP233-recovered!BO233</f>
        <v>0</v>
      </c>
      <c r="BQ233" s="5">
        <f>recovered!BQ233-recovered!BP233</f>
        <v>0</v>
      </c>
      <c r="BR233" s="5">
        <f>recovered!BR233-recovered!BQ233</f>
        <v>0</v>
      </c>
      <c r="BS233" s="5">
        <f>recovered!BS233-recovered!BR233</f>
        <v>1</v>
      </c>
      <c r="BT233" s="5">
        <f>recovered!BT233-recovered!BS233</f>
        <v>0</v>
      </c>
      <c r="BU233" s="5">
        <f>recovered!BU233-recovered!BT233</f>
        <v>0</v>
      </c>
      <c r="BV233" s="5">
        <f>recovered!BV233-recovered!BU233</f>
        <v>0</v>
      </c>
      <c r="BW233" s="5">
        <f>recovered!BW233-recovered!BV233</f>
        <v>0</v>
      </c>
      <c r="BX233" s="5">
        <f>recovered!BX233-recovered!BW233</f>
        <v>0</v>
      </c>
      <c r="BY233" s="5">
        <f>recovered!BY233-recovered!BX233</f>
        <v>3</v>
      </c>
    </row>
    <row r="234">
      <c r="B234" s="1" t="str">
        <f>recovered!B234</f>
        <v>Laos</v>
      </c>
      <c r="C234" s="4">
        <f>recovered!C234</f>
        <v>19.85627</v>
      </c>
      <c r="D234" s="4">
        <f>recovered!D234</f>
        <v>102.495496</v>
      </c>
      <c r="E234" s="5">
        <f>recovered!E234</f>
        <v>0</v>
      </c>
      <c r="F234" s="5">
        <f>recovered!F234-recovered!E234</f>
        <v>0</v>
      </c>
      <c r="G234" s="5">
        <f>recovered!G234-recovered!F234</f>
        <v>0</v>
      </c>
      <c r="H234" s="5">
        <f>recovered!H234-recovered!G234</f>
        <v>0</v>
      </c>
      <c r="I234" s="5">
        <f>recovered!I234-recovered!H234</f>
        <v>0</v>
      </c>
      <c r="J234" s="5">
        <f>recovered!J234-recovered!I234</f>
        <v>0</v>
      </c>
      <c r="K234" s="5">
        <f>recovered!K234-recovered!J234</f>
        <v>0</v>
      </c>
      <c r="L234" s="5">
        <f>recovered!L234-recovered!K234</f>
        <v>0</v>
      </c>
      <c r="M234" s="5">
        <f>recovered!M234-recovered!L234</f>
        <v>0</v>
      </c>
      <c r="N234" s="5">
        <f>recovered!N234-recovered!M234</f>
        <v>0</v>
      </c>
      <c r="O234" s="5">
        <f>recovered!O234-recovered!N234</f>
        <v>0</v>
      </c>
      <c r="P234" s="5">
        <f>recovered!P234-recovered!O234</f>
        <v>0</v>
      </c>
      <c r="Q234" s="5">
        <f>recovered!Q234-recovered!P234</f>
        <v>0</v>
      </c>
      <c r="R234" s="5">
        <f>recovered!R234-recovered!Q234</f>
        <v>0</v>
      </c>
      <c r="S234" s="5">
        <f>recovered!S234-recovered!R234</f>
        <v>0</v>
      </c>
      <c r="T234" s="5">
        <f>recovered!T234-recovered!S234</f>
        <v>0</v>
      </c>
      <c r="U234" s="5">
        <f>recovered!U234-recovered!T234</f>
        <v>0</v>
      </c>
      <c r="V234" s="5">
        <f>recovered!V234-recovered!U234</f>
        <v>0</v>
      </c>
      <c r="W234" s="5">
        <f>recovered!W234-recovered!V234</f>
        <v>0</v>
      </c>
      <c r="X234" s="5">
        <f>recovered!X234-recovered!W234</f>
        <v>0</v>
      </c>
      <c r="Y234" s="5">
        <f>recovered!Y234-recovered!X234</f>
        <v>0</v>
      </c>
      <c r="Z234" s="5">
        <f>recovered!Z234-recovered!Y234</f>
        <v>0</v>
      </c>
      <c r="AA234" s="5">
        <f>recovered!AA234-recovered!Z234</f>
        <v>0</v>
      </c>
      <c r="AB234" s="5">
        <f>recovered!AB234-recovered!AA234</f>
        <v>0</v>
      </c>
      <c r="AC234" s="5">
        <f>recovered!AC234-recovered!AB234</f>
        <v>0</v>
      </c>
      <c r="AD234" s="5">
        <f>recovered!AD234-recovered!AC234</f>
        <v>0</v>
      </c>
      <c r="AE234" s="5">
        <f>recovered!AE234-recovered!AD234</f>
        <v>0</v>
      </c>
      <c r="AF234" s="5">
        <f>recovered!AF234-recovered!AE234</f>
        <v>0</v>
      </c>
      <c r="AG234" s="5">
        <f>recovered!AG234-recovered!AF234</f>
        <v>0</v>
      </c>
      <c r="AH234" s="5">
        <f>recovered!AH234-recovered!AG234</f>
        <v>0</v>
      </c>
      <c r="AI234" s="5">
        <f>recovered!AI234-recovered!AH234</f>
        <v>0</v>
      </c>
      <c r="AJ234" s="5">
        <f>recovered!AJ234-recovered!AI234</f>
        <v>0</v>
      </c>
      <c r="AK234" s="5">
        <f>recovered!AK234-recovered!AJ234</f>
        <v>0</v>
      </c>
      <c r="AL234" s="5">
        <f>recovered!AL234-recovered!AK234</f>
        <v>0</v>
      </c>
      <c r="AM234" s="5">
        <f>recovered!AM234-recovered!AL234</f>
        <v>0</v>
      </c>
      <c r="AN234" s="5">
        <f>recovered!AN234-recovered!AM234</f>
        <v>0</v>
      </c>
      <c r="AO234" s="5">
        <f>recovered!AO234-recovered!AN234</f>
        <v>0</v>
      </c>
      <c r="AP234" s="5">
        <f>recovered!AP234-recovered!AO234</f>
        <v>0</v>
      </c>
      <c r="AQ234" s="5">
        <f>recovered!AQ234-recovered!AP234</f>
        <v>0</v>
      </c>
      <c r="AR234" s="5">
        <f>recovered!AR234-recovered!AQ234</f>
        <v>0</v>
      </c>
      <c r="AS234" s="5">
        <f>recovered!AS234-recovered!AR234</f>
        <v>0</v>
      </c>
      <c r="AT234" s="5">
        <f>recovered!AT234-recovered!AS234</f>
        <v>0</v>
      </c>
      <c r="AU234" s="5">
        <f>recovered!AU234-recovered!AT234</f>
        <v>0</v>
      </c>
      <c r="AV234" s="5">
        <f>recovered!AV234-recovered!AU234</f>
        <v>0</v>
      </c>
      <c r="AW234" s="5">
        <f>recovered!AW234-recovered!AV234</f>
        <v>0</v>
      </c>
      <c r="AX234" s="5">
        <f>recovered!AX234-recovered!AW234</f>
        <v>0</v>
      </c>
      <c r="AY234" s="5">
        <f>recovered!AY234-recovered!AX234</f>
        <v>0</v>
      </c>
      <c r="AZ234" s="5">
        <f>recovered!AZ234-recovered!AY234</f>
        <v>0</v>
      </c>
      <c r="BA234" s="5">
        <f>recovered!BA234-recovered!AZ234</f>
        <v>0</v>
      </c>
      <c r="BB234" s="5">
        <f>recovered!BB234-recovered!BA234</f>
        <v>0</v>
      </c>
      <c r="BC234" s="5">
        <f>recovered!BC234-recovered!BB234</f>
        <v>0</v>
      </c>
      <c r="BD234" s="5">
        <f>recovered!BD234-recovered!BC234</f>
        <v>0</v>
      </c>
      <c r="BE234" s="5">
        <f>recovered!BE234-recovered!BD234</f>
        <v>0</v>
      </c>
      <c r="BF234" s="5">
        <f>recovered!BF234-recovered!BE234</f>
        <v>0</v>
      </c>
      <c r="BG234" s="5">
        <f>recovered!BG234-recovered!BF234</f>
        <v>0</v>
      </c>
      <c r="BH234" s="5">
        <f>recovered!BH234-recovered!BG234</f>
        <v>0</v>
      </c>
      <c r="BI234" s="5">
        <f>recovered!BI234-recovered!BH234</f>
        <v>0</v>
      </c>
      <c r="BJ234" s="5">
        <f>recovered!BJ234-recovered!BI234</f>
        <v>0</v>
      </c>
      <c r="BK234" s="5">
        <f>recovered!BK234-recovered!BJ234</f>
        <v>0</v>
      </c>
      <c r="BL234" s="5">
        <f>recovered!BL234-recovered!BK234</f>
        <v>0</v>
      </c>
      <c r="BM234" s="5">
        <f>recovered!BM234-recovered!BL234</f>
        <v>0</v>
      </c>
      <c r="BN234" s="5">
        <f>recovered!BN234-recovered!BM234</f>
        <v>0</v>
      </c>
      <c r="BO234" s="5">
        <f>recovered!BO234-recovered!BN234</f>
        <v>0</v>
      </c>
      <c r="BP234" s="5">
        <f>recovered!BP234-recovered!BO234</f>
        <v>0</v>
      </c>
      <c r="BQ234" s="5">
        <f>recovered!BQ234-recovered!BP234</f>
        <v>0</v>
      </c>
      <c r="BR234" s="5">
        <f>recovered!BR234-recovered!BQ234</f>
        <v>0</v>
      </c>
      <c r="BS234" s="5">
        <f>recovered!BS234-recovered!BR234</f>
        <v>0</v>
      </c>
      <c r="BT234" s="5">
        <f>recovered!BT234-recovered!BS234</f>
        <v>0</v>
      </c>
      <c r="BU234" s="5">
        <f>recovered!BU234-recovered!BT234</f>
        <v>0</v>
      </c>
      <c r="BV234" s="5">
        <f>recovered!BV234-recovered!BU234</f>
        <v>0</v>
      </c>
      <c r="BW234" s="5">
        <f>recovered!BW234-recovered!BV234</f>
        <v>0</v>
      </c>
      <c r="BX234" s="5">
        <f>recovered!BX234-recovered!BW234</f>
        <v>0</v>
      </c>
      <c r="BY234" s="5">
        <f>recovered!BY234-recovered!BX234</f>
        <v>0</v>
      </c>
    </row>
    <row r="235">
      <c r="B235" s="1" t="str">
        <f>recovered!B235</f>
        <v>Kosovo</v>
      </c>
      <c r="C235" s="4">
        <f>recovered!C235</f>
        <v>42.602636</v>
      </c>
      <c r="D235" s="4">
        <f>recovered!D235</f>
        <v>20.902977</v>
      </c>
      <c r="E235" s="5">
        <f>recovered!E235</f>
        <v>0</v>
      </c>
      <c r="F235" s="5">
        <f>recovered!F235-recovered!E235</f>
        <v>0</v>
      </c>
      <c r="G235" s="5">
        <f>recovered!G235-recovered!F235</f>
        <v>0</v>
      </c>
      <c r="H235" s="5">
        <f>recovered!H235-recovered!G235</f>
        <v>0</v>
      </c>
      <c r="I235" s="5">
        <f>recovered!I235-recovered!H235</f>
        <v>0</v>
      </c>
      <c r="J235" s="5">
        <f>recovered!J235-recovered!I235</f>
        <v>0</v>
      </c>
      <c r="K235" s="5">
        <f>recovered!K235-recovered!J235</f>
        <v>0</v>
      </c>
      <c r="L235" s="5">
        <f>recovered!L235-recovered!K235</f>
        <v>0</v>
      </c>
      <c r="M235" s="5">
        <f>recovered!M235-recovered!L235</f>
        <v>0</v>
      </c>
      <c r="N235" s="5">
        <f>recovered!N235-recovered!M235</f>
        <v>0</v>
      </c>
      <c r="O235" s="5">
        <f>recovered!O235-recovered!N235</f>
        <v>0</v>
      </c>
      <c r="P235" s="5">
        <f>recovered!P235-recovered!O235</f>
        <v>0</v>
      </c>
      <c r="Q235" s="5">
        <f>recovered!Q235-recovered!P235</f>
        <v>0</v>
      </c>
      <c r="R235" s="5">
        <f>recovered!R235-recovered!Q235</f>
        <v>0</v>
      </c>
      <c r="S235" s="5">
        <f>recovered!S235-recovered!R235</f>
        <v>0</v>
      </c>
      <c r="T235" s="5">
        <f>recovered!T235-recovered!S235</f>
        <v>0</v>
      </c>
      <c r="U235" s="5">
        <f>recovered!U235-recovered!T235</f>
        <v>0</v>
      </c>
      <c r="V235" s="5">
        <f>recovered!V235-recovered!U235</f>
        <v>0</v>
      </c>
      <c r="W235" s="5">
        <f>recovered!W235-recovered!V235</f>
        <v>0</v>
      </c>
      <c r="X235" s="5">
        <f>recovered!X235-recovered!W235</f>
        <v>0</v>
      </c>
      <c r="Y235" s="5">
        <f>recovered!Y235-recovered!X235</f>
        <v>0</v>
      </c>
      <c r="Z235" s="5">
        <f>recovered!Z235-recovered!Y235</f>
        <v>0</v>
      </c>
      <c r="AA235" s="5">
        <f>recovered!AA235-recovered!Z235</f>
        <v>0</v>
      </c>
      <c r="AB235" s="5">
        <f>recovered!AB235-recovered!AA235</f>
        <v>0</v>
      </c>
      <c r="AC235" s="5">
        <f>recovered!AC235-recovered!AB235</f>
        <v>0</v>
      </c>
      <c r="AD235" s="5">
        <f>recovered!AD235-recovered!AC235</f>
        <v>0</v>
      </c>
      <c r="AE235" s="5">
        <f>recovered!AE235-recovered!AD235</f>
        <v>0</v>
      </c>
      <c r="AF235" s="5">
        <f>recovered!AF235-recovered!AE235</f>
        <v>0</v>
      </c>
      <c r="AG235" s="5">
        <f>recovered!AG235-recovered!AF235</f>
        <v>0</v>
      </c>
      <c r="AH235" s="5">
        <f>recovered!AH235-recovered!AG235</f>
        <v>0</v>
      </c>
      <c r="AI235" s="5">
        <f>recovered!AI235-recovered!AH235</f>
        <v>0</v>
      </c>
      <c r="AJ235" s="5">
        <f>recovered!AJ235-recovered!AI235</f>
        <v>0</v>
      </c>
      <c r="AK235" s="5">
        <f>recovered!AK235-recovered!AJ235</f>
        <v>0</v>
      </c>
      <c r="AL235" s="5">
        <f>recovered!AL235-recovered!AK235</f>
        <v>0</v>
      </c>
      <c r="AM235" s="5">
        <f>recovered!AM235-recovered!AL235</f>
        <v>0</v>
      </c>
      <c r="AN235" s="5">
        <f>recovered!AN235-recovered!AM235</f>
        <v>0</v>
      </c>
      <c r="AO235" s="5">
        <f>recovered!AO235-recovered!AN235</f>
        <v>0</v>
      </c>
      <c r="AP235" s="5">
        <f>recovered!AP235-recovered!AO235</f>
        <v>0</v>
      </c>
      <c r="AQ235" s="5">
        <f>recovered!AQ235-recovered!AP235</f>
        <v>0</v>
      </c>
      <c r="AR235" s="5">
        <f>recovered!AR235-recovered!AQ235</f>
        <v>0</v>
      </c>
      <c r="AS235" s="5">
        <f>recovered!AS235-recovered!AR235</f>
        <v>0</v>
      </c>
      <c r="AT235" s="5">
        <f>recovered!AT235-recovered!AS235</f>
        <v>0</v>
      </c>
      <c r="AU235" s="5">
        <f>recovered!AU235-recovered!AT235</f>
        <v>0</v>
      </c>
      <c r="AV235" s="5">
        <f>recovered!AV235-recovered!AU235</f>
        <v>0</v>
      </c>
      <c r="AW235" s="5">
        <f>recovered!AW235-recovered!AV235</f>
        <v>0</v>
      </c>
      <c r="AX235" s="5">
        <f>recovered!AX235-recovered!AW235</f>
        <v>0</v>
      </c>
      <c r="AY235" s="5">
        <f>recovered!AY235-recovered!AX235</f>
        <v>0</v>
      </c>
      <c r="AZ235" s="5">
        <f>recovered!AZ235-recovered!AY235</f>
        <v>0</v>
      </c>
      <c r="BA235" s="5">
        <f>recovered!BA235-recovered!AZ235</f>
        <v>0</v>
      </c>
      <c r="BB235" s="5">
        <f>recovered!BB235-recovered!BA235</f>
        <v>0</v>
      </c>
      <c r="BC235" s="5">
        <f>recovered!BC235-recovered!BB235</f>
        <v>0</v>
      </c>
      <c r="BD235" s="5">
        <f>recovered!BD235-recovered!BC235</f>
        <v>0</v>
      </c>
      <c r="BE235" s="5">
        <f>recovered!BE235-recovered!BD235</f>
        <v>0</v>
      </c>
      <c r="BF235" s="5">
        <f>recovered!BF235-recovered!BE235</f>
        <v>0</v>
      </c>
      <c r="BG235" s="5">
        <f>recovered!BG235-recovered!BF235</f>
        <v>0</v>
      </c>
      <c r="BH235" s="5">
        <f>recovered!BH235-recovered!BG235</f>
        <v>0</v>
      </c>
      <c r="BI235" s="5">
        <f>recovered!BI235-recovered!BH235</f>
        <v>0</v>
      </c>
      <c r="BJ235" s="5">
        <f>recovered!BJ235-recovered!BI235</f>
        <v>0</v>
      </c>
      <c r="BK235" s="5">
        <f>recovered!BK235-recovered!BJ235</f>
        <v>0</v>
      </c>
      <c r="BL235" s="5">
        <f>recovered!BL235-recovered!BK235</f>
        <v>0</v>
      </c>
      <c r="BM235" s="5">
        <f>recovered!BM235-recovered!BL235</f>
        <v>0</v>
      </c>
      <c r="BN235" s="5">
        <f>recovered!BN235-recovered!BM235</f>
        <v>0</v>
      </c>
      <c r="BO235" s="5">
        <f>recovered!BO235-recovered!BN235</f>
        <v>0</v>
      </c>
      <c r="BP235" s="5">
        <f>recovered!BP235-recovered!BO235</f>
        <v>0</v>
      </c>
      <c r="BQ235" s="5">
        <f>recovered!BQ235-recovered!BP235</f>
        <v>0</v>
      </c>
      <c r="BR235" s="5">
        <f>recovered!BR235-recovered!BQ235</f>
        <v>1</v>
      </c>
      <c r="BS235" s="5">
        <f>recovered!BS235-recovered!BR235</f>
        <v>0</v>
      </c>
      <c r="BT235" s="5">
        <f>recovered!BT235-recovered!BS235</f>
        <v>0</v>
      </c>
      <c r="BU235" s="5">
        <f>recovered!BU235-recovered!BT235</f>
        <v>0</v>
      </c>
      <c r="BV235" s="5">
        <f>recovered!BV235-recovered!BU235</f>
        <v>5</v>
      </c>
      <c r="BW235" s="5">
        <f>recovered!BW235-recovered!BV235</f>
        <v>4</v>
      </c>
      <c r="BX235" s="5">
        <f>recovered!BX235-recovered!BW235</f>
        <v>0</v>
      </c>
      <c r="BY235" s="5">
        <f>recovered!BY235-recovered!BX235</f>
        <v>0</v>
      </c>
    </row>
    <row r="236">
      <c r="B236" s="1" t="str">
        <f>recovered!B236</f>
        <v>Burma</v>
      </c>
      <c r="C236" s="4">
        <f>recovered!C236</f>
        <v>21.9162</v>
      </c>
      <c r="D236" s="4">
        <f>recovered!D236</f>
        <v>95.956</v>
      </c>
      <c r="E236" s="5">
        <f>recovered!E236</f>
        <v>0</v>
      </c>
      <c r="F236" s="5">
        <f>recovered!F236-recovered!E236</f>
        <v>0</v>
      </c>
      <c r="G236" s="5">
        <f>recovered!G236-recovered!F236</f>
        <v>0</v>
      </c>
      <c r="H236" s="5">
        <f>recovered!H236-recovered!G236</f>
        <v>0</v>
      </c>
      <c r="I236" s="5">
        <f>recovered!I236-recovered!H236</f>
        <v>0</v>
      </c>
      <c r="J236" s="5">
        <f>recovered!J236-recovered!I236</f>
        <v>0</v>
      </c>
      <c r="K236" s="5">
        <f>recovered!K236-recovered!J236</f>
        <v>0</v>
      </c>
      <c r="L236" s="5">
        <f>recovered!L236-recovered!K236</f>
        <v>0</v>
      </c>
      <c r="M236" s="5">
        <f>recovered!M236-recovered!L236</f>
        <v>0</v>
      </c>
      <c r="N236" s="5">
        <f>recovered!N236-recovered!M236</f>
        <v>0</v>
      </c>
      <c r="O236" s="5">
        <f>recovered!O236-recovered!N236</f>
        <v>0</v>
      </c>
      <c r="P236" s="5">
        <f>recovered!P236-recovered!O236</f>
        <v>0</v>
      </c>
      <c r="Q236" s="5">
        <f>recovered!Q236-recovered!P236</f>
        <v>0</v>
      </c>
      <c r="R236" s="5">
        <f>recovered!R236-recovered!Q236</f>
        <v>0</v>
      </c>
      <c r="S236" s="5">
        <f>recovered!S236-recovered!R236</f>
        <v>0</v>
      </c>
      <c r="T236" s="5">
        <f>recovered!T236-recovered!S236</f>
        <v>0</v>
      </c>
      <c r="U236" s="5">
        <f>recovered!U236-recovered!T236</f>
        <v>0</v>
      </c>
      <c r="V236" s="5">
        <f>recovered!V236-recovered!U236</f>
        <v>0</v>
      </c>
      <c r="W236" s="5">
        <f>recovered!W236-recovered!V236</f>
        <v>0</v>
      </c>
      <c r="X236" s="5">
        <f>recovered!X236-recovered!W236</f>
        <v>0</v>
      </c>
      <c r="Y236" s="5">
        <f>recovered!Y236-recovered!X236</f>
        <v>0</v>
      </c>
      <c r="Z236" s="5">
        <f>recovered!Z236-recovered!Y236</f>
        <v>0</v>
      </c>
      <c r="AA236" s="5">
        <f>recovered!AA236-recovered!Z236</f>
        <v>0</v>
      </c>
      <c r="AB236" s="5">
        <f>recovered!AB236-recovered!AA236</f>
        <v>0</v>
      </c>
      <c r="AC236" s="5">
        <f>recovered!AC236-recovered!AB236</f>
        <v>0</v>
      </c>
      <c r="AD236" s="5">
        <f>recovered!AD236-recovered!AC236</f>
        <v>0</v>
      </c>
      <c r="AE236" s="5">
        <f>recovered!AE236-recovered!AD236</f>
        <v>0</v>
      </c>
      <c r="AF236" s="5">
        <f>recovered!AF236-recovered!AE236</f>
        <v>0</v>
      </c>
      <c r="AG236" s="5">
        <f>recovered!AG236-recovered!AF236</f>
        <v>0</v>
      </c>
      <c r="AH236" s="5">
        <f>recovered!AH236-recovered!AG236</f>
        <v>0</v>
      </c>
      <c r="AI236" s="5">
        <f>recovered!AI236-recovered!AH236</f>
        <v>0</v>
      </c>
      <c r="AJ236" s="5">
        <f>recovered!AJ236-recovered!AI236</f>
        <v>0</v>
      </c>
      <c r="AK236" s="5">
        <f>recovered!AK236-recovered!AJ236</f>
        <v>0</v>
      </c>
      <c r="AL236" s="5">
        <f>recovered!AL236-recovered!AK236</f>
        <v>0</v>
      </c>
      <c r="AM236" s="5">
        <f>recovered!AM236-recovered!AL236</f>
        <v>0</v>
      </c>
      <c r="AN236" s="5">
        <f>recovered!AN236-recovered!AM236</f>
        <v>0</v>
      </c>
      <c r="AO236" s="5">
        <f>recovered!AO236-recovered!AN236</f>
        <v>0</v>
      </c>
      <c r="AP236" s="5">
        <f>recovered!AP236-recovered!AO236</f>
        <v>0</v>
      </c>
      <c r="AQ236" s="5">
        <f>recovered!AQ236-recovered!AP236</f>
        <v>0</v>
      </c>
      <c r="AR236" s="5">
        <f>recovered!AR236-recovered!AQ236</f>
        <v>0</v>
      </c>
      <c r="AS236" s="5">
        <f>recovered!AS236-recovered!AR236</f>
        <v>0</v>
      </c>
      <c r="AT236" s="5">
        <f>recovered!AT236-recovered!AS236</f>
        <v>0</v>
      </c>
      <c r="AU236" s="5">
        <f>recovered!AU236-recovered!AT236</f>
        <v>0</v>
      </c>
      <c r="AV236" s="5">
        <f>recovered!AV236-recovered!AU236</f>
        <v>0</v>
      </c>
      <c r="AW236" s="5">
        <f>recovered!AW236-recovered!AV236</f>
        <v>0</v>
      </c>
      <c r="AX236" s="5">
        <f>recovered!AX236-recovered!AW236</f>
        <v>0</v>
      </c>
      <c r="AY236" s="5">
        <f>recovered!AY236-recovered!AX236</f>
        <v>0</v>
      </c>
      <c r="AZ236" s="5">
        <f>recovered!AZ236-recovered!AY236</f>
        <v>0</v>
      </c>
      <c r="BA236" s="5">
        <f>recovered!BA236-recovered!AZ236</f>
        <v>0</v>
      </c>
      <c r="BB236" s="5">
        <f>recovered!BB236-recovered!BA236</f>
        <v>0</v>
      </c>
      <c r="BC236" s="5">
        <f>recovered!BC236-recovered!BB236</f>
        <v>0</v>
      </c>
      <c r="BD236" s="5">
        <f>recovered!BD236-recovered!BC236</f>
        <v>0</v>
      </c>
      <c r="BE236" s="5">
        <f>recovered!BE236-recovered!BD236</f>
        <v>0</v>
      </c>
      <c r="BF236" s="5">
        <f>recovered!BF236-recovered!BE236</f>
        <v>0</v>
      </c>
      <c r="BG236" s="5">
        <f>recovered!BG236-recovered!BF236</f>
        <v>0</v>
      </c>
      <c r="BH236" s="5">
        <f>recovered!BH236-recovered!BG236</f>
        <v>0</v>
      </c>
      <c r="BI236" s="5">
        <f>recovered!BI236-recovered!BH236</f>
        <v>0</v>
      </c>
      <c r="BJ236" s="5">
        <f>recovered!BJ236-recovered!BI236</f>
        <v>0</v>
      </c>
      <c r="BK236" s="5">
        <f>recovered!BK236-recovered!BJ236</f>
        <v>0</v>
      </c>
      <c r="BL236" s="5">
        <f>recovered!BL236-recovered!BK236</f>
        <v>0</v>
      </c>
      <c r="BM236" s="5">
        <f>recovered!BM236-recovered!BL236</f>
        <v>0</v>
      </c>
      <c r="BN236" s="5">
        <f>recovered!BN236-recovered!BM236</f>
        <v>0</v>
      </c>
      <c r="BO236" s="5">
        <f>recovered!BO236-recovered!BN236</f>
        <v>0</v>
      </c>
      <c r="BP236" s="5">
        <f>recovered!BP236-recovered!BO236</f>
        <v>0</v>
      </c>
      <c r="BQ236" s="5">
        <f>recovered!BQ236-recovered!BP236</f>
        <v>0</v>
      </c>
      <c r="BR236" s="5">
        <f>recovered!BR236-recovered!BQ236</f>
        <v>0</v>
      </c>
      <c r="BS236" s="5">
        <f>recovered!BS236-recovered!BR236</f>
        <v>0</v>
      </c>
      <c r="BT236" s="5">
        <f>recovered!BT236-recovered!BS236</f>
        <v>0</v>
      </c>
      <c r="BU236" s="5">
        <f>recovered!BU236-recovered!BT236</f>
        <v>0</v>
      </c>
      <c r="BV236" s="5">
        <f>recovered!BV236-recovered!BU236</f>
        <v>0</v>
      </c>
      <c r="BW236" s="5">
        <f>recovered!BW236-recovered!BV236</f>
        <v>0</v>
      </c>
      <c r="BX236" s="5">
        <f>recovered!BX236-recovered!BW236</f>
        <v>0</v>
      </c>
      <c r="BY236" s="5">
        <f>recovered!BY236-recovered!BX236</f>
        <v>0</v>
      </c>
    </row>
    <row r="237">
      <c r="B237" s="1" t="str">
        <f>recovered!B237</f>
        <v>United Kingdom</v>
      </c>
      <c r="C237" s="4">
        <f>recovered!C237</f>
        <v>18.2206</v>
      </c>
      <c r="D237" s="4">
        <f>recovered!D237</f>
        <v>-63.0686</v>
      </c>
      <c r="E237" s="5">
        <f>recovered!E237</f>
        <v>0</v>
      </c>
      <c r="F237" s="5">
        <f>recovered!F237-recovered!E237</f>
        <v>0</v>
      </c>
      <c r="G237" s="5">
        <f>recovered!G237-recovered!F237</f>
        <v>0</v>
      </c>
      <c r="H237" s="5">
        <f>recovered!H237-recovered!G237</f>
        <v>0</v>
      </c>
      <c r="I237" s="5">
        <f>recovered!I237-recovered!H237</f>
        <v>0</v>
      </c>
      <c r="J237" s="5">
        <f>recovered!J237-recovered!I237</f>
        <v>0</v>
      </c>
      <c r="K237" s="5">
        <f>recovered!K237-recovered!J237</f>
        <v>0</v>
      </c>
      <c r="L237" s="5">
        <f>recovered!L237-recovered!K237</f>
        <v>0</v>
      </c>
      <c r="M237" s="5">
        <f>recovered!M237-recovered!L237</f>
        <v>0</v>
      </c>
      <c r="N237" s="5">
        <f>recovered!N237-recovered!M237</f>
        <v>0</v>
      </c>
      <c r="O237" s="5">
        <f>recovered!O237-recovered!N237</f>
        <v>0</v>
      </c>
      <c r="P237" s="5">
        <f>recovered!P237-recovered!O237</f>
        <v>0</v>
      </c>
      <c r="Q237" s="5">
        <f>recovered!Q237-recovered!P237</f>
        <v>0</v>
      </c>
      <c r="R237" s="5">
        <f>recovered!R237-recovered!Q237</f>
        <v>0</v>
      </c>
      <c r="S237" s="5">
        <f>recovered!S237-recovered!R237</f>
        <v>0</v>
      </c>
      <c r="T237" s="5">
        <f>recovered!T237-recovered!S237</f>
        <v>0</v>
      </c>
      <c r="U237" s="5">
        <f>recovered!U237-recovered!T237</f>
        <v>0</v>
      </c>
      <c r="V237" s="5">
        <f>recovered!V237-recovered!U237</f>
        <v>0</v>
      </c>
      <c r="W237" s="5">
        <f>recovered!W237-recovered!V237</f>
        <v>0</v>
      </c>
      <c r="X237" s="5">
        <f>recovered!X237-recovered!W237</f>
        <v>0</v>
      </c>
      <c r="Y237" s="5">
        <f>recovered!Y237-recovered!X237</f>
        <v>0</v>
      </c>
      <c r="Z237" s="5">
        <f>recovered!Z237-recovered!Y237</f>
        <v>0</v>
      </c>
      <c r="AA237" s="5">
        <f>recovered!AA237-recovered!Z237</f>
        <v>0</v>
      </c>
      <c r="AB237" s="5">
        <f>recovered!AB237-recovered!AA237</f>
        <v>0</v>
      </c>
      <c r="AC237" s="5">
        <f>recovered!AC237-recovered!AB237</f>
        <v>0</v>
      </c>
      <c r="AD237" s="5">
        <f>recovered!AD237-recovered!AC237</f>
        <v>0</v>
      </c>
      <c r="AE237" s="5">
        <f>recovered!AE237-recovered!AD237</f>
        <v>0</v>
      </c>
      <c r="AF237" s="5">
        <f>recovered!AF237-recovered!AE237</f>
        <v>0</v>
      </c>
      <c r="AG237" s="5">
        <f>recovered!AG237-recovered!AF237</f>
        <v>0</v>
      </c>
      <c r="AH237" s="5">
        <f>recovered!AH237-recovered!AG237</f>
        <v>0</v>
      </c>
      <c r="AI237" s="5">
        <f>recovered!AI237-recovered!AH237</f>
        <v>0</v>
      </c>
      <c r="AJ237" s="5">
        <f>recovered!AJ237-recovered!AI237</f>
        <v>0</v>
      </c>
      <c r="AK237" s="5">
        <f>recovered!AK237-recovered!AJ237</f>
        <v>0</v>
      </c>
      <c r="AL237" s="5">
        <f>recovered!AL237-recovered!AK237</f>
        <v>0</v>
      </c>
      <c r="AM237" s="5">
        <f>recovered!AM237-recovered!AL237</f>
        <v>0</v>
      </c>
      <c r="AN237" s="5">
        <f>recovered!AN237-recovered!AM237</f>
        <v>0</v>
      </c>
      <c r="AO237" s="5">
        <f>recovered!AO237-recovered!AN237</f>
        <v>0</v>
      </c>
      <c r="AP237" s="5">
        <f>recovered!AP237-recovered!AO237</f>
        <v>0</v>
      </c>
      <c r="AQ237" s="5">
        <f>recovered!AQ237-recovered!AP237</f>
        <v>0</v>
      </c>
      <c r="AR237" s="5">
        <f>recovered!AR237-recovered!AQ237</f>
        <v>0</v>
      </c>
      <c r="AS237" s="5">
        <f>recovered!AS237-recovered!AR237</f>
        <v>0</v>
      </c>
      <c r="AT237" s="5">
        <f>recovered!AT237-recovered!AS237</f>
        <v>0</v>
      </c>
      <c r="AU237" s="5">
        <f>recovered!AU237-recovered!AT237</f>
        <v>0</v>
      </c>
      <c r="AV237" s="5">
        <f>recovered!AV237-recovered!AU237</f>
        <v>0</v>
      </c>
      <c r="AW237" s="5">
        <f>recovered!AW237-recovered!AV237</f>
        <v>0</v>
      </c>
      <c r="AX237" s="5">
        <f>recovered!AX237-recovered!AW237</f>
        <v>0</v>
      </c>
      <c r="AY237" s="5">
        <f>recovered!AY237-recovered!AX237</f>
        <v>0</v>
      </c>
      <c r="AZ237" s="5">
        <f>recovered!AZ237-recovered!AY237</f>
        <v>0</v>
      </c>
      <c r="BA237" s="5">
        <f>recovered!BA237-recovered!AZ237</f>
        <v>0</v>
      </c>
      <c r="BB237" s="5">
        <f>recovered!BB237-recovered!BA237</f>
        <v>0</v>
      </c>
      <c r="BC237" s="5">
        <f>recovered!BC237-recovered!BB237</f>
        <v>0</v>
      </c>
      <c r="BD237" s="5">
        <f>recovered!BD237-recovered!BC237</f>
        <v>0</v>
      </c>
      <c r="BE237" s="5">
        <f>recovered!BE237-recovered!BD237</f>
        <v>0</v>
      </c>
      <c r="BF237" s="5">
        <f>recovered!BF237-recovered!BE237</f>
        <v>0</v>
      </c>
      <c r="BG237" s="5">
        <f>recovered!BG237-recovered!BF237</f>
        <v>0</v>
      </c>
      <c r="BH237" s="5">
        <f>recovered!BH237-recovered!BG237</f>
        <v>0</v>
      </c>
      <c r="BI237" s="5">
        <f>recovered!BI237-recovered!BH237</f>
        <v>0</v>
      </c>
      <c r="BJ237" s="5">
        <f>recovered!BJ237-recovered!BI237</f>
        <v>0</v>
      </c>
      <c r="BK237" s="5">
        <f>recovered!BK237-recovered!BJ237</f>
        <v>0</v>
      </c>
      <c r="BL237" s="5">
        <f>recovered!BL237-recovered!BK237</f>
        <v>0</v>
      </c>
      <c r="BM237" s="5">
        <f>recovered!BM237-recovered!BL237</f>
        <v>0</v>
      </c>
      <c r="BN237" s="5">
        <f>recovered!BN237-recovered!BM237</f>
        <v>0</v>
      </c>
      <c r="BO237" s="5">
        <f>recovered!BO237-recovered!BN237</f>
        <v>0</v>
      </c>
      <c r="BP237" s="5">
        <f>recovered!BP237-recovered!BO237</f>
        <v>0</v>
      </c>
      <c r="BQ237" s="5">
        <f>recovered!BQ237-recovered!BP237</f>
        <v>0</v>
      </c>
      <c r="BR237" s="5">
        <f>recovered!BR237-recovered!BQ237</f>
        <v>0</v>
      </c>
      <c r="BS237" s="5">
        <f>recovered!BS237-recovered!BR237</f>
        <v>0</v>
      </c>
      <c r="BT237" s="5">
        <f>recovered!BT237-recovered!BS237</f>
        <v>0</v>
      </c>
      <c r="BU237" s="5">
        <f>recovered!BU237-recovered!BT237</f>
        <v>0</v>
      </c>
      <c r="BV237" s="5">
        <f>recovered!BV237-recovered!BU237</f>
        <v>0</v>
      </c>
      <c r="BW237" s="5">
        <f>recovered!BW237-recovered!BV237</f>
        <v>0</v>
      </c>
      <c r="BX237" s="5">
        <f>recovered!BX237-recovered!BW237</f>
        <v>0</v>
      </c>
      <c r="BY237" s="5">
        <f>recovered!BY237-recovered!BX237</f>
        <v>0</v>
      </c>
    </row>
    <row r="238">
      <c r="B238" s="1" t="str">
        <f>recovered!B238</f>
        <v>United Kingdom</v>
      </c>
      <c r="C238" s="4">
        <f>recovered!C238</f>
        <v>18.4207</v>
      </c>
      <c r="D238" s="4">
        <f>recovered!D238</f>
        <v>-64.64</v>
      </c>
      <c r="E238" s="5">
        <f>recovered!E238</f>
        <v>0</v>
      </c>
      <c r="F238" s="5">
        <f>recovered!F238-recovered!E238</f>
        <v>0</v>
      </c>
      <c r="G238" s="5">
        <f>recovered!G238-recovered!F238</f>
        <v>0</v>
      </c>
      <c r="H238" s="5">
        <f>recovered!H238-recovered!G238</f>
        <v>0</v>
      </c>
      <c r="I238" s="5">
        <f>recovered!I238-recovered!H238</f>
        <v>0</v>
      </c>
      <c r="J238" s="5">
        <f>recovered!J238-recovered!I238</f>
        <v>0</v>
      </c>
      <c r="K238" s="5">
        <f>recovered!K238-recovered!J238</f>
        <v>0</v>
      </c>
      <c r="L238" s="5">
        <f>recovered!L238-recovered!K238</f>
        <v>0</v>
      </c>
      <c r="M238" s="5">
        <f>recovered!M238-recovered!L238</f>
        <v>0</v>
      </c>
      <c r="N238" s="5">
        <f>recovered!N238-recovered!M238</f>
        <v>0</v>
      </c>
      <c r="O238" s="5">
        <f>recovered!O238-recovered!N238</f>
        <v>0</v>
      </c>
      <c r="P238" s="5">
        <f>recovered!P238-recovered!O238</f>
        <v>0</v>
      </c>
      <c r="Q238" s="5">
        <f>recovered!Q238-recovered!P238</f>
        <v>0</v>
      </c>
      <c r="R238" s="5">
        <f>recovered!R238-recovered!Q238</f>
        <v>0</v>
      </c>
      <c r="S238" s="5">
        <f>recovered!S238-recovered!R238</f>
        <v>0</v>
      </c>
      <c r="T238" s="5">
        <f>recovered!T238-recovered!S238</f>
        <v>0</v>
      </c>
      <c r="U238" s="5">
        <f>recovered!U238-recovered!T238</f>
        <v>0</v>
      </c>
      <c r="V238" s="5">
        <f>recovered!V238-recovered!U238</f>
        <v>0</v>
      </c>
      <c r="W238" s="5">
        <f>recovered!W238-recovered!V238</f>
        <v>0</v>
      </c>
      <c r="X238" s="5">
        <f>recovered!X238-recovered!W238</f>
        <v>0</v>
      </c>
      <c r="Y238" s="5">
        <f>recovered!Y238-recovered!X238</f>
        <v>0</v>
      </c>
      <c r="Z238" s="5">
        <f>recovered!Z238-recovered!Y238</f>
        <v>0</v>
      </c>
      <c r="AA238" s="5">
        <f>recovered!AA238-recovered!Z238</f>
        <v>0</v>
      </c>
      <c r="AB238" s="5">
        <f>recovered!AB238-recovered!AA238</f>
        <v>0</v>
      </c>
      <c r="AC238" s="5">
        <f>recovered!AC238-recovered!AB238</f>
        <v>0</v>
      </c>
      <c r="AD238" s="5">
        <f>recovered!AD238-recovered!AC238</f>
        <v>0</v>
      </c>
      <c r="AE238" s="5">
        <f>recovered!AE238-recovered!AD238</f>
        <v>0</v>
      </c>
      <c r="AF238" s="5">
        <f>recovered!AF238-recovered!AE238</f>
        <v>0</v>
      </c>
      <c r="AG238" s="5">
        <f>recovered!AG238-recovered!AF238</f>
        <v>0</v>
      </c>
      <c r="AH238" s="5">
        <f>recovered!AH238-recovered!AG238</f>
        <v>0</v>
      </c>
      <c r="AI238" s="5">
        <f>recovered!AI238-recovered!AH238</f>
        <v>0</v>
      </c>
      <c r="AJ238" s="5">
        <f>recovered!AJ238-recovered!AI238</f>
        <v>0</v>
      </c>
      <c r="AK238" s="5">
        <f>recovered!AK238-recovered!AJ238</f>
        <v>0</v>
      </c>
      <c r="AL238" s="5">
        <f>recovered!AL238-recovered!AK238</f>
        <v>0</v>
      </c>
      <c r="AM238" s="5">
        <f>recovered!AM238-recovered!AL238</f>
        <v>0</v>
      </c>
      <c r="AN238" s="5">
        <f>recovered!AN238-recovered!AM238</f>
        <v>0</v>
      </c>
      <c r="AO238" s="5">
        <f>recovered!AO238-recovered!AN238</f>
        <v>0</v>
      </c>
      <c r="AP238" s="5">
        <f>recovered!AP238-recovered!AO238</f>
        <v>0</v>
      </c>
      <c r="AQ238" s="5">
        <f>recovered!AQ238-recovered!AP238</f>
        <v>0</v>
      </c>
      <c r="AR238" s="5">
        <f>recovered!AR238-recovered!AQ238</f>
        <v>0</v>
      </c>
      <c r="AS238" s="5">
        <f>recovered!AS238-recovered!AR238</f>
        <v>0</v>
      </c>
      <c r="AT238" s="5">
        <f>recovered!AT238-recovered!AS238</f>
        <v>0</v>
      </c>
      <c r="AU238" s="5">
        <f>recovered!AU238-recovered!AT238</f>
        <v>0</v>
      </c>
      <c r="AV238" s="5">
        <f>recovered!AV238-recovered!AU238</f>
        <v>0</v>
      </c>
      <c r="AW238" s="5">
        <f>recovered!AW238-recovered!AV238</f>
        <v>0</v>
      </c>
      <c r="AX238" s="5">
        <f>recovered!AX238-recovered!AW238</f>
        <v>0</v>
      </c>
      <c r="AY238" s="5">
        <f>recovered!AY238-recovered!AX238</f>
        <v>0</v>
      </c>
      <c r="AZ238" s="5">
        <f>recovered!AZ238-recovered!AY238</f>
        <v>0</v>
      </c>
      <c r="BA238" s="5">
        <f>recovered!BA238-recovered!AZ238</f>
        <v>0</v>
      </c>
      <c r="BB238" s="5">
        <f>recovered!BB238-recovered!BA238</f>
        <v>0</v>
      </c>
      <c r="BC238" s="5">
        <f>recovered!BC238-recovered!BB238</f>
        <v>0</v>
      </c>
      <c r="BD238" s="5">
        <f>recovered!BD238-recovered!BC238</f>
        <v>0</v>
      </c>
      <c r="BE238" s="5">
        <f>recovered!BE238-recovered!BD238</f>
        <v>0</v>
      </c>
      <c r="BF238" s="5">
        <f>recovered!BF238-recovered!BE238</f>
        <v>0</v>
      </c>
      <c r="BG238" s="5">
        <f>recovered!BG238-recovered!BF238</f>
        <v>0</v>
      </c>
      <c r="BH238" s="5">
        <f>recovered!BH238-recovered!BG238</f>
        <v>0</v>
      </c>
      <c r="BI238" s="5">
        <f>recovered!BI238-recovered!BH238</f>
        <v>0</v>
      </c>
      <c r="BJ238" s="5">
        <f>recovered!BJ238-recovered!BI238</f>
        <v>0</v>
      </c>
      <c r="BK238" s="5">
        <f>recovered!BK238-recovered!BJ238</f>
        <v>0</v>
      </c>
      <c r="BL238" s="5">
        <f>recovered!BL238-recovered!BK238</f>
        <v>0</v>
      </c>
      <c r="BM238" s="5">
        <f>recovered!BM238-recovered!BL238</f>
        <v>0</v>
      </c>
      <c r="BN238" s="5">
        <f>recovered!BN238-recovered!BM238</f>
        <v>0</v>
      </c>
      <c r="BO238" s="5">
        <f>recovered!BO238-recovered!BN238</f>
        <v>0</v>
      </c>
      <c r="BP238" s="5">
        <f>recovered!BP238-recovered!BO238</f>
        <v>0</v>
      </c>
      <c r="BQ238" s="5">
        <f>recovered!BQ238-recovered!BP238</f>
        <v>0</v>
      </c>
      <c r="BR238" s="5">
        <f>recovered!BR238-recovered!BQ238</f>
        <v>0</v>
      </c>
      <c r="BS238" s="5">
        <f>recovered!BS238-recovered!BR238</f>
        <v>0</v>
      </c>
      <c r="BT238" s="5">
        <f>recovered!BT238-recovered!BS238</f>
        <v>0</v>
      </c>
      <c r="BU238" s="5">
        <f>recovered!BU238-recovered!BT238</f>
        <v>0</v>
      </c>
      <c r="BV238" s="5">
        <f>recovered!BV238-recovered!BU238</f>
        <v>0</v>
      </c>
      <c r="BW238" s="5">
        <f>recovered!BW238-recovered!BV238</f>
        <v>0</v>
      </c>
      <c r="BX238" s="5">
        <f>recovered!BX238-recovered!BW238</f>
        <v>0</v>
      </c>
      <c r="BY238" s="5">
        <f>recovered!BY238-recovered!BX238</f>
        <v>0</v>
      </c>
    </row>
    <row r="239">
      <c r="B239" s="1" t="str">
        <f>recovered!B239</f>
        <v>United Kingdom</v>
      </c>
      <c r="C239" s="4">
        <f>recovered!C239</f>
        <v>21.694</v>
      </c>
      <c r="D239" s="4">
        <f>recovered!D239</f>
        <v>-71.7979</v>
      </c>
      <c r="E239" s="5">
        <f>recovered!E239</f>
        <v>0</v>
      </c>
      <c r="F239" s="5">
        <f>recovered!F239-recovered!E239</f>
        <v>0</v>
      </c>
      <c r="G239" s="5">
        <f>recovered!G239-recovered!F239</f>
        <v>0</v>
      </c>
      <c r="H239" s="5">
        <f>recovered!H239-recovered!G239</f>
        <v>0</v>
      </c>
      <c r="I239" s="5">
        <f>recovered!I239-recovered!H239</f>
        <v>0</v>
      </c>
      <c r="J239" s="5">
        <f>recovered!J239-recovered!I239</f>
        <v>0</v>
      </c>
      <c r="K239" s="5">
        <f>recovered!K239-recovered!J239</f>
        <v>0</v>
      </c>
      <c r="L239" s="5">
        <f>recovered!L239-recovered!K239</f>
        <v>0</v>
      </c>
      <c r="M239" s="5">
        <f>recovered!M239-recovered!L239</f>
        <v>0</v>
      </c>
      <c r="N239" s="5">
        <f>recovered!N239-recovered!M239</f>
        <v>0</v>
      </c>
      <c r="O239" s="5">
        <f>recovered!O239-recovered!N239</f>
        <v>0</v>
      </c>
      <c r="P239" s="5">
        <f>recovered!P239-recovered!O239</f>
        <v>0</v>
      </c>
      <c r="Q239" s="5">
        <f>recovered!Q239-recovered!P239</f>
        <v>0</v>
      </c>
      <c r="R239" s="5">
        <f>recovered!R239-recovered!Q239</f>
        <v>0</v>
      </c>
      <c r="S239" s="5">
        <f>recovered!S239-recovered!R239</f>
        <v>0</v>
      </c>
      <c r="T239" s="5">
        <f>recovered!T239-recovered!S239</f>
        <v>0</v>
      </c>
      <c r="U239" s="5">
        <f>recovered!U239-recovered!T239</f>
        <v>0</v>
      </c>
      <c r="V239" s="5">
        <f>recovered!V239-recovered!U239</f>
        <v>0</v>
      </c>
      <c r="W239" s="5">
        <f>recovered!W239-recovered!V239</f>
        <v>0</v>
      </c>
      <c r="X239" s="5">
        <f>recovered!X239-recovered!W239</f>
        <v>0</v>
      </c>
      <c r="Y239" s="5">
        <f>recovered!Y239-recovered!X239</f>
        <v>0</v>
      </c>
      <c r="Z239" s="5">
        <f>recovered!Z239-recovered!Y239</f>
        <v>0</v>
      </c>
      <c r="AA239" s="5">
        <f>recovered!AA239-recovered!Z239</f>
        <v>0</v>
      </c>
      <c r="AB239" s="5">
        <f>recovered!AB239-recovered!AA239</f>
        <v>0</v>
      </c>
      <c r="AC239" s="5">
        <f>recovered!AC239-recovered!AB239</f>
        <v>0</v>
      </c>
      <c r="AD239" s="5">
        <f>recovered!AD239-recovered!AC239</f>
        <v>0</v>
      </c>
      <c r="AE239" s="5">
        <f>recovered!AE239-recovered!AD239</f>
        <v>0</v>
      </c>
      <c r="AF239" s="5">
        <f>recovered!AF239-recovered!AE239</f>
        <v>0</v>
      </c>
      <c r="AG239" s="5">
        <f>recovered!AG239-recovered!AF239</f>
        <v>0</v>
      </c>
      <c r="AH239" s="5">
        <f>recovered!AH239-recovered!AG239</f>
        <v>0</v>
      </c>
      <c r="AI239" s="5">
        <f>recovered!AI239-recovered!AH239</f>
        <v>0</v>
      </c>
      <c r="AJ239" s="5">
        <f>recovered!AJ239-recovered!AI239</f>
        <v>0</v>
      </c>
      <c r="AK239" s="5">
        <f>recovered!AK239-recovered!AJ239</f>
        <v>0</v>
      </c>
      <c r="AL239" s="5">
        <f>recovered!AL239-recovered!AK239</f>
        <v>0</v>
      </c>
      <c r="AM239" s="5">
        <f>recovered!AM239-recovered!AL239</f>
        <v>0</v>
      </c>
      <c r="AN239" s="5">
        <f>recovered!AN239-recovered!AM239</f>
        <v>0</v>
      </c>
      <c r="AO239" s="5">
        <f>recovered!AO239-recovered!AN239</f>
        <v>0</v>
      </c>
      <c r="AP239" s="5">
        <f>recovered!AP239-recovered!AO239</f>
        <v>0</v>
      </c>
      <c r="AQ239" s="5">
        <f>recovered!AQ239-recovered!AP239</f>
        <v>0</v>
      </c>
      <c r="AR239" s="5">
        <f>recovered!AR239-recovered!AQ239</f>
        <v>0</v>
      </c>
      <c r="AS239" s="5">
        <f>recovered!AS239-recovered!AR239</f>
        <v>0</v>
      </c>
      <c r="AT239" s="5">
        <f>recovered!AT239-recovered!AS239</f>
        <v>0</v>
      </c>
      <c r="AU239" s="5">
        <f>recovered!AU239-recovered!AT239</f>
        <v>0</v>
      </c>
      <c r="AV239" s="5">
        <f>recovered!AV239-recovered!AU239</f>
        <v>0</v>
      </c>
      <c r="AW239" s="5">
        <f>recovered!AW239-recovered!AV239</f>
        <v>0</v>
      </c>
      <c r="AX239" s="5">
        <f>recovered!AX239-recovered!AW239</f>
        <v>0</v>
      </c>
      <c r="AY239" s="5">
        <f>recovered!AY239-recovered!AX239</f>
        <v>0</v>
      </c>
      <c r="AZ239" s="5">
        <f>recovered!AZ239-recovered!AY239</f>
        <v>0</v>
      </c>
      <c r="BA239" s="5">
        <f>recovered!BA239-recovered!AZ239</f>
        <v>0</v>
      </c>
      <c r="BB239" s="5">
        <f>recovered!BB239-recovered!BA239</f>
        <v>0</v>
      </c>
      <c r="BC239" s="5">
        <f>recovered!BC239-recovered!BB239</f>
        <v>0</v>
      </c>
      <c r="BD239" s="5">
        <f>recovered!BD239-recovered!BC239</f>
        <v>0</v>
      </c>
      <c r="BE239" s="5">
        <f>recovered!BE239-recovered!BD239</f>
        <v>0</v>
      </c>
      <c r="BF239" s="5">
        <f>recovered!BF239-recovered!BE239</f>
        <v>0</v>
      </c>
      <c r="BG239" s="5">
        <f>recovered!BG239-recovered!BF239</f>
        <v>0</v>
      </c>
      <c r="BH239" s="5">
        <f>recovered!BH239-recovered!BG239</f>
        <v>0</v>
      </c>
      <c r="BI239" s="5">
        <f>recovered!BI239-recovered!BH239</f>
        <v>0</v>
      </c>
      <c r="BJ239" s="5">
        <f>recovered!BJ239-recovered!BI239</f>
        <v>0</v>
      </c>
      <c r="BK239" s="5">
        <f>recovered!BK239-recovered!BJ239</f>
        <v>0</v>
      </c>
      <c r="BL239" s="5">
        <f>recovered!BL239-recovered!BK239</f>
        <v>0</v>
      </c>
      <c r="BM239" s="5">
        <f>recovered!BM239-recovered!BL239</f>
        <v>0</v>
      </c>
      <c r="BN239" s="5">
        <f>recovered!BN239-recovered!BM239</f>
        <v>0</v>
      </c>
      <c r="BO239" s="5">
        <f>recovered!BO239-recovered!BN239</f>
        <v>0</v>
      </c>
      <c r="BP239" s="5">
        <f>recovered!BP239-recovered!BO239</f>
        <v>0</v>
      </c>
      <c r="BQ239" s="5">
        <f>recovered!BQ239-recovered!BP239</f>
        <v>0</v>
      </c>
      <c r="BR239" s="5">
        <f>recovered!BR239-recovered!BQ239</f>
        <v>0</v>
      </c>
      <c r="BS239" s="5">
        <f>recovered!BS239-recovered!BR239</f>
        <v>0</v>
      </c>
      <c r="BT239" s="5">
        <f>recovered!BT239-recovered!BS239</f>
        <v>0</v>
      </c>
      <c r="BU239" s="5">
        <f>recovered!BU239-recovered!BT239</f>
        <v>0</v>
      </c>
      <c r="BV239" s="5">
        <f>recovered!BV239-recovered!BU239</f>
        <v>0</v>
      </c>
      <c r="BW239" s="5">
        <f>recovered!BW239-recovered!BV239</f>
        <v>0</v>
      </c>
      <c r="BX239" s="5">
        <f>recovered!BX239-recovered!BW239</f>
        <v>0</v>
      </c>
      <c r="BY239" s="5">
        <f>recovered!BY239-recovered!BX239</f>
        <v>0</v>
      </c>
    </row>
    <row r="240">
      <c r="B240" s="1" t="str">
        <f>recovered!B240</f>
        <v>MS Zaandam</v>
      </c>
      <c r="C240" s="4">
        <f>recovered!C240</f>
        <v>0</v>
      </c>
      <c r="D240" s="4">
        <f>recovered!D240</f>
        <v>0</v>
      </c>
      <c r="E240" s="5">
        <f>recovered!E240</f>
        <v>0</v>
      </c>
      <c r="F240" s="5">
        <f>recovered!F240-recovered!E240</f>
        <v>0</v>
      </c>
      <c r="G240" s="5">
        <f>recovered!G240-recovered!F240</f>
        <v>0</v>
      </c>
      <c r="H240" s="5">
        <f>recovered!H240-recovered!G240</f>
        <v>0</v>
      </c>
      <c r="I240" s="5">
        <f>recovered!I240-recovered!H240</f>
        <v>0</v>
      </c>
      <c r="J240" s="5">
        <f>recovered!J240-recovered!I240</f>
        <v>0</v>
      </c>
      <c r="K240" s="5">
        <f>recovered!K240-recovered!J240</f>
        <v>0</v>
      </c>
      <c r="L240" s="5">
        <f>recovered!L240-recovered!K240</f>
        <v>0</v>
      </c>
      <c r="M240" s="5">
        <f>recovered!M240-recovered!L240</f>
        <v>0</v>
      </c>
      <c r="N240" s="5">
        <f>recovered!N240-recovered!M240</f>
        <v>0</v>
      </c>
      <c r="O240" s="5">
        <f>recovered!O240-recovered!N240</f>
        <v>0</v>
      </c>
      <c r="P240" s="5">
        <f>recovered!P240-recovered!O240</f>
        <v>0</v>
      </c>
      <c r="Q240" s="5">
        <f>recovered!Q240-recovered!P240</f>
        <v>0</v>
      </c>
      <c r="R240" s="5">
        <f>recovered!R240-recovered!Q240</f>
        <v>0</v>
      </c>
      <c r="S240" s="5">
        <f>recovered!S240-recovered!R240</f>
        <v>0</v>
      </c>
      <c r="T240" s="5">
        <f>recovered!T240-recovered!S240</f>
        <v>0</v>
      </c>
      <c r="U240" s="5">
        <f>recovered!U240-recovered!T240</f>
        <v>0</v>
      </c>
      <c r="V240" s="5">
        <f>recovered!V240-recovered!U240</f>
        <v>0</v>
      </c>
      <c r="W240" s="5">
        <f>recovered!W240-recovered!V240</f>
        <v>0</v>
      </c>
      <c r="X240" s="5">
        <f>recovered!X240-recovered!W240</f>
        <v>0</v>
      </c>
      <c r="Y240" s="5">
        <f>recovered!Y240-recovered!X240</f>
        <v>0</v>
      </c>
      <c r="Z240" s="5">
        <f>recovered!Z240-recovered!Y240</f>
        <v>0</v>
      </c>
      <c r="AA240" s="5">
        <f>recovered!AA240-recovered!Z240</f>
        <v>0</v>
      </c>
      <c r="AB240" s="5">
        <f>recovered!AB240-recovered!AA240</f>
        <v>0</v>
      </c>
      <c r="AC240" s="5">
        <f>recovered!AC240-recovered!AB240</f>
        <v>0</v>
      </c>
      <c r="AD240" s="5">
        <f>recovered!AD240-recovered!AC240</f>
        <v>0</v>
      </c>
      <c r="AE240" s="5">
        <f>recovered!AE240-recovered!AD240</f>
        <v>0</v>
      </c>
      <c r="AF240" s="5">
        <f>recovered!AF240-recovered!AE240</f>
        <v>0</v>
      </c>
      <c r="AG240" s="5">
        <f>recovered!AG240-recovered!AF240</f>
        <v>0</v>
      </c>
      <c r="AH240" s="5">
        <f>recovered!AH240-recovered!AG240</f>
        <v>0</v>
      </c>
      <c r="AI240" s="5">
        <f>recovered!AI240-recovered!AH240</f>
        <v>0</v>
      </c>
      <c r="AJ240" s="5">
        <f>recovered!AJ240-recovered!AI240</f>
        <v>0</v>
      </c>
      <c r="AK240" s="5">
        <f>recovered!AK240-recovered!AJ240</f>
        <v>0</v>
      </c>
      <c r="AL240" s="5">
        <f>recovered!AL240-recovered!AK240</f>
        <v>0</v>
      </c>
      <c r="AM240" s="5">
        <f>recovered!AM240-recovered!AL240</f>
        <v>0</v>
      </c>
      <c r="AN240" s="5">
        <f>recovered!AN240-recovered!AM240</f>
        <v>0</v>
      </c>
      <c r="AO240" s="5">
        <f>recovered!AO240-recovered!AN240</f>
        <v>0</v>
      </c>
      <c r="AP240" s="5">
        <f>recovered!AP240-recovered!AO240</f>
        <v>0</v>
      </c>
      <c r="AQ240" s="5">
        <f>recovered!AQ240-recovered!AP240</f>
        <v>0</v>
      </c>
      <c r="AR240" s="5">
        <f>recovered!AR240-recovered!AQ240</f>
        <v>0</v>
      </c>
      <c r="AS240" s="5">
        <f>recovered!AS240-recovered!AR240</f>
        <v>0</v>
      </c>
      <c r="AT240" s="5">
        <f>recovered!AT240-recovered!AS240</f>
        <v>0</v>
      </c>
      <c r="AU240" s="5">
        <f>recovered!AU240-recovered!AT240</f>
        <v>0</v>
      </c>
      <c r="AV240" s="5">
        <f>recovered!AV240-recovered!AU240</f>
        <v>0</v>
      </c>
      <c r="AW240" s="5">
        <f>recovered!AW240-recovered!AV240</f>
        <v>0</v>
      </c>
      <c r="AX240" s="5">
        <f>recovered!AX240-recovered!AW240</f>
        <v>0</v>
      </c>
      <c r="AY240" s="5">
        <f>recovered!AY240-recovered!AX240</f>
        <v>0</v>
      </c>
      <c r="AZ240" s="5">
        <f>recovered!AZ240-recovered!AY240</f>
        <v>0</v>
      </c>
      <c r="BA240" s="5">
        <f>recovered!BA240-recovered!AZ240</f>
        <v>0</v>
      </c>
      <c r="BB240" s="5">
        <f>recovered!BB240-recovered!BA240</f>
        <v>0</v>
      </c>
      <c r="BC240" s="5">
        <f>recovered!BC240-recovered!BB240</f>
        <v>0</v>
      </c>
      <c r="BD240" s="5">
        <f>recovered!BD240-recovered!BC240</f>
        <v>0</v>
      </c>
      <c r="BE240" s="5">
        <f>recovered!BE240-recovered!BD240</f>
        <v>0</v>
      </c>
      <c r="BF240" s="5">
        <f>recovered!BF240-recovered!BE240</f>
        <v>0</v>
      </c>
      <c r="BG240" s="5">
        <f>recovered!BG240-recovered!BF240</f>
        <v>0</v>
      </c>
      <c r="BH240" s="5">
        <f>recovered!BH240-recovered!BG240</f>
        <v>0</v>
      </c>
      <c r="BI240" s="5">
        <f>recovered!BI240-recovered!BH240</f>
        <v>0</v>
      </c>
      <c r="BJ240" s="5">
        <f>recovered!BJ240-recovered!BI240</f>
        <v>0</v>
      </c>
      <c r="BK240" s="5">
        <f>recovered!BK240-recovered!BJ240</f>
        <v>0</v>
      </c>
      <c r="BL240" s="5">
        <f>recovered!BL240-recovered!BK240</f>
        <v>0</v>
      </c>
      <c r="BM240" s="5">
        <f>recovered!BM240-recovered!BL240</f>
        <v>0</v>
      </c>
      <c r="BN240" s="5">
        <f>recovered!BN240-recovered!BM240</f>
        <v>0</v>
      </c>
      <c r="BO240" s="5">
        <f>recovered!BO240-recovered!BN240</f>
        <v>0</v>
      </c>
      <c r="BP240" s="5">
        <f>recovered!BP240-recovered!BO240</f>
        <v>0</v>
      </c>
      <c r="BQ240" s="5">
        <f>recovered!BQ240-recovered!BP240</f>
        <v>0</v>
      </c>
      <c r="BR240" s="5">
        <f>recovered!BR240-recovered!BQ240</f>
        <v>0</v>
      </c>
      <c r="BS240" s="5">
        <f>recovered!BS240-recovered!BR240</f>
        <v>0</v>
      </c>
      <c r="BT240" s="5">
        <f>recovered!BT240-recovered!BS240</f>
        <v>0</v>
      </c>
      <c r="BU240" s="5">
        <f>recovered!BU240-recovered!BT240</f>
        <v>0</v>
      </c>
      <c r="BV240" s="5">
        <f>recovered!BV240-recovered!BU240</f>
        <v>0</v>
      </c>
      <c r="BW240" s="5">
        <f>recovered!BW240-recovered!BV240</f>
        <v>0</v>
      </c>
      <c r="BX240" s="5">
        <f>recovered!BX240-recovered!BW240</f>
        <v>0</v>
      </c>
      <c r="BY240" s="5">
        <f>recovered!BY240-recovered!BX240</f>
        <v>0</v>
      </c>
    </row>
    <row r="241">
      <c r="B241" s="1" t="str">
        <f>recovered!B241</f>
        <v>Botswana</v>
      </c>
      <c r="C241" s="4">
        <f>recovered!C241</f>
        <v>-22.3285</v>
      </c>
      <c r="D241" s="4">
        <f>recovered!D241</f>
        <v>24.6849</v>
      </c>
      <c r="E241" s="5">
        <f>recovered!E241</f>
        <v>0</v>
      </c>
      <c r="F241" s="5">
        <f>recovered!F241-recovered!E241</f>
        <v>0</v>
      </c>
      <c r="G241" s="5">
        <f>recovered!G241-recovered!F241</f>
        <v>0</v>
      </c>
      <c r="H241" s="5">
        <f>recovered!H241-recovered!G241</f>
        <v>0</v>
      </c>
      <c r="I241" s="5">
        <f>recovered!I241-recovered!H241</f>
        <v>0</v>
      </c>
      <c r="J241" s="5">
        <f>recovered!J241-recovered!I241</f>
        <v>0</v>
      </c>
      <c r="K241" s="5">
        <f>recovered!K241-recovered!J241</f>
        <v>0</v>
      </c>
      <c r="L241" s="5">
        <f>recovered!L241-recovered!K241</f>
        <v>0</v>
      </c>
      <c r="M241" s="5">
        <f>recovered!M241-recovered!L241</f>
        <v>0</v>
      </c>
      <c r="N241" s="5">
        <f>recovered!N241-recovered!M241</f>
        <v>0</v>
      </c>
      <c r="O241" s="5">
        <f>recovered!O241-recovered!N241</f>
        <v>0</v>
      </c>
      <c r="P241" s="5">
        <f>recovered!P241-recovered!O241</f>
        <v>0</v>
      </c>
      <c r="Q241" s="5">
        <f>recovered!Q241-recovered!P241</f>
        <v>0</v>
      </c>
      <c r="R241" s="5">
        <f>recovered!R241-recovered!Q241</f>
        <v>0</v>
      </c>
      <c r="S241" s="5">
        <f>recovered!S241-recovered!R241</f>
        <v>0</v>
      </c>
      <c r="T241" s="5">
        <f>recovered!T241-recovered!S241</f>
        <v>0</v>
      </c>
      <c r="U241" s="5">
        <f>recovered!U241-recovered!T241</f>
        <v>0</v>
      </c>
      <c r="V241" s="5">
        <f>recovered!V241-recovered!U241</f>
        <v>0</v>
      </c>
      <c r="W241" s="5">
        <f>recovered!W241-recovered!V241</f>
        <v>0</v>
      </c>
      <c r="X241" s="5">
        <f>recovered!X241-recovered!W241</f>
        <v>0</v>
      </c>
      <c r="Y241" s="5">
        <f>recovered!Y241-recovered!X241</f>
        <v>0</v>
      </c>
      <c r="Z241" s="5">
        <f>recovered!Z241-recovered!Y241</f>
        <v>0</v>
      </c>
      <c r="AA241" s="5">
        <f>recovered!AA241-recovered!Z241</f>
        <v>0</v>
      </c>
      <c r="AB241" s="5">
        <f>recovered!AB241-recovered!AA241</f>
        <v>0</v>
      </c>
      <c r="AC241" s="5">
        <f>recovered!AC241-recovered!AB241</f>
        <v>0</v>
      </c>
      <c r="AD241" s="5">
        <f>recovered!AD241-recovered!AC241</f>
        <v>0</v>
      </c>
      <c r="AE241" s="5">
        <f>recovered!AE241-recovered!AD241</f>
        <v>0</v>
      </c>
      <c r="AF241" s="5">
        <f>recovered!AF241-recovered!AE241</f>
        <v>0</v>
      </c>
      <c r="AG241" s="5">
        <f>recovered!AG241-recovered!AF241</f>
        <v>0</v>
      </c>
      <c r="AH241" s="5">
        <f>recovered!AH241-recovered!AG241</f>
        <v>0</v>
      </c>
      <c r="AI241" s="5">
        <f>recovered!AI241-recovered!AH241</f>
        <v>0</v>
      </c>
      <c r="AJ241" s="5">
        <f>recovered!AJ241-recovered!AI241</f>
        <v>0</v>
      </c>
      <c r="AK241" s="5">
        <f>recovered!AK241-recovered!AJ241</f>
        <v>0</v>
      </c>
      <c r="AL241" s="5">
        <f>recovered!AL241-recovered!AK241</f>
        <v>0</v>
      </c>
      <c r="AM241" s="5">
        <f>recovered!AM241-recovered!AL241</f>
        <v>0</v>
      </c>
      <c r="AN241" s="5">
        <f>recovered!AN241-recovered!AM241</f>
        <v>0</v>
      </c>
      <c r="AO241" s="5">
        <f>recovered!AO241-recovered!AN241</f>
        <v>0</v>
      </c>
      <c r="AP241" s="5">
        <f>recovered!AP241-recovered!AO241</f>
        <v>0</v>
      </c>
      <c r="AQ241" s="5">
        <f>recovered!AQ241-recovered!AP241</f>
        <v>0</v>
      </c>
      <c r="AR241" s="5">
        <f>recovered!AR241-recovered!AQ241</f>
        <v>0</v>
      </c>
      <c r="AS241" s="5">
        <f>recovered!AS241-recovered!AR241</f>
        <v>0</v>
      </c>
      <c r="AT241" s="5">
        <f>recovered!AT241-recovered!AS241</f>
        <v>0</v>
      </c>
      <c r="AU241" s="5">
        <f>recovered!AU241-recovered!AT241</f>
        <v>0</v>
      </c>
      <c r="AV241" s="5">
        <f>recovered!AV241-recovered!AU241</f>
        <v>0</v>
      </c>
      <c r="AW241" s="5">
        <f>recovered!AW241-recovered!AV241</f>
        <v>0</v>
      </c>
      <c r="AX241" s="5">
        <f>recovered!AX241-recovered!AW241</f>
        <v>0</v>
      </c>
      <c r="AY241" s="5">
        <f>recovered!AY241-recovered!AX241</f>
        <v>0</v>
      </c>
      <c r="AZ241" s="5">
        <f>recovered!AZ241-recovered!AY241</f>
        <v>0</v>
      </c>
      <c r="BA241" s="5">
        <f>recovered!BA241-recovered!AZ241</f>
        <v>0</v>
      </c>
      <c r="BB241" s="5">
        <f>recovered!BB241-recovered!BA241</f>
        <v>0</v>
      </c>
      <c r="BC241" s="5">
        <f>recovered!BC241-recovered!BB241</f>
        <v>0</v>
      </c>
      <c r="BD241" s="5">
        <f>recovered!BD241-recovered!BC241</f>
        <v>0</v>
      </c>
      <c r="BE241" s="5">
        <f>recovered!BE241-recovered!BD241</f>
        <v>0</v>
      </c>
      <c r="BF241" s="5">
        <f>recovered!BF241-recovered!BE241</f>
        <v>0</v>
      </c>
      <c r="BG241" s="5">
        <f>recovered!BG241-recovered!BF241</f>
        <v>0</v>
      </c>
      <c r="BH241" s="5">
        <f>recovered!BH241-recovered!BG241</f>
        <v>0</v>
      </c>
      <c r="BI241" s="5">
        <f>recovered!BI241-recovered!BH241</f>
        <v>0</v>
      </c>
      <c r="BJ241" s="5">
        <f>recovered!BJ241-recovered!BI241</f>
        <v>0</v>
      </c>
      <c r="BK241" s="5">
        <f>recovered!BK241-recovered!BJ241</f>
        <v>0</v>
      </c>
      <c r="BL241" s="5">
        <f>recovered!BL241-recovered!BK241</f>
        <v>0</v>
      </c>
      <c r="BM241" s="5">
        <f>recovered!BM241-recovered!BL241</f>
        <v>0</v>
      </c>
      <c r="BN241" s="5">
        <f>recovered!BN241-recovered!BM241</f>
        <v>0</v>
      </c>
      <c r="BO241" s="5">
        <f>recovered!BO241-recovered!BN241</f>
        <v>0</v>
      </c>
      <c r="BP241" s="5">
        <f>recovered!BP241-recovered!BO241</f>
        <v>0</v>
      </c>
      <c r="BQ241" s="5">
        <f>recovered!BQ241-recovered!BP241</f>
        <v>0</v>
      </c>
      <c r="BR241" s="5">
        <f>recovered!BR241-recovered!BQ241</f>
        <v>0</v>
      </c>
      <c r="BS241" s="5">
        <f>recovered!BS241-recovered!BR241</f>
        <v>0</v>
      </c>
      <c r="BT241" s="5">
        <f>recovered!BT241-recovered!BS241</f>
        <v>0</v>
      </c>
      <c r="BU241" s="5">
        <f>recovered!BU241-recovered!BT241</f>
        <v>0</v>
      </c>
      <c r="BV241" s="5">
        <f>recovered!BV241-recovered!BU241</f>
        <v>0</v>
      </c>
      <c r="BW241" s="5">
        <f>recovered!BW241-recovered!BV241</f>
        <v>0</v>
      </c>
      <c r="BX241" s="5">
        <f>recovered!BX241-recovered!BW241</f>
        <v>0</v>
      </c>
      <c r="BY241" s="5">
        <f>recovered!BY241-recovered!BX241</f>
        <v>0</v>
      </c>
    </row>
    <row r="242">
      <c r="B242" s="1" t="str">
        <f>recovered!B242</f>
        <v>Burundi</v>
      </c>
      <c r="C242" s="4">
        <f>recovered!C242</f>
        <v>-3.3731</v>
      </c>
      <c r="D242" s="4">
        <f>recovered!D242</f>
        <v>29.9189</v>
      </c>
      <c r="E242" s="5">
        <f>recovered!E242</f>
        <v>0</v>
      </c>
      <c r="F242" s="5">
        <f>recovered!F242-recovered!E242</f>
        <v>0</v>
      </c>
      <c r="G242" s="5">
        <f>recovered!G242-recovered!F242</f>
        <v>0</v>
      </c>
      <c r="H242" s="5">
        <f>recovered!H242-recovered!G242</f>
        <v>0</v>
      </c>
      <c r="I242" s="5">
        <f>recovered!I242-recovered!H242</f>
        <v>0</v>
      </c>
      <c r="J242" s="5">
        <f>recovered!J242-recovered!I242</f>
        <v>0</v>
      </c>
      <c r="K242" s="5">
        <f>recovered!K242-recovered!J242</f>
        <v>0</v>
      </c>
      <c r="L242" s="5">
        <f>recovered!L242-recovered!K242</f>
        <v>0</v>
      </c>
      <c r="M242" s="5">
        <f>recovered!M242-recovered!L242</f>
        <v>0</v>
      </c>
      <c r="N242" s="5">
        <f>recovered!N242-recovered!M242</f>
        <v>0</v>
      </c>
      <c r="O242" s="5">
        <f>recovered!O242-recovered!N242</f>
        <v>0</v>
      </c>
      <c r="P242" s="5">
        <f>recovered!P242-recovered!O242</f>
        <v>0</v>
      </c>
      <c r="Q242" s="5">
        <f>recovered!Q242-recovered!P242</f>
        <v>0</v>
      </c>
      <c r="R242" s="5">
        <f>recovered!R242-recovered!Q242</f>
        <v>0</v>
      </c>
      <c r="S242" s="5">
        <f>recovered!S242-recovered!R242</f>
        <v>0</v>
      </c>
      <c r="T242" s="5">
        <f>recovered!T242-recovered!S242</f>
        <v>0</v>
      </c>
      <c r="U242" s="5">
        <f>recovered!U242-recovered!T242</f>
        <v>0</v>
      </c>
      <c r="V242" s="5">
        <f>recovered!V242-recovered!U242</f>
        <v>0</v>
      </c>
      <c r="W242" s="5">
        <f>recovered!W242-recovered!V242</f>
        <v>0</v>
      </c>
      <c r="X242" s="5">
        <f>recovered!X242-recovered!W242</f>
        <v>0</v>
      </c>
      <c r="Y242" s="5">
        <f>recovered!Y242-recovered!X242</f>
        <v>0</v>
      </c>
      <c r="Z242" s="5">
        <f>recovered!Z242-recovered!Y242</f>
        <v>0</v>
      </c>
      <c r="AA242" s="5">
        <f>recovered!AA242-recovered!Z242</f>
        <v>0</v>
      </c>
      <c r="AB242" s="5">
        <f>recovered!AB242-recovered!AA242</f>
        <v>0</v>
      </c>
      <c r="AC242" s="5">
        <f>recovered!AC242-recovered!AB242</f>
        <v>0</v>
      </c>
      <c r="AD242" s="5">
        <f>recovered!AD242-recovered!AC242</f>
        <v>0</v>
      </c>
      <c r="AE242" s="5">
        <f>recovered!AE242-recovered!AD242</f>
        <v>0</v>
      </c>
      <c r="AF242" s="5">
        <f>recovered!AF242-recovered!AE242</f>
        <v>0</v>
      </c>
      <c r="AG242" s="5">
        <f>recovered!AG242-recovered!AF242</f>
        <v>0</v>
      </c>
      <c r="AH242" s="5">
        <f>recovered!AH242-recovered!AG242</f>
        <v>0</v>
      </c>
      <c r="AI242" s="5">
        <f>recovered!AI242-recovered!AH242</f>
        <v>0</v>
      </c>
      <c r="AJ242" s="5">
        <f>recovered!AJ242-recovered!AI242</f>
        <v>0</v>
      </c>
      <c r="AK242" s="5">
        <f>recovered!AK242-recovered!AJ242</f>
        <v>0</v>
      </c>
      <c r="AL242" s="5">
        <f>recovered!AL242-recovered!AK242</f>
        <v>0</v>
      </c>
      <c r="AM242" s="5">
        <f>recovered!AM242-recovered!AL242</f>
        <v>0</v>
      </c>
      <c r="AN242" s="5">
        <f>recovered!AN242-recovered!AM242</f>
        <v>0</v>
      </c>
      <c r="AO242" s="5">
        <f>recovered!AO242-recovered!AN242</f>
        <v>0</v>
      </c>
      <c r="AP242" s="5">
        <f>recovered!AP242-recovered!AO242</f>
        <v>0</v>
      </c>
      <c r="AQ242" s="5">
        <f>recovered!AQ242-recovered!AP242</f>
        <v>0</v>
      </c>
      <c r="AR242" s="5">
        <f>recovered!AR242-recovered!AQ242</f>
        <v>0</v>
      </c>
      <c r="AS242" s="5">
        <f>recovered!AS242-recovered!AR242</f>
        <v>0</v>
      </c>
      <c r="AT242" s="5">
        <f>recovered!AT242-recovered!AS242</f>
        <v>0</v>
      </c>
      <c r="AU242" s="5">
        <f>recovered!AU242-recovered!AT242</f>
        <v>0</v>
      </c>
      <c r="AV242" s="5">
        <f>recovered!AV242-recovered!AU242</f>
        <v>0</v>
      </c>
      <c r="AW242" s="5">
        <f>recovered!AW242-recovered!AV242</f>
        <v>0</v>
      </c>
      <c r="AX242" s="5">
        <f>recovered!AX242-recovered!AW242</f>
        <v>0</v>
      </c>
      <c r="AY242" s="5">
        <f>recovered!AY242-recovered!AX242</f>
        <v>0</v>
      </c>
      <c r="AZ242" s="5">
        <f>recovered!AZ242-recovered!AY242</f>
        <v>0</v>
      </c>
      <c r="BA242" s="5">
        <f>recovered!BA242-recovered!AZ242</f>
        <v>0</v>
      </c>
      <c r="BB242" s="5">
        <f>recovered!BB242-recovered!BA242</f>
        <v>0</v>
      </c>
      <c r="BC242" s="5">
        <f>recovered!BC242-recovered!BB242</f>
        <v>0</v>
      </c>
      <c r="BD242" s="5">
        <f>recovered!BD242-recovered!BC242</f>
        <v>0</v>
      </c>
      <c r="BE242" s="5">
        <f>recovered!BE242-recovered!BD242</f>
        <v>0</v>
      </c>
      <c r="BF242" s="5">
        <f>recovered!BF242-recovered!BE242</f>
        <v>0</v>
      </c>
      <c r="BG242" s="5">
        <f>recovered!BG242-recovered!BF242</f>
        <v>0</v>
      </c>
      <c r="BH242" s="5">
        <f>recovered!BH242-recovered!BG242</f>
        <v>0</v>
      </c>
      <c r="BI242" s="5">
        <f>recovered!BI242-recovered!BH242</f>
        <v>0</v>
      </c>
      <c r="BJ242" s="5">
        <f>recovered!BJ242-recovered!BI242</f>
        <v>0</v>
      </c>
      <c r="BK242" s="5">
        <f>recovered!BK242-recovered!BJ242</f>
        <v>0</v>
      </c>
      <c r="BL242" s="5">
        <f>recovered!BL242-recovered!BK242</f>
        <v>0</v>
      </c>
      <c r="BM242" s="5">
        <f>recovered!BM242-recovered!BL242</f>
        <v>0</v>
      </c>
      <c r="BN242" s="5">
        <f>recovered!BN242-recovered!BM242</f>
        <v>0</v>
      </c>
      <c r="BO242" s="5">
        <f>recovered!BO242-recovered!BN242</f>
        <v>0</v>
      </c>
      <c r="BP242" s="5">
        <f>recovered!BP242-recovered!BO242</f>
        <v>0</v>
      </c>
      <c r="BQ242" s="5">
        <f>recovered!BQ242-recovered!BP242</f>
        <v>0</v>
      </c>
      <c r="BR242" s="5">
        <f>recovered!BR242-recovered!BQ242</f>
        <v>0</v>
      </c>
      <c r="BS242" s="5">
        <f>recovered!BS242-recovered!BR242</f>
        <v>0</v>
      </c>
      <c r="BT242" s="5">
        <f>recovered!BT242-recovered!BS242</f>
        <v>0</v>
      </c>
      <c r="BU242" s="5">
        <f>recovered!BU242-recovered!BT242</f>
        <v>0</v>
      </c>
      <c r="BV242" s="5">
        <f>recovered!BV242-recovered!BU242</f>
        <v>0</v>
      </c>
      <c r="BW242" s="5">
        <f>recovered!BW242-recovered!BV242</f>
        <v>0</v>
      </c>
      <c r="BX242" s="5">
        <f>recovered!BX242-recovered!BW242</f>
        <v>0</v>
      </c>
      <c r="BY242" s="5">
        <f>recovered!BY242-recovered!BX242</f>
        <v>0</v>
      </c>
    </row>
    <row r="243">
      <c r="B243" s="1" t="str">
        <f>recovered!B243</f>
        <v>Sierra Leone</v>
      </c>
      <c r="C243" s="4">
        <f>recovered!C243</f>
        <v>8.460555</v>
      </c>
      <c r="D243" s="4">
        <f>recovered!D243</f>
        <v>-11.779889</v>
      </c>
      <c r="E243" s="5">
        <f>recovered!E243</f>
        <v>0</v>
      </c>
      <c r="F243" s="5">
        <f>recovered!F243-recovered!E243</f>
        <v>0</v>
      </c>
      <c r="G243" s="5">
        <f>recovered!G243-recovered!F243</f>
        <v>0</v>
      </c>
      <c r="H243" s="5">
        <f>recovered!H243-recovered!G243</f>
        <v>0</v>
      </c>
      <c r="I243" s="5">
        <f>recovered!I243-recovered!H243</f>
        <v>0</v>
      </c>
      <c r="J243" s="5">
        <f>recovered!J243-recovered!I243</f>
        <v>0</v>
      </c>
      <c r="K243" s="5">
        <f>recovered!K243-recovered!J243</f>
        <v>0</v>
      </c>
      <c r="L243" s="5">
        <f>recovered!L243-recovered!K243</f>
        <v>0</v>
      </c>
      <c r="M243" s="5">
        <f>recovered!M243-recovered!L243</f>
        <v>0</v>
      </c>
      <c r="N243" s="5">
        <f>recovered!N243-recovered!M243</f>
        <v>0</v>
      </c>
      <c r="O243" s="5">
        <f>recovered!O243-recovered!N243</f>
        <v>0</v>
      </c>
      <c r="P243" s="5">
        <f>recovered!P243-recovered!O243</f>
        <v>0</v>
      </c>
      <c r="Q243" s="5">
        <f>recovered!Q243-recovered!P243</f>
        <v>0</v>
      </c>
      <c r="R243" s="5">
        <f>recovered!R243-recovered!Q243</f>
        <v>0</v>
      </c>
      <c r="S243" s="5">
        <f>recovered!S243-recovered!R243</f>
        <v>0</v>
      </c>
      <c r="T243" s="5">
        <f>recovered!T243-recovered!S243</f>
        <v>0</v>
      </c>
      <c r="U243" s="5">
        <f>recovered!U243-recovered!T243</f>
        <v>0</v>
      </c>
      <c r="V243" s="5">
        <f>recovered!V243-recovered!U243</f>
        <v>0</v>
      </c>
      <c r="W243" s="5">
        <f>recovered!W243-recovered!V243</f>
        <v>0</v>
      </c>
      <c r="X243" s="5">
        <f>recovered!X243-recovered!W243</f>
        <v>0</v>
      </c>
      <c r="Y243" s="5">
        <f>recovered!Y243-recovered!X243</f>
        <v>0</v>
      </c>
      <c r="Z243" s="5">
        <f>recovered!Z243-recovered!Y243</f>
        <v>0</v>
      </c>
      <c r="AA243" s="5">
        <f>recovered!AA243-recovered!Z243</f>
        <v>0</v>
      </c>
      <c r="AB243" s="5">
        <f>recovered!AB243-recovered!AA243</f>
        <v>0</v>
      </c>
      <c r="AC243" s="5">
        <f>recovered!AC243-recovered!AB243</f>
        <v>0</v>
      </c>
      <c r="AD243" s="5">
        <f>recovered!AD243-recovered!AC243</f>
        <v>0</v>
      </c>
      <c r="AE243" s="5">
        <f>recovered!AE243-recovered!AD243</f>
        <v>0</v>
      </c>
      <c r="AF243" s="5">
        <f>recovered!AF243-recovered!AE243</f>
        <v>0</v>
      </c>
      <c r="AG243" s="5">
        <f>recovered!AG243-recovered!AF243</f>
        <v>0</v>
      </c>
      <c r="AH243" s="5">
        <f>recovered!AH243-recovered!AG243</f>
        <v>0</v>
      </c>
      <c r="AI243" s="5">
        <f>recovered!AI243-recovered!AH243</f>
        <v>0</v>
      </c>
      <c r="AJ243" s="5">
        <f>recovered!AJ243-recovered!AI243</f>
        <v>0</v>
      </c>
      <c r="AK243" s="5">
        <f>recovered!AK243-recovered!AJ243</f>
        <v>0</v>
      </c>
      <c r="AL243" s="5">
        <f>recovered!AL243-recovered!AK243</f>
        <v>0</v>
      </c>
      <c r="AM243" s="5">
        <f>recovered!AM243-recovered!AL243</f>
        <v>0</v>
      </c>
      <c r="AN243" s="5">
        <f>recovered!AN243-recovered!AM243</f>
        <v>0</v>
      </c>
      <c r="AO243" s="5">
        <f>recovered!AO243-recovered!AN243</f>
        <v>0</v>
      </c>
      <c r="AP243" s="5">
        <f>recovered!AP243-recovered!AO243</f>
        <v>0</v>
      </c>
      <c r="AQ243" s="5">
        <f>recovered!AQ243-recovered!AP243</f>
        <v>0</v>
      </c>
      <c r="AR243" s="5">
        <f>recovered!AR243-recovered!AQ243</f>
        <v>0</v>
      </c>
      <c r="AS243" s="5">
        <f>recovered!AS243-recovered!AR243</f>
        <v>0</v>
      </c>
      <c r="AT243" s="5">
        <f>recovered!AT243-recovered!AS243</f>
        <v>0</v>
      </c>
      <c r="AU243" s="5">
        <f>recovered!AU243-recovered!AT243</f>
        <v>0</v>
      </c>
      <c r="AV243" s="5">
        <f>recovered!AV243-recovered!AU243</f>
        <v>0</v>
      </c>
      <c r="AW243" s="5">
        <f>recovered!AW243-recovered!AV243</f>
        <v>0</v>
      </c>
      <c r="AX243" s="5">
        <f>recovered!AX243-recovered!AW243</f>
        <v>0</v>
      </c>
      <c r="AY243" s="5">
        <f>recovered!AY243-recovered!AX243</f>
        <v>0</v>
      </c>
      <c r="AZ243" s="5">
        <f>recovered!AZ243-recovered!AY243</f>
        <v>0</v>
      </c>
      <c r="BA243" s="5">
        <f>recovered!BA243-recovered!AZ243</f>
        <v>0</v>
      </c>
      <c r="BB243" s="5">
        <f>recovered!BB243-recovered!BA243</f>
        <v>0</v>
      </c>
      <c r="BC243" s="5">
        <f>recovered!BC243-recovered!BB243</f>
        <v>0</v>
      </c>
      <c r="BD243" s="5">
        <f>recovered!BD243-recovered!BC243</f>
        <v>0</v>
      </c>
      <c r="BE243" s="5">
        <f>recovered!BE243-recovered!BD243</f>
        <v>0</v>
      </c>
      <c r="BF243" s="5">
        <f>recovered!BF243-recovered!BE243</f>
        <v>0</v>
      </c>
      <c r="BG243" s="5">
        <f>recovered!BG243-recovered!BF243</f>
        <v>0</v>
      </c>
      <c r="BH243" s="5">
        <f>recovered!BH243-recovered!BG243</f>
        <v>0</v>
      </c>
      <c r="BI243" s="5">
        <f>recovered!BI243-recovered!BH243</f>
        <v>0</v>
      </c>
      <c r="BJ243" s="5">
        <f>recovered!BJ243-recovered!BI243</f>
        <v>0</v>
      </c>
      <c r="BK243" s="5">
        <f>recovered!BK243-recovered!BJ243</f>
        <v>0</v>
      </c>
      <c r="BL243" s="5">
        <f>recovered!BL243-recovered!BK243</f>
        <v>0</v>
      </c>
      <c r="BM243" s="5">
        <f>recovered!BM243-recovered!BL243</f>
        <v>0</v>
      </c>
      <c r="BN243" s="5">
        <f>recovered!BN243-recovered!BM243</f>
        <v>0</v>
      </c>
      <c r="BO243" s="5">
        <f>recovered!BO243-recovered!BN243</f>
        <v>0</v>
      </c>
      <c r="BP243" s="5">
        <f>recovered!BP243-recovered!BO243</f>
        <v>0</v>
      </c>
      <c r="BQ243" s="5">
        <f>recovered!BQ243-recovered!BP243</f>
        <v>0</v>
      </c>
      <c r="BR243" s="5">
        <f>recovered!BR243-recovered!BQ243</f>
        <v>0</v>
      </c>
      <c r="BS243" s="5">
        <f>recovered!BS243-recovered!BR243</f>
        <v>0</v>
      </c>
      <c r="BT243" s="5">
        <f>recovered!BT243-recovered!BS243</f>
        <v>0</v>
      </c>
      <c r="BU243" s="5">
        <f>recovered!BU243-recovered!BT243</f>
        <v>0</v>
      </c>
      <c r="BV243" s="5">
        <f>recovered!BV243-recovered!BU243</f>
        <v>0</v>
      </c>
      <c r="BW243" s="5">
        <f>recovered!BW243-recovered!BV243</f>
        <v>0</v>
      </c>
      <c r="BX243" s="5">
        <f>recovered!BX243-recovered!BW243</f>
        <v>0</v>
      </c>
      <c r="BY243" s="5">
        <f>recovered!BY243-recovered!BX243</f>
        <v>0</v>
      </c>
    </row>
    <row r="244">
      <c r="B244" s="1" t="str">
        <f>recovered!B244</f>
        <v>Netherlands</v>
      </c>
      <c r="C244" s="4">
        <f>recovered!C244</f>
        <v>12.1784</v>
      </c>
      <c r="D244" s="4">
        <f>recovered!D244</f>
        <v>-68.2385</v>
      </c>
      <c r="E244" s="5">
        <f>recovered!E244</f>
        <v>0</v>
      </c>
      <c r="F244" s="5">
        <f>recovered!F244-recovered!E244</f>
        <v>0</v>
      </c>
      <c r="G244" s="5">
        <f>recovered!G244-recovered!F244</f>
        <v>0</v>
      </c>
      <c r="H244" s="5">
        <f>recovered!H244-recovered!G244</f>
        <v>0</v>
      </c>
      <c r="I244" s="5">
        <f>recovered!I244-recovered!H244</f>
        <v>0</v>
      </c>
      <c r="J244" s="5">
        <f>recovered!J244-recovered!I244</f>
        <v>0</v>
      </c>
      <c r="K244" s="5">
        <f>recovered!K244-recovered!J244</f>
        <v>0</v>
      </c>
      <c r="L244" s="5">
        <f>recovered!L244-recovered!K244</f>
        <v>0</v>
      </c>
      <c r="M244" s="5">
        <f>recovered!M244-recovered!L244</f>
        <v>0</v>
      </c>
      <c r="N244" s="5">
        <f>recovered!N244-recovered!M244</f>
        <v>0</v>
      </c>
      <c r="O244" s="5">
        <f>recovered!O244-recovered!N244</f>
        <v>0</v>
      </c>
      <c r="P244" s="5">
        <f>recovered!P244-recovered!O244</f>
        <v>0</v>
      </c>
      <c r="Q244" s="5">
        <f>recovered!Q244-recovered!P244</f>
        <v>0</v>
      </c>
      <c r="R244" s="5">
        <f>recovered!R244-recovered!Q244</f>
        <v>0</v>
      </c>
      <c r="S244" s="5">
        <f>recovered!S244-recovered!R244</f>
        <v>0</v>
      </c>
      <c r="T244" s="5">
        <f>recovered!T244-recovered!S244</f>
        <v>0</v>
      </c>
      <c r="U244" s="5">
        <f>recovered!U244-recovered!T244</f>
        <v>0</v>
      </c>
      <c r="V244" s="5">
        <f>recovered!V244-recovered!U244</f>
        <v>0</v>
      </c>
      <c r="W244" s="5">
        <f>recovered!W244-recovered!V244</f>
        <v>0</v>
      </c>
      <c r="X244" s="5">
        <f>recovered!X244-recovered!W244</f>
        <v>0</v>
      </c>
      <c r="Y244" s="5">
        <f>recovered!Y244-recovered!X244</f>
        <v>0</v>
      </c>
      <c r="Z244" s="5">
        <f>recovered!Z244-recovered!Y244</f>
        <v>0</v>
      </c>
      <c r="AA244" s="5">
        <f>recovered!AA244-recovered!Z244</f>
        <v>0</v>
      </c>
      <c r="AB244" s="5">
        <f>recovered!AB244-recovered!AA244</f>
        <v>0</v>
      </c>
      <c r="AC244" s="5">
        <f>recovered!AC244-recovered!AB244</f>
        <v>0</v>
      </c>
      <c r="AD244" s="5">
        <f>recovered!AD244-recovered!AC244</f>
        <v>0</v>
      </c>
      <c r="AE244" s="5">
        <f>recovered!AE244-recovered!AD244</f>
        <v>0</v>
      </c>
      <c r="AF244" s="5">
        <f>recovered!AF244-recovered!AE244</f>
        <v>0</v>
      </c>
      <c r="AG244" s="5">
        <f>recovered!AG244-recovered!AF244</f>
        <v>0</v>
      </c>
      <c r="AH244" s="5">
        <f>recovered!AH244-recovered!AG244</f>
        <v>0</v>
      </c>
      <c r="AI244" s="5">
        <f>recovered!AI244-recovered!AH244</f>
        <v>0</v>
      </c>
      <c r="AJ244" s="5">
        <f>recovered!AJ244-recovered!AI244</f>
        <v>0</v>
      </c>
      <c r="AK244" s="5">
        <f>recovered!AK244-recovered!AJ244</f>
        <v>0</v>
      </c>
      <c r="AL244" s="5">
        <f>recovered!AL244-recovered!AK244</f>
        <v>0</v>
      </c>
      <c r="AM244" s="5">
        <f>recovered!AM244-recovered!AL244</f>
        <v>0</v>
      </c>
      <c r="AN244" s="5">
        <f>recovered!AN244-recovered!AM244</f>
        <v>0</v>
      </c>
      <c r="AO244" s="5">
        <f>recovered!AO244-recovered!AN244</f>
        <v>0</v>
      </c>
      <c r="AP244" s="5">
        <f>recovered!AP244-recovered!AO244</f>
        <v>0</v>
      </c>
      <c r="AQ244" s="5">
        <f>recovered!AQ244-recovered!AP244</f>
        <v>0</v>
      </c>
      <c r="AR244" s="5">
        <f>recovered!AR244-recovered!AQ244</f>
        <v>0</v>
      </c>
      <c r="AS244" s="5">
        <f>recovered!AS244-recovered!AR244</f>
        <v>0</v>
      </c>
      <c r="AT244" s="5">
        <f>recovered!AT244-recovered!AS244</f>
        <v>0</v>
      </c>
      <c r="AU244" s="5">
        <f>recovered!AU244-recovered!AT244</f>
        <v>0</v>
      </c>
      <c r="AV244" s="5">
        <f>recovered!AV244-recovered!AU244</f>
        <v>0</v>
      </c>
      <c r="AW244" s="5">
        <f>recovered!AW244-recovered!AV244</f>
        <v>0</v>
      </c>
      <c r="AX244" s="5">
        <f>recovered!AX244-recovered!AW244</f>
        <v>0</v>
      </c>
      <c r="AY244" s="5">
        <f>recovered!AY244-recovered!AX244</f>
        <v>0</v>
      </c>
      <c r="AZ244" s="5">
        <f>recovered!AZ244-recovered!AY244</f>
        <v>0</v>
      </c>
      <c r="BA244" s="5">
        <f>recovered!BA244-recovered!AZ244</f>
        <v>0</v>
      </c>
      <c r="BB244" s="5">
        <f>recovered!BB244-recovered!BA244</f>
        <v>0</v>
      </c>
      <c r="BC244" s="5">
        <f>recovered!BC244-recovered!BB244</f>
        <v>0</v>
      </c>
      <c r="BD244" s="5">
        <f>recovered!BD244-recovered!BC244</f>
        <v>0</v>
      </c>
      <c r="BE244" s="5">
        <f>recovered!BE244-recovered!BD244</f>
        <v>0</v>
      </c>
      <c r="BF244" s="5">
        <f>recovered!BF244-recovered!BE244</f>
        <v>0</v>
      </c>
      <c r="BG244" s="5">
        <f>recovered!BG244-recovered!BF244</f>
        <v>0</v>
      </c>
      <c r="BH244" s="5">
        <f>recovered!BH244-recovered!BG244</f>
        <v>0</v>
      </c>
      <c r="BI244" s="5">
        <f>recovered!BI244-recovered!BH244</f>
        <v>0</v>
      </c>
      <c r="BJ244" s="5">
        <f>recovered!BJ244-recovered!BI244</f>
        <v>0</v>
      </c>
      <c r="BK244" s="5">
        <f>recovered!BK244-recovered!BJ244</f>
        <v>0</v>
      </c>
      <c r="BL244" s="5">
        <f>recovered!BL244-recovered!BK244</f>
        <v>0</v>
      </c>
      <c r="BM244" s="5">
        <f>recovered!BM244-recovered!BL244</f>
        <v>0</v>
      </c>
      <c r="BN244" s="5">
        <f>recovered!BN244-recovered!BM244</f>
        <v>0</v>
      </c>
      <c r="BO244" s="5">
        <f>recovered!BO244-recovered!BN244</f>
        <v>0</v>
      </c>
      <c r="BP244" s="5">
        <f>recovered!BP244-recovered!BO244</f>
        <v>0</v>
      </c>
      <c r="BQ244" s="5">
        <f>recovered!BQ244-recovered!BP244</f>
        <v>0</v>
      </c>
      <c r="BR244" s="5">
        <f>recovered!BR244-recovered!BQ244</f>
        <v>0</v>
      </c>
      <c r="BS244" s="5">
        <f>recovered!BS244-recovered!BR244</f>
        <v>0</v>
      </c>
      <c r="BT244" s="5">
        <f>recovered!BT244-recovered!BS244</f>
        <v>0</v>
      </c>
      <c r="BU244" s="5">
        <f>recovered!BU244-recovered!BT244</f>
        <v>0</v>
      </c>
      <c r="BV244" s="5">
        <f>recovered!BV244-recovered!BU244</f>
        <v>0</v>
      </c>
      <c r="BW244" s="5">
        <f>recovered!BW244-recovered!BV244</f>
        <v>0</v>
      </c>
      <c r="BX244" s="5">
        <f>recovered!BX244-recovered!BW244</f>
        <v>0</v>
      </c>
      <c r="BY244" s="5">
        <f>recovered!BY244-recovered!BX244</f>
        <v>0</v>
      </c>
    </row>
    <row r="245">
      <c r="B245" s="1" t="str">
        <f>recovered!B245</f>
        <v>Malawi</v>
      </c>
      <c r="C245" s="4">
        <f>recovered!C245</f>
        <v>-13.254308</v>
      </c>
      <c r="D245" s="4">
        <f>recovered!D245</f>
        <v>34.301525</v>
      </c>
      <c r="E245" s="5">
        <f>recovered!E245</f>
        <v>0</v>
      </c>
      <c r="F245" s="5">
        <f>recovered!F245-recovered!E245</f>
        <v>0</v>
      </c>
      <c r="G245" s="5">
        <f>recovered!G245-recovered!F245</f>
        <v>0</v>
      </c>
      <c r="H245" s="5">
        <f>recovered!H245-recovered!G245</f>
        <v>0</v>
      </c>
      <c r="I245" s="5">
        <f>recovered!I245-recovered!H245</f>
        <v>0</v>
      </c>
      <c r="J245" s="5">
        <f>recovered!J245-recovered!I245</f>
        <v>0</v>
      </c>
      <c r="K245" s="5">
        <f>recovered!K245-recovered!J245</f>
        <v>0</v>
      </c>
      <c r="L245" s="5">
        <f>recovered!L245-recovered!K245</f>
        <v>0</v>
      </c>
      <c r="M245" s="5">
        <f>recovered!M245-recovered!L245</f>
        <v>0</v>
      </c>
      <c r="N245" s="5">
        <f>recovered!N245-recovered!M245</f>
        <v>0</v>
      </c>
      <c r="O245" s="5">
        <f>recovered!O245-recovered!N245</f>
        <v>0</v>
      </c>
      <c r="P245" s="5">
        <f>recovered!P245-recovered!O245</f>
        <v>0</v>
      </c>
      <c r="Q245" s="5">
        <f>recovered!Q245-recovered!P245</f>
        <v>0</v>
      </c>
      <c r="R245" s="5">
        <f>recovered!R245-recovered!Q245</f>
        <v>0</v>
      </c>
      <c r="S245" s="5">
        <f>recovered!S245-recovered!R245</f>
        <v>0</v>
      </c>
      <c r="T245" s="5">
        <f>recovered!T245-recovered!S245</f>
        <v>0</v>
      </c>
      <c r="U245" s="5">
        <f>recovered!U245-recovered!T245</f>
        <v>0</v>
      </c>
      <c r="V245" s="5">
        <f>recovered!V245-recovered!U245</f>
        <v>0</v>
      </c>
      <c r="W245" s="5">
        <f>recovered!W245-recovered!V245</f>
        <v>0</v>
      </c>
      <c r="X245" s="5">
        <f>recovered!X245-recovered!W245</f>
        <v>0</v>
      </c>
      <c r="Y245" s="5">
        <f>recovered!Y245-recovered!X245</f>
        <v>0</v>
      </c>
      <c r="Z245" s="5">
        <f>recovered!Z245-recovered!Y245</f>
        <v>0</v>
      </c>
      <c r="AA245" s="5">
        <f>recovered!AA245-recovered!Z245</f>
        <v>0</v>
      </c>
      <c r="AB245" s="5">
        <f>recovered!AB245-recovered!AA245</f>
        <v>0</v>
      </c>
      <c r="AC245" s="5">
        <f>recovered!AC245-recovered!AB245</f>
        <v>0</v>
      </c>
      <c r="AD245" s="5">
        <f>recovered!AD245-recovered!AC245</f>
        <v>0</v>
      </c>
      <c r="AE245" s="5">
        <f>recovered!AE245-recovered!AD245</f>
        <v>0</v>
      </c>
      <c r="AF245" s="5">
        <f>recovered!AF245-recovered!AE245</f>
        <v>0</v>
      </c>
      <c r="AG245" s="5">
        <f>recovered!AG245-recovered!AF245</f>
        <v>0</v>
      </c>
      <c r="AH245" s="5">
        <f>recovered!AH245-recovered!AG245</f>
        <v>0</v>
      </c>
      <c r="AI245" s="5">
        <f>recovered!AI245-recovered!AH245</f>
        <v>0</v>
      </c>
      <c r="AJ245" s="5">
        <f>recovered!AJ245-recovered!AI245</f>
        <v>0</v>
      </c>
      <c r="AK245" s="5">
        <f>recovered!AK245-recovered!AJ245</f>
        <v>0</v>
      </c>
      <c r="AL245" s="5">
        <f>recovered!AL245-recovered!AK245</f>
        <v>0</v>
      </c>
      <c r="AM245" s="5">
        <f>recovered!AM245-recovered!AL245</f>
        <v>0</v>
      </c>
      <c r="AN245" s="5">
        <f>recovered!AN245-recovered!AM245</f>
        <v>0</v>
      </c>
      <c r="AO245" s="5">
        <f>recovered!AO245-recovered!AN245</f>
        <v>0</v>
      </c>
      <c r="AP245" s="5">
        <f>recovered!AP245-recovered!AO245</f>
        <v>0</v>
      </c>
      <c r="AQ245" s="5">
        <f>recovered!AQ245-recovered!AP245</f>
        <v>0</v>
      </c>
      <c r="AR245" s="5">
        <f>recovered!AR245-recovered!AQ245</f>
        <v>0</v>
      </c>
      <c r="AS245" s="5">
        <f>recovered!AS245-recovered!AR245</f>
        <v>0</v>
      </c>
      <c r="AT245" s="5">
        <f>recovered!AT245-recovered!AS245</f>
        <v>0</v>
      </c>
      <c r="AU245" s="5">
        <f>recovered!AU245-recovered!AT245</f>
        <v>0</v>
      </c>
      <c r="AV245" s="5">
        <f>recovered!AV245-recovered!AU245</f>
        <v>0</v>
      </c>
      <c r="AW245" s="5">
        <f>recovered!AW245-recovered!AV245</f>
        <v>0</v>
      </c>
      <c r="AX245" s="5">
        <f>recovered!AX245-recovered!AW245</f>
        <v>0</v>
      </c>
      <c r="AY245" s="5">
        <f>recovered!AY245-recovered!AX245</f>
        <v>0</v>
      </c>
      <c r="AZ245" s="5">
        <f>recovered!AZ245-recovered!AY245</f>
        <v>0</v>
      </c>
      <c r="BA245" s="5">
        <f>recovered!BA245-recovered!AZ245</f>
        <v>0</v>
      </c>
      <c r="BB245" s="5">
        <f>recovered!BB245-recovered!BA245</f>
        <v>0</v>
      </c>
      <c r="BC245" s="5">
        <f>recovered!BC245-recovered!BB245</f>
        <v>0</v>
      </c>
      <c r="BD245" s="5">
        <f>recovered!BD245-recovered!BC245</f>
        <v>0</v>
      </c>
      <c r="BE245" s="5">
        <f>recovered!BE245-recovered!BD245</f>
        <v>0</v>
      </c>
      <c r="BF245" s="5">
        <f>recovered!BF245-recovered!BE245</f>
        <v>0</v>
      </c>
      <c r="BG245" s="5">
        <f>recovered!BG245-recovered!BF245</f>
        <v>0</v>
      </c>
      <c r="BH245" s="5">
        <f>recovered!BH245-recovered!BG245</f>
        <v>0</v>
      </c>
      <c r="BI245" s="5">
        <f>recovered!BI245-recovered!BH245</f>
        <v>0</v>
      </c>
      <c r="BJ245" s="5">
        <f>recovered!BJ245-recovered!BI245</f>
        <v>0</v>
      </c>
      <c r="BK245" s="5">
        <f>recovered!BK245-recovered!BJ245</f>
        <v>0</v>
      </c>
      <c r="BL245" s="5">
        <f>recovered!BL245-recovered!BK245</f>
        <v>0</v>
      </c>
      <c r="BM245" s="5">
        <f>recovered!BM245-recovered!BL245</f>
        <v>0</v>
      </c>
      <c r="BN245" s="5">
        <f>recovered!BN245-recovered!BM245</f>
        <v>0</v>
      </c>
      <c r="BO245" s="5">
        <f>recovered!BO245-recovered!BN245</f>
        <v>0</v>
      </c>
      <c r="BP245" s="5">
        <f>recovered!BP245-recovered!BO245</f>
        <v>0</v>
      </c>
      <c r="BQ245" s="5">
        <f>recovered!BQ245-recovered!BP245</f>
        <v>0</v>
      </c>
      <c r="BR245" s="5">
        <f>recovered!BR245-recovered!BQ245</f>
        <v>0</v>
      </c>
      <c r="BS245" s="5">
        <f>recovered!BS245-recovered!BR245</f>
        <v>0</v>
      </c>
      <c r="BT245" s="5">
        <f>recovered!BT245-recovered!BS245</f>
        <v>0</v>
      </c>
      <c r="BU245" s="5">
        <f>recovered!BU245-recovered!BT245</f>
        <v>0</v>
      </c>
      <c r="BV245" s="5">
        <f>recovered!BV245-recovered!BU245</f>
        <v>0</v>
      </c>
      <c r="BW245" s="5">
        <f>recovered!BW245-recovered!BV245</f>
        <v>0</v>
      </c>
      <c r="BX245" s="5">
        <f>recovered!BX245-recovered!BW245</f>
        <v>0</v>
      </c>
      <c r="BY245" s="5">
        <f>recovered!BY245-recovered!BX245</f>
        <v>0</v>
      </c>
    </row>
    <row r="246">
      <c r="B246" s="1" t="str">
        <f>recovered!B246</f>
        <v>United Kingdom</v>
      </c>
      <c r="C246" s="4">
        <f>recovered!C246</f>
        <v>-51.7963</v>
      </c>
      <c r="D246" s="4">
        <f>recovered!D246</f>
        <v>-59.5236</v>
      </c>
      <c r="E246" s="5">
        <f>recovered!E246</f>
        <v>0</v>
      </c>
      <c r="F246" s="1">
        <f>recovered!F246</f>
        <v>0</v>
      </c>
      <c r="G246" s="1">
        <f>recovered!G246</f>
        <v>0</v>
      </c>
      <c r="H246" s="1">
        <f>recovered!H246</f>
        <v>0</v>
      </c>
      <c r="I246" s="1">
        <f>recovered!I246</f>
        <v>0</v>
      </c>
      <c r="J246" s="1">
        <f>recovered!J246</f>
        <v>0</v>
      </c>
      <c r="K246" s="1">
        <f>recovered!K246</f>
        <v>0</v>
      </c>
      <c r="L246" s="1">
        <f>recovered!L246</f>
        <v>0</v>
      </c>
      <c r="M246" s="1">
        <f>recovered!M246</f>
        <v>0</v>
      </c>
      <c r="N246" s="1">
        <f>recovered!N246</f>
        <v>0</v>
      </c>
      <c r="O246" s="1">
        <f>recovered!O246</f>
        <v>0</v>
      </c>
      <c r="P246" s="1">
        <f>recovered!P246</f>
        <v>0</v>
      </c>
      <c r="Q246" s="1">
        <f>recovered!Q246</f>
        <v>0</v>
      </c>
      <c r="R246" s="1">
        <f>recovered!R246</f>
        <v>0</v>
      </c>
      <c r="S246" s="1">
        <f>recovered!S246</f>
        <v>0</v>
      </c>
      <c r="T246" s="1">
        <f>recovered!T246</f>
        <v>0</v>
      </c>
      <c r="U246" s="1">
        <f>recovered!U246</f>
        <v>0</v>
      </c>
      <c r="V246" s="1">
        <f>recovered!V246</f>
        <v>0</v>
      </c>
      <c r="W246" s="1">
        <f>recovered!W246</f>
        <v>0</v>
      </c>
      <c r="X246" s="1">
        <f>recovered!X246</f>
        <v>0</v>
      </c>
      <c r="Y246" s="1">
        <f>recovered!Y246</f>
        <v>0</v>
      </c>
      <c r="Z246" s="1">
        <f>recovered!Z246</f>
        <v>0</v>
      </c>
      <c r="AA246" s="1">
        <f>recovered!AA246</f>
        <v>0</v>
      </c>
      <c r="AB246" s="1">
        <f>recovered!AB246</f>
        <v>0</v>
      </c>
      <c r="AC246" s="1">
        <f>recovered!AC246</f>
        <v>0</v>
      </c>
      <c r="AD246" s="1">
        <f>recovered!AD246</f>
        <v>0</v>
      </c>
      <c r="AE246" s="1">
        <f>recovered!AE246</f>
        <v>0</v>
      </c>
      <c r="AF246" s="1">
        <f>recovered!AF246</f>
        <v>0</v>
      </c>
      <c r="AG246" s="1">
        <f>recovered!AG246</f>
        <v>0</v>
      </c>
      <c r="AH246" s="1">
        <f>recovered!AH246</f>
        <v>0</v>
      </c>
      <c r="AI246" s="1">
        <f>recovered!AI246</f>
        <v>0</v>
      </c>
      <c r="AJ246" s="1">
        <f>recovered!AJ246</f>
        <v>0</v>
      </c>
      <c r="AK246" s="1">
        <f>recovered!AK246</f>
        <v>0</v>
      </c>
      <c r="AL246" s="1">
        <f>recovered!AL246</f>
        <v>0</v>
      </c>
      <c r="AM246" s="1">
        <f>recovered!AM246</f>
        <v>0</v>
      </c>
      <c r="AN246" s="1">
        <f>recovered!AN246</f>
        <v>0</v>
      </c>
      <c r="AO246" s="1">
        <f>recovered!AO246</f>
        <v>0</v>
      </c>
      <c r="AP246" s="1">
        <f>recovered!AP246</f>
        <v>0</v>
      </c>
      <c r="AQ246" s="1">
        <f>recovered!AQ246</f>
        <v>0</v>
      </c>
      <c r="AR246" s="1">
        <f>recovered!AR246</f>
        <v>0</v>
      </c>
      <c r="AS246" s="1">
        <f>recovered!AS246</f>
        <v>0</v>
      </c>
      <c r="AT246" s="1">
        <f>recovered!AT246</f>
        <v>0</v>
      </c>
      <c r="AU246" s="1">
        <f>recovered!AU246</f>
        <v>0</v>
      </c>
      <c r="AV246" s="1">
        <f>recovered!AV246</f>
        <v>0</v>
      </c>
      <c r="AW246" s="1">
        <f>recovered!AW246</f>
        <v>0</v>
      </c>
      <c r="AX246" s="1">
        <f>recovered!AX246</f>
        <v>0</v>
      </c>
      <c r="AY246" s="1">
        <f>recovered!AY246</f>
        <v>0</v>
      </c>
      <c r="AZ246" s="1">
        <f>recovered!AZ246</f>
        <v>0</v>
      </c>
      <c r="BA246" s="1">
        <f>recovered!BA246</f>
        <v>0</v>
      </c>
      <c r="BB246" s="1">
        <f>recovered!BB246</f>
        <v>0</v>
      </c>
      <c r="BC246" s="1">
        <f>recovered!BC246</f>
        <v>0</v>
      </c>
      <c r="BD246" s="1">
        <f>recovered!BD246</f>
        <v>0</v>
      </c>
      <c r="BE246" s="1">
        <f>recovered!BE246</f>
        <v>0</v>
      </c>
      <c r="BF246" s="1">
        <f>recovered!BF246</f>
        <v>0</v>
      </c>
      <c r="BG246" s="1">
        <f>recovered!BG246</f>
        <v>0</v>
      </c>
      <c r="BH246" s="1">
        <f>recovered!BH246</f>
        <v>0</v>
      </c>
      <c r="BI246" s="1">
        <f>recovered!BI246</f>
        <v>0</v>
      </c>
      <c r="BJ246" s="1">
        <f>recovered!BJ246</f>
        <v>0</v>
      </c>
      <c r="BK246" s="1">
        <f>recovered!BK246</f>
        <v>0</v>
      </c>
      <c r="BL246" s="1">
        <f>recovered!BL246</f>
        <v>0</v>
      </c>
      <c r="BM246" s="1">
        <f>recovered!BM246</f>
        <v>0</v>
      </c>
      <c r="BN246" s="1">
        <f>recovered!BN246</f>
        <v>0</v>
      </c>
      <c r="BO246" s="1">
        <f>recovered!BO246</f>
        <v>0</v>
      </c>
      <c r="BP246" s="1">
        <f>recovered!BP246</f>
        <v>0</v>
      </c>
      <c r="BQ246" s="1">
        <f>recovered!BQ246</f>
        <v>0</v>
      </c>
      <c r="BR246" s="1">
        <f>recovered!BR246</f>
        <v>0</v>
      </c>
      <c r="BS246" s="1">
        <f>recovered!BS246</f>
        <v>0</v>
      </c>
      <c r="BT246" s="1">
        <f>recovered!BT246</f>
        <v>0</v>
      </c>
      <c r="BU246" s="1">
        <f>recovered!BU246</f>
        <v>0</v>
      </c>
      <c r="BV246" s="1">
        <f>recovered!BV246</f>
        <v>0</v>
      </c>
      <c r="BW246" s="1">
        <f>recovered!BW246</f>
        <v>0</v>
      </c>
      <c r="BX246" s="1">
        <f>recovered!BX246</f>
        <v>0</v>
      </c>
      <c r="BY246" s="1">
        <f>recovered!BY246</f>
        <v>0</v>
      </c>
    </row>
    <row r="247">
      <c r="B247" s="1" t="str">
        <f>recovered!B247</f>
        <v>France</v>
      </c>
      <c r="C247" s="4">
        <f>recovered!C247</f>
        <v>46.8852</v>
      </c>
      <c r="D247" s="4">
        <f>recovered!D247</f>
        <v>-56.3159</v>
      </c>
      <c r="E247" s="5">
        <f>recovered!E247</f>
        <v>0</v>
      </c>
      <c r="F247" s="1">
        <f>recovered!F247</f>
        <v>0</v>
      </c>
      <c r="G247" s="1">
        <f>recovered!G247</f>
        <v>0</v>
      </c>
      <c r="H247" s="1">
        <f>recovered!H247</f>
        <v>0</v>
      </c>
      <c r="I247" s="1">
        <f>recovered!I247</f>
        <v>0</v>
      </c>
      <c r="J247" s="1">
        <f>recovered!J247</f>
        <v>0</v>
      </c>
      <c r="K247" s="1">
        <f>recovered!K247</f>
        <v>0</v>
      </c>
      <c r="L247" s="1">
        <f>recovered!L247</f>
        <v>0</v>
      </c>
      <c r="M247" s="1">
        <f>recovered!M247</f>
        <v>0</v>
      </c>
      <c r="N247" s="1">
        <f>recovered!N247</f>
        <v>0</v>
      </c>
      <c r="O247" s="1">
        <f>recovered!O247</f>
        <v>0</v>
      </c>
      <c r="P247" s="1">
        <f>recovered!P247</f>
        <v>0</v>
      </c>
      <c r="Q247" s="1">
        <f>recovered!Q247</f>
        <v>0</v>
      </c>
      <c r="R247" s="1">
        <f>recovered!R247</f>
        <v>0</v>
      </c>
      <c r="S247" s="1">
        <f>recovered!S247</f>
        <v>0</v>
      </c>
      <c r="T247" s="1">
        <f>recovered!T247</f>
        <v>0</v>
      </c>
      <c r="U247" s="1">
        <f>recovered!U247</f>
        <v>0</v>
      </c>
      <c r="V247" s="1">
        <f>recovered!V247</f>
        <v>0</v>
      </c>
      <c r="W247" s="1">
        <f>recovered!W247</f>
        <v>0</v>
      </c>
      <c r="X247" s="1">
        <f>recovered!X247</f>
        <v>0</v>
      </c>
      <c r="Y247" s="1">
        <f>recovered!Y247</f>
        <v>0</v>
      </c>
      <c r="Z247" s="1">
        <f>recovered!Z247</f>
        <v>0</v>
      </c>
      <c r="AA247" s="1">
        <f>recovered!AA247</f>
        <v>0</v>
      </c>
      <c r="AB247" s="1">
        <f>recovered!AB247</f>
        <v>0</v>
      </c>
      <c r="AC247" s="1">
        <f>recovered!AC247</f>
        <v>0</v>
      </c>
      <c r="AD247" s="1">
        <f>recovered!AD247</f>
        <v>0</v>
      </c>
      <c r="AE247" s="1">
        <f>recovered!AE247</f>
        <v>0</v>
      </c>
      <c r="AF247" s="1">
        <f>recovered!AF247</f>
        <v>0</v>
      </c>
      <c r="AG247" s="1">
        <f>recovered!AG247</f>
        <v>0</v>
      </c>
      <c r="AH247" s="1">
        <f>recovered!AH247</f>
        <v>0</v>
      </c>
      <c r="AI247" s="1">
        <f>recovered!AI247</f>
        <v>0</v>
      </c>
      <c r="AJ247" s="1">
        <f>recovered!AJ247</f>
        <v>0</v>
      </c>
      <c r="AK247" s="1">
        <f>recovered!AK247</f>
        <v>0</v>
      </c>
      <c r="AL247" s="1">
        <f>recovered!AL247</f>
        <v>0</v>
      </c>
      <c r="AM247" s="1">
        <f>recovered!AM247</f>
        <v>0</v>
      </c>
      <c r="AN247" s="1">
        <f>recovered!AN247</f>
        <v>0</v>
      </c>
      <c r="AO247" s="1">
        <f>recovered!AO247</f>
        <v>0</v>
      </c>
      <c r="AP247" s="1">
        <f>recovered!AP247</f>
        <v>0</v>
      </c>
      <c r="AQ247" s="1">
        <f>recovered!AQ247</f>
        <v>0</v>
      </c>
      <c r="AR247" s="1">
        <f>recovered!AR247</f>
        <v>0</v>
      </c>
      <c r="AS247" s="1">
        <f>recovered!AS247</f>
        <v>0</v>
      </c>
      <c r="AT247" s="1">
        <f>recovered!AT247</f>
        <v>0</v>
      </c>
      <c r="AU247" s="1">
        <f>recovered!AU247</f>
        <v>0</v>
      </c>
      <c r="AV247" s="1">
        <f>recovered!AV247</f>
        <v>0</v>
      </c>
      <c r="AW247" s="1">
        <f>recovered!AW247</f>
        <v>0</v>
      </c>
      <c r="AX247" s="1">
        <f>recovered!AX247</f>
        <v>0</v>
      </c>
      <c r="AY247" s="1">
        <f>recovered!AY247</f>
        <v>0</v>
      </c>
      <c r="AZ247" s="1">
        <f>recovered!AZ247</f>
        <v>0</v>
      </c>
      <c r="BA247" s="1">
        <f>recovered!BA247</f>
        <v>0</v>
      </c>
      <c r="BB247" s="1">
        <f>recovered!BB247</f>
        <v>0</v>
      </c>
      <c r="BC247" s="1">
        <f>recovered!BC247</f>
        <v>0</v>
      </c>
      <c r="BD247" s="1">
        <f>recovered!BD247</f>
        <v>0</v>
      </c>
      <c r="BE247" s="1">
        <f>recovered!BE247</f>
        <v>0</v>
      </c>
      <c r="BF247" s="1">
        <f>recovered!BF247</f>
        <v>0</v>
      </c>
      <c r="BG247" s="1">
        <f>recovered!BG247</f>
        <v>0</v>
      </c>
      <c r="BH247" s="1">
        <f>recovered!BH247</f>
        <v>0</v>
      </c>
      <c r="BI247" s="1">
        <f>recovered!BI247</f>
        <v>0</v>
      </c>
      <c r="BJ247" s="1">
        <f>recovered!BJ247</f>
        <v>0</v>
      </c>
      <c r="BK247" s="1">
        <f>recovered!BK247</f>
        <v>0</v>
      </c>
      <c r="BL247" s="1">
        <f>recovered!BL247</f>
        <v>0</v>
      </c>
      <c r="BM247" s="1">
        <f>recovered!BM247</f>
        <v>0</v>
      </c>
      <c r="BN247" s="1">
        <f>recovered!BN247</f>
        <v>0</v>
      </c>
      <c r="BO247" s="1">
        <f>recovered!BO247</f>
        <v>0</v>
      </c>
      <c r="BP247" s="1">
        <f>recovered!BP247</f>
        <v>0</v>
      </c>
      <c r="BQ247" s="1">
        <f>recovered!BQ247</f>
        <v>0</v>
      </c>
      <c r="BR247" s="1">
        <f>recovered!BR247</f>
        <v>0</v>
      </c>
      <c r="BS247" s="1">
        <f>recovered!BS247</f>
        <v>0</v>
      </c>
      <c r="BT247" s="1">
        <f>recovered!BT247</f>
        <v>0</v>
      </c>
      <c r="BU247" s="1">
        <f>recovered!BU247</f>
        <v>0</v>
      </c>
      <c r="BV247" s="1">
        <f>recovered!BV247</f>
        <v>0</v>
      </c>
      <c r="BW247" s="1">
        <f>recovered!BW247</f>
        <v>0</v>
      </c>
      <c r="BX247" s="1">
        <f>recovered!BX247</f>
        <v>0</v>
      </c>
      <c r="BY247" s="1">
        <f>recovered!BY247</f>
        <v>0</v>
      </c>
    </row>
    <row r="248">
      <c r="B248" s="1" t="str">
        <f>recovered!B248</f>
        <v>South Sudan</v>
      </c>
      <c r="C248" s="4">
        <f>recovered!C248</f>
        <v>6.877</v>
      </c>
      <c r="D248" s="4">
        <f>recovered!D248</f>
        <v>31.307</v>
      </c>
      <c r="E248" s="5">
        <f>recovered!E248</f>
        <v>0</v>
      </c>
      <c r="F248" s="1">
        <f>recovered!F248</f>
        <v>0</v>
      </c>
      <c r="G248" s="1">
        <f>recovered!G248</f>
        <v>0</v>
      </c>
      <c r="H248" s="1">
        <f>recovered!H248</f>
        <v>0</v>
      </c>
      <c r="I248" s="1">
        <f>recovered!I248</f>
        <v>0</v>
      </c>
      <c r="J248" s="1">
        <f>recovered!J248</f>
        <v>0</v>
      </c>
      <c r="K248" s="1">
        <f>recovered!K248</f>
        <v>0</v>
      </c>
      <c r="L248" s="1">
        <f>recovered!L248</f>
        <v>0</v>
      </c>
      <c r="M248" s="1">
        <f>recovered!M248</f>
        <v>0</v>
      </c>
      <c r="N248" s="1">
        <f>recovered!N248</f>
        <v>0</v>
      </c>
      <c r="O248" s="1">
        <f>recovered!O248</f>
        <v>0</v>
      </c>
      <c r="P248" s="1">
        <f>recovered!P248</f>
        <v>0</v>
      </c>
      <c r="Q248" s="1">
        <f>recovered!Q248</f>
        <v>0</v>
      </c>
      <c r="R248" s="1">
        <f>recovered!R248</f>
        <v>0</v>
      </c>
      <c r="S248" s="1">
        <f>recovered!S248</f>
        <v>0</v>
      </c>
      <c r="T248" s="1">
        <f>recovered!T248</f>
        <v>0</v>
      </c>
      <c r="U248" s="1">
        <f>recovered!U248</f>
        <v>0</v>
      </c>
      <c r="V248" s="1">
        <f>recovered!V248</f>
        <v>0</v>
      </c>
      <c r="W248" s="1">
        <f>recovered!W248</f>
        <v>0</v>
      </c>
      <c r="X248" s="1">
        <f>recovered!X248</f>
        <v>0</v>
      </c>
      <c r="Y248" s="1">
        <f>recovered!Y248</f>
        <v>0</v>
      </c>
      <c r="Z248" s="1">
        <f>recovered!Z248</f>
        <v>0</v>
      </c>
      <c r="AA248" s="1">
        <f>recovered!AA248</f>
        <v>0</v>
      </c>
      <c r="AB248" s="1">
        <f>recovered!AB248</f>
        <v>0</v>
      </c>
      <c r="AC248" s="1">
        <f>recovered!AC248</f>
        <v>0</v>
      </c>
      <c r="AD248" s="1">
        <f>recovered!AD248</f>
        <v>0</v>
      </c>
      <c r="AE248" s="1">
        <f>recovered!AE248</f>
        <v>0</v>
      </c>
      <c r="AF248" s="1">
        <f>recovered!AF248</f>
        <v>0</v>
      </c>
      <c r="AG248" s="1">
        <f>recovered!AG248</f>
        <v>0</v>
      </c>
      <c r="AH248" s="1">
        <f>recovered!AH248</f>
        <v>0</v>
      </c>
      <c r="AI248" s="1">
        <f>recovered!AI248</f>
        <v>0</v>
      </c>
      <c r="AJ248" s="1">
        <f>recovered!AJ248</f>
        <v>0</v>
      </c>
      <c r="AK248" s="1">
        <f>recovered!AK248</f>
        <v>0</v>
      </c>
      <c r="AL248" s="1">
        <f>recovered!AL248</f>
        <v>0</v>
      </c>
      <c r="AM248" s="1">
        <f>recovered!AM248</f>
        <v>0</v>
      </c>
      <c r="AN248" s="1">
        <f>recovered!AN248</f>
        <v>0</v>
      </c>
      <c r="AO248" s="1">
        <f>recovered!AO248</f>
        <v>0</v>
      </c>
      <c r="AP248" s="1">
        <f>recovered!AP248</f>
        <v>0</v>
      </c>
      <c r="AQ248" s="1">
        <f>recovered!AQ248</f>
        <v>0</v>
      </c>
      <c r="AR248" s="1">
        <f>recovered!AR248</f>
        <v>0</v>
      </c>
      <c r="AS248" s="1">
        <f>recovered!AS248</f>
        <v>0</v>
      </c>
      <c r="AT248" s="1">
        <f>recovered!AT248</f>
        <v>0</v>
      </c>
      <c r="AU248" s="1">
        <f>recovered!AU248</f>
        <v>0</v>
      </c>
      <c r="AV248" s="1">
        <f>recovered!AV248</f>
        <v>0</v>
      </c>
      <c r="AW248" s="1">
        <f>recovered!AW248</f>
        <v>0</v>
      </c>
      <c r="AX248" s="1">
        <f>recovered!AX248</f>
        <v>0</v>
      </c>
      <c r="AY248" s="1">
        <f>recovered!AY248</f>
        <v>0</v>
      </c>
      <c r="AZ248" s="1">
        <f>recovered!AZ248</f>
        <v>0</v>
      </c>
      <c r="BA248" s="1">
        <f>recovered!BA248</f>
        <v>0</v>
      </c>
      <c r="BB248" s="1">
        <f>recovered!BB248</f>
        <v>0</v>
      </c>
      <c r="BC248" s="1">
        <f>recovered!BC248</f>
        <v>0</v>
      </c>
      <c r="BD248" s="1">
        <f>recovered!BD248</f>
        <v>0</v>
      </c>
      <c r="BE248" s="1">
        <f>recovered!BE248</f>
        <v>0</v>
      </c>
      <c r="BF248" s="1">
        <f>recovered!BF248</f>
        <v>0</v>
      </c>
      <c r="BG248" s="1">
        <f>recovered!BG248</f>
        <v>0</v>
      </c>
      <c r="BH248" s="1">
        <f>recovered!BH248</f>
        <v>0</v>
      </c>
      <c r="BI248" s="1">
        <f>recovered!BI248</f>
        <v>0</v>
      </c>
      <c r="BJ248" s="1">
        <f>recovered!BJ248</f>
        <v>0</v>
      </c>
      <c r="BK248" s="1">
        <f>recovered!BK248</f>
        <v>0</v>
      </c>
      <c r="BL248" s="1">
        <f>recovered!BL248</f>
        <v>0</v>
      </c>
      <c r="BM248" s="1">
        <f>recovered!BM248</f>
        <v>0</v>
      </c>
      <c r="BN248" s="1">
        <f>recovered!BN248</f>
        <v>0</v>
      </c>
      <c r="BO248" s="1">
        <f>recovered!BO248</f>
        <v>0</v>
      </c>
      <c r="BP248" s="1">
        <f>recovered!BP248</f>
        <v>0</v>
      </c>
      <c r="BQ248" s="1">
        <f>recovered!BQ248</f>
        <v>0</v>
      </c>
      <c r="BR248" s="1">
        <f>recovered!BR248</f>
        <v>0</v>
      </c>
      <c r="BS248" s="1">
        <f>recovered!BS248</f>
        <v>0</v>
      </c>
      <c r="BT248" s="1">
        <f>recovered!BT248</f>
        <v>0</v>
      </c>
      <c r="BU248" s="1">
        <f>recovered!BU248</f>
        <v>0</v>
      </c>
      <c r="BV248" s="1">
        <f>recovered!BV248</f>
        <v>0</v>
      </c>
      <c r="BW248" s="1">
        <f>recovered!BW248</f>
        <v>0</v>
      </c>
      <c r="BX248" s="1">
        <f>recovered!BX248</f>
        <v>0</v>
      </c>
      <c r="BY248" s="1">
        <f>recovered!BY248</f>
        <v>0</v>
      </c>
    </row>
    <row r="249">
      <c r="B249" s="1" t="str">
        <f>recovered!B249</f>
        <v>Western Sahara</v>
      </c>
      <c r="C249" s="4">
        <f>recovered!C249</f>
        <v>24.2155</v>
      </c>
      <c r="D249" s="4">
        <f>recovered!D249</f>
        <v>-12.8858</v>
      </c>
      <c r="E249" s="5">
        <f>recovered!E249</f>
        <v>0</v>
      </c>
      <c r="F249" s="1">
        <f>recovered!F249</f>
        <v>0</v>
      </c>
      <c r="G249" s="1">
        <f>recovered!G249</f>
        <v>0</v>
      </c>
      <c r="H249" s="1">
        <f>recovered!H249</f>
        <v>0</v>
      </c>
      <c r="I249" s="1">
        <f>recovered!I249</f>
        <v>0</v>
      </c>
      <c r="J249" s="1">
        <f>recovered!J249</f>
        <v>0</v>
      </c>
      <c r="K249" s="1">
        <f>recovered!K249</f>
        <v>0</v>
      </c>
      <c r="L249" s="1">
        <f>recovered!L249</f>
        <v>0</v>
      </c>
      <c r="M249" s="1">
        <f>recovered!M249</f>
        <v>0</v>
      </c>
      <c r="N249" s="1">
        <f>recovered!N249</f>
        <v>0</v>
      </c>
      <c r="O249" s="1">
        <f>recovered!O249</f>
        <v>0</v>
      </c>
      <c r="P249" s="1">
        <f>recovered!P249</f>
        <v>0</v>
      </c>
      <c r="Q249" s="1">
        <f>recovered!Q249</f>
        <v>0</v>
      </c>
      <c r="R249" s="1">
        <f>recovered!R249</f>
        <v>0</v>
      </c>
      <c r="S249" s="1">
        <f>recovered!S249</f>
        <v>0</v>
      </c>
      <c r="T249" s="1">
        <f>recovered!T249</f>
        <v>0</v>
      </c>
      <c r="U249" s="1">
        <f>recovered!U249</f>
        <v>0</v>
      </c>
      <c r="V249" s="1">
        <f>recovered!V249</f>
        <v>0</v>
      </c>
      <c r="W249" s="1">
        <f>recovered!W249</f>
        <v>0</v>
      </c>
      <c r="X249" s="1">
        <f>recovered!X249</f>
        <v>0</v>
      </c>
      <c r="Y249" s="1">
        <f>recovered!Y249</f>
        <v>0</v>
      </c>
      <c r="Z249" s="1">
        <f>recovered!Z249</f>
        <v>0</v>
      </c>
      <c r="AA249" s="1">
        <f>recovered!AA249</f>
        <v>0</v>
      </c>
      <c r="AB249" s="1">
        <f>recovered!AB249</f>
        <v>0</v>
      </c>
      <c r="AC249" s="1">
        <f>recovered!AC249</f>
        <v>0</v>
      </c>
      <c r="AD249" s="1">
        <f>recovered!AD249</f>
        <v>0</v>
      </c>
      <c r="AE249" s="1">
        <f>recovered!AE249</f>
        <v>0</v>
      </c>
      <c r="AF249" s="1">
        <f>recovered!AF249</f>
        <v>0</v>
      </c>
      <c r="AG249" s="1">
        <f>recovered!AG249</f>
        <v>0</v>
      </c>
      <c r="AH249" s="1">
        <f>recovered!AH249</f>
        <v>0</v>
      </c>
      <c r="AI249" s="1">
        <f>recovered!AI249</f>
        <v>0</v>
      </c>
      <c r="AJ249" s="1">
        <f>recovered!AJ249</f>
        <v>0</v>
      </c>
      <c r="AK249" s="1">
        <f>recovered!AK249</f>
        <v>0</v>
      </c>
      <c r="AL249" s="1">
        <f>recovered!AL249</f>
        <v>0</v>
      </c>
      <c r="AM249" s="1">
        <f>recovered!AM249</f>
        <v>0</v>
      </c>
      <c r="AN249" s="1">
        <f>recovered!AN249</f>
        <v>0</v>
      </c>
      <c r="AO249" s="1">
        <f>recovered!AO249</f>
        <v>0</v>
      </c>
      <c r="AP249" s="1">
        <f>recovered!AP249</f>
        <v>0</v>
      </c>
      <c r="AQ249" s="1">
        <f>recovered!AQ249</f>
        <v>0</v>
      </c>
      <c r="AR249" s="1">
        <f>recovered!AR249</f>
        <v>0</v>
      </c>
      <c r="AS249" s="1">
        <f>recovered!AS249</f>
        <v>0</v>
      </c>
      <c r="AT249" s="1">
        <f>recovered!AT249</f>
        <v>0</v>
      </c>
      <c r="AU249" s="1">
        <f>recovered!AU249</f>
        <v>0</v>
      </c>
      <c r="AV249" s="1">
        <f>recovered!AV249</f>
        <v>0</v>
      </c>
      <c r="AW249" s="1">
        <f>recovered!AW249</f>
        <v>0</v>
      </c>
      <c r="AX249" s="1">
        <f>recovered!AX249</f>
        <v>0</v>
      </c>
      <c r="AY249" s="1">
        <f>recovered!AY249</f>
        <v>0</v>
      </c>
      <c r="AZ249" s="1">
        <f>recovered!AZ249</f>
        <v>0</v>
      </c>
      <c r="BA249" s="1">
        <f>recovered!BA249</f>
        <v>0</v>
      </c>
      <c r="BB249" s="1">
        <f>recovered!BB249</f>
        <v>0</v>
      </c>
      <c r="BC249" s="1">
        <f>recovered!BC249</f>
        <v>0</v>
      </c>
      <c r="BD249" s="1">
        <f>recovered!BD249</f>
        <v>0</v>
      </c>
      <c r="BE249" s="1">
        <f>recovered!BE249</f>
        <v>0</v>
      </c>
      <c r="BF249" s="1">
        <f>recovered!BF249</f>
        <v>0</v>
      </c>
      <c r="BG249" s="1">
        <f>recovered!BG249</f>
        <v>0</v>
      </c>
      <c r="BH249" s="1">
        <f>recovered!BH249</f>
        <v>0</v>
      </c>
      <c r="BI249" s="1">
        <f>recovered!BI249</f>
        <v>0</v>
      </c>
      <c r="BJ249" s="1">
        <f>recovered!BJ249</f>
        <v>0</v>
      </c>
      <c r="BK249" s="1">
        <f>recovered!BK249</f>
        <v>0</v>
      </c>
      <c r="BL249" s="1">
        <f>recovered!BL249</f>
        <v>0</v>
      </c>
      <c r="BM249" s="1">
        <f>recovered!BM249</f>
        <v>0</v>
      </c>
      <c r="BN249" s="1">
        <f>recovered!BN249</f>
        <v>0</v>
      </c>
      <c r="BO249" s="1">
        <f>recovered!BO249</f>
        <v>0</v>
      </c>
      <c r="BP249" s="1">
        <f>recovered!BP249</f>
        <v>0</v>
      </c>
      <c r="BQ249" s="1">
        <f>recovered!BQ249</f>
        <v>0</v>
      </c>
      <c r="BR249" s="1">
        <f>recovered!BR249</f>
        <v>0</v>
      </c>
      <c r="BS249" s="1">
        <f>recovered!BS249</f>
        <v>0</v>
      </c>
      <c r="BT249" s="1">
        <f>recovered!BT249</f>
        <v>0</v>
      </c>
      <c r="BU249" s="1">
        <f>recovered!BU249</f>
        <v>0</v>
      </c>
      <c r="BV249" s="1">
        <f>recovered!BV249</f>
        <v>0</v>
      </c>
      <c r="BW249" s="1">
        <f>recovered!BW249</f>
        <v>0</v>
      </c>
      <c r="BX249" s="1">
        <f>recovered!BX249</f>
        <v>0</v>
      </c>
      <c r="BY249" s="1">
        <f>recovered!BY249</f>
        <v>0</v>
      </c>
    </row>
    <row r="250">
      <c r="B250" s="1" t="str">
        <f>recovered!B250</f>
        <v>Sao Tome and Principe</v>
      </c>
      <c r="C250" s="4">
        <f>recovered!C250</f>
        <v>0.18636</v>
      </c>
      <c r="D250" s="4">
        <f>recovered!D250</f>
        <v>6.613081</v>
      </c>
      <c r="E250" s="5">
        <f>recovered!E250</f>
        <v>0</v>
      </c>
      <c r="F250" s="1">
        <f>recovered!F250</f>
        <v>0</v>
      </c>
      <c r="G250" s="1">
        <f>recovered!G250</f>
        <v>0</v>
      </c>
      <c r="H250" s="1">
        <f>recovered!H250</f>
        <v>0</v>
      </c>
      <c r="I250" s="1">
        <f>recovered!I250</f>
        <v>0</v>
      </c>
      <c r="J250" s="1">
        <f>recovered!J250</f>
        <v>0</v>
      </c>
      <c r="K250" s="1">
        <f>recovered!K250</f>
        <v>0</v>
      </c>
      <c r="L250" s="1">
        <f>recovered!L250</f>
        <v>0</v>
      </c>
      <c r="M250" s="1">
        <f>recovered!M250</f>
        <v>0</v>
      </c>
      <c r="N250" s="1">
        <f>recovered!N250</f>
        <v>0</v>
      </c>
      <c r="O250" s="1">
        <f>recovered!O250</f>
        <v>0</v>
      </c>
      <c r="P250" s="1">
        <f>recovered!P250</f>
        <v>0</v>
      </c>
      <c r="Q250" s="1">
        <f>recovered!Q250</f>
        <v>0</v>
      </c>
      <c r="R250" s="1">
        <f>recovered!R250</f>
        <v>0</v>
      </c>
      <c r="S250" s="1">
        <f>recovered!S250</f>
        <v>0</v>
      </c>
      <c r="T250" s="1">
        <f>recovered!T250</f>
        <v>0</v>
      </c>
      <c r="U250" s="1">
        <f>recovered!U250</f>
        <v>0</v>
      </c>
      <c r="V250" s="1">
        <f>recovered!V250</f>
        <v>0</v>
      </c>
      <c r="W250" s="1">
        <f>recovered!W250</f>
        <v>0</v>
      </c>
      <c r="X250" s="1">
        <f>recovered!X250</f>
        <v>0</v>
      </c>
      <c r="Y250" s="1">
        <f>recovered!Y250</f>
        <v>0</v>
      </c>
      <c r="Z250" s="1">
        <f>recovered!Z250</f>
        <v>0</v>
      </c>
      <c r="AA250" s="1">
        <f>recovered!AA250</f>
        <v>0</v>
      </c>
      <c r="AB250" s="1">
        <f>recovered!AB250</f>
        <v>0</v>
      </c>
      <c r="AC250" s="1">
        <f>recovered!AC250</f>
        <v>0</v>
      </c>
      <c r="AD250" s="1">
        <f>recovered!AD250</f>
        <v>0</v>
      </c>
      <c r="AE250" s="1">
        <f>recovered!AE250</f>
        <v>0</v>
      </c>
      <c r="AF250" s="1">
        <f>recovered!AF250</f>
        <v>0</v>
      </c>
      <c r="AG250" s="1">
        <f>recovered!AG250</f>
        <v>0</v>
      </c>
      <c r="AH250" s="1">
        <f>recovered!AH250</f>
        <v>0</v>
      </c>
      <c r="AI250" s="1">
        <f>recovered!AI250</f>
        <v>0</v>
      </c>
      <c r="AJ250" s="1">
        <f>recovered!AJ250</f>
        <v>0</v>
      </c>
      <c r="AK250" s="1">
        <f>recovered!AK250</f>
        <v>0</v>
      </c>
      <c r="AL250" s="1">
        <f>recovered!AL250</f>
        <v>0</v>
      </c>
      <c r="AM250" s="1">
        <f>recovered!AM250</f>
        <v>0</v>
      </c>
      <c r="AN250" s="1">
        <f>recovered!AN250</f>
        <v>0</v>
      </c>
      <c r="AO250" s="1">
        <f>recovered!AO250</f>
        <v>0</v>
      </c>
      <c r="AP250" s="1">
        <f>recovered!AP250</f>
        <v>0</v>
      </c>
      <c r="AQ250" s="1">
        <f>recovered!AQ250</f>
        <v>0</v>
      </c>
      <c r="AR250" s="1">
        <f>recovered!AR250</f>
        <v>0</v>
      </c>
      <c r="AS250" s="1">
        <f>recovered!AS250</f>
        <v>0</v>
      </c>
      <c r="AT250" s="1">
        <f>recovered!AT250</f>
        <v>0</v>
      </c>
      <c r="AU250" s="1">
        <f>recovered!AU250</f>
        <v>0</v>
      </c>
      <c r="AV250" s="1">
        <f>recovered!AV250</f>
        <v>0</v>
      </c>
      <c r="AW250" s="1">
        <f>recovered!AW250</f>
        <v>0</v>
      </c>
      <c r="AX250" s="1">
        <f>recovered!AX250</f>
        <v>0</v>
      </c>
      <c r="AY250" s="1">
        <f>recovered!AY250</f>
        <v>0</v>
      </c>
      <c r="AZ250" s="1">
        <f>recovered!AZ250</f>
        <v>0</v>
      </c>
      <c r="BA250" s="1">
        <f>recovered!BA250</f>
        <v>0</v>
      </c>
      <c r="BB250" s="1">
        <f>recovered!BB250</f>
        <v>0</v>
      </c>
      <c r="BC250" s="1">
        <f>recovered!BC250</f>
        <v>0</v>
      </c>
      <c r="BD250" s="1">
        <f>recovered!BD250</f>
        <v>0</v>
      </c>
      <c r="BE250" s="1">
        <f>recovered!BE250</f>
        <v>0</v>
      </c>
      <c r="BF250" s="1">
        <f>recovered!BF250</f>
        <v>0</v>
      </c>
      <c r="BG250" s="1">
        <f>recovered!BG250</f>
        <v>0</v>
      </c>
      <c r="BH250" s="1">
        <f>recovered!BH250</f>
        <v>0</v>
      </c>
      <c r="BI250" s="1">
        <f>recovered!BI250</f>
        <v>0</v>
      </c>
      <c r="BJ250" s="1">
        <f>recovered!BJ250</f>
        <v>0</v>
      </c>
      <c r="BK250" s="1">
        <f>recovered!BK250</f>
        <v>0</v>
      </c>
      <c r="BL250" s="1">
        <f>recovered!BL250</f>
        <v>0</v>
      </c>
      <c r="BM250" s="1">
        <f>recovered!BM250</f>
        <v>0</v>
      </c>
      <c r="BN250" s="1">
        <f>recovered!BN250</f>
        <v>0</v>
      </c>
      <c r="BO250" s="1">
        <f>recovered!BO250</f>
        <v>0</v>
      </c>
      <c r="BP250" s="1">
        <f>recovered!BP250</f>
        <v>0</v>
      </c>
      <c r="BQ250" s="1">
        <f>recovered!BQ250</f>
        <v>0</v>
      </c>
      <c r="BR250" s="1">
        <f>recovered!BR250</f>
        <v>0</v>
      </c>
      <c r="BS250" s="1">
        <f>recovered!BS250</f>
        <v>0</v>
      </c>
      <c r="BT250" s="1">
        <f>recovered!BT250</f>
        <v>0</v>
      </c>
      <c r="BU250" s="1">
        <f>recovered!BU250</f>
        <v>0</v>
      </c>
      <c r="BV250" s="1">
        <f>recovered!BV250</f>
        <v>0</v>
      </c>
      <c r="BW250" s="1">
        <f>recovered!BW250</f>
        <v>0</v>
      </c>
      <c r="BX250" s="1">
        <f>recovered!BX250</f>
        <v>0</v>
      </c>
      <c r="BY250" s="1">
        <f>recovered!BY250</f>
        <v>0</v>
      </c>
    </row>
    <row r="251">
      <c r="B251" s="1" t="str">
        <f>recovered!B251</f>
        <v/>
      </c>
      <c r="C251" s="4" t="str">
        <f>recovered!C251</f>
        <v/>
      </c>
      <c r="D251" s="4" t="str">
        <f>recovered!D251</f>
        <v/>
      </c>
      <c r="E251" s="5" t="str">
        <f>recovered!E251</f>
        <v/>
      </c>
      <c r="F251" s="1" t="str">
        <f>recovered!F251</f>
        <v/>
      </c>
      <c r="G251" s="1" t="str">
        <f>recovered!G251</f>
        <v/>
      </c>
      <c r="H251" s="1" t="str">
        <f>recovered!H251</f>
        <v/>
      </c>
      <c r="I251" s="1" t="str">
        <f>recovered!I251</f>
        <v/>
      </c>
      <c r="J251" s="1" t="str">
        <f>recovered!J251</f>
        <v/>
      </c>
      <c r="K251" s="1" t="str">
        <f>recovered!K251</f>
        <v/>
      </c>
      <c r="L251" s="1" t="str">
        <f>recovered!L251</f>
        <v/>
      </c>
      <c r="M251" s="1" t="str">
        <f>recovered!M251</f>
        <v/>
      </c>
      <c r="N251" s="1" t="str">
        <f>recovered!N251</f>
        <v/>
      </c>
      <c r="O251" s="1" t="str">
        <f>recovered!O251</f>
        <v/>
      </c>
      <c r="P251" s="1" t="str">
        <f>recovered!P251</f>
        <v/>
      </c>
      <c r="Q251" s="1" t="str">
        <f>recovered!Q251</f>
        <v/>
      </c>
      <c r="R251" s="1" t="str">
        <f>recovered!R251</f>
        <v/>
      </c>
      <c r="S251" s="1" t="str">
        <f>recovered!S251</f>
        <v/>
      </c>
      <c r="T251" s="1" t="str">
        <f>recovered!T251</f>
        <v/>
      </c>
      <c r="U251" s="1" t="str">
        <f>recovered!U251</f>
        <v/>
      </c>
      <c r="V251" s="1" t="str">
        <f>recovered!V251</f>
        <v/>
      </c>
      <c r="W251" s="1" t="str">
        <f>recovered!W251</f>
        <v/>
      </c>
      <c r="X251" s="1" t="str">
        <f>recovered!X251</f>
        <v/>
      </c>
      <c r="Y251" s="1" t="str">
        <f>recovered!Y251</f>
        <v/>
      </c>
      <c r="Z251" s="1" t="str">
        <f>recovered!Z251</f>
        <v/>
      </c>
      <c r="AA251" s="1" t="str">
        <f>recovered!AA251</f>
        <v/>
      </c>
      <c r="AB251" s="1" t="str">
        <f>recovered!AB251</f>
        <v/>
      </c>
      <c r="AC251" s="1" t="str">
        <f>recovered!AC251</f>
        <v/>
      </c>
      <c r="AD251" s="1" t="str">
        <f>recovered!AD251</f>
        <v/>
      </c>
      <c r="AE251" s="1" t="str">
        <f>recovered!AE251</f>
        <v/>
      </c>
      <c r="AF251" s="1" t="str">
        <f>recovered!AF251</f>
        <v/>
      </c>
      <c r="AG251" s="1" t="str">
        <f>recovered!AG251</f>
        <v/>
      </c>
      <c r="AH251" s="1" t="str">
        <f>recovered!AH251</f>
        <v/>
      </c>
      <c r="AI251" s="1" t="str">
        <f>recovered!AI251</f>
        <v/>
      </c>
      <c r="AJ251" s="1" t="str">
        <f>recovered!AJ251</f>
        <v/>
      </c>
      <c r="AK251" s="1" t="str">
        <f>recovered!AK251</f>
        <v/>
      </c>
      <c r="AL251" s="1" t="str">
        <f>recovered!AL251</f>
        <v/>
      </c>
      <c r="AM251" s="1" t="str">
        <f>recovered!AM251</f>
        <v/>
      </c>
      <c r="AN251" s="1" t="str">
        <f>recovered!AN251</f>
        <v/>
      </c>
      <c r="AO251" s="1" t="str">
        <f>recovered!AO251</f>
        <v/>
      </c>
      <c r="AP251" s="1" t="str">
        <f>recovered!AP251</f>
        <v/>
      </c>
      <c r="AQ251" s="1" t="str">
        <f>recovered!AQ251</f>
        <v/>
      </c>
      <c r="AR251" s="1" t="str">
        <f>recovered!AR251</f>
        <v/>
      </c>
      <c r="AS251" s="1" t="str">
        <f>recovered!AS251</f>
        <v/>
      </c>
      <c r="AT251" s="1" t="str">
        <f>recovered!AT251</f>
        <v/>
      </c>
      <c r="AU251" s="1" t="str">
        <f>recovered!AU251</f>
        <v/>
      </c>
      <c r="AV251" s="1" t="str">
        <f>recovered!AV251</f>
        <v/>
      </c>
      <c r="AW251" s="1" t="str">
        <f>recovered!AW251</f>
        <v/>
      </c>
      <c r="AX251" s="1" t="str">
        <f>recovered!AX251</f>
        <v/>
      </c>
      <c r="AY251" s="1" t="str">
        <f>recovered!AY251</f>
        <v/>
      </c>
      <c r="AZ251" s="1" t="str">
        <f>recovered!AZ251</f>
        <v/>
      </c>
      <c r="BA251" s="1" t="str">
        <f>recovered!BA251</f>
        <v/>
      </c>
      <c r="BB251" s="1" t="str">
        <f>recovered!BB251</f>
        <v/>
      </c>
      <c r="BC251" s="1" t="str">
        <f>recovered!BC251</f>
        <v/>
      </c>
      <c r="BD251" s="1" t="str">
        <f>recovered!BD251</f>
        <v/>
      </c>
      <c r="BE251" s="1" t="str">
        <f>recovered!BE251</f>
        <v/>
      </c>
      <c r="BF251" s="1" t="str">
        <f>recovered!BF251</f>
        <v/>
      </c>
      <c r="BG251" s="1" t="str">
        <f>recovered!BG251</f>
        <v/>
      </c>
      <c r="BH251" s="1" t="str">
        <f>recovered!BH251</f>
        <v/>
      </c>
      <c r="BI251" s="1" t="str">
        <f>recovered!BI251</f>
        <v/>
      </c>
      <c r="BJ251" s="1" t="str">
        <f>recovered!BJ251</f>
        <v/>
      </c>
      <c r="BK251" s="1" t="str">
        <f>recovered!BK251</f>
        <v/>
      </c>
      <c r="BL251" s="1" t="str">
        <f>recovered!BL251</f>
        <v/>
      </c>
      <c r="BM251" s="1" t="str">
        <f>recovered!BM251</f>
        <v/>
      </c>
      <c r="BN251" s="1" t="str">
        <f>recovered!BN251</f>
        <v/>
      </c>
      <c r="BO251" s="1" t="str">
        <f>recovered!BO251</f>
        <v/>
      </c>
      <c r="BP251" s="1" t="str">
        <f>recovered!BP251</f>
        <v/>
      </c>
      <c r="BQ251" s="1" t="str">
        <f>recovered!BQ251</f>
        <v/>
      </c>
      <c r="BR251" s="1" t="str">
        <f>recovered!BR251</f>
        <v/>
      </c>
      <c r="BS251" s="1" t="str">
        <f>recovered!BS251</f>
        <v/>
      </c>
      <c r="BT251" s="1" t="str">
        <f>recovered!BT251</f>
        <v/>
      </c>
      <c r="BU251" s="1" t="str">
        <f>recovered!BU251</f>
        <v/>
      </c>
      <c r="BV251" s="1" t="str">
        <f>recovered!BV251</f>
        <v/>
      </c>
      <c r="BW251" s="1" t="str">
        <f>recovered!BW251</f>
        <v/>
      </c>
      <c r="BX251" s="1" t="str">
        <f>recovered!BX251</f>
        <v/>
      </c>
      <c r="BY251" s="1" t="str">
        <f>recovered!BY251</f>
        <v/>
      </c>
    </row>
    <row r="252">
      <c r="B252" s="1" t="str">
        <f>recovered!B252</f>
        <v/>
      </c>
      <c r="C252" s="4" t="str">
        <f>recovered!C252</f>
        <v/>
      </c>
      <c r="D252" s="4" t="str">
        <f>recovered!D252</f>
        <v/>
      </c>
      <c r="E252" s="5" t="str">
        <f>recovered!E252</f>
        <v/>
      </c>
      <c r="F252" s="1" t="str">
        <f>recovered!F252</f>
        <v/>
      </c>
      <c r="G252" s="1" t="str">
        <f>recovered!G252</f>
        <v/>
      </c>
      <c r="H252" s="1" t="str">
        <f>recovered!H252</f>
        <v/>
      </c>
      <c r="I252" s="1" t="str">
        <f>recovered!I252</f>
        <v/>
      </c>
      <c r="J252" s="1" t="str">
        <f>recovered!J252</f>
        <v/>
      </c>
      <c r="K252" s="1" t="str">
        <f>recovered!K252</f>
        <v/>
      </c>
      <c r="L252" s="1" t="str">
        <f>recovered!L252</f>
        <v/>
      </c>
      <c r="M252" s="1" t="str">
        <f>recovered!M252</f>
        <v/>
      </c>
      <c r="N252" s="1" t="str">
        <f>recovered!N252</f>
        <v/>
      </c>
      <c r="O252" s="1" t="str">
        <f>recovered!O252</f>
        <v/>
      </c>
      <c r="P252" s="1" t="str">
        <f>recovered!P252</f>
        <v/>
      </c>
      <c r="Q252" s="1" t="str">
        <f>recovered!Q252</f>
        <v/>
      </c>
      <c r="R252" s="1" t="str">
        <f>recovered!R252</f>
        <v/>
      </c>
      <c r="S252" s="1" t="str">
        <f>recovered!S252</f>
        <v/>
      </c>
      <c r="T252" s="1" t="str">
        <f>recovered!T252</f>
        <v/>
      </c>
      <c r="U252" s="1" t="str">
        <f>recovered!U252</f>
        <v/>
      </c>
      <c r="V252" s="1" t="str">
        <f>recovered!V252</f>
        <v/>
      </c>
      <c r="W252" s="1" t="str">
        <f>recovered!W252</f>
        <v/>
      </c>
      <c r="X252" s="1" t="str">
        <f>recovered!X252</f>
        <v/>
      </c>
      <c r="Y252" s="1" t="str">
        <f>recovered!Y252</f>
        <v/>
      </c>
      <c r="Z252" s="1" t="str">
        <f>recovered!Z252</f>
        <v/>
      </c>
      <c r="AA252" s="1" t="str">
        <f>recovered!AA252</f>
        <v/>
      </c>
      <c r="AB252" s="1" t="str">
        <f>recovered!AB252</f>
        <v/>
      </c>
      <c r="AC252" s="1" t="str">
        <f>recovered!AC252</f>
        <v/>
      </c>
      <c r="AD252" s="1" t="str">
        <f>recovered!AD252</f>
        <v/>
      </c>
      <c r="AE252" s="1" t="str">
        <f>recovered!AE252</f>
        <v/>
      </c>
      <c r="AF252" s="1" t="str">
        <f>recovered!AF252</f>
        <v/>
      </c>
      <c r="AG252" s="1" t="str">
        <f>recovered!AG252</f>
        <v/>
      </c>
      <c r="AH252" s="1" t="str">
        <f>recovered!AH252</f>
        <v/>
      </c>
      <c r="AI252" s="1" t="str">
        <f>recovered!AI252</f>
        <v/>
      </c>
      <c r="AJ252" s="1" t="str">
        <f>recovered!AJ252</f>
        <v/>
      </c>
      <c r="AK252" s="1" t="str">
        <f>recovered!AK252</f>
        <v/>
      </c>
      <c r="AL252" s="1" t="str">
        <f>recovered!AL252</f>
        <v/>
      </c>
      <c r="AM252" s="1" t="str">
        <f>recovered!AM252</f>
        <v/>
      </c>
      <c r="AN252" s="1" t="str">
        <f>recovered!AN252</f>
        <v/>
      </c>
      <c r="AO252" s="1" t="str">
        <f>recovered!AO252</f>
        <v/>
      </c>
      <c r="AP252" s="1" t="str">
        <f>recovered!AP252</f>
        <v/>
      </c>
      <c r="AQ252" s="1" t="str">
        <f>recovered!AQ252</f>
        <v/>
      </c>
      <c r="AR252" s="1" t="str">
        <f>recovered!AR252</f>
        <v/>
      </c>
      <c r="AS252" s="1" t="str">
        <f>recovered!AS252</f>
        <v/>
      </c>
      <c r="AT252" s="1" t="str">
        <f>recovered!AT252</f>
        <v/>
      </c>
      <c r="AU252" s="1" t="str">
        <f>recovered!AU252</f>
        <v/>
      </c>
      <c r="AV252" s="1" t="str">
        <f>recovered!AV252</f>
        <v/>
      </c>
      <c r="AW252" s="1" t="str">
        <f>recovered!AW252</f>
        <v/>
      </c>
      <c r="AX252" s="1" t="str">
        <f>recovered!AX252</f>
        <v/>
      </c>
      <c r="AY252" s="1" t="str">
        <f>recovered!AY252</f>
        <v/>
      </c>
      <c r="AZ252" s="1" t="str">
        <f>recovered!AZ252</f>
        <v/>
      </c>
      <c r="BA252" s="1" t="str">
        <f>recovered!BA252</f>
        <v/>
      </c>
      <c r="BB252" s="1" t="str">
        <f>recovered!BB252</f>
        <v/>
      </c>
      <c r="BC252" s="1" t="str">
        <f>recovered!BC252</f>
        <v/>
      </c>
      <c r="BD252" s="1" t="str">
        <f>recovered!BD252</f>
        <v/>
      </c>
      <c r="BE252" s="1" t="str">
        <f>recovered!BE252</f>
        <v/>
      </c>
      <c r="BF252" s="1" t="str">
        <f>recovered!BF252</f>
        <v/>
      </c>
      <c r="BG252" s="1" t="str">
        <f>recovered!BG252</f>
        <v/>
      </c>
      <c r="BH252" s="1" t="str">
        <f>recovered!BH252</f>
        <v/>
      </c>
      <c r="BI252" s="1" t="str">
        <f>recovered!BI252</f>
        <v/>
      </c>
      <c r="BJ252" s="1" t="str">
        <f>recovered!BJ252</f>
        <v/>
      </c>
      <c r="BK252" s="1" t="str">
        <f>recovered!BK252</f>
        <v/>
      </c>
      <c r="BL252" s="1" t="str">
        <f>recovered!BL252</f>
        <v/>
      </c>
      <c r="BM252" s="1" t="str">
        <f>recovered!BM252</f>
        <v/>
      </c>
      <c r="BN252" s="1" t="str">
        <f>recovered!BN252</f>
        <v/>
      </c>
      <c r="BO252" s="1" t="str">
        <f>recovered!BO252</f>
        <v/>
      </c>
      <c r="BP252" s="1" t="str">
        <f>recovered!BP252</f>
        <v/>
      </c>
      <c r="BQ252" s="1" t="str">
        <f>recovered!BQ252</f>
        <v/>
      </c>
      <c r="BR252" s="1" t="str">
        <f>recovered!BR252</f>
        <v/>
      </c>
      <c r="BS252" s="1" t="str">
        <f>recovered!BS252</f>
        <v/>
      </c>
      <c r="BT252" s="1" t="str">
        <f>recovered!BT252</f>
        <v/>
      </c>
      <c r="BU252" s="1" t="str">
        <f>recovered!BU252</f>
        <v/>
      </c>
      <c r="BV252" s="1" t="str">
        <f>recovered!BV252</f>
        <v/>
      </c>
      <c r="BW252" s="1" t="str">
        <f>recovered!BW252</f>
        <v/>
      </c>
      <c r="BX252" s="1" t="str">
        <f>recovered!BX252</f>
        <v/>
      </c>
      <c r="BY252" s="1" t="str">
        <f>recovered!BY252</f>
        <v/>
      </c>
    </row>
    <row r="253">
      <c r="B253" s="1" t="str">
        <f>recovered!B253</f>
        <v/>
      </c>
      <c r="C253" s="4" t="str">
        <f>recovered!C253</f>
        <v/>
      </c>
      <c r="D253" s="4" t="str">
        <f>recovered!D253</f>
        <v/>
      </c>
      <c r="E253" s="5" t="str">
        <f>recovered!E253</f>
        <v/>
      </c>
      <c r="F253" s="1" t="str">
        <f>recovered!F253</f>
        <v/>
      </c>
      <c r="G253" s="1" t="str">
        <f>recovered!G253</f>
        <v/>
      </c>
      <c r="H253" s="1" t="str">
        <f>recovered!H253</f>
        <v/>
      </c>
      <c r="I253" s="1" t="str">
        <f>recovered!I253</f>
        <v/>
      </c>
      <c r="J253" s="1" t="str">
        <f>recovered!J253</f>
        <v/>
      </c>
      <c r="K253" s="1" t="str">
        <f>recovered!K253</f>
        <v/>
      </c>
      <c r="L253" s="1" t="str">
        <f>recovered!L253</f>
        <v/>
      </c>
      <c r="M253" s="1" t="str">
        <f>recovered!M253</f>
        <v/>
      </c>
      <c r="N253" s="1" t="str">
        <f>recovered!N253</f>
        <v/>
      </c>
      <c r="O253" s="1" t="str">
        <f>recovered!O253</f>
        <v/>
      </c>
      <c r="P253" s="1" t="str">
        <f>recovered!P253</f>
        <v/>
      </c>
      <c r="Q253" s="1" t="str">
        <f>recovered!Q253</f>
        <v/>
      </c>
      <c r="R253" s="1" t="str">
        <f>recovered!R253</f>
        <v/>
      </c>
      <c r="S253" s="1" t="str">
        <f>recovered!S253</f>
        <v/>
      </c>
      <c r="T253" s="1" t="str">
        <f>recovered!T253</f>
        <v/>
      </c>
      <c r="U253" s="1" t="str">
        <f>recovered!U253</f>
        <v/>
      </c>
      <c r="V253" s="1" t="str">
        <f>recovered!V253</f>
        <v/>
      </c>
      <c r="W253" s="1" t="str">
        <f>recovered!W253</f>
        <v/>
      </c>
      <c r="X253" s="1" t="str">
        <f>recovered!X253</f>
        <v/>
      </c>
      <c r="Y253" s="1" t="str">
        <f>recovered!Y253</f>
        <v/>
      </c>
      <c r="Z253" s="1" t="str">
        <f>recovered!Z253</f>
        <v/>
      </c>
      <c r="AA253" s="1" t="str">
        <f>recovered!AA253</f>
        <v/>
      </c>
      <c r="AB253" s="1" t="str">
        <f>recovered!AB253</f>
        <v/>
      </c>
      <c r="AC253" s="1" t="str">
        <f>recovered!AC253</f>
        <v/>
      </c>
      <c r="AD253" s="1" t="str">
        <f>recovered!AD253</f>
        <v/>
      </c>
      <c r="AE253" s="1" t="str">
        <f>recovered!AE253</f>
        <v/>
      </c>
      <c r="AF253" s="1" t="str">
        <f>recovered!AF253</f>
        <v/>
      </c>
      <c r="AG253" s="1" t="str">
        <f>recovered!AG253</f>
        <v/>
      </c>
      <c r="AH253" s="1" t="str">
        <f>recovered!AH253</f>
        <v/>
      </c>
      <c r="AI253" s="1" t="str">
        <f>recovered!AI253</f>
        <v/>
      </c>
      <c r="AJ253" s="1" t="str">
        <f>recovered!AJ253</f>
        <v/>
      </c>
      <c r="AK253" s="1" t="str">
        <f>recovered!AK253</f>
        <v/>
      </c>
      <c r="AL253" s="1" t="str">
        <f>recovered!AL253</f>
        <v/>
      </c>
      <c r="AM253" s="1" t="str">
        <f>recovered!AM253</f>
        <v/>
      </c>
      <c r="AN253" s="1" t="str">
        <f>recovered!AN253</f>
        <v/>
      </c>
      <c r="AO253" s="1" t="str">
        <f>recovered!AO253</f>
        <v/>
      </c>
      <c r="AP253" s="1" t="str">
        <f>recovered!AP253</f>
        <v/>
      </c>
      <c r="AQ253" s="1" t="str">
        <f>recovered!AQ253</f>
        <v/>
      </c>
      <c r="AR253" s="1" t="str">
        <f>recovered!AR253</f>
        <v/>
      </c>
      <c r="AS253" s="1" t="str">
        <f>recovered!AS253</f>
        <v/>
      </c>
      <c r="AT253" s="1" t="str">
        <f>recovered!AT253</f>
        <v/>
      </c>
      <c r="AU253" s="1" t="str">
        <f>recovered!AU253</f>
        <v/>
      </c>
      <c r="AV253" s="1" t="str">
        <f>recovered!AV253</f>
        <v/>
      </c>
      <c r="AW253" s="1" t="str">
        <f>recovered!AW253</f>
        <v/>
      </c>
      <c r="AX253" s="1" t="str">
        <f>recovered!AX253</f>
        <v/>
      </c>
      <c r="AY253" s="1" t="str">
        <f>recovered!AY253</f>
        <v/>
      </c>
      <c r="AZ253" s="1" t="str">
        <f>recovered!AZ253</f>
        <v/>
      </c>
      <c r="BA253" s="1" t="str">
        <f>recovered!BA253</f>
        <v/>
      </c>
      <c r="BB253" s="1" t="str">
        <f>recovered!BB253</f>
        <v/>
      </c>
      <c r="BC253" s="1" t="str">
        <f>recovered!BC253</f>
        <v/>
      </c>
      <c r="BD253" s="1" t="str">
        <f>recovered!BD253</f>
        <v/>
      </c>
      <c r="BE253" s="1" t="str">
        <f>recovered!BE253</f>
        <v/>
      </c>
      <c r="BF253" s="1" t="str">
        <f>recovered!BF253</f>
        <v/>
      </c>
      <c r="BG253" s="1" t="str">
        <f>recovered!BG253</f>
        <v/>
      </c>
      <c r="BH253" s="1" t="str">
        <f>recovered!BH253</f>
        <v/>
      </c>
      <c r="BI253" s="1" t="str">
        <f>recovered!BI253</f>
        <v/>
      </c>
      <c r="BJ253" s="1" t="str">
        <f>recovered!BJ253</f>
        <v/>
      </c>
      <c r="BK253" s="1" t="str">
        <f>recovered!BK253</f>
        <v/>
      </c>
      <c r="BL253" s="1" t="str">
        <f>recovered!BL253</f>
        <v/>
      </c>
      <c r="BM253" s="1" t="str">
        <f>recovered!BM253</f>
        <v/>
      </c>
      <c r="BN253" s="1" t="str">
        <f>recovered!BN253</f>
        <v/>
      </c>
      <c r="BO253" s="1" t="str">
        <f>recovered!BO253</f>
        <v/>
      </c>
      <c r="BP253" s="1" t="str">
        <f>recovered!BP253</f>
        <v/>
      </c>
      <c r="BQ253" s="1" t="str">
        <f>recovered!BQ253</f>
        <v/>
      </c>
      <c r="BR253" s="1" t="str">
        <f>recovered!BR253</f>
        <v/>
      </c>
      <c r="BS253" s="1" t="str">
        <f>recovered!BS253</f>
        <v/>
      </c>
      <c r="BT253" s="1" t="str">
        <f>recovered!BT253</f>
        <v/>
      </c>
      <c r="BU253" s="1" t="str">
        <f>recovered!BU253</f>
        <v/>
      </c>
      <c r="BV253" s="1" t="str">
        <f>recovered!BV253</f>
        <v/>
      </c>
      <c r="BW253" s="1" t="str">
        <f>recovered!BW253</f>
        <v/>
      </c>
      <c r="BX253" s="1" t="str">
        <f>recovered!BX253</f>
        <v/>
      </c>
      <c r="BY253" s="1" t="str">
        <f>recovered!BY253</f>
        <v/>
      </c>
    </row>
    <row r="254">
      <c r="B254" s="1" t="str">
        <f>recovered!B254</f>
        <v/>
      </c>
      <c r="C254" s="4" t="str">
        <f>recovered!C254</f>
        <v/>
      </c>
      <c r="D254" s="4" t="str">
        <f>recovered!D254</f>
        <v/>
      </c>
      <c r="E254" s="5" t="str">
        <f>recovered!E254</f>
        <v/>
      </c>
      <c r="F254" s="1" t="str">
        <f>recovered!F254</f>
        <v/>
      </c>
      <c r="G254" s="1" t="str">
        <f>recovered!G254</f>
        <v/>
      </c>
      <c r="H254" s="1" t="str">
        <f>recovered!H254</f>
        <v/>
      </c>
      <c r="I254" s="1" t="str">
        <f>recovered!I254</f>
        <v/>
      </c>
      <c r="J254" s="1" t="str">
        <f>recovered!J254</f>
        <v/>
      </c>
      <c r="K254" s="1" t="str">
        <f>recovered!K254</f>
        <v/>
      </c>
      <c r="L254" s="1" t="str">
        <f>recovered!L254</f>
        <v/>
      </c>
      <c r="M254" s="1" t="str">
        <f>recovered!M254</f>
        <v/>
      </c>
      <c r="N254" s="1" t="str">
        <f>recovered!N254</f>
        <v/>
      </c>
      <c r="O254" s="1" t="str">
        <f>recovered!O254</f>
        <v/>
      </c>
      <c r="P254" s="1" t="str">
        <f>recovered!P254</f>
        <v/>
      </c>
      <c r="Q254" s="1" t="str">
        <f>recovered!Q254</f>
        <v/>
      </c>
      <c r="R254" s="1" t="str">
        <f>recovered!R254</f>
        <v/>
      </c>
      <c r="S254" s="1" t="str">
        <f>recovered!S254</f>
        <v/>
      </c>
      <c r="T254" s="1" t="str">
        <f>recovered!T254</f>
        <v/>
      </c>
      <c r="U254" s="1" t="str">
        <f>recovered!U254</f>
        <v/>
      </c>
      <c r="V254" s="1" t="str">
        <f>recovered!V254</f>
        <v/>
      </c>
      <c r="W254" s="1" t="str">
        <f>recovered!W254</f>
        <v/>
      </c>
      <c r="X254" s="1" t="str">
        <f>recovered!X254</f>
        <v/>
      </c>
      <c r="Y254" s="1" t="str">
        <f>recovered!Y254</f>
        <v/>
      </c>
      <c r="Z254" s="1" t="str">
        <f>recovered!Z254</f>
        <v/>
      </c>
      <c r="AA254" s="1" t="str">
        <f>recovered!AA254</f>
        <v/>
      </c>
      <c r="AB254" s="1" t="str">
        <f>recovered!AB254</f>
        <v/>
      </c>
      <c r="AC254" s="1" t="str">
        <f>recovered!AC254</f>
        <v/>
      </c>
      <c r="AD254" s="1" t="str">
        <f>recovered!AD254</f>
        <v/>
      </c>
      <c r="AE254" s="1" t="str">
        <f>recovered!AE254</f>
        <v/>
      </c>
      <c r="AF254" s="1" t="str">
        <f>recovered!AF254</f>
        <v/>
      </c>
      <c r="AG254" s="1" t="str">
        <f>recovered!AG254</f>
        <v/>
      </c>
      <c r="AH254" s="1" t="str">
        <f>recovered!AH254</f>
        <v/>
      </c>
      <c r="AI254" s="1" t="str">
        <f>recovered!AI254</f>
        <v/>
      </c>
      <c r="AJ254" s="1" t="str">
        <f>recovered!AJ254</f>
        <v/>
      </c>
      <c r="AK254" s="1" t="str">
        <f>recovered!AK254</f>
        <v/>
      </c>
      <c r="AL254" s="1" t="str">
        <f>recovered!AL254</f>
        <v/>
      </c>
      <c r="AM254" s="1" t="str">
        <f>recovered!AM254</f>
        <v/>
      </c>
      <c r="AN254" s="1" t="str">
        <f>recovered!AN254</f>
        <v/>
      </c>
      <c r="AO254" s="1" t="str">
        <f>recovered!AO254</f>
        <v/>
      </c>
      <c r="AP254" s="1" t="str">
        <f>recovered!AP254</f>
        <v/>
      </c>
      <c r="AQ254" s="1" t="str">
        <f>recovered!AQ254</f>
        <v/>
      </c>
      <c r="AR254" s="1" t="str">
        <f>recovered!AR254</f>
        <v/>
      </c>
      <c r="AS254" s="1" t="str">
        <f>recovered!AS254</f>
        <v/>
      </c>
      <c r="AT254" s="1" t="str">
        <f>recovered!AT254</f>
        <v/>
      </c>
      <c r="AU254" s="1" t="str">
        <f>recovered!AU254</f>
        <v/>
      </c>
      <c r="AV254" s="1" t="str">
        <f>recovered!AV254</f>
        <v/>
      </c>
      <c r="AW254" s="1" t="str">
        <f>recovered!AW254</f>
        <v/>
      </c>
      <c r="AX254" s="1" t="str">
        <f>recovered!AX254</f>
        <v/>
      </c>
      <c r="AY254" s="1" t="str">
        <f>recovered!AY254</f>
        <v/>
      </c>
      <c r="AZ254" s="1" t="str">
        <f>recovered!AZ254</f>
        <v/>
      </c>
      <c r="BA254" s="1" t="str">
        <f>recovered!BA254</f>
        <v/>
      </c>
      <c r="BB254" s="1" t="str">
        <f>recovered!BB254</f>
        <v/>
      </c>
      <c r="BC254" s="1" t="str">
        <f>recovered!BC254</f>
        <v/>
      </c>
      <c r="BD254" s="1" t="str">
        <f>recovered!BD254</f>
        <v/>
      </c>
      <c r="BE254" s="1" t="str">
        <f>recovered!BE254</f>
        <v/>
      </c>
      <c r="BF254" s="1" t="str">
        <f>recovered!BF254</f>
        <v/>
      </c>
      <c r="BG254" s="1" t="str">
        <f>recovered!BG254</f>
        <v/>
      </c>
      <c r="BH254" s="1" t="str">
        <f>recovered!BH254</f>
        <v/>
      </c>
      <c r="BI254" s="1" t="str">
        <f>recovered!BI254</f>
        <v/>
      </c>
      <c r="BJ254" s="1" t="str">
        <f>recovered!BJ254</f>
        <v/>
      </c>
      <c r="BK254" s="1" t="str">
        <f>recovered!BK254</f>
        <v/>
      </c>
      <c r="BL254" s="1" t="str">
        <f>recovered!BL254</f>
        <v/>
      </c>
      <c r="BM254" s="1" t="str">
        <f>recovered!BM254</f>
        <v/>
      </c>
      <c r="BN254" s="1" t="str">
        <f>recovered!BN254</f>
        <v/>
      </c>
      <c r="BO254" s="1" t="str">
        <f>recovered!BO254</f>
        <v/>
      </c>
      <c r="BP254" s="1" t="str">
        <f>recovered!BP254</f>
        <v/>
      </c>
      <c r="BQ254" s="1" t="str">
        <f>recovered!BQ254</f>
        <v/>
      </c>
      <c r="BR254" s="1" t="str">
        <f>recovered!BR254</f>
        <v/>
      </c>
      <c r="BS254" s="1" t="str">
        <f>recovered!BS254</f>
        <v/>
      </c>
      <c r="BT254" s="1" t="str">
        <f>recovered!BT254</f>
        <v/>
      </c>
      <c r="BU254" s="1" t="str">
        <f>recovered!BU254</f>
        <v/>
      </c>
      <c r="BV254" s="1" t="str">
        <f>recovered!BV254</f>
        <v/>
      </c>
      <c r="BW254" s="1" t="str">
        <f>recovered!BW254</f>
        <v/>
      </c>
      <c r="BX254" s="1" t="str">
        <f>recovered!BX254</f>
        <v/>
      </c>
      <c r="BY254" s="1" t="str">
        <f>recovered!BY254</f>
        <v/>
      </c>
    </row>
    <row r="255">
      <c r="B255" s="1" t="str">
        <f>recovered!B255</f>
        <v/>
      </c>
      <c r="C255" s="4" t="str">
        <f>recovered!C255</f>
        <v/>
      </c>
      <c r="D255" s="4" t="str">
        <f>recovered!D255</f>
        <v/>
      </c>
      <c r="E255" s="5" t="str">
        <f>recovered!E255</f>
        <v/>
      </c>
      <c r="F255" s="1" t="str">
        <f>recovered!F255</f>
        <v/>
      </c>
      <c r="G255" s="1" t="str">
        <f>recovered!G255</f>
        <v/>
      </c>
      <c r="H255" s="1" t="str">
        <f>recovered!H255</f>
        <v/>
      </c>
      <c r="I255" s="1" t="str">
        <f>recovered!I255</f>
        <v/>
      </c>
      <c r="J255" s="1" t="str">
        <f>recovered!J255</f>
        <v/>
      </c>
      <c r="K255" s="1" t="str">
        <f>recovered!K255</f>
        <v/>
      </c>
      <c r="L255" s="1" t="str">
        <f>recovered!L255</f>
        <v/>
      </c>
      <c r="M255" s="1" t="str">
        <f>recovered!M255</f>
        <v/>
      </c>
      <c r="N255" s="1" t="str">
        <f>recovered!N255</f>
        <v/>
      </c>
      <c r="O255" s="1" t="str">
        <f>recovered!O255</f>
        <v/>
      </c>
      <c r="P255" s="1" t="str">
        <f>recovered!P255</f>
        <v/>
      </c>
      <c r="Q255" s="1" t="str">
        <f>recovered!Q255</f>
        <v/>
      </c>
      <c r="R255" s="1" t="str">
        <f>recovered!R255</f>
        <v/>
      </c>
      <c r="S255" s="1" t="str">
        <f>recovered!S255</f>
        <v/>
      </c>
      <c r="T255" s="1" t="str">
        <f>recovered!T255</f>
        <v/>
      </c>
      <c r="U255" s="1" t="str">
        <f>recovered!U255</f>
        <v/>
      </c>
      <c r="V255" s="1" t="str">
        <f>recovered!V255</f>
        <v/>
      </c>
      <c r="W255" s="1" t="str">
        <f>recovered!W255</f>
        <v/>
      </c>
      <c r="X255" s="1" t="str">
        <f>recovered!X255</f>
        <v/>
      </c>
      <c r="Y255" s="1" t="str">
        <f>recovered!Y255</f>
        <v/>
      </c>
      <c r="Z255" s="1" t="str">
        <f>recovered!Z255</f>
        <v/>
      </c>
      <c r="AA255" s="1" t="str">
        <f>recovered!AA255</f>
        <v/>
      </c>
      <c r="AB255" s="1" t="str">
        <f>recovered!AB255</f>
        <v/>
      </c>
      <c r="AC255" s="1" t="str">
        <f>recovered!AC255</f>
        <v/>
      </c>
      <c r="AD255" s="1" t="str">
        <f>recovered!AD255</f>
        <v/>
      </c>
      <c r="AE255" s="1" t="str">
        <f>recovered!AE255</f>
        <v/>
      </c>
      <c r="AF255" s="1" t="str">
        <f>recovered!AF255</f>
        <v/>
      </c>
      <c r="AG255" s="1" t="str">
        <f>recovered!AG255</f>
        <v/>
      </c>
      <c r="AH255" s="1" t="str">
        <f>recovered!AH255</f>
        <v/>
      </c>
      <c r="AI255" s="1" t="str">
        <f>recovered!AI255</f>
        <v/>
      </c>
      <c r="AJ255" s="1" t="str">
        <f>recovered!AJ255</f>
        <v/>
      </c>
      <c r="AK255" s="1" t="str">
        <f>recovered!AK255</f>
        <v/>
      </c>
      <c r="AL255" s="1" t="str">
        <f>recovered!AL255</f>
        <v/>
      </c>
      <c r="AM255" s="1" t="str">
        <f>recovered!AM255</f>
        <v/>
      </c>
      <c r="AN255" s="1" t="str">
        <f>recovered!AN255</f>
        <v/>
      </c>
      <c r="AO255" s="1" t="str">
        <f>recovered!AO255</f>
        <v/>
      </c>
      <c r="AP255" s="1" t="str">
        <f>recovered!AP255</f>
        <v/>
      </c>
      <c r="AQ255" s="1" t="str">
        <f>recovered!AQ255</f>
        <v/>
      </c>
      <c r="AR255" s="1" t="str">
        <f>recovered!AR255</f>
        <v/>
      </c>
      <c r="AS255" s="1" t="str">
        <f>recovered!AS255</f>
        <v/>
      </c>
      <c r="AT255" s="1" t="str">
        <f>recovered!AT255</f>
        <v/>
      </c>
      <c r="AU255" s="1" t="str">
        <f>recovered!AU255</f>
        <v/>
      </c>
      <c r="AV255" s="1" t="str">
        <f>recovered!AV255</f>
        <v/>
      </c>
      <c r="AW255" s="1" t="str">
        <f>recovered!AW255</f>
        <v/>
      </c>
      <c r="AX255" s="1" t="str">
        <f>recovered!AX255</f>
        <v/>
      </c>
      <c r="AY255" s="1" t="str">
        <f>recovered!AY255</f>
        <v/>
      </c>
      <c r="AZ255" s="1" t="str">
        <f>recovered!AZ255</f>
        <v/>
      </c>
      <c r="BA255" s="1" t="str">
        <f>recovered!BA255</f>
        <v/>
      </c>
      <c r="BB255" s="1" t="str">
        <f>recovered!BB255</f>
        <v/>
      </c>
      <c r="BC255" s="1" t="str">
        <f>recovered!BC255</f>
        <v/>
      </c>
      <c r="BD255" s="1" t="str">
        <f>recovered!BD255</f>
        <v/>
      </c>
      <c r="BE255" s="1" t="str">
        <f>recovered!BE255</f>
        <v/>
      </c>
      <c r="BF255" s="1" t="str">
        <f>recovered!BF255</f>
        <v/>
      </c>
      <c r="BG255" s="1" t="str">
        <f>recovered!BG255</f>
        <v/>
      </c>
      <c r="BH255" s="1" t="str">
        <f>recovered!BH255</f>
        <v/>
      </c>
      <c r="BI255" s="1" t="str">
        <f>recovered!BI255</f>
        <v/>
      </c>
      <c r="BJ255" s="1" t="str">
        <f>recovered!BJ255</f>
        <v/>
      </c>
      <c r="BK255" s="1" t="str">
        <f>recovered!BK255</f>
        <v/>
      </c>
      <c r="BL255" s="1" t="str">
        <f>recovered!BL255</f>
        <v/>
      </c>
      <c r="BM255" s="1" t="str">
        <f>recovered!BM255</f>
        <v/>
      </c>
      <c r="BN255" s="1" t="str">
        <f>recovered!BN255</f>
        <v/>
      </c>
      <c r="BO255" s="1" t="str">
        <f>recovered!BO255</f>
        <v/>
      </c>
      <c r="BP255" s="1" t="str">
        <f>recovered!BP255</f>
        <v/>
      </c>
      <c r="BQ255" s="1" t="str">
        <f>recovered!BQ255</f>
        <v/>
      </c>
      <c r="BR255" s="1" t="str">
        <f>recovered!BR255</f>
        <v/>
      </c>
      <c r="BS255" s="1" t="str">
        <f>recovered!BS255</f>
        <v/>
      </c>
      <c r="BT255" s="1" t="str">
        <f>recovered!BT255</f>
        <v/>
      </c>
      <c r="BU255" s="1" t="str">
        <f>recovered!BU255</f>
        <v/>
      </c>
      <c r="BV255" s="1" t="str">
        <f>recovered!BV255</f>
        <v/>
      </c>
      <c r="BW255" s="1" t="str">
        <f>recovered!BW255</f>
        <v/>
      </c>
      <c r="BX255" s="1" t="str">
        <f>recovered!BX255</f>
        <v/>
      </c>
      <c r="BY255" s="1" t="str">
        <f>recovered!BY255</f>
        <v/>
      </c>
    </row>
    <row r="256">
      <c r="B256" s="1" t="str">
        <f>recovered!B256</f>
        <v/>
      </c>
      <c r="C256" s="4" t="str">
        <f>recovered!C256</f>
        <v/>
      </c>
      <c r="D256" s="4" t="str">
        <f>recovered!D256</f>
        <v/>
      </c>
      <c r="E256" s="5" t="str">
        <f>recovered!E256</f>
        <v/>
      </c>
      <c r="F256" s="1" t="str">
        <f>recovered!F256</f>
        <v/>
      </c>
      <c r="G256" s="1" t="str">
        <f>recovered!G256</f>
        <v/>
      </c>
      <c r="H256" s="1" t="str">
        <f>recovered!H256</f>
        <v/>
      </c>
      <c r="I256" s="1" t="str">
        <f>recovered!I256</f>
        <v/>
      </c>
      <c r="J256" s="1" t="str">
        <f>recovered!J256</f>
        <v/>
      </c>
      <c r="K256" s="1" t="str">
        <f>recovered!K256</f>
        <v/>
      </c>
      <c r="L256" s="1" t="str">
        <f>recovered!L256</f>
        <v/>
      </c>
      <c r="M256" s="1" t="str">
        <f>recovered!M256</f>
        <v/>
      </c>
      <c r="N256" s="1" t="str">
        <f>recovered!N256</f>
        <v/>
      </c>
      <c r="O256" s="1" t="str">
        <f>recovered!O256</f>
        <v/>
      </c>
      <c r="P256" s="1" t="str">
        <f>recovered!P256</f>
        <v/>
      </c>
      <c r="Q256" s="1" t="str">
        <f>recovered!Q256</f>
        <v/>
      </c>
      <c r="R256" s="1" t="str">
        <f>recovered!R256</f>
        <v/>
      </c>
      <c r="S256" s="1" t="str">
        <f>recovered!S256</f>
        <v/>
      </c>
      <c r="T256" s="1" t="str">
        <f>recovered!T256</f>
        <v/>
      </c>
      <c r="U256" s="1" t="str">
        <f>recovered!U256</f>
        <v/>
      </c>
      <c r="V256" s="1" t="str">
        <f>recovered!V256</f>
        <v/>
      </c>
      <c r="W256" s="1" t="str">
        <f>recovered!W256</f>
        <v/>
      </c>
      <c r="X256" s="1" t="str">
        <f>recovered!X256</f>
        <v/>
      </c>
      <c r="Y256" s="1" t="str">
        <f>recovered!Y256</f>
        <v/>
      </c>
      <c r="Z256" s="1" t="str">
        <f>recovered!Z256</f>
        <v/>
      </c>
      <c r="AA256" s="1" t="str">
        <f>recovered!AA256</f>
        <v/>
      </c>
      <c r="AB256" s="1" t="str">
        <f>recovered!AB256</f>
        <v/>
      </c>
      <c r="AC256" s="1" t="str">
        <f>recovered!AC256</f>
        <v/>
      </c>
      <c r="AD256" s="1" t="str">
        <f>recovered!AD256</f>
        <v/>
      </c>
      <c r="AE256" s="1" t="str">
        <f>recovered!AE256</f>
        <v/>
      </c>
      <c r="AF256" s="1" t="str">
        <f>recovered!AF256</f>
        <v/>
      </c>
      <c r="AG256" s="1" t="str">
        <f>recovered!AG256</f>
        <v/>
      </c>
      <c r="AH256" s="1" t="str">
        <f>recovered!AH256</f>
        <v/>
      </c>
      <c r="AI256" s="1" t="str">
        <f>recovered!AI256</f>
        <v/>
      </c>
      <c r="AJ256" s="1" t="str">
        <f>recovered!AJ256</f>
        <v/>
      </c>
      <c r="AK256" s="1" t="str">
        <f>recovered!AK256</f>
        <v/>
      </c>
      <c r="AL256" s="1" t="str">
        <f>recovered!AL256</f>
        <v/>
      </c>
      <c r="AM256" s="1" t="str">
        <f>recovered!AM256</f>
        <v/>
      </c>
      <c r="AN256" s="1" t="str">
        <f>recovered!AN256</f>
        <v/>
      </c>
      <c r="AO256" s="1" t="str">
        <f>recovered!AO256</f>
        <v/>
      </c>
      <c r="AP256" s="1" t="str">
        <f>recovered!AP256</f>
        <v/>
      </c>
      <c r="AQ256" s="1" t="str">
        <f>recovered!AQ256</f>
        <v/>
      </c>
      <c r="AR256" s="1" t="str">
        <f>recovered!AR256</f>
        <v/>
      </c>
      <c r="AS256" s="1" t="str">
        <f>recovered!AS256</f>
        <v/>
      </c>
      <c r="AT256" s="1" t="str">
        <f>recovered!AT256</f>
        <v/>
      </c>
      <c r="AU256" s="1" t="str">
        <f>recovered!AU256</f>
        <v/>
      </c>
      <c r="AV256" s="1" t="str">
        <f>recovered!AV256</f>
        <v/>
      </c>
      <c r="AW256" s="1" t="str">
        <f>recovered!AW256</f>
        <v/>
      </c>
      <c r="AX256" s="1" t="str">
        <f>recovered!AX256</f>
        <v/>
      </c>
      <c r="AY256" s="1" t="str">
        <f>recovered!AY256</f>
        <v/>
      </c>
      <c r="AZ256" s="1" t="str">
        <f>recovered!AZ256</f>
        <v/>
      </c>
      <c r="BA256" s="1" t="str">
        <f>recovered!BA256</f>
        <v/>
      </c>
      <c r="BB256" s="1" t="str">
        <f>recovered!BB256</f>
        <v/>
      </c>
      <c r="BC256" s="1" t="str">
        <f>recovered!BC256</f>
        <v/>
      </c>
      <c r="BD256" s="1" t="str">
        <f>recovered!BD256</f>
        <v/>
      </c>
      <c r="BE256" s="1" t="str">
        <f>recovered!BE256</f>
        <v/>
      </c>
      <c r="BF256" s="1" t="str">
        <f>recovered!BF256</f>
        <v/>
      </c>
      <c r="BG256" s="1" t="str">
        <f>recovered!BG256</f>
        <v/>
      </c>
      <c r="BH256" s="1" t="str">
        <f>recovered!BH256</f>
        <v/>
      </c>
      <c r="BI256" s="1" t="str">
        <f>recovered!BI256</f>
        <v/>
      </c>
      <c r="BJ256" s="1" t="str">
        <f>recovered!BJ256</f>
        <v/>
      </c>
      <c r="BK256" s="1" t="str">
        <f>recovered!BK256</f>
        <v/>
      </c>
      <c r="BL256" s="1" t="str">
        <f>recovered!BL256</f>
        <v/>
      </c>
      <c r="BM256" s="1" t="str">
        <f>recovered!BM256</f>
        <v/>
      </c>
      <c r="BN256" s="1" t="str">
        <f>recovered!BN256</f>
        <v/>
      </c>
      <c r="BO256" s="1" t="str">
        <f>recovered!BO256</f>
        <v/>
      </c>
      <c r="BP256" s="1" t="str">
        <f>recovered!BP256</f>
        <v/>
      </c>
      <c r="BQ256" s="1" t="str">
        <f>recovered!BQ256</f>
        <v/>
      </c>
      <c r="BR256" s="1" t="str">
        <f>recovered!BR256</f>
        <v/>
      </c>
      <c r="BS256" s="1" t="str">
        <f>recovered!BS256</f>
        <v/>
      </c>
      <c r="BT256" s="1" t="str">
        <f>recovered!BT256</f>
        <v/>
      </c>
      <c r="BU256" s="1" t="str">
        <f>recovered!BU256</f>
        <v/>
      </c>
      <c r="BV256" s="1" t="str">
        <f>recovered!BV256</f>
        <v/>
      </c>
      <c r="BW256" s="1" t="str">
        <f>recovered!BW256</f>
        <v/>
      </c>
      <c r="BX256" s="1" t="str">
        <f>recovered!BX256</f>
        <v/>
      </c>
      <c r="BY256" s="1" t="str">
        <f>recovered!BY256</f>
        <v/>
      </c>
    </row>
    <row r="257">
      <c r="B257" s="1" t="str">
        <f>recovered!B257</f>
        <v/>
      </c>
      <c r="C257" s="4" t="str">
        <f>recovered!C257</f>
        <v/>
      </c>
      <c r="D257" s="4" t="str">
        <f>recovered!D257</f>
        <v/>
      </c>
      <c r="E257" s="5" t="str">
        <f>recovered!E257</f>
        <v/>
      </c>
      <c r="F257" s="1" t="str">
        <f>recovered!F257</f>
        <v/>
      </c>
      <c r="G257" s="1" t="str">
        <f>recovered!G257</f>
        <v/>
      </c>
      <c r="H257" s="1" t="str">
        <f>recovered!H257</f>
        <v/>
      </c>
      <c r="I257" s="1" t="str">
        <f>recovered!I257</f>
        <v/>
      </c>
      <c r="J257" s="1" t="str">
        <f>recovered!J257</f>
        <v/>
      </c>
      <c r="K257" s="1" t="str">
        <f>recovered!K257</f>
        <v/>
      </c>
      <c r="L257" s="1" t="str">
        <f>recovered!L257</f>
        <v/>
      </c>
      <c r="M257" s="1" t="str">
        <f>recovered!M257</f>
        <v/>
      </c>
      <c r="N257" s="1" t="str">
        <f>recovered!N257</f>
        <v/>
      </c>
      <c r="O257" s="1" t="str">
        <f>recovered!O257</f>
        <v/>
      </c>
      <c r="P257" s="1" t="str">
        <f>recovered!P257</f>
        <v/>
      </c>
      <c r="Q257" s="1" t="str">
        <f>recovered!Q257</f>
        <v/>
      </c>
      <c r="R257" s="1" t="str">
        <f>recovered!R257</f>
        <v/>
      </c>
      <c r="S257" s="1" t="str">
        <f>recovered!S257</f>
        <v/>
      </c>
      <c r="T257" s="1" t="str">
        <f>recovered!T257</f>
        <v/>
      </c>
      <c r="U257" s="1" t="str">
        <f>recovered!U257</f>
        <v/>
      </c>
      <c r="V257" s="1" t="str">
        <f>recovered!V257</f>
        <v/>
      </c>
      <c r="W257" s="1" t="str">
        <f>recovered!W257</f>
        <v/>
      </c>
      <c r="X257" s="1" t="str">
        <f>recovered!X257</f>
        <v/>
      </c>
      <c r="Y257" s="1" t="str">
        <f>recovered!Y257</f>
        <v/>
      </c>
      <c r="Z257" s="1" t="str">
        <f>recovered!Z257</f>
        <v/>
      </c>
      <c r="AA257" s="1" t="str">
        <f>recovered!AA257</f>
        <v/>
      </c>
      <c r="AB257" s="1" t="str">
        <f>recovered!AB257</f>
        <v/>
      </c>
      <c r="AC257" s="1" t="str">
        <f>recovered!AC257</f>
        <v/>
      </c>
      <c r="AD257" s="1" t="str">
        <f>recovered!AD257</f>
        <v/>
      </c>
      <c r="AE257" s="1" t="str">
        <f>recovered!AE257</f>
        <v/>
      </c>
      <c r="AF257" s="1" t="str">
        <f>recovered!AF257</f>
        <v/>
      </c>
      <c r="AG257" s="1" t="str">
        <f>recovered!AG257</f>
        <v/>
      </c>
      <c r="AH257" s="1" t="str">
        <f>recovered!AH257</f>
        <v/>
      </c>
      <c r="AI257" s="1" t="str">
        <f>recovered!AI257</f>
        <v/>
      </c>
      <c r="AJ257" s="1" t="str">
        <f>recovered!AJ257</f>
        <v/>
      </c>
      <c r="AK257" s="1" t="str">
        <f>recovered!AK257</f>
        <v/>
      </c>
      <c r="AL257" s="1" t="str">
        <f>recovered!AL257</f>
        <v/>
      </c>
      <c r="AM257" s="1" t="str">
        <f>recovered!AM257</f>
        <v/>
      </c>
      <c r="AN257" s="1" t="str">
        <f>recovered!AN257</f>
        <v/>
      </c>
      <c r="AO257" s="1" t="str">
        <f>recovered!AO257</f>
        <v/>
      </c>
      <c r="AP257" s="1" t="str">
        <f>recovered!AP257</f>
        <v/>
      </c>
      <c r="AQ257" s="1" t="str">
        <f>recovered!AQ257</f>
        <v/>
      </c>
      <c r="AR257" s="1" t="str">
        <f>recovered!AR257</f>
        <v/>
      </c>
      <c r="AS257" s="1" t="str">
        <f>recovered!AS257</f>
        <v/>
      </c>
      <c r="AT257" s="1" t="str">
        <f>recovered!AT257</f>
        <v/>
      </c>
      <c r="AU257" s="1" t="str">
        <f>recovered!AU257</f>
        <v/>
      </c>
      <c r="AV257" s="1" t="str">
        <f>recovered!AV257</f>
        <v/>
      </c>
      <c r="AW257" s="1" t="str">
        <f>recovered!AW257</f>
        <v/>
      </c>
      <c r="AX257" s="1" t="str">
        <f>recovered!AX257</f>
        <v/>
      </c>
      <c r="AY257" s="1" t="str">
        <f>recovered!AY257</f>
        <v/>
      </c>
      <c r="AZ257" s="1" t="str">
        <f>recovered!AZ257</f>
        <v/>
      </c>
      <c r="BA257" s="1" t="str">
        <f>recovered!BA257</f>
        <v/>
      </c>
      <c r="BB257" s="1" t="str">
        <f>recovered!BB257</f>
        <v/>
      </c>
      <c r="BC257" s="1" t="str">
        <f>recovered!BC257</f>
        <v/>
      </c>
      <c r="BD257" s="1" t="str">
        <f>recovered!BD257</f>
        <v/>
      </c>
      <c r="BE257" s="1" t="str">
        <f>recovered!BE257</f>
        <v/>
      </c>
      <c r="BF257" s="1" t="str">
        <f>recovered!BF257</f>
        <v/>
      </c>
      <c r="BG257" s="1" t="str">
        <f>recovered!BG257</f>
        <v/>
      </c>
      <c r="BH257" s="1" t="str">
        <f>recovered!BH257</f>
        <v/>
      </c>
      <c r="BI257" s="1" t="str">
        <f>recovered!BI257</f>
        <v/>
      </c>
      <c r="BJ257" s="1" t="str">
        <f>recovered!BJ257</f>
        <v/>
      </c>
      <c r="BK257" s="1" t="str">
        <f>recovered!BK257</f>
        <v/>
      </c>
      <c r="BL257" s="1" t="str">
        <f>recovered!BL257</f>
        <v/>
      </c>
      <c r="BM257" s="1" t="str">
        <f>recovered!BM257</f>
        <v/>
      </c>
      <c r="BN257" s="1" t="str">
        <f>recovered!BN257</f>
        <v/>
      </c>
      <c r="BO257" s="1" t="str">
        <f>recovered!BO257</f>
        <v/>
      </c>
      <c r="BP257" s="1" t="str">
        <f>recovered!BP257</f>
        <v/>
      </c>
      <c r="BQ257" s="1" t="str">
        <f>recovered!BQ257</f>
        <v/>
      </c>
      <c r="BR257" s="1" t="str">
        <f>recovered!BR257</f>
        <v/>
      </c>
      <c r="BS257" s="1" t="str">
        <f>recovered!BS257</f>
        <v/>
      </c>
      <c r="BT257" s="1" t="str">
        <f>recovered!BT257</f>
        <v/>
      </c>
      <c r="BU257" s="1" t="str">
        <f>recovered!BU257</f>
        <v/>
      </c>
      <c r="BV257" s="1" t="str">
        <f>recovered!BV257</f>
        <v/>
      </c>
      <c r="BW257" s="1" t="str">
        <f>recovered!BW257</f>
        <v/>
      </c>
      <c r="BX257" s="1" t="str">
        <f>recovered!BX257</f>
        <v/>
      </c>
      <c r="BY257" s="1" t="str">
        <f>recovered!BY257</f>
        <v/>
      </c>
    </row>
    <row r="258">
      <c r="B258" s="1" t="str">
        <f>recovered!B258</f>
        <v/>
      </c>
      <c r="C258" s="4" t="str">
        <f>recovered!C258</f>
        <v/>
      </c>
      <c r="D258" s="4" t="str">
        <f>recovered!D258</f>
        <v/>
      </c>
      <c r="E258" s="5" t="str">
        <f>recovered!E258</f>
        <v/>
      </c>
      <c r="F258" s="1" t="str">
        <f>recovered!F258</f>
        <v/>
      </c>
      <c r="G258" s="1" t="str">
        <f>recovered!G258</f>
        <v/>
      </c>
      <c r="H258" s="1" t="str">
        <f>recovered!H258</f>
        <v/>
      </c>
      <c r="I258" s="1" t="str">
        <f>recovered!I258</f>
        <v/>
      </c>
      <c r="J258" s="1" t="str">
        <f>recovered!J258</f>
        <v/>
      </c>
      <c r="K258" s="1" t="str">
        <f>recovered!K258</f>
        <v/>
      </c>
      <c r="L258" s="1" t="str">
        <f>recovered!L258</f>
        <v/>
      </c>
      <c r="M258" s="1" t="str">
        <f>recovered!M258</f>
        <v/>
      </c>
      <c r="N258" s="1" t="str">
        <f>recovered!N258</f>
        <v/>
      </c>
      <c r="O258" s="1" t="str">
        <f>recovered!O258</f>
        <v/>
      </c>
      <c r="P258" s="1" t="str">
        <f>recovered!P258</f>
        <v/>
      </c>
      <c r="Q258" s="1" t="str">
        <f>recovered!Q258</f>
        <v/>
      </c>
      <c r="R258" s="1" t="str">
        <f>recovered!R258</f>
        <v/>
      </c>
      <c r="S258" s="1" t="str">
        <f>recovered!S258</f>
        <v/>
      </c>
      <c r="T258" s="1" t="str">
        <f>recovered!T258</f>
        <v/>
      </c>
      <c r="U258" s="1" t="str">
        <f>recovered!U258</f>
        <v/>
      </c>
      <c r="V258" s="1" t="str">
        <f>recovered!V258</f>
        <v/>
      </c>
      <c r="W258" s="1" t="str">
        <f>recovered!W258</f>
        <v/>
      </c>
      <c r="X258" s="1" t="str">
        <f>recovered!X258</f>
        <v/>
      </c>
      <c r="Y258" s="1" t="str">
        <f>recovered!Y258</f>
        <v/>
      </c>
      <c r="Z258" s="1" t="str">
        <f>recovered!Z258</f>
        <v/>
      </c>
      <c r="AA258" s="1" t="str">
        <f>recovered!AA258</f>
        <v/>
      </c>
      <c r="AB258" s="1" t="str">
        <f>recovered!AB258</f>
        <v/>
      </c>
      <c r="AC258" s="1" t="str">
        <f>recovered!AC258</f>
        <v/>
      </c>
      <c r="AD258" s="1" t="str">
        <f>recovered!AD258</f>
        <v/>
      </c>
      <c r="AE258" s="1" t="str">
        <f>recovered!AE258</f>
        <v/>
      </c>
      <c r="AF258" s="1" t="str">
        <f>recovered!AF258</f>
        <v/>
      </c>
      <c r="AG258" s="1" t="str">
        <f>recovered!AG258</f>
        <v/>
      </c>
      <c r="AH258" s="1" t="str">
        <f>recovered!AH258</f>
        <v/>
      </c>
      <c r="AI258" s="1" t="str">
        <f>recovered!AI258</f>
        <v/>
      </c>
      <c r="AJ258" s="1" t="str">
        <f>recovered!AJ258</f>
        <v/>
      </c>
      <c r="AK258" s="1" t="str">
        <f>recovered!AK258</f>
        <v/>
      </c>
      <c r="AL258" s="1" t="str">
        <f>recovered!AL258</f>
        <v/>
      </c>
      <c r="AM258" s="1" t="str">
        <f>recovered!AM258</f>
        <v/>
      </c>
      <c r="AN258" s="1" t="str">
        <f>recovered!AN258</f>
        <v/>
      </c>
      <c r="AO258" s="1" t="str">
        <f>recovered!AO258</f>
        <v/>
      </c>
      <c r="AP258" s="1" t="str">
        <f>recovered!AP258</f>
        <v/>
      </c>
      <c r="AQ258" s="1" t="str">
        <f>recovered!AQ258</f>
        <v/>
      </c>
      <c r="AR258" s="1" t="str">
        <f>recovered!AR258</f>
        <v/>
      </c>
      <c r="AS258" s="1" t="str">
        <f>recovered!AS258</f>
        <v/>
      </c>
      <c r="AT258" s="1" t="str">
        <f>recovered!AT258</f>
        <v/>
      </c>
      <c r="AU258" s="1" t="str">
        <f>recovered!AU258</f>
        <v/>
      </c>
      <c r="AV258" s="1" t="str">
        <f>recovered!AV258</f>
        <v/>
      </c>
      <c r="AW258" s="1" t="str">
        <f>recovered!AW258</f>
        <v/>
      </c>
      <c r="AX258" s="1" t="str">
        <f>recovered!AX258</f>
        <v/>
      </c>
      <c r="AY258" s="1" t="str">
        <f>recovered!AY258</f>
        <v/>
      </c>
      <c r="AZ258" s="1" t="str">
        <f>recovered!AZ258</f>
        <v/>
      </c>
      <c r="BA258" s="1" t="str">
        <f>recovered!BA258</f>
        <v/>
      </c>
      <c r="BB258" s="1" t="str">
        <f>recovered!BB258</f>
        <v/>
      </c>
      <c r="BC258" s="1" t="str">
        <f>recovered!BC258</f>
        <v/>
      </c>
      <c r="BD258" s="1" t="str">
        <f>recovered!BD258</f>
        <v/>
      </c>
      <c r="BE258" s="1" t="str">
        <f>recovered!BE258</f>
        <v/>
      </c>
      <c r="BF258" s="1" t="str">
        <f>recovered!BF258</f>
        <v/>
      </c>
      <c r="BG258" s="1" t="str">
        <f>recovered!BG258</f>
        <v/>
      </c>
      <c r="BH258" s="1" t="str">
        <f>recovered!BH258</f>
        <v/>
      </c>
      <c r="BI258" s="1" t="str">
        <f>recovered!BI258</f>
        <v/>
      </c>
      <c r="BJ258" s="1" t="str">
        <f>recovered!BJ258</f>
        <v/>
      </c>
      <c r="BK258" s="1" t="str">
        <f>recovered!BK258</f>
        <v/>
      </c>
      <c r="BL258" s="1" t="str">
        <f>recovered!BL258</f>
        <v/>
      </c>
      <c r="BM258" s="1" t="str">
        <f>recovered!BM258</f>
        <v/>
      </c>
      <c r="BN258" s="1" t="str">
        <f>recovered!BN258</f>
        <v/>
      </c>
      <c r="BO258" s="1" t="str">
        <f>recovered!BO258</f>
        <v/>
      </c>
      <c r="BP258" s="1" t="str">
        <f>recovered!BP258</f>
        <v/>
      </c>
      <c r="BQ258" s="1" t="str">
        <f>recovered!BQ258</f>
        <v/>
      </c>
      <c r="BR258" s="1" t="str">
        <f>recovered!BR258</f>
        <v/>
      </c>
      <c r="BS258" s="1" t="str">
        <f>recovered!BS258</f>
        <v/>
      </c>
      <c r="BT258" s="1" t="str">
        <f>recovered!BT258</f>
        <v/>
      </c>
      <c r="BU258" s="1" t="str">
        <f>recovered!BU258</f>
        <v/>
      </c>
      <c r="BV258" s="1" t="str">
        <f>recovered!BV258</f>
        <v/>
      </c>
      <c r="BW258" s="1" t="str">
        <f>recovered!BW258</f>
        <v/>
      </c>
      <c r="BX258" s="1" t="str">
        <f>recovered!BX258</f>
        <v/>
      </c>
      <c r="BY258" s="1" t="str">
        <f>recovered!BY258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</row>
    <row r="2">
      <c r="A2" s="11">
        <v>43835.0</v>
      </c>
      <c r="B2" s="12">
        <v>0.1</v>
      </c>
      <c r="C2" s="13">
        <v>3.0</v>
      </c>
      <c r="D2" s="12">
        <v>0.0</v>
      </c>
      <c r="E2" s="12">
        <v>34.0</v>
      </c>
      <c r="F2" s="14">
        <v>31.0</v>
      </c>
      <c r="G2" s="15">
        <v>1.19</v>
      </c>
      <c r="H2" s="16"/>
      <c r="I2" s="16"/>
      <c r="J2" s="16"/>
      <c r="K2" s="16"/>
      <c r="L2" s="16"/>
      <c r="M2" s="16"/>
      <c r="N2" s="16"/>
      <c r="O2" s="16"/>
      <c r="P2" s="16"/>
      <c r="Q2" s="14">
        <v>28703.38</v>
      </c>
      <c r="R2" s="14">
        <v>9071.47</v>
      </c>
      <c r="S2" s="14">
        <v>3246.28</v>
      </c>
      <c r="T2" s="17"/>
      <c r="U2" s="17"/>
      <c r="V2" s="17"/>
    </row>
    <row r="3">
      <c r="A3" s="11">
        <v>43836.0</v>
      </c>
      <c r="B3" s="12">
        <v>0.1</v>
      </c>
      <c r="C3" s="13">
        <v>3.0</v>
      </c>
      <c r="D3" s="12">
        <v>0.0</v>
      </c>
      <c r="E3" s="12">
        <v>96.0</v>
      </c>
      <c r="F3" s="14">
        <v>89.0</v>
      </c>
      <c r="G3" s="12">
        <v>1.08</v>
      </c>
      <c r="H3" s="16"/>
      <c r="I3" s="16"/>
      <c r="J3" s="16"/>
      <c r="K3" s="16"/>
      <c r="L3" s="16"/>
      <c r="M3" s="16"/>
      <c r="N3" s="16"/>
      <c r="O3" s="16"/>
      <c r="P3" s="16"/>
      <c r="Q3" s="14">
        <v>28703.38</v>
      </c>
      <c r="R3" s="14">
        <v>9071.47</v>
      </c>
      <c r="S3" s="14">
        <v>3246.28</v>
      </c>
      <c r="T3" s="12">
        <v>0.0</v>
      </c>
      <c r="U3" s="12">
        <v>0.0</v>
      </c>
      <c r="V3" s="12">
        <v>0.0</v>
      </c>
    </row>
    <row r="4">
      <c r="A4" s="11">
        <v>43837.0</v>
      </c>
      <c r="B4" s="12">
        <v>0.1</v>
      </c>
      <c r="C4" s="13">
        <v>3.0</v>
      </c>
      <c r="D4" s="12">
        <v>0.0</v>
      </c>
      <c r="E4" s="12">
        <v>45.0</v>
      </c>
      <c r="F4" s="14">
        <v>43.0</v>
      </c>
      <c r="G4" s="12">
        <v>1.05</v>
      </c>
      <c r="H4" s="16"/>
      <c r="I4" s="16"/>
      <c r="J4" s="16"/>
      <c r="K4" s="16"/>
      <c r="L4" s="16"/>
      <c r="M4" s="16"/>
      <c r="N4" s="16"/>
      <c r="O4" s="16"/>
      <c r="P4" s="16"/>
      <c r="Q4" s="14">
        <v>28583.68</v>
      </c>
      <c r="R4" s="14">
        <v>9068.58</v>
      </c>
      <c r="S4" s="14">
        <v>3237.18</v>
      </c>
      <c r="T4" s="18">
        <v>119.7</v>
      </c>
      <c r="U4" s="12">
        <v>2.89</v>
      </c>
      <c r="V4" s="19">
        <v>9.1</v>
      </c>
    </row>
    <row r="5">
      <c r="A5" s="11">
        <v>43838.0</v>
      </c>
      <c r="B5" s="12">
        <v>0.1</v>
      </c>
      <c r="C5" s="13">
        <v>3.0</v>
      </c>
      <c r="D5" s="12">
        <v>0.0</v>
      </c>
      <c r="E5" s="12">
        <v>308.0</v>
      </c>
      <c r="F5" s="14">
        <v>245.0</v>
      </c>
      <c r="G5" s="20">
        <v>1.26</v>
      </c>
      <c r="H5" s="16"/>
      <c r="I5" s="16"/>
      <c r="J5" s="16"/>
      <c r="K5" s="16"/>
      <c r="L5" s="16"/>
      <c r="M5" s="16"/>
      <c r="N5" s="16"/>
      <c r="O5" s="16"/>
      <c r="P5" s="16"/>
      <c r="Q5" s="14">
        <v>28745.09</v>
      </c>
      <c r="R5" s="14">
        <v>9129.24</v>
      </c>
      <c r="S5" s="14">
        <v>3253.05</v>
      </c>
      <c r="T5" s="21">
        <v>-161.41</v>
      </c>
      <c r="U5" s="22">
        <v>-60.66</v>
      </c>
      <c r="V5" s="23">
        <v>-15.87</v>
      </c>
    </row>
    <row r="6">
      <c r="A6" s="11">
        <v>43839.0</v>
      </c>
      <c r="B6" s="12">
        <v>0.1</v>
      </c>
      <c r="C6" s="13">
        <v>3.0</v>
      </c>
      <c r="D6" s="12">
        <v>0.1</v>
      </c>
      <c r="E6" s="12">
        <v>679.0</v>
      </c>
      <c r="F6" s="14">
        <v>535.0</v>
      </c>
      <c r="G6" s="20">
        <v>1.27</v>
      </c>
      <c r="H6" s="16"/>
      <c r="I6" s="16"/>
      <c r="J6" s="16"/>
      <c r="K6" s="16"/>
      <c r="L6" s="16"/>
      <c r="M6" s="16"/>
      <c r="N6" s="16"/>
      <c r="O6" s="16"/>
      <c r="P6" s="16"/>
      <c r="Q6" s="14">
        <v>28956.9</v>
      </c>
      <c r="R6" s="14">
        <v>9203.43</v>
      </c>
      <c r="S6" s="14">
        <v>3274.7</v>
      </c>
      <c r="T6" s="24">
        <v>-211.81</v>
      </c>
      <c r="U6" s="25">
        <v>-74.19</v>
      </c>
      <c r="V6" s="26">
        <v>-21.65</v>
      </c>
    </row>
    <row r="7">
      <c r="A7" s="11">
        <v>43840.0</v>
      </c>
      <c r="B7" s="12">
        <v>0.1</v>
      </c>
      <c r="C7" s="13">
        <v>3.0</v>
      </c>
      <c r="D7" s="12">
        <v>0.0</v>
      </c>
      <c r="E7" s="12">
        <v>503.0</v>
      </c>
      <c r="F7" s="14">
        <v>425.0</v>
      </c>
      <c r="G7" s="15">
        <v>1.18</v>
      </c>
      <c r="H7" s="16"/>
      <c r="I7" s="16"/>
      <c r="J7" s="16"/>
      <c r="K7" s="16"/>
      <c r="L7" s="16"/>
      <c r="M7" s="16"/>
      <c r="N7" s="16"/>
      <c r="O7" s="16"/>
      <c r="P7" s="16"/>
      <c r="Q7" s="14">
        <v>28823.77</v>
      </c>
      <c r="R7" s="14">
        <v>9178.86</v>
      </c>
      <c r="S7" s="14">
        <v>3265.35</v>
      </c>
      <c r="T7" s="27">
        <v>133.13</v>
      </c>
      <c r="U7" s="28">
        <v>24.57</v>
      </c>
      <c r="V7" s="19">
        <v>9.35</v>
      </c>
    </row>
    <row r="8">
      <c r="A8" s="11">
        <v>43841.0</v>
      </c>
      <c r="B8" s="12">
        <v>0.1</v>
      </c>
      <c r="C8" s="13">
        <v>3.0</v>
      </c>
      <c r="D8" s="12">
        <v>0.1</v>
      </c>
      <c r="E8" s="12">
        <v>392.0</v>
      </c>
      <c r="F8" s="14">
        <v>316.0</v>
      </c>
      <c r="G8" s="20">
        <v>1.24</v>
      </c>
      <c r="H8" s="16"/>
      <c r="I8" s="16"/>
      <c r="J8" s="16"/>
      <c r="K8" s="16"/>
      <c r="L8" s="16"/>
      <c r="M8" s="16"/>
      <c r="N8" s="16"/>
      <c r="O8" s="16"/>
      <c r="P8" s="16"/>
      <c r="Q8" s="14">
        <v>28907.05</v>
      </c>
      <c r="R8" s="14">
        <v>9273.93</v>
      </c>
      <c r="S8" s="14">
        <v>3288.13</v>
      </c>
      <c r="T8" s="29">
        <v>-83.28</v>
      </c>
      <c r="U8" s="30">
        <v>-95.07</v>
      </c>
      <c r="V8" s="26">
        <v>-22.78</v>
      </c>
    </row>
    <row r="9">
      <c r="A9" s="11">
        <v>43842.0</v>
      </c>
      <c r="B9" s="12">
        <v>0.1</v>
      </c>
      <c r="C9" s="13">
        <v>3.0</v>
      </c>
      <c r="D9" s="12">
        <v>0.1</v>
      </c>
      <c r="E9" s="12">
        <v>160.0</v>
      </c>
      <c r="F9" s="14">
        <v>116.0</v>
      </c>
      <c r="G9" s="31">
        <v>1.38</v>
      </c>
      <c r="H9" s="16"/>
      <c r="I9" s="16"/>
      <c r="J9" s="16"/>
      <c r="K9" s="16"/>
      <c r="L9" s="16"/>
      <c r="M9" s="16"/>
      <c r="N9" s="16"/>
      <c r="O9" s="16"/>
      <c r="P9" s="16"/>
      <c r="Q9" s="14">
        <v>28907.05</v>
      </c>
      <c r="R9" s="14">
        <v>9273.93</v>
      </c>
      <c r="S9" s="14">
        <v>3288.13</v>
      </c>
      <c r="T9" s="12">
        <v>0.0</v>
      </c>
      <c r="U9" s="12">
        <v>0.0</v>
      </c>
      <c r="V9" s="12">
        <v>0.0</v>
      </c>
    </row>
    <row r="10">
      <c r="A10" s="11">
        <v>43843.0</v>
      </c>
      <c r="B10" s="12">
        <v>0.1</v>
      </c>
      <c r="C10" s="13">
        <v>3.0</v>
      </c>
      <c r="D10" s="12">
        <v>0.1</v>
      </c>
      <c r="E10" s="12">
        <v>491.0</v>
      </c>
      <c r="F10" s="14">
        <v>375.0</v>
      </c>
      <c r="G10" s="32">
        <v>1.31</v>
      </c>
      <c r="H10" s="16"/>
      <c r="I10" s="16"/>
      <c r="J10" s="16"/>
      <c r="K10" s="16"/>
      <c r="L10" s="16"/>
      <c r="M10" s="16"/>
      <c r="N10" s="16"/>
      <c r="O10" s="16"/>
      <c r="P10" s="16"/>
      <c r="Q10" s="14">
        <v>28907.05</v>
      </c>
      <c r="R10" s="14">
        <v>9273.93</v>
      </c>
      <c r="S10" s="14">
        <v>3288.13</v>
      </c>
      <c r="T10" s="12">
        <v>0.0</v>
      </c>
      <c r="U10" s="12">
        <v>0.0</v>
      </c>
      <c r="V10" s="12">
        <v>0.0</v>
      </c>
    </row>
    <row r="11">
      <c r="A11" s="11">
        <v>43844.0</v>
      </c>
      <c r="B11" s="12">
        <v>0.1</v>
      </c>
      <c r="C11" s="13">
        <v>3.0</v>
      </c>
      <c r="D11" s="12">
        <v>0.1</v>
      </c>
      <c r="E11" s="12">
        <v>355.0</v>
      </c>
      <c r="F11" s="14">
        <v>240.0</v>
      </c>
      <c r="G11" s="33">
        <v>1.48</v>
      </c>
      <c r="H11" s="16"/>
      <c r="I11" s="16"/>
      <c r="J11" s="16"/>
      <c r="K11" s="16"/>
      <c r="L11" s="16"/>
      <c r="M11" s="16"/>
      <c r="N11" s="16"/>
      <c r="O11" s="16"/>
      <c r="P11" s="16"/>
      <c r="Q11" s="14">
        <v>28939.67</v>
      </c>
      <c r="R11" s="14">
        <v>9251.33</v>
      </c>
      <c r="S11" s="14">
        <v>3283.15</v>
      </c>
      <c r="T11" s="34">
        <v>-32.62</v>
      </c>
      <c r="U11" s="35">
        <v>22.6</v>
      </c>
      <c r="V11" s="36">
        <v>4.98</v>
      </c>
    </row>
    <row r="12">
      <c r="A12" s="11">
        <v>43845.0</v>
      </c>
      <c r="B12" s="12">
        <v>0.1</v>
      </c>
      <c r="C12" s="13">
        <v>3.0</v>
      </c>
      <c r="D12" s="12">
        <v>0.1</v>
      </c>
      <c r="E12" s="12">
        <v>557.0</v>
      </c>
      <c r="F12" s="14">
        <v>395.0</v>
      </c>
      <c r="G12" s="31">
        <v>1.41</v>
      </c>
      <c r="H12" s="16"/>
      <c r="I12" s="16"/>
      <c r="J12" s="16"/>
      <c r="K12" s="16"/>
      <c r="L12" s="16"/>
      <c r="M12" s="16"/>
      <c r="N12" s="16"/>
      <c r="O12" s="16"/>
      <c r="P12" s="16"/>
      <c r="Q12" s="14">
        <v>29030.22</v>
      </c>
      <c r="R12" s="14">
        <v>9258.7</v>
      </c>
      <c r="S12" s="14">
        <v>3289.29</v>
      </c>
      <c r="T12" s="37">
        <v>-90.55</v>
      </c>
      <c r="U12" s="38">
        <v>-7.37</v>
      </c>
      <c r="V12" s="39">
        <v>-6.14</v>
      </c>
    </row>
    <row r="13">
      <c r="A13" s="11">
        <v>43846.0</v>
      </c>
      <c r="B13" s="12">
        <v>0.1</v>
      </c>
      <c r="C13" s="13">
        <v>3.0</v>
      </c>
      <c r="D13" s="12">
        <v>0.1</v>
      </c>
      <c r="E13" s="12">
        <v>1116.0</v>
      </c>
      <c r="F13" s="14">
        <v>648.0</v>
      </c>
      <c r="G13" s="40">
        <v>1.72</v>
      </c>
      <c r="H13" s="16"/>
      <c r="I13" s="16"/>
      <c r="J13" s="16"/>
      <c r="K13" s="16"/>
      <c r="L13" s="16"/>
      <c r="M13" s="16"/>
      <c r="N13" s="16"/>
      <c r="O13" s="16"/>
      <c r="P13" s="16"/>
      <c r="Q13" s="14">
        <v>29297.64</v>
      </c>
      <c r="R13" s="14">
        <v>9357.13</v>
      </c>
      <c r="S13" s="14">
        <v>3316.81</v>
      </c>
      <c r="T13" s="41">
        <v>-267.42</v>
      </c>
      <c r="U13" s="42">
        <v>-98.43</v>
      </c>
      <c r="V13" s="43">
        <v>-27.52</v>
      </c>
    </row>
    <row r="14">
      <c r="A14" s="11">
        <v>43847.0</v>
      </c>
      <c r="B14" s="12">
        <v>0.1</v>
      </c>
      <c r="C14" s="13">
        <v>3.0</v>
      </c>
      <c r="D14" s="12">
        <v>0.1</v>
      </c>
      <c r="E14" s="12">
        <v>1747.0</v>
      </c>
      <c r="F14" s="14">
        <v>1005.0</v>
      </c>
      <c r="G14" s="40">
        <v>1.74</v>
      </c>
      <c r="H14" s="16"/>
      <c r="I14" s="16"/>
      <c r="J14" s="16"/>
      <c r="K14" s="16"/>
      <c r="L14" s="16"/>
      <c r="M14" s="16"/>
      <c r="N14" s="16"/>
      <c r="O14" s="16"/>
      <c r="P14" s="16"/>
      <c r="Q14" s="14">
        <v>29348.1</v>
      </c>
      <c r="R14" s="14">
        <v>9388.94</v>
      </c>
      <c r="S14" s="14">
        <v>3329.62</v>
      </c>
      <c r="T14" s="39">
        <v>-50.46</v>
      </c>
      <c r="U14" s="44">
        <v>-31.81</v>
      </c>
      <c r="V14" s="45">
        <v>-12.81</v>
      </c>
    </row>
    <row r="15">
      <c r="A15" s="11">
        <v>43848.0</v>
      </c>
      <c r="B15" s="12">
        <v>0.1</v>
      </c>
      <c r="C15" s="13">
        <v>3.0</v>
      </c>
      <c r="D15" s="12">
        <v>0.1</v>
      </c>
      <c r="E15" s="12">
        <v>1159.0</v>
      </c>
      <c r="F15" s="14">
        <v>779.0</v>
      </c>
      <c r="G15" s="33">
        <v>1.49</v>
      </c>
      <c r="H15" s="16"/>
      <c r="I15" s="16"/>
      <c r="J15" s="16"/>
      <c r="K15" s="16"/>
      <c r="L15" s="16"/>
      <c r="M15" s="16"/>
      <c r="N15" s="16"/>
      <c r="O15" s="16"/>
      <c r="P15" s="16"/>
      <c r="Q15" s="14">
        <v>29196.04</v>
      </c>
      <c r="R15" s="14">
        <v>9370.81</v>
      </c>
      <c r="S15" s="14">
        <v>3320.79</v>
      </c>
      <c r="T15" s="46">
        <v>152.06</v>
      </c>
      <c r="U15" s="35">
        <v>18.13</v>
      </c>
      <c r="V15" s="19">
        <v>8.83</v>
      </c>
    </row>
    <row r="16">
      <c r="A16" s="11">
        <v>43849.0</v>
      </c>
      <c r="B16" s="12">
        <v>0.1</v>
      </c>
      <c r="C16" s="13">
        <v>3.0</v>
      </c>
      <c r="D16" s="12">
        <v>0.1</v>
      </c>
      <c r="E16" s="12">
        <v>1350.0</v>
      </c>
      <c r="F16" s="14">
        <v>832.0</v>
      </c>
      <c r="G16" s="47">
        <v>1.62</v>
      </c>
      <c r="H16" s="16"/>
      <c r="I16" s="16"/>
      <c r="J16" s="16"/>
      <c r="K16" s="16"/>
      <c r="L16" s="16"/>
      <c r="M16" s="16"/>
      <c r="N16" s="16"/>
      <c r="O16" s="16"/>
      <c r="P16" s="16"/>
      <c r="Q16" s="14">
        <v>29196.04</v>
      </c>
      <c r="R16" s="14">
        <v>9370.81</v>
      </c>
      <c r="S16" s="14">
        <v>3320.79</v>
      </c>
      <c r="T16" s="12">
        <v>0.0</v>
      </c>
      <c r="U16" s="12">
        <v>0.0</v>
      </c>
      <c r="V16" s="12">
        <v>0.0</v>
      </c>
    </row>
    <row r="17">
      <c r="A17" s="11">
        <v>43850.0</v>
      </c>
      <c r="B17" s="48">
        <v>1.0</v>
      </c>
      <c r="C17" s="13">
        <v>3.0</v>
      </c>
      <c r="D17" s="12">
        <v>0.1</v>
      </c>
      <c r="E17" s="20">
        <v>3885.0</v>
      </c>
      <c r="F17" s="14">
        <v>1647.0</v>
      </c>
      <c r="G17" s="49">
        <v>2.36</v>
      </c>
      <c r="H17" s="16"/>
      <c r="I17" s="16"/>
      <c r="J17" s="16"/>
      <c r="K17" s="16"/>
      <c r="L17" s="16"/>
      <c r="M17" s="16"/>
      <c r="N17" s="16"/>
      <c r="O17" s="16"/>
      <c r="P17" s="16"/>
      <c r="Q17" s="14">
        <v>29196.04</v>
      </c>
      <c r="R17" s="14">
        <v>9370.81</v>
      </c>
      <c r="S17" s="14">
        <v>3320.79</v>
      </c>
      <c r="T17" s="12">
        <v>0.0</v>
      </c>
      <c r="U17" s="12">
        <v>0.0</v>
      </c>
      <c r="V17" s="12">
        <v>0.0</v>
      </c>
    </row>
    <row r="18">
      <c r="A18" s="11">
        <v>43851.0</v>
      </c>
      <c r="B18" s="50">
        <v>2.0</v>
      </c>
      <c r="C18" s="13">
        <v>3.0</v>
      </c>
      <c r="D18" s="50">
        <v>2.0</v>
      </c>
      <c r="E18" s="33">
        <v>10447.0</v>
      </c>
      <c r="F18" s="14">
        <v>2862.0</v>
      </c>
      <c r="G18" s="51">
        <v>3.65</v>
      </c>
      <c r="H18" s="16"/>
      <c r="I18" s="16"/>
      <c r="J18" s="16"/>
      <c r="K18" s="16"/>
      <c r="L18" s="16"/>
      <c r="M18" s="16"/>
      <c r="N18" s="16"/>
      <c r="O18" s="16"/>
      <c r="P18" s="16"/>
      <c r="Q18" s="14">
        <v>29196.04</v>
      </c>
      <c r="R18" s="14">
        <v>9370.81</v>
      </c>
      <c r="S18" s="14">
        <v>3320.79</v>
      </c>
      <c r="T18" s="12">
        <v>0.0</v>
      </c>
      <c r="U18" s="12">
        <v>0.0</v>
      </c>
      <c r="V18" s="12">
        <v>0.0</v>
      </c>
    </row>
    <row r="19">
      <c r="A19" s="11">
        <v>43852.0</v>
      </c>
      <c r="B19" s="52">
        <v>4.0</v>
      </c>
      <c r="C19" s="13">
        <v>3.0</v>
      </c>
      <c r="D19" s="53">
        <v>3.0</v>
      </c>
      <c r="E19" s="54">
        <v>14158.0</v>
      </c>
      <c r="F19" s="14">
        <v>3127.0</v>
      </c>
      <c r="G19" s="55">
        <v>4.53</v>
      </c>
      <c r="H19" s="12">
        <v>555.0</v>
      </c>
      <c r="I19" s="14">
        <v>17.0</v>
      </c>
      <c r="J19" s="14">
        <v>28.0</v>
      </c>
      <c r="K19" s="14">
        <v>7.0</v>
      </c>
      <c r="L19" s="14">
        <v>0.0</v>
      </c>
      <c r="M19" s="56">
        <v>0.0</v>
      </c>
      <c r="N19" s="16"/>
      <c r="O19" s="16"/>
      <c r="P19" s="16"/>
      <c r="Q19" s="14">
        <v>29186.27</v>
      </c>
      <c r="R19" s="14">
        <v>9383.77</v>
      </c>
      <c r="S19" s="14">
        <v>3321.75</v>
      </c>
      <c r="T19" s="12">
        <v>9.77</v>
      </c>
      <c r="U19" s="34">
        <v>-12.96</v>
      </c>
      <c r="V19" s="57">
        <v>-0.96</v>
      </c>
    </row>
    <row r="20">
      <c r="A20" s="11">
        <v>43853.0</v>
      </c>
      <c r="B20" s="58">
        <v>6.0</v>
      </c>
      <c r="C20" s="59">
        <v>4.0</v>
      </c>
      <c r="D20" s="60">
        <v>7.0</v>
      </c>
      <c r="E20" s="61">
        <v>17253.0</v>
      </c>
      <c r="F20" s="14">
        <v>3496.0</v>
      </c>
      <c r="G20" s="62">
        <v>4.94</v>
      </c>
      <c r="H20" s="12">
        <v>653.0</v>
      </c>
      <c r="I20" s="14">
        <v>18.0</v>
      </c>
      <c r="J20" s="14">
        <v>30.0</v>
      </c>
      <c r="K20" s="14">
        <v>10.0</v>
      </c>
      <c r="L20" s="14">
        <v>0.0</v>
      </c>
      <c r="M20" s="56">
        <v>0.0</v>
      </c>
      <c r="N20" s="14">
        <v>98.0</v>
      </c>
      <c r="O20" s="12">
        <v>95.0</v>
      </c>
      <c r="P20" s="12">
        <v>3.0</v>
      </c>
      <c r="Q20" s="14">
        <v>29160.09</v>
      </c>
      <c r="R20" s="14">
        <v>9402.48</v>
      </c>
      <c r="S20" s="14">
        <v>3325.54</v>
      </c>
      <c r="T20" s="63">
        <v>26.18</v>
      </c>
      <c r="U20" s="39">
        <v>-18.71</v>
      </c>
      <c r="V20" s="34">
        <v>-3.79</v>
      </c>
    </row>
    <row r="21">
      <c r="A21" s="11">
        <v>43854.0</v>
      </c>
      <c r="B21" s="64">
        <v>9.0</v>
      </c>
      <c r="C21" s="59">
        <v>4.0</v>
      </c>
      <c r="D21" s="65">
        <v>11.0</v>
      </c>
      <c r="E21" s="61">
        <v>18422.0</v>
      </c>
      <c r="F21" s="14">
        <v>3878.0</v>
      </c>
      <c r="G21" s="66">
        <v>4.75</v>
      </c>
      <c r="H21" s="12">
        <v>941.0</v>
      </c>
      <c r="I21" s="14">
        <v>26.0</v>
      </c>
      <c r="J21" s="14">
        <v>36.0</v>
      </c>
      <c r="K21" s="14">
        <v>21.0</v>
      </c>
      <c r="L21" s="14">
        <v>0.0</v>
      </c>
      <c r="M21" s="56">
        <v>0.0</v>
      </c>
      <c r="N21" s="14">
        <v>288.0</v>
      </c>
      <c r="O21" s="67">
        <v>277.0</v>
      </c>
      <c r="P21" s="12">
        <v>11.0</v>
      </c>
      <c r="Q21" s="14">
        <v>28989.73</v>
      </c>
      <c r="R21" s="14">
        <v>9314.91</v>
      </c>
      <c r="S21" s="14">
        <v>3295.47</v>
      </c>
      <c r="T21" s="68">
        <v>170.36</v>
      </c>
      <c r="U21" s="69">
        <v>87.57</v>
      </c>
      <c r="V21" s="69">
        <v>30.07</v>
      </c>
    </row>
    <row r="22">
      <c r="A22" s="11">
        <v>43855.0</v>
      </c>
      <c r="B22" s="70">
        <v>12.0</v>
      </c>
      <c r="C22" s="59">
        <v>4.0</v>
      </c>
      <c r="D22" s="71">
        <v>16.0</v>
      </c>
      <c r="E22" s="33">
        <v>10381.0</v>
      </c>
      <c r="F22" s="14">
        <v>2561.0</v>
      </c>
      <c r="G22" s="72">
        <v>4.05</v>
      </c>
      <c r="H22" s="73">
        <v>1434.0</v>
      </c>
      <c r="I22" s="14">
        <v>42.0</v>
      </c>
      <c r="J22" s="14">
        <v>39.0</v>
      </c>
      <c r="K22" s="14">
        <v>28.0</v>
      </c>
      <c r="L22" s="14">
        <v>0.0</v>
      </c>
      <c r="M22" s="56">
        <v>0.0</v>
      </c>
      <c r="N22" s="14">
        <v>493.0</v>
      </c>
      <c r="O22" s="74">
        <v>486.0</v>
      </c>
      <c r="P22" s="12">
        <v>7.0</v>
      </c>
      <c r="Q22" s="14">
        <v>28535.8</v>
      </c>
      <c r="R22" s="14">
        <v>9139.31</v>
      </c>
      <c r="S22" s="14">
        <v>3243.63</v>
      </c>
      <c r="T22" s="75">
        <v>453.93</v>
      </c>
      <c r="U22" s="76">
        <v>175.6</v>
      </c>
      <c r="V22" s="77">
        <v>51.84</v>
      </c>
    </row>
    <row r="23">
      <c r="A23" s="11">
        <v>43856.0</v>
      </c>
      <c r="B23" s="78">
        <v>13.0</v>
      </c>
      <c r="C23" s="59">
        <v>4.0</v>
      </c>
      <c r="D23" s="79">
        <v>15.0</v>
      </c>
      <c r="E23" s="80">
        <v>12598.0</v>
      </c>
      <c r="F23" s="14">
        <v>2947.0</v>
      </c>
      <c r="G23" s="81">
        <v>4.27</v>
      </c>
      <c r="H23" s="73">
        <v>2118.0</v>
      </c>
      <c r="I23" s="14">
        <v>56.0</v>
      </c>
      <c r="J23" s="14">
        <v>52.0</v>
      </c>
      <c r="K23" s="14">
        <v>43.0</v>
      </c>
      <c r="L23" s="14">
        <v>0.0</v>
      </c>
      <c r="M23" s="56">
        <v>3.0</v>
      </c>
      <c r="N23" s="14">
        <v>684.0</v>
      </c>
      <c r="O23" s="82">
        <v>669.0</v>
      </c>
      <c r="P23" s="12">
        <v>15.0</v>
      </c>
      <c r="Q23" s="14">
        <v>28535.8</v>
      </c>
      <c r="R23" s="14">
        <v>9139.31</v>
      </c>
      <c r="S23" s="14">
        <v>3243.63</v>
      </c>
      <c r="T23" s="12">
        <v>0.0</v>
      </c>
      <c r="U23" s="12">
        <v>0.0</v>
      </c>
      <c r="V23" s="12">
        <v>0.0</v>
      </c>
    </row>
    <row r="24">
      <c r="A24" s="11">
        <v>43857.0</v>
      </c>
      <c r="B24" s="83">
        <v>14.0</v>
      </c>
      <c r="C24" s="84">
        <v>5.0</v>
      </c>
      <c r="D24" s="85">
        <v>19.0</v>
      </c>
      <c r="E24" s="86">
        <v>21762.0</v>
      </c>
      <c r="F24" s="14">
        <v>4497.0</v>
      </c>
      <c r="G24" s="87">
        <v>4.84</v>
      </c>
      <c r="H24" s="73">
        <v>2927.0</v>
      </c>
      <c r="I24" s="14">
        <v>82.0</v>
      </c>
      <c r="J24" s="14">
        <v>61.0</v>
      </c>
      <c r="K24" s="14">
        <v>50.0</v>
      </c>
      <c r="L24" s="14">
        <v>0.0</v>
      </c>
      <c r="M24" s="56">
        <v>3.0</v>
      </c>
      <c r="N24" s="14">
        <v>809.0</v>
      </c>
      <c r="O24" s="88">
        <v>802.0</v>
      </c>
      <c r="P24" s="12">
        <v>7.0</v>
      </c>
      <c r="Q24" s="14">
        <v>28535.8</v>
      </c>
      <c r="R24" s="14">
        <v>9139.31</v>
      </c>
      <c r="S24" s="14">
        <v>3243.63</v>
      </c>
      <c r="T24" s="12">
        <v>0.0</v>
      </c>
      <c r="U24" s="12">
        <v>0.0</v>
      </c>
      <c r="V24" s="12">
        <v>0.0</v>
      </c>
    </row>
    <row r="25">
      <c r="A25" s="11">
        <v>43858.0</v>
      </c>
      <c r="B25" s="89">
        <v>17.0</v>
      </c>
      <c r="C25" s="84">
        <v>5.0</v>
      </c>
      <c r="D25" s="90">
        <v>24.0</v>
      </c>
      <c r="E25" s="91">
        <v>26582.0</v>
      </c>
      <c r="F25" s="14">
        <v>4936.0</v>
      </c>
      <c r="G25" s="92">
        <v>5.39</v>
      </c>
      <c r="H25" s="93">
        <v>5578.0</v>
      </c>
      <c r="I25" s="14">
        <v>131.0</v>
      </c>
      <c r="J25" s="14">
        <v>107.0</v>
      </c>
      <c r="K25" s="14">
        <v>69.0</v>
      </c>
      <c r="L25" s="14">
        <v>0.0</v>
      </c>
      <c r="M25" s="56">
        <v>6.0</v>
      </c>
      <c r="N25" s="94">
        <v>2651.0</v>
      </c>
      <c r="O25" s="95">
        <v>2632.0</v>
      </c>
      <c r="P25" s="12">
        <v>19.0</v>
      </c>
      <c r="Q25" s="14">
        <v>28722.85</v>
      </c>
      <c r="R25" s="14">
        <v>9269.68</v>
      </c>
      <c r="S25" s="14">
        <v>3276.24</v>
      </c>
      <c r="T25" s="26">
        <v>-187.05</v>
      </c>
      <c r="U25" s="96">
        <v>-130.37</v>
      </c>
      <c r="V25" s="30">
        <v>-32.61</v>
      </c>
    </row>
    <row r="26">
      <c r="A26" s="11">
        <v>43859.0</v>
      </c>
      <c r="B26" s="71">
        <v>16.0</v>
      </c>
      <c r="C26" s="84">
        <v>5.0</v>
      </c>
      <c r="D26" s="90">
        <v>24.0</v>
      </c>
      <c r="E26" s="97">
        <v>28748.0</v>
      </c>
      <c r="F26" s="14">
        <v>5229.0</v>
      </c>
      <c r="G26" s="98">
        <v>5.5</v>
      </c>
      <c r="H26" s="99">
        <v>6166.0</v>
      </c>
      <c r="I26" s="14">
        <v>133.0</v>
      </c>
      <c r="J26" s="14">
        <v>126.0</v>
      </c>
      <c r="K26" s="14">
        <v>79.0</v>
      </c>
      <c r="L26" s="14">
        <v>0.0</v>
      </c>
      <c r="M26" s="56">
        <v>6.0</v>
      </c>
      <c r="N26" s="14">
        <v>588.0</v>
      </c>
      <c r="O26" s="100">
        <v>578.0</v>
      </c>
      <c r="P26" s="12">
        <v>10.0</v>
      </c>
      <c r="Q26" s="14">
        <v>28734.45</v>
      </c>
      <c r="R26" s="14">
        <v>9275.16</v>
      </c>
      <c r="S26" s="14">
        <v>3273.4</v>
      </c>
      <c r="T26" s="57">
        <v>-11.6</v>
      </c>
      <c r="U26" s="38">
        <v>-5.48</v>
      </c>
      <c r="V26" s="63">
        <v>2.84</v>
      </c>
    </row>
    <row r="27">
      <c r="A27" s="11">
        <v>43860.0</v>
      </c>
      <c r="B27" s="101">
        <v>18.0</v>
      </c>
      <c r="C27" s="84">
        <v>5.0</v>
      </c>
      <c r="D27" s="102">
        <v>27.0</v>
      </c>
      <c r="E27" s="103">
        <v>34210.0</v>
      </c>
      <c r="F27" s="14">
        <v>5605.0</v>
      </c>
      <c r="G27" s="104">
        <v>6.1</v>
      </c>
      <c r="H27" s="105">
        <v>8234.0</v>
      </c>
      <c r="I27" s="14">
        <v>171.0</v>
      </c>
      <c r="J27" s="14">
        <v>143.0</v>
      </c>
      <c r="K27" s="14">
        <v>93.0</v>
      </c>
      <c r="L27" s="14">
        <v>0.0</v>
      </c>
      <c r="M27" s="56">
        <v>8.0</v>
      </c>
      <c r="N27" s="94">
        <v>2068.0</v>
      </c>
      <c r="O27" s="106">
        <v>2054.0</v>
      </c>
      <c r="P27" s="12">
        <v>14.0</v>
      </c>
      <c r="Q27" s="14">
        <v>28859.44</v>
      </c>
      <c r="R27" s="14">
        <v>9298.93</v>
      </c>
      <c r="S27" s="14">
        <v>3283.66</v>
      </c>
      <c r="T27" s="107">
        <v>-124.99</v>
      </c>
      <c r="U27" s="108">
        <v>-23.77</v>
      </c>
      <c r="V27" s="37">
        <v>-10.26</v>
      </c>
    </row>
    <row r="28">
      <c r="A28" s="11">
        <v>43861.0</v>
      </c>
      <c r="B28" s="85">
        <v>19.0</v>
      </c>
      <c r="C28" s="84">
        <v>5.0</v>
      </c>
      <c r="D28" s="109">
        <v>28.0</v>
      </c>
      <c r="E28" s="110">
        <v>31925.0</v>
      </c>
      <c r="F28" s="14">
        <v>5468.0</v>
      </c>
      <c r="G28" s="111">
        <v>5.84</v>
      </c>
      <c r="H28" s="112">
        <v>9927.0</v>
      </c>
      <c r="I28" s="14">
        <v>213.0</v>
      </c>
      <c r="J28" s="14">
        <v>222.0</v>
      </c>
      <c r="K28" s="14">
        <v>125.0</v>
      </c>
      <c r="L28" s="14">
        <v>0.0</v>
      </c>
      <c r="M28" s="56">
        <v>8.0</v>
      </c>
      <c r="N28" s="94">
        <v>1693.0</v>
      </c>
      <c r="O28" s="113">
        <v>1661.0</v>
      </c>
      <c r="P28" s="12">
        <v>32.0</v>
      </c>
      <c r="Q28" s="14">
        <v>28256.03</v>
      </c>
      <c r="R28" s="14">
        <v>9150.94</v>
      </c>
      <c r="S28" s="14">
        <v>3225.52</v>
      </c>
      <c r="T28" s="114">
        <v>603.41</v>
      </c>
      <c r="U28" s="75">
        <v>147.99</v>
      </c>
      <c r="V28" s="115">
        <v>58.14</v>
      </c>
    </row>
    <row r="29">
      <c r="A29" s="11">
        <v>43862.0</v>
      </c>
      <c r="B29" s="83">
        <v>14.0</v>
      </c>
      <c r="C29" s="59">
        <v>4.0</v>
      </c>
      <c r="D29" s="116">
        <v>26.0</v>
      </c>
      <c r="E29" s="40">
        <v>15833.0</v>
      </c>
      <c r="F29" s="14">
        <v>3266.0</v>
      </c>
      <c r="G29" s="87">
        <v>4.85</v>
      </c>
      <c r="H29" s="117">
        <v>12038.0</v>
      </c>
      <c r="I29" s="14">
        <v>259.0</v>
      </c>
      <c r="J29" s="14">
        <v>284.0</v>
      </c>
      <c r="K29" s="14">
        <v>147.0</v>
      </c>
      <c r="L29" s="14">
        <v>0.0</v>
      </c>
      <c r="M29" s="56">
        <v>9.0</v>
      </c>
      <c r="N29" s="94">
        <v>2111.0</v>
      </c>
      <c r="O29" s="118">
        <v>2089.0</v>
      </c>
      <c r="P29" s="12">
        <v>22.0</v>
      </c>
      <c r="Q29" s="14">
        <v>28399.81</v>
      </c>
      <c r="R29" s="14">
        <v>9273.4</v>
      </c>
      <c r="S29" s="14">
        <v>3248.92</v>
      </c>
      <c r="T29" s="119">
        <v>-143.78</v>
      </c>
      <c r="U29" s="120">
        <v>-122.46</v>
      </c>
      <c r="V29" s="24">
        <v>-23.4</v>
      </c>
    </row>
    <row r="30">
      <c r="A30" s="11">
        <v>43863.0</v>
      </c>
      <c r="B30" s="65">
        <v>11.0</v>
      </c>
      <c r="C30" s="59">
        <v>4.0</v>
      </c>
      <c r="D30" s="90">
        <v>24.0</v>
      </c>
      <c r="E30" s="61">
        <v>17267.0</v>
      </c>
      <c r="F30" s="14">
        <v>3534.0</v>
      </c>
      <c r="G30" s="121">
        <v>4.89</v>
      </c>
      <c r="H30" s="122">
        <v>16787.0</v>
      </c>
      <c r="I30" s="14">
        <v>362.0</v>
      </c>
      <c r="J30" s="14">
        <v>472.0</v>
      </c>
      <c r="K30" s="14">
        <v>157.0</v>
      </c>
      <c r="L30" s="14">
        <v>1.0</v>
      </c>
      <c r="M30" s="56">
        <v>9.0</v>
      </c>
      <c r="N30" s="94">
        <v>4749.0</v>
      </c>
      <c r="O30" s="123">
        <v>4739.0</v>
      </c>
      <c r="P30" s="12">
        <v>10.0</v>
      </c>
      <c r="Q30" s="14">
        <v>28399.81</v>
      </c>
      <c r="R30" s="14">
        <v>9273.4</v>
      </c>
      <c r="S30" s="14">
        <v>3248.92</v>
      </c>
      <c r="T30" s="12">
        <v>0.0</v>
      </c>
      <c r="U30" s="12">
        <v>0.0</v>
      </c>
      <c r="V30" s="12">
        <v>0.0</v>
      </c>
    </row>
    <row r="31">
      <c r="A31" s="11">
        <v>43864.0</v>
      </c>
      <c r="B31" s="124">
        <v>10.0</v>
      </c>
      <c r="C31" s="59">
        <v>4.0</v>
      </c>
      <c r="D31" s="85">
        <v>19.0</v>
      </c>
      <c r="E31" s="97">
        <v>28135.0</v>
      </c>
      <c r="F31" s="14">
        <v>5220.0</v>
      </c>
      <c r="G31" s="92">
        <v>5.39</v>
      </c>
      <c r="H31" s="125">
        <v>19881.0</v>
      </c>
      <c r="I31" s="14">
        <v>426.0</v>
      </c>
      <c r="J31" s="14">
        <v>623.0</v>
      </c>
      <c r="K31" s="14">
        <v>165.0</v>
      </c>
      <c r="L31" s="14">
        <v>1.0</v>
      </c>
      <c r="M31" s="56">
        <v>9.0</v>
      </c>
      <c r="N31" s="94">
        <v>3094.0</v>
      </c>
      <c r="O31" s="126">
        <v>3086.0</v>
      </c>
      <c r="P31" s="12">
        <v>8.0</v>
      </c>
      <c r="Q31" s="14">
        <v>28399.81</v>
      </c>
      <c r="R31" s="14">
        <v>9273.4</v>
      </c>
      <c r="S31" s="14">
        <v>3248.92</v>
      </c>
      <c r="T31" s="12">
        <v>0.0</v>
      </c>
      <c r="U31" s="12">
        <v>0.0</v>
      </c>
      <c r="V31" s="12">
        <v>0.0</v>
      </c>
    </row>
    <row r="32">
      <c r="A32" s="11">
        <v>43865.0</v>
      </c>
      <c r="B32" s="64">
        <v>9.0</v>
      </c>
      <c r="C32" s="59">
        <v>4.0</v>
      </c>
      <c r="D32" s="85">
        <v>19.0</v>
      </c>
      <c r="E32" s="97">
        <v>29730.0</v>
      </c>
      <c r="F32" s="14">
        <v>5267.0</v>
      </c>
      <c r="G32" s="127">
        <v>5.64</v>
      </c>
      <c r="H32" s="128">
        <v>23892.0</v>
      </c>
      <c r="I32" s="14">
        <v>492.0</v>
      </c>
      <c r="J32" s="14">
        <v>852.0</v>
      </c>
      <c r="K32" s="14">
        <v>185.0</v>
      </c>
      <c r="L32" s="14">
        <v>1.0</v>
      </c>
      <c r="M32" s="56">
        <v>9.0</v>
      </c>
      <c r="N32" s="94">
        <v>4011.0</v>
      </c>
      <c r="O32" s="129">
        <v>3991.0</v>
      </c>
      <c r="P32" s="12">
        <v>20.0</v>
      </c>
      <c r="Q32" s="14">
        <v>28807.63</v>
      </c>
      <c r="R32" s="14">
        <v>9467.97</v>
      </c>
      <c r="S32" s="14">
        <v>3297.59</v>
      </c>
      <c r="T32" s="130">
        <v>-407.82</v>
      </c>
      <c r="U32" s="131">
        <v>-194.57</v>
      </c>
      <c r="V32" s="132">
        <v>-48.67</v>
      </c>
    </row>
    <row r="33">
      <c r="A33" s="11">
        <v>43866.0</v>
      </c>
      <c r="B33" s="133">
        <v>8.0</v>
      </c>
      <c r="C33" s="59">
        <v>4.0</v>
      </c>
      <c r="D33" s="134">
        <v>17.0</v>
      </c>
      <c r="E33" s="97">
        <v>28534.0</v>
      </c>
      <c r="F33" s="14">
        <v>5227.0</v>
      </c>
      <c r="G33" s="135">
        <v>5.46</v>
      </c>
      <c r="H33" s="136">
        <v>27635.0</v>
      </c>
      <c r="I33" s="14">
        <v>564.0</v>
      </c>
      <c r="J33" s="94">
        <v>1124.0</v>
      </c>
      <c r="K33" s="14">
        <v>195.0</v>
      </c>
      <c r="L33" s="14">
        <v>1.0</v>
      </c>
      <c r="M33" s="56">
        <v>9.0</v>
      </c>
      <c r="N33" s="94">
        <v>3743.0</v>
      </c>
      <c r="O33" s="137">
        <v>3733.0</v>
      </c>
      <c r="P33" s="12">
        <v>10.0</v>
      </c>
      <c r="Q33" s="14">
        <v>29290.85</v>
      </c>
      <c r="R33" s="14">
        <v>9508.68</v>
      </c>
      <c r="S33" s="14">
        <v>3334.69</v>
      </c>
      <c r="T33" s="138">
        <v>-483.22</v>
      </c>
      <c r="U33" s="139">
        <v>-40.71</v>
      </c>
      <c r="V33" s="140">
        <v>-37.1</v>
      </c>
    </row>
    <row r="34">
      <c r="A34" s="11">
        <v>43867.0</v>
      </c>
      <c r="B34" s="133">
        <v>8.0</v>
      </c>
      <c r="C34" s="59">
        <v>4.0</v>
      </c>
      <c r="D34" s="134">
        <v>17.0</v>
      </c>
      <c r="E34" s="141">
        <v>27908.0</v>
      </c>
      <c r="F34" s="14">
        <v>5268.0</v>
      </c>
      <c r="G34" s="142">
        <v>5.3</v>
      </c>
      <c r="H34" s="143">
        <v>30817.0</v>
      </c>
      <c r="I34" s="14">
        <v>634.0</v>
      </c>
      <c r="J34" s="94">
        <v>1487.0</v>
      </c>
      <c r="K34" s="14">
        <v>230.0</v>
      </c>
      <c r="L34" s="14">
        <v>1.0</v>
      </c>
      <c r="M34" s="56">
        <v>10.0</v>
      </c>
      <c r="N34" s="94">
        <v>3182.0</v>
      </c>
      <c r="O34" s="144">
        <v>3147.0</v>
      </c>
      <c r="P34" s="12">
        <v>35.0</v>
      </c>
      <c r="Q34" s="14">
        <v>29379.77</v>
      </c>
      <c r="R34" s="14">
        <v>9572.15</v>
      </c>
      <c r="S34" s="14" t="e">
        <v>#VALUE!</v>
      </c>
      <c r="T34" s="37">
        <v>-88.92</v>
      </c>
      <c r="U34" s="26">
        <v>-63.47</v>
      </c>
      <c r="V34" s="14" t="e">
        <v>#VALUE!</v>
      </c>
    </row>
    <row r="35">
      <c r="A35" s="11">
        <v>43868.0</v>
      </c>
      <c r="B35" s="64">
        <v>9.0</v>
      </c>
      <c r="C35" s="59">
        <v>4.0</v>
      </c>
      <c r="D35" s="145">
        <v>18.0</v>
      </c>
      <c r="E35" s="91">
        <v>27002.0</v>
      </c>
      <c r="F35" s="14">
        <v>5064.0</v>
      </c>
      <c r="G35" s="142">
        <v>5.33</v>
      </c>
      <c r="H35" s="146">
        <v>34391.0</v>
      </c>
      <c r="I35" s="14">
        <v>719.0</v>
      </c>
      <c r="J35" s="94">
        <v>2011.0</v>
      </c>
      <c r="K35" s="14">
        <v>281.0</v>
      </c>
      <c r="L35" s="14">
        <v>1.0</v>
      </c>
      <c r="M35" s="56">
        <v>12.0</v>
      </c>
      <c r="N35" s="94">
        <v>3574.0</v>
      </c>
      <c r="O35" s="147">
        <v>3523.0</v>
      </c>
      <c r="P35" s="12">
        <v>51.0</v>
      </c>
      <c r="Q35" s="14">
        <v>29102.51</v>
      </c>
      <c r="R35" s="14">
        <v>9520.51</v>
      </c>
      <c r="S35" s="14">
        <v>3327.71</v>
      </c>
      <c r="T35" s="69">
        <v>277.26</v>
      </c>
      <c r="U35" s="148">
        <v>51.64</v>
      </c>
      <c r="V35" s="14" t="e">
        <v>#VALUE!</v>
      </c>
    </row>
    <row r="36">
      <c r="A36" s="11">
        <v>43869.0</v>
      </c>
      <c r="B36" s="133">
        <v>8.0</v>
      </c>
      <c r="C36" s="13">
        <v>3.0</v>
      </c>
      <c r="D36" s="145">
        <v>18.0</v>
      </c>
      <c r="E36" s="47">
        <v>13600.0</v>
      </c>
      <c r="F36" s="14">
        <v>3150.0</v>
      </c>
      <c r="G36" s="81">
        <v>4.32</v>
      </c>
      <c r="H36" s="113">
        <v>37120.0</v>
      </c>
      <c r="I36" s="14">
        <v>806.0</v>
      </c>
      <c r="J36" s="94">
        <v>2616.0</v>
      </c>
      <c r="K36" s="14">
        <v>306.0</v>
      </c>
      <c r="L36" s="14">
        <v>1.0</v>
      </c>
      <c r="M36" s="56">
        <v>20.0</v>
      </c>
      <c r="N36" s="94">
        <v>2729.0</v>
      </c>
      <c r="O36" s="149">
        <v>2704.0</v>
      </c>
      <c r="P36" s="12">
        <v>25.0</v>
      </c>
      <c r="Q36" s="14">
        <v>29276.82</v>
      </c>
      <c r="R36" s="14">
        <v>9628.39</v>
      </c>
      <c r="S36" s="14">
        <v>3352.09</v>
      </c>
      <c r="T36" s="22">
        <v>-174.31</v>
      </c>
      <c r="U36" s="150">
        <v>-107.88</v>
      </c>
      <c r="V36" s="24">
        <v>-24.38</v>
      </c>
    </row>
    <row r="37">
      <c r="A37" s="11">
        <v>43870.0</v>
      </c>
      <c r="B37" s="133">
        <v>8.0</v>
      </c>
      <c r="C37" s="13">
        <v>3.0</v>
      </c>
      <c r="D37" s="151">
        <v>14.0</v>
      </c>
      <c r="E37" s="47">
        <v>13653.0</v>
      </c>
      <c r="F37" s="14">
        <v>3030.0</v>
      </c>
      <c r="G37" s="152">
        <v>4.51</v>
      </c>
      <c r="H37" s="153">
        <v>40150.0</v>
      </c>
      <c r="I37" s="14">
        <v>906.0</v>
      </c>
      <c r="J37" s="94">
        <v>3244.0</v>
      </c>
      <c r="K37" s="14">
        <v>321.0</v>
      </c>
      <c r="L37" s="14">
        <v>1.0</v>
      </c>
      <c r="M37" s="56">
        <v>25.0</v>
      </c>
      <c r="N37" s="94">
        <v>3030.0</v>
      </c>
      <c r="O37" s="154">
        <v>3015.0</v>
      </c>
      <c r="P37" s="12">
        <v>15.0</v>
      </c>
      <c r="Q37" s="14">
        <v>29276.82</v>
      </c>
      <c r="R37" s="14">
        <v>9628.39</v>
      </c>
      <c r="S37" s="14">
        <v>3352.09</v>
      </c>
      <c r="T37" s="12">
        <v>0.0</v>
      </c>
      <c r="U37" s="12">
        <v>0.0</v>
      </c>
      <c r="V37" s="12">
        <v>0.0</v>
      </c>
    </row>
    <row r="38">
      <c r="A38" s="11">
        <v>43871.0</v>
      </c>
      <c r="B38" s="133">
        <v>8.0</v>
      </c>
      <c r="C38" s="59">
        <v>4.0</v>
      </c>
      <c r="D38" s="79">
        <v>15.0</v>
      </c>
      <c r="E38" s="91">
        <v>27251.0</v>
      </c>
      <c r="F38" s="94">
        <v>5041.0</v>
      </c>
      <c r="G38" s="92">
        <v>5.41</v>
      </c>
      <c r="H38" s="155">
        <v>42762.0</v>
      </c>
      <c r="I38" s="94">
        <v>1013.0</v>
      </c>
      <c r="J38" s="94">
        <v>3946.0</v>
      </c>
      <c r="K38" s="14">
        <v>408.0</v>
      </c>
      <c r="L38" s="14">
        <v>1.0</v>
      </c>
      <c r="M38" s="56">
        <v>28.0</v>
      </c>
      <c r="N38" s="94">
        <v>2612.0</v>
      </c>
      <c r="O38" s="156">
        <v>2525.0</v>
      </c>
      <c r="P38" s="12">
        <v>87.0</v>
      </c>
      <c r="Q38" s="14">
        <v>29276.82</v>
      </c>
      <c r="R38" s="14">
        <v>9628.39</v>
      </c>
      <c r="S38" s="14">
        <v>3352.09</v>
      </c>
      <c r="T38" s="12">
        <v>0.0</v>
      </c>
      <c r="U38" s="12">
        <v>0.0</v>
      </c>
      <c r="V38" s="12">
        <v>0.0</v>
      </c>
    </row>
    <row r="39">
      <c r="A39" s="11">
        <v>43872.0</v>
      </c>
      <c r="B39" s="60">
        <v>7.0</v>
      </c>
      <c r="C39" s="13">
        <v>3.0</v>
      </c>
      <c r="D39" s="71">
        <v>16.0</v>
      </c>
      <c r="E39" s="97">
        <v>29072.0</v>
      </c>
      <c r="F39" s="94">
        <v>5397.0</v>
      </c>
      <c r="G39" s="92">
        <v>5.39</v>
      </c>
      <c r="H39" s="106">
        <v>44802.0</v>
      </c>
      <c r="I39" s="94">
        <v>1113.0</v>
      </c>
      <c r="J39" s="94">
        <v>4683.0</v>
      </c>
      <c r="K39" s="14">
        <v>416.0</v>
      </c>
      <c r="L39" s="14">
        <v>1.0</v>
      </c>
      <c r="M39" s="56">
        <v>47.0</v>
      </c>
      <c r="N39" s="94">
        <v>2040.0</v>
      </c>
      <c r="O39" s="106">
        <v>2032.0</v>
      </c>
      <c r="P39" s="12">
        <v>8.0</v>
      </c>
      <c r="Q39" s="14">
        <v>29276.34</v>
      </c>
      <c r="R39" s="14">
        <v>9638.94</v>
      </c>
      <c r="S39" s="14">
        <v>3357.75</v>
      </c>
      <c r="T39" s="12">
        <v>0.48</v>
      </c>
      <c r="U39" s="34">
        <v>-10.55</v>
      </c>
      <c r="V39" s="39">
        <v>-5.66</v>
      </c>
    </row>
    <row r="40">
      <c r="A40" s="11">
        <v>43873.0</v>
      </c>
      <c r="B40" s="60">
        <v>7.0</v>
      </c>
      <c r="C40" s="13">
        <v>3.0</v>
      </c>
      <c r="D40" s="151">
        <v>14.0</v>
      </c>
      <c r="E40" s="97">
        <v>29059.0</v>
      </c>
      <c r="F40" s="94">
        <v>5352.0</v>
      </c>
      <c r="G40" s="135">
        <v>5.43</v>
      </c>
      <c r="H40" s="106">
        <v>45221.0</v>
      </c>
      <c r="I40" s="94">
        <v>1118.0</v>
      </c>
      <c r="J40" s="94">
        <v>5150.0</v>
      </c>
      <c r="K40" s="14">
        <v>462.0</v>
      </c>
      <c r="L40" s="14">
        <v>1.0</v>
      </c>
      <c r="M40" s="56">
        <v>68.0</v>
      </c>
      <c r="N40" s="14">
        <v>419.0</v>
      </c>
      <c r="O40" s="157">
        <v>373.0</v>
      </c>
      <c r="P40" s="12">
        <v>46.0</v>
      </c>
      <c r="Q40" s="14">
        <v>29551.42</v>
      </c>
      <c r="R40" s="14">
        <v>9725.96</v>
      </c>
      <c r="S40" s="14">
        <v>3379.45</v>
      </c>
      <c r="T40" s="30">
        <v>-275.08</v>
      </c>
      <c r="U40" s="158">
        <v>-87.02</v>
      </c>
      <c r="V40" s="26">
        <v>-21.7</v>
      </c>
    </row>
    <row r="41">
      <c r="A41" s="11">
        <v>43874.0</v>
      </c>
      <c r="B41" s="133">
        <v>8.0</v>
      </c>
      <c r="C41" s="59">
        <v>4.0</v>
      </c>
      <c r="D41" s="79">
        <v>15.0</v>
      </c>
      <c r="E41" s="110">
        <v>31899.0</v>
      </c>
      <c r="F41" s="94">
        <v>5629.0</v>
      </c>
      <c r="G41" s="159">
        <v>5.67</v>
      </c>
      <c r="H41" s="149">
        <v>60368.0</v>
      </c>
      <c r="I41" s="94">
        <v>1371.0</v>
      </c>
      <c r="J41" s="94">
        <v>6295.0</v>
      </c>
      <c r="K41" s="14">
        <v>473.0</v>
      </c>
      <c r="L41" s="14">
        <v>2.0</v>
      </c>
      <c r="M41" s="56">
        <v>78.0</v>
      </c>
      <c r="N41" s="94">
        <v>15147.0</v>
      </c>
      <c r="O41" s="160">
        <v>15136.0</v>
      </c>
      <c r="P41" s="12">
        <v>11.0</v>
      </c>
      <c r="Q41" s="14">
        <v>29423.31</v>
      </c>
      <c r="R41" s="14">
        <v>9711.97</v>
      </c>
      <c r="S41" s="14">
        <v>3373.94</v>
      </c>
      <c r="T41" s="161">
        <v>128.11</v>
      </c>
      <c r="U41" s="162">
        <v>13.99</v>
      </c>
      <c r="V41" s="36">
        <v>5.51</v>
      </c>
    </row>
    <row r="42">
      <c r="A42" s="11">
        <v>43875.0</v>
      </c>
      <c r="B42" s="60">
        <v>7.0</v>
      </c>
      <c r="C42" s="13">
        <v>3.0</v>
      </c>
      <c r="D42" s="78">
        <v>13.0</v>
      </c>
      <c r="E42" s="91">
        <v>27034.0</v>
      </c>
      <c r="F42" s="94">
        <v>5080.0</v>
      </c>
      <c r="G42" s="142">
        <v>5.32</v>
      </c>
      <c r="H42" s="163">
        <v>66885.0</v>
      </c>
      <c r="I42" s="94">
        <v>1523.0</v>
      </c>
      <c r="J42" s="94">
        <v>8058.0</v>
      </c>
      <c r="K42" s="14">
        <v>527.0</v>
      </c>
      <c r="L42" s="14">
        <v>2.0</v>
      </c>
      <c r="M42" s="56">
        <v>81.0</v>
      </c>
      <c r="N42" s="94">
        <v>6517.0</v>
      </c>
      <c r="O42" s="164">
        <v>6463.0</v>
      </c>
      <c r="P42" s="12">
        <v>54.0</v>
      </c>
      <c r="Q42" s="14">
        <v>29398.08</v>
      </c>
      <c r="R42" s="14">
        <v>9731.18</v>
      </c>
      <c r="S42" s="14">
        <v>3380.16</v>
      </c>
      <c r="T42" s="165">
        <v>25.23</v>
      </c>
      <c r="U42" s="39">
        <v>-19.21</v>
      </c>
      <c r="V42" s="39">
        <v>-6.22</v>
      </c>
    </row>
    <row r="43">
      <c r="A43" s="11">
        <v>43876.0</v>
      </c>
      <c r="B43" s="58">
        <v>6.0</v>
      </c>
      <c r="C43" s="13">
        <v>3.0</v>
      </c>
      <c r="D43" s="78">
        <v>13.0</v>
      </c>
      <c r="E43" s="54">
        <v>14241.0</v>
      </c>
      <c r="F43" s="94">
        <v>3086.0</v>
      </c>
      <c r="G43" s="166">
        <v>4.61</v>
      </c>
      <c r="H43" s="126">
        <v>69030.0</v>
      </c>
      <c r="I43" s="94">
        <v>1666.0</v>
      </c>
      <c r="J43" s="94">
        <v>9395.0</v>
      </c>
      <c r="K43" s="14">
        <v>617.0</v>
      </c>
      <c r="L43" s="14">
        <v>3.0</v>
      </c>
      <c r="M43" s="56">
        <v>97.0</v>
      </c>
      <c r="N43" s="94">
        <v>2145.0</v>
      </c>
      <c r="O43" s="106">
        <v>2055.0</v>
      </c>
      <c r="P43" s="12">
        <v>90.0</v>
      </c>
      <c r="Q43" s="14">
        <v>29232.19</v>
      </c>
      <c r="R43" s="14">
        <v>9732.74</v>
      </c>
      <c r="S43" s="14">
        <v>3370.29</v>
      </c>
      <c r="T43" s="68">
        <v>165.89</v>
      </c>
      <c r="U43" s="57">
        <v>-1.56</v>
      </c>
      <c r="V43" s="167">
        <v>9.87</v>
      </c>
    </row>
    <row r="44">
      <c r="A44" s="11">
        <v>43877.0</v>
      </c>
      <c r="B44" s="58">
        <v>6.0</v>
      </c>
      <c r="C44" s="13">
        <v>3.0</v>
      </c>
      <c r="D44" s="70">
        <v>12.0</v>
      </c>
      <c r="E44" s="54">
        <v>14699.0</v>
      </c>
      <c r="F44" s="94">
        <v>3244.0</v>
      </c>
      <c r="G44" s="152">
        <v>4.53</v>
      </c>
      <c r="H44" s="144">
        <v>71224.0</v>
      </c>
      <c r="I44" s="94">
        <v>1770.0</v>
      </c>
      <c r="J44" s="94">
        <v>10865.0</v>
      </c>
      <c r="K44" s="14">
        <v>711.0</v>
      </c>
      <c r="L44" s="14">
        <v>4.0</v>
      </c>
      <c r="M44" s="56">
        <v>110.0</v>
      </c>
      <c r="N44" s="94">
        <v>2194.0</v>
      </c>
      <c r="O44" s="168">
        <v>2100.0</v>
      </c>
      <c r="P44" s="12">
        <v>94.0</v>
      </c>
      <c r="Q44" s="14">
        <v>29232.19</v>
      </c>
      <c r="R44" s="14">
        <v>9732.74</v>
      </c>
      <c r="S44" s="14">
        <v>3370.29</v>
      </c>
      <c r="T44" s="12">
        <v>0.0</v>
      </c>
      <c r="U44" s="12">
        <v>0.0</v>
      </c>
      <c r="V44" s="12">
        <v>0.0</v>
      </c>
    </row>
    <row r="45">
      <c r="A45" s="11">
        <v>43878.0</v>
      </c>
      <c r="B45" s="58">
        <v>6.0</v>
      </c>
      <c r="C45" s="13">
        <v>3.0</v>
      </c>
      <c r="D45" s="70">
        <v>12.0</v>
      </c>
      <c r="E45" s="169">
        <v>24688.0</v>
      </c>
      <c r="F45" s="94">
        <v>5027.0</v>
      </c>
      <c r="G45" s="121">
        <v>4.91</v>
      </c>
      <c r="H45" s="170">
        <v>73258.0</v>
      </c>
      <c r="I45" s="94">
        <v>1868.0</v>
      </c>
      <c r="J45" s="94">
        <v>12583.0</v>
      </c>
      <c r="K45" s="14">
        <v>824.0</v>
      </c>
      <c r="L45" s="14">
        <v>4.0</v>
      </c>
      <c r="M45" s="56">
        <v>121.0</v>
      </c>
      <c r="N45" s="94">
        <v>2034.0</v>
      </c>
      <c r="O45" s="155">
        <v>1921.0</v>
      </c>
      <c r="P45" s="12">
        <v>113.0</v>
      </c>
      <c r="Q45" s="14">
        <v>29232.19</v>
      </c>
      <c r="R45" s="14">
        <v>9732.74</v>
      </c>
      <c r="S45" s="14">
        <v>3370.29</v>
      </c>
      <c r="T45" s="12">
        <v>0.0</v>
      </c>
      <c r="U45" s="12">
        <v>0.0</v>
      </c>
      <c r="V45" s="12">
        <v>0.0</v>
      </c>
    </row>
    <row r="46">
      <c r="A46" s="11">
        <v>43879.0</v>
      </c>
      <c r="B46" s="171">
        <v>5.0</v>
      </c>
      <c r="C46" s="13">
        <v>3.0</v>
      </c>
      <c r="D46" s="65">
        <v>11.0</v>
      </c>
      <c r="E46" s="97">
        <v>28893.0</v>
      </c>
      <c r="F46" s="94">
        <v>5262.0</v>
      </c>
      <c r="G46" s="135">
        <v>5.49</v>
      </c>
      <c r="H46" s="172">
        <v>75136.0</v>
      </c>
      <c r="I46" s="173">
        <v>2007.0</v>
      </c>
      <c r="J46" s="94">
        <v>14352.0</v>
      </c>
      <c r="K46" s="14">
        <v>925.0</v>
      </c>
      <c r="L46" s="14">
        <v>4.0</v>
      </c>
      <c r="M46" s="56">
        <v>146.0</v>
      </c>
      <c r="N46" s="94">
        <v>1878.0</v>
      </c>
      <c r="O46" s="153">
        <v>1777.0</v>
      </c>
      <c r="P46" s="12">
        <v>101.0</v>
      </c>
      <c r="Q46" s="14">
        <v>29232.19</v>
      </c>
      <c r="R46" s="14">
        <v>9732.74</v>
      </c>
      <c r="S46" s="14">
        <v>3370.29</v>
      </c>
      <c r="T46" s="12">
        <v>0.0</v>
      </c>
      <c r="U46" s="12">
        <v>0.0</v>
      </c>
      <c r="V46" s="12">
        <v>0.0</v>
      </c>
    </row>
    <row r="47">
      <c r="A47" s="11">
        <v>43880.0</v>
      </c>
      <c r="B47" s="171">
        <v>5.0</v>
      </c>
      <c r="C47" s="13">
        <v>3.0</v>
      </c>
      <c r="D47" s="124">
        <v>10.0</v>
      </c>
      <c r="E47" s="169">
        <v>24879.0</v>
      </c>
      <c r="F47" s="94">
        <v>5139.0</v>
      </c>
      <c r="G47" s="87">
        <v>4.84</v>
      </c>
      <c r="H47" s="172">
        <v>75639.0</v>
      </c>
      <c r="I47" s="173">
        <v>2122.0</v>
      </c>
      <c r="J47" s="94">
        <v>16121.0</v>
      </c>
      <c r="K47" s="94">
        <v>1020.0</v>
      </c>
      <c r="L47" s="14">
        <v>6.0</v>
      </c>
      <c r="M47" s="56">
        <v>159.0</v>
      </c>
      <c r="N47" s="14">
        <v>503.0</v>
      </c>
      <c r="O47" s="157">
        <v>408.0</v>
      </c>
      <c r="P47" s="12">
        <v>95.0</v>
      </c>
      <c r="Q47" s="14">
        <v>29348.03</v>
      </c>
      <c r="R47" s="14">
        <v>9817.18</v>
      </c>
      <c r="S47" s="14">
        <v>3386.15</v>
      </c>
      <c r="T47" s="139">
        <v>-115.84</v>
      </c>
      <c r="U47" s="174">
        <v>-84.44</v>
      </c>
      <c r="V47" s="23">
        <v>-15.86</v>
      </c>
    </row>
    <row r="48">
      <c r="A48" s="11">
        <v>43881.0</v>
      </c>
      <c r="B48" s="171">
        <v>5.0</v>
      </c>
      <c r="C48" s="13">
        <v>3.0</v>
      </c>
      <c r="D48" s="124">
        <v>10.0</v>
      </c>
      <c r="E48" s="175">
        <v>23508.0</v>
      </c>
      <c r="F48" s="94">
        <v>4635.0</v>
      </c>
      <c r="G48" s="176">
        <v>5.07</v>
      </c>
      <c r="H48" s="172">
        <v>76197.0</v>
      </c>
      <c r="I48" s="94">
        <v>2247.0</v>
      </c>
      <c r="J48" s="94">
        <v>18177.0</v>
      </c>
      <c r="K48" s="94">
        <v>1120.0</v>
      </c>
      <c r="L48" s="14">
        <v>9.0</v>
      </c>
      <c r="M48" s="56">
        <v>163.0</v>
      </c>
      <c r="N48" s="14">
        <v>558.0</v>
      </c>
      <c r="O48" s="177">
        <v>458.0</v>
      </c>
      <c r="P48" s="12">
        <v>100.0</v>
      </c>
      <c r="Q48" s="14">
        <v>29219.98</v>
      </c>
      <c r="R48" s="14">
        <v>9750.97</v>
      </c>
      <c r="S48" s="14">
        <v>3373.23</v>
      </c>
      <c r="T48" s="178">
        <v>128.05</v>
      </c>
      <c r="U48" s="179">
        <v>66.21</v>
      </c>
      <c r="V48" s="18">
        <v>12.92</v>
      </c>
    </row>
    <row r="49">
      <c r="A49" s="11">
        <v>43882.0</v>
      </c>
      <c r="B49" s="133">
        <v>8.0</v>
      </c>
      <c r="C49" s="13">
        <v>3.0</v>
      </c>
      <c r="D49" s="71">
        <v>16.0</v>
      </c>
      <c r="E49" s="169">
        <v>25549.0</v>
      </c>
      <c r="F49" s="94">
        <v>4724.0</v>
      </c>
      <c r="G49" s="92">
        <v>5.41</v>
      </c>
      <c r="H49" s="172">
        <v>76823.0</v>
      </c>
      <c r="I49" s="94">
        <v>2251.0</v>
      </c>
      <c r="J49" s="94">
        <v>18890.0</v>
      </c>
      <c r="K49" s="94">
        <v>1273.0</v>
      </c>
      <c r="L49" s="14">
        <v>13.0</v>
      </c>
      <c r="M49" s="56">
        <v>186.0</v>
      </c>
      <c r="N49" s="14">
        <v>626.0</v>
      </c>
      <c r="O49" s="74">
        <v>473.0</v>
      </c>
      <c r="P49" s="12">
        <v>153.0</v>
      </c>
      <c r="Q49" s="14">
        <v>28992.41</v>
      </c>
      <c r="R49" s="14">
        <v>9576.59</v>
      </c>
      <c r="S49" s="14">
        <v>3337.75</v>
      </c>
      <c r="T49" s="180">
        <v>227.57</v>
      </c>
      <c r="U49" s="76">
        <v>174.38</v>
      </c>
      <c r="V49" s="181">
        <v>35.48</v>
      </c>
    </row>
    <row r="50">
      <c r="A50" s="11">
        <v>43883.0</v>
      </c>
      <c r="B50" s="78">
        <v>13.0</v>
      </c>
      <c r="C50" s="59">
        <v>4.0</v>
      </c>
      <c r="D50" s="102">
        <v>27.0</v>
      </c>
      <c r="E50" s="40">
        <v>15196.0</v>
      </c>
      <c r="F50" s="94">
        <v>3155.0</v>
      </c>
      <c r="G50" s="182">
        <v>4.82</v>
      </c>
      <c r="H50" s="147">
        <v>78579.0</v>
      </c>
      <c r="I50" s="94">
        <v>2458.0</v>
      </c>
      <c r="J50" s="94">
        <v>22886.0</v>
      </c>
      <c r="K50" s="94">
        <v>1578.0</v>
      </c>
      <c r="L50" s="14">
        <v>15.0</v>
      </c>
      <c r="M50" s="56">
        <v>187.0</v>
      </c>
      <c r="N50" s="94">
        <v>1756.0</v>
      </c>
      <c r="O50" s="183">
        <v>1451.0</v>
      </c>
      <c r="P50" s="184">
        <v>305.0</v>
      </c>
      <c r="Q50" s="14">
        <v>27960.8</v>
      </c>
      <c r="R50" s="14">
        <v>9221.28</v>
      </c>
      <c r="S50" s="14">
        <v>3225.89</v>
      </c>
      <c r="T50" s="185">
        <v>1031.61</v>
      </c>
      <c r="U50" s="186">
        <v>355.31</v>
      </c>
      <c r="V50" s="185">
        <v>111.86</v>
      </c>
    </row>
    <row r="51">
      <c r="A51" s="11">
        <v>43884.0</v>
      </c>
      <c r="B51" s="101">
        <v>18.0</v>
      </c>
      <c r="C51" s="59">
        <v>4.0</v>
      </c>
      <c r="D51" s="187">
        <v>36.0</v>
      </c>
      <c r="E51" s="61">
        <v>18472.0</v>
      </c>
      <c r="F51" s="94">
        <v>3506.0</v>
      </c>
      <c r="G51" s="142">
        <v>5.27</v>
      </c>
      <c r="H51" s="147">
        <v>78965.0</v>
      </c>
      <c r="I51" s="94">
        <v>2469.0</v>
      </c>
      <c r="J51" s="94">
        <v>23394.0</v>
      </c>
      <c r="K51" s="94">
        <v>1943.0</v>
      </c>
      <c r="L51" s="14">
        <v>24.0</v>
      </c>
      <c r="M51" s="56">
        <v>207.0</v>
      </c>
      <c r="N51" s="14">
        <v>386.0</v>
      </c>
      <c r="O51" s="12">
        <v>21.0</v>
      </c>
      <c r="P51" s="184">
        <v>365.0</v>
      </c>
      <c r="Q51" s="14">
        <v>27960.8</v>
      </c>
      <c r="R51" s="14">
        <v>9221.28</v>
      </c>
      <c r="S51" s="14">
        <v>3225.89</v>
      </c>
      <c r="T51" s="12">
        <v>0.0</v>
      </c>
      <c r="U51" s="12">
        <v>0.0</v>
      </c>
      <c r="V51" s="12">
        <v>0.0</v>
      </c>
    </row>
    <row r="52">
      <c r="A52" s="11">
        <v>43885.0</v>
      </c>
      <c r="B52" s="188">
        <v>21.0</v>
      </c>
      <c r="C52" s="59">
        <v>4.0</v>
      </c>
      <c r="D52" s="189">
        <v>39.0</v>
      </c>
      <c r="E52" s="190">
        <v>38643.0</v>
      </c>
      <c r="F52" s="94">
        <v>6085.0</v>
      </c>
      <c r="G52" s="191">
        <v>6.35</v>
      </c>
      <c r="H52" s="147">
        <v>79568.0</v>
      </c>
      <c r="I52" s="94">
        <v>2629.0</v>
      </c>
      <c r="J52" s="94">
        <v>25227.0</v>
      </c>
      <c r="K52" s="94">
        <v>2327.0</v>
      </c>
      <c r="L52" s="14">
        <v>34.0</v>
      </c>
      <c r="M52" s="56">
        <v>212.0</v>
      </c>
      <c r="N52" s="14">
        <v>603.0</v>
      </c>
      <c r="O52" s="184">
        <v>219.0</v>
      </c>
      <c r="P52" s="184">
        <v>384.0</v>
      </c>
      <c r="Q52" s="14">
        <v>27960.8</v>
      </c>
      <c r="R52" s="14">
        <v>9221.28</v>
      </c>
      <c r="S52" s="14">
        <v>3225.89</v>
      </c>
      <c r="T52" s="12">
        <v>0.0</v>
      </c>
      <c r="U52" s="12">
        <v>0.0</v>
      </c>
      <c r="V52" s="12">
        <v>0.0</v>
      </c>
    </row>
    <row r="53">
      <c r="A53" s="11">
        <v>43886.0</v>
      </c>
      <c r="B53" s="116">
        <v>26.0</v>
      </c>
      <c r="C53" s="84">
        <v>5.0</v>
      </c>
      <c r="D53" s="192">
        <v>45.0</v>
      </c>
      <c r="E53" s="193">
        <v>46046.0</v>
      </c>
      <c r="F53" s="94">
        <v>6601.0</v>
      </c>
      <c r="G53" s="194">
        <v>6.98</v>
      </c>
      <c r="H53" s="195">
        <v>80413.0</v>
      </c>
      <c r="I53" s="94">
        <v>2708.0</v>
      </c>
      <c r="J53" s="94">
        <v>27905.0</v>
      </c>
      <c r="K53" s="94">
        <v>2659.0</v>
      </c>
      <c r="L53" s="14">
        <v>43.0</v>
      </c>
      <c r="M53" s="56">
        <v>229.0</v>
      </c>
      <c r="N53" s="14">
        <v>845.0</v>
      </c>
      <c r="O53" s="74">
        <v>513.0</v>
      </c>
      <c r="P53" s="184">
        <v>332.0</v>
      </c>
      <c r="Q53" s="14">
        <v>27081.36</v>
      </c>
      <c r="R53" s="14">
        <v>8965.61</v>
      </c>
      <c r="S53" s="14">
        <v>3128.21</v>
      </c>
      <c r="T53" s="196">
        <v>879.44</v>
      </c>
      <c r="U53" s="197">
        <v>255.67</v>
      </c>
      <c r="V53" s="198">
        <v>97.68</v>
      </c>
    </row>
    <row r="54">
      <c r="A54" s="11">
        <v>43887.0</v>
      </c>
      <c r="B54" s="199">
        <v>30.0</v>
      </c>
      <c r="C54" s="200">
        <v>6.0</v>
      </c>
      <c r="D54" s="201">
        <v>50.0</v>
      </c>
      <c r="E54" s="202">
        <v>54784.0</v>
      </c>
      <c r="F54" s="94">
        <v>7287.0</v>
      </c>
      <c r="G54" s="203">
        <v>7.52</v>
      </c>
      <c r="H54" s="204">
        <v>81395.0</v>
      </c>
      <c r="I54" s="94">
        <v>2770.0</v>
      </c>
      <c r="J54" s="94">
        <v>30384.0</v>
      </c>
      <c r="K54" s="94">
        <v>3229.0</v>
      </c>
      <c r="L54" s="14">
        <v>53.0</v>
      </c>
      <c r="M54" s="56">
        <v>300.0</v>
      </c>
      <c r="N54" s="14">
        <v>982.0</v>
      </c>
      <c r="O54" s="157">
        <v>412.0</v>
      </c>
      <c r="P54" s="67">
        <v>570.0</v>
      </c>
      <c r="Q54" s="14">
        <v>26957.59</v>
      </c>
      <c r="R54" s="14">
        <v>8980.78</v>
      </c>
      <c r="S54" s="14">
        <v>3116.39</v>
      </c>
      <c r="T54" s="18">
        <v>123.77</v>
      </c>
      <c r="U54" s="205">
        <v>-15.17</v>
      </c>
      <c r="V54" s="18">
        <v>11.82</v>
      </c>
    </row>
    <row r="55">
      <c r="A55" s="11">
        <v>43888.0</v>
      </c>
      <c r="B55" s="199">
        <v>30.0</v>
      </c>
      <c r="C55" s="200">
        <v>6.0</v>
      </c>
      <c r="D55" s="206">
        <v>48.0</v>
      </c>
      <c r="E55" s="207">
        <v>63088.0</v>
      </c>
      <c r="F55" s="94">
        <v>8086.0</v>
      </c>
      <c r="G55" s="208">
        <v>7.8</v>
      </c>
      <c r="H55" s="137">
        <v>82754.0</v>
      </c>
      <c r="I55" s="94">
        <v>2814.0</v>
      </c>
      <c r="J55" s="94">
        <v>33277.0</v>
      </c>
      <c r="K55" s="94">
        <v>4154.0</v>
      </c>
      <c r="L55" s="14">
        <v>68.0</v>
      </c>
      <c r="M55" s="56">
        <v>347.0</v>
      </c>
      <c r="N55" s="94">
        <v>1359.0</v>
      </c>
      <c r="O55" s="157">
        <v>434.0</v>
      </c>
      <c r="P55" s="157">
        <v>925.0</v>
      </c>
      <c r="Q55" s="14">
        <v>25766.64</v>
      </c>
      <c r="R55" s="14">
        <v>8566.48</v>
      </c>
      <c r="S55" s="14">
        <v>2978.76</v>
      </c>
      <c r="T55" s="209">
        <v>1190.95</v>
      </c>
      <c r="U55" s="210">
        <v>414.3</v>
      </c>
      <c r="V55" s="211">
        <v>137.63</v>
      </c>
    </row>
    <row r="56">
      <c r="A56" s="11">
        <v>43889.0</v>
      </c>
      <c r="B56" s="212">
        <v>31.0</v>
      </c>
      <c r="C56" s="84">
        <v>5.0</v>
      </c>
      <c r="D56" s="213">
        <v>52.0</v>
      </c>
      <c r="E56" s="214">
        <v>74155.0</v>
      </c>
      <c r="F56" s="94">
        <v>8529.0</v>
      </c>
      <c r="G56" s="215">
        <v>8.69</v>
      </c>
      <c r="H56" s="137">
        <v>84120.0</v>
      </c>
      <c r="I56" s="94">
        <v>2872.0</v>
      </c>
      <c r="J56" s="94">
        <v>36711.0</v>
      </c>
      <c r="K56" s="94">
        <v>5192.0</v>
      </c>
      <c r="L56" s="14">
        <v>82.0</v>
      </c>
      <c r="M56" s="56">
        <v>382.0</v>
      </c>
      <c r="N56" s="94">
        <v>1366.0</v>
      </c>
      <c r="O56" s="67">
        <v>328.0</v>
      </c>
      <c r="P56" s="117">
        <v>1038.0</v>
      </c>
      <c r="Q56" s="14">
        <v>25409.36</v>
      </c>
      <c r="R56" s="14">
        <v>8567.37</v>
      </c>
      <c r="S56" s="14">
        <v>2954.22</v>
      </c>
      <c r="T56" s="216">
        <v>357.28</v>
      </c>
      <c r="U56" s="57">
        <v>-0.89</v>
      </c>
      <c r="V56" s="180">
        <v>24.54</v>
      </c>
    </row>
    <row r="57">
      <c r="A57" s="11">
        <v>43890.0</v>
      </c>
      <c r="B57" s="109">
        <v>28.0</v>
      </c>
      <c r="C57" s="84">
        <v>5.0</v>
      </c>
      <c r="D57" s="213">
        <v>52.0</v>
      </c>
      <c r="E57" s="217">
        <v>39370.0</v>
      </c>
      <c r="F57" s="94">
        <v>5348.0</v>
      </c>
      <c r="G57" s="218">
        <v>7.36</v>
      </c>
      <c r="H57" s="219">
        <v>86011.0</v>
      </c>
      <c r="I57" s="94">
        <v>2941.0</v>
      </c>
      <c r="J57" s="94">
        <v>39782.0</v>
      </c>
      <c r="K57" s="94">
        <v>6655.0</v>
      </c>
      <c r="L57" s="14">
        <v>104.0</v>
      </c>
      <c r="M57" s="56">
        <v>462.0</v>
      </c>
      <c r="N57" s="94">
        <v>1891.0</v>
      </c>
      <c r="O57" s="157">
        <v>428.0</v>
      </c>
      <c r="P57" s="220">
        <v>1463.0</v>
      </c>
      <c r="Q57" s="14">
        <v>26703.32</v>
      </c>
      <c r="R57" s="14">
        <v>8952.17</v>
      </c>
      <c r="S57" s="14">
        <v>3090.23</v>
      </c>
      <c r="T57" s="221">
        <v>-1293.96</v>
      </c>
      <c r="U57" s="222">
        <v>-384.8</v>
      </c>
      <c r="V57" s="223">
        <v>-136.01</v>
      </c>
    </row>
    <row r="58">
      <c r="A58" s="11">
        <v>43891.0</v>
      </c>
      <c r="B58" s="116">
        <v>26.0</v>
      </c>
      <c r="C58" s="84">
        <v>5.0</v>
      </c>
      <c r="D58" s="206">
        <v>48.0</v>
      </c>
      <c r="E58" s="190">
        <v>38857.0</v>
      </c>
      <c r="F58" s="94">
        <v>5408.0</v>
      </c>
      <c r="G58" s="224">
        <v>7.19</v>
      </c>
      <c r="H58" s="129">
        <v>88369.0</v>
      </c>
      <c r="I58" s="94">
        <v>2996.0</v>
      </c>
      <c r="J58" s="94">
        <v>42716.0</v>
      </c>
      <c r="K58" s="94">
        <v>8437.0</v>
      </c>
      <c r="L58" s="14">
        <v>124.0</v>
      </c>
      <c r="M58" s="56">
        <v>554.0</v>
      </c>
      <c r="N58" s="94">
        <v>2358.0</v>
      </c>
      <c r="O58" s="100">
        <v>576.0</v>
      </c>
      <c r="P58" s="225">
        <v>1782.0</v>
      </c>
      <c r="Q58" s="14">
        <v>26703.32</v>
      </c>
      <c r="R58" s="14">
        <v>8952.17</v>
      </c>
      <c r="S58" s="14">
        <v>3090.23</v>
      </c>
      <c r="T58" s="12">
        <v>0.0</v>
      </c>
      <c r="U58" s="12">
        <v>0.0</v>
      </c>
      <c r="V58" s="12">
        <v>0.0</v>
      </c>
    </row>
    <row r="59">
      <c r="A59" s="11">
        <v>43892.0</v>
      </c>
      <c r="B59" s="226">
        <v>33.0</v>
      </c>
      <c r="C59" s="200">
        <v>6.0</v>
      </c>
      <c r="D59" s="227">
        <v>54.0</v>
      </c>
      <c r="E59" s="228">
        <v>80241.0</v>
      </c>
      <c r="F59" s="94">
        <v>9663.0</v>
      </c>
      <c r="G59" s="229">
        <v>8.3</v>
      </c>
      <c r="H59" s="230">
        <v>90306.0</v>
      </c>
      <c r="I59" s="94">
        <v>3085.0</v>
      </c>
      <c r="J59" s="94">
        <v>45602.0</v>
      </c>
      <c r="K59" s="94">
        <v>10170.0</v>
      </c>
      <c r="L59" s="14">
        <v>171.0</v>
      </c>
      <c r="M59" s="56">
        <v>748.0</v>
      </c>
      <c r="N59" s="94">
        <v>1937.0</v>
      </c>
      <c r="O59" s="184">
        <v>204.0</v>
      </c>
      <c r="P59" s="225">
        <v>1733.0</v>
      </c>
      <c r="Q59" s="14">
        <v>26703.32</v>
      </c>
      <c r="R59" s="14">
        <v>8952.17</v>
      </c>
      <c r="S59" s="14">
        <v>3090.23</v>
      </c>
      <c r="T59" s="12">
        <v>0.0</v>
      </c>
      <c r="U59" s="12">
        <v>0.0</v>
      </c>
      <c r="V59" s="12">
        <v>0.0</v>
      </c>
    </row>
    <row r="60">
      <c r="A60" s="11">
        <v>43893.0</v>
      </c>
      <c r="B60" s="231">
        <v>32.0</v>
      </c>
      <c r="C60" s="200">
        <v>6.0</v>
      </c>
      <c r="D60" s="227">
        <v>54.0</v>
      </c>
      <c r="E60" s="232">
        <v>85294.0</v>
      </c>
      <c r="F60" s="94">
        <v>9907.0</v>
      </c>
      <c r="G60" s="233">
        <v>8.61</v>
      </c>
      <c r="H60" s="234">
        <v>92840.0</v>
      </c>
      <c r="I60" s="94">
        <v>3160.0</v>
      </c>
      <c r="J60" s="94">
        <v>48228.0</v>
      </c>
      <c r="K60" s="94">
        <v>12579.0</v>
      </c>
      <c r="L60" s="235">
        <v>213.0</v>
      </c>
      <c r="M60" s="56">
        <v>778.0</v>
      </c>
      <c r="N60" s="94">
        <v>2534.0</v>
      </c>
      <c r="O60" s="15">
        <v>125.0</v>
      </c>
      <c r="P60" s="236">
        <v>2409.0</v>
      </c>
      <c r="Q60" s="14">
        <v>25917.41</v>
      </c>
      <c r="R60" s="14">
        <v>8684.09</v>
      </c>
      <c r="S60" s="14">
        <v>3003.37</v>
      </c>
      <c r="T60" s="197">
        <v>785.91</v>
      </c>
      <c r="U60" s="237">
        <v>268.08</v>
      </c>
      <c r="V60" s="238">
        <v>86.86</v>
      </c>
    </row>
    <row r="61">
      <c r="A61" s="11">
        <v>43894.0</v>
      </c>
      <c r="B61" s="239">
        <v>35.0</v>
      </c>
      <c r="C61" s="200">
        <v>6.0</v>
      </c>
      <c r="D61" s="240">
        <v>58.0</v>
      </c>
      <c r="E61" s="241">
        <v>90367.0</v>
      </c>
      <c r="F61" s="14">
        <v>10530.0</v>
      </c>
      <c r="G61" s="242">
        <v>8.61</v>
      </c>
      <c r="H61" s="243">
        <v>95120.0</v>
      </c>
      <c r="I61" s="94">
        <v>3254.0</v>
      </c>
      <c r="J61" s="94">
        <v>51170.0</v>
      </c>
      <c r="K61" s="94">
        <v>14734.0</v>
      </c>
      <c r="L61" s="235">
        <v>271.0</v>
      </c>
      <c r="M61" s="244">
        <v>1169.0</v>
      </c>
      <c r="N61" s="94">
        <v>2280.0</v>
      </c>
      <c r="O61" s="15">
        <v>125.0</v>
      </c>
      <c r="P61" s="245">
        <v>2155.0</v>
      </c>
      <c r="Q61" s="14">
        <v>27090.86</v>
      </c>
      <c r="R61" s="14">
        <v>9018.09</v>
      </c>
      <c r="S61" s="14">
        <v>3130.12</v>
      </c>
      <c r="T61" s="223">
        <v>-1173.45</v>
      </c>
      <c r="U61" s="246">
        <v>-334.0</v>
      </c>
      <c r="V61" s="247">
        <v>-126.75</v>
      </c>
    </row>
    <row r="62">
      <c r="A62" s="11">
        <v>43895.0</v>
      </c>
      <c r="B62" s="248">
        <v>37.0</v>
      </c>
      <c r="C62" s="200">
        <v>6.0</v>
      </c>
      <c r="D62" s="249">
        <v>62.0</v>
      </c>
      <c r="E62" s="250">
        <v>93199.0</v>
      </c>
      <c r="F62" s="14">
        <v>11038.0</v>
      </c>
      <c r="G62" s="251">
        <v>8.44346802</v>
      </c>
      <c r="H62" s="252">
        <v>97882.0</v>
      </c>
      <c r="I62" s="94">
        <v>3348.0</v>
      </c>
      <c r="J62" s="94">
        <v>53796.0</v>
      </c>
      <c r="K62" s="94">
        <v>17345.0</v>
      </c>
      <c r="L62" s="14">
        <v>333.0</v>
      </c>
      <c r="M62" s="244">
        <v>1504.0</v>
      </c>
      <c r="N62" s="94">
        <v>2762.0</v>
      </c>
      <c r="O62" s="184">
        <v>151.0</v>
      </c>
      <c r="P62" s="136">
        <v>2611.0</v>
      </c>
      <c r="Q62" s="14">
        <v>26121.28</v>
      </c>
      <c r="R62" s="14">
        <v>8738.59</v>
      </c>
      <c r="S62" s="14">
        <v>3023.94</v>
      </c>
      <c r="T62" s="253">
        <v>969.58</v>
      </c>
      <c r="U62" s="254">
        <v>279.5</v>
      </c>
      <c r="V62" s="255">
        <v>106.18</v>
      </c>
    </row>
    <row r="63">
      <c r="A63" s="11">
        <v>43896.0</v>
      </c>
      <c r="B63" s="248">
        <v>37.0</v>
      </c>
      <c r="C63" s="200">
        <v>6.0</v>
      </c>
      <c r="D63" s="256">
        <v>63.0</v>
      </c>
      <c r="E63" s="250">
        <v>94440.0</v>
      </c>
      <c r="F63" s="14">
        <v>10983.0</v>
      </c>
      <c r="G63" s="257">
        <v>8.598743513</v>
      </c>
      <c r="H63" s="258">
        <v>101784.0</v>
      </c>
      <c r="I63" s="94">
        <v>3460.0</v>
      </c>
      <c r="J63" s="94">
        <v>55865.0</v>
      </c>
      <c r="K63" s="94">
        <v>21094.0</v>
      </c>
      <c r="L63" s="14">
        <v>416.0</v>
      </c>
      <c r="M63" s="244">
        <v>1921.0</v>
      </c>
      <c r="N63" s="94">
        <v>3902.0</v>
      </c>
      <c r="O63" s="184">
        <v>153.0</v>
      </c>
      <c r="P63" s="153">
        <v>3749.0</v>
      </c>
      <c r="Q63" s="14">
        <v>25864.78</v>
      </c>
      <c r="R63" s="14">
        <v>8575.62</v>
      </c>
      <c r="S63" s="14">
        <v>2972.37</v>
      </c>
      <c r="T63" s="259">
        <v>256.5</v>
      </c>
      <c r="U63" s="260">
        <v>162.97</v>
      </c>
      <c r="V63" s="77">
        <v>51.57</v>
      </c>
    </row>
    <row r="64">
      <c r="A64" s="11">
        <v>43897.0</v>
      </c>
      <c r="B64" s="239">
        <v>35.0</v>
      </c>
      <c r="C64" s="200">
        <v>6.0</v>
      </c>
      <c r="D64" s="256">
        <v>63.0</v>
      </c>
      <c r="E64" s="261">
        <v>52130.0</v>
      </c>
      <c r="F64" s="14">
        <v>6345.0</v>
      </c>
      <c r="G64" s="262">
        <v>8.215918046</v>
      </c>
      <c r="H64" s="263">
        <v>105821.0</v>
      </c>
      <c r="I64" s="94">
        <v>3558.0</v>
      </c>
      <c r="J64" s="94">
        <v>58358.0</v>
      </c>
      <c r="K64" s="94">
        <v>25051.0</v>
      </c>
      <c r="L64" s="14">
        <v>486.0</v>
      </c>
      <c r="M64" s="244">
        <v>2819.0</v>
      </c>
      <c r="N64" s="94">
        <v>4037.0</v>
      </c>
      <c r="O64" s="12">
        <v>80.0</v>
      </c>
      <c r="P64" s="155">
        <v>3957.0</v>
      </c>
      <c r="Q64" s="14">
        <v>23851.02</v>
      </c>
      <c r="R64" s="14">
        <v>7950.68</v>
      </c>
      <c r="S64" s="14">
        <v>2746.56</v>
      </c>
      <c r="T64" s="264">
        <v>2013.76</v>
      </c>
      <c r="U64" s="265">
        <v>624.94</v>
      </c>
      <c r="V64" s="266">
        <v>225.81</v>
      </c>
    </row>
    <row r="65">
      <c r="A65" s="11">
        <v>43898.0</v>
      </c>
      <c r="B65" s="267">
        <v>38.0</v>
      </c>
      <c r="C65" s="200">
        <v>6.0</v>
      </c>
      <c r="D65" s="268">
        <v>65.0</v>
      </c>
      <c r="E65" s="261">
        <v>53638.0</v>
      </c>
      <c r="F65" s="14">
        <v>6431.0</v>
      </c>
      <c r="G65" s="269">
        <v>8.340538019</v>
      </c>
      <c r="H65" s="270">
        <v>109795.0</v>
      </c>
      <c r="I65" s="94">
        <v>3802.0</v>
      </c>
      <c r="J65" s="94">
        <v>60694.0</v>
      </c>
      <c r="K65" s="94">
        <v>28972.0</v>
      </c>
      <c r="L65" s="14">
        <v>702.0</v>
      </c>
      <c r="M65" s="244">
        <v>3306.0</v>
      </c>
      <c r="N65" s="94">
        <v>3974.0</v>
      </c>
      <c r="O65" s="12">
        <v>53.0</v>
      </c>
      <c r="P65" s="271">
        <v>3921.0</v>
      </c>
      <c r="Q65" s="14">
        <v>23851.02</v>
      </c>
      <c r="R65" s="14">
        <v>7950.68</v>
      </c>
      <c r="S65" s="14">
        <v>2746.56</v>
      </c>
      <c r="T65" s="12">
        <v>0.0</v>
      </c>
      <c r="U65" s="12">
        <v>0.0</v>
      </c>
      <c r="V65" s="12">
        <v>0.0</v>
      </c>
    </row>
    <row r="66">
      <c r="A66" s="11">
        <v>43899.0</v>
      </c>
      <c r="B66" s="272">
        <v>47.0</v>
      </c>
      <c r="C66" s="273">
        <v>7.0</v>
      </c>
      <c r="D66" s="274">
        <v>73.0</v>
      </c>
      <c r="E66" s="275">
        <v>117445.0</v>
      </c>
      <c r="F66" s="14">
        <v>11919.0</v>
      </c>
      <c r="G66" s="276">
        <v>9.8535951</v>
      </c>
      <c r="H66" s="277">
        <v>113561.0</v>
      </c>
      <c r="I66" s="94">
        <v>3988.0</v>
      </c>
      <c r="J66" s="94">
        <v>62494.0</v>
      </c>
      <c r="K66" s="94">
        <v>32701.0</v>
      </c>
      <c r="L66" s="14">
        <v>865.0</v>
      </c>
      <c r="M66" s="244">
        <v>3690.0</v>
      </c>
      <c r="N66" s="94">
        <v>3766.0</v>
      </c>
      <c r="O66" s="12">
        <v>37.0</v>
      </c>
      <c r="P66" s="153">
        <v>3729.0</v>
      </c>
      <c r="Q66" s="14">
        <v>23851.02</v>
      </c>
      <c r="R66" s="14">
        <v>7950.68</v>
      </c>
      <c r="S66" s="14">
        <v>2746.56</v>
      </c>
      <c r="T66" s="12">
        <v>0.0</v>
      </c>
      <c r="U66" s="12">
        <v>0.0</v>
      </c>
      <c r="V66" s="12">
        <v>0.0</v>
      </c>
    </row>
    <row r="67">
      <c r="A67" s="11">
        <v>43900.0</v>
      </c>
      <c r="B67" s="278">
        <v>55.0</v>
      </c>
      <c r="C67" s="279">
        <v>8.0</v>
      </c>
      <c r="D67" s="280">
        <v>78.0</v>
      </c>
      <c r="E67" s="281">
        <v>135410.0</v>
      </c>
      <c r="F67" s="14">
        <v>13441.0</v>
      </c>
      <c r="G67" s="282">
        <v>10.07439923</v>
      </c>
      <c r="H67" s="283">
        <v>118592.0</v>
      </c>
      <c r="I67" s="94">
        <v>4262.0</v>
      </c>
      <c r="J67" s="94">
        <v>64404.0</v>
      </c>
      <c r="K67" s="94">
        <v>37705.0</v>
      </c>
      <c r="L67" s="94">
        <v>1123.0</v>
      </c>
      <c r="M67" s="244">
        <v>4223.0</v>
      </c>
      <c r="N67" s="94">
        <v>5031.0</v>
      </c>
      <c r="O67" s="12">
        <v>27.0</v>
      </c>
      <c r="P67" s="284">
        <v>5004.0</v>
      </c>
      <c r="Q67" s="14">
        <v>25018.16</v>
      </c>
      <c r="R67" s="14">
        <v>8344.25</v>
      </c>
      <c r="S67" s="14">
        <v>2882.23</v>
      </c>
      <c r="T67" s="223">
        <v>-1167.14</v>
      </c>
      <c r="U67" s="285">
        <v>-393.57</v>
      </c>
      <c r="V67" s="223">
        <v>-135.67</v>
      </c>
    </row>
    <row r="68">
      <c r="A68" s="11">
        <v>43901.0</v>
      </c>
      <c r="B68" s="286">
        <v>66.0</v>
      </c>
      <c r="C68" s="287">
        <v>9.0</v>
      </c>
      <c r="D68" s="288">
        <v>85.0</v>
      </c>
      <c r="E68" s="289">
        <v>163683.0</v>
      </c>
      <c r="F68" s="14">
        <v>15343.0</v>
      </c>
      <c r="G68" s="290">
        <v>10.66825262</v>
      </c>
      <c r="H68" s="291">
        <v>125865.0</v>
      </c>
      <c r="I68" s="94">
        <v>4615.0</v>
      </c>
      <c r="J68" s="94">
        <v>67003.0</v>
      </c>
      <c r="K68" s="94">
        <v>44944.0</v>
      </c>
      <c r="L68" s="94">
        <v>1454.0</v>
      </c>
      <c r="M68" s="244">
        <v>5359.0</v>
      </c>
      <c r="N68" s="94">
        <v>7273.0</v>
      </c>
      <c r="O68" s="12">
        <v>34.0</v>
      </c>
      <c r="P68" s="172">
        <v>7239.0</v>
      </c>
      <c r="Q68" s="14">
        <v>23553.22</v>
      </c>
      <c r="R68" s="14">
        <v>7952.05</v>
      </c>
      <c r="S68" s="14">
        <v>2741.38</v>
      </c>
      <c r="T68" s="292">
        <v>1464.94</v>
      </c>
      <c r="U68" s="293">
        <v>392.2</v>
      </c>
      <c r="V68" s="294">
        <v>140.85</v>
      </c>
    </row>
    <row r="69">
      <c r="A69" s="11">
        <v>43902.0</v>
      </c>
      <c r="B69" s="295">
        <v>95.0</v>
      </c>
      <c r="C69" s="296">
        <v>12.0</v>
      </c>
      <c r="D69" s="297">
        <v>99.0</v>
      </c>
      <c r="E69" s="298">
        <v>220252.0</v>
      </c>
      <c r="F69" s="299">
        <v>19165.0</v>
      </c>
      <c r="G69" s="300">
        <v>11.49240804</v>
      </c>
      <c r="H69" s="301">
        <v>128343.0</v>
      </c>
      <c r="I69" s="94">
        <v>4720.0</v>
      </c>
      <c r="J69" s="94">
        <v>68324.0</v>
      </c>
      <c r="K69" s="94">
        <v>47411.0</v>
      </c>
      <c r="L69" s="94">
        <v>1548.0</v>
      </c>
      <c r="M69" s="244">
        <v>5423.0</v>
      </c>
      <c r="N69" s="94">
        <v>2478.0</v>
      </c>
      <c r="O69" s="12">
        <v>11.0</v>
      </c>
      <c r="P69" s="236">
        <v>2467.0</v>
      </c>
      <c r="Q69" s="14">
        <v>21200.62</v>
      </c>
      <c r="R69" s="14">
        <v>7201.8</v>
      </c>
      <c r="S69" s="14">
        <v>2480.64</v>
      </c>
      <c r="T69" s="302">
        <v>2352.6</v>
      </c>
      <c r="U69" s="303">
        <v>750.25</v>
      </c>
      <c r="V69" s="304">
        <v>260.74</v>
      </c>
    </row>
    <row r="70">
      <c r="A70" s="11">
        <v>43903.0</v>
      </c>
      <c r="B70" s="305">
        <v>94.0</v>
      </c>
      <c r="C70" s="296">
        <v>12.0</v>
      </c>
      <c r="D70" s="296">
        <v>100.0</v>
      </c>
      <c r="E70" s="306">
        <v>224187.0</v>
      </c>
      <c r="F70" s="299">
        <v>19694.0</v>
      </c>
      <c r="G70" s="307">
        <v>11.38351782</v>
      </c>
      <c r="H70" s="308">
        <v>145193.0</v>
      </c>
      <c r="I70" s="94">
        <v>5404.0</v>
      </c>
      <c r="J70" s="94">
        <v>70251.0</v>
      </c>
      <c r="K70" s="94">
        <v>64248.0</v>
      </c>
      <c r="L70" s="94">
        <v>2224.0</v>
      </c>
      <c r="M70" s="244">
        <v>6055.0</v>
      </c>
      <c r="N70" s="94">
        <v>16850.0</v>
      </c>
      <c r="O70" s="12">
        <v>13.0</v>
      </c>
      <c r="P70" s="309">
        <v>16837.0</v>
      </c>
      <c r="Q70" s="14">
        <v>23185.62</v>
      </c>
      <c r="R70" s="14">
        <v>7874.88</v>
      </c>
      <c r="S70" s="14">
        <v>2711.02</v>
      </c>
      <c r="T70" s="310">
        <v>-1985.0</v>
      </c>
      <c r="U70" s="310">
        <v>-673.08</v>
      </c>
      <c r="V70" s="310">
        <v>-230.38</v>
      </c>
    </row>
    <row r="71">
      <c r="A71" s="11">
        <v>43904.0</v>
      </c>
      <c r="B71" s="311">
        <v>87.0</v>
      </c>
      <c r="C71" s="312">
        <v>11.0</v>
      </c>
      <c r="D71" s="296">
        <v>100.0</v>
      </c>
      <c r="E71" s="313">
        <v>124432.0</v>
      </c>
      <c r="F71" s="299">
        <v>11389.0</v>
      </c>
      <c r="G71" s="314">
        <v>10.92562999</v>
      </c>
      <c r="H71" s="315">
        <v>156094.0</v>
      </c>
      <c r="I71" s="94">
        <v>5819.0</v>
      </c>
      <c r="J71" s="94">
        <v>72624.0</v>
      </c>
      <c r="K71" s="94">
        <v>75117.0</v>
      </c>
      <c r="L71" s="94">
        <v>2626.0</v>
      </c>
      <c r="M71" s="244">
        <v>6964.0</v>
      </c>
      <c r="N71" s="94">
        <v>10901.0</v>
      </c>
      <c r="O71" s="12">
        <v>32.0</v>
      </c>
      <c r="P71" s="277">
        <v>10869.0</v>
      </c>
      <c r="Q71" s="14">
        <v>20188.52</v>
      </c>
      <c r="R71" s="14">
        <v>6904.59</v>
      </c>
      <c r="S71" s="14">
        <v>2386.13</v>
      </c>
      <c r="T71" s="316">
        <v>2997.1</v>
      </c>
      <c r="U71" s="316">
        <v>970.29</v>
      </c>
      <c r="V71" s="316">
        <v>324.89</v>
      </c>
    </row>
    <row r="72">
      <c r="A72" s="11">
        <v>43905.0</v>
      </c>
      <c r="B72" s="296">
        <v>100.0</v>
      </c>
      <c r="C72" s="312">
        <v>11.0</v>
      </c>
      <c r="D72" s="317">
        <v>98.0</v>
      </c>
      <c r="E72" s="318">
        <v>134702.0</v>
      </c>
      <c r="F72" s="299">
        <v>11976.0</v>
      </c>
      <c r="G72" s="319">
        <v>11.24766199</v>
      </c>
      <c r="H72" s="320">
        <v>167446.0</v>
      </c>
      <c r="I72" s="94">
        <v>6440.0</v>
      </c>
      <c r="J72" s="94">
        <v>76034.0</v>
      </c>
      <c r="K72" s="94">
        <v>86443.0</v>
      </c>
      <c r="L72" s="94">
        <v>3237.0</v>
      </c>
      <c r="M72" s="244">
        <v>9017.0</v>
      </c>
      <c r="N72" s="94">
        <v>11352.0</v>
      </c>
      <c r="O72" s="12">
        <v>26.0</v>
      </c>
      <c r="P72" s="321">
        <v>11326.0</v>
      </c>
      <c r="Q72" s="14">
        <v>20188.52</v>
      </c>
      <c r="R72" s="14">
        <v>6904.59</v>
      </c>
      <c r="S72" s="14">
        <v>2386.13</v>
      </c>
      <c r="T72" s="12">
        <v>0.0</v>
      </c>
      <c r="U72" s="12">
        <v>0.0</v>
      </c>
      <c r="V72" s="12">
        <v>0.0</v>
      </c>
    </row>
    <row r="73">
      <c r="A73" s="11">
        <v>43906.0</v>
      </c>
      <c r="B73" s="296">
        <v>100.0</v>
      </c>
      <c r="C73" s="296">
        <v>12.0</v>
      </c>
      <c r="D73" s="322">
        <v>96.0</v>
      </c>
      <c r="E73" s="323">
        <v>255281.0</v>
      </c>
      <c r="F73" s="299">
        <v>20878.0</v>
      </c>
      <c r="G73" s="324">
        <v>12.22727273</v>
      </c>
      <c r="H73" s="325">
        <v>181527.0</v>
      </c>
      <c r="I73" s="94">
        <v>7126.0</v>
      </c>
      <c r="J73" s="94">
        <v>78088.0</v>
      </c>
      <c r="K73" s="94">
        <v>100494.0</v>
      </c>
      <c r="L73" s="94">
        <v>3909.0</v>
      </c>
      <c r="M73" s="244">
        <v>10178.0</v>
      </c>
      <c r="N73" s="94">
        <v>14081.0</v>
      </c>
      <c r="O73" s="12">
        <v>30.0</v>
      </c>
      <c r="P73" s="308">
        <v>14051.0</v>
      </c>
      <c r="Q73" s="14">
        <v>20188.52</v>
      </c>
      <c r="R73" s="14">
        <v>6904.59</v>
      </c>
      <c r="S73" s="14">
        <v>2386.13</v>
      </c>
      <c r="T73" s="12">
        <v>0.0</v>
      </c>
      <c r="U73" s="12">
        <v>0.0</v>
      </c>
      <c r="V73" s="12">
        <v>0.0</v>
      </c>
    </row>
    <row r="74">
      <c r="A74" s="11">
        <v>43907.0</v>
      </c>
      <c r="B74" s="326">
        <v>93.0</v>
      </c>
      <c r="C74" s="296">
        <v>12.0</v>
      </c>
      <c r="D74" s="327">
        <v>91.0</v>
      </c>
      <c r="E74" s="328">
        <v>277739.0</v>
      </c>
      <c r="F74" s="299">
        <v>21916.0</v>
      </c>
      <c r="G74" s="329">
        <v>12.67288739</v>
      </c>
      <c r="H74" s="330">
        <v>197142.0</v>
      </c>
      <c r="I74" s="94">
        <v>7905.0</v>
      </c>
      <c r="J74" s="94">
        <v>80840.0</v>
      </c>
      <c r="K74" s="94">
        <v>116084.0</v>
      </c>
      <c r="L74" s="94">
        <v>4675.0</v>
      </c>
      <c r="M74" s="244">
        <v>12042.0</v>
      </c>
      <c r="N74" s="94">
        <v>15615.0</v>
      </c>
      <c r="O74" s="12">
        <v>25.0</v>
      </c>
      <c r="P74" s="331">
        <v>15590.0</v>
      </c>
      <c r="Q74" s="14">
        <v>21237.38</v>
      </c>
      <c r="R74" s="14">
        <v>7334.78</v>
      </c>
      <c r="S74" s="14">
        <v>2529.19</v>
      </c>
      <c r="T74" s="332">
        <v>-1048.86</v>
      </c>
      <c r="U74" s="333">
        <v>-430.19</v>
      </c>
      <c r="V74" s="334">
        <v>-143.06</v>
      </c>
    </row>
    <row r="75">
      <c r="A75" s="11">
        <v>43908.0</v>
      </c>
      <c r="B75" s="312">
        <v>89.0</v>
      </c>
      <c r="C75" s="312">
        <v>11.0</v>
      </c>
      <c r="D75" s="311">
        <v>87.0</v>
      </c>
      <c r="E75" s="335">
        <v>283584.0</v>
      </c>
      <c r="F75" s="299">
        <v>21907.0</v>
      </c>
      <c r="G75" s="335">
        <v>12.94490346</v>
      </c>
      <c r="H75" s="336">
        <v>214910.0</v>
      </c>
      <c r="I75" s="94">
        <v>8733.0</v>
      </c>
      <c r="J75" s="94">
        <v>83207.0</v>
      </c>
      <c r="K75" s="94">
        <v>133806.0</v>
      </c>
      <c r="L75" s="94">
        <v>5492.0</v>
      </c>
      <c r="M75" s="244">
        <v>13452.0</v>
      </c>
      <c r="N75" s="94">
        <v>17768.0</v>
      </c>
      <c r="O75" s="12">
        <v>46.0</v>
      </c>
      <c r="P75" s="337">
        <v>17722.0</v>
      </c>
      <c r="Q75" s="14">
        <v>19898.92</v>
      </c>
      <c r="R75" s="14">
        <v>6989.84</v>
      </c>
      <c r="S75" s="14">
        <v>2398.1</v>
      </c>
      <c r="T75" s="338">
        <v>1338.46</v>
      </c>
      <c r="U75" s="339">
        <v>344.94</v>
      </c>
      <c r="V75" s="293">
        <v>131.09</v>
      </c>
    </row>
    <row r="76">
      <c r="A76" s="11">
        <v>43909.0</v>
      </c>
      <c r="B76" s="340">
        <v>86.0</v>
      </c>
      <c r="C76" s="341">
        <v>10.0</v>
      </c>
      <c r="D76" s="340">
        <v>86.0</v>
      </c>
      <c r="E76" s="342">
        <v>284479.0</v>
      </c>
      <c r="F76" s="299">
        <v>21929.0</v>
      </c>
      <c r="G76" s="342">
        <v>12.97273017</v>
      </c>
      <c r="H76" s="343">
        <v>242708.0</v>
      </c>
      <c r="I76" s="94">
        <v>9867.0</v>
      </c>
      <c r="J76" s="94">
        <v>84854.0</v>
      </c>
      <c r="K76" s="94">
        <v>161550.0</v>
      </c>
      <c r="L76" s="94">
        <v>6618.0</v>
      </c>
      <c r="M76" s="244">
        <v>14319.0</v>
      </c>
      <c r="N76" s="94">
        <v>27798.0</v>
      </c>
      <c r="O76" s="12">
        <v>54.0</v>
      </c>
      <c r="P76" s="344">
        <v>27744.0</v>
      </c>
      <c r="Q76" s="14">
        <v>20087.19</v>
      </c>
      <c r="R76" s="14">
        <v>7150.58</v>
      </c>
      <c r="S76" s="14">
        <v>2409.39</v>
      </c>
      <c r="T76" s="26">
        <v>-188.27</v>
      </c>
      <c r="U76" s="345">
        <v>-160.74</v>
      </c>
      <c r="V76" s="44">
        <v>-11.29</v>
      </c>
    </row>
    <row r="77">
      <c r="A77" s="11">
        <v>43910.0</v>
      </c>
      <c r="B77" s="340">
        <v>86.0</v>
      </c>
      <c r="C77" s="341">
        <v>10.0</v>
      </c>
      <c r="D77" s="340">
        <v>86.0</v>
      </c>
      <c r="E77" s="346">
        <v>268467.0</v>
      </c>
      <c r="F77" s="299">
        <v>21079.0</v>
      </c>
      <c r="G77" s="328">
        <v>12.73623037</v>
      </c>
      <c r="H77" s="347">
        <v>272166.0</v>
      </c>
      <c r="I77" s="94">
        <v>11299.0</v>
      </c>
      <c r="J77" s="94">
        <v>87256.0</v>
      </c>
      <c r="K77" s="94">
        <v>190913.0</v>
      </c>
      <c r="L77" s="94">
        <v>8046.0</v>
      </c>
      <c r="M77" s="244">
        <v>15990.0</v>
      </c>
      <c r="N77" s="94">
        <v>29458.0</v>
      </c>
      <c r="O77" s="12">
        <v>95.0</v>
      </c>
      <c r="P77" s="348">
        <v>29363.0</v>
      </c>
      <c r="Q77" s="14">
        <v>19173.98</v>
      </c>
      <c r="R77" s="14">
        <v>6879.52</v>
      </c>
      <c r="S77" s="14">
        <v>2304.92</v>
      </c>
      <c r="T77" s="349">
        <v>913.21</v>
      </c>
      <c r="U77" s="237">
        <v>271.06</v>
      </c>
      <c r="V77" s="253">
        <v>104.47</v>
      </c>
    </row>
    <row r="78">
      <c r="A78" s="11">
        <v>43911.0</v>
      </c>
      <c r="B78" s="17"/>
      <c r="C78" s="17"/>
      <c r="D78" s="17"/>
      <c r="E78" s="350">
        <v>142580.0</v>
      </c>
      <c r="F78" s="299">
        <v>11868.0</v>
      </c>
      <c r="G78" s="351">
        <v>12.01381867</v>
      </c>
      <c r="H78" s="352">
        <v>304524.0</v>
      </c>
      <c r="I78" s="94">
        <v>12973.0</v>
      </c>
      <c r="J78" s="94">
        <v>91499.0</v>
      </c>
      <c r="K78" s="94">
        <v>223214.0</v>
      </c>
      <c r="L78" s="94">
        <v>9714.0</v>
      </c>
      <c r="M78" s="244">
        <v>19642.0</v>
      </c>
      <c r="N78" s="94">
        <v>32358.0</v>
      </c>
      <c r="O78" s="12">
        <v>57.0</v>
      </c>
      <c r="P78" s="160">
        <v>32301.0</v>
      </c>
      <c r="Q78" s="14" t="e">
        <v>#N/A</v>
      </c>
      <c r="R78" s="14" t="e">
        <v>#N/A</v>
      </c>
      <c r="S78" s="14" t="e">
        <v>#N/A</v>
      </c>
      <c r="T78" s="14" t="e">
        <v>#N/A</v>
      </c>
      <c r="U78" s="14" t="e">
        <v>#N/A</v>
      </c>
      <c r="V78" s="14" t="e">
        <v>#N/A</v>
      </c>
    </row>
    <row r="79">
      <c r="A79" s="11">
        <v>43912.0</v>
      </c>
      <c r="B79" s="17"/>
      <c r="C79" s="17"/>
      <c r="D79" s="17"/>
      <c r="E79" s="353">
        <v>139570.0</v>
      </c>
      <c r="F79" s="299">
        <v>12164.0</v>
      </c>
      <c r="G79" s="354">
        <v>11.4740217</v>
      </c>
      <c r="H79" s="160">
        <v>335955.0</v>
      </c>
      <c r="I79" s="94">
        <v>14632.0</v>
      </c>
      <c r="J79" s="94">
        <v>97704.0</v>
      </c>
      <c r="K79" s="94">
        <v>254552.0</v>
      </c>
      <c r="L79" s="94">
        <v>11367.0</v>
      </c>
      <c r="M79" s="244">
        <v>25342.0</v>
      </c>
      <c r="N79" s="94">
        <v>31431.0</v>
      </c>
      <c r="O79" s="12">
        <v>93.0</v>
      </c>
      <c r="P79" s="355">
        <v>31338.0</v>
      </c>
      <c r="Q79" s="14" t="e">
        <v>#N/A</v>
      </c>
      <c r="R79" s="14" t="e">
        <v>#N/A</v>
      </c>
      <c r="S79" s="14" t="e">
        <v>#N/A</v>
      </c>
      <c r="T79" s="14" t="e">
        <v>#N/A</v>
      </c>
      <c r="U79" s="14" t="e">
        <v>#N/A</v>
      </c>
      <c r="V79" s="14" t="e">
        <v>#N/A</v>
      </c>
    </row>
    <row r="80">
      <c r="A80" s="11">
        <v>43913.0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356"/>
      <c r="M80" s="17"/>
      <c r="N80" s="17"/>
      <c r="O80" s="357"/>
      <c r="P80" s="17"/>
      <c r="Q80" s="356"/>
      <c r="R80" s="356"/>
      <c r="S80" s="356"/>
      <c r="T80" s="356"/>
      <c r="U80" s="35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58" t="s">
        <v>22</v>
      </c>
      <c r="B1" s="358" t="s">
        <v>23</v>
      </c>
      <c r="C1" s="358" t="s">
        <v>24</v>
      </c>
      <c r="D1" s="358" t="s">
        <v>25</v>
      </c>
      <c r="E1" s="358" t="s">
        <v>26</v>
      </c>
      <c r="F1" s="359" t="s">
        <v>27</v>
      </c>
    </row>
    <row r="2">
      <c r="A2" s="358" t="s">
        <v>28</v>
      </c>
      <c r="B2" s="358" t="s">
        <v>29</v>
      </c>
      <c r="C2" s="358" t="s">
        <v>30</v>
      </c>
      <c r="D2" s="356"/>
      <c r="E2" s="235">
        <v>100.0</v>
      </c>
      <c r="F2" s="356"/>
    </row>
    <row r="3">
      <c r="A3" s="358" t="s">
        <v>28</v>
      </c>
      <c r="B3" s="358" t="s">
        <v>29</v>
      </c>
      <c r="C3" s="358" t="s">
        <v>31</v>
      </c>
      <c r="D3" s="356"/>
      <c r="E3" s="235">
        <v>72.0</v>
      </c>
      <c r="F3" s="356"/>
    </row>
    <row r="4">
      <c r="A4" s="358" t="s">
        <v>28</v>
      </c>
      <c r="B4" s="358" t="s">
        <v>29</v>
      </c>
      <c r="C4" s="358" t="s">
        <v>32</v>
      </c>
      <c r="D4" s="356"/>
      <c r="E4" s="235">
        <v>68.0</v>
      </c>
      <c r="F4" s="356"/>
    </row>
    <row r="5">
      <c r="A5" s="358" t="s">
        <v>28</v>
      </c>
      <c r="B5" s="358" t="s">
        <v>29</v>
      </c>
      <c r="C5" s="358" t="s">
        <v>33</v>
      </c>
      <c r="D5" s="356"/>
      <c r="E5" s="235">
        <v>59.0</v>
      </c>
      <c r="F5" s="356"/>
    </row>
    <row r="6">
      <c r="A6" s="358" t="s">
        <v>28</v>
      </c>
      <c r="B6" s="358" t="s">
        <v>29</v>
      </c>
      <c r="C6" s="358" t="s">
        <v>34</v>
      </c>
      <c r="D6" s="356"/>
      <c r="E6" s="235">
        <v>47.0</v>
      </c>
      <c r="F6" s="356"/>
    </row>
    <row r="7">
      <c r="A7" s="358" t="s">
        <v>28</v>
      </c>
      <c r="B7" s="358" t="s">
        <v>29</v>
      </c>
      <c r="C7" s="358" t="s">
        <v>35</v>
      </c>
      <c r="D7" s="356"/>
      <c r="E7" s="235">
        <v>45.0</v>
      </c>
      <c r="F7" s="356"/>
    </row>
    <row r="8">
      <c r="A8" s="358" t="s">
        <v>28</v>
      </c>
      <c r="B8" s="358" t="s">
        <v>29</v>
      </c>
      <c r="C8" s="358" t="s">
        <v>36</v>
      </c>
      <c r="D8" s="356"/>
      <c r="E8" s="235">
        <v>41.0</v>
      </c>
      <c r="F8" s="356"/>
    </row>
    <row r="9">
      <c r="A9" s="358" t="s">
        <v>28</v>
      </c>
      <c r="B9" s="358" t="s">
        <v>29</v>
      </c>
      <c r="C9" s="358" t="s">
        <v>37</v>
      </c>
      <c r="D9" s="356"/>
      <c r="E9" s="235">
        <v>41.0</v>
      </c>
      <c r="F9" s="356"/>
    </row>
    <row r="10">
      <c r="A10" s="358" t="s">
        <v>28</v>
      </c>
      <c r="B10" s="358" t="s">
        <v>29</v>
      </c>
      <c r="C10" s="358" t="s">
        <v>38</v>
      </c>
      <c r="D10" s="356"/>
      <c r="E10" s="235">
        <v>38.0</v>
      </c>
      <c r="F10" s="356"/>
    </row>
    <row r="11">
      <c r="A11" s="358" t="s">
        <v>28</v>
      </c>
      <c r="B11" s="358" t="s">
        <v>29</v>
      </c>
      <c r="C11" s="358" t="s">
        <v>39</v>
      </c>
      <c r="D11" s="356"/>
      <c r="E11" s="235">
        <v>25.0</v>
      </c>
      <c r="F11" s="356"/>
    </row>
    <row r="12">
      <c r="A12" s="358" t="s">
        <v>28</v>
      </c>
      <c r="B12" s="358" t="s">
        <v>29</v>
      </c>
      <c r="C12" s="358" t="s">
        <v>40</v>
      </c>
      <c r="D12" s="356"/>
      <c r="E12" s="235">
        <v>25.0</v>
      </c>
      <c r="F12" s="356"/>
    </row>
    <row r="13">
      <c r="A13" s="358" t="s">
        <v>28</v>
      </c>
      <c r="B13" s="358" t="s">
        <v>29</v>
      </c>
      <c r="C13" s="358" t="s">
        <v>41</v>
      </c>
      <c r="D13" s="356"/>
      <c r="E13" s="235">
        <v>21.0</v>
      </c>
      <c r="F13" s="356"/>
    </row>
    <row r="14">
      <c r="A14" s="358" t="s">
        <v>28</v>
      </c>
      <c r="B14" s="358" t="s">
        <v>29</v>
      </c>
      <c r="C14" s="358" t="s">
        <v>42</v>
      </c>
      <c r="D14" s="356"/>
      <c r="E14" s="235">
        <v>20.0</v>
      </c>
      <c r="F14" s="356"/>
    </row>
    <row r="15">
      <c r="A15" s="358" t="s">
        <v>28</v>
      </c>
      <c r="B15" s="358" t="s">
        <v>29</v>
      </c>
      <c r="C15" s="358" t="s">
        <v>43</v>
      </c>
      <c r="D15" s="356"/>
      <c r="E15" s="235">
        <v>16.0</v>
      </c>
      <c r="F15" s="356"/>
    </row>
    <row r="16">
      <c r="A16" s="358" t="s">
        <v>28</v>
      </c>
      <c r="B16" s="358" t="s">
        <v>29</v>
      </c>
      <c r="C16" s="358" t="s">
        <v>44</v>
      </c>
      <c r="D16" s="356"/>
      <c r="E16" s="235">
        <v>16.0</v>
      </c>
      <c r="F16" s="356"/>
    </row>
    <row r="17">
      <c r="A17" s="358" t="s">
        <v>28</v>
      </c>
      <c r="B17" s="358" t="s">
        <v>29</v>
      </c>
      <c r="C17" s="358" t="s">
        <v>45</v>
      </c>
      <c r="D17" s="356"/>
      <c r="E17" s="235">
        <v>16.0</v>
      </c>
      <c r="F17" s="356"/>
    </row>
    <row r="18">
      <c r="A18" s="358" t="s">
        <v>28</v>
      </c>
      <c r="B18" s="358" t="s">
        <v>29</v>
      </c>
      <c r="C18" s="358" t="s">
        <v>46</v>
      </c>
      <c r="D18" s="356"/>
      <c r="E18" s="235">
        <v>14.0</v>
      </c>
      <c r="F18" s="356"/>
    </row>
    <row r="19">
      <c r="A19" s="358" t="s">
        <v>28</v>
      </c>
      <c r="B19" s="358" t="s">
        <v>29</v>
      </c>
      <c r="C19" s="358" t="s">
        <v>47</v>
      </c>
      <c r="D19" s="356"/>
      <c r="E19" s="235">
        <v>13.0</v>
      </c>
      <c r="F19" s="356"/>
    </row>
    <row r="20">
      <c r="A20" s="358" t="s">
        <v>28</v>
      </c>
      <c r="B20" s="358" t="s">
        <v>29</v>
      </c>
      <c r="C20" s="358" t="s">
        <v>48</v>
      </c>
      <c r="D20" s="356"/>
      <c r="E20" s="235">
        <v>13.0</v>
      </c>
      <c r="F20" s="356"/>
    </row>
    <row r="21">
      <c r="A21" s="358" t="s">
        <v>28</v>
      </c>
      <c r="B21" s="358" t="s">
        <v>29</v>
      </c>
      <c r="C21" s="358" t="s">
        <v>49</v>
      </c>
      <c r="D21" s="356"/>
      <c r="E21" s="235">
        <v>13.0</v>
      </c>
      <c r="F21" s="356"/>
    </row>
    <row r="22">
      <c r="A22" s="358" t="s">
        <v>28</v>
      </c>
      <c r="B22" s="358" t="s">
        <v>29</v>
      </c>
      <c r="C22" s="358" t="s">
        <v>50</v>
      </c>
      <c r="D22" s="356"/>
      <c r="E22" s="235">
        <v>13.0</v>
      </c>
      <c r="F22" s="356"/>
    </row>
    <row r="23">
      <c r="A23" s="358" t="s">
        <v>28</v>
      </c>
      <c r="B23" s="358" t="s">
        <v>29</v>
      </c>
      <c r="C23" s="358" t="s">
        <v>51</v>
      </c>
      <c r="D23" s="356"/>
      <c r="E23" s="235">
        <v>12.0</v>
      </c>
      <c r="F23" s="356"/>
    </row>
    <row r="24">
      <c r="A24" s="358" t="s">
        <v>28</v>
      </c>
      <c r="B24" s="358" t="s">
        <v>29</v>
      </c>
      <c r="C24" s="358" t="s">
        <v>52</v>
      </c>
      <c r="D24" s="356"/>
      <c r="E24" s="235">
        <v>12.0</v>
      </c>
      <c r="F24" s="356"/>
    </row>
    <row r="25">
      <c r="A25" s="358" t="s">
        <v>28</v>
      </c>
      <c r="B25" s="358" t="s">
        <v>29</v>
      </c>
      <c r="C25" s="358" t="s">
        <v>53</v>
      </c>
      <c r="D25" s="356"/>
      <c r="E25" s="235">
        <v>11.0</v>
      </c>
      <c r="F25" s="356"/>
    </row>
    <row r="26">
      <c r="A26" s="358" t="s">
        <v>28</v>
      </c>
      <c r="B26" s="358" t="s">
        <v>29</v>
      </c>
      <c r="C26" s="358" t="s">
        <v>54</v>
      </c>
      <c r="D26" s="356"/>
      <c r="E26" s="235">
        <v>11.0</v>
      </c>
      <c r="F26" s="356"/>
    </row>
    <row r="27">
      <c r="A27" s="358" t="s">
        <v>28</v>
      </c>
      <c r="B27" s="358" t="s">
        <v>55</v>
      </c>
      <c r="C27" s="358" t="s">
        <v>56</v>
      </c>
      <c r="D27" s="360">
        <v>42.0</v>
      </c>
      <c r="E27" s="356"/>
      <c r="F27" s="356"/>
    </row>
    <row r="28">
      <c r="A28" s="358" t="s">
        <v>28</v>
      </c>
      <c r="B28" s="358" t="s">
        <v>55</v>
      </c>
      <c r="C28" s="358" t="s">
        <v>57</v>
      </c>
      <c r="D28" s="360">
        <v>17.0</v>
      </c>
      <c r="E28" s="356"/>
      <c r="F28" s="356"/>
    </row>
    <row r="29">
      <c r="A29" s="358" t="s">
        <v>28</v>
      </c>
      <c r="B29" s="358" t="s">
        <v>55</v>
      </c>
      <c r="C29" s="358" t="s">
        <v>58</v>
      </c>
      <c r="D29" s="360">
        <v>15.0</v>
      </c>
      <c r="E29" s="356"/>
      <c r="F29" s="356"/>
    </row>
    <row r="30">
      <c r="A30" s="358" t="s">
        <v>28</v>
      </c>
      <c r="B30" s="358" t="s">
        <v>55</v>
      </c>
      <c r="C30" s="358" t="s">
        <v>59</v>
      </c>
      <c r="D30" s="360">
        <v>14.5</v>
      </c>
      <c r="E30" s="356"/>
      <c r="F30" s="356"/>
    </row>
    <row r="31">
      <c r="A31" s="358" t="s">
        <v>28</v>
      </c>
      <c r="B31" s="358" t="s">
        <v>55</v>
      </c>
      <c r="C31" s="358" t="s">
        <v>60</v>
      </c>
      <c r="D31" s="360">
        <v>14.5</v>
      </c>
      <c r="E31" s="356"/>
      <c r="F31" s="356"/>
    </row>
    <row r="32">
      <c r="A32" s="358" t="s">
        <v>28</v>
      </c>
      <c r="B32" s="358" t="s">
        <v>55</v>
      </c>
      <c r="C32" s="358" t="s">
        <v>61</v>
      </c>
      <c r="D32" s="360">
        <v>12.5</v>
      </c>
      <c r="E32" s="356"/>
      <c r="F32" s="356"/>
    </row>
    <row r="33">
      <c r="A33" s="358" t="s">
        <v>28</v>
      </c>
      <c r="B33" s="358" t="s">
        <v>55</v>
      </c>
      <c r="C33" s="358" t="s">
        <v>62</v>
      </c>
      <c r="D33" s="360">
        <v>9.5</v>
      </c>
      <c r="E33" s="356"/>
      <c r="F33" s="356"/>
    </row>
    <row r="34">
      <c r="A34" s="358" t="s">
        <v>28</v>
      </c>
      <c r="B34" s="358" t="s">
        <v>55</v>
      </c>
      <c r="C34" s="358" t="s">
        <v>63</v>
      </c>
      <c r="D34" s="360">
        <v>8.0</v>
      </c>
      <c r="E34" s="356"/>
      <c r="F34" s="356"/>
    </row>
    <row r="35">
      <c r="A35" s="358" t="s">
        <v>28</v>
      </c>
      <c r="B35" s="358" t="s">
        <v>55</v>
      </c>
      <c r="C35" s="358" t="s">
        <v>64</v>
      </c>
      <c r="D35" s="360">
        <v>7.5</v>
      </c>
      <c r="E35" s="356"/>
      <c r="F35" s="356"/>
    </row>
    <row r="36">
      <c r="A36" s="358" t="s">
        <v>28</v>
      </c>
      <c r="B36" s="358" t="s">
        <v>55</v>
      </c>
      <c r="C36" s="358" t="s">
        <v>65</v>
      </c>
      <c r="D36" s="360">
        <v>7.5</v>
      </c>
      <c r="E36" s="356"/>
      <c r="F36" s="356"/>
    </row>
    <row r="37">
      <c r="A37" s="358" t="s">
        <v>28</v>
      </c>
      <c r="B37" s="358" t="s">
        <v>55</v>
      </c>
      <c r="C37" s="358" t="s">
        <v>66</v>
      </c>
      <c r="D37" s="360">
        <v>7.0</v>
      </c>
      <c r="E37" s="356"/>
      <c r="F37" s="356"/>
    </row>
    <row r="38">
      <c r="A38" s="358" t="s">
        <v>28</v>
      </c>
      <c r="B38" s="358" t="s">
        <v>55</v>
      </c>
      <c r="C38" s="358" t="s">
        <v>67</v>
      </c>
      <c r="D38" s="360">
        <v>5.0</v>
      </c>
      <c r="E38" s="356"/>
      <c r="F38" s="356"/>
    </row>
    <row r="39">
      <c r="A39" s="358" t="s">
        <v>28</v>
      </c>
      <c r="B39" s="358" t="s">
        <v>55</v>
      </c>
      <c r="C39" s="358" t="s">
        <v>37</v>
      </c>
      <c r="D39" s="360">
        <v>5.0</v>
      </c>
      <c r="E39" s="356"/>
      <c r="F39" s="356"/>
    </row>
    <row r="40">
      <c r="A40" s="358" t="s">
        <v>28</v>
      </c>
      <c r="B40" s="358" t="s">
        <v>55</v>
      </c>
      <c r="C40" s="358" t="s">
        <v>68</v>
      </c>
      <c r="D40" s="360">
        <v>4.5</v>
      </c>
      <c r="E40" s="356"/>
      <c r="F40" s="356"/>
    </row>
    <row r="41">
      <c r="A41" s="358" t="s">
        <v>28</v>
      </c>
      <c r="B41" s="358" t="s">
        <v>55</v>
      </c>
      <c r="C41" s="358" t="s">
        <v>30</v>
      </c>
      <c r="D41" s="360">
        <v>4.5</v>
      </c>
      <c r="E41" s="356"/>
      <c r="F41" s="356"/>
    </row>
    <row r="42">
      <c r="A42" s="358" t="s">
        <v>28</v>
      </c>
      <c r="B42" s="358" t="s">
        <v>55</v>
      </c>
      <c r="C42" s="358" t="s">
        <v>69</v>
      </c>
      <c r="D42" s="360">
        <v>3.5</v>
      </c>
      <c r="E42" s="356"/>
      <c r="F42" s="356"/>
    </row>
    <row r="43">
      <c r="A43" s="358" t="s">
        <v>28</v>
      </c>
      <c r="B43" s="358" t="s">
        <v>55</v>
      </c>
      <c r="C43" s="358" t="s">
        <v>70</v>
      </c>
      <c r="D43" s="360">
        <v>3.0</v>
      </c>
      <c r="E43" s="356"/>
      <c r="F43" s="356"/>
    </row>
    <row r="44">
      <c r="A44" s="358" t="s">
        <v>28</v>
      </c>
      <c r="B44" s="358" t="s">
        <v>55</v>
      </c>
      <c r="C44" s="358" t="s">
        <v>71</v>
      </c>
      <c r="D44" s="360">
        <v>3.0</v>
      </c>
      <c r="E44" s="356"/>
      <c r="F44" s="356"/>
    </row>
    <row r="45">
      <c r="A45" s="358" t="s">
        <v>28</v>
      </c>
      <c r="B45" s="358" t="s">
        <v>55</v>
      </c>
      <c r="C45" s="358" t="s">
        <v>72</v>
      </c>
      <c r="D45" s="360">
        <v>2.5</v>
      </c>
      <c r="E45" s="356"/>
      <c r="F45" s="356"/>
    </row>
    <row r="46">
      <c r="A46" s="358" t="s">
        <v>28</v>
      </c>
      <c r="B46" s="358" t="s">
        <v>55</v>
      </c>
      <c r="C46" s="358" t="s">
        <v>43</v>
      </c>
      <c r="D46" s="360">
        <v>2.5</v>
      </c>
      <c r="E46" s="356"/>
      <c r="F46" s="356"/>
    </row>
    <row r="47">
      <c r="A47" s="358" t="s">
        <v>28</v>
      </c>
      <c r="B47" s="358" t="s">
        <v>55</v>
      </c>
      <c r="C47" s="358" t="s">
        <v>73</v>
      </c>
      <c r="D47" s="360">
        <v>2.0</v>
      </c>
      <c r="E47" s="356"/>
      <c r="F47" s="356"/>
    </row>
    <row r="48">
      <c r="A48" s="358" t="s">
        <v>28</v>
      </c>
      <c r="B48" s="358" t="s">
        <v>55</v>
      </c>
      <c r="C48" s="358" t="s">
        <v>74</v>
      </c>
      <c r="D48" s="360">
        <v>1.9</v>
      </c>
      <c r="E48" s="356"/>
      <c r="F48" s="356"/>
    </row>
    <row r="49">
      <c r="A49" s="358" t="s">
        <v>28</v>
      </c>
      <c r="B49" s="358" t="s">
        <v>55</v>
      </c>
      <c r="C49" s="358" t="s">
        <v>75</v>
      </c>
      <c r="D49" s="360">
        <v>1.7</v>
      </c>
      <c r="E49" s="356"/>
      <c r="F49" s="356"/>
    </row>
    <row r="50">
      <c r="A50" s="358" t="s">
        <v>28</v>
      </c>
      <c r="B50" s="358" t="s">
        <v>55</v>
      </c>
      <c r="C50" s="358" t="s">
        <v>76</v>
      </c>
      <c r="D50" s="360">
        <v>1.6</v>
      </c>
      <c r="E50" s="356"/>
      <c r="F50" s="356"/>
    </row>
    <row r="51">
      <c r="A51" s="358" t="s">
        <v>28</v>
      </c>
      <c r="B51" s="358" t="s">
        <v>55</v>
      </c>
      <c r="C51" s="358" t="s">
        <v>77</v>
      </c>
      <c r="D51" s="360">
        <v>1.3</v>
      </c>
      <c r="E51" s="35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4.43" defaultRowHeight="15.75"/>
  <cols>
    <col customWidth="1" min="6" max="6" width="55.86"/>
  </cols>
  <sheetData>
    <row r="1">
      <c r="A1" s="361" t="s">
        <v>78</v>
      </c>
      <c r="B1" s="361" t="s">
        <v>22</v>
      </c>
      <c r="C1" s="361" t="s">
        <v>79</v>
      </c>
      <c r="D1" s="361" t="s">
        <v>80</v>
      </c>
      <c r="E1" s="361" t="s">
        <v>81</v>
      </c>
      <c r="F1" s="361" t="s">
        <v>82</v>
      </c>
      <c r="G1" s="361" t="s">
        <v>83</v>
      </c>
      <c r="H1" s="361" t="s">
        <v>84</v>
      </c>
      <c r="I1" s="362" t="s">
        <v>85</v>
      </c>
    </row>
    <row r="2">
      <c r="A2" s="363" t="s">
        <v>86</v>
      </c>
      <c r="B2" s="361" t="s">
        <v>28</v>
      </c>
      <c r="C2" s="361" t="s">
        <v>87</v>
      </c>
      <c r="D2" s="361" t="s">
        <v>88</v>
      </c>
      <c r="E2" s="361" t="s">
        <v>89</v>
      </c>
      <c r="F2" s="361" t="s">
        <v>90</v>
      </c>
      <c r="G2" s="364">
        <v>100.0</v>
      </c>
      <c r="H2" s="365"/>
      <c r="I2" s="362" t="s">
        <v>91</v>
      </c>
    </row>
    <row r="3">
      <c r="A3" s="363" t="s">
        <v>86</v>
      </c>
      <c r="B3" s="361" t="s">
        <v>28</v>
      </c>
      <c r="C3" s="361" t="s">
        <v>87</v>
      </c>
      <c r="D3" s="361" t="s">
        <v>88</v>
      </c>
      <c r="E3" s="361" t="s">
        <v>89</v>
      </c>
      <c r="F3" s="361" t="s">
        <v>92</v>
      </c>
      <c r="G3" s="364">
        <v>74.0</v>
      </c>
      <c r="H3" s="365"/>
      <c r="I3" s="362" t="s">
        <v>91</v>
      </c>
    </row>
    <row r="4">
      <c r="A4" s="363" t="s">
        <v>86</v>
      </c>
      <c r="B4" s="361" t="s">
        <v>28</v>
      </c>
      <c r="C4" s="361" t="s">
        <v>87</v>
      </c>
      <c r="D4" s="361" t="s">
        <v>88</v>
      </c>
      <c r="E4" s="361" t="s">
        <v>89</v>
      </c>
      <c r="F4" s="361" t="s">
        <v>93</v>
      </c>
      <c r="G4" s="364">
        <v>43.0</v>
      </c>
      <c r="H4" s="365"/>
      <c r="I4" s="362" t="s">
        <v>91</v>
      </c>
    </row>
    <row r="5">
      <c r="A5" s="363" t="s">
        <v>86</v>
      </c>
      <c r="B5" s="361" t="s">
        <v>28</v>
      </c>
      <c r="C5" s="361" t="s">
        <v>87</v>
      </c>
      <c r="D5" s="361" t="s">
        <v>88</v>
      </c>
      <c r="E5" s="361" t="s">
        <v>89</v>
      </c>
      <c r="F5" s="361" t="s">
        <v>94</v>
      </c>
      <c r="G5" s="364">
        <v>15.0</v>
      </c>
      <c r="H5" s="365"/>
      <c r="I5" s="362" t="s">
        <v>91</v>
      </c>
    </row>
    <row r="6">
      <c r="A6" s="363" t="s">
        <v>86</v>
      </c>
      <c r="B6" s="361" t="s">
        <v>28</v>
      </c>
      <c r="C6" s="361" t="s">
        <v>87</v>
      </c>
      <c r="D6" s="361" t="s">
        <v>88</v>
      </c>
      <c r="E6" s="361" t="s">
        <v>89</v>
      </c>
      <c r="F6" s="361" t="s">
        <v>95</v>
      </c>
      <c r="G6" s="364">
        <v>13.0</v>
      </c>
      <c r="H6" s="365"/>
      <c r="I6" s="362" t="s">
        <v>91</v>
      </c>
    </row>
    <row r="7">
      <c r="A7" s="363" t="s">
        <v>86</v>
      </c>
      <c r="B7" s="361" t="s">
        <v>28</v>
      </c>
      <c r="C7" s="361" t="s">
        <v>87</v>
      </c>
      <c r="D7" s="361" t="s">
        <v>88</v>
      </c>
      <c r="E7" s="361" t="s">
        <v>89</v>
      </c>
      <c r="F7" s="361" t="s">
        <v>96</v>
      </c>
      <c r="G7" s="364">
        <v>11.0</v>
      </c>
      <c r="H7" s="365"/>
      <c r="I7" s="362" t="s">
        <v>91</v>
      </c>
    </row>
    <row r="8">
      <c r="A8" s="363" t="s">
        <v>86</v>
      </c>
      <c r="B8" s="361" t="s">
        <v>28</v>
      </c>
      <c r="C8" s="361" t="s">
        <v>87</v>
      </c>
      <c r="D8" s="361" t="s">
        <v>88</v>
      </c>
      <c r="E8" s="361" t="s">
        <v>89</v>
      </c>
      <c r="F8" s="361" t="s">
        <v>97</v>
      </c>
      <c r="G8" s="364">
        <v>11.0</v>
      </c>
      <c r="H8" s="365"/>
      <c r="I8" s="362" t="s">
        <v>91</v>
      </c>
    </row>
    <row r="9">
      <c r="A9" s="363" t="s">
        <v>86</v>
      </c>
      <c r="B9" s="361" t="s">
        <v>28</v>
      </c>
      <c r="C9" s="361" t="s">
        <v>87</v>
      </c>
      <c r="D9" s="361" t="s">
        <v>88</v>
      </c>
      <c r="E9" s="361" t="s">
        <v>89</v>
      </c>
      <c r="F9" s="361" t="s">
        <v>98</v>
      </c>
      <c r="G9" s="364">
        <v>11.0</v>
      </c>
      <c r="H9" s="365"/>
      <c r="I9" s="362" t="s">
        <v>91</v>
      </c>
    </row>
    <row r="10">
      <c r="A10" s="363" t="s">
        <v>86</v>
      </c>
      <c r="B10" s="361" t="s">
        <v>28</v>
      </c>
      <c r="C10" s="361" t="s">
        <v>87</v>
      </c>
      <c r="D10" s="361" t="s">
        <v>88</v>
      </c>
      <c r="E10" s="361" t="s">
        <v>89</v>
      </c>
      <c r="F10" s="361" t="s">
        <v>99</v>
      </c>
      <c r="G10" s="364">
        <v>11.0</v>
      </c>
      <c r="H10" s="365"/>
      <c r="I10" s="362" t="s">
        <v>91</v>
      </c>
    </row>
    <row r="11">
      <c r="A11" s="363" t="s">
        <v>86</v>
      </c>
      <c r="B11" s="361" t="s">
        <v>28</v>
      </c>
      <c r="C11" s="361" t="s">
        <v>87</v>
      </c>
      <c r="D11" s="361" t="s">
        <v>88</v>
      </c>
      <c r="E11" s="361" t="s">
        <v>89</v>
      </c>
      <c r="F11" s="361" t="s">
        <v>100</v>
      </c>
      <c r="G11" s="364">
        <v>10.0</v>
      </c>
      <c r="H11" s="365"/>
      <c r="I11" s="362" t="s">
        <v>91</v>
      </c>
    </row>
    <row r="12">
      <c r="A12" s="363" t="s">
        <v>86</v>
      </c>
      <c r="B12" s="361" t="s">
        <v>28</v>
      </c>
      <c r="C12" s="361" t="s">
        <v>87</v>
      </c>
      <c r="D12" s="361" t="s">
        <v>88</v>
      </c>
      <c r="E12" s="361" t="s">
        <v>89</v>
      </c>
      <c r="F12" s="361" t="s">
        <v>101</v>
      </c>
      <c r="G12" s="364">
        <v>10.0</v>
      </c>
      <c r="H12" s="365"/>
      <c r="I12" s="362" t="s">
        <v>91</v>
      </c>
    </row>
    <row r="13">
      <c r="A13" s="363" t="s">
        <v>86</v>
      </c>
      <c r="B13" s="361" t="s">
        <v>28</v>
      </c>
      <c r="C13" s="361" t="s">
        <v>87</v>
      </c>
      <c r="D13" s="361" t="s">
        <v>88</v>
      </c>
      <c r="E13" s="361" t="s">
        <v>89</v>
      </c>
      <c r="F13" s="361" t="s">
        <v>102</v>
      </c>
      <c r="G13" s="364">
        <v>8.0</v>
      </c>
      <c r="H13" s="365"/>
      <c r="I13" s="362" t="s">
        <v>91</v>
      </c>
    </row>
    <row r="14">
      <c r="A14" s="363" t="s">
        <v>86</v>
      </c>
      <c r="B14" s="361" t="s">
        <v>28</v>
      </c>
      <c r="C14" s="361" t="s">
        <v>87</v>
      </c>
      <c r="D14" s="361" t="s">
        <v>88</v>
      </c>
      <c r="E14" s="361" t="s">
        <v>89</v>
      </c>
      <c r="F14" s="361" t="s">
        <v>103</v>
      </c>
      <c r="G14" s="364">
        <v>8.0</v>
      </c>
      <c r="H14" s="365"/>
      <c r="I14" s="362" t="s">
        <v>91</v>
      </c>
    </row>
    <row r="15">
      <c r="A15" s="363" t="s">
        <v>86</v>
      </c>
      <c r="B15" s="361" t="s">
        <v>28</v>
      </c>
      <c r="C15" s="361" t="s">
        <v>87</v>
      </c>
      <c r="D15" s="361" t="s">
        <v>88</v>
      </c>
      <c r="E15" s="361" t="s">
        <v>89</v>
      </c>
      <c r="F15" s="361" t="s">
        <v>104</v>
      </c>
      <c r="G15" s="364">
        <v>7.0</v>
      </c>
      <c r="H15" s="365"/>
      <c r="I15" s="362" t="s">
        <v>91</v>
      </c>
    </row>
    <row r="16">
      <c r="A16" s="363" t="s">
        <v>86</v>
      </c>
      <c r="B16" s="361" t="s">
        <v>28</v>
      </c>
      <c r="C16" s="361" t="s">
        <v>87</v>
      </c>
      <c r="D16" s="361" t="s">
        <v>88</v>
      </c>
      <c r="E16" s="361" t="s">
        <v>89</v>
      </c>
      <c r="F16" s="361" t="s">
        <v>95</v>
      </c>
      <c r="G16" s="365"/>
      <c r="H16" s="361" t="s">
        <v>105</v>
      </c>
      <c r="I16" s="362" t="s">
        <v>91</v>
      </c>
    </row>
    <row r="17">
      <c r="A17" s="363" t="s">
        <v>86</v>
      </c>
      <c r="B17" s="361" t="s">
        <v>28</v>
      </c>
      <c r="C17" s="361" t="s">
        <v>87</v>
      </c>
      <c r="D17" s="361" t="s">
        <v>88</v>
      </c>
      <c r="E17" s="361" t="s">
        <v>89</v>
      </c>
      <c r="F17" s="361" t="s">
        <v>97</v>
      </c>
      <c r="G17" s="365"/>
      <c r="H17" s="361" t="s">
        <v>105</v>
      </c>
      <c r="I17" s="362" t="s">
        <v>91</v>
      </c>
    </row>
    <row r="18">
      <c r="A18" s="363" t="s">
        <v>86</v>
      </c>
      <c r="B18" s="361" t="s">
        <v>28</v>
      </c>
      <c r="C18" s="361" t="s">
        <v>87</v>
      </c>
      <c r="D18" s="361" t="s">
        <v>88</v>
      </c>
      <c r="E18" s="361" t="s">
        <v>89</v>
      </c>
      <c r="F18" s="361" t="s">
        <v>98</v>
      </c>
      <c r="G18" s="365"/>
      <c r="H18" s="361" t="s">
        <v>105</v>
      </c>
      <c r="I18" s="362" t="s">
        <v>91</v>
      </c>
    </row>
    <row r="19">
      <c r="A19" s="363" t="s">
        <v>86</v>
      </c>
      <c r="B19" s="361" t="s">
        <v>28</v>
      </c>
      <c r="C19" s="361" t="s">
        <v>87</v>
      </c>
      <c r="D19" s="361" t="s">
        <v>88</v>
      </c>
      <c r="E19" s="361" t="s">
        <v>89</v>
      </c>
      <c r="F19" s="361" t="s">
        <v>100</v>
      </c>
      <c r="G19" s="365"/>
      <c r="H19" s="361" t="s">
        <v>105</v>
      </c>
      <c r="I19" s="362" t="s">
        <v>91</v>
      </c>
    </row>
    <row r="20">
      <c r="A20" s="363" t="s">
        <v>86</v>
      </c>
      <c r="B20" s="361" t="s">
        <v>28</v>
      </c>
      <c r="C20" s="361" t="s">
        <v>87</v>
      </c>
      <c r="D20" s="361" t="s">
        <v>88</v>
      </c>
      <c r="E20" s="361" t="s">
        <v>89</v>
      </c>
      <c r="F20" s="361" t="s">
        <v>101</v>
      </c>
      <c r="G20" s="365"/>
      <c r="H20" s="361" t="s">
        <v>105</v>
      </c>
      <c r="I20" s="362" t="s">
        <v>91</v>
      </c>
    </row>
    <row r="21">
      <c r="A21" s="363" t="s">
        <v>86</v>
      </c>
      <c r="B21" s="361" t="s">
        <v>28</v>
      </c>
      <c r="C21" s="361" t="s">
        <v>87</v>
      </c>
      <c r="D21" s="361" t="s">
        <v>88</v>
      </c>
      <c r="E21" s="361" t="s">
        <v>89</v>
      </c>
      <c r="F21" s="361" t="s">
        <v>102</v>
      </c>
      <c r="G21" s="365"/>
      <c r="H21" s="361" t="s">
        <v>105</v>
      </c>
      <c r="I21" s="362" t="s">
        <v>91</v>
      </c>
    </row>
    <row r="22">
      <c r="A22" s="363" t="s">
        <v>86</v>
      </c>
      <c r="B22" s="361" t="s">
        <v>28</v>
      </c>
      <c r="C22" s="361" t="s">
        <v>87</v>
      </c>
      <c r="D22" s="361" t="s">
        <v>88</v>
      </c>
      <c r="E22" s="361" t="s">
        <v>89</v>
      </c>
      <c r="F22" s="361" t="s">
        <v>103</v>
      </c>
      <c r="G22" s="365"/>
      <c r="H22" s="361" t="s">
        <v>105</v>
      </c>
      <c r="I22" s="362" t="s">
        <v>91</v>
      </c>
    </row>
    <row r="23">
      <c r="A23" s="363" t="s">
        <v>86</v>
      </c>
      <c r="B23" s="361" t="s">
        <v>28</v>
      </c>
      <c r="C23" s="361" t="s">
        <v>87</v>
      </c>
      <c r="D23" s="361" t="s">
        <v>88</v>
      </c>
      <c r="E23" s="361" t="s">
        <v>89</v>
      </c>
      <c r="F23" s="361" t="s">
        <v>104</v>
      </c>
      <c r="G23" s="365"/>
      <c r="H23" s="361" t="s">
        <v>105</v>
      </c>
      <c r="I23" s="362" t="s">
        <v>91</v>
      </c>
    </row>
    <row r="24">
      <c r="A24" s="363" t="s">
        <v>86</v>
      </c>
      <c r="B24" s="361" t="s">
        <v>28</v>
      </c>
      <c r="C24" s="361" t="s">
        <v>87</v>
      </c>
      <c r="D24" s="361" t="s">
        <v>88</v>
      </c>
      <c r="E24" s="361" t="s">
        <v>89</v>
      </c>
      <c r="F24" s="361" t="s">
        <v>106</v>
      </c>
      <c r="G24" s="365"/>
      <c r="H24" s="361" t="s">
        <v>105</v>
      </c>
      <c r="I24" s="362" t="s">
        <v>91</v>
      </c>
    </row>
    <row r="25">
      <c r="A25" s="363" t="s">
        <v>86</v>
      </c>
      <c r="B25" s="361" t="s">
        <v>28</v>
      </c>
      <c r="C25" s="361" t="s">
        <v>87</v>
      </c>
      <c r="D25" s="361" t="s">
        <v>88</v>
      </c>
      <c r="E25" s="361" t="s">
        <v>89</v>
      </c>
      <c r="F25" s="361" t="s">
        <v>107</v>
      </c>
      <c r="G25" s="365"/>
      <c r="H25" s="361" t="s">
        <v>105</v>
      </c>
      <c r="I25" s="362" t="s">
        <v>91</v>
      </c>
    </row>
    <row r="26">
      <c r="A26" s="363" t="s">
        <v>86</v>
      </c>
      <c r="B26" s="361" t="s">
        <v>28</v>
      </c>
      <c r="C26" s="361" t="s">
        <v>87</v>
      </c>
      <c r="D26" s="361" t="s">
        <v>88</v>
      </c>
      <c r="E26" s="361" t="s">
        <v>89</v>
      </c>
      <c r="F26" s="361" t="s">
        <v>108</v>
      </c>
      <c r="G26" s="365"/>
      <c r="H26" s="361" t="s">
        <v>105</v>
      </c>
      <c r="I26" s="362" t="s">
        <v>91</v>
      </c>
    </row>
    <row r="27">
      <c r="A27" s="363" t="s">
        <v>86</v>
      </c>
      <c r="B27" s="361" t="s">
        <v>28</v>
      </c>
      <c r="C27" s="361" t="s">
        <v>87</v>
      </c>
      <c r="D27" s="361" t="s">
        <v>88</v>
      </c>
      <c r="E27" s="361" t="s">
        <v>89</v>
      </c>
      <c r="F27" s="361" t="s">
        <v>109</v>
      </c>
      <c r="G27" s="365"/>
      <c r="H27" s="361" t="s">
        <v>105</v>
      </c>
      <c r="I27" s="362" t="s">
        <v>91</v>
      </c>
    </row>
    <row r="28">
      <c r="A28" s="363" t="s">
        <v>86</v>
      </c>
      <c r="B28" s="361" t="s">
        <v>28</v>
      </c>
      <c r="C28" s="361" t="s">
        <v>87</v>
      </c>
      <c r="D28" s="361" t="s">
        <v>88</v>
      </c>
      <c r="E28" s="361" t="s">
        <v>89</v>
      </c>
      <c r="F28" s="361" t="s">
        <v>110</v>
      </c>
      <c r="G28" s="365"/>
      <c r="H28" s="361" t="s">
        <v>105</v>
      </c>
      <c r="I28" s="362" t="s">
        <v>91</v>
      </c>
    </row>
    <row r="29">
      <c r="A29" s="363" t="s">
        <v>86</v>
      </c>
      <c r="B29" s="361" t="s">
        <v>28</v>
      </c>
      <c r="C29" s="361" t="s">
        <v>87</v>
      </c>
      <c r="D29" s="361" t="s">
        <v>88</v>
      </c>
      <c r="E29" s="361" t="s">
        <v>89</v>
      </c>
      <c r="F29" s="361" t="s">
        <v>111</v>
      </c>
      <c r="G29" s="365"/>
      <c r="H29" s="361" t="s">
        <v>105</v>
      </c>
      <c r="I29" s="362" t="s">
        <v>91</v>
      </c>
    </row>
    <row r="30">
      <c r="A30" s="363" t="s">
        <v>86</v>
      </c>
      <c r="B30" s="361" t="s">
        <v>28</v>
      </c>
      <c r="C30" s="361" t="s">
        <v>87</v>
      </c>
      <c r="D30" s="361" t="s">
        <v>88</v>
      </c>
      <c r="E30" s="361" t="s">
        <v>112</v>
      </c>
      <c r="F30" s="361" t="s">
        <v>113</v>
      </c>
      <c r="G30" s="364">
        <v>85.0</v>
      </c>
      <c r="H30" s="365"/>
      <c r="I30" s="362" t="s">
        <v>114</v>
      </c>
    </row>
    <row r="31">
      <c r="A31" s="363" t="s">
        <v>86</v>
      </c>
      <c r="B31" s="361" t="s">
        <v>28</v>
      </c>
      <c r="C31" s="361" t="s">
        <v>87</v>
      </c>
      <c r="D31" s="361" t="s">
        <v>88</v>
      </c>
      <c r="E31" s="361" t="s">
        <v>112</v>
      </c>
      <c r="F31" s="361" t="s">
        <v>115</v>
      </c>
      <c r="G31" s="364">
        <v>51.0</v>
      </c>
      <c r="H31" s="365"/>
      <c r="I31" s="362" t="s">
        <v>114</v>
      </c>
    </row>
    <row r="32">
      <c r="A32" s="363" t="s">
        <v>86</v>
      </c>
      <c r="B32" s="361" t="s">
        <v>28</v>
      </c>
      <c r="C32" s="361" t="s">
        <v>87</v>
      </c>
      <c r="D32" s="361" t="s">
        <v>88</v>
      </c>
      <c r="E32" s="361" t="s">
        <v>112</v>
      </c>
      <c r="F32" s="361" t="s">
        <v>116</v>
      </c>
      <c r="G32" s="364">
        <v>38.0</v>
      </c>
      <c r="H32" s="365"/>
      <c r="I32" s="362" t="s">
        <v>114</v>
      </c>
    </row>
    <row r="33">
      <c r="A33" s="363" t="s">
        <v>86</v>
      </c>
      <c r="B33" s="361" t="s">
        <v>28</v>
      </c>
      <c r="C33" s="361" t="s">
        <v>87</v>
      </c>
      <c r="D33" s="361" t="s">
        <v>88</v>
      </c>
      <c r="E33" s="361" t="s">
        <v>112</v>
      </c>
      <c r="F33" s="361" t="s">
        <v>117</v>
      </c>
      <c r="G33" s="364">
        <v>28.0</v>
      </c>
      <c r="H33" s="365"/>
      <c r="I33" s="362" t="s">
        <v>114</v>
      </c>
    </row>
    <row r="34">
      <c r="A34" s="363" t="s">
        <v>86</v>
      </c>
      <c r="B34" s="361" t="s">
        <v>28</v>
      </c>
      <c r="C34" s="361" t="s">
        <v>87</v>
      </c>
      <c r="D34" s="361" t="s">
        <v>88</v>
      </c>
      <c r="E34" s="361" t="s">
        <v>112</v>
      </c>
      <c r="F34" s="361" t="s">
        <v>118</v>
      </c>
      <c r="G34" s="364">
        <v>27.0</v>
      </c>
      <c r="H34" s="365"/>
      <c r="I34" s="362" t="s">
        <v>114</v>
      </c>
    </row>
    <row r="35">
      <c r="A35" s="363" t="s">
        <v>86</v>
      </c>
      <c r="B35" s="361" t="s">
        <v>28</v>
      </c>
      <c r="C35" s="361" t="s">
        <v>87</v>
      </c>
      <c r="D35" s="361" t="s">
        <v>88</v>
      </c>
      <c r="E35" s="361" t="s">
        <v>112</v>
      </c>
      <c r="F35" s="361" t="s">
        <v>119</v>
      </c>
      <c r="G35" s="364">
        <v>16.0</v>
      </c>
      <c r="H35" s="365"/>
      <c r="I35" s="362" t="s">
        <v>114</v>
      </c>
    </row>
    <row r="36">
      <c r="A36" s="363" t="s">
        <v>86</v>
      </c>
      <c r="B36" s="361" t="s">
        <v>28</v>
      </c>
      <c r="C36" s="361" t="s">
        <v>87</v>
      </c>
      <c r="D36" s="361" t="s">
        <v>88</v>
      </c>
      <c r="E36" s="361" t="s">
        <v>112</v>
      </c>
      <c r="F36" s="361" t="s">
        <v>120</v>
      </c>
      <c r="G36" s="364">
        <v>14.0</v>
      </c>
      <c r="H36" s="365"/>
      <c r="I36" s="362" t="s">
        <v>114</v>
      </c>
    </row>
    <row r="37">
      <c r="A37" s="363" t="s">
        <v>86</v>
      </c>
      <c r="B37" s="361" t="s">
        <v>28</v>
      </c>
      <c r="C37" s="361" t="s">
        <v>87</v>
      </c>
      <c r="D37" s="361" t="s">
        <v>88</v>
      </c>
      <c r="E37" s="361" t="s">
        <v>112</v>
      </c>
      <c r="F37" s="361" t="s">
        <v>121</v>
      </c>
      <c r="G37" s="364">
        <v>13.0</v>
      </c>
      <c r="H37" s="365"/>
      <c r="I37" s="362" t="s">
        <v>114</v>
      </c>
    </row>
    <row r="38">
      <c r="A38" s="363" t="s">
        <v>86</v>
      </c>
      <c r="B38" s="361" t="s">
        <v>28</v>
      </c>
      <c r="C38" s="361" t="s">
        <v>87</v>
      </c>
      <c r="D38" s="361" t="s">
        <v>88</v>
      </c>
      <c r="E38" s="361" t="s">
        <v>112</v>
      </c>
      <c r="F38" s="361" t="s">
        <v>122</v>
      </c>
      <c r="G38" s="364">
        <v>11.0</v>
      </c>
      <c r="H38" s="365"/>
      <c r="I38" s="362" t="s">
        <v>114</v>
      </c>
    </row>
    <row r="39">
      <c r="A39" s="363" t="s">
        <v>86</v>
      </c>
      <c r="B39" s="361" t="s">
        <v>28</v>
      </c>
      <c r="C39" s="361" t="s">
        <v>87</v>
      </c>
      <c r="D39" s="361" t="s">
        <v>88</v>
      </c>
      <c r="E39" s="361" t="s">
        <v>112</v>
      </c>
      <c r="F39" s="361" t="s">
        <v>123</v>
      </c>
      <c r="G39" s="364">
        <v>11.0</v>
      </c>
      <c r="H39" s="365"/>
      <c r="I39" s="362" t="s">
        <v>114</v>
      </c>
    </row>
    <row r="40">
      <c r="A40" s="363" t="s">
        <v>86</v>
      </c>
      <c r="B40" s="361" t="s">
        <v>28</v>
      </c>
      <c r="C40" s="361" t="s">
        <v>87</v>
      </c>
      <c r="D40" s="361" t="s">
        <v>88</v>
      </c>
      <c r="E40" s="361" t="s">
        <v>112</v>
      </c>
      <c r="F40" s="361" t="s">
        <v>113</v>
      </c>
      <c r="G40" s="365"/>
      <c r="H40" s="361" t="s">
        <v>105</v>
      </c>
      <c r="I40" s="362" t="s">
        <v>114</v>
      </c>
    </row>
    <row r="41">
      <c r="A41" s="363" t="s">
        <v>86</v>
      </c>
      <c r="B41" s="361" t="s">
        <v>28</v>
      </c>
      <c r="C41" s="361" t="s">
        <v>87</v>
      </c>
      <c r="D41" s="361" t="s">
        <v>88</v>
      </c>
      <c r="E41" s="361" t="s">
        <v>112</v>
      </c>
      <c r="F41" s="361" t="s">
        <v>115</v>
      </c>
      <c r="G41" s="365"/>
      <c r="H41" s="361" t="s">
        <v>105</v>
      </c>
      <c r="I41" s="362" t="s">
        <v>114</v>
      </c>
    </row>
    <row r="42">
      <c r="A42" s="363" t="s">
        <v>86</v>
      </c>
      <c r="B42" s="361" t="s">
        <v>28</v>
      </c>
      <c r="C42" s="361" t="s">
        <v>87</v>
      </c>
      <c r="D42" s="361" t="s">
        <v>88</v>
      </c>
      <c r="E42" s="361" t="s">
        <v>112</v>
      </c>
      <c r="F42" s="361" t="s">
        <v>116</v>
      </c>
      <c r="G42" s="365"/>
      <c r="H42" s="361" t="s">
        <v>105</v>
      </c>
      <c r="I42" s="362" t="s">
        <v>114</v>
      </c>
    </row>
    <row r="43">
      <c r="A43" s="363" t="s">
        <v>86</v>
      </c>
      <c r="B43" s="361" t="s">
        <v>28</v>
      </c>
      <c r="C43" s="361" t="s">
        <v>87</v>
      </c>
      <c r="D43" s="361" t="s">
        <v>88</v>
      </c>
      <c r="E43" s="361" t="s">
        <v>112</v>
      </c>
      <c r="F43" s="361" t="s">
        <v>117</v>
      </c>
      <c r="G43" s="365"/>
      <c r="H43" s="361" t="s">
        <v>105</v>
      </c>
      <c r="I43" s="362" t="s">
        <v>114</v>
      </c>
    </row>
    <row r="44">
      <c r="A44" s="363" t="s">
        <v>86</v>
      </c>
      <c r="B44" s="361" t="s">
        <v>28</v>
      </c>
      <c r="C44" s="361" t="s">
        <v>87</v>
      </c>
      <c r="D44" s="361" t="s">
        <v>88</v>
      </c>
      <c r="E44" s="361" t="s">
        <v>112</v>
      </c>
      <c r="F44" s="361" t="s">
        <v>118</v>
      </c>
      <c r="G44" s="365"/>
      <c r="H44" s="361" t="s">
        <v>105</v>
      </c>
      <c r="I44" s="362" t="s">
        <v>114</v>
      </c>
    </row>
    <row r="45">
      <c r="A45" s="363" t="s">
        <v>86</v>
      </c>
      <c r="B45" s="361" t="s">
        <v>28</v>
      </c>
      <c r="C45" s="361" t="s">
        <v>87</v>
      </c>
      <c r="D45" s="361" t="s">
        <v>88</v>
      </c>
      <c r="E45" s="361" t="s">
        <v>112</v>
      </c>
      <c r="F45" s="361" t="s">
        <v>119</v>
      </c>
      <c r="G45" s="365"/>
      <c r="H45" s="361" t="s">
        <v>105</v>
      </c>
      <c r="I45" s="362" t="s">
        <v>114</v>
      </c>
    </row>
    <row r="46">
      <c r="A46" s="363" t="s">
        <v>86</v>
      </c>
      <c r="B46" s="361" t="s">
        <v>28</v>
      </c>
      <c r="C46" s="361" t="s">
        <v>87</v>
      </c>
      <c r="D46" s="361" t="s">
        <v>88</v>
      </c>
      <c r="E46" s="361" t="s">
        <v>112</v>
      </c>
      <c r="F46" s="361" t="s">
        <v>120</v>
      </c>
      <c r="G46" s="365"/>
      <c r="H46" s="361" t="s">
        <v>105</v>
      </c>
      <c r="I46" s="362" t="s">
        <v>114</v>
      </c>
    </row>
    <row r="47">
      <c r="A47" s="363" t="s">
        <v>86</v>
      </c>
      <c r="B47" s="361" t="s">
        <v>28</v>
      </c>
      <c r="C47" s="361" t="s">
        <v>87</v>
      </c>
      <c r="D47" s="361" t="s">
        <v>88</v>
      </c>
      <c r="E47" s="361" t="s">
        <v>112</v>
      </c>
      <c r="F47" s="361" t="s">
        <v>121</v>
      </c>
      <c r="G47" s="365"/>
      <c r="H47" s="361" t="s">
        <v>105</v>
      </c>
      <c r="I47" s="362" t="s">
        <v>114</v>
      </c>
    </row>
    <row r="48">
      <c r="A48" s="363" t="s">
        <v>86</v>
      </c>
      <c r="B48" s="361" t="s">
        <v>28</v>
      </c>
      <c r="C48" s="361" t="s">
        <v>87</v>
      </c>
      <c r="D48" s="361" t="s">
        <v>88</v>
      </c>
      <c r="E48" s="361" t="s">
        <v>112</v>
      </c>
      <c r="F48" s="361" t="s">
        <v>122</v>
      </c>
      <c r="G48" s="365"/>
      <c r="H48" s="361" t="s">
        <v>105</v>
      </c>
      <c r="I48" s="362" t="s">
        <v>114</v>
      </c>
    </row>
    <row r="49">
      <c r="A49" s="363" t="s">
        <v>86</v>
      </c>
      <c r="B49" s="361" t="s">
        <v>28</v>
      </c>
      <c r="C49" s="361" t="s">
        <v>87</v>
      </c>
      <c r="D49" s="361" t="s">
        <v>88</v>
      </c>
      <c r="E49" s="361" t="s">
        <v>112</v>
      </c>
      <c r="F49" s="361" t="s">
        <v>123</v>
      </c>
      <c r="G49" s="365"/>
      <c r="H49" s="361" t="s">
        <v>105</v>
      </c>
      <c r="I49" s="362" t="s">
        <v>114</v>
      </c>
    </row>
    <row r="50">
      <c r="A50" s="363" t="s">
        <v>86</v>
      </c>
      <c r="B50" s="361" t="s">
        <v>28</v>
      </c>
      <c r="C50" s="361" t="s">
        <v>87</v>
      </c>
      <c r="D50" s="361" t="s">
        <v>88</v>
      </c>
      <c r="E50" s="361" t="s">
        <v>124</v>
      </c>
      <c r="F50" s="361" t="s">
        <v>125</v>
      </c>
      <c r="G50" s="364">
        <v>100.0</v>
      </c>
      <c r="H50" s="365"/>
      <c r="I50" s="362" t="s">
        <v>114</v>
      </c>
    </row>
    <row r="51">
      <c r="A51" s="363" t="s">
        <v>86</v>
      </c>
      <c r="B51" s="361" t="s">
        <v>28</v>
      </c>
      <c r="C51" s="361" t="s">
        <v>87</v>
      </c>
      <c r="D51" s="361" t="s">
        <v>88</v>
      </c>
      <c r="E51" s="361" t="s">
        <v>124</v>
      </c>
      <c r="F51" s="361" t="s">
        <v>126</v>
      </c>
      <c r="G51" s="364">
        <v>16.0</v>
      </c>
      <c r="H51" s="365"/>
      <c r="I51" s="362" t="s">
        <v>114</v>
      </c>
    </row>
    <row r="52">
      <c r="A52" s="363" t="s">
        <v>86</v>
      </c>
      <c r="B52" s="361" t="s">
        <v>28</v>
      </c>
      <c r="C52" s="361" t="s">
        <v>87</v>
      </c>
      <c r="D52" s="361" t="s">
        <v>88</v>
      </c>
      <c r="E52" s="361" t="s">
        <v>124</v>
      </c>
      <c r="F52" s="361" t="s">
        <v>127</v>
      </c>
      <c r="G52" s="364">
        <v>11.0</v>
      </c>
      <c r="H52" s="365"/>
      <c r="I52" s="362" t="s">
        <v>114</v>
      </c>
    </row>
    <row r="53">
      <c r="A53" s="363" t="s">
        <v>86</v>
      </c>
      <c r="B53" s="361" t="s">
        <v>28</v>
      </c>
      <c r="C53" s="361" t="s">
        <v>87</v>
      </c>
      <c r="D53" s="361" t="s">
        <v>88</v>
      </c>
      <c r="E53" s="361" t="s">
        <v>124</v>
      </c>
      <c r="F53" s="361" t="s">
        <v>128</v>
      </c>
      <c r="G53" s="364">
        <v>10.0</v>
      </c>
      <c r="H53" s="365"/>
      <c r="I53" s="362" t="s">
        <v>114</v>
      </c>
    </row>
    <row r="54">
      <c r="A54" s="363" t="s">
        <v>86</v>
      </c>
      <c r="B54" s="361" t="s">
        <v>28</v>
      </c>
      <c r="C54" s="361" t="s">
        <v>87</v>
      </c>
      <c r="D54" s="361" t="s">
        <v>88</v>
      </c>
      <c r="E54" s="361" t="s">
        <v>124</v>
      </c>
      <c r="F54" s="361" t="s">
        <v>129</v>
      </c>
      <c r="G54" s="364">
        <v>9.0</v>
      </c>
      <c r="H54" s="365"/>
      <c r="I54" s="362" t="s">
        <v>114</v>
      </c>
    </row>
    <row r="55">
      <c r="A55" s="363" t="s">
        <v>86</v>
      </c>
      <c r="B55" s="361" t="s">
        <v>28</v>
      </c>
      <c r="C55" s="361" t="s">
        <v>87</v>
      </c>
      <c r="D55" s="361" t="s">
        <v>88</v>
      </c>
      <c r="E55" s="361" t="s">
        <v>124</v>
      </c>
      <c r="F55" s="361" t="s">
        <v>130</v>
      </c>
      <c r="G55" s="364">
        <v>9.0</v>
      </c>
      <c r="H55" s="365"/>
      <c r="I55" s="362" t="s">
        <v>114</v>
      </c>
    </row>
    <row r="56">
      <c r="A56" s="363" t="s">
        <v>86</v>
      </c>
      <c r="B56" s="361" t="s">
        <v>28</v>
      </c>
      <c r="C56" s="361" t="s">
        <v>87</v>
      </c>
      <c r="D56" s="361" t="s">
        <v>88</v>
      </c>
      <c r="E56" s="361" t="s">
        <v>124</v>
      </c>
      <c r="F56" s="361" t="s">
        <v>131</v>
      </c>
      <c r="G56" s="364">
        <v>9.0</v>
      </c>
      <c r="H56" s="365"/>
      <c r="I56" s="362" t="s">
        <v>114</v>
      </c>
    </row>
    <row r="57">
      <c r="A57" s="363" t="s">
        <v>86</v>
      </c>
      <c r="B57" s="361" t="s">
        <v>28</v>
      </c>
      <c r="C57" s="361" t="s">
        <v>87</v>
      </c>
      <c r="D57" s="361" t="s">
        <v>88</v>
      </c>
      <c r="E57" s="361" t="s">
        <v>124</v>
      </c>
      <c r="F57" s="361" t="s">
        <v>132</v>
      </c>
      <c r="G57" s="364">
        <v>9.0</v>
      </c>
      <c r="H57" s="365"/>
      <c r="I57" s="362" t="s">
        <v>114</v>
      </c>
    </row>
    <row r="58">
      <c r="A58" s="363" t="s">
        <v>86</v>
      </c>
      <c r="B58" s="361" t="s">
        <v>28</v>
      </c>
      <c r="C58" s="361" t="s">
        <v>87</v>
      </c>
      <c r="D58" s="361" t="s">
        <v>88</v>
      </c>
      <c r="E58" s="361" t="s">
        <v>124</v>
      </c>
      <c r="F58" s="361" t="s">
        <v>133</v>
      </c>
      <c r="G58" s="364">
        <v>7.0</v>
      </c>
      <c r="H58" s="365"/>
      <c r="I58" s="362" t="s">
        <v>114</v>
      </c>
    </row>
    <row r="59">
      <c r="A59" s="363" t="s">
        <v>86</v>
      </c>
      <c r="B59" s="361" t="s">
        <v>28</v>
      </c>
      <c r="C59" s="361" t="s">
        <v>87</v>
      </c>
      <c r="D59" s="361" t="s">
        <v>88</v>
      </c>
      <c r="E59" s="361" t="s">
        <v>124</v>
      </c>
      <c r="F59" s="361" t="s">
        <v>125</v>
      </c>
      <c r="G59" s="365"/>
      <c r="H59" s="361" t="s">
        <v>105</v>
      </c>
      <c r="I59" s="362" t="s">
        <v>114</v>
      </c>
    </row>
    <row r="60">
      <c r="A60" s="363" t="s">
        <v>86</v>
      </c>
      <c r="B60" s="361" t="s">
        <v>28</v>
      </c>
      <c r="C60" s="361" t="s">
        <v>87</v>
      </c>
      <c r="D60" s="361" t="s">
        <v>88</v>
      </c>
      <c r="E60" s="361" t="s">
        <v>124</v>
      </c>
      <c r="F60" s="361" t="s">
        <v>126</v>
      </c>
      <c r="G60" s="365"/>
      <c r="H60" s="361" t="s">
        <v>105</v>
      </c>
      <c r="I60" s="362" t="s">
        <v>114</v>
      </c>
    </row>
    <row r="61">
      <c r="A61" s="363" t="s">
        <v>86</v>
      </c>
      <c r="B61" s="361" t="s">
        <v>28</v>
      </c>
      <c r="C61" s="361" t="s">
        <v>87</v>
      </c>
      <c r="D61" s="361" t="s">
        <v>88</v>
      </c>
      <c r="E61" s="361" t="s">
        <v>124</v>
      </c>
      <c r="F61" s="361" t="s">
        <v>127</v>
      </c>
      <c r="G61" s="365"/>
      <c r="H61" s="361" t="s">
        <v>105</v>
      </c>
      <c r="I61" s="362" t="s">
        <v>114</v>
      </c>
    </row>
    <row r="62">
      <c r="A62" s="363" t="s">
        <v>86</v>
      </c>
      <c r="B62" s="361" t="s">
        <v>28</v>
      </c>
      <c r="C62" s="361" t="s">
        <v>87</v>
      </c>
      <c r="D62" s="361" t="s">
        <v>88</v>
      </c>
      <c r="E62" s="361" t="s">
        <v>124</v>
      </c>
      <c r="F62" s="361" t="s">
        <v>128</v>
      </c>
      <c r="G62" s="365"/>
      <c r="H62" s="361" t="s">
        <v>105</v>
      </c>
      <c r="I62" s="362" t="s">
        <v>114</v>
      </c>
    </row>
    <row r="63">
      <c r="A63" s="363" t="s">
        <v>86</v>
      </c>
      <c r="B63" s="361" t="s">
        <v>28</v>
      </c>
      <c r="C63" s="361" t="s">
        <v>87</v>
      </c>
      <c r="D63" s="361" t="s">
        <v>88</v>
      </c>
      <c r="E63" s="361" t="s">
        <v>124</v>
      </c>
      <c r="F63" s="361" t="s">
        <v>129</v>
      </c>
      <c r="G63" s="365"/>
      <c r="H63" s="361" t="s">
        <v>105</v>
      </c>
      <c r="I63" s="362" t="s">
        <v>114</v>
      </c>
    </row>
    <row r="64">
      <c r="A64" s="363" t="s">
        <v>86</v>
      </c>
      <c r="B64" s="361" t="s">
        <v>28</v>
      </c>
      <c r="C64" s="361" t="s">
        <v>87</v>
      </c>
      <c r="D64" s="361" t="s">
        <v>88</v>
      </c>
      <c r="E64" s="361" t="s">
        <v>124</v>
      </c>
      <c r="F64" s="361" t="s">
        <v>130</v>
      </c>
      <c r="G64" s="365"/>
      <c r="H64" s="361" t="s">
        <v>105</v>
      </c>
      <c r="I64" s="362" t="s">
        <v>114</v>
      </c>
    </row>
    <row r="65">
      <c r="A65" s="363" t="s">
        <v>86</v>
      </c>
      <c r="B65" s="361" t="s">
        <v>28</v>
      </c>
      <c r="C65" s="361" t="s">
        <v>87</v>
      </c>
      <c r="D65" s="361" t="s">
        <v>88</v>
      </c>
      <c r="E65" s="361" t="s">
        <v>124</v>
      </c>
      <c r="F65" s="361" t="s">
        <v>131</v>
      </c>
      <c r="G65" s="365"/>
      <c r="H65" s="361" t="s">
        <v>105</v>
      </c>
      <c r="I65" s="362" t="s">
        <v>114</v>
      </c>
    </row>
    <row r="66">
      <c r="A66" s="363" t="s">
        <v>86</v>
      </c>
      <c r="B66" s="361" t="s">
        <v>28</v>
      </c>
      <c r="C66" s="361" t="s">
        <v>87</v>
      </c>
      <c r="D66" s="361" t="s">
        <v>88</v>
      </c>
      <c r="E66" s="361" t="s">
        <v>124</v>
      </c>
      <c r="F66" s="361" t="s">
        <v>132</v>
      </c>
      <c r="G66" s="365"/>
      <c r="H66" s="361" t="s">
        <v>105</v>
      </c>
      <c r="I66" s="362" t="s">
        <v>114</v>
      </c>
    </row>
    <row r="67">
      <c r="A67" s="363" t="s">
        <v>86</v>
      </c>
      <c r="B67" s="361" t="s">
        <v>28</v>
      </c>
      <c r="C67" s="361" t="s">
        <v>87</v>
      </c>
      <c r="D67" s="361" t="s">
        <v>88</v>
      </c>
      <c r="E67" s="361" t="s">
        <v>124</v>
      </c>
      <c r="F67" s="361" t="s">
        <v>133</v>
      </c>
      <c r="G67" s="365"/>
      <c r="H67" s="361" t="s">
        <v>105</v>
      </c>
      <c r="I67" s="362" t="s">
        <v>114</v>
      </c>
    </row>
    <row r="68">
      <c r="A68" s="363" t="s">
        <v>86</v>
      </c>
      <c r="B68" s="361" t="s">
        <v>28</v>
      </c>
      <c r="C68" s="361" t="s">
        <v>87</v>
      </c>
      <c r="D68" s="361" t="s">
        <v>88</v>
      </c>
      <c r="E68" s="361" t="s">
        <v>124</v>
      </c>
      <c r="F68" s="361" t="s">
        <v>134</v>
      </c>
      <c r="G68" s="365"/>
      <c r="H68" s="361" t="s">
        <v>105</v>
      </c>
      <c r="I68" s="362" t="s">
        <v>114</v>
      </c>
    </row>
    <row r="69">
      <c r="A69" s="363" t="s">
        <v>86</v>
      </c>
      <c r="B69" s="361" t="s">
        <v>28</v>
      </c>
      <c r="C69" s="361" t="s">
        <v>87</v>
      </c>
      <c r="D69" s="361" t="s">
        <v>88</v>
      </c>
      <c r="E69" s="361" t="s">
        <v>135</v>
      </c>
      <c r="F69" s="361" t="s">
        <v>136</v>
      </c>
      <c r="G69" s="364">
        <v>100.0</v>
      </c>
      <c r="H69" s="365"/>
      <c r="I69" s="362" t="s">
        <v>114</v>
      </c>
    </row>
    <row r="70">
      <c r="A70" s="363" t="s">
        <v>86</v>
      </c>
      <c r="B70" s="361" t="s">
        <v>28</v>
      </c>
      <c r="C70" s="361" t="s">
        <v>87</v>
      </c>
      <c r="D70" s="361" t="s">
        <v>88</v>
      </c>
      <c r="E70" s="361" t="s">
        <v>135</v>
      </c>
      <c r="F70" s="361" t="s">
        <v>137</v>
      </c>
      <c r="G70" s="364">
        <v>76.0</v>
      </c>
      <c r="H70" s="365"/>
      <c r="I70" s="362" t="s">
        <v>114</v>
      </c>
    </row>
    <row r="71">
      <c r="A71" s="363" t="s">
        <v>86</v>
      </c>
      <c r="B71" s="361" t="s">
        <v>28</v>
      </c>
      <c r="C71" s="361" t="s">
        <v>87</v>
      </c>
      <c r="D71" s="361" t="s">
        <v>88</v>
      </c>
      <c r="E71" s="361" t="s">
        <v>135</v>
      </c>
      <c r="F71" s="361" t="s">
        <v>138</v>
      </c>
      <c r="G71" s="364">
        <v>73.0</v>
      </c>
      <c r="H71" s="365"/>
      <c r="I71" s="362" t="s">
        <v>114</v>
      </c>
    </row>
    <row r="72">
      <c r="A72" s="363" t="s">
        <v>86</v>
      </c>
      <c r="B72" s="361" t="s">
        <v>28</v>
      </c>
      <c r="C72" s="361" t="s">
        <v>87</v>
      </c>
      <c r="D72" s="361" t="s">
        <v>88</v>
      </c>
      <c r="E72" s="361" t="s">
        <v>135</v>
      </c>
      <c r="F72" s="361" t="s">
        <v>139</v>
      </c>
      <c r="G72" s="364">
        <v>67.0</v>
      </c>
      <c r="H72" s="365"/>
      <c r="I72" s="362" t="s">
        <v>114</v>
      </c>
    </row>
    <row r="73">
      <c r="A73" s="363" t="s">
        <v>86</v>
      </c>
      <c r="B73" s="361" t="s">
        <v>28</v>
      </c>
      <c r="C73" s="361" t="s">
        <v>87</v>
      </c>
      <c r="D73" s="361" t="s">
        <v>88</v>
      </c>
      <c r="E73" s="361" t="s">
        <v>135</v>
      </c>
      <c r="F73" s="361" t="s">
        <v>140</v>
      </c>
      <c r="G73" s="364">
        <v>65.0</v>
      </c>
      <c r="H73" s="365"/>
      <c r="I73" s="362" t="s">
        <v>114</v>
      </c>
    </row>
    <row r="74">
      <c r="A74" s="363" t="s">
        <v>86</v>
      </c>
      <c r="B74" s="361" t="s">
        <v>28</v>
      </c>
      <c r="C74" s="361" t="s">
        <v>87</v>
      </c>
      <c r="D74" s="361" t="s">
        <v>88</v>
      </c>
      <c r="E74" s="361" t="s">
        <v>135</v>
      </c>
      <c r="F74" s="361" t="s">
        <v>141</v>
      </c>
      <c r="G74" s="364">
        <v>60.0</v>
      </c>
      <c r="H74" s="365"/>
      <c r="I74" s="362" t="s">
        <v>114</v>
      </c>
    </row>
    <row r="75">
      <c r="A75" s="363" t="s">
        <v>86</v>
      </c>
      <c r="B75" s="361" t="s">
        <v>28</v>
      </c>
      <c r="C75" s="361" t="s">
        <v>87</v>
      </c>
      <c r="D75" s="361" t="s">
        <v>88</v>
      </c>
      <c r="E75" s="361" t="s">
        <v>135</v>
      </c>
      <c r="F75" s="361" t="s">
        <v>142</v>
      </c>
      <c r="G75" s="364">
        <v>53.0</v>
      </c>
      <c r="H75" s="365"/>
      <c r="I75" s="362" t="s">
        <v>114</v>
      </c>
    </row>
    <row r="76">
      <c r="A76" s="363" t="s">
        <v>86</v>
      </c>
      <c r="B76" s="361" t="s">
        <v>28</v>
      </c>
      <c r="C76" s="361" t="s">
        <v>87</v>
      </c>
      <c r="D76" s="361" t="s">
        <v>88</v>
      </c>
      <c r="E76" s="361" t="s">
        <v>135</v>
      </c>
      <c r="F76" s="361" t="s">
        <v>143</v>
      </c>
      <c r="G76" s="364">
        <v>50.0</v>
      </c>
      <c r="H76" s="365"/>
      <c r="I76" s="362" t="s">
        <v>114</v>
      </c>
    </row>
    <row r="77">
      <c r="A77" s="363" t="s">
        <v>86</v>
      </c>
      <c r="B77" s="361" t="s">
        <v>28</v>
      </c>
      <c r="C77" s="361" t="s">
        <v>87</v>
      </c>
      <c r="D77" s="361" t="s">
        <v>88</v>
      </c>
      <c r="E77" s="361" t="s">
        <v>135</v>
      </c>
      <c r="F77" s="361" t="s">
        <v>144</v>
      </c>
      <c r="G77" s="364">
        <v>47.0</v>
      </c>
      <c r="H77" s="365"/>
      <c r="I77" s="362" t="s">
        <v>114</v>
      </c>
    </row>
    <row r="78">
      <c r="A78" s="363" t="s">
        <v>86</v>
      </c>
      <c r="B78" s="361" t="s">
        <v>28</v>
      </c>
      <c r="C78" s="361" t="s">
        <v>87</v>
      </c>
      <c r="D78" s="361" t="s">
        <v>88</v>
      </c>
      <c r="E78" s="361" t="s">
        <v>135</v>
      </c>
      <c r="F78" s="361" t="s">
        <v>145</v>
      </c>
      <c r="G78" s="364">
        <v>44.0</v>
      </c>
      <c r="H78" s="365"/>
      <c r="I78" s="362" t="s">
        <v>114</v>
      </c>
    </row>
    <row r="79">
      <c r="A79" s="363" t="s">
        <v>86</v>
      </c>
      <c r="B79" s="361" t="s">
        <v>28</v>
      </c>
      <c r="C79" s="361" t="s">
        <v>87</v>
      </c>
      <c r="D79" s="361" t="s">
        <v>88</v>
      </c>
      <c r="E79" s="361" t="s">
        <v>135</v>
      </c>
      <c r="F79" s="361" t="s">
        <v>146</v>
      </c>
      <c r="G79" s="364">
        <v>42.0</v>
      </c>
      <c r="H79" s="365"/>
      <c r="I79" s="362" t="s">
        <v>114</v>
      </c>
    </row>
    <row r="80">
      <c r="A80" s="363" t="s">
        <v>86</v>
      </c>
      <c r="B80" s="361" t="s">
        <v>28</v>
      </c>
      <c r="C80" s="361" t="s">
        <v>87</v>
      </c>
      <c r="D80" s="361" t="s">
        <v>88</v>
      </c>
      <c r="E80" s="361" t="s">
        <v>135</v>
      </c>
      <c r="F80" s="361" t="s">
        <v>147</v>
      </c>
      <c r="G80" s="364">
        <v>41.0</v>
      </c>
      <c r="H80" s="365"/>
      <c r="I80" s="362" t="s">
        <v>114</v>
      </c>
    </row>
    <row r="81">
      <c r="A81" s="363" t="s">
        <v>86</v>
      </c>
      <c r="B81" s="361" t="s">
        <v>28</v>
      </c>
      <c r="C81" s="361" t="s">
        <v>87</v>
      </c>
      <c r="D81" s="361" t="s">
        <v>88</v>
      </c>
      <c r="E81" s="361" t="s">
        <v>135</v>
      </c>
      <c r="F81" s="361" t="s">
        <v>148</v>
      </c>
      <c r="G81" s="364">
        <v>41.0</v>
      </c>
      <c r="H81" s="365"/>
      <c r="I81" s="362" t="s">
        <v>114</v>
      </c>
    </row>
    <row r="82">
      <c r="A82" s="363" t="s">
        <v>86</v>
      </c>
      <c r="B82" s="361" t="s">
        <v>28</v>
      </c>
      <c r="C82" s="361" t="s">
        <v>87</v>
      </c>
      <c r="D82" s="361" t="s">
        <v>88</v>
      </c>
      <c r="E82" s="361" t="s">
        <v>135</v>
      </c>
      <c r="F82" s="361" t="s">
        <v>149</v>
      </c>
      <c r="G82" s="364">
        <v>36.0</v>
      </c>
      <c r="H82" s="365"/>
      <c r="I82" s="362" t="s">
        <v>114</v>
      </c>
    </row>
    <row r="83">
      <c r="A83" s="363" t="s">
        <v>86</v>
      </c>
      <c r="B83" s="361" t="s">
        <v>28</v>
      </c>
      <c r="C83" s="361" t="s">
        <v>87</v>
      </c>
      <c r="D83" s="361" t="s">
        <v>88</v>
      </c>
      <c r="E83" s="361" t="s">
        <v>135</v>
      </c>
      <c r="F83" s="361" t="s">
        <v>150</v>
      </c>
      <c r="G83" s="364">
        <v>30.0</v>
      </c>
      <c r="H83" s="365"/>
      <c r="I83" s="362" t="s">
        <v>114</v>
      </c>
    </row>
    <row r="84">
      <c r="A84" s="363" t="s">
        <v>86</v>
      </c>
      <c r="B84" s="361" t="s">
        <v>28</v>
      </c>
      <c r="C84" s="361" t="s">
        <v>87</v>
      </c>
      <c r="D84" s="361" t="s">
        <v>88</v>
      </c>
      <c r="E84" s="361" t="s">
        <v>135</v>
      </c>
      <c r="F84" s="361" t="s">
        <v>136</v>
      </c>
      <c r="G84" s="365"/>
      <c r="H84" s="361" t="s">
        <v>105</v>
      </c>
      <c r="I84" s="362" t="s">
        <v>114</v>
      </c>
    </row>
    <row r="85">
      <c r="A85" s="363" t="s">
        <v>86</v>
      </c>
      <c r="B85" s="361" t="s">
        <v>28</v>
      </c>
      <c r="C85" s="361" t="s">
        <v>87</v>
      </c>
      <c r="D85" s="361" t="s">
        <v>88</v>
      </c>
      <c r="E85" s="361" t="s">
        <v>135</v>
      </c>
      <c r="F85" s="361" t="s">
        <v>137</v>
      </c>
      <c r="G85" s="365"/>
      <c r="H85" s="361" t="s">
        <v>105</v>
      </c>
      <c r="I85" s="362" t="s">
        <v>114</v>
      </c>
    </row>
    <row r="86">
      <c r="A86" s="363" t="s">
        <v>86</v>
      </c>
      <c r="B86" s="361" t="s">
        <v>28</v>
      </c>
      <c r="C86" s="361" t="s">
        <v>87</v>
      </c>
      <c r="D86" s="361" t="s">
        <v>88</v>
      </c>
      <c r="E86" s="361" t="s">
        <v>135</v>
      </c>
      <c r="F86" s="361" t="s">
        <v>138</v>
      </c>
      <c r="G86" s="365"/>
      <c r="H86" s="361" t="s">
        <v>105</v>
      </c>
      <c r="I86" s="362" t="s">
        <v>114</v>
      </c>
    </row>
    <row r="87">
      <c r="A87" s="363" t="s">
        <v>86</v>
      </c>
      <c r="B87" s="361" t="s">
        <v>28</v>
      </c>
      <c r="C87" s="361" t="s">
        <v>87</v>
      </c>
      <c r="D87" s="361" t="s">
        <v>88</v>
      </c>
      <c r="E87" s="361" t="s">
        <v>135</v>
      </c>
      <c r="F87" s="361" t="s">
        <v>139</v>
      </c>
      <c r="G87" s="365"/>
      <c r="H87" s="361" t="s">
        <v>105</v>
      </c>
      <c r="I87" s="362" t="s">
        <v>114</v>
      </c>
    </row>
    <row r="88">
      <c r="A88" s="363" t="s">
        <v>86</v>
      </c>
      <c r="B88" s="361" t="s">
        <v>28</v>
      </c>
      <c r="C88" s="361" t="s">
        <v>87</v>
      </c>
      <c r="D88" s="361" t="s">
        <v>88</v>
      </c>
      <c r="E88" s="361" t="s">
        <v>135</v>
      </c>
      <c r="F88" s="361" t="s">
        <v>140</v>
      </c>
      <c r="G88" s="365"/>
      <c r="H88" s="361" t="s">
        <v>105</v>
      </c>
      <c r="I88" s="362" t="s">
        <v>114</v>
      </c>
    </row>
    <row r="89">
      <c r="A89" s="363" t="s">
        <v>86</v>
      </c>
      <c r="B89" s="361" t="s">
        <v>28</v>
      </c>
      <c r="C89" s="361" t="s">
        <v>87</v>
      </c>
      <c r="D89" s="361" t="s">
        <v>88</v>
      </c>
      <c r="E89" s="361" t="s">
        <v>135</v>
      </c>
      <c r="F89" s="361" t="s">
        <v>141</v>
      </c>
      <c r="G89" s="365"/>
      <c r="H89" s="361" t="s">
        <v>105</v>
      </c>
      <c r="I89" s="362" t="s">
        <v>114</v>
      </c>
    </row>
    <row r="90">
      <c r="A90" s="363" t="s">
        <v>86</v>
      </c>
      <c r="B90" s="361" t="s">
        <v>28</v>
      </c>
      <c r="C90" s="361" t="s">
        <v>87</v>
      </c>
      <c r="D90" s="361" t="s">
        <v>88</v>
      </c>
      <c r="E90" s="361" t="s">
        <v>135</v>
      </c>
      <c r="F90" s="361" t="s">
        <v>142</v>
      </c>
      <c r="G90" s="365"/>
      <c r="H90" s="361" t="s">
        <v>105</v>
      </c>
      <c r="I90" s="362" t="s">
        <v>114</v>
      </c>
    </row>
    <row r="91">
      <c r="A91" s="363" t="s">
        <v>86</v>
      </c>
      <c r="B91" s="361" t="s">
        <v>28</v>
      </c>
      <c r="C91" s="361" t="s">
        <v>87</v>
      </c>
      <c r="D91" s="361" t="s">
        <v>88</v>
      </c>
      <c r="E91" s="361" t="s">
        <v>135</v>
      </c>
      <c r="F91" s="361" t="s">
        <v>143</v>
      </c>
      <c r="G91" s="365"/>
      <c r="H91" s="361" t="s">
        <v>105</v>
      </c>
      <c r="I91" s="362" t="s">
        <v>114</v>
      </c>
    </row>
    <row r="92">
      <c r="A92" s="363" t="s">
        <v>86</v>
      </c>
      <c r="B92" s="361" t="s">
        <v>28</v>
      </c>
      <c r="C92" s="361" t="s">
        <v>87</v>
      </c>
      <c r="D92" s="361" t="s">
        <v>88</v>
      </c>
      <c r="E92" s="361" t="s">
        <v>135</v>
      </c>
      <c r="F92" s="361" t="s">
        <v>144</v>
      </c>
      <c r="G92" s="365"/>
      <c r="H92" s="361" t="s">
        <v>105</v>
      </c>
      <c r="I92" s="362" t="s">
        <v>114</v>
      </c>
    </row>
    <row r="93">
      <c r="A93" s="363" t="s">
        <v>86</v>
      </c>
      <c r="B93" s="361" t="s">
        <v>28</v>
      </c>
      <c r="C93" s="361" t="s">
        <v>87</v>
      </c>
      <c r="D93" s="361" t="s">
        <v>88</v>
      </c>
      <c r="E93" s="361" t="s">
        <v>135</v>
      </c>
      <c r="F93" s="361" t="s">
        <v>145</v>
      </c>
      <c r="G93" s="365"/>
      <c r="H93" s="361" t="s">
        <v>105</v>
      </c>
      <c r="I93" s="362" t="s">
        <v>114</v>
      </c>
    </row>
    <row r="94">
      <c r="A94" s="363" t="s">
        <v>86</v>
      </c>
      <c r="B94" s="361" t="s">
        <v>28</v>
      </c>
      <c r="C94" s="361" t="s">
        <v>87</v>
      </c>
      <c r="D94" s="361" t="s">
        <v>88</v>
      </c>
      <c r="E94" s="361" t="s">
        <v>135</v>
      </c>
      <c r="F94" s="361" t="s">
        <v>146</v>
      </c>
      <c r="G94" s="365"/>
      <c r="H94" s="361" t="s">
        <v>105</v>
      </c>
      <c r="I94" s="362" t="s">
        <v>114</v>
      </c>
    </row>
    <row r="95">
      <c r="A95" s="363" t="s">
        <v>86</v>
      </c>
      <c r="B95" s="361" t="s">
        <v>28</v>
      </c>
      <c r="C95" s="361" t="s">
        <v>87</v>
      </c>
      <c r="D95" s="361" t="s">
        <v>88</v>
      </c>
      <c r="E95" s="361" t="s">
        <v>135</v>
      </c>
      <c r="F95" s="361" t="s">
        <v>147</v>
      </c>
      <c r="G95" s="365"/>
      <c r="H95" s="361" t="s">
        <v>105</v>
      </c>
      <c r="I95" s="362" t="s">
        <v>114</v>
      </c>
    </row>
    <row r="96">
      <c r="A96" s="363" t="s">
        <v>86</v>
      </c>
      <c r="B96" s="361" t="s">
        <v>28</v>
      </c>
      <c r="C96" s="361" t="s">
        <v>87</v>
      </c>
      <c r="D96" s="361" t="s">
        <v>88</v>
      </c>
      <c r="E96" s="361" t="s">
        <v>135</v>
      </c>
      <c r="F96" s="361" t="s">
        <v>148</v>
      </c>
      <c r="G96" s="365"/>
      <c r="H96" s="361" t="s">
        <v>105</v>
      </c>
      <c r="I96" s="362" t="s">
        <v>114</v>
      </c>
    </row>
    <row r="97">
      <c r="A97" s="363" t="s">
        <v>86</v>
      </c>
      <c r="B97" s="361" t="s">
        <v>28</v>
      </c>
      <c r="C97" s="361" t="s">
        <v>87</v>
      </c>
      <c r="D97" s="361" t="s">
        <v>88</v>
      </c>
      <c r="E97" s="361" t="s">
        <v>135</v>
      </c>
      <c r="F97" s="361" t="s">
        <v>149</v>
      </c>
      <c r="G97" s="365"/>
      <c r="H97" s="361" t="s">
        <v>105</v>
      </c>
      <c r="I97" s="362" t="s">
        <v>114</v>
      </c>
    </row>
    <row r="98">
      <c r="A98" s="363" t="s">
        <v>86</v>
      </c>
      <c r="B98" s="361" t="s">
        <v>28</v>
      </c>
      <c r="C98" s="361" t="s">
        <v>87</v>
      </c>
      <c r="D98" s="361" t="s">
        <v>88</v>
      </c>
      <c r="E98" s="361" t="s">
        <v>151</v>
      </c>
      <c r="F98" s="361" t="s">
        <v>152</v>
      </c>
      <c r="G98" s="364">
        <v>68.0</v>
      </c>
      <c r="H98" s="365"/>
      <c r="I98" s="362" t="s">
        <v>114</v>
      </c>
    </row>
    <row r="99">
      <c r="A99" s="363" t="s">
        <v>86</v>
      </c>
      <c r="B99" s="361" t="s">
        <v>28</v>
      </c>
      <c r="C99" s="361" t="s">
        <v>87</v>
      </c>
      <c r="D99" s="361" t="s">
        <v>88</v>
      </c>
      <c r="E99" s="361" t="s">
        <v>151</v>
      </c>
      <c r="F99" s="361" t="s">
        <v>153</v>
      </c>
      <c r="G99" s="364">
        <v>18.0</v>
      </c>
      <c r="H99" s="365"/>
      <c r="I99" s="362" t="s">
        <v>114</v>
      </c>
    </row>
    <row r="100">
      <c r="A100" s="363" t="s">
        <v>86</v>
      </c>
      <c r="B100" s="361" t="s">
        <v>28</v>
      </c>
      <c r="C100" s="361" t="s">
        <v>87</v>
      </c>
      <c r="D100" s="361" t="s">
        <v>88</v>
      </c>
      <c r="E100" s="361" t="s">
        <v>151</v>
      </c>
      <c r="F100" s="361" t="s">
        <v>154</v>
      </c>
      <c r="G100" s="364">
        <v>17.0</v>
      </c>
      <c r="H100" s="365"/>
      <c r="I100" s="362" t="s">
        <v>114</v>
      </c>
    </row>
    <row r="101">
      <c r="A101" s="363" t="s">
        <v>86</v>
      </c>
      <c r="B101" s="361" t="s">
        <v>28</v>
      </c>
      <c r="C101" s="361" t="s">
        <v>87</v>
      </c>
      <c r="D101" s="361" t="s">
        <v>88</v>
      </c>
      <c r="E101" s="361" t="s">
        <v>151</v>
      </c>
      <c r="F101" s="361" t="s">
        <v>155</v>
      </c>
      <c r="G101" s="364">
        <v>17.0</v>
      </c>
      <c r="H101" s="365"/>
      <c r="I101" s="362" t="s">
        <v>114</v>
      </c>
    </row>
    <row r="102">
      <c r="A102" s="363" t="s">
        <v>86</v>
      </c>
      <c r="B102" s="361" t="s">
        <v>28</v>
      </c>
      <c r="C102" s="361" t="s">
        <v>87</v>
      </c>
      <c r="D102" s="361" t="s">
        <v>88</v>
      </c>
      <c r="E102" s="361" t="s">
        <v>151</v>
      </c>
      <c r="F102" s="361" t="s">
        <v>156</v>
      </c>
      <c r="G102" s="364">
        <v>15.0</v>
      </c>
      <c r="H102" s="365"/>
      <c r="I102" s="362" t="s">
        <v>114</v>
      </c>
    </row>
    <row r="103">
      <c r="A103" s="363" t="s">
        <v>86</v>
      </c>
      <c r="B103" s="361" t="s">
        <v>28</v>
      </c>
      <c r="C103" s="361" t="s">
        <v>87</v>
      </c>
      <c r="D103" s="361" t="s">
        <v>88</v>
      </c>
      <c r="E103" s="361" t="s">
        <v>151</v>
      </c>
      <c r="F103" s="361" t="s">
        <v>152</v>
      </c>
      <c r="G103" s="365"/>
      <c r="H103" s="361" t="s">
        <v>105</v>
      </c>
      <c r="I103" s="362" t="s">
        <v>114</v>
      </c>
    </row>
    <row r="104">
      <c r="A104" s="363" t="s">
        <v>86</v>
      </c>
      <c r="B104" s="361" t="s">
        <v>28</v>
      </c>
      <c r="C104" s="361" t="s">
        <v>87</v>
      </c>
      <c r="D104" s="361" t="s">
        <v>88</v>
      </c>
      <c r="E104" s="361" t="s">
        <v>151</v>
      </c>
      <c r="F104" s="361" t="s">
        <v>153</v>
      </c>
      <c r="G104" s="365"/>
      <c r="H104" s="361" t="s">
        <v>105</v>
      </c>
      <c r="I104" s="362" t="s">
        <v>114</v>
      </c>
    </row>
    <row r="105">
      <c r="A105" s="363" t="s">
        <v>86</v>
      </c>
      <c r="B105" s="361" t="s">
        <v>28</v>
      </c>
      <c r="C105" s="361" t="s">
        <v>87</v>
      </c>
      <c r="D105" s="361" t="s">
        <v>88</v>
      </c>
      <c r="E105" s="361" t="s">
        <v>151</v>
      </c>
      <c r="F105" s="361" t="s">
        <v>154</v>
      </c>
      <c r="G105" s="365"/>
      <c r="H105" s="361" t="s">
        <v>105</v>
      </c>
      <c r="I105" s="362" t="s">
        <v>114</v>
      </c>
    </row>
    <row r="106">
      <c r="A106" s="363" t="s">
        <v>86</v>
      </c>
      <c r="B106" s="361" t="s">
        <v>28</v>
      </c>
      <c r="C106" s="361" t="s">
        <v>87</v>
      </c>
      <c r="D106" s="361" t="s">
        <v>88</v>
      </c>
      <c r="E106" s="361" t="s">
        <v>151</v>
      </c>
      <c r="F106" s="361" t="s">
        <v>155</v>
      </c>
      <c r="G106" s="365"/>
      <c r="H106" s="361" t="s">
        <v>105</v>
      </c>
      <c r="I106" s="362" t="s">
        <v>114</v>
      </c>
    </row>
    <row r="107">
      <c r="A107" s="363" t="s">
        <v>86</v>
      </c>
      <c r="B107" s="361" t="s">
        <v>28</v>
      </c>
      <c r="C107" s="361" t="s">
        <v>87</v>
      </c>
      <c r="D107" s="361" t="s">
        <v>88</v>
      </c>
      <c r="E107" s="361" t="s">
        <v>151</v>
      </c>
      <c r="F107" s="361" t="s">
        <v>156</v>
      </c>
      <c r="G107" s="365"/>
      <c r="H107" s="361" t="s">
        <v>105</v>
      </c>
      <c r="I107" s="362" t="s">
        <v>114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</hyperlinks>
  <drawing r:id="rId107"/>
</worksheet>
</file>